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460016801.STERLING\Desktop\Rajshekar\"/>
    </mc:Choice>
  </mc:AlternateContent>
  <xr:revisionPtr revIDLastSave="0" documentId="13_ncr:1_{9E86663F-1557-4E03-85A3-2EA0059204A6}" xr6:coauthVersionLast="47" xr6:coauthVersionMax="47" xr10:uidLastSave="{00000000-0000-0000-0000-000000000000}"/>
  <bookViews>
    <workbookView xWindow="-120" yWindow="-120" windowWidth="20730" windowHeight="11160" tabRatio="759" xr2:uid="{00000000-000D-0000-FFFF-FFFF00000000}"/>
  </bookViews>
  <sheets>
    <sheet name="Daily Dashboard" sheetId="13" r:id="rId1"/>
    <sheet name="CMS_Data" sheetId="17" r:id="rId2"/>
    <sheet name="Annual KPI" sheetId="12" r:id="rId3"/>
    <sheet name="Monthly KPI" sheetId="10" r:id="rId4"/>
    <sheet name="Daily KPI" sheetId="18" r:id="rId5"/>
    <sheet name="Raw Data" sheetId="1" r:id="rId6"/>
    <sheet name="Modelling New" sheetId="19" state="hidden" r:id="rId7"/>
    <sheet name="Inv_SY" sheetId="6" r:id="rId8"/>
    <sheet name="Inv_SY_Dev" sheetId="7" r:id="rId9"/>
    <sheet name="Plant BD" sheetId="3" r:id="rId10"/>
    <sheet name="Tracker_BD" sheetId="4" r:id="rId11"/>
    <sheet name="Grid BD" sheetId="11" r:id="rId12"/>
    <sheet name="Mod_CL" sheetId="14" r:id="rId13"/>
    <sheet name="Grass_Cutting" sheetId="15" r:id="rId14"/>
    <sheet name="Spare_Consumable" sheetId="16" r:id="rId15"/>
    <sheet name="Basic Data" sheetId="2" state="hidden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2" i="14" l="1"/>
  <c r="AC1538" i="4"/>
  <c r="AD1539" i="4"/>
  <c r="AI1539" i="4" s="1"/>
  <c r="AD1541" i="4"/>
  <c r="AI1541" i="4" s="1"/>
  <c r="AD1542" i="4"/>
  <c r="AI1542" i="4" s="1"/>
  <c r="AC1543" i="4"/>
  <c r="AB1544" i="4"/>
  <c r="AC1545" i="4"/>
  <c r="AA1546" i="4"/>
  <c r="AD1547" i="4"/>
  <c r="AI1547" i="4" s="1"/>
  <c r="AD1548" i="4"/>
  <c r="AD1549" i="4"/>
  <c r="AI1549" i="4" s="1"/>
  <c r="AA1541" i="4"/>
  <c r="AA1543" i="4"/>
  <c r="AA1545" i="4"/>
  <c r="AA1547" i="4"/>
  <c r="AA1549" i="4"/>
  <c r="AH1550" i="4"/>
  <c r="X1550" i="4"/>
  <c r="W1550" i="4"/>
  <c r="AD1550" i="4" s="1"/>
  <c r="AI1550" i="4" s="1"/>
  <c r="M1550" i="4"/>
  <c r="J1550" i="4"/>
  <c r="I1550" i="4"/>
  <c r="G1550" i="4"/>
  <c r="C1550" i="4"/>
  <c r="B1550" i="4"/>
  <c r="AH1549" i="4"/>
  <c r="AC1549" i="4"/>
  <c r="M1549" i="4"/>
  <c r="J1549" i="4"/>
  <c r="I1549" i="4"/>
  <c r="G1549" i="4"/>
  <c r="C1549" i="4"/>
  <c r="B1549" i="4"/>
  <c r="AH1548" i="4"/>
  <c r="M1548" i="4"/>
  <c r="J1548" i="4"/>
  <c r="I1548" i="4"/>
  <c r="G1548" i="4"/>
  <c r="C1548" i="4"/>
  <c r="B1548" i="4"/>
  <c r="AH1547" i="4"/>
  <c r="AC1547" i="4"/>
  <c r="AB1547" i="4"/>
  <c r="M1547" i="4"/>
  <c r="J1547" i="4"/>
  <c r="I1547" i="4"/>
  <c r="G1547" i="4"/>
  <c r="C1547" i="4"/>
  <c r="B1547" i="4"/>
  <c r="AH1546" i="4"/>
  <c r="M1546" i="4"/>
  <c r="J1546" i="4"/>
  <c r="I1546" i="4"/>
  <c r="G1546" i="4"/>
  <c r="C1546" i="4"/>
  <c r="B1546" i="4"/>
  <c r="AH1545" i="4"/>
  <c r="AD1545" i="4"/>
  <c r="AI1545" i="4" s="1"/>
  <c r="M1545" i="4"/>
  <c r="J1545" i="4"/>
  <c r="I1545" i="4"/>
  <c r="K1545" i="4" s="1"/>
  <c r="G1545" i="4"/>
  <c r="C1545" i="4"/>
  <c r="B1545" i="4"/>
  <c r="AH1544" i="4"/>
  <c r="M1544" i="4"/>
  <c r="J1544" i="4"/>
  <c r="I1544" i="4"/>
  <c r="G1544" i="4"/>
  <c r="C1544" i="4"/>
  <c r="B1544" i="4"/>
  <c r="AH1543" i="4"/>
  <c r="AD1543" i="4"/>
  <c r="AI1543" i="4" s="1"/>
  <c r="AB1543" i="4"/>
  <c r="M1543" i="4"/>
  <c r="J1543" i="4"/>
  <c r="I1543" i="4"/>
  <c r="G1543" i="4"/>
  <c r="C1543" i="4"/>
  <c r="B1543" i="4"/>
  <c r="AH1542" i="4"/>
  <c r="AA1542" i="4"/>
  <c r="M1542" i="4"/>
  <c r="J1542" i="4"/>
  <c r="I1542" i="4"/>
  <c r="G1542" i="4"/>
  <c r="C1542" i="4"/>
  <c r="B1542" i="4"/>
  <c r="AH1541" i="4"/>
  <c r="AC1541" i="4"/>
  <c r="M1541" i="4"/>
  <c r="J1541" i="4"/>
  <c r="I1541" i="4"/>
  <c r="K1541" i="4" s="1"/>
  <c r="G1541" i="4"/>
  <c r="C1541" i="4"/>
  <c r="B1541" i="4"/>
  <c r="AH1540" i="4"/>
  <c r="X1540" i="4"/>
  <c r="W1540" i="4"/>
  <c r="AB1540" i="4" s="1"/>
  <c r="M1540" i="4"/>
  <c r="J1540" i="4"/>
  <c r="I1540" i="4"/>
  <c r="G1540" i="4"/>
  <c r="C1540" i="4"/>
  <c r="B1540" i="4"/>
  <c r="AH1539" i="4"/>
  <c r="AB1539" i="4"/>
  <c r="AA1539" i="4"/>
  <c r="M1539" i="4"/>
  <c r="J1539" i="4"/>
  <c r="I1539" i="4"/>
  <c r="G1539" i="4"/>
  <c r="C1539" i="4"/>
  <c r="B1539" i="4"/>
  <c r="AH1538" i="4"/>
  <c r="AD1538" i="4"/>
  <c r="AA1538" i="4"/>
  <c r="M1538" i="4"/>
  <c r="J1538" i="4"/>
  <c r="I1538" i="4"/>
  <c r="G1538" i="4"/>
  <c r="C1538" i="4"/>
  <c r="B1538" i="4"/>
  <c r="A1538" i="4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H112" i="7"/>
  <c r="A112" i="7" s="1"/>
  <c r="G113" i="6"/>
  <c r="H113" i="6"/>
  <c r="A113" i="6" s="1"/>
  <c r="I113" i="6"/>
  <c r="J113" i="6"/>
  <c r="K113" i="6"/>
  <c r="L113" i="6"/>
  <c r="M113" i="6"/>
  <c r="N113" i="6"/>
  <c r="O113" i="6"/>
  <c r="F114" i="1"/>
  <c r="AB114" i="1"/>
  <c r="AC114" i="1"/>
  <c r="AD114" i="1"/>
  <c r="AF114" i="1"/>
  <c r="AG114" i="1" s="1"/>
  <c r="AH114" i="1"/>
  <c r="AD1526" i="4"/>
  <c r="AD1529" i="4"/>
  <c r="AI1529" i="4" s="1"/>
  <c r="AC1530" i="4"/>
  <c r="AB1531" i="4"/>
  <c r="AD1532" i="4"/>
  <c r="AC1533" i="4"/>
  <c r="AD1534" i="4"/>
  <c r="AI1534" i="4" s="1"/>
  <c r="AD1536" i="4"/>
  <c r="AI1536" i="4" s="1"/>
  <c r="AA1525" i="4"/>
  <c r="AA1528" i="4"/>
  <c r="AA1529" i="4"/>
  <c r="AA1530" i="4"/>
  <c r="AA1534" i="4"/>
  <c r="AA1535" i="4"/>
  <c r="AA1536" i="4"/>
  <c r="AH1537" i="4"/>
  <c r="M1537" i="4"/>
  <c r="G1537" i="4"/>
  <c r="C1537" i="4"/>
  <c r="B1537" i="4"/>
  <c r="AH1536" i="4"/>
  <c r="AC1536" i="4"/>
  <c r="M1536" i="4"/>
  <c r="G1536" i="4"/>
  <c r="C1536" i="4"/>
  <c r="B1536" i="4"/>
  <c r="AH1535" i="4"/>
  <c r="AD1535" i="4"/>
  <c r="AC1535" i="4"/>
  <c r="AB1535" i="4"/>
  <c r="M1535" i="4"/>
  <c r="G1535" i="4"/>
  <c r="C1535" i="4"/>
  <c r="B1535" i="4"/>
  <c r="AH1534" i="4"/>
  <c r="AC1534" i="4"/>
  <c r="AB1534" i="4"/>
  <c r="M1534" i="4"/>
  <c r="G1534" i="4"/>
  <c r="C1534" i="4"/>
  <c r="B1534" i="4"/>
  <c r="AH1533" i="4"/>
  <c r="AD1533" i="4"/>
  <c r="AI1533" i="4" s="1"/>
  <c r="AA1533" i="4"/>
  <c r="M1533" i="4"/>
  <c r="G1533" i="4"/>
  <c r="C1533" i="4"/>
  <c r="B1533" i="4"/>
  <c r="AH1532" i="4"/>
  <c r="M1532" i="4"/>
  <c r="G1532" i="4"/>
  <c r="C1532" i="4"/>
  <c r="B1532" i="4"/>
  <c r="AH1531" i="4"/>
  <c r="AD1531" i="4"/>
  <c r="AC1531" i="4"/>
  <c r="AA1531" i="4"/>
  <c r="M1531" i="4"/>
  <c r="G1531" i="4"/>
  <c r="C1531" i="4"/>
  <c r="B1531" i="4"/>
  <c r="AH1530" i="4"/>
  <c r="AD1530" i="4"/>
  <c r="M1530" i="4"/>
  <c r="G1530" i="4"/>
  <c r="C1530" i="4"/>
  <c r="B1530" i="4"/>
  <c r="AH1529" i="4"/>
  <c r="AC1529" i="4"/>
  <c r="M1529" i="4"/>
  <c r="G1529" i="4"/>
  <c r="C1529" i="4"/>
  <c r="B1529" i="4"/>
  <c r="AH1528" i="4"/>
  <c r="AD1528" i="4"/>
  <c r="AI1528" i="4" s="1"/>
  <c r="AC1528" i="4"/>
  <c r="AB1528" i="4"/>
  <c r="M1528" i="4"/>
  <c r="G1528" i="4"/>
  <c r="C1528" i="4"/>
  <c r="B1528" i="4"/>
  <c r="AH1527" i="4"/>
  <c r="M1527" i="4"/>
  <c r="G1527" i="4"/>
  <c r="C1527" i="4"/>
  <c r="B1527" i="4"/>
  <c r="AH1526" i="4"/>
  <c r="AC1526" i="4"/>
  <c r="AB1526" i="4"/>
  <c r="AA1526" i="4"/>
  <c r="M1526" i="4"/>
  <c r="G1526" i="4"/>
  <c r="C1526" i="4"/>
  <c r="B1526" i="4"/>
  <c r="AH1525" i="4"/>
  <c r="AD1525" i="4"/>
  <c r="AI1525" i="4" s="1"/>
  <c r="AC1525" i="4"/>
  <c r="AB1525" i="4"/>
  <c r="M1525" i="4"/>
  <c r="G1525" i="4"/>
  <c r="C1525" i="4"/>
  <c r="B1525" i="4"/>
  <c r="A1525" i="4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G112" i="6"/>
  <c r="I112" i="6"/>
  <c r="C111" i="7"/>
  <c r="F111" i="7"/>
  <c r="G111" i="7" s="1"/>
  <c r="H111" i="7"/>
  <c r="A111" i="7" s="1"/>
  <c r="F113" i="1"/>
  <c r="AB113" i="1"/>
  <c r="AC113" i="1"/>
  <c r="AE113" i="1" s="1"/>
  <c r="AD113" i="1"/>
  <c r="AF113" i="1"/>
  <c r="AG113" i="1" s="1"/>
  <c r="AH113" i="1"/>
  <c r="G111" i="6"/>
  <c r="I111" i="6"/>
  <c r="A110" i="7"/>
  <c r="B110" i="7"/>
  <c r="C110" i="7"/>
  <c r="F110" i="7"/>
  <c r="G110" i="7" s="1"/>
  <c r="H110" i="7"/>
  <c r="G26" i="3"/>
  <c r="C26" i="3"/>
  <c r="B26" i="3"/>
  <c r="AD1512" i="4"/>
  <c r="AC1513" i="4"/>
  <c r="AD1515" i="4"/>
  <c r="AD1516" i="4"/>
  <c r="AI1516" i="4" s="1"/>
  <c r="AD1517" i="4"/>
  <c r="AC1518" i="4"/>
  <c r="AD1519" i="4"/>
  <c r="AD1520" i="4"/>
  <c r="AD1521" i="4"/>
  <c r="AB1522" i="4"/>
  <c r="AD1523" i="4"/>
  <c r="AA1516" i="4"/>
  <c r="AA1517" i="4"/>
  <c r="AA1518" i="4"/>
  <c r="AA1520" i="4"/>
  <c r="AH1524" i="4"/>
  <c r="M1524" i="4"/>
  <c r="G1524" i="4"/>
  <c r="C1524" i="4"/>
  <c r="B1524" i="4"/>
  <c r="AH1523" i="4"/>
  <c r="M1523" i="4"/>
  <c r="G1523" i="4"/>
  <c r="C1523" i="4"/>
  <c r="B1523" i="4"/>
  <c r="AH1522" i="4"/>
  <c r="M1522" i="4"/>
  <c r="G1522" i="4"/>
  <c r="C1522" i="4"/>
  <c r="B1522" i="4"/>
  <c r="AH1521" i="4"/>
  <c r="M1521" i="4"/>
  <c r="G1521" i="4"/>
  <c r="C1521" i="4"/>
  <c r="B1521" i="4"/>
  <c r="AH1520" i="4"/>
  <c r="AC1520" i="4"/>
  <c r="AB1520" i="4"/>
  <c r="M1520" i="4"/>
  <c r="G1520" i="4"/>
  <c r="C1520" i="4"/>
  <c r="B1520" i="4"/>
  <c r="AH1519" i="4"/>
  <c r="M1519" i="4"/>
  <c r="G1519" i="4"/>
  <c r="C1519" i="4"/>
  <c r="B1519" i="4"/>
  <c r="AH1518" i="4"/>
  <c r="AD1518" i="4"/>
  <c r="AB1518" i="4"/>
  <c r="M1518" i="4"/>
  <c r="G1518" i="4"/>
  <c r="C1518" i="4"/>
  <c r="B1518" i="4"/>
  <c r="AH1517" i="4"/>
  <c r="AB1517" i="4"/>
  <c r="M1517" i="4"/>
  <c r="G1517" i="4"/>
  <c r="C1517" i="4"/>
  <c r="B1517" i="4"/>
  <c r="AH1516" i="4"/>
  <c r="AC1516" i="4"/>
  <c r="M1516" i="4"/>
  <c r="G1516" i="4"/>
  <c r="C1516" i="4"/>
  <c r="B1516" i="4"/>
  <c r="AH1515" i="4"/>
  <c r="M1515" i="4"/>
  <c r="G1515" i="4"/>
  <c r="C1515" i="4"/>
  <c r="B1515" i="4"/>
  <c r="AH1514" i="4"/>
  <c r="M1514" i="4"/>
  <c r="G1514" i="4"/>
  <c r="C1514" i="4"/>
  <c r="B1514" i="4"/>
  <c r="A1514" i="4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H1513" i="4"/>
  <c r="M1513" i="4"/>
  <c r="G1513" i="4"/>
  <c r="C1513" i="4"/>
  <c r="B1513" i="4"/>
  <c r="A1513" i="4"/>
  <c r="AH1512" i="4"/>
  <c r="M1512" i="4"/>
  <c r="G1512" i="4"/>
  <c r="C1512" i="4"/>
  <c r="B1512" i="4"/>
  <c r="A1512" i="4"/>
  <c r="G44" i="11"/>
  <c r="M44" i="11"/>
  <c r="P44" i="11"/>
  <c r="W44" i="11"/>
  <c r="X44" i="11"/>
  <c r="Y44" i="11"/>
  <c r="Q111" i="14"/>
  <c r="A127" i="14"/>
  <c r="B127" i="14"/>
  <c r="C127" i="14"/>
  <c r="G127" i="14"/>
  <c r="H127" i="14"/>
  <c r="Q127" i="14"/>
  <c r="A126" i="14"/>
  <c r="B126" i="14"/>
  <c r="C126" i="14"/>
  <c r="G126" i="14"/>
  <c r="H126" i="14"/>
  <c r="Q126" i="14"/>
  <c r="A125" i="14"/>
  <c r="G125" i="14"/>
  <c r="H125" i="14"/>
  <c r="B125" i="14" s="1"/>
  <c r="Q125" i="14"/>
  <c r="A124" i="14"/>
  <c r="B124" i="14"/>
  <c r="G124" i="14"/>
  <c r="H124" i="14"/>
  <c r="C124" i="14" s="1"/>
  <c r="Q124" i="14"/>
  <c r="A123" i="14"/>
  <c r="G123" i="14"/>
  <c r="H123" i="14"/>
  <c r="B123" i="14" s="1"/>
  <c r="Q123" i="14"/>
  <c r="A122" i="14"/>
  <c r="B122" i="14"/>
  <c r="C122" i="14"/>
  <c r="G122" i="14"/>
  <c r="H122" i="14"/>
  <c r="Q122" i="14"/>
  <c r="A121" i="14"/>
  <c r="B121" i="14"/>
  <c r="C121" i="14"/>
  <c r="G121" i="14"/>
  <c r="H121" i="14"/>
  <c r="Q121" i="14"/>
  <c r="A120" i="14"/>
  <c r="B120" i="14"/>
  <c r="C120" i="14"/>
  <c r="G120" i="14"/>
  <c r="H120" i="14"/>
  <c r="Q120" i="14"/>
  <c r="A119" i="14"/>
  <c r="B119" i="14"/>
  <c r="C119" i="14"/>
  <c r="G119" i="14"/>
  <c r="H119" i="14"/>
  <c r="Q119" i="14"/>
  <c r="A118" i="14"/>
  <c r="B118" i="14"/>
  <c r="C118" i="14"/>
  <c r="G118" i="14"/>
  <c r="H118" i="14"/>
  <c r="Q118" i="14"/>
  <c r="A117" i="14"/>
  <c r="B117" i="14"/>
  <c r="C117" i="14"/>
  <c r="G117" i="14"/>
  <c r="H117" i="14"/>
  <c r="Q117" i="14"/>
  <c r="A116" i="14"/>
  <c r="B116" i="14"/>
  <c r="C116" i="14"/>
  <c r="G116" i="14"/>
  <c r="H116" i="14"/>
  <c r="Q116" i="14"/>
  <c r="A115" i="14"/>
  <c r="B115" i="14"/>
  <c r="C115" i="14"/>
  <c r="G115" i="14"/>
  <c r="H115" i="14"/>
  <c r="Q115" i="14"/>
  <c r="A114" i="14"/>
  <c r="B114" i="14"/>
  <c r="C114" i="14"/>
  <c r="G114" i="14"/>
  <c r="H114" i="14"/>
  <c r="Q114" i="14"/>
  <c r="A113" i="14"/>
  <c r="B113" i="14"/>
  <c r="C113" i="14"/>
  <c r="G113" i="14"/>
  <c r="H113" i="14"/>
  <c r="Q113" i="14"/>
  <c r="A112" i="14"/>
  <c r="B112" i="14"/>
  <c r="C112" i="14"/>
  <c r="G112" i="14"/>
  <c r="H112" i="14"/>
  <c r="A111" i="14"/>
  <c r="G111" i="14"/>
  <c r="H111" i="14"/>
  <c r="B111" i="14" s="1"/>
  <c r="A110" i="14"/>
  <c r="B110" i="14"/>
  <c r="C110" i="14"/>
  <c r="G110" i="14"/>
  <c r="H110" i="14"/>
  <c r="Q110" i="14"/>
  <c r="A109" i="14"/>
  <c r="C109" i="14"/>
  <c r="G109" i="14"/>
  <c r="H109" i="14"/>
  <c r="B109" i="14" s="1"/>
  <c r="Q109" i="14"/>
  <c r="A108" i="14"/>
  <c r="B108" i="14"/>
  <c r="C108" i="14"/>
  <c r="G108" i="14"/>
  <c r="H108" i="14"/>
  <c r="Q108" i="14"/>
  <c r="A107" i="14"/>
  <c r="B107" i="14"/>
  <c r="C107" i="14"/>
  <c r="G107" i="14"/>
  <c r="H107" i="14"/>
  <c r="Q107" i="14"/>
  <c r="A106" i="14"/>
  <c r="B106" i="14"/>
  <c r="C106" i="14"/>
  <c r="G106" i="14"/>
  <c r="H106" i="14"/>
  <c r="Q106" i="14"/>
  <c r="A105" i="14"/>
  <c r="G105" i="14"/>
  <c r="H105" i="14"/>
  <c r="B105" i="14" s="1"/>
  <c r="Q105" i="14"/>
  <c r="A104" i="14"/>
  <c r="G104" i="14"/>
  <c r="H104" i="14"/>
  <c r="B104" i="14" s="1"/>
  <c r="Q104" i="14"/>
  <c r="F112" i="1"/>
  <c r="AB112" i="1"/>
  <c r="AC112" i="1"/>
  <c r="AD112" i="1"/>
  <c r="AF112" i="1"/>
  <c r="AG112" i="1" s="1"/>
  <c r="AH112" i="1"/>
  <c r="AD1499" i="4"/>
  <c r="AD1500" i="4"/>
  <c r="AD1502" i="4"/>
  <c r="AB1503" i="4"/>
  <c r="AD1504" i="4"/>
  <c r="AB1505" i="4"/>
  <c r="AD1506" i="4"/>
  <c r="AD1507" i="4"/>
  <c r="AA1500" i="4"/>
  <c r="AA1503" i="4"/>
  <c r="AA1504" i="4"/>
  <c r="AA1505" i="4"/>
  <c r="AA1507" i="4"/>
  <c r="AH1511" i="4"/>
  <c r="M1511" i="4"/>
  <c r="G1511" i="4"/>
  <c r="C1511" i="4"/>
  <c r="B1511" i="4"/>
  <c r="AH1510" i="4"/>
  <c r="AD1510" i="4"/>
  <c r="AC1510" i="4"/>
  <c r="AB1510" i="4"/>
  <c r="AA1510" i="4"/>
  <c r="M1510" i="4"/>
  <c r="G1510" i="4"/>
  <c r="C1510" i="4"/>
  <c r="B1510" i="4"/>
  <c r="AH1509" i="4"/>
  <c r="AD1509" i="4"/>
  <c r="AC1509" i="4"/>
  <c r="AB1509" i="4"/>
  <c r="AA1509" i="4"/>
  <c r="M1509" i="4"/>
  <c r="G1509" i="4"/>
  <c r="C1509" i="4"/>
  <c r="B1509" i="4"/>
  <c r="AH1508" i="4"/>
  <c r="AD1508" i="4"/>
  <c r="AC1508" i="4"/>
  <c r="AB1508" i="4"/>
  <c r="AA1508" i="4"/>
  <c r="M1508" i="4"/>
  <c r="G1508" i="4"/>
  <c r="C1508" i="4"/>
  <c r="B1508" i="4"/>
  <c r="AH1507" i="4"/>
  <c r="M1507" i="4"/>
  <c r="G1507" i="4"/>
  <c r="C1507" i="4"/>
  <c r="B1507" i="4"/>
  <c r="AH1506" i="4"/>
  <c r="AC1506" i="4"/>
  <c r="AB1506" i="4"/>
  <c r="AA1506" i="4"/>
  <c r="M1506" i="4"/>
  <c r="G1506" i="4"/>
  <c r="C1506" i="4"/>
  <c r="B1506" i="4"/>
  <c r="AH1505" i="4"/>
  <c r="AD1505" i="4"/>
  <c r="AC1505" i="4"/>
  <c r="M1505" i="4"/>
  <c r="G1505" i="4"/>
  <c r="C1505" i="4"/>
  <c r="B1505" i="4"/>
  <c r="AH1504" i="4"/>
  <c r="AC1504" i="4"/>
  <c r="AB1504" i="4"/>
  <c r="M1504" i="4"/>
  <c r="G1504" i="4"/>
  <c r="C1504" i="4"/>
  <c r="B1504" i="4"/>
  <c r="AH1503" i="4"/>
  <c r="AD1503" i="4"/>
  <c r="AC1503" i="4"/>
  <c r="M1503" i="4"/>
  <c r="G1503" i="4"/>
  <c r="C1503" i="4"/>
  <c r="B1503" i="4"/>
  <c r="AH1502" i="4"/>
  <c r="M1502" i="4"/>
  <c r="G1502" i="4"/>
  <c r="C1502" i="4"/>
  <c r="B1502" i="4"/>
  <c r="AH1501" i="4"/>
  <c r="M1501" i="4"/>
  <c r="G1501" i="4"/>
  <c r="C1501" i="4"/>
  <c r="B1501" i="4"/>
  <c r="AH1500" i="4"/>
  <c r="AC1500" i="4"/>
  <c r="M1500" i="4"/>
  <c r="G1500" i="4"/>
  <c r="C1500" i="4"/>
  <c r="B1500" i="4"/>
  <c r="AH1499" i="4"/>
  <c r="AB1499" i="4"/>
  <c r="AA1499" i="4"/>
  <c r="M1499" i="4"/>
  <c r="G1499" i="4"/>
  <c r="C1499" i="4"/>
  <c r="B1499" i="4"/>
  <c r="A1499" i="4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H109" i="7"/>
  <c r="A109" i="7" s="1"/>
  <c r="G110" i="6"/>
  <c r="I110" i="6"/>
  <c r="F111" i="1"/>
  <c r="AB111" i="1"/>
  <c r="AC111" i="1"/>
  <c r="AD111" i="1"/>
  <c r="AF111" i="1"/>
  <c r="AG111" i="1" s="1"/>
  <c r="AH111" i="1"/>
  <c r="AC1486" i="4"/>
  <c r="AB1487" i="4"/>
  <c r="AD1489" i="4"/>
  <c r="AD1490" i="4"/>
  <c r="AB1491" i="4"/>
  <c r="AB1492" i="4"/>
  <c r="AD1493" i="4"/>
  <c r="AD1494" i="4"/>
  <c r="AC1495" i="4"/>
  <c r="AD1496" i="4"/>
  <c r="AD1497" i="4"/>
  <c r="AA1490" i="4"/>
  <c r="AA1491" i="4"/>
  <c r="AA1493" i="4"/>
  <c r="AA1494" i="4"/>
  <c r="AA1495" i="4"/>
  <c r="AA1496" i="4"/>
  <c r="AA1497" i="4"/>
  <c r="AH1498" i="4"/>
  <c r="M1498" i="4"/>
  <c r="G1498" i="4"/>
  <c r="C1498" i="4"/>
  <c r="B1498" i="4"/>
  <c r="AH1497" i="4"/>
  <c r="M1497" i="4"/>
  <c r="G1497" i="4"/>
  <c r="C1497" i="4"/>
  <c r="B1497" i="4"/>
  <c r="AH1496" i="4"/>
  <c r="AC1496" i="4"/>
  <c r="M1496" i="4"/>
  <c r="G1496" i="4"/>
  <c r="C1496" i="4"/>
  <c r="B1496" i="4"/>
  <c r="AH1495" i="4"/>
  <c r="M1495" i="4"/>
  <c r="G1495" i="4"/>
  <c r="C1495" i="4"/>
  <c r="B1495" i="4"/>
  <c r="AH1494" i="4"/>
  <c r="M1494" i="4"/>
  <c r="G1494" i="4"/>
  <c r="C1494" i="4"/>
  <c r="B1494" i="4"/>
  <c r="AH1493" i="4"/>
  <c r="M1493" i="4"/>
  <c r="G1493" i="4"/>
  <c r="C1493" i="4"/>
  <c r="B1493" i="4"/>
  <c r="AH1492" i="4"/>
  <c r="AD1492" i="4"/>
  <c r="AC1492" i="4"/>
  <c r="AA1492" i="4"/>
  <c r="M1492" i="4"/>
  <c r="G1492" i="4"/>
  <c r="C1492" i="4"/>
  <c r="B1492" i="4"/>
  <c r="AH1491" i="4"/>
  <c r="M1491" i="4"/>
  <c r="G1491" i="4"/>
  <c r="C1491" i="4"/>
  <c r="B1491" i="4"/>
  <c r="AH1490" i="4"/>
  <c r="M1490" i="4"/>
  <c r="G1490" i="4"/>
  <c r="C1490" i="4"/>
  <c r="B1490" i="4"/>
  <c r="AH1489" i="4"/>
  <c r="AC1489" i="4"/>
  <c r="AA1489" i="4"/>
  <c r="M1489" i="4"/>
  <c r="G1489" i="4"/>
  <c r="C1489" i="4"/>
  <c r="B1489" i="4"/>
  <c r="AH1488" i="4"/>
  <c r="M1488" i="4"/>
  <c r="G1488" i="4"/>
  <c r="C1488" i="4"/>
  <c r="B1488" i="4"/>
  <c r="A1488" i="4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H1487" i="4"/>
  <c r="AD1487" i="4"/>
  <c r="AA1487" i="4"/>
  <c r="M1487" i="4"/>
  <c r="G1487" i="4"/>
  <c r="C1487" i="4"/>
  <c r="B1487" i="4"/>
  <c r="A1487" i="4"/>
  <c r="AH1486" i="4"/>
  <c r="AD1486" i="4"/>
  <c r="AA1486" i="4"/>
  <c r="M1486" i="4"/>
  <c r="G1486" i="4"/>
  <c r="C1486" i="4"/>
  <c r="B1486" i="4"/>
  <c r="A1486" i="4"/>
  <c r="H108" i="7"/>
  <c r="A108" i="7" s="1"/>
  <c r="G109" i="6"/>
  <c r="I109" i="6"/>
  <c r="F110" i="1"/>
  <c r="AB110" i="1"/>
  <c r="AC110" i="1"/>
  <c r="AD110" i="1"/>
  <c r="AF110" i="1"/>
  <c r="AG110" i="1" s="1"/>
  <c r="AH110" i="1"/>
  <c r="AD1473" i="4"/>
  <c r="AB1474" i="4"/>
  <c r="AD1476" i="4"/>
  <c r="AD1477" i="4"/>
  <c r="AC1478" i="4"/>
  <c r="AD1479" i="4"/>
  <c r="AD1480" i="4"/>
  <c r="AD1481" i="4"/>
  <c r="AD1482" i="4"/>
  <c r="AD1483" i="4"/>
  <c r="AC1484" i="4"/>
  <c r="AA1473" i="4"/>
  <c r="AA1474" i="4"/>
  <c r="AA1476" i="4"/>
  <c r="AA1477" i="4"/>
  <c r="AA1479" i="4"/>
  <c r="AA1480" i="4"/>
  <c r="AA1481" i="4"/>
  <c r="AA1482" i="4"/>
  <c r="AA1483" i="4"/>
  <c r="AA1484" i="4"/>
  <c r="AH1485" i="4"/>
  <c r="M1485" i="4"/>
  <c r="G1485" i="4"/>
  <c r="C1485" i="4"/>
  <c r="B1485" i="4"/>
  <c r="AH1484" i="4"/>
  <c r="M1484" i="4"/>
  <c r="G1484" i="4"/>
  <c r="C1484" i="4"/>
  <c r="B1484" i="4"/>
  <c r="AH1483" i="4"/>
  <c r="M1483" i="4"/>
  <c r="G1483" i="4"/>
  <c r="C1483" i="4"/>
  <c r="B1483" i="4"/>
  <c r="AH1482" i="4"/>
  <c r="M1482" i="4"/>
  <c r="G1482" i="4"/>
  <c r="C1482" i="4"/>
  <c r="B1482" i="4"/>
  <c r="AH1481" i="4"/>
  <c r="M1481" i="4"/>
  <c r="G1481" i="4"/>
  <c r="C1481" i="4"/>
  <c r="B1481" i="4"/>
  <c r="AH1480" i="4"/>
  <c r="M1480" i="4"/>
  <c r="G1480" i="4"/>
  <c r="C1480" i="4"/>
  <c r="B1480" i="4"/>
  <c r="AH1479" i="4"/>
  <c r="AB1479" i="4"/>
  <c r="M1479" i="4"/>
  <c r="G1479" i="4"/>
  <c r="C1479" i="4"/>
  <c r="B1479" i="4"/>
  <c r="AH1478" i="4"/>
  <c r="AD1478" i="4"/>
  <c r="AB1478" i="4"/>
  <c r="AA1478" i="4"/>
  <c r="M1478" i="4"/>
  <c r="G1478" i="4"/>
  <c r="C1478" i="4"/>
  <c r="B1478" i="4"/>
  <c r="AH1477" i="4"/>
  <c r="AC1477" i="4"/>
  <c r="AB1477" i="4"/>
  <c r="M1477" i="4"/>
  <c r="G1477" i="4"/>
  <c r="C1477" i="4"/>
  <c r="B1477" i="4"/>
  <c r="AH1476" i="4"/>
  <c r="M1476" i="4"/>
  <c r="G1476" i="4"/>
  <c r="C1476" i="4"/>
  <c r="B1476" i="4"/>
  <c r="AH1475" i="4"/>
  <c r="M1475" i="4"/>
  <c r="G1475" i="4"/>
  <c r="C1475" i="4"/>
  <c r="B1475" i="4"/>
  <c r="AH1474" i="4"/>
  <c r="M1474" i="4"/>
  <c r="G1474" i="4"/>
  <c r="C1474" i="4"/>
  <c r="B1474" i="4"/>
  <c r="A1474" i="4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H1473" i="4"/>
  <c r="M1473" i="4"/>
  <c r="G1473" i="4"/>
  <c r="C1473" i="4"/>
  <c r="B1473" i="4"/>
  <c r="A1473" i="4"/>
  <c r="G108" i="6"/>
  <c r="I108" i="6"/>
  <c r="F109" i="1"/>
  <c r="AB109" i="1"/>
  <c r="AC109" i="1"/>
  <c r="AD109" i="1"/>
  <c r="AF109" i="1"/>
  <c r="AG109" i="1" s="1"/>
  <c r="AH109" i="1"/>
  <c r="AB1460" i="4"/>
  <c r="AD1461" i="4"/>
  <c r="AD1463" i="4"/>
  <c r="AC1464" i="4"/>
  <c r="AD1465" i="4"/>
  <c r="AD1466" i="4"/>
  <c r="AD1467" i="4"/>
  <c r="AD1468" i="4"/>
  <c r="AB1469" i="4"/>
  <c r="AD1470" i="4"/>
  <c r="AD1471" i="4"/>
  <c r="AA1460" i="4"/>
  <c r="AA1461" i="4"/>
  <c r="AA1463" i="4"/>
  <c r="AA1464" i="4"/>
  <c r="AA1465" i="4"/>
  <c r="AA1467" i="4"/>
  <c r="AA1468" i="4"/>
  <c r="AA1469" i="4"/>
  <c r="AA1470" i="4"/>
  <c r="AA1471" i="4"/>
  <c r="AH1472" i="4"/>
  <c r="M1472" i="4"/>
  <c r="G1472" i="4"/>
  <c r="C1472" i="4"/>
  <c r="B1472" i="4"/>
  <c r="AH1471" i="4"/>
  <c r="M1471" i="4"/>
  <c r="G1471" i="4"/>
  <c r="C1471" i="4"/>
  <c r="B1471" i="4"/>
  <c r="AH1470" i="4"/>
  <c r="M1470" i="4"/>
  <c r="G1470" i="4"/>
  <c r="C1470" i="4"/>
  <c r="B1470" i="4"/>
  <c r="AH1469" i="4"/>
  <c r="M1469" i="4"/>
  <c r="G1469" i="4"/>
  <c r="C1469" i="4"/>
  <c r="B1469" i="4"/>
  <c r="AH1468" i="4"/>
  <c r="AC1468" i="4"/>
  <c r="M1468" i="4"/>
  <c r="G1468" i="4"/>
  <c r="C1468" i="4"/>
  <c r="B1468" i="4"/>
  <c r="AH1467" i="4"/>
  <c r="M1467" i="4"/>
  <c r="G1467" i="4"/>
  <c r="C1467" i="4"/>
  <c r="B1467" i="4"/>
  <c r="AH1466" i="4"/>
  <c r="AB1466" i="4"/>
  <c r="AA1466" i="4"/>
  <c r="M1466" i="4"/>
  <c r="G1466" i="4"/>
  <c r="C1466" i="4"/>
  <c r="B1466" i="4"/>
  <c r="AH1465" i="4"/>
  <c r="M1465" i="4"/>
  <c r="G1465" i="4"/>
  <c r="C1465" i="4"/>
  <c r="B1465" i="4"/>
  <c r="AH1464" i="4"/>
  <c r="M1464" i="4"/>
  <c r="G1464" i="4"/>
  <c r="C1464" i="4"/>
  <c r="B1464" i="4"/>
  <c r="AH1463" i="4"/>
  <c r="M1463" i="4"/>
  <c r="G1463" i="4"/>
  <c r="C1463" i="4"/>
  <c r="B1463" i="4"/>
  <c r="AH1462" i="4"/>
  <c r="M1462" i="4"/>
  <c r="G1462" i="4"/>
  <c r="C1462" i="4"/>
  <c r="B1462" i="4"/>
  <c r="AH1461" i="4"/>
  <c r="M1461" i="4"/>
  <c r="G1461" i="4"/>
  <c r="C1461" i="4"/>
  <c r="B1461" i="4"/>
  <c r="A1461" i="4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H1460" i="4"/>
  <c r="M1460" i="4"/>
  <c r="G1460" i="4"/>
  <c r="C1460" i="4"/>
  <c r="B1460" i="4"/>
  <c r="A1460" i="4"/>
  <c r="G107" i="6"/>
  <c r="I107" i="6"/>
  <c r="H107" i="7"/>
  <c r="A107" i="7" s="1"/>
  <c r="H106" i="7"/>
  <c r="A106" i="7" s="1"/>
  <c r="H105" i="7"/>
  <c r="A105" i="7" s="1"/>
  <c r="F108" i="1"/>
  <c r="AB108" i="1"/>
  <c r="AC108" i="1"/>
  <c r="AD108" i="1"/>
  <c r="AF108" i="1"/>
  <c r="AG108" i="1" s="1"/>
  <c r="AH108" i="1"/>
  <c r="AC1447" i="4"/>
  <c r="AD1448" i="4"/>
  <c r="AB1450" i="4"/>
  <c r="AD1451" i="4"/>
  <c r="AB1452" i="4"/>
  <c r="AD1453" i="4"/>
  <c r="AD1454" i="4"/>
  <c r="AD1455" i="4"/>
  <c r="AD1456" i="4"/>
  <c r="AD1457" i="4"/>
  <c r="AD1458" i="4"/>
  <c r="AA1447" i="4"/>
  <c r="AA1448" i="4"/>
  <c r="AA1450" i="4"/>
  <c r="AA1451" i="4"/>
  <c r="AA1452" i="4"/>
  <c r="AA1453" i="4"/>
  <c r="AA1454" i="4"/>
  <c r="AA1456" i="4"/>
  <c r="AA1457" i="4"/>
  <c r="AH1459" i="4"/>
  <c r="M1459" i="4"/>
  <c r="G1459" i="4"/>
  <c r="C1459" i="4"/>
  <c r="B1459" i="4"/>
  <c r="AH1458" i="4"/>
  <c r="M1458" i="4"/>
  <c r="G1458" i="4"/>
  <c r="C1458" i="4"/>
  <c r="B1458" i="4"/>
  <c r="AH1457" i="4"/>
  <c r="M1457" i="4"/>
  <c r="G1457" i="4"/>
  <c r="C1457" i="4"/>
  <c r="B1457" i="4"/>
  <c r="AH1456" i="4"/>
  <c r="M1456" i="4"/>
  <c r="G1456" i="4"/>
  <c r="C1456" i="4"/>
  <c r="B1456" i="4"/>
  <c r="AH1455" i="4"/>
  <c r="M1455" i="4"/>
  <c r="G1455" i="4"/>
  <c r="C1455" i="4"/>
  <c r="B1455" i="4"/>
  <c r="AH1454" i="4"/>
  <c r="M1454" i="4"/>
  <c r="G1454" i="4"/>
  <c r="C1454" i="4"/>
  <c r="B1454" i="4"/>
  <c r="AH1453" i="4"/>
  <c r="M1453" i="4"/>
  <c r="G1453" i="4"/>
  <c r="C1453" i="4"/>
  <c r="B1453" i="4"/>
  <c r="AH1452" i="4"/>
  <c r="M1452" i="4"/>
  <c r="G1452" i="4"/>
  <c r="C1452" i="4"/>
  <c r="B1452" i="4"/>
  <c r="AH1451" i="4"/>
  <c r="AC1451" i="4"/>
  <c r="M1451" i="4"/>
  <c r="G1451" i="4"/>
  <c r="C1451" i="4"/>
  <c r="B1451" i="4"/>
  <c r="AH1450" i="4"/>
  <c r="M1450" i="4"/>
  <c r="G1450" i="4"/>
  <c r="C1450" i="4"/>
  <c r="B1450" i="4"/>
  <c r="AH1449" i="4"/>
  <c r="M1449" i="4"/>
  <c r="G1449" i="4"/>
  <c r="C1449" i="4"/>
  <c r="B1449" i="4"/>
  <c r="AH1448" i="4"/>
  <c r="M1448" i="4"/>
  <c r="G1448" i="4"/>
  <c r="C1448" i="4"/>
  <c r="B1448" i="4"/>
  <c r="AH1447" i="4"/>
  <c r="M1447" i="4"/>
  <c r="G1447" i="4"/>
  <c r="C1447" i="4"/>
  <c r="B1447" i="4"/>
  <c r="F107" i="1"/>
  <c r="AB107" i="1"/>
  <c r="AC107" i="1"/>
  <c r="AD107" i="1"/>
  <c r="AF107" i="1"/>
  <c r="AG107" i="1" s="1"/>
  <c r="AH107" i="1"/>
  <c r="AE114" i="1" l="1"/>
  <c r="P113" i="6"/>
  <c r="M112" i="7" s="1"/>
  <c r="K1539" i="4"/>
  <c r="Q113" i="6"/>
  <c r="K1546" i="4"/>
  <c r="K1542" i="4"/>
  <c r="K1543" i="4"/>
  <c r="K1547" i="4"/>
  <c r="K1550" i="4"/>
  <c r="AA1540" i="4"/>
  <c r="K1548" i="4"/>
  <c r="AC1540" i="4"/>
  <c r="K1540" i="4"/>
  <c r="AA1550" i="4"/>
  <c r="K1549" i="4"/>
  <c r="AB1549" i="4"/>
  <c r="AI1548" i="4"/>
  <c r="AA1548" i="4"/>
  <c r="AB1548" i="4"/>
  <c r="AC1548" i="4"/>
  <c r="AB1545" i="4"/>
  <c r="K1544" i="4"/>
  <c r="AC1544" i="4"/>
  <c r="AB1542" i="4"/>
  <c r="AC1542" i="4"/>
  <c r="AB1541" i="4"/>
  <c r="AD1540" i="4"/>
  <c r="AI1540" i="4" s="1"/>
  <c r="AC1539" i="4"/>
  <c r="AB1538" i="4"/>
  <c r="K1538" i="4"/>
  <c r="AI1538" i="4"/>
  <c r="AI1526" i="4"/>
  <c r="AD1544" i="4"/>
  <c r="AI1544" i="4" s="1"/>
  <c r="AI1492" i="4"/>
  <c r="AI1530" i="4"/>
  <c r="AI1531" i="4"/>
  <c r="AB1546" i="4"/>
  <c r="AC1546" i="4"/>
  <c r="AI1532" i="4"/>
  <c r="AD1546" i="4"/>
  <c r="AI1546" i="4" s="1"/>
  <c r="AB1550" i="4"/>
  <c r="AI1520" i="4"/>
  <c r="AI1535" i="4"/>
  <c r="AA1544" i="4"/>
  <c r="AC1550" i="4"/>
  <c r="F112" i="7"/>
  <c r="G112" i="7" s="1"/>
  <c r="C112" i="7"/>
  <c r="B112" i="7"/>
  <c r="C113" i="6"/>
  <c r="B113" i="6"/>
  <c r="AE112" i="1"/>
  <c r="AB1536" i="4"/>
  <c r="AB1533" i="4"/>
  <c r="AB1530" i="4"/>
  <c r="AB1529" i="4"/>
  <c r="AI1508" i="4"/>
  <c r="AI1519" i="4"/>
  <c r="AI1510" i="4"/>
  <c r="AI1517" i="4"/>
  <c r="AI1489" i="4"/>
  <c r="AI1523" i="4"/>
  <c r="AI1515" i="4"/>
  <c r="AA1532" i="4"/>
  <c r="AB1532" i="4"/>
  <c r="AI1507" i="4"/>
  <c r="AI1518" i="4"/>
  <c r="AI1521" i="4"/>
  <c r="AI1512" i="4"/>
  <c r="AC1532" i="4"/>
  <c r="AI1493" i="4"/>
  <c r="B111" i="7"/>
  <c r="AB1523" i="4"/>
  <c r="AB1515" i="4"/>
  <c r="AA1523" i="4"/>
  <c r="AA1515" i="4"/>
  <c r="AB1521" i="4"/>
  <c r="AB1512" i="4"/>
  <c r="AA1521" i="4"/>
  <c r="AA1512" i="4"/>
  <c r="AD1522" i="4"/>
  <c r="AI1522" i="4" s="1"/>
  <c r="AA1513" i="4"/>
  <c r="AA1522" i="4"/>
  <c r="AC1523" i="4"/>
  <c r="AC1522" i="4"/>
  <c r="AC1521" i="4"/>
  <c r="AC1517" i="4"/>
  <c r="AB1516" i="4"/>
  <c r="AC1515" i="4"/>
  <c r="AB1513" i="4"/>
  <c r="AD1513" i="4"/>
  <c r="AI1513" i="4" s="1"/>
  <c r="AC1512" i="4"/>
  <c r="AI1504" i="4"/>
  <c r="AI1502" i="4"/>
  <c r="AI1503" i="4"/>
  <c r="AI1500" i="4"/>
  <c r="AI1499" i="4"/>
  <c r="AA1519" i="4"/>
  <c r="AB1519" i="4"/>
  <c r="AI1506" i="4"/>
  <c r="AC1519" i="4"/>
  <c r="C125" i="14"/>
  <c r="C123" i="14"/>
  <c r="C111" i="14"/>
  <c r="C105" i="14"/>
  <c r="C104" i="14"/>
  <c r="AI1509" i="4"/>
  <c r="AC1507" i="4"/>
  <c r="AI1505" i="4"/>
  <c r="AB1502" i="4"/>
  <c r="AA1502" i="4"/>
  <c r="AC1502" i="4"/>
  <c r="AB1500" i="4"/>
  <c r="AC1499" i="4"/>
  <c r="AI1478" i="4"/>
  <c r="AI1476" i="4"/>
  <c r="AI1490" i="4"/>
  <c r="AI1497" i="4"/>
  <c r="AI1482" i="4"/>
  <c r="AI1473" i="4"/>
  <c r="AI1486" i="4"/>
  <c r="AI1487" i="4"/>
  <c r="AI1496" i="4"/>
  <c r="AB1507" i="4"/>
  <c r="AI1480" i="4"/>
  <c r="AI1494" i="4"/>
  <c r="F109" i="7"/>
  <c r="G109" i="7" s="1"/>
  <c r="C109" i="7"/>
  <c r="B109" i="7"/>
  <c r="AE111" i="1"/>
  <c r="AE110" i="1"/>
  <c r="AB1497" i="4"/>
  <c r="AC1497" i="4"/>
  <c r="AB1496" i="4"/>
  <c r="AD1495" i="4"/>
  <c r="AI1495" i="4" s="1"/>
  <c r="AB1495" i="4"/>
  <c r="AC1494" i="4"/>
  <c r="AC1493" i="4"/>
  <c r="AC1491" i="4"/>
  <c r="AD1491" i="4"/>
  <c r="AI1491" i="4" s="1"/>
  <c r="AC1490" i="4"/>
  <c r="AB1490" i="4"/>
  <c r="AB1489" i="4"/>
  <c r="AC1487" i="4"/>
  <c r="AB1486" i="4"/>
  <c r="AI1477" i="4"/>
  <c r="AB1494" i="4"/>
  <c r="AI1481" i="4"/>
  <c r="AB1493" i="4"/>
  <c r="F108" i="7"/>
  <c r="G108" i="7" s="1"/>
  <c r="C108" i="7"/>
  <c r="B108" i="7"/>
  <c r="AE109" i="1"/>
  <c r="AB1484" i="4"/>
  <c r="AD1484" i="4"/>
  <c r="AI1484" i="4" s="1"/>
  <c r="AB1483" i="4"/>
  <c r="AC1483" i="4"/>
  <c r="AI1483" i="4"/>
  <c r="AB1482" i="4"/>
  <c r="AC1482" i="4"/>
  <c r="AC1481" i="4"/>
  <c r="AB1480" i="4"/>
  <c r="AC1480" i="4"/>
  <c r="AC1479" i="4"/>
  <c r="AI1479" i="4"/>
  <c r="AB1476" i="4"/>
  <c r="AC1476" i="4"/>
  <c r="AC1474" i="4"/>
  <c r="AD1474" i="4"/>
  <c r="AI1474" i="4" s="1"/>
  <c r="AB1473" i="4"/>
  <c r="AC1473" i="4"/>
  <c r="AI1471" i="4"/>
  <c r="AI1463" i="4"/>
  <c r="AI1461" i="4"/>
  <c r="AB1481" i="4"/>
  <c r="AI1468" i="4"/>
  <c r="AI1467" i="4"/>
  <c r="AI1465" i="4"/>
  <c r="AC1471" i="4"/>
  <c r="AB1471" i="4"/>
  <c r="AB1470" i="4"/>
  <c r="AC1470" i="4"/>
  <c r="AI1470" i="4"/>
  <c r="AC1469" i="4"/>
  <c r="AD1469" i="4"/>
  <c r="AI1469" i="4" s="1"/>
  <c r="AB1467" i="4"/>
  <c r="AC1467" i="4"/>
  <c r="AI1466" i="4"/>
  <c r="AC1466" i="4"/>
  <c r="AB1465" i="4"/>
  <c r="AC1465" i="4"/>
  <c r="AD1464" i="4"/>
  <c r="AI1464" i="4" s="1"/>
  <c r="AB1464" i="4"/>
  <c r="AB1463" i="4"/>
  <c r="AC1463" i="4"/>
  <c r="AB1461" i="4"/>
  <c r="AC1461" i="4"/>
  <c r="AC1460" i="4"/>
  <c r="AD1460" i="4"/>
  <c r="AI1460" i="4" s="1"/>
  <c r="AB1468" i="4"/>
  <c r="AI1455" i="4"/>
  <c r="F107" i="7"/>
  <c r="G107" i="7" s="1"/>
  <c r="C107" i="7"/>
  <c r="B107" i="7"/>
  <c r="F106" i="7"/>
  <c r="G106" i="7" s="1"/>
  <c r="C106" i="7"/>
  <c r="B106" i="7"/>
  <c r="F105" i="7"/>
  <c r="G105" i="7" s="1"/>
  <c r="C105" i="7"/>
  <c r="B105" i="7"/>
  <c r="AE108" i="1"/>
  <c r="AI1454" i="4"/>
  <c r="AI1451" i="4"/>
  <c r="AI1458" i="4"/>
  <c r="AI1457" i="4"/>
  <c r="AA1458" i="4"/>
  <c r="AB1458" i="4"/>
  <c r="AC1458" i="4"/>
  <c r="AB1457" i="4"/>
  <c r="AC1457" i="4"/>
  <c r="AI1456" i="4"/>
  <c r="AB1456" i="4"/>
  <c r="AC1456" i="4"/>
  <c r="AC1454" i="4"/>
  <c r="AB1454" i="4"/>
  <c r="AI1453" i="4"/>
  <c r="AB1453" i="4"/>
  <c r="AC1453" i="4"/>
  <c r="AD1452" i="4"/>
  <c r="AI1452" i="4" s="1"/>
  <c r="AC1452" i="4"/>
  <c r="AB1451" i="4"/>
  <c r="AC1450" i="4"/>
  <c r="AD1450" i="4"/>
  <c r="AI1450" i="4" s="1"/>
  <c r="AC1448" i="4"/>
  <c r="AB1448" i="4"/>
  <c r="AI1448" i="4"/>
  <c r="AD1447" i="4"/>
  <c r="AI1447" i="4" s="1"/>
  <c r="AB1447" i="4"/>
  <c r="AA1455" i="4"/>
  <c r="AB1455" i="4"/>
  <c r="AC1455" i="4"/>
  <c r="AE107" i="1"/>
  <c r="AB1434" i="4"/>
  <c r="AD1441" i="4"/>
  <c r="AD1442" i="4"/>
  <c r="AC1445" i="4"/>
  <c r="AA1434" i="4"/>
  <c r="AA1445" i="4"/>
  <c r="AH1446" i="4"/>
  <c r="M1446" i="4"/>
  <c r="G1446" i="4"/>
  <c r="C1446" i="4"/>
  <c r="B1446" i="4"/>
  <c r="AH1445" i="4"/>
  <c r="AD1445" i="4"/>
  <c r="AB1445" i="4"/>
  <c r="M1445" i="4"/>
  <c r="G1445" i="4"/>
  <c r="C1445" i="4"/>
  <c r="B1445" i="4"/>
  <c r="AH1444" i="4"/>
  <c r="AD1444" i="4"/>
  <c r="AC1444" i="4"/>
  <c r="AB1444" i="4"/>
  <c r="AA1444" i="4"/>
  <c r="M1444" i="4"/>
  <c r="G1444" i="4"/>
  <c r="C1444" i="4"/>
  <c r="B1444" i="4"/>
  <c r="AH1443" i="4"/>
  <c r="AD1443" i="4"/>
  <c r="AC1443" i="4"/>
  <c r="AB1443" i="4"/>
  <c r="AA1443" i="4"/>
  <c r="M1443" i="4"/>
  <c r="G1443" i="4"/>
  <c r="C1443" i="4"/>
  <c r="B1443" i="4"/>
  <c r="AH1442" i="4"/>
  <c r="AC1442" i="4"/>
  <c r="AA1442" i="4"/>
  <c r="M1442" i="4"/>
  <c r="G1442" i="4"/>
  <c r="C1442" i="4"/>
  <c r="B1442" i="4"/>
  <c r="AH1441" i="4"/>
  <c r="AC1441" i="4"/>
  <c r="AA1441" i="4"/>
  <c r="M1441" i="4"/>
  <c r="G1441" i="4"/>
  <c r="C1441" i="4"/>
  <c r="B1441" i="4"/>
  <c r="AH1440" i="4"/>
  <c r="AD1440" i="4"/>
  <c r="AC1440" i="4"/>
  <c r="AB1440" i="4"/>
  <c r="AA1440" i="4"/>
  <c r="M1440" i="4"/>
  <c r="G1440" i="4"/>
  <c r="C1440" i="4"/>
  <c r="B1440" i="4"/>
  <c r="AH1439" i="4"/>
  <c r="AD1439" i="4"/>
  <c r="AC1439" i="4"/>
  <c r="AB1439" i="4"/>
  <c r="AA1439" i="4"/>
  <c r="M1439" i="4"/>
  <c r="G1439" i="4"/>
  <c r="C1439" i="4"/>
  <c r="B1439" i="4"/>
  <c r="AH1438" i="4"/>
  <c r="AD1438" i="4"/>
  <c r="AC1438" i="4"/>
  <c r="AB1438" i="4"/>
  <c r="AA1438" i="4"/>
  <c r="M1438" i="4"/>
  <c r="G1438" i="4"/>
  <c r="C1438" i="4"/>
  <c r="B1438" i="4"/>
  <c r="AH1437" i="4"/>
  <c r="AD1437" i="4"/>
  <c r="AC1437" i="4"/>
  <c r="AB1437" i="4"/>
  <c r="AA1437" i="4"/>
  <c r="M1437" i="4"/>
  <c r="G1437" i="4"/>
  <c r="C1437" i="4"/>
  <c r="B1437" i="4"/>
  <c r="AH1436" i="4"/>
  <c r="M1436" i="4"/>
  <c r="G1436" i="4"/>
  <c r="C1436" i="4"/>
  <c r="B1436" i="4"/>
  <c r="AH1435" i="4"/>
  <c r="AD1435" i="4"/>
  <c r="AC1435" i="4"/>
  <c r="AB1435" i="4"/>
  <c r="AA1435" i="4"/>
  <c r="M1435" i="4"/>
  <c r="G1435" i="4"/>
  <c r="C1435" i="4"/>
  <c r="B1435" i="4"/>
  <c r="AH1434" i="4"/>
  <c r="M1434" i="4"/>
  <c r="G1434" i="4"/>
  <c r="C1434" i="4"/>
  <c r="B1434" i="4"/>
  <c r="C104" i="7"/>
  <c r="H104" i="7"/>
  <c r="B104" i="7" s="1"/>
  <c r="F106" i="1"/>
  <c r="AB106" i="1"/>
  <c r="AC106" i="1"/>
  <c r="AD106" i="1"/>
  <c r="AF106" i="1"/>
  <c r="AG106" i="1" s="1"/>
  <c r="AH106" i="1"/>
  <c r="J112" i="7" l="1"/>
  <c r="K112" i="7"/>
  <c r="L112" i="7"/>
  <c r="P112" i="7"/>
  <c r="O112" i="7"/>
  <c r="N112" i="7"/>
  <c r="U112" i="7"/>
  <c r="R112" i="7"/>
  <c r="T112" i="7"/>
  <c r="Q112" i="7"/>
  <c r="S112" i="7"/>
  <c r="AI1437" i="4"/>
  <c r="AI1439" i="4"/>
  <c r="AI1440" i="4"/>
  <c r="AI1444" i="4"/>
  <c r="AI1442" i="4"/>
  <c r="AI1441" i="4"/>
  <c r="AI1435" i="4"/>
  <c r="AI1438" i="4"/>
  <c r="AI1443" i="4"/>
  <c r="AI1445" i="4"/>
  <c r="AE106" i="1"/>
  <c r="AD1434" i="4"/>
  <c r="AI1434" i="4" s="1"/>
  <c r="AC1434" i="4"/>
  <c r="AB1442" i="4"/>
  <c r="AB1441" i="4"/>
  <c r="A104" i="7"/>
  <c r="F104" i="7"/>
  <c r="G104" i="7" s="1"/>
  <c r="AD1421" i="4" l="1"/>
  <c r="AD1422" i="4"/>
  <c r="AC1425" i="4"/>
  <c r="AD1428" i="4"/>
  <c r="AD1429" i="4"/>
  <c r="AA1422" i="4"/>
  <c r="AA1425" i="4"/>
  <c r="AA1426" i="4"/>
  <c r="AH1433" i="4"/>
  <c r="M1433" i="4"/>
  <c r="G1433" i="4"/>
  <c r="C1433" i="4"/>
  <c r="B1433" i="4"/>
  <c r="AH1432" i="4"/>
  <c r="AD1432" i="4"/>
  <c r="AC1432" i="4"/>
  <c r="AB1432" i="4"/>
  <c r="AA1432" i="4"/>
  <c r="M1432" i="4"/>
  <c r="G1432" i="4"/>
  <c r="C1432" i="4"/>
  <c r="B1432" i="4"/>
  <c r="AH1431" i="4"/>
  <c r="AD1431" i="4"/>
  <c r="AC1431" i="4"/>
  <c r="AB1431" i="4"/>
  <c r="AA1431" i="4"/>
  <c r="M1431" i="4"/>
  <c r="G1431" i="4"/>
  <c r="C1431" i="4"/>
  <c r="B1431" i="4"/>
  <c r="AH1430" i="4"/>
  <c r="AD1430" i="4"/>
  <c r="AC1430" i="4"/>
  <c r="AB1430" i="4"/>
  <c r="AA1430" i="4"/>
  <c r="M1430" i="4"/>
  <c r="G1430" i="4"/>
  <c r="C1430" i="4"/>
  <c r="B1430" i="4"/>
  <c r="AH1429" i="4"/>
  <c r="M1429" i="4"/>
  <c r="G1429" i="4"/>
  <c r="C1429" i="4"/>
  <c r="B1429" i="4"/>
  <c r="AH1428" i="4"/>
  <c r="AC1428" i="4"/>
  <c r="AB1428" i="4"/>
  <c r="M1428" i="4"/>
  <c r="G1428" i="4"/>
  <c r="C1428" i="4"/>
  <c r="B1428" i="4"/>
  <c r="AH1427" i="4"/>
  <c r="AD1427" i="4"/>
  <c r="AC1427" i="4"/>
  <c r="AB1427" i="4"/>
  <c r="AA1427" i="4"/>
  <c r="M1427" i="4"/>
  <c r="G1427" i="4"/>
  <c r="C1427" i="4"/>
  <c r="B1427" i="4"/>
  <c r="AH1426" i="4"/>
  <c r="AD1426" i="4"/>
  <c r="AC1426" i="4"/>
  <c r="AB1426" i="4"/>
  <c r="M1426" i="4"/>
  <c r="G1426" i="4"/>
  <c r="C1426" i="4"/>
  <c r="B1426" i="4"/>
  <c r="AH1425" i="4"/>
  <c r="M1425" i="4"/>
  <c r="G1425" i="4"/>
  <c r="C1425" i="4"/>
  <c r="B1425" i="4"/>
  <c r="AH1424" i="4"/>
  <c r="AD1424" i="4"/>
  <c r="AC1424" i="4"/>
  <c r="AB1424" i="4"/>
  <c r="AA1424" i="4"/>
  <c r="M1424" i="4"/>
  <c r="G1424" i="4"/>
  <c r="C1424" i="4"/>
  <c r="B1424" i="4"/>
  <c r="AH1423" i="4"/>
  <c r="M1423" i="4"/>
  <c r="G1423" i="4"/>
  <c r="C1423" i="4"/>
  <c r="B1423" i="4"/>
  <c r="AH1422" i="4"/>
  <c r="M1422" i="4"/>
  <c r="G1422" i="4"/>
  <c r="C1422" i="4"/>
  <c r="B1422" i="4"/>
  <c r="AH1421" i="4"/>
  <c r="AA1421" i="4"/>
  <c r="M1421" i="4"/>
  <c r="G1421" i="4"/>
  <c r="C1421" i="4"/>
  <c r="B1421" i="4"/>
  <c r="F105" i="1"/>
  <c r="AB105" i="1"/>
  <c r="AC105" i="1"/>
  <c r="AD105" i="1"/>
  <c r="AF105" i="1"/>
  <c r="AG105" i="1" s="1"/>
  <c r="AH105" i="1"/>
  <c r="AD1408" i="4"/>
  <c r="AD1409" i="4"/>
  <c r="AD1411" i="4"/>
  <c r="AD1414" i="4"/>
  <c r="AD1415" i="4"/>
  <c r="AD1416" i="4"/>
  <c r="AD1417" i="4"/>
  <c r="AD1418" i="4"/>
  <c r="AD1419" i="4"/>
  <c r="AA1412" i="4"/>
  <c r="AA1414" i="4"/>
  <c r="AA1415" i="4"/>
  <c r="AA1416" i="4"/>
  <c r="AH1420" i="4"/>
  <c r="M1420" i="4"/>
  <c r="G1420" i="4"/>
  <c r="C1420" i="4"/>
  <c r="B1420" i="4"/>
  <c r="AH1419" i="4"/>
  <c r="M1419" i="4"/>
  <c r="G1419" i="4"/>
  <c r="C1419" i="4"/>
  <c r="B1419" i="4"/>
  <c r="AH1418" i="4"/>
  <c r="M1418" i="4"/>
  <c r="G1418" i="4"/>
  <c r="C1418" i="4"/>
  <c r="B1418" i="4"/>
  <c r="AH1417" i="4"/>
  <c r="M1417" i="4"/>
  <c r="G1417" i="4"/>
  <c r="C1417" i="4"/>
  <c r="B1417" i="4"/>
  <c r="AH1416" i="4"/>
  <c r="AC1416" i="4"/>
  <c r="M1416" i="4"/>
  <c r="G1416" i="4"/>
  <c r="C1416" i="4"/>
  <c r="B1416" i="4"/>
  <c r="AH1415" i="4"/>
  <c r="M1415" i="4"/>
  <c r="G1415" i="4"/>
  <c r="C1415" i="4"/>
  <c r="B1415" i="4"/>
  <c r="AH1414" i="4"/>
  <c r="AC1414" i="4"/>
  <c r="AB1414" i="4"/>
  <c r="M1414" i="4"/>
  <c r="G1414" i="4"/>
  <c r="C1414" i="4"/>
  <c r="B1414" i="4"/>
  <c r="AH1413" i="4"/>
  <c r="AD1413" i="4"/>
  <c r="AC1413" i="4"/>
  <c r="AB1413" i="4"/>
  <c r="AA1413" i="4"/>
  <c r="M1413" i="4"/>
  <c r="G1413" i="4"/>
  <c r="C1413" i="4"/>
  <c r="B1413" i="4"/>
  <c r="AH1412" i="4"/>
  <c r="AD1412" i="4"/>
  <c r="AC1412" i="4"/>
  <c r="AB1412" i="4"/>
  <c r="M1412" i="4"/>
  <c r="G1412" i="4"/>
  <c r="C1412" i="4"/>
  <c r="B1412" i="4"/>
  <c r="AH1411" i="4"/>
  <c r="M1411" i="4"/>
  <c r="G1411" i="4"/>
  <c r="C1411" i="4"/>
  <c r="B1411" i="4"/>
  <c r="AH1410" i="4"/>
  <c r="M1410" i="4"/>
  <c r="G1410" i="4"/>
  <c r="C1410" i="4"/>
  <c r="B1410" i="4"/>
  <c r="AH1409" i="4"/>
  <c r="M1409" i="4"/>
  <c r="G1409" i="4"/>
  <c r="C1409" i="4"/>
  <c r="B1409" i="4"/>
  <c r="AH1408" i="4"/>
  <c r="M1408" i="4"/>
  <c r="G1408" i="4"/>
  <c r="C1408" i="4"/>
  <c r="B1408" i="4"/>
  <c r="H103" i="7"/>
  <c r="A103" i="7" s="1"/>
  <c r="B102" i="7"/>
  <c r="A102" i="7"/>
  <c r="C102" i="7"/>
  <c r="F102" i="7"/>
  <c r="G102" i="7" s="1"/>
  <c r="H102" i="7"/>
  <c r="H101" i="7"/>
  <c r="A101" i="7" s="1"/>
  <c r="G106" i="6"/>
  <c r="I106" i="6"/>
  <c r="G105" i="6"/>
  <c r="I105" i="6"/>
  <c r="G104" i="6"/>
  <c r="I104" i="6"/>
  <c r="G103" i="6"/>
  <c r="I103" i="6"/>
  <c r="F104" i="1"/>
  <c r="AB104" i="1"/>
  <c r="AC104" i="1"/>
  <c r="AD104" i="1"/>
  <c r="AF104" i="1"/>
  <c r="AG104" i="1" s="1"/>
  <c r="AH104" i="1"/>
  <c r="A103" i="14"/>
  <c r="G103" i="14"/>
  <c r="H103" i="14"/>
  <c r="C103" i="14" s="1"/>
  <c r="Q103" i="14"/>
  <c r="AD1395" i="4"/>
  <c r="AD1396" i="4"/>
  <c r="AD1398" i="4"/>
  <c r="AD1400" i="4"/>
  <c r="AC1401" i="4"/>
  <c r="AD1402" i="4"/>
  <c r="AC1403" i="4"/>
  <c r="AD1404" i="4"/>
  <c r="AD1405" i="4"/>
  <c r="AD1406" i="4"/>
  <c r="AA1395" i="4"/>
  <c r="AA1396" i="4"/>
  <c r="AA1398" i="4"/>
  <c r="AA1400" i="4"/>
  <c r="AA1401" i="4"/>
  <c r="AA1402" i="4"/>
  <c r="AA1405" i="4"/>
  <c r="AA1406" i="4"/>
  <c r="AH1407" i="4"/>
  <c r="M1407" i="4"/>
  <c r="G1407" i="4"/>
  <c r="C1407" i="4"/>
  <c r="B1407" i="4"/>
  <c r="AH1406" i="4"/>
  <c r="M1406" i="4"/>
  <c r="G1406" i="4"/>
  <c r="C1406" i="4"/>
  <c r="B1406" i="4"/>
  <c r="AH1405" i="4"/>
  <c r="AC1405" i="4"/>
  <c r="AB1405" i="4"/>
  <c r="M1405" i="4"/>
  <c r="G1405" i="4"/>
  <c r="C1405" i="4"/>
  <c r="B1405" i="4"/>
  <c r="AH1404" i="4"/>
  <c r="AC1404" i="4"/>
  <c r="AB1404" i="4"/>
  <c r="AA1404" i="4"/>
  <c r="M1404" i="4"/>
  <c r="G1404" i="4"/>
  <c r="C1404" i="4"/>
  <c r="B1404" i="4"/>
  <c r="AH1403" i="4"/>
  <c r="M1403" i="4"/>
  <c r="G1403" i="4"/>
  <c r="C1403" i="4"/>
  <c r="B1403" i="4"/>
  <c r="AH1402" i="4"/>
  <c r="M1402" i="4"/>
  <c r="G1402" i="4"/>
  <c r="C1402" i="4"/>
  <c r="B1402" i="4"/>
  <c r="AH1401" i="4"/>
  <c r="M1401" i="4"/>
  <c r="G1401" i="4"/>
  <c r="C1401" i="4"/>
  <c r="B1401" i="4"/>
  <c r="AH1400" i="4"/>
  <c r="M1400" i="4"/>
  <c r="G1400" i="4"/>
  <c r="C1400" i="4"/>
  <c r="B1400" i="4"/>
  <c r="AH1399" i="4"/>
  <c r="AD1399" i="4"/>
  <c r="AC1399" i="4"/>
  <c r="AB1399" i="4"/>
  <c r="AA1399" i="4"/>
  <c r="M1399" i="4"/>
  <c r="G1399" i="4"/>
  <c r="C1399" i="4"/>
  <c r="B1399" i="4"/>
  <c r="AH1398" i="4"/>
  <c r="M1398" i="4"/>
  <c r="G1398" i="4"/>
  <c r="C1398" i="4"/>
  <c r="B1398" i="4"/>
  <c r="AH1397" i="4"/>
  <c r="M1397" i="4"/>
  <c r="G1397" i="4"/>
  <c r="C1397" i="4"/>
  <c r="B1397" i="4"/>
  <c r="AH1396" i="4"/>
  <c r="M1396" i="4"/>
  <c r="G1396" i="4"/>
  <c r="C1396" i="4"/>
  <c r="B1396" i="4"/>
  <c r="AH1395" i="4"/>
  <c r="M1395" i="4"/>
  <c r="G1395" i="4"/>
  <c r="C1395" i="4"/>
  <c r="B1395" i="4"/>
  <c r="AI1424" i="4" l="1"/>
  <c r="AE105" i="1"/>
  <c r="AE104" i="1"/>
  <c r="AI1402" i="4"/>
  <c r="AI1427" i="4"/>
  <c r="AI1417" i="4"/>
  <c r="AI1429" i="4"/>
  <c r="AI1416" i="4"/>
  <c r="AI1428" i="4"/>
  <c r="AI1398" i="4"/>
  <c r="AI1422" i="4"/>
  <c r="AI1405" i="4"/>
  <c r="AI1411" i="4"/>
  <c r="AI1430" i="4"/>
  <c r="AI1421" i="4"/>
  <c r="AI1431" i="4"/>
  <c r="AI1419" i="4"/>
  <c r="AI1408" i="4"/>
  <c r="AI1426" i="4"/>
  <c r="AI1432" i="4"/>
  <c r="AA1429" i="4"/>
  <c r="AB1429" i="4"/>
  <c r="AC1429" i="4"/>
  <c r="AB1425" i="4"/>
  <c r="AD1425" i="4"/>
  <c r="AI1425" i="4" s="1"/>
  <c r="AA1428" i="4"/>
  <c r="AB1422" i="4"/>
  <c r="AC1422" i="4"/>
  <c r="AB1421" i="4"/>
  <c r="AC1421" i="4"/>
  <c r="AI1412" i="4"/>
  <c r="AI1413" i="4"/>
  <c r="AI1415" i="4"/>
  <c r="AI1414" i="4"/>
  <c r="AI1399" i="4"/>
  <c r="AI1409" i="4"/>
  <c r="AI1418" i="4"/>
  <c r="AA1417" i="4"/>
  <c r="AB1411" i="4"/>
  <c r="AB1419" i="4"/>
  <c r="AC1411" i="4"/>
  <c r="AC1419" i="4"/>
  <c r="AA1419" i="4"/>
  <c r="AA1411" i="4"/>
  <c r="AC1415" i="4"/>
  <c r="AC1417" i="4"/>
  <c r="AB1417" i="4"/>
  <c r="AA1408" i="4"/>
  <c r="AA1418" i="4"/>
  <c r="AB1418" i="4"/>
  <c r="AC1418" i="4"/>
  <c r="AA1409" i="4"/>
  <c r="AB1409" i="4"/>
  <c r="AC1409" i="4"/>
  <c r="AB1408" i="4"/>
  <c r="AC1408" i="4"/>
  <c r="AB1416" i="4"/>
  <c r="AI1396" i="4"/>
  <c r="AB1415" i="4"/>
  <c r="F103" i="7"/>
  <c r="G103" i="7" s="1"/>
  <c r="C103" i="7"/>
  <c r="B103" i="7"/>
  <c r="F101" i="7"/>
  <c r="G101" i="7" s="1"/>
  <c r="C101" i="7"/>
  <c r="B101" i="7"/>
  <c r="B103" i="14"/>
  <c r="AI1406" i="4"/>
  <c r="AB1406" i="4"/>
  <c r="AC1406" i="4"/>
  <c r="AI1404" i="4"/>
  <c r="AB1403" i="4"/>
  <c r="AD1403" i="4"/>
  <c r="AI1403" i="4" s="1"/>
  <c r="AB1402" i="4"/>
  <c r="AC1402" i="4"/>
  <c r="AD1401" i="4"/>
  <c r="AI1401" i="4" s="1"/>
  <c r="AB1401" i="4"/>
  <c r="AI1400" i="4"/>
  <c r="AB1400" i="4"/>
  <c r="AC1400" i="4"/>
  <c r="AC1398" i="4"/>
  <c r="AB1398" i="4"/>
  <c r="AB1396" i="4"/>
  <c r="AC1396" i="4"/>
  <c r="AI1395" i="4"/>
  <c r="AB1395" i="4"/>
  <c r="AC1395" i="4"/>
  <c r="AA1403" i="4"/>
  <c r="F103" i="1"/>
  <c r="AB103" i="1"/>
  <c r="AC103" i="1"/>
  <c r="AD103" i="1"/>
  <c r="AF103" i="1"/>
  <c r="AG103" i="1" s="1"/>
  <c r="AH103" i="1"/>
  <c r="C101" i="15"/>
  <c r="H100" i="7"/>
  <c r="A100" i="7" s="1"/>
  <c r="G102" i="6"/>
  <c r="I102" i="6"/>
  <c r="AD1382" i="4"/>
  <c r="AC1383" i="4"/>
  <c r="AC1385" i="4"/>
  <c r="AB1386" i="4"/>
  <c r="AD1387" i="4"/>
  <c r="AB1388" i="4"/>
  <c r="AD1389" i="4"/>
  <c r="AD1390" i="4"/>
  <c r="AB1391" i="4"/>
  <c r="AC1393" i="4"/>
  <c r="AA1382" i="4"/>
  <c r="AA1383" i="4"/>
  <c r="AA1385" i="4"/>
  <c r="AA1386" i="4"/>
  <c r="AA1387" i="4"/>
  <c r="AA1388" i="4"/>
  <c r="AA1390" i="4"/>
  <c r="AA1391" i="4"/>
  <c r="AA1393" i="4"/>
  <c r="AH1394" i="4"/>
  <c r="M1394" i="4"/>
  <c r="G1394" i="4"/>
  <c r="C1394" i="4"/>
  <c r="B1394" i="4"/>
  <c r="AH1393" i="4"/>
  <c r="M1393" i="4"/>
  <c r="G1393" i="4"/>
  <c r="C1393" i="4"/>
  <c r="B1393" i="4"/>
  <c r="AH1392" i="4"/>
  <c r="AD1392" i="4"/>
  <c r="AC1392" i="4"/>
  <c r="AB1392" i="4"/>
  <c r="AA1392" i="4"/>
  <c r="M1392" i="4"/>
  <c r="G1392" i="4"/>
  <c r="C1392" i="4"/>
  <c r="B1392" i="4"/>
  <c r="AH1391" i="4"/>
  <c r="M1391" i="4"/>
  <c r="G1391" i="4"/>
  <c r="C1391" i="4"/>
  <c r="B1391" i="4"/>
  <c r="AH1390" i="4"/>
  <c r="M1390" i="4"/>
  <c r="G1390" i="4"/>
  <c r="C1390" i="4"/>
  <c r="B1390" i="4"/>
  <c r="AH1389" i="4"/>
  <c r="AA1389" i="4"/>
  <c r="M1389" i="4"/>
  <c r="G1389" i="4"/>
  <c r="C1389" i="4"/>
  <c r="B1389" i="4"/>
  <c r="AH1388" i="4"/>
  <c r="AD1388" i="4"/>
  <c r="AC1388" i="4"/>
  <c r="M1388" i="4"/>
  <c r="G1388" i="4"/>
  <c r="C1388" i="4"/>
  <c r="B1388" i="4"/>
  <c r="AH1387" i="4"/>
  <c r="M1387" i="4"/>
  <c r="G1387" i="4"/>
  <c r="C1387" i="4"/>
  <c r="B1387" i="4"/>
  <c r="AH1386" i="4"/>
  <c r="AD1386" i="4"/>
  <c r="AC1386" i="4"/>
  <c r="M1386" i="4"/>
  <c r="G1386" i="4"/>
  <c r="C1386" i="4"/>
  <c r="B1386" i="4"/>
  <c r="AH1385" i="4"/>
  <c r="AD1385" i="4"/>
  <c r="M1385" i="4"/>
  <c r="G1385" i="4"/>
  <c r="C1385" i="4"/>
  <c r="B1385" i="4"/>
  <c r="AH1384" i="4"/>
  <c r="M1384" i="4"/>
  <c r="G1384" i="4"/>
  <c r="C1384" i="4"/>
  <c r="B1384" i="4"/>
  <c r="AH1383" i="4"/>
  <c r="AD1383" i="4"/>
  <c r="AB1383" i="4"/>
  <c r="M1383" i="4"/>
  <c r="G1383" i="4"/>
  <c r="C1383" i="4"/>
  <c r="B1383" i="4"/>
  <c r="AH1382" i="4"/>
  <c r="AB1382" i="4"/>
  <c r="M1382" i="4"/>
  <c r="G1382" i="4"/>
  <c r="C1382" i="4"/>
  <c r="B1382" i="4"/>
  <c r="F102" i="1"/>
  <c r="AB102" i="1"/>
  <c r="AC102" i="1"/>
  <c r="AD102" i="1"/>
  <c r="AF102" i="1"/>
  <c r="AG102" i="1" s="1"/>
  <c r="AH102" i="1"/>
  <c r="C100" i="15"/>
  <c r="AD1369" i="4"/>
  <c r="AD1370" i="4"/>
  <c r="AD1372" i="4"/>
  <c r="AD1373" i="4"/>
  <c r="AB1374" i="4"/>
  <c r="AC1375" i="4"/>
  <c r="AD1376" i="4"/>
  <c r="AD1377" i="4"/>
  <c r="AB1378" i="4"/>
  <c r="AD1379" i="4"/>
  <c r="AC1380" i="4"/>
  <c r="AA1370" i="4"/>
  <c r="AA1372" i="4"/>
  <c r="AA1373" i="4"/>
  <c r="AA1378" i="4"/>
  <c r="AA1379" i="4"/>
  <c r="AA1380" i="4"/>
  <c r="AH1381" i="4"/>
  <c r="M1381" i="4"/>
  <c r="G1381" i="4"/>
  <c r="C1381" i="4"/>
  <c r="B1381" i="4"/>
  <c r="AH1380" i="4"/>
  <c r="M1380" i="4"/>
  <c r="G1380" i="4"/>
  <c r="C1380" i="4"/>
  <c r="B1380" i="4"/>
  <c r="AH1379" i="4"/>
  <c r="AB1379" i="4"/>
  <c r="M1379" i="4"/>
  <c r="G1379" i="4"/>
  <c r="C1379" i="4"/>
  <c r="B1379" i="4"/>
  <c r="AH1378" i="4"/>
  <c r="AD1378" i="4"/>
  <c r="AC1378" i="4"/>
  <c r="M1378" i="4"/>
  <c r="G1378" i="4"/>
  <c r="C1378" i="4"/>
  <c r="B1378" i="4"/>
  <c r="AH1377" i="4"/>
  <c r="M1377" i="4"/>
  <c r="G1377" i="4"/>
  <c r="C1377" i="4"/>
  <c r="B1377" i="4"/>
  <c r="AH1376" i="4"/>
  <c r="M1376" i="4"/>
  <c r="G1376" i="4"/>
  <c r="C1376" i="4"/>
  <c r="B1376" i="4"/>
  <c r="AH1375" i="4"/>
  <c r="M1375" i="4"/>
  <c r="G1375" i="4"/>
  <c r="C1375" i="4"/>
  <c r="B1375" i="4"/>
  <c r="AH1374" i="4"/>
  <c r="M1374" i="4"/>
  <c r="G1374" i="4"/>
  <c r="C1374" i="4"/>
  <c r="B1374" i="4"/>
  <c r="AH1373" i="4"/>
  <c r="AC1373" i="4"/>
  <c r="AB1373" i="4"/>
  <c r="M1373" i="4"/>
  <c r="G1373" i="4"/>
  <c r="C1373" i="4"/>
  <c r="B1373" i="4"/>
  <c r="AH1372" i="4"/>
  <c r="AB1372" i="4"/>
  <c r="M1372" i="4"/>
  <c r="G1372" i="4"/>
  <c r="C1372" i="4"/>
  <c r="B1372" i="4"/>
  <c r="AH1371" i="4"/>
  <c r="M1371" i="4"/>
  <c r="G1371" i="4"/>
  <c r="C1371" i="4"/>
  <c r="B1371" i="4"/>
  <c r="AH1370" i="4"/>
  <c r="AC1370" i="4"/>
  <c r="M1370" i="4"/>
  <c r="G1370" i="4"/>
  <c r="C1370" i="4"/>
  <c r="B1370" i="4"/>
  <c r="AH1369" i="4"/>
  <c r="AB1369" i="4"/>
  <c r="AA1369" i="4"/>
  <c r="M1369" i="4"/>
  <c r="G1369" i="4"/>
  <c r="C1369" i="4"/>
  <c r="B1369" i="4"/>
  <c r="H99" i="7"/>
  <c r="A99" i="7" s="1"/>
  <c r="G101" i="6"/>
  <c r="I101" i="6"/>
  <c r="F101" i="1"/>
  <c r="AB101" i="1"/>
  <c r="AC101" i="1"/>
  <c r="AD101" i="1"/>
  <c r="AF101" i="1"/>
  <c r="AG101" i="1" s="1"/>
  <c r="AH101" i="1"/>
  <c r="AH1368" i="4"/>
  <c r="M1368" i="4"/>
  <c r="G1368" i="4"/>
  <c r="C1368" i="4"/>
  <c r="B1368" i="4"/>
  <c r="AH1367" i="4"/>
  <c r="AA1367" i="4"/>
  <c r="AD1367" i="4"/>
  <c r="M1367" i="4"/>
  <c r="G1367" i="4"/>
  <c r="C1367" i="4"/>
  <c r="B1367" i="4"/>
  <c r="AH1366" i="4"/>
  <c r="AD1366" i="4"/>
  <c r="M1366" i="4"/>
  <c r="G1366" i="4"/>
  <c r="C1366" i="4"/>
  <c r="B1366" i="4"/>
  <c r="AH1365" i="4"/>
  <c r="AD1365" i="4"/>
  <c r="M1365" i="4"/>
  <c r="G1365" i="4"/>
  <c r="C1365" i="4"/>
  <c r="B1365" i="4"/>
  <c r="AH1364" i="4"/>
  <c r="AD1364" i="4"/>
  <c r="M1364" i="4"/>
  <c r="G1364" i="4"/>
  <c r="C1364" i="4"/>
  <c r="B1364" i="4"/>
  <c r="AH1363" i="4"/>
  <c r="AD1363" i="4"/>
  <c r="M1363" i="4"/>
  <c r="G1363" i="4"/>
  <c r="C1363" i="4"/>
  <c r="B1363" i="4"/>
  <c r="AH1362" i="4"/>
  <c r="AB1362" i="4"/>
  <c r="M1362" i="4"/>
  <c r="G1362" i="4"/>
  <c r="C1362" i="4"/>
  <c r="B1362" i="4"/>
  <c r="AH1361" i="4"/>
  <c r="AB1361" i="4"/>
  <c r="M1361" i="4"/>
  <c r="G1361" i="4"/>
  <c r="C1361" i="4"/>
  <c r="B1361" i="4"/>
  <c r="AH1360" i="4"/>
  <c r="AB1360" i="4"/>
  <c r="M1360" i="4"/>
  <c r="G1360" i="4"/>
  <c r="C1360" i="4"/>
  <c r="B1360" i="4"/>
  <c r="AH1359" i="4"/>
  <c r="AB1359" i="4"/>
  <c r="M1359" i="4"/>
  <c r="G1359" i="4"/>
  <c r="C1359" i="4"/>
  <c r="B1359" i="4"/>
  <c r="AH1358" i="4"/>
  <c r="M1358" i="4"/>
  <c r="G1358" i="4"/>
  <c r="C1358" i="4"/>
  <c r="B1358" i="4"/>
  <c r="AH1357" i="4"/>
  <c r="AB1357" i="4"/>
  <c r="M1357" i="4"/>
  <c r="G1357" i="4"/>
  <c r="C1357" i="4"/>
  <c r="B1357" i="4"/>
  <c r="AH1356" i="4"/>
  <c r="AB1356" i="4"/>
  <c r="M1356" i="4"/>
  <c r="G1356" i="4"/>
  <c r="C1356" i="4"/>
  <c r="B1356" i="4"/>
  <c r="C98" i="7"/>
  <c r="F98" i="7"/>
  <c r="G98" i="7" s="1"/>
  <c r="H98" i="7"/>
  <c r="A98" i="7" s="1"/>
  <c r="G100" i="6"/>
  <c r="I100" i="6"/>
  <c r="G99" i="6"/>
  <c r="I99" i="6"/>
  <c r="F100" i="1"/>
  <c r="AB100" i="1"/>
  <c r="AC100" i="1"/>
  <c r="AD100" i="1"/>
  <c r="AF100" i="1"/>
  <c r="AG100" i="1" s="1"/>
  <c r="AH100" i="1"/>
  <c r="AH1355" i="4"/>
  <c r="M1355" i="4"/>
  <c r="G1355" i="4"/>
  <c r="C1355" i="4"/>
  <c r="B1355" i="4"/>
  <c r="AH1354" i="4"/>
  <c r="M1354" i="4"/>
  <c r="G1354" i="4"/>
  <c r="C1354" i="4"/>
  <c r="B1354" i="4"/>
  <c r="AH1353" i="4"/>
  <c r="M1353" i="4"/>
  <c r="G1353" i="4"/>
  <c r="C1353" i="4"/>
  <c r="B1353" i="4"/>
  <c r="AH1352" i="4"/>
  <c r="M1352" i="4"/>
  <c r="G1352" i="4"/>
  <c r="C1352" i="4"/>
  <c r="B1352" i="4"/>
  <c r="AH1351" i="4"/>
  <c r="M1351" i="4"/>
  <c r="G1351" i="4"/>
  <c r="C1351" i="4"/>
  <c r="B1351" i="4"/>
  <c r="AH1350" i="4"/>
  <c r="M1350" i="4"/>
  <c r="G1350" i="4"/>
  <c r="C1350" i="4"/>
  <c r="B1350" i="4"/>
  <c r="AH1349" i="4"/>
  <c r="M1349" i="4"/>
  <c r="G1349" i="4"/>
  <c r="C1349" i="4"/>
  <c r="B1349" i="4"/>
  <c r="AH1348" i="4"/>
  <c r="M1348" i="4"/>
  <c r="G1348" i="4"/>
  <c r="C1348" i="4"/>
  <c r="B1348" i="4"/>
  <c r="AH1347" i="4"/>
  <c r="M1347" i="4"/>
  <c r="G1347" i="4"/>
  <c r="C1347" i="4"/>
  <c r="B1347" i="4"/>
  <c r="AH1346" i="4"/>
  <c r="M1346" i="4"/>
  <c r="G1346" i="4"/>
  <c r="C1346" i="4"/>
  <c r="B1346" i="4"/>
  <c r="AH1345" i="4"/>
  <c r="M1345" i="4"/>
  <c r="G1345" i="4"/>
  <c r="C1345" i="4"/>
  <c r="B1345" i="4"/>
  <c r="AH1344" i="4"/>
  <c r="M1344" i="4"/>
  <c r="G1344" i="4"/>
  <c r="C1344" i="4"/>
  <c r="B1344" i="4"/>
  <c r="AH1343" i="4"/>
  <c r="M1343" i="4"/>
  <c r="G1343" i="4"/>
  <c r="C1343" i="4"/>
  <c r="B1343" i="4"/>
  <c r="A97" i="7"/>
  <c r="C97" i="7"/>
  <c r="F97" i="7"/>
  <c r="G97" i="7" s="1"/>
  <c r="H97" i="7"/>
  <c r="B97" i="7" s="1"/>
  <c r="G98" i="6"/>
  <c r="I98" i="6"/>
  <c r="F99" i="1"/>
  <c r="AB99" i="1"/>
  <c r="AC99" i="1"/>
  <c r="AD99" i="1"/>
  <c r="AF99" i="1"/>
  <c r="AG99" i="1" s="1"/>
  <c r="AH99" i="1"/>
  <c r="AD1330" i="4"/>
  <c r="AD1331" i="4"/>
  <c r="AD1333" i="4"/>
  <c r="AD1334" i="4"/>
  <c r="AB1335" i="4"/>
  <c r="AB1336" i="4"/>
  <c r="AC1337" i="4"/>
  <c r="AD1338" i="4"/>
  <c r="AC1339" i="4"/>
  <c r="AD1340" i="4"/>
  <c r="AB1341" i="4"/>
  <c r="AA1331" i="4"/>
  <c r="AA1333" i="4"/>
  <c r="AA1334" i="4"/>
  <c r="AA1335" i="4"/>
  <c r="AA1336" i="4"/>
  <c r="AA1337" i="4"/>
  <c r="AA1338" i="4"/>
  <c r="AA1339" i="4"/>
  <c r="AA1341" i="4"/>
  <c r="AH1342" i="4"/>
  <c r="M1342" i="4"/>
  <c r="G1342" i="4"/>
  <c r="C1342" i="4"/>
  <c r="B1342" i="4"/>
  <c r="AH1341" i="4"/>
  <c r="M1341" i="4"/>
  <c r="G1341" i="4"/>
  <c r="C1341" i="4"/>
  <c r="B1341" i="4"/>
  <c r="AH1340" i="4"/>
  <c r="M1340" i="4"/>
  <c r="G1340" i="4"/>
  <c r="C1340" i="4"/>
  <c r="B1340" i="4"/>
  <c r="AH1339" i="4"/>
  <c r="M1339" i="4"/>
  <c r="G1339" i="4"/>
  <c r="C1339" i="4"/>
  <c r="B1339" i="4"/>
  <c r="AH1338" i="4"/>
  <c r="M1338" i="4"/>
  <c r="G1338" i="4"/>
  <c r="C1338" i="4"/>
  <c r="B1338" i="4"/>
  <c r="AH1337" i="4"/>
  <c r="AD1337" i="4"/>
  <c r="M1337" i="4"/>
  <c r="G1337" i="4"/>
  <c r="C1337" i="4"/>
  <c r="B1337" i="4"/>
  <c r="AH1336" i="4"/>
  <c r="M1336" i="4"/>
  <c r="G1336" i="4"/>
  <c r="C1336" i="4"/>
  <c r="B1336" i="4"/>
  <c r="AH1335" i="4"/>
  <c r="M1335" i="4"/>
  <c r="G1335" i="4"/>
  <c r="C1335" i="4"/>
  <c r="B1335" i="4"/>
  <c r="AH1334" i="4"/>
  <c r="M1334" i="4"/>
  <c r="G1334" i="4"/>
  <c r="C1334" i="4"/>
  <c r="B1334" i="4"/>
  <c r="AH1333" i="4"/>
  <c r="M1333" i="4"/>
  <c r="G1333" i="4"/>
  <c r="C1333" i="4"/>
  <c r="B1333" i="4"/>
  <c r="AH1332" i="4"/>
  <c r="M1332" i="4"/>
  <c r="G1332" i="4"/>
  <c r="C1332" i="4"/>
  <c r="B1332" i="4"/>
  <c r="AH1331" i="4"/>
  <c r="M1331" i="4"/>
  <c r="G1331" i="4"/>
  <c r="C1331" i="4"/>
  <c r="B1331" i="4"/>
  <c r="AH1330" i="4"/>
  <c r="AA1330" i="4"/>
  <c r="M1330" i="4"/>
  <c r="G1330" i="4"/>
  <c r="C1330" i="4"/>
  <c r="B1330" i="4"/>
  <c r="A96" i="7"/>
  <c r="B96" i="7"/>
  <c r="H96" i="7"/>
  <c r="C96" i="7" s="1"/>
  <c r="G97" i="6"/>
  <c r="I97" i="6"/>
  <c r="A43" i="11"/>
  <c r="G43" i="11"/>
  <c r="M43" i="11"/>
  <c r="P43" i="11"/>
  <c r="W43" i="11"/>
  <c r="X43" i="11"/>
  <c r="Y43" i="11"/>
  <c r="AD43" i="11"/>
  <c r="F98" i="1"/>
  <c r="AB98" i="1"/>
  <c r="AC98" i="1"/>
  <c r="AD98" i="1"/>
  <c r="AF98" i="1"/>
  <c r="AG98" i="1" s="1"/>
  <c r="AH98" i="1"/>
  <c r="AB1317" i="4"/>
  <c r="AB1318" i="4"/>
  <c r="AB1320" i="4"/>
  <c r="AB1321" i="4"/>
  <c r="AB1322" i="4"/>
  <c r="AB1323" i="4"/>
  <c r="AB1324" i="4"/>
  <c r="AA1325" i="4"/>
  <c r="AB1326" i="4"/>
  <c r="AD1327" i="4"/>
  <c r="AB1328" i="4"/>
  <c r="AA1317" i="4"/>
  <c r="AA1318" i="4"/>
  <c r="AA1320" i="4"/>
  <c r="AA1321" i="4"/>
  <c r="AA1322" i="4"/>
  <c r="AA1324" i="4"/>
  <c r="AA1327" i="4"/>
  <c r="AA1328" i="4"/>
  <c r="B1317" i="4"/>
  <c r="C1317" i="4"/>
  <c r="G1317" i="4"/>
  <c r="M1317" i="4"/>
  <c r="AH1317" i="4"/>
  <c r="B1318" i="4"/>
  <c r="C1318" i="4"/>
  <c r="G1318" i="4"/>
  <c r="M1318" i="4"/>
  <c r="AC1318" i="4"/>
  <c r="AD1318" i="4"/>
  <c r="AH1318" i="4"/>
  <c r="B1319" i="4"/>
  <c r="C1319" i="4"/>
  <c r="G1319" i="4"/>
  <c r="M1319" i="4"/>
  <c r="AH1319" i="4"/>
  <c r="B1320" i="4"/>
  <c r="C1320" i="4"/>
  <c r="G1320" i="4"/>
  <c r="M1320" i="4"/>
  <c r="AH1320" i="4"/>
  <c r="B1321" i="4"/>
  <c r="C1321" i="4"/>
  <c r="G1321" i="4"/>
  <c r="M1321" i="4"/>
  <c r="AH1321" i="4"/>
  <c r="B1322" i="4"/>
  <c r="C1322" i="4"/>
  <c r="G1322" i="4"/>
  <c r="M1322" i="4"/>
  <c r="AH1322" i="4"/>
  <c r="B1323" i="4"/>
  <c r="C1323" i="4"/>
  <c r="G1323" i="4"/>
  <c r="M1323" i="4"/>
  <c r="AH1323" i="4"/>
  <c r="B1324" i="4"/>
  <c r="C1324" i="4"/>
  <c r="G1324" i="4"/>
  <c r="M1324" i="4"/>
  <c r="AH1324" i="4"/>
  <c r="B1325" i="4"/>
  <c r="C1325" i="4"/>
  <c r="G1325" i="4"/>
  <c r="M1325" i="4"/>
  <c r="AH1325" i="4"/>
  <c r="B1326" i="4"/>
  <c r="C1326" i="4"/>
  <c r="G1326" i="4"/>
  <c r="M1326" i="4"/>
  <c r="AA1326" i="4"/>
  <c r="AD1326" i="4"/>
  <c r="AH1326" i="4"/>
  <c r="B1327" i="4"/>
  <c r="C1327" i="4"/>
  <c r="G1327" i="4"/>
  <c r="M1327" i="4"/>
  <c r="AH1327" i="4"/>
  <c r="B1328" i="4"/>
  <c r="C1328" i="4"/>
  <c r="G1328" i="4"/>
  <c r="M1328" i="4"/>
  <c r="AH1328" i="4"/>
  <c r="B1329" i="4"/>
  <c r="C1329" i="4"/>
  <c r="G1329" i="4"/>
  <c r="M1329" i="4"/>
  <c r="AH1329" i="4"/>
  <c r="B95" i="7"/>
  <c r="F95" i="7"/>
  <c r="G95" i="7" s="1"/>
  <c r="H95" i="7"/>
  <c r="A95" i="7" s="1"/>
  <c r="G96" i="6"/>
  <c r="I96" i="6"/>
  <c r="F97" i="1"/>
  <c r="AB97" i="1"/>
  <c r="AC97" i="1"/>
  <c r="AD97" i="1"/>
  <c r="AF97" i="1"/>
  <c r="AG97" i="1" s="1"/>
  <c r="AH97" i="1"/>
  <c r="AI1383" i="4" l="1"/>
  <c r="AI1387" i="4"/>
  <c r="AI1385" i="4"/>
  <c r="AE103" i="1"/>
  <c r="AI1382" i="4"/>
  <c r="AI1390" i="4"/>
  <c r="AI1389" i="4"/>
  <c r="AI1386" i="4"/>
  <c r="AE100" i="1"/>
  <c r="AE99" i="1"/>
  <c r="AE101" i="1"/>
  <c r="F100" i="7"/>
  <c r="G100" i="7" s="1"/>
  <c r="C100" i="7"/>
  <c r="B100" i="7"/>
  <c r="AB1393" i="4"/>
  <c r="AD1393" i="4"/>
  <c r="AI1393" i="4" s="1"/>
  <c r="AI1392" i="4"/>
  <c r="AD1391" i="4"/>
  <c r="AI1391" i="4" s="1"/>
  <c r="AC1391" i="4"/>
  <c r="AC1390" i="4"/>
  <c r="AC1389" i="4"/>
  <c r="AB1389" i="4"/>
  <c r="AI1388" i="4"/>
  <c r="AB1387" i="4"/>
  <c r="AC1387" i="4"/>
  <c r="AB1385" i="4"/>
  <c r="AC1382" i="4"/>
  <c r="AB1390" i="4"/>
  <c r="AE102" i="1"/>
  <c r="AD1375" i="4"/>
  <c r="AI1375" i="4" s="1"/>
  <c r="AA1376" i="4"/>
  <c r="AI1378" i="4"/>
  <c r="AI1377" i="4"/>
  <c r="AA1375" i="4"/>
  <c r="AA1374" i="4"/>
  <c r="AI1376" i="4"/>
  <c r="AI1373" i="4"/>
  <c r="AA1377" i="4"/>
  <c r="AI1372" i="4"/>
  <c r="AI1379" i="4"/>
  <c r="AI1370" i="4"/>
  <c r="AC1374" i="4"/>
  <c r="AC1377" i="4"/>
  <c r="AI1369" i="4"/>
  <c r="AB1380" i="4"/>
  <c r="AD1380" i="4"/>
  <c r="AI1380" i="4" s="1"/>
  <c r="AC1379" i="4"/>
  <c r="AB1376" i="4"/>
  <c r="AC1376" i="4"/>
  <c r="AB1375" i="4"/>
  <c r="AD1374" i="4"/>
  <c r="AI1374" i="4" s="1"/>
  <c r="AC1372" i="4"/>
  <c r="AB1370" i="4"/>
  <c r="AC1369" i="4"/>
  <c r="AI1338" i="4"/>
  <c r="AI1365" i="4"/>
  <c r="AI1364" i="4"/>
  <c r="AB1377" i="4"/>
  <c r="AI1363" i="4"/>
  <c r="AI1367" i="4"/>
  <c r="AI1366" i="4"/>
  <c r="F99" i="7"/>
  <c r="G99" i="7" s="1"/>
  <c r="C99" i="7"/>
  <c r="B99" i="7"/>
  <c r="AA1360" i="4"/>
  <c r="AA1363" i="4"/>
  <c r="AA1365" i="4"/>
  <c r="AA1359" i="4"/>
  <c r="AA1366" i="4"/>
  <c r="AA1361" i="4"/>
  <c r="AA1362" i="4"/>
  <c r="AA1357" i="4"/>
  <c r="AA1364" i="4"/>
  <c r="AA1356" i="4"/>
  <c r="AC1362" i="4"/>
  <c r="AD1362" i="4"/>
  <c r="AI1362" i="4" s="1"/>
  <c r="AC1361" i="4"/>
  <c r="AD1361" i="4"/>
  <c r="AI1361" i="4" s="1"/>
  <c r="AC1360" i="4"/>
  <c r="AD1360" i="4"/>
  <c r="AI1360" i="4" s="1"/>
  <c r="AC1359" i="4"/>
  <c r="AD1359" i="4"/>
  <c r="AI1359" i="4" s="1"/>
  <c r="AC1357" i="4"/>
  <c r="AD1357" i="4"/>
  <c r="AI1357" i="4" s="1"/>
  <c r="AC1356" i="4"/>
  <c r="AD1356" i="4"/>
  <c r="AI1356" i="4" s="1"/>
  <c r="AB1363" i="4"/>
  <c r="AB1364" i="4"/>
  <c r="AB1365" i="4"/>
  <c r="AB1366" i="4"/>
  <c r="AB1367" i="4"/>
  <c r="AC1363" i="4"/>
  <c r="AC1364" i="4"/>
  <c r="AC1365" i="4"/>
  <c r="AC1366" i="4"/>
  <c r="AC1367" i="4"/>
  <c r="AI1333" i="4"/>
  <c r="B98" i="7"/>
  <c r="AI1334" i="4"/>
  <c r="AI1340" i="4"/>
  <c r="AI1331" i="4"/>
  <c r="AI1330" i="4"/>
  <c r="AI1337" i="4"/>
  <c r="AE98" i="1"/>
  <c r="AC1341" i="4"/>
  <c r="AD1341" i="4"/>
  <c r="AI1341" i="4" s="1"/>
  <c r="AA1340" i="4"/>
  <c r="AB1340" i="4"/>
  <c r="AC1340" i="4"/>
  <c r="AD1339" i="4"/>
  <c r="AI1339" i="4" s="1"/>
  <c r="AB1339" i="4"/>
  <c r="AB1338" i="4"/>
  <c r="AC1338" i="4"/>
  <c r="AB1337" i="4"/>
  <c r="AC1336" i="4"/>
  <c r="AD1336" i="4"/>
  <c r="AI1336" i="4" s="1"/>
  <c r="AC1335" i="4"/>
  <c r="AD1335" i="4"/>
  <c r="AI1335" i="4" s="1"/>
  <c r="AB1334" i="4"/>
  <c r="AC1334" i="4"/>
  <c r="AB1333" i="4"/>
  <c r="AC1333" i="4"/>
  <c r="AB1331" i="4"/>
  <c r="AC1331" i="4"/>
  <c r="AB1330" i="4"/>
  <c r="AC1330" i="4"/>
  <c r="F96" i="7"/>
  <c r="G96" i="7" s="1"/>
  <c r="AB43" i="11"/>
  <c r="AE97" i="1"/>
  <c r="AI1326" i="4"/>
  <c r="AI1318" i="4"/>
  <c r="AI1327" i="4"/>
  <c r="AD1328" i="4"/>
  <c r="AI1328" i="4" s="1"/>
  <c r="AC1328" i="4"/>
  <c r="AB1327" i="4"/>
  <c r="AC1327" i="4"/>
  <c r="AC1326" i="4"/>
  <c r="AD1324" i="4"/>
  <c r="AI1324" i="4" s="1"/>
  <c r="AC1324" i="4"/>
  <c r="AA1323" i="4"/>
  <c r="AD1323" i="4"/>
  <c r="AI1323" i="4" s="1"/>
  <c r="AC1323" i="4"/>
  <c r="AD1322" i="4"/>
  <c r="AI1322" i="4" s="1"/>
  <c r="AC1322" i="4"/>
  <c r="AD1321" i="4"/>
  <c r="AI1321" i="4" s="1"/>
  <c r="AC1321" i="4"/>
  <c r="AD1320" i="4"/>
  <c r="AI1320" i="4" s="1"/>
  <c r="AC1320" i="4"/>
  <c r="AD1317" i="4"/>
  <c r="AI1317" i="4" s="1"/>
  <c r="AC1317" i="4"/>
  <c r="AD1325" i="4"/>
  <c r="AI1325" i="4" s="1"/>
  <c r="AC1325" i="4"/>
  <c r="AB1325" i="4"/>
  <c r="C95" i="7"/>
  <c r="AD1304" i="4"/>
  <c r="AD1305" i="4"/>
  <c r="AD1307" i="4"/>
  <c r="AD1308" i="4"/>
  <c r="AB1309" i="4"/>
  <c r="AD1311" i="4"/>
  <c r="AD1312" i="4"/>
  <c r="AD1313" i="4"/>
  <c r="AB1314" i="4"/>
  <c r="AD1315" i="4"/>
  <c r="AA1304" i="4"/>
  <c r="AA1307" i="4"/>
  <c r="AA1308" i="4"/>
  <c r="AA1309" i="4"/>
  <c r="AA1313" i="4"/>
  <c r="AA1315" i="4"/>
  <c r="AH1316" i="4"/>
  <c r="M1316" i="4"/>
  <c r="G1316" i="4"/>
  <c r="C1316" i="4"/>
  <c r="B1316" i="4"/>
  <c r="AH1315" i="4"/>
  <c r="AB1315" i="4"/>
  <c r="M1315" i="4"/>
  <c r="G1315" i="4"/>
  <c r="C1315" i="4"/>
  <c r="B1315" i="4"/>
  <c r="AH1314" i="4"/>
  <c r="AD1314" i="4"/>
  <c r="AA1314" i="4"/>
  <c r="M1314" i="4"/>
  <c r="G1314" i="4"/>
  <c r="C1314" i="4"/>
  <c r="B1314" i="4"/>
  <c r="AH1313" i="4"/>
  <c r="AB1313" i="4"/>
  <c r="M1313" i="4"/>
  <c r="G1313" i="4"/>
  <c r="C1313" i="4"/>
  <c r="B1313" i="4"/>
  <c r="AH1312" i="4"/>
  <c r="M1312" i="4"/>
  <c r="G1312" i="4"/>
  <c r="C1312" i="4"/>
  <c r="B1312" i="4"/>
  <c r="AH1311" i="4"/>
  <c r="AB1311" i="4"/>
  <c r="AA1311" i="4"/>
  <c r="M1311" i="4"/>
  <c r="G1311" i="4"/>
  <c r="C1311" i="4"/>
  <c r="B1311" i="4"/>
  <c r="AH1310" i="4"/>
  <c r="AD1310" i="4"/>
  <c r="AC1310" i="4"/>
  <c r="AB1310" i="4"/>
  <c r="AA1310" i="4"/>
  <c r="M1310" i="4"/>
  <c r="G1310" i="4"/>
  <c r="C1310" i="4"/>
  <c r="B1310" i="4"/>
  <c r="AH1309" i="4"/>
  <c r="AD1309" i="4"/>
  <c r="AC1309" i="4"/>
  <c r="M1309" i="4"/>
  <c r="G1309" i="4"/>
  <c r="C1309" i="4"/>
  <c r="B1309" i="4"/>
  <c r="AH1308" i="4"/>
  <c r="AB1308" i="4"/>
  <c r="M1308" i="4"/>
  <c r="G1308" i="4"/>
  <c r="C1308" i="4"/>
  <c r="B1308" i="4"/>
  <c r="AH1307" i="4"/>
  <c r="AC1307" i="4"/>
  <c r="M1307" i="4"/>
  <c r="G1307" i="4"/>
  <c r="C1307" i="4"/>
  <c r="B1307" i="4"/>
  <c r="AH1306" i="4"/>
  <c r="M1306" i="4"/>
  <c r="G1306" i="4"/>
  <c r="C1306" i="4"/>
  <c r="B1306" i="4"/>
  <c r="AH1305" i="4"/>
  <c r="M1305" i="4"/>
  <c r="G1305" i="4"/>
  <c r="C1305" i="4"/>
  <c r="B1305" i="4"/>
  <c r="AH1304" i="4"/>
  <c r="AB1304" i="4"/>
  <c r="M1304" i="4"/>
  <c r="G1304" i="4"/>
  <c r="C1304" i="4"/>
  <c r="B1304" i="4"/>
  <c r="B94" i="7"/>
  <c r="C94" i="7"/>
  <c r="F94" i="7"/>
  <c r="G94" i="7" s="1"/>
  <c r="H94" i="7"/>
  <c r="A94" i="7" s="1"/>
  <c r="G95" i="6"/>
  <c r="I95" i="6"/>
  <c r="F96" i="1"/>
  <c r="AB96" i="1"/>
  <c r="AC96" i="1"/>
  <c r="AD96" i="1"/>
  <c r="AF96" i="1"/>
  <c r="AG96" i="1" s="1"/>
  <c r="AH96" i="1"/>
  <c r="AC1291" i="4"/>
  <c r="AC1292" i="4"/>
  <c r="AB1294" i="4"/>
  <c r="AD1295" i="4"/>
  <c r="AD1296" i="4"/>
  <c r="AB1297" i="4"/>
  <c r="AD1298" i="4"/>
  <c r="AD1299" i="4"/>
  <c r="AC1300" i="4"/>
  <c r="AC1302" i="4"/>
  <c r="AA1292" i="4"/>
  <c r="AA1294" i="4"/>
  <c r="AA1295" i="4"/>
  <c r="AA1296" i="4"/>
  <c r="AA1297" i="4"/>
  <c r="AA1300" i="4"/>
  <c r="AA1301" i="4"/>
  <c r="AA1302" i="4"/>
  <c r="AH1303" i="4"/>
  <c r="M1303" i="4"/>
  <c r="G1303" i="4"/>
  <c r="C1303" i="4"/>
  <c r="B1303" i="4"/>
  <c r="AH1302" i="4"/>
  <c r="AD1302" i="4"/>
  <c r="M1302" i="4"/>
  <c r="G1302" i="4"/>
  <c r="C1302" i="4"/>
  <c r="B1302" i="4"/>
  <c r="AH1301" i="4"/>
  <c r="AD1301" i="4"/>
  <c r="AC1301" i="4"/>
  <c r="AB1301" i="4"/>
  <c r="M1301" i="4"/>
  <c r="G1301" i="4"/>
  <c r="C1301" i="4"/>
  <c r="B1301" i="4"/>
  <c r="AH1300" i="4"/>
  <c r="M1300" i="4"/>
  <c r="G1300" i="4"/>
  <c r="C1300" i="4"/>
  <c r="B1300" i="4"/>
  <c r="AH1299" i="4"/>
  <c r="M1299" i="4"/>
  <c r="G1299" i="4"/>
  <c r="C1299" i="4"/>
  <c r="B1299" i="4"/>
  <c r="AH1298" i="4"/>
  <c r="M1298" i="4"/>
  <c r="G1298" i="4"/>
  <c r="C1298" i="4"/>
  <c r="B1298" i="4"/>
  <c r="AH1297" i="4"/>
  <c r="M1297" i="4"/>
  <c r="G1297" i="4"/>
  <c r="C1297" i="4"/>
  <c r="B1297" i="4"/>
  <c r="AH1296" i="4"/>
  <c r="AB1296" i="4"/>
  <c r="M1296" i="4"/>
  <c r="G1296" i="4"/>
  <c r="C1296" i="4"/>
  <c r="B1296" i="4"/>
  <c r="AH1295" i="4"/>
  <c r="M1295" i="4"/>
  <c r="G1295" i="4"/>
  <c r="C1295" i="4"/>
  <c r="B1295" i="4"/>
  <c r="AH1294" i="4"/>
  <c r="AD1294" i="4"/>
  <c r="AC1294" i="4"/>
  <c r="M1294" i="4"/>
  <c r="G1294" i="4"/>
  <c r="C1294" i="4"/>
  <c r="B1294" i="4"/>
  <c r="AH1293" i="4"/>
  <c r="M1293" i="4"/>
  <c r="G1293" i="4"/>
  <c r="C1293" i="4"/>
  <c r="B1293" i="4"/>
  <c r="AH1292" i="4"/>
  <c r="AD1292" i="4"/>
  <c r="M1292" i="4"/>
  <c r="G1292" i="4"/>
  <c r="C1292" i="4"/>
  <c r="B1292" i="4"/>
  <c r="AH1291" i="4"/>
  <c r="AD1291" i="4"/>
  <c r="AA1291" i="4"/>
  <c r="M1291" i="4"/>
  <c r="G1291" i="4"/>
  <c r="C1291" i="4"/>
  <c r="B1291" i="4"/>
  <c r="C93" i="7"/>
  <c r="F93" i="7"/>
  <c r="G93" i="7" s="1"/>
  <c r="H93" i="7"/>
  <c r="A93" i="7" s="1"/>
  <c r="G94" i="6"/>
  <c r="I94" i="6"/>
  <c r="F95" i="1"/>
  <c r="AB95" i="1"/>
  <c r="AC95" i="1"/>
  <c r="AD95" i="1"/>
  <c r="AF95" i="1"/>
  <c r="AG95" i="1" s="1"/>
  <c r="AH95" i="1"/>
  <c r="AC1278" i="4"/>
  <c r="AB1279" i="4"/>
  <c r="AC1281" i="4"/>
  <c r="AC1282" i="4"/>
  <c r="AC1283" i="4"/>
  <c r="AB1284" i="4"/>
  <c r="AD1285" i="4"/>
  <c r="AD1286" i="4"/>
  <c r="AB1287" i="4"/>
  <c r="AD1288" i="4"/>
  <c r="AD1289" i="4"/>
  <c r="AA1278" i="4"/>
  <c r="AA1279" i="4"/>
  <c r="AA1281" i="4"/>
  <c r="AA1283" i="4"/>
  <c r="AA1284" i="4"/>
  <c r="AA1287" i="4"/>
  <c r="AA1288" i="4"/>
  <c r="AA1289" i="4"/>
  <c r="AH1290" i="4"/>
  <c r="M1290" i="4"/>
  <c r="G1290" i="4"/>
  <c r="C1290" i="4"/>
  <c r="B1290" i="4"/>
  <c r="AH1289" i="4"/>
  <c r="M1289" i="4"/>
  <c r="G1289" i="4"/>
  <c r="C1289" i="4"/>
  <c r="B1289" i="4"/>
  <c r="AH1288" i="4"/>
  <c r="AC1288" i="4"/>
  <c r="M1288" i="4"/>
  <c r="G1288" i="4"/>
  <c r="C1288" i="4"/>
  <c r="B1288" i="4"/>
  <c r="AH1287" i="4"/>
  <c r="AD1287" i="4"/>
  <c r="AC1287" i="4"/>
  <c r="M1287" i="4"/>
  <c r="G1287" i="4"/>
  <c r="C1287" i="4"/>
  <c r="B1287" i="4"/>
  <c r="AH1286" i="4"/>
  <c r="M1286" i="4"/>
  <c r="G1286" i="4"/>
  <c r="C1286" i="4"/>
  <c r="B1286" i="4"/>
  <c r="AH1285" i="4"/>
  <c r="AA1285" i="4"/>
  <c r="M1285" i="4"/>
  <c r="G1285" i="4"/>
  <c r="C1285" i="4"/>
  <c r="B1285" i="4"/>
  <c r="AH1284" i="4"/>
  <c r="M1284" i="4"/>
  <c r="G1284" i="4"/>
  <c r="C1284" i="4"/>
  <c r="B1284" i="4"/>
  <c r="AH1283" i="4"/>
  <c r="AD1283" i="4"/>
  <c r="M1283" i="4"/>
  <c r="G1283" i="4"/>
  <c r="C1283" i="4"/>
  <c r="B1283" i="4"/>
  <c r="AH1282" i="4"/>
  <c r="AD1282" i="4"/>
  <c r="AA1282" i="4"/>
  <c r="M1282" i="4"/>
  <c r="G1282" i="4"/>
  <c r="C1282" i="4"/>
  <c r="B1282" i="4"/>
  <c r="AH1281" i="4"/>
  <c r="M1281" i="4"/>
  <c r="G1281" i="4"/>
  <c r="C1281" i="4"/>
  <c r="B1281" i="4"/>
  <c r="AH1280" i="4"/>
  <c r="M1280" i="4"/>
  <c r="G1280" i="4"/>
  <c r="C1280" i="4"/>
  <c r="B1280" i="4"/>
  <c r="AH1279" i="4"/>
  <c r="AD1279" i="4"/>
  <c r="AC1279" i="4"/>
  <c r="M1279" i="4"/>
  <c r="G1279" i="4"/>
  <c r="C1279" i="4"/>
  <c r="B1279" i="4"/>
  <c r="AH1278" i="4"/>
  <c r="M1278" i="4"/>
  <c r="G1278" i="4"/>
  <c r="C1278" i="4"/>
  <c r="B1278" i="4"/>
  <c r="H92" i="7"/>
  <c r="A92" i="7" s="1"/>
  <c r="G93" i="6"/>
  <c r="I93" i="6"/>
  <c r="F94" i="1"/>
  <c r="AB94" i="1"/>
  <c r="AC94" i="1"/>
  <c r="AD94" i="1"/>
  <c r="AF94" i="1"/>
  <c r="AG94" i="1" s="1"/>
  <c r="AH94" i="1"/>
  <c r="Q91" i="15"/>
  <c r="AD1265" i="4"/>
  <c r="AC1266" i="4"/>
  <c r="AD1268" i="4"/>
  <c r="AB1269" i="4"/>
  <c r="AD1270" i="4"/>
  <c r="AB1271" i="4"/>
  <c r="AB1272" i="4"/>
  <c r="AD1273" i="4"/>
  <c r="AB1274" i="4"/>
  <c r="AD1275" i="4"/>
  <c r="AD1276" i="4"/>
  <c r="AA1265" i="4"/>
  <c r="AA1266" i="4"/>
  <c r="AA1268" i="4"/>
  <c r="AA1269" i="4"/>
  <c r="AA1270" i="4"/>
  <c r="AA1272" i="4"/>
  <c r="AA1273" i="4"/>
  <c r="AA1274" i="4"/>
  <c r="AA1275" i="4"/>
  <c r="AA1276" i="4"/>
  <c r="AH1277" i="4"/>
  <c r="M1277" i="4"/>
  <c r="G1277" i="4"/>
  <c r="C1277" i="4"/>
  <c r="B1277" i="4"/>
  <c r="AH1276" i="4"/>
  <c r="AC1276" i="4"/>
  <c r="AB1276" i="4"/>
  <c r="M1276" i="4"/>
  <c r="G1276" i="4"/>
  <c r="C1276" i="4"/>
  <c r="B1276" i="4"/>
  <c r="AH1275" i="4"/>
  <c r="M1275" i="4"/>
  <c r="G1275" i="4"/>
  <c r="C1275" i="4"/>
  <c r="B1275" i="4"/>
  <c r="AH1274" i="4"/>
  <c r="AC1274" i="4"/>
  <c r="M1274" i="4"/>
  <c r="G1274" i="4"/>
  <c r="C1274" i="4"/>
  <c r="B1274" i="4"/>
  <c r="AH1273" i="4"/>
  <c r="M1273" i="4"/>
  <c r="G1273" i="4"/>
  <c r="C1273" i="4"/>
  <c r="B1273" i="4"/>
  <c r="AH1272" i="4"/>
  <c r="M1272" i="4"/>
  <c r="G1272" i="4"/>
  <c r="C1272" i="4"/>
  <c r="B1272" i="4"/>
  <c r="AH1271" i="4"/>
  <c r="AA1271" i="4"/>
  <c r="M1271" i="4"/>
  <c r="G1271" i="4"/>
  <c r="C1271" i="4"/>
  <c r="B1271" i="4"/>
  <c r="AH1270" i="4"/>
  <c r="M1270" i="4"/>
  <c r="G1270" i="4"/>
  <c r="C1270" i="4"/>
  <c r="B1270" i="4"/>
  <c r="AH1269" i="4"/>
  <c r="AD1269" i="4"/>
  <c r="AC1269" i="4"/>
  <c r="M1269" i="4"/>
  <c r="G1269" i="4"/>
  <c r="C1269" i="4"/>
  <c r="B1269" i="4"/>
  <c r="AH1268" i="4"/>
  <c r="M1268" i="4"/>
  <c r="G1268" i="4"/>
  <c r="C1268" i="4"/>
  <c r="B1268" i="4"/>
  <c r="AH1267" i="4"/>
  <c r="M1267" i="4"/>
  <c r="G1267" i="4"/>
  <c r="C1267" i="4"/>
  <c r="B1267" i="4"/>
  <c r="AH1266" i="4"/>
  <c r="AD1266" i="4"/>
  <c r="M1266" i="4"/>
  <c r="G1266" i="4"/>
  <c r="C1266" i="4"/>
  <c r="B1266" i="4"/>
  <c r="AH1265" i="4"/>
  <c r="M1265" i="4"/>
  <c r="G1265" i="4"/>
  <c r="C1265" i="4"/>
  <c r="B1265" i="4"/>
  <c r="H91" i="7"/>
  <c r="A91" i="7" s="1"/>
  <c r="G92" i="6"/>
  <c r="I92" i="6"/>
  <c r="F93" i="1"/>
  <c r="AB93" i="1"/>
  <c r="AC93" i="1"/>
  <c r="AD93" i="1"/>
  <c r="AF93" i="1"/>
  <c r="AG93" i="1" s="1"/>
  <c r="AH93" i="1"/>
  <c r="Y42" i="11"/>
  <c r="X42" i="11"/>
  <c r="W42" i="11"/>
  <c r="P42" i="11"/>
  <c r="M42" i="11"/>
  <c r="G42" i="11"/>
  <c r="AD1252" i="4"/>
  <c r="AD1253" i="4"/>
  <c r="AD1255" i="4"/>
  <c r="AD1256" i="4"/>
  <c r="AD1257" i="4"/>
  <c r="AD1258" i="4"/>
  <c r="AD1259" i="4"/>
  <c r="AD1260" i="4"/>
  <c r="AB1261" i="4"/>
  <c r="AD1262" i="4"/>
  <c r="AD1263" i="4"/>
  <c r="AA1253" i="4"/>
  <c r="AA1255" i="4"/>
  <c r="AA1256" i="4"/>
  <c r="AA1257" i="4"/>
  <c r="AA1258" i="4"/>
  <c r="AA1259" i="4"/>
  <c r="AA1260" i="4"/>
  <c r="AA1261" i="4"/>
  <c r="AA1262" i="4"/>
  <c r="AA1263" i="4"/>
  <c r="AH1264" i="4"/>
  <c r="M1264" i="4"/>
  <c r="G1264" i="4"/>
  <c r="C1264" i="4"/>
  <c r="B1264" i="4"/>
  <c r="AH1263" i="4"/>
  <c r="M1263" i="4"/>
  <c r="G1263" i="4"/>
  <c r="C1263" i="4"/>
  <c r="B1263" i="4"/>
  <c r="AH1262" i="4"/>
  <c r="M1262" i="4"/>
  <c r="G1262" i="4"/>
  <c r="C1262" i="4"/>
  <c r="B1262" i="4"/>
  <c r="AH1261" i="4"/>
  <c r="M1261" i="4"/>
  <c r="G1261" i="4"/>
  <c r="C1261" i="4"/>
  <c r="B1261" i="4"/>
  <c r="AH1260" i="4"/>
  <c r="AC1260" i="4"/>
  <c r="M1260" i="4"/>
  <c r="G1260" i="4"/>
  <c r="C1260" i="4"/>
  <c r="B1260" i="4"/>
  <c r="AH1259" i="4"/>
  <c r="M1259" i="4"/>
  <c r="G1259" i="4"/>
  <c r="C1259" i="4"/>
  <c r="B1259" i="4"/>
  <c r="AH1258" i="4"/>
  <c r="M1258" i="4"/>
  <c r="G1258" i="4"/>
  <c r="C1258" i="4"/>
  <c r="B1258" i="4"/>
  <c r="AH1257" i="4"/>
  <c r="M1257" i="4"/>
  <c r="G1257" i="4"/>
  <c r="C1257" i="4"/>
  <c r="B1257" i="4"/>
  <c r="AH1256" i="4"/>
  <c r="M1256" i="4"/>
  <c r="G1256" i="4"/>
  <c r="C1256" i="4"/>
  <c r="B1256" i="4"/>
  <c r="AH1255" i="4"/>
  <c r="M1255" i="4"/>
  <c r="G1255" i="4"/>
  <c r="C1255" i="4"/>
  <c r="B1255" i="4"/>
  <c r="AH1254" i="4"/>
  <c r="M1254" i="4"/>
  <c r="G1254" i="4"/>
  <c r="C1254" i="4"/>
  <c r="B1254" i="4"/>
  <c r="AH1253" i="4"/>
  <c r="M1253" i="4"/>
  <c r="G1253" i="4"/>
  <c r="C1253" i="4"/>
  <c r="B1253" i="4"/>
  <c r="AH1252" i="4"/>
  <c r="AB1252" i="4"/>
  <c r="AA1252" i="4"/>
  <c r="M1252" i="4"/>
  <c r="G1252" i="4"/>
  <c r="C1252" i="4"/>
  <c r="B1252" i="4"/>
  <c r="B90" i="7"/>
  <c r="C90" i="7"/>
  <c r="F90" i="7"/>
  <c r="G90" i="7" s="1"/>
  <c r="H90" i="7"/>
  <c r="A90" i="7" s="1"/>
  <c r="G91" i="6"/>
  <c r="I91" i="6"/>
  <c r="F92" i="1"/>
  <c r="AB92" i="1"/>
  <c r="AC92" i="1"/>
  <c r="AD92" i="1"/>
  <c r="AF92" i="1"/>
  <c r="AG92" i="1" s="1"/>
  <c r="AH92" i="1"/>
  <c r="AD1239" i="4"/>
  <c r="AD1240" i="4"/>
  <c r="AC1242" i="4"/>
  <c r="AD1243" i="4"/>
  <c r="AB1244" i="4"/>
  <c r="AC1245" i="4"/>
  <c r="AD1246" i="4"/>
  <c r="AD1247" i="4"/>
  <c r="AD1248" i="4"/>
  <c r="AD1249" i="4"/>
  <c r="AC1250" i="4"/>
  <c r="AA1239" i="4"/>
  <c r="AA1240" i="4"/>
  <c r="AA1242" i="4"/>
  <c r="AA1243" i="4"/>
  <c r="AA1244" i="4"/>
  <c r="AA1245" i="4"/>
  <c r="AA1248" i="4"/>
  <c r="AA1249" i="4"/>
  <c r="AA1250" i="4"/>
  <c r="AH1251" i="4"/>
  <c r="M1251" i="4"/>
  <c r="G1251" i="4"/>
  <c r="C1251" i="4"/>
  <c r="B1251" i="4"/>
  <c r="AH1250" i="4"/>
  <c r="M1250" i="4"/>
  <c r="G1250" i="4"/>
  <c r="C1250" i="4"/>
  <c r="B1250" i="4"/>
  <c r="AH1249" i="4"/>
  <c r="M1249" i="4"/>
  <c r="G1249" i="4"/>
  <c r="C1249" i="4"/>
  <c r="B1249" i="4"/>
  <c r="AH1248" i="4"/>
  <c r="AB1248" i="4"/>
  <c r="M1248" i="4"/>
  <c r="G1248" i="4"/>
  <c r="C1248" i="4"/>
  <c r="B1248" i="4"/>
  <c r="AH1247" i="4"/>
  <c r="M1247" i="4"/>
  <c r="G1247" i="4"/>
  <c r="C1247" i="4"/>
  <c r="B1247" i="4"/>
  <c r="AH1246" i="4"/>
  <c r="M1246" i="4"/>
  <c r="G1246" i="4"/>
  <c r="C1246" i="4"/>
  <c r="B1246" i="4"/>
  <c r="AH1245" i="4"/>
  <c r="M1245" i="4"/>
  <c r="G1245" i="4"/>
  <c r="C1245" i="4"/>
  <c r="B1245" i="4"/>
  <c r="AH1244" i="4"/>
  <c r="M1244" i="4"/>
  <c r="G1244" i="4"/>
  <c r="C1244" i="4"/>
  <c r="B1244" i="4"/>
  <c r="AH1243" i="4"/>
  <c r="M1243" i="4"/>
  <c r="G1243" i="4"/>
  <c r="C1243" i="4"/>
  <c r="B1243" i="4"/>
  <c r="AH1242" i="4"/>
  <c r="M1242" i="4"/>
  <c r="G1242" i="4"/>
  <c r="C1242" i="4"/>
  <c r="B1242" i="4"/>
  <c r="AH1241" i="4"/>
  <c r="M1241" i="4"/>
  <c r="G1241" i="4"/>
  <c r="C1241" i="4"/>
  <c r="B1241" i="4"/>
  <c r="AH1240" i="4"/>
  <c r="AC1240" i="4"/>
  <c r="M1240" i="4"/>
  <c r="G1240" i="4"/>
  <c r="C1240" i="4"/>
  <c r="B1240" i="4"/>
  <c r="AH1239" i="4"/>
  <c r="M1239" i="4"/>
  <c r="G1239" i="4"/>
  <c r="C1239" i="4"/>
  <c r="B1239" i="4"/>
  <c r="A89" i="7"/>
  <c r="B89" i="7"/>
  <c r="C89" i="7"/>
  <c r="F89" i="7"/>
  <c r="G89" i="7" s="1"/>
  <c r="H89" i="7"/>
  <c r="G90" i="6"/>
  <c r="I90" i="6"/>
  <c r="F91" i="1"/>
  <c r="AB91" i="1"/>
  <c r="AC91" i="1"/>
  <c r="AD91" i="1"/>
  <c r="AF91" i="1"/>
  <c r="AG91" i="1" s="1"/>
  <c r="AH91" i="1"/>
  <c r="AI1282" i="4" l="1"/>
  <c r="AI1310" i="4"/>
  <c r="AI1304" i="4"/>
  <c r="AI1305" i="4"/>
  <c r="AI1309" i="4"/>
  <c r="AI1313" i="4"/>
  <c r="AI1312" i="4"/>
  <c r="AI1311" i="4"/>
  <c r="AI1287" i="4"/>
  <c r="AI1308" i="4"/>
  <c r="AI1307" i="4"/>
  <c r="AC1315" i="4"/>
  <c r="AI1315" i="4"/>
  <c r="AC1314" i="4"/>
  <c r="AI1314" i="4"/>
  <c r="AC1313" i="4"/>
  <c r="AC1311" i="4"/>
  <c r="AC1308" i="4"/>
  <c r="AB1307" i="4"/>
  <c r="AA1305" i="4"/>
  <c r="AB1305" i="4"/>
  <c r="AC1305" i="4"/>
  <c r="AC1304" i="4"/>
  <c r="AI1302" i="4"/>
  <c r="AA1312" i="4"/>
  <c r="AB1312" i="4"/>
  <c r="AC1312" i="4"/>
  <c r="AI1263" i="4"/>
  <c r="AI1301" i="4"/>
  <c r="AI1292" i="4"/>
  <c r="AI1291" i="4"/>
  <c r="AI1299" i="4"/>
  <c r="AI1298" i="4"/>
  <c r="AI1294" i="4"/>
  <c r="AI1296" i="4"/>
  <c r="AI1283" i="4"/>
  <c r="AI1295" i="4"/>
  <c r="AE96" i="1"/>
  <c r="AE95" i="1"/>
  <c r="AB1302" i="4"/>
  <c r="AD1300" i="4"/>
  <c r="AI1300" i="4" s="1"/>
  <c r="AB1300" i="4"/>
  <c r="AC1297" i="4"/>
  <c r="AD1297" i="4"/>
  <c r="AI1297" i="4" s="1"/>
  <c r="AC1296" i="4"/>
  <c r="AB1295" i="4"/>
  <c r="AC1295" i="4"/>
  <c r="AB1292" i="4"/>
  <c r="AB1291" i="4"/>
  <c r="AI1252" i="4"/>
  <c r="AI1273" i="4"/>
  <c r="AI1286" i="4"/>
  <c r="AA1299" i="4"/>
  <c r="AI1285" i="4"/>
  <c r="AB1299" i="4"/>
  <c r="AI1265" i="4"/>
  <c r="AA1298" i="4"/>
  <c r="AC1299" i="4"/>
  <c r="AI1270" i="4"/>
  <c r="AB1298" i="4"/>
  <c r="AI1257" i="4"/>
  <c r="AC1298" i="4"/>
  <c r="AI1268" i="4"/>
  <c r="AI1279" i="4"/>
  <c r="AI1289" i="4"/>
  <c r="B93" i="7"/>
  <c r="AE94" i="1"/>
  <c r="AB1289" i="4"/>
  <c r="AC1289" i="4"/>
  <c r="AI1288" i="4"/>
  <c r="AB1288" i="4"/>
  <c r="AB1285" i="4"/>
  <c r="AC1285" i="4"/>
  <c r="AC1284" i="4"/>
  <c r="AB1283" i="4"/>
  <c r="AB1282" i="4"/>
  <c r="AD1281" i="4"/>
  <c r="AI1281" i="4" s="1"/>
  <c r="AB1281" i="4"/>
  <c r="AD1278" i="4"/>
  <c r="AI1278" i="4" s="1"/>
  <c r="AB1278" i="4"/>
  <c r="AI1266" i="4"/>
  <c r="AD1284" i="4"/>
  <c r="AI1284" i="4" s="1"/>
  <c r="AI1269" i="4"/>
  <c r="AA1286" i="4"/>
  <c r="AI1275" i="4"/>
  <c r="AB1286" i="4"/>
  <c r="AC1286" i="4"/>
  <c r="F92" i="7"/>
  <c r="G92" i="7" s="1"/>
  <c r="C92" i="7"/>
  <c r="B92" i="7"/>
  <c r="AE93" i="1"/>
  <c r="AI1276" i="4"/>
  <c r="AB1275" i="4"/>
  <c r="AC1275" i="4"/>
  <c r="AD1274" i="4"/>
  <c r="AI1274" i="4" s="1"/>
  <c r="AC1273" i="4"/>
  <c r="AC1272" i="4"/>
  <c r="AD1272" i="4"/>
  <c r="AI1272" i="4" s="1"/>
  <c r="AC1271" i="4"/>
  <c r="AC1270" i="4"/>
  <c r="AB1270" i="4"/>
  <c r="AB1268" i="4"/>
  <c r="AC1268" i="4"/>
  <c r="AB1266" i="4"/>
  <c r="AB1265" i="4"/>
  <c r="AC1265" i="4"/>
  <c r="AI1256" i="4"/>
  <c r="AD1271" i="4"/>
  <c r="AI1271" i="4" s="1"/>
  <c r="AI1253" i="4"/>
  <c r="AB1273" i="4"/>
  <c r="AI1247" i="4"/>
  <c r="AI1260" i="4"/>
  <c r="AI1259" i="4"/>
  <c r="F91" i="7"/>
  <c r="G91" i="7" s="1"/>
  <c r="C91" i="7"/>
  <c r="B91" i="7"/>
  <c r="AB1263" i="4"/>
  <c r="AC1263" i="4"/>
  <c r="AB1262" i="4"/>
  <c r="AC1262" i="4"/>
  <c r="AI1262" i="4"/>
  <c r="AC1261" i="4"/>
  <c r="AD1261" i="4"/>
  <c r="AI1261" i="4" s="1"/>
  <c r="AC1259" i="4"/>
  <c r="AB1259" i="4"/>
  <c r="AB1258" i="4"/>
  <c r="AC1258" i="4"/>
  <c r="AI1258" i="4"/>
  <c r="AC1257" i="4"/>
  <c r="AB1257" i="4"/>
  <c r="AB1256" i="4"/>
  <c r="AC1256" i="4"/>
  <c r="AI1255" i="4"/>
  <c r="AB1255" i="4"/>
  <c r="AC1255" i="4"/>
  <c r="AB1253" i="4"/>
  <c r="AC1253" i="4"/>
  <c r="AC1252" i="4"/>
  <c r="AB1260" i="4"/>
  <c r="AE92" i="1"/>
  <c r="AB1250" i="4"/>
  <c r="AD1250" i="4"/>
  <c r="AI1250" i="4" s="1"/>
  <c r="AB1249" i="4"/>
  <c r="AC1249" i="4"/>
  <c r="AC1248" i="4"/>
  <c r="AI1248" i="4"/>
  <c r="AI1246" i="4"/>
  <c r="AI1249" i="4"/>
  <c r="AA1247" i="4"/>
  <c r="AI1243" i="4"/>
  <c r="AB1247" i="4"/>
  <c r="AC1247" i="4"/>
  <c r="AA1246" i="4"/>
  <c r="AI1240" i="4"/>
  <c r="AI1239" i="4"/>
  <c r="AB1246" i="4"/>
  <c r="AC1246" i="4"/>
  <c r="AD1245" i="4"/>
  <c r="AI1245" i="4" s="1"/>
  <c r="AB1245" i="4"/>
  <c r="AC1244" i="4"/>
  <c r="AD1244" i="4"/>
  <c r="AI1244" i="4" s="1"/>
  <c r="AB1243" i="4"/>
  <c r="AC1243" i="4"/>
  <c r="AD1242" i="4"/>
  <c r="AI1242" i="4" s="1"/>
  <c r="AB1242" i="4"/>
  <c r="AB1240" i="4"/>
  <c r="AC1239" i="4"/>
  <c r="AB1239" i="4"/>
  <c r="AE91" i="1"/>
  <c r="AB1226" i="4" l="1"/>
  <c r="AD1227" i="4"/>
  <c r="AD1229" i="4"/>
  <c r="AC1230" i="4"/>
  <c r="AC1231" i="4"/>
  <c r="AD1232" i="4"/>
  <c r="AD1233" i="4"/>
  <c r="AC1234" i="4"/>
  <c r="AC1235" i="4"/>
  <c r="AD1236" i="4"/>
  <c r="AC1237" i="4"/>
  <c r="AA1226" i="4"/>
  <c r="AA1230" i="4"/>
  <c r="AA1231" i="4"/>
  <c r="AA1232" i="4"/>
  <c r="AA1236" i="4"/>
  <c r="AH1238" i="4"/>
  <c r="M1238" i="4"/>
  <c r="G1238" i="4"/>
  <c r="C1238" i="4"/>
  <c r="B1238" i="4"/>
  <c r="AH1237" i="4"/>
  <c r="AD1237" i="4"/>
  <c r="AA1237" i="4"/>
  <c r="M1237" i="4"/>
  <c r="G1237" i="4"/>
  <c r="C1237" i="4"/>
  <c r="B1237" i="4"/>
  <c r="AH1236" i="4"/>
  <c r="AB1236" i="4"/>
  <c r="M1236" i="4"/>
  <c r="G1236" i="4"/>
  <c r="C1236" i="4"/>
  <c r="B1236" i="4"/>
  <c r="AH1235" i="4"/>
  <c r="AA1235" i="4"/>
  <c r="M1235" i="4"/>
  <c r="G1235" i="4"/>
  <c r="C1235" i="4"/>
  <c r="B1235" i="4"/>
  <c r="AH1234" i="4"/>
  <c r="AD1234" i="4"/>
  <c r="AA1234" i="4"/>
  <c r="M1234" i="4"/>
  <c r="G1234" i="4"/>
  <c r="C1234" i="4"/>
  <c r="B1234" i="4"/>
  <c r="AH1233" i="4"/>
  <c r="M1233" i="4"/>
  <c r="G1233" i="4"/>
  <c r="C1233" i="4"/>
  <c r="B1233" i="4"/>
  <c r="AH1232" i="4"/>
  <c r="M1232" i="4"/>
  <c r="G1232" i="4"/>
  <c r="C1232" i="4"/>
  <c r="B1232" i="4"/>
  <c r="AH1231" i="4"/>
  <c r="AD1231" i="4"/>
  <c r="M1231" i="4"/>
  <c r="G1231" i="4"/>
  <c r="C1231" i="4"/>
  <c r="B1231" i="4"/>
  <c r="AH1230" i="4"/>
  <c r="M1230" i="4"/>
  <c r="G1230" i="4"/>
  <c r="C1230" i="4"/>
  <c r="B1230" i="4"/>
  <c r="AH1229" i="4"/>
  <c r="AC1229" i="4"/>
  <c r="AA1229" i="4"/>
  <c r="M1229" i="4"/>
  <c r="G1229" i="4"/>
  <c r="C1229" i="4"/>
  <c r="B1229" i="4"/>
  <c r="AH1228" i="4"/>
  <c r="M1228" i="4"/>
  <c r="G1228" i="4"/>
  <c r="C1228" i="4"/>
  <c r="B1228" i="4"/>
  <c r="AH1227" i="4"/>
  <c r="AA1227" i="4"/>
  <c r="M1227" i="4"/>
  <c r="G1227" i="4"/>
  <c r="C1227" i="4"/>
  <c r="B1227" i="4"/>
  <c r="AH1226" i="4"/>
  <c r="AC1226" i="4"/>
  <c r="M1226" i="4"/>
  <c r="G1226" i="4"/>
  <c r="C1226" i="4"/>
  <c r="B1226" i="4"/>
  <c r="A88" i="7"/>
  <c r="B88" i="7"/>
  <c r="C88" i="7"/>
  <c r="F88" i="7"/>
  <c r="G88" i="7" s="1"/>
  <c r="H88" i="7"/>
  <c r="G89" i="6"/>
  <c r="I89" i="6"/>
  <c r="F90" i="1"/>
  <c r="AB90" i="1"/>
  <c r="AC90" i="1"/>
  <c r="AD90" i="1"/>
  <c r="AF90" i="1"/>
  <c r="AG90" i="1" s="1"/>
  <c r="AH90" i="1"/>
  <c r="AC1213" i="4"/>
  <c r="AD1214" i="4"/>
  <c r="AD1216" i="4"/>
  <c r="AC1217" i="4"/>
  <c r="AB1218" i="4"/>
  <c r="AD1219" i="4"/>
  <c r="AC1220" i="4"/>
  <c r="AD1221" i="4"/>
  <c r="AB1222" i="4"/>
  <c r="AC1223" i="4"/>
  <c r="AD1224" i="4"/>
  <c r="AA1214" i="4"/>
  <c r="AA1216" i="4"/>
  <c r="AA1217" i="4"/>
  <c r="AA1218" i="4"/>
  <c r="AA1219" i="4"/>
  <c r="AA1220" i="4"/>
  <c r="AA1221" i="4"/>
  <c r="AA1222" i="4"/>
  <c r="AA1223" i="4"/>
  <c r="AA1224" i="4"/>
  <c r="AH1225" i="4"/>
  <c r="M1225" i="4"/>
  <c r="G1225" i="4"/>
  <c r="C1225" i="4"/>
  <c r="B1225" i="4"/>
  <c r="AH1224" i="4"/>
  <c r="AC1224" i="4"/>
  <c r="M1224" i="4"/>
  <c r="G1224" i="4"/>
  <c r="C1224" i="4"/>
  <c r="B1224" i="4"/>
  <c r="AH1223" i="4"/>
  <c r="AD1223" i="4"/>
  <c r="M1223" i="4"/>
  <c r="G1223" i="4"/>
  <c r="C1223" i="4"/>
  <c r="B1223" i="4"/>
  <c r="AH1222" i="4"/>
  <c r="AD1222" i="4"/>
  <c r="AC1222" i="4"/>
  <c r="M1222" i="4"/>
  <c r="G1222" i="4"/>
  <c r="C1222" i="4"/>
  <c r="B1222" i="4"/>
  <c r="AH1221" i="4"/>
  <c r="M1221" i="4"/>
  <c r="G1221" i="4"/>
  <c r="C1221" i="4"/>
  <c r="B1221" i="4"/>
  <c r="AH1220" i="4"/>
  <c r="M1220" i="4"/>
  <c r="G1220" i="4"/>
  <c r="C1220" i="4"/>
  <c r="B1220" i="4"/>
  <c r="AH1219" i="4"/>
  <c r="M1219" i="4"/>
  <c r="G1219" i="4"/>
  <c r="C1219" i="4"/>
  <c r="B1219" i="4"/>
  <c r="AH1218" i="4"/>
  <c r="AD1218" i="4"/>
  <c r="M1218" i="4"/>
  <c r="G1218" i="4"/>
  <c r="C1218" i="4"/>
  <c r="B1218" i="4"/>
  <c r="AH1217" i="4"/>
  <c r="AD1217" i="4"/>
  <c r="M1217" i="4"/>
  <c r="G1217" i="4"/>
  <c r="C1217" i="4"/>
  <c r="B1217" i="4"/>
  <c r="AH1216" i="4"/>
  <c r="AB1216" i="4"/>
  <c r="M1216" i="4"/>
  <c r="G1216" i="4"/>
  <c r="C1216" i="4"/>
  <c r="B1216" i="4"/>
  <c r="AH1215" i="4"/>
  <c r="M1215" i="4"/>
  <c r="G1215" i="4"/>
  <c r="C1215" i="4"/>
  <c r="B1215" i="4"/>
  <c r="AH1214" i="4"/>
  <c r="AC1214" i="4"/>
  <c r="AB1214" i="4"/>
  <c r="M1214" i="4"/>
  <c r="G1214" i="4"/>
  <c r="C1214" i="4"/>
  <c r="B1214" i="4"/>
  <c r="AH1213" i="4"/>
  <c r="AD1213" i="4"/>
  <c r="AB1213" i="4"/>
  <c r="AA1213" i="4"/>
  <c r="M1213" i="4"/>
  <c r="G1213" i="4"/>
  <c r="C1213" i="4"/>
  <c r="B1213" i="4"/>
  <c r="Z25" i="3"/>
  <c r="Y25" i="3"/>
  <c r="X25" i="3"/>
  <c r="W25" i="3"/>
  <c r="N25" i="3"/>
  <c r="M25" i="3"/>
  <c r="AE25" i="3" s="1"/>
  <c r="G25" i="3"/>
  <c r="H87" i="7"/>
  <c r="A87" i="7" s="1"/>
  <c r="G88" i="6"/>
  <c r="I88" i="6"/>
  <c r="F89" i="1"/>
  <c r="AB89" i="1"/>
  <c r="AC89" i="1"/>
  <c r="AD89" i="1"/>
  <c r="AF89" i="1"/>
  <c r="AG89" i="1" s="1"/>
  <c r="AH89" i="1"/>
  <c r="AD1200" i="4"/>
  <c r="AB1201" i="4"/>
  <c r="AC1203" i="4"/>
  <c r="AC1204" i="4"/>
  <c r="AD1205" i="4"/>
  <c r="AA1206" i="4"/>
  <c r="AD1207" i="4"/>
  <c r="AD1208" i="4"/>
  <c r="AB1209" i="4"/>
  <c r="AB1210" i="4"/>
  <c r="AD1211" i="4"/>
  <c r="AA1200" i="4"/>
  <c r="AA1203" i="4"/>
  <c r="AA1205" i="4"/>
  <c r="AA1207" i="4"/>
  <c r="AA1209" i="4"/>
  <c r="AA1210" i="4"/>
  <c r="AA1211" i="4"/>
  <c r="AH1212" i="4"/>
  <c r="M1212" i="4"/>
  <c r="G1212" i="4"/>
  <c r="C1212" i="4"/>
  <c r="B1212" i="4"/>
  <c r="AH1211" i="4"/>
  <c r="AC1211" i="4"/>
  <c r="M1211" i="4"/>
  <c r="G1211" i="4"/>
  <c r="C1211" i="4"/>
  <c r="B1211" i="4"/>
  <c r="AH1210" i="4"/>
  <c r="AD1210" i="4"/>
  <c r="AC1210" i="4"/>
  <c r="M1210" i="4"/>
  <c r="G1210" i="4"/>
  <c r="C1210" i="4"/>
  <c r="B1210" i="4"/>
  <c r="AH1209" i="4"/>
  <c r="AD1209" i="4"/>
  <c r="AC1209" i="4"/>
  <c r="M1209" i="4"/>
  <c r="G1209" i="4"/>
  <c r="C1209" i="4"/>
  <c r="B1209" i="4"/>
  <c r="AH1208" i="4"/>
  <c r="M1208" i="4"/>
  <c r="G1208" i="4"/>
  <c r="C1208" i="4"/>
  <c r="B1208" i="4"/>
  <c r="AH1207" i="4"/>
  <c r="M1207" i="4"/>
  <c r="G1207" i="4"/>
  <c r="C1207" i="4"/>
  <c r="B1207" i="4"/>
  <c r="AH1206" i="4"/>
  <c r="M1206" i="4"/>
  <c r="G1206" i="4"/>
  <c r="C1206" i="4"/>
  <c r="B1206" i="4"/>
  <c r="AH1205" i="4"/>
  <c r="M1205" i="4"/>
  <c r="G1205" i="4"/>
  <c r="C1205" i="4"/>
  <c r="B1205" i="4"/>
  <c r="AH1204" i="4"/>
  <c r="AD1204" i="4"/>
  <c r="AB1204" i="4"/>
  <c r="AA1204" i="4"/>
  <c r="M1204" i="4"/>
  <c r="G1204" i="4"/>
  <c r="C1204" i="4"/>
  <c r="B1204" i="4"/>
  <c r="AH1203" i="4"/>
  <c r="AD1203" i="4"/>
  <c r="M1203" i="4"/>
  <c r="G1203" i="4"/>
  <c r="C1203" i="4"/>
  <c r="B1203" i="4"/>
  <c r="AH1202" i="4"/>
  <c r="M1202" i="4"/>
  <c r="G1202" i="4"/>
  <c r="C1202" i="4"/>
  <c r="B1202" i="4"/>
  <c r="AH1201" i="4"/>
  <c r="AA1201" i="4"/>
  <c r="M1201" i="4"/>
  <c r="G1201" i="4"/>
  <c r="C1201" i="4"/>
  <c r="B1201" i="4"/>
  <c r="AH1200" i="4"/>
  <c r="M1200" i="4"/>
  <c r="G1200" i="4"/>
  <c r="C1200" i="4"/>
  <c r="B1200" i="4"/>
  <c r="H86" i="7"/>
  <c r="A86" i="7" s="1"/>
  <c r="G87" i="6"/>
  <c r="I87" i="6"/>
  <c r="F88" i="1"/>
  <c r="AB88" i="1"/>
  <c r="AC88" i="1"/>
  <c r="AD88" i="1"/>
  <c r="AF88" i="1"/>
  <c r="AG88" i="1" s="1"/>
  <c r="AH88" i="1"/>
  <c r="AC1187" i="4"/>
  <c r="AD1188" i="4"/>
  <c r="AC1190" i="4"/>
  <c r="AD1191" i="4"/>
  <c r="AD1192" i="4"/>
  <c r="AC1194" i="4"/>
  <c r="AC1195" i="4"/>
  <c r="AC1196" i="4"/>
  <c r="AD1197" i="4"/>
  <c r="AC1198" i="4"/>
  <c r="AA1188" i="4"/>
  <c r="AA1190" i="4"/>
  <c r="AA1193" i="4"/>
  <c r="AA1194" i="4"/>
  <c r="AA1195" i="4"/>
  <c r="AA1196" i="4"/>
  <c r="AA1198" i="4"/>
  <c r="AH1199" i="4"/>
  <c r="M1199" i="4"/>
  <c r="G1199" i="4"/>
  <c r="C1199" i="4"/>
  <c r="B1199" i="4"/>
  <c r="AH1198" i="4"/>
  <c r="AD1198" i="4"/>
  <c r="AB1198" i="4"/>
  <c r="M1198" i="4"/>
  <c r="G1198" i="4"/>
  <c r="C1198" i="4"/>
  <c r="B1198" i="4"/>
  <c r="AH1197" i="4"/>
  <c r="M1197" i="4"/>
  <c r="G1197" i="4"/>
  <c r="C1197" i="4"/>
  <c r="B1197" i="4"/>
  <c r="AH1196" i="4"/>
  <c r="M1196" i="4"/>
  <c r="G1196" i="4"/>
  <c r="C1196" i="4"/>
  <c r="B1196" i="4"/>
  <c r="AH1195" i="4"/>
  <c r="M1195" i="4"/>
  <c r="G1195" i="4"/>
  <c r="C1195" i="4"/>
  <c r="B1195" i="4"/>
  <c r="AH1194" i="4"/>
  <c r="AD1194" i="4"/>
  <c r="M1194" i="4"/>
  <c r="G1194" i="4"/>
  <c r="C1194" i="4"/>
  <c r="B1194" i="4"/>
  <c r="AH1193" i="4"/>
  <c r="AD1193" i="4"/>
  <c r="AC1193" i="4"/>
  <c r="AB1193" i="4"/>
  <c r="M1193" i="4"/>
  <c r="G1193" i="4"/>
  <c r="C1193" i="4"/>
  <c r="B1193" i="4"/>
  <c r="AH1192" i="4"/>
  <c r="AC1192" i="4"/>
  <c r="AA1192" i="4"/>
  <c r="M1192" i="4"/>
  <c r="G1192" i="4"/>
  <c r="C1192" i="4"/>
  <c r="B1192" i="4"/>
  <c r="AH1191" i="4"/>
  <c r="AA1191" i="4"/>
  <c r="M1191" i="4"/>
  <c r="G1191" i="4"/>
  <c r="C1191" i="4"/>
  <c r="B1191" i="4"/>
  <c r="AH1190" i="4"/>
  <c r="AD1190" i="4"/>
  <c r="M1190" i="4"/>
  <c r="G1190" i="4"/>
  <c r="C1190" i="4"/>
  <c r="B1190" i="4"/>
  <c r="AH1189" i="4"/>
  <c r="M1189" i="4"/>
  <c r="G1189" i="4"/>
  <c r="C1189" i="4"/>
  <c r="B1189" i="4"/>
  <c r="AH1188" i="4"/>
  <c r="M1188" i="4"/>
  <c r="G1188" i="4"/>
  <c r="C1188" i="4"/>
  <c r="B1188" i="4"/>
  <c r="AH1187" i="4"/>
  <c r="AD1187" i="4"/>
  <c r="AA1187" i="4"/>
  <c r="M1187" i="4"/>
  <c r="G1187" i="4"/>
  <c r="C1187" i="4"/>
  <c r="B1187" i="4"/>
  <c r="G24" i="3"/>
  <c r="M24" i="3"/>
  <c r="N24" i="3"/>
  <c r="W24" i="3"/>
  <c r="X24" i="3"/>
  <c r="Y24" i="3"/>
  <c r="Z24" i="3"/>
  <c r="AC24" i="3" s="1"/>
  <c r="AE24" i="3"/>
  <c r="A85" i="7"/>
  <c r="B85" i="7"/>
  <c r="C85" i="7"/>
  <c r="F85" i="7"/>
  <c r="G85" i="7" s="1"/>
  <c r="H85" i="7"/>
  <c r="H84" i="7"/>
  <c r="A84" i="7" s="1"/>
  <c r="G86" i="6"/>
  <c r="I86" i="6"/>
  <c r="G85" i="6"/>
  <c r="I85" i="6"/>
  <c r="F87" i="1"/>
  <c r="AB87" i="1"/>
  <c r="AC87" i="1"/>
  <c r="AD87" i="1"/>
  <c r="AF87" i="1"/>
  <c r="AG87" i="1" s="1"/>
  <c r="AH87" i="1"/>
  <c r="G41" i="11"/>
  <c r="M41" i="11"/>
  <c r="P41" i="11"/>
  <c r="W41" i="11"/>
  <c r="X41" i="11"/>
  <c r="Y41" i="11"/>
  <c r="AB41" i="11" s="1"/>
  <c r="AD41" i="11"/>
  <c r="AC1174" i="4"/>
  <c r="AC1175" i="4"/>
  <c r="AD1177" i="4"/>
  <c r="AC1178" i="4"/>
  <c r="AD1179" i="4"/>
  <c r="AB1180" i="4"/>
  <c r="AC1181" i="4"/>
  <c r="AC1182" i="4"/>
  <c r="AB1183" i="4"/>
  <c r="AD1184" i="4"/>
  <c r="AD1185" i="4"/>
  <c r="AA1177" i="4"/>
  <c r="AA1178" i="4"/>
  <c r="AA1179" i="4"/>
  <c r="AA1180" i="4"/>
  <c r="AA1181" i="4"/>
  <c r="AA1182" i="4"/>
  <c r="AA1183" i="4"/>
  <c r="AA1185" i="4"/>
  <c r="AH1186" i="4"/>
  <c r="M1186" i="4"/>
  <c r="G1186" i="4"/>
  <c r="C1186" i="4"/>
  <c r="B1186" i="4"/>
  <c r="AH1185" i="4"/>
  <c r="AC1185" i="4"/>
  <c r="M1185" i="4"/>
  <c r="G1185" i="4"/>
  <c r="C1185" i="4"/>
  <c r="B1185" i="4"/>
  <c r="AH1184" i="4"/>
  <c r="AA1184" i="4"/>
  <c r="M1184" i="4"/>
  <c r="G1184" i="4"/>
  <c r="C1184" i="4"/>
  <c r="B1184" i="4"/>
  <c r="AH1183" i="4"/>
  <c r="AC1183" i="4"/>
  <c r="M1183" i="4"/>
  <c r="G1183" i="4"/>
  <c r="C1183" i="4"/>
  <c r="B1183" i="4"/>
  <c r="AH1182" i="4"/>
  <c r="M1182" i="4"/>
  <c r="G1182" i="4"/>
  <c r="C1182" i="4"/>
  <c r="B1182" i="4"/>
  <c r="AH1181" i="4"/>
  <c r="M1181" i="4"/>
  <c r="G1181" i="4"/>
  <c r="C1181" i="4"/>
  <c r="B1181" i="4"/>
  <c r="AH1180" i="4"/>
  <c r="M1180" i="4"/>
  <c r="G1180" i="4"/>
  <c r="C1180" i="4"/>
  <c r="B1180" i="4"/>
  <c r="AH1179" i="4"/>
  <c r="M1179" i="4"/>
  <c r="G1179" i="4"/>
  <c r="C1179" i="4"/>
  <c r="B1179" i="4"/>
  <c r="AH1178" i="4"/>
  <c r="AD1178" i="4"/>
  <c r="M1178" i="4"/>
  <c r="G1178" i="4"/>
  <c r="C1178" i="4"/>
  <c r="B1178" i="4"/>
  <c r="AH1177" i="4"/>
  <c r="AC1177" i="4"/>
  <c r="M1177" i="4"/>
  <c r="G1177" i="4"/>
  <c r="C1177" i="4"/>
  <c r="B1177" i="4"/>
  <c r="AH1176" i="4"/>
  <c r="M1176" i="4"/>
  <c r="G1176" i="4"/>
  <c r="C1176" i="4"/>
  <c r="B1176" i="4"/>
  <c r="AH1175" i="4"/>
  <c r="AD1175" i="4"/>
  <c r="AA1175" i="4"/>
  <c r="M1175" i="4"/>
  <c r="G1175" i="4"/>
  <c r="C1175" i="4"/>
  <c r="B1175" i="4"/>
  <c r="AH1174" i="4"/>
  <c r="AB1174" i="4"/>
  <c r="AA1174" i="4"/>
  <c r="M1174" i="4"/>
  <c r="G1174" i="4"/>
  <c r="C1174" i="4"/>
  <c r="B1174" i="4"/>
  <c r="F86" i="1"/>
  <c r="AB86" i="1"/>
  <c r="AC86" i="1"/>
  <c r="AD86" i="1"/>
  <c r="AF86" i="1"/>
  <c r="AG86" i="1" s="1"/>
  <c r="AH86" i="1"/>
  <c r="G40" i="11"/>
  <c r="M40" i="11"/>
  <c r="P40" i="11"/>
  <c r="W40" i="11"/>
  <c r="X40" i="11"/>
  <c r="Y40" i="11"/>
  <c r="AD40" i="11"/>
  <c r="G39" i="11"/>
  <c r="M39" i="11"/>
  <c r="P39" i="11"/>
  <c r="W39" i="11"/>
  <c r="X39" i="11"/>
  <c r="Y39" i="11"/>
  <c r="AD39" i="11"/>
  <c r="G38" i="11"/>
  <c r="M38" i="11"/>
  <c r="P38" i="11"/>
  <c r="W38" i="11"/>
  <c r="X38" i="11"/>
  <c r="Y38" i="11"/>
  <c r="AD38" i="11"/>
  <c r="G23" i="3"/>
  <c r="H83" i="7"/>
  <c r="A83" i="7" s="1"/>
  <c r="AB1161" i="4"/>
  <c r="AD1162" i="4"/>
  <c r="AD1164" i="4"/>
  <c r="AD1165" i="4"/>
  <c r="AD1166" i="4"/>
  <c r="AD1167" i="4"/>
  <c r="AD1168" i="4"/>
  <c r="AB1169" i="4"/>
  <c r="AD1170" i="4"/>
  <c r="AC1172" i="4"/>
  <c r="AA1161" i="4"/>
  <c r="AA1162" i="4"/>
  <c r="AA1164" i="4"/>
  <c r="AA1165" i="4"/>
  <c r="AA1166" i="4"/>
  <c r="AA1167" i="4"/>
  <c r="AA1168" i="4"/>
  <c r="AA1170" i="4"/>
  <c r="AA1171" i="4"/>
  <c r="AH1173" i="4"/>
  <c r="M1173" i="4"/>
  <c r="G1173" i="4"/>
  <c r="C1173" i="4"/>
  <c r="B1173" i="4"/>
  <c r="AH1172" i="4"/>
  <c r="AA1172" i="4"/>
  <c r="M1172" i="4"/>
  <c r="G1172" i="4"/>
  <c r="C1172" i="4"/>
  <c r="B1172" i="4"/>
  <c r="AH1171" i="4"/>
  <c r="AD1171" i="4"/>
  <c r="AC1171" i="4"/>
  <c r="AB1171" i="4"/>
  <c r="M1171" i="4"/>
  <c r="G1171" i="4"/>
  <c r="C1171" i="4"/>
  <c r="B1171" i="4"/>
  <c r="AH1170" i="4"/>
  <c r="M1170" i="4"/>
  <c r="G1170" i="4"/>
  <c r="C1170" i="4"/>
  <c r="B1170" i="4"/>
  <c r="AH1169" i="4"/>
  <c r="AD1169" i="4"/>
  <c r="AC1169" i="4"/>
  <c r="AA1169" i="4"/>
  <c r="M1169" i="4"/>
  <c r="G1169" i="4"/>
  <c r="C1169" i="4"/>
  <c r="B1169" i="4"/>
  <c r="AH1168" i="4"/>
  <c r="M1168" i="4"/>
  <c r="G1168" i="4"/>
  <c r="C1168" i="4"/>
  <c r="B1168" i="4"/>
  <c r="AH1167" i="4"/>
  <c r="M1167" i="4"/>
  <c r="G1167" i="4"/>
  <c r="C1167" i="4"/>
  <c r="B1167" i="4"/>
  <c r="AH1166" i="4"/>
  <c r="M1166" i="4"/>
  <c r="G1166" i="4"/>
  <c r="C1166" i="4"/>
  <c r="B1166" i="4"/>
  <c r="AH1165" i="4"/>
  <c r="M1165" i="4"/>
  <c r="G1165" i="4"/>
  <c r="C1165" i="4"/>
  <c r="B1165" i="4"/>
  <c r="AH1164" i="4"/>
  <c r="M1164" i="4"/>
  <c r="G1164" i="4"/>
  <c r="C1164" i="4"/>
  <c r="B1164" i="4"/>
  <c r="AH1163" i="4"/>
  <c r="M1163" i="4"/>
  <c r="G1163" i="4"/>
  <c r="C1163" i="4"/>
  <c r="B1163" i="4"/>
  <c r="AH1162" i="4"/>
  <c r="M1162" i="4"/>
  <c r="G1162" i="4"/>
  <c r="C1162" i="4"/>
  <c r="B1162" i="4"/>
  <c r="AH1161" i="4"/>
  <c r="M1161" i="4"/>
  <c r="G1161" i="4"/>
  <c r="C1161" i="4"/>
  <c r="B1161" i="4"/>
  <c r="F85" i="1"/>
  <c r="AB85" i="1"/>
  <c r="AC85" i="1"/>
  <c r="AD85" i="1"/>
  <c r="AF85" i="1"/>
  <c r="AG85" i="1" s="1"/>
  <c r="AH85" i="1"/>
  <c r="AD1148" i="4"/>
  <c r="AD1155" i="4"/>
  <c r="AD1157" i="4"/>
  <c r="AA1148" i="4"/>
  <c r="AA1155" i="4"/>
  <c r="AA1157" i="4"/>
  <c r="AH1160" i="4"/>
  <c r="M1160" i="4"/>
  <c r="G1160" i="4"/>
  <c r="C1160" i="4"/>
  <c r="B1160" i="4"/>
  <c r="AH1159" i="4"/>
  <c r="AD1159" i="4"/>
  <c r="AC1159" i="4"/>
  <c r="AB1159" i="4"/>
  <c r="AA1159" i="4"/>
  <c r="M1159" i="4"/>
  <c r="G1159" i="4"/>
  <c r="C1159" i="4"/>
  <c r="B1159" i="4"/>
  <c r="AH1158" i="4"/>
  <c r="AD1158" i="4"/>
  <c r="AC1158" i="4"/>
  <c r="AB1158" i="4"/>
  <c r="AA1158" i="4"/>
  <c r="M1158" i="4"/>
  <c r="G1158" i="4"/>
  <c r="C1158" i="4"/>
  <c r="B1158" i="4"/>
  <c r="AH1157" i="4"/>
  <c r="AB1157" i="4"/>
  <c r="M1157" i="4"/>
  <c r="G1157" i="4"/>
  <c r="C1157" i="4"/>
  <c r="B1157" i="4"/>
  <c r="AH1156" i="4"/>
  <c r="AD1156" i="4"/>
  <c r="AC1156" i="4"/>
  <c r="AB1156" i="4"/>
  <c r="AA1156" i="4"/>
  <c r="M1156" i="4"/>
  <c r="G1156" i="4"/>
  <c r="C1156" i="4"/>
  <c r="B1156" i="4"/>
  <c r="AH1155" i="4"/>
  <c r="M1155" i="4"/>
  <c r="G1155" i="4"/>
  <c r="C1155" i="4"/>
  <c r="B1155" i="4"/>
  <c r="AH1154" i="4"/>
  <c r="AD1154" i="4"/>
  <c r="AC1154" i="4"/>
  <c r="AB1154" i="4"/>
  <c r="AA1154" i="4"/>
  <c r="M1154" i="4"/>
  <c r="G1154" i="4"/>
  <c r="C1154" i="4"/>
  <c r="B1154" i="4"/>
  <c r="AH1153" i="4"/>
  <c r="AD1153" i="4"/>
  <c r="AC1153" i="4"/>
  <c r="AB1153" i="4"/>
  <c r="AA1153" i="4"/>
  <c r="M1153" i="4"/>
  <c r="G1153" i="4"/>
  <c r="C1153" i="4"/>
  <c r="B1153" i="4"/>
  <c r="AH1152" i="4"/>
  <c r="AD1152" i="4"/>
  <c r="AC1152" i="4"/>
  <c r="AB1152" i="4"/>
  <c r="AA1152" i="4"/>
  <c r="M1152" i="4"/>
  <c r="G1152" i="4"/>
  <c r="C1152" i="4"/>
  <c r="B1152" i="4"/>
  <c r="AH1151" i="4"/>
  <c r="AD1151" i="4"/>
  <c r="AC1151" i="4"/>
  <c r="AB1151" i="4"/>
  <c r="AA1151" i="4"/>
  <c r="M1151" i="4"/>
  <c r="G1151" i="4"/>
  <c r="C1151" i="4"/>
  <c r="B1151" i="4"/>
  <c r="AH1150" i="4"/>
  <c r="M1150" i="4"/>
  <c r="G1150" i="4"/>
  <c r="C1150" i="4"/>
  <c r="B1150" i="4"/>
  <c r="AH1149" i="4"/>
  <c r="AD1149" i="4"/>
  <c r="AC1149" i="4"/>
  <c r="AB1149" i="4"/>
  <c r="AA1149" i="4"/>
  <c r="M1149" i="4"/>
  <c r="G1149" i="4"/>
  <c r="C1149" i="4"/>
  <c r="B1149" i="4"/>
  <c r="AH1148" i="4"/>
  <c r="M1148" i="4"/>
  <c r="G1148" i="4"/>
  <c r="C1148" i="4"/>
  <c r="B1148" i="4"/>
  <c r="C82" i="7"/>
  <c r="F82" i="7"/>
  <c r="G82" i="7" s="1"/>
  <c r="H82" i="7"/>
  <c r="A82" i="7" s="1"/>
  <c r="F84" i="1"/>
  <c r="AB84" i="1"/>
  <c r="AC84" i="1"/>
  <c r="AD84" i="1"/>
  <c r="AF84" i="1"/>
  <c r="AG84" i="1" s="1"/>
  <c r="AH84" i="1"/>
  <c r="AI1234" i="4" l="1"/>
  <c r="AI1237" i="4"/>
  <c r="AI1233" i="4"/>
  <c r="AI1223" i="4"/>
  <c r="AI1227" i="4"/>
  <c r="AI1232" i="4"/>
  <c r="AI1208" i="4"/>
  <c r="AI1224" i="4"/>
  <c r="AI1154" i="4"/>
  <c r="AI1231" i="4"/>
  <c r="AI1229" i="4"/>
  <c r="AI1236" i="4"/>
  <c r="AE90" i="1"/>
  <c r="AB1237" i="4"/>
  <c r="AC1236" i="4"/>
  <c r="AD1235" i="4"/>
  <c r="AI1235" i="4" s="1"/>
  <c r="AB1235" i="4"/>
  <c r="AB1234" i="4"/>
  <c r="AC1233" i="4"/>
  <c r="AA1233" i="4"/>
  <c r="AB1232" i="4"/>
  <c r="AC1232" i="4"/>
  <c r="AB1231" i="4"/>
  <c r="AD1230" i="4"/>
  <c r="AI1230" i="4" s="1"/>
  <c r="AB1230" i="4"/>
  <c r="AB1229" i="4"/>
  <c r="AB1227" i="4"/>
  <c r="AC1227" i="4"/>
  <c r="AD1226" i="4"/>
  <c r="AI1226" i="4" s="1"/>
  <c r="AI1216" i="4"/>
  <c r="AI1214" i="4"/>
  <c r="AI1222" i="4"/>
  <c r="AI1221" i="4"/>
  <c r="AI1218" i="4"/>
  <c r="AI1219" i="4"/>
  <c r="AB1233" i="4"/>
  <c r="AI1213" i="4"/>
  <c r="AI1217" i="4"/>
  <c r="AB1224" i="4"/>
  <c r="AB1223" i="4"/>
  <c r="AB1221" i="4"/>
  <c r="AC1221" i="4"/>
  <c r="AD1220" i="4"/>
  <c r="AI1220" i="4" s="1"/>
  <c r="AB1220" i="4"/>
  <c r="AB1219" i="4"/>
  <c r="AC1219" i="4"/>
  <c r="AC1218" i="4"/>
  <c r="AB1217" i="4"/>
  <c r="AC1216" i="4"/>
  <c r="AI1203" i="4"/>
  <c r="AI1204" i="4"/>
  <c r="AI1200" i="4"/>
  <c r="AI1207" i="4"/>
  <c r="AI1209" i="4"/>
  <c r="AI1205" i="4"/>
  <c r="AI1211" i="4"/>
  <c r="AE89" i="1"/>
  <c r="AC25" i="3"/>
  <c r="F87" i="7"/>
  <c r="G87" i="7" s="1"/>
  <c r="C87" i="7"/>
  <c r="B87" i="7"/>
  <c r="AE88" i="1"/>
  <c r="AB1211" i="4"/>
  <c r="AI1210" i="4"/>
  <c r="AB1207" i="4"/>
  <c r="AC1207" i="4"/>
  <c r="AB1206" i="4"/>
  <c r="AC1206" i="4"/>
  <c r="AD1206" i="4"/>
  <c r="AI1206" i="4" s="1"/>
  <c r="AB1205" i="4"/>
  <c r="AC1205" i="4"/>
  <c r="AB1203" i="4"/>
  <c r="AC1201" i="4"/>
  <c r="AD1201" i="4"/>
  <c r="AI1201" i="4" s="1"/>
  <c r="AB1200" i="4"/>
  <c r="AC1200" i="4"/>
  <c r="AI1151" i="4"/>
  <c r="AA1208" i="4"/>
  <c r="AI1149" i="4"/>
  <c r="AB1208" i="4"/>
  <c r="AC1208" i="4"/>
  <c r="AI1197" i="4"/>
  <c r="AI1169" i="4"/>
  <c r="AI1194" i="4"/>
  <c r="AI1177" i="4"/>
  <c r="AI1165" i="4"/>
  <c r="AI1190" i="4"/>
  <c r="AI1179" i="4"/>
  <c r="AI1198" i="4"/>
  <c r="AI1152" i="4"/>
  <c r="AI1171" i="4"/>
  <c r="AI1184" i="4"/>
  <c r="AI1192" i="4"/>
  <c r="AI1153" i="4"/>
  <c r="AI1175" i="4"/>
  <c r="AI1193" i="4"/>
  <c r="AI1191" i="4"/>
  <c r="AI1185" i="4"/>
  <c r="AI1167" i="4"/>
  <c r="AI1178" i="4"/>
  <c r="AI1187" i="4"/>
  <c r="AI1188" i="4"/>
  <c r="F86" i="7"/>
  <c r="G86" i="7" s="1"/>
  <c r="C86" i="7"/>
  <c r="B86" i="7"/>
  <c r="AA1197" i="4"/>
  <c r="AB1197" i="4"/>
  <c r="AC1197" i="4"/>
  <c r="AB1196" i="4"/>
  <c r="AD1196" i="4"/>
  <c r="AI1196" i="4" s="1"/>
  <c r="AD1195" i="4"/>
  <c r="AI1195" i="4" s="1"/>
  <c r="AB1195" i="4"/>
  <c r="AB1194" i="4"/>
  <c r="AB1192" i="4"/>
  <c r="AB1191" i="4"/>
  <c r="AC1191" i="4"/>
  <c r="AB1190" i="4"/>
  <c r="AB1188" i="4"/>
  <c r="AC1188" i="4"/>
  <c r="AB1187" i="4"/>
  <c r="F84" i="7"/>
  <c r="G84" i="7" s="1"/>
  <c r="C84" i="7"/>
  <c r="B84" i="7"/>
  <c r="AE87" i="1"/>
  <c r="AB1185" i="4"/>
  <c r="AB1184" i="4"/>
  <c r="AC1184" i="4"/>
  <c r="AD1183" i="4"/>
  <c r="AI1183" i="4" s="1"/>
  <c r="AD1182" i="4"/>
  <c r="AI1182" i="4" s="1"/>
  <c r="AB1182" i="4"/>
  <c r="AB1181" i="4"/>
  <c r="AD1181" i="4"/>
  <c r="AI1181" i="4" s="1"/>
  <c r="AC1180" i="4"/>
  <c r="AB1179" i="4"/>
  <c r="AC1179" i="4"/>
  <c r="AB1178" i="4"/>
  <c r="AB1177" i="4"/>
  <c r="AB1175" i="4"/>
  <c r="AD1174" i="4"/>
  <c r="AI1174" i="4" s="1"/>
  <c r="AI1164" i="4"/>
  <c r="AD1180" i="4"/>
  <c r="AI1180" i="4" s="1"/>
  <c r="AI1158" i="4"/>
  <c r="AI1162" i="4"/>
  <c r="AI1156" i="4"/>
  <c r="AI1159" i="4"/>
  <c r="AI1170" i="4"/>
  <c r="AI1157" i="4"/>
  <c r="AI1168" i="4"/>
  <c r="AI1155" i="4"/>
  <c r="AI1148" i="4"/>
  <c r="AI1166" i="4"/>
  <c r="AE86" i="1"/>
  <c r="AE85" i="1"/>
  <c r="AB40" i="11"/>
  <c r="AB39" i="11"/>
  <c r="AB38" i="11"/>
  <c r="F83" i="7"/>
  <c r="G83" i="7" s="1"/>
  <c r="C83" i="7"/>
  <c r="B83" i="7"/>
  <c r="AD1172" i="4"/>
  <c r="AI1172" i="4" s="1"/>
  <c r="AB1172" i="4"/>
  <c r="AC1170" i="4"/>
  <c r="AB1170" i="4"/>
  <c r="AB1168" i="4"/>
  <c r="AC1168" i="4"/>
  <c r="AB1167" i="4"/>
  <c r="AC1167" i="4"/>
  <c r="AB1166" i="4"/>
  <c r="AC1166" i="4"/>
  <c r="AC1165" i="4"/>
  <c r="AB1165" i="4"/>
  <c r="AB1164" i="4"/>
  <c r="AC1164" i="4"/>
  <c r="AB1162" i="4"/>
  <c r="AC1162" i="4"/>
  <c r="AC1161" i="4"/>
  <c r="AD1161" i="4"/>
  <c r="AI1161" i="4" s="1"/>
  <c r="AE84" i="1"/>
  <c r="AC1157" i="4"/>
  <c r="AB1155" i="4"/>
  <c r="AC1155" i="4"/>
  <c r="AC1148" i="4"/>
  <c r="AB1148" i="4"/>
  <c r="B82" i="7"/>
  <c r="G37" i="11" l="1"/>
  <c r="M37" i="11"/>
  <c r="P37" i="11"/>
  <c r="W37" i="11"/>
  <c r="X37" i="11"/>
  <c r="Y37" i="11"/>
  <c r="AB37" i="11" s="1"/>
  <c r="AD37" i="11"/>
  <c r="AD1135" i="4"/>
  <c r="AD1136" i="4"/>
  <c r="AC1139" i="4"/>
  <c r="AD1140" i="4"/>
  <c r="AB1141" i="4"/>
  <c r="AD1142" i="4"/>
  <c r="AD1143" i="4"/>
  <c r="AC1144" i="4"/>
  <c r="AD1145" i="4"/>
  <c r="AC1146" i="4"/>
  <c r="AA1136" i="4"/>
  <c r="AA1138" i="4"/>
  <c r="AA1139" i="4"/>
  <c r="AA1141" i="4"/>
  <c r="AA1143" i="4"/>
  <c r="AA1145" i="4"/>
  <c r="AA1146" i="4"/>
  <c r="AH1147" i="4"/>
  <c r="M1147" i="4"/>
  <c r="G1147" i="4"/>
  <c r="C1147" i="4"/>
  <c r="B1147" i="4"/>
  <c r="AH1146" i="4"/>
  <c r="AD1146" i="4"/>
  <c r="M1146" i="4"/>
  <c r="G1146" i="4"/>
  <c r="C1146" i="4"/>
  <c r="B1146" i="4"/>
  <c r="AH1145" i="4"/>
  <c r="AC1145" i="4"/>
  <c r="M1145" i="4"/>
  <c r="G1145" i="4"/>
  <c r="C1145" i="4"/>
  <c r="B1145" i="4"/>
  <c r="AH1144" i="4"/>
  <c r="AD1144" i="4"/>
  <c r="AA1144" i="4"/>
  <c r="M1144" i="4"/>
  <c r="G1144" i="4"/>
  <c r="C1144" i="4"/>
  <c r="B1144" i="4"/>
  <c r="AH1143" i="4"/>
  <c r="M1143" i="4"/>
  <c r="G1143" i="4"/>
  <c r="C1143" i="4"/>
  <c r="B1143" i="4"/>
  <c r="AH1142" i="4"/>
  <c r="AC1142" i="4"/>
  <c r="AA1142" i="4"/>
  <c r="M1142" i="4"/>
  <c r="G1142" i="4"/>
  <c r="C1142" i="4"/>
  <c r="B1142" i="4"/>
  <c r="AH1141" i="4"/>
  <c r="AC1141" i="4"/>
  <c r="M1141" i="4"/>
  <c r="G1141" i="4"/>
  <c r="C1141" i="4"/>
  <c r="B1141" i="4"/>
  <c r="AH1140" i="4"/>
  <c r="AC1140" i="4"/>
  <c r="AA1140" i="4"/>
  <c r="M1140" i="4"/>
  <c r="G1140" i="4"/>
  <c r="C1140" i="4"/>
  <c r="B1140" i="4"/>
  <c r="AH1139" i="4"/>
  <c r="AD1139" i="4"/>
  <c r="M1139" i="4"/>
  <c r="G1139" i="4"/>
  <c r="C1139" i="4"/>
  <c r="B1139" i="4"/>
  <c r="AH1138" i="4"/>
  <c r="AD1138" i="4"/>
  <c r="AC1138" i="4"/>
  <c r="AB1138" i="4"/>
  <c r="M1138" i="4"/>
  <c r="G1138" i="4"/>
  <c r="C1138" i="4"/>
  <c r="B1138" i="4"/>
  <c r="AH1137" i="4"/>
  <c r="M1137" i="4"/>
  <c r="G1137" i="4"/>
  <c r="C1137" i="4"/>
  <c r="B1137" i="4"/>
  <c r="AH1136" i="4"/>
  <c r="AC1136" i="4"/>
  <c r="M1136" i="4"/>
  <c r="G1136" i="4"/>
  <c r="C1136" i="4"/>
  <c r="B1136" i="4"/>
  <c r="AH1135" i="4"/>
  <c r="AC1135" i="4"/>
  <c r="AB1135" i="4"/>
  <c r="AA1135" i="4"/>
  <c r="M1135" i="4"/>
  <c r="G1135" i="4"/>
  <c r="C1135" i="4"/>
  <c r="B1135" i="4"/>
  <c r="A81" i="7"/>
  <c r="C81" i="7"/>
  <c r="F81" i="7"/>
  <c r="G81" i="7" s="1"/>
  <c r="H81" i="7"/>
  <c r="B81" i="7" s="1"/>
  <c r="F83" i="1"/>
  <c r="AB83" i="1"/>
  <c r="AC83" i="1"/>
  <c r="AD83" i="1"/>
  <c r="AF83" i="1"/>
  <c r="AG83" i="1" s="1"/>
  <c r="AH83" i="1"/>
  <c r="C1" i="12"/>
  <c r="M4" i="12" s="1"/>
  <c r="B1" i="12"/>
  <c r="A4" i="12" s="1"/>
  <c r="B1" i="10"/>
  <c r="B8" i="10" s="1"/>
  <c r="Y36" i="11"/>
  <c r="AB36" i="11" s="1"/>
  <c r="X36" i="11"/>
  <c r="W36" i="11"/>
  <c r="M36" i="11"/>
  <c r="AB1122" i="4"/>
  <c r="AD1123" i="4"/>
  <c r="AC1125" i="4"/>
  <c r="AC1126" i="4"/>
  <c r="AB1127" i="4"/>
  <c r="AD1128" i="4"/>
  <c r="AD1129" i="4"/>
  <c r="AD1130" i="4"/>
  <c r="AB1132" i="4"/>
  <c r="AD1133" i="4"/>
  <c r="AA1122" i="4"/>
  <c r="AA1126" i="4"/>
  <c r="AA1127" i="4"/>
  <c r="AA1128" i="4"/>
  <c r="AA1129" i="4"/>
  <c r="AA1130" i="4"/>
  <c r="AA1133" i="4"/>
  <c r="AH1134" i="4"/>
  <c r="M1134" i="4"/>
  <c r="G1134" i="4"/>
  <c r="C1134" i="4"/>
  <c r="B1134" i="4"/>
  <c r="AH1133" i="4"/>
  <c r="AB1133" i="4"/>
  <c r="M1133" i="4"/>
  <c r="G1133" i="4"/>
  <c r="C1133" i="4"/>
  <c r="B1133" i="4"/>
  <c r="AH1132" i="4"/>
  <c r="AA1132" i="4"/>
  <c r="M1132" i="4"/>
  <c r="G1132" i="4"/>
  <c r="C1132" i="4"/>
  <c r="B1132" i="4"/>
  <c r="AH1131" i="4"/>
  <c r="AD1131" i="4"/>
  <c r="AC1131" i="4"/>
  <c r="AB1131" i="4"/>
  <c r="AA1131" i="4"/>
  <c r="M1131" i="4"/>
  <c r="G1131" i="4"/>
  <c r="C1131" i="4"/>
  <c r="B1131" i="4"/>
  <c r="AH1130" i="4"/>
  <c r="AC1130" i="4"/>
  <c r="AB1130" i="4"/>
  <c r="M1130" i="4"/>
  <c r="G1130" i="4"/>
  <c r="C1130" i="4"/>
  <c r="B1130" i="4"/>
  <c r="AH1129" i="4"/>
  <c r="M1129" i="4"/>
  <c r="G1129" i="4"/>
  <c r="C1129" i="4"/>
  <c r="B1129" i="4"/>
  <c r="AH1128" i="4"/>
  <c r="M1128" i="4"/>
  <c r="G1128" i="4"/>
  <c r="C1128" i="4"/>
  <c r="B1128" i="4"/>
  <c r="AH1127" i="4"/>
  <c r="AD1127" i="4"/>
  <c r="AC1127" i="4"/>
  <c r="M1127" i="4"/>
  <c r="G1127" i="4"/>
  <c r="C1127" i="4"/>
  <c r="B1127" i="4"/>
  <c r="AH1126" i="4"/>
  <c r="AD1126" i="4"/>
  <c r="M1126" i="4"/>
  <c r="G1126" i="4"/>
  <c r="C1126" i="4"/>
  <c r="B1126" i="4"/>
  <c r="AH1125" i="4"/>
  <c r="AA1125" i="4"/>
  <c r="M1125" i="4"/>
  <c r="G1125" i="4"/>
  <c r="C1125" i="4"/>
  <c r="B1125" i="4"/>
  <c r="AH1124" i="4"/>
  <c r="M1124" i="4"/>
  <c r="G1124" i="4"/>
  <c r="C1124" i="4"/>
  <c r="B1124" i="4"/>
  <c r="AH1123" i="4"/>
  <c r="AA1123" i="4"/>
  <c r="M1123" i="4"/>
  <c r="G1123" i="4"/>
  <c r="C1123" i="4"/>
  <c r="B1123" i="4"/>
  <c r="AH1122" i="4"/>
  <c r="AD1122" i="4"/>
  <c r="AC1122" i="4"/>
  <c r="M1122" i="4"/>
  <c r="G1122" i="4"/>
  <c r="C1122" i="4"/>
  <c r="B1122" i="4"/>
  <c r="A80" i="7"/>
  <c r="C80" i="7"/>
  <c r="F80" i="7"/>
  <c r="G80" i="7" s="1"/>
  <c r="H80" i="7"/>
  <c r="B80" i="7" s="1"/>
  <c r="F82" i="1"/>
  <c r="AB82" i="1"/>
  <c r="AC82" i="1"/>
  <c r="AD82" i="1"/>
  <c r="AF82" i="1"/>
  <c r="AG82" i="1" s="1"/>
  <c r="AH82" i="1"/>
  <c r="AH1121" i="4"/>
  <c r="M1121" i="4"/>
  <c r="G1121" i="4"/>
  <c r="C1121" i="4"/>
  <c r="B1121" i="4"/>
  <c r="AH1120" i="4"/>
  <c r="M1120" i="4"/>
  <c r="G1120" i="4"/>
  <c r="C1120" i="4"/>
  <c r="B1120" i="4"/>
  <c r="AH1119" i="4"/>
  <c r="M1119" i="4"/>
  <c r="G1119" i="4"/>
  <c r="C1119" i="4"/>
  <c r="B1119" i="4"/>
  <c r="AH1118" i="4"/>
  <c r="M1118" i="4"/>
  <c r="G1118" i="4"/>
  <c r="C1118" i="4"/>
  <c r="B1118" i="4"/>
  <c r="AH1117" i="4"/>
  <c r="M1117" i="4"/>
  <c r="G1117" i="4"/>
  <c r="C1117" i="4"/>
  <c r="B1117" i="4"/>
  <c r="AH1116" i="4"/>
  <c r="M1116" i="4"/>
  <c r="G1116" i="4"/>
  <c r="C1116" i="4"/>
  <c r="B1116" i="4"/>
  <c r="AH1115" i="4"/>
  <c r="M1115" i="4"/>
  <c r="G1115" i="4"/>
  <c r="C1115" i="4"/>
  <c r="B1115" i="4"/>
  <c r="AH1114" i="4"/>
  <c r="M1114" i="4"/>
  <c r="G1114" i="4"/>
  <c r="C1114" i="4"/>
  <c r="B1114" i="4"/>
  <c r="AH81" i="1"/>
  <c r="AH80" i="1"/>
  <c r="AH71" i="1"/>
  <c r="AH70" i="1"/>
  <c r="AH69" i="1"/>
  <c r="AF69" i="1"/>
  <c r="AG69" i="1" s="1"/>
  <c r="AF72" i="1"/>
  <c r="AG72" i="1" s="1"/>
  <c r="AF71" i="1"/>
  <c r="AG71" i="1" s="1"/>
  <c r="AD81" i="1"/>
  <c r="AD80" i="1"/>
  <c r="AD79" i="1"/>
  <c r="AD78" i="1"/>
  <c r="AD77" i="1"/>
  <c r="AD76" i="1"/>
  <c r="AD75" i="1"/>
  <c r="AD74" i="1"/>
  <c r="AD73" i="1"/>
  <c r="AD72" i="1"/>
  <c r="AD71" i="1"/>
  <c r="AC81" i="1"/>
  <c r="AC80" i="1"/>
  <c r="AC79" i="1"/>
  <c r="AC78" i="1"/>
  <c r="AC77" i="1"/>
  <c r="AC76" i="1"/>
  <c r="AC75" i="1"/>
  <c r="AC74" i="1"/>
  <c r="AC73" i="1"/>
  <c r="AC72" i="1"/>
  <c r="AC71" i="1"/>
  <c r="F81" i="1"/>
  <c r="AB81" i="1"/>
  <c r="AF81" i="1"/>
  <c r="AG81" i="1" s="1"/>
  <c r="H44" i="15"/>
  <c r="C44" i="15" s="1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A44" i="15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B102" i="14"/>
  <c r="B101" i="14"/>
  <c r="A102" i="14"/>
  <c r="G102" i="14"/>
  <c r="H102" i="14"/>
  <c r="Q102" i="14"/>
  <c r="A101" i="14"/>
  <c r="G101" i="14"/>
  <c r="H101" i="14"/>
  <c r="Q101" i="14"/>
  <c r="A100" i="14"/>
  <c r="B100" i="14"/>
  <c r="C100" i="14"/>
  <c r="G100" i="14"/>
  <c r="H100" i="14"/>
  <c r="Q100" i="14"/>
  <c r="B99" i="14"/>
  <c r="A99" i="14"/>
  <c r="C99" i="14"/>
  <c r="G99" i="14"/>
  <c r="H99" i="14"/>
  <c r="Q99" i="14"/>
  <c r="A98" i="14"/>
  <c r="G98" i="14"/>
  <c r="H98" i="14"/>
  <c r="B98" i="14" s="1"/>
  <c r="Q98" i="14"/>
  <c r="B97" i="14"/>
  <c r="A97" i="14"/>
  <c r="C97" i="14"/>
  <c r="G97" i="14"/>
  <c r="H97" i="14"/>
  <c r="Q97" i="14"/>
  <c r="A96" i="14"/>
  <c r="B96" i="14"/>
  <c r="C96" i="14"/>
  <c r="G96" i="14"/>
  <c r="H96" i="14"/>
  <c r="Q96" i="14"/>
  <c r="B95" i="14"/>
  <c r="A95" i="14"/>
  <c r="C95" i="14"/>
  <c r="G95" i="14"/>
  <c r="H95" i="14"/>
  <c r="Q95" i="14"/>
  <c r="A94" i="14"/>
  <c r="B94" i="14"/>
  <c r="C94" i="14"/>
  <c r="G94" i="14"/>
  <c r="H94" i="14"/>
  <c r="Q94" i="14"/>
  <c r="A93" i="14"/>
  <c r="B93" i="14"/>
  <c r="C93" i="14"/>
  <c r="G93" i="14"/>
  <c r="H93" i="14"/>
  <c r="Q93" i="14"/>
  <c r="B92" i="14"/>
  <c r="A92" i="14"/>
  <c r="G92" i="14"/>
  <c r="H92" i="14"/>
  <c r="Q92" i="14"/>
  <c r="B91" i="14"/>
  <c r="A91" i="14"/>
  <c r="G91" i="14"/>
  <c r="H91" i="14"/>
  <c r="Q91" i="14"/>
  <c r="B90" i="14"/>
  <c r="A90" i="14"/>
  <c r="G90" i="14"/>
  <c r="H90" i="14"/>
  <c r="Q90" i="14"/>
  <c r="B89" i="14"/>
  <c r="A89" i="14"/>
  <c r="G89" i="14"/>
  <c r="H89" i="14"/>
  <c r="Q89" i="14"/>
  <c r="B88" i="14"/>
  <c r="A88" i="14"/>
  <c r="A87" i="14"/>
  <c r="G88" i="14"/>
  <c r="H88" i="14"/>
  <c r="Q88" i="14"/>
  <c r="G87" i="14"/>
  <c r="H87" i="14"/>
  <c r="B87" i="14" s="1"/>
  <c r="Q87" i="14"/>
  <c r="B86" i="14"/>
  <c r="A86" i="14"/>
  <c r="C86" i="14"/>
  <c r="G86" i="14"/>
  <c r="H86" i="14"/>
  <c r="Q86" i="14"/>
  <c r="A85" i="14"/>
  <c r="G85" i="14"/>
  <c r="H85" i="14"/>
  <c r="B85" i="14" s="1"/>
  <c r="Q85" i="14"/>
  <c r="A84" i="14"/>
  <c r="B84" i="14"/>
  <c r="C84" i="14"/>
  <c r="G84" i="14"/>
  <c r="H84" i="14"/>
  <c r="Q84" i="14"/>
  <c r="A83" i="14"/>
  <c r="G83" i="14"/>
  <c r="H83" i="14"/>
  <c r="B83" i="14" s="1"/>
  <c r="Q83" i="14"/>
  <c r="A82" i="14"/>
  <c r="C82" i="14"/>
  <c r="G82" i="14"/>
  <c r="H82" i="14"/>
  <c r="B82" i="14" s="1"/>
  <c r="Q82" i="14"/>
  <c r="B81" i="14"/>
  <c r="A81" i="14"/>
  <c r="G81" i="14"/>
  <c r="H81" i="14"/>
  <c r="Q81" i="14"/>
  <c r="A80" i="14"/>
  <c r="G80" i="14"/>
  <c r="H80" i="14"/>
  <c r="B80" i="14" s="1"/>
  <c r="Q80" i="14"/>
  <c r="A79" i="14"/>
  <c r="B79" i="14"/>
  <c r="C79" i="14"/>
  <c r="G79" i="14"/>
  <c r="H79" i="14"/>
  <c r="Q79" i="14"/>
  <c r="A78" i="14"/>
  <c r="B78" i="14"/>
  <c r="C78" i="14"/>
  <c r="G78" i="14"/>
  <c r="H78" i="14"/>
  <c r="Q78" i="14"/>
  <c r="A77" i="14"/>
  <c r="G77" i="14"/>
  <c r="H77" i="14"/>
  <c r="B77" i="14" s="1"/>
  <c r="Q77" i="14"/>
  <c r="A76" i="14"/>
  <c r="C76" i="14"/>
  <c r="G76" i="14"/>
  <c r="H76" i="14"/>
  <c r="B76" i="14" s="1"/>
  <c r="Q76" i="14"/>
  <c r="A75" i="14"/>
  <c r="G75" i="14"/>
  <c r="H75" i="14"/>
  <c r="B75" i="14" s="1"/>
  <c r="Q75" i="14"/>
  <c r="A74" i="14"/>
  <c r="B74" i="14"/>
  <c r="C74" i="14"/>
  <c r="G74" i="14"/>
  <c r="H74" i="14"/>
  <c r="Q74" i="14"/>
  <c r="A73" i="14"/>
  <c r="G73" i="14"/>
  <c r="H73" i="14"/>
  <c r="B73" i="14" s="1"/>
  <c r="Q73" i="14"/>
  <c r="A72" i="14"/>
  <c r="G72" i="14"/>
  <c r="H72" i="14"/>
  <c r="B72" i="14" s="1"/>
  <c r="Q72" i="14"/>
  <c r="A71" i="14"/>
  <c r="G71" i="14"/>
  <c r="H71" i="14"/>
  <c r="B71" i="14" s="1"/>
  <c r="Q71" i="14"/>
  <c r="A70" i="14"/>
  <c r="B70" i="14"/>
  <c r="C70" i="14"/>
  <c r="G70" i="14"/>
  <c r="H70" i="14"/>
  <c r="Q70" i="14"/>
  <c r="A69" i="14"/>
  <c r="B69" i="14"/>
  <c r="C69" i="14"/>
  <c r="G69" i="14"/>
  <c r="H69" i="14"/>
  <c r="Q69" i="14"/>
  <c r="A68" i="14"/>
  <c r="G68" i="14"/>
  <c r="H68" i="14"/>
  <c r="B68" i="14" s="1"/>
  <c r="Q68" i="14"/>
  <c r="Y35" i="11"/>
  <c r="X35" i="11"/>
  <c r="W35" i="11"/>
  <c r="W34" i="11"/>
  <c r="X34" i="11"/>
  <c r="Y34" i="11"/>
  <c r="Y33" i="11"/>
  <c r="X33" i="11"/>
  <c r="W33" i="11"/>
  <c r="W32" i="11"/>
  <c r="X32" i="11"/>
  <c r="Y32" i="11"/>
  <c r="Y31" i="11"/>
  <c r="X31" i="11"/>
  <c r="W31" i="11"/>
  <c r="G36" i="11"/>
  <c r="G35" i="11"/>
  <c r="G34" i="11"/>
  <c r="G33" i="11"/>
  <c r="G32" i="11"/>
  <c r="G31" i="11"/>
  <c r="AD30" i="11"/>
  <c r="AD29" i="11"/>
  <c r="AH1113" i="4"/>
  <c r="M1113" i="4"/>
  <c r="G1113" i="4"/>
  <c r="C1113" i="4"/>
  <c r="B1113" i="4"/>
  <c r="AH1112" i="4"/>
  <c r="M1112" i="4"/>
  <c r="G1112" i="4"/>
  <c r="C1112" i="4"/>
  <c r="B1112" i="4"/>
  <c r="AH1111" i="4"/>
  <c r="M1111" i="4"/>
  <c r="G1111" i="4"/>
  <c r="C1111" i="4"/>
  <c r="B1111" i="4"/>
  <c r="AH1110" i="4"/>
  <c r="M1110" i="4"/>
  <c r="G1110" i="4"/>
  <c r="C1110" i="4"/>
  <c r="B1110" i="4"/>
  <c r="AH1109" i="4"/>
  <c r="M1109" i="4"/>
  <c r="G1109" i="4"/>
  <c r="C1109" i="4"/>
  <c r="B1109" i="4"/>
  <c r="AH1108" i="4"/>
  <c r="M1108" i="4"/>
  <c r="G1108" i="4"/>
  <c r="C1108" i="4"/>
  <c r="B1108" i="4"/>
  <c r="AH1107" i="4"/>
  <c r="M1107" i="4"/>
  <c r="G1107" i="4"/>
  <c r="C1107" i="4"/>
  <c r="B1107" i="4"/>
  <c r="AH1106" i="4"/>
  <c r="M1106" i="4"/>
  <c r="G1106" i="4"/>
  <c r="C1106" i="4"/>
  <c r="B1106" i="4"/>
  <c r="AH1105" i="4"/>
  <c r="M1105" i="4"/>
  <c r="G1105" i="4"/>
  <c r="C1105" i="4"/>
  <c r="B1105" i="4"/>
  <c r="AH1104" i="4"/>
  <c r="M1104" i="4"/>
  <c r="G1104" i="4"/>
  <c r="C1104" i="4"/>
  <c r="B1104" i="4"/>
  <c r="AH1103" i="4"/>
  <c r="M1103" i="4"/>
  <c r="G1103" i="4"/>
  <c r="C1103" i="4"/>
  <c r="B1103" i="4"/>
  <c r="AH1102" i="4"/>
  <c r="M1102" i="4"/>
  <c r="G1102" i="4"/>
  <c r="C1102" i="4"/>
  <c r="B1102" i="4"/>
  <c r="AH1101" i="4"/>
  <c r="M1101" i="4"/>
  <c r="G1101" i="4"/>
  <c r="C1101" i="4"/>
  <c r="B1101" i="4"/>
  <c r="AH1100" i="4"/>
  <c r="M1100" i="4"/>
  <c r="G1100" i="4"/>
  <c r="C1100" i="4"/>
  <c r="B1100" i="4"/>
  <c r="AH1099" i="4"/>
  <c r="M1099" i="4"/>
  <c r="G1099" i="4"/>
  <c r="C1099" i="4"/>
  <c r="B1099" i="4"/>
  <c r="AH1098" i="4"/>
  <c r="M1098" i="4"/>
  <c r="G1098" i="4"/>
  <c r="C1098" i="4"/>
  <c r="B1098" i="4"/>
  <c r="AH1097" i="4"/>
  <c r="M1097" i="4"/>
  <c r="G1097" i="4"/>
  <c r="C1097" i="4"/>
  <c r="B1097" i="4"/>
  <c r="AH1096" i="4"/>
  <c r="M1096" i="4"/>
  <c r="G1096" i="4"/>
  <c r="C1096" i="4"/>
  <c r="B1096" i="4"/>
  <c r="AH1095" i="4"/>
  <c r="M1095" i="4"/>
  <c r="G1095" i="4"/>
  <c r="C1095" i="4"/>
  <c r="B1095" i="4"/>
  <c r="AH1094" i="4"/>
  <c r="M1094" i="4"/>
  <c r="G1094" i="4"/>
  <c r="C1094" i="4"/>
  <c r="B1094" i="4"/>
  <c r="AH1093" i="4"/>
  <c r="M1093" i="4"/>
  <c r="G1093" i="4"/>
  <c r="C1093" i="4"/>
  <c r="B1093" i="4"/>
  <c r="AH1092" i="4"/>
  <c r="M1092" i="4"/>
  <c r="G1092" i="4"/>
  <c r="C1092" i="4"/>
  <c r="B1092" i="4"/>
  <c r="AH1091" i="4"/>
  <c r="M1091" i="4"/>
  <c r="G1091" i="4"/>
  <c r="C1091" i="4"/>
  <c r="B1091" i="4"/>
  <c r="AH1090" i="4"/>
  <c r="M1090" i="4"/>
  <c r="G1090" i="4"/>
  <c r="C1090" i="4"/>
  <c r="B1090" i="4"/>
  <c r="AH1089" i="4"/>
  <c r="M1089" i="4"/>
  <c r="G1089" i="4"/>
  <c r="C1089" i="4"/>
  <c r="B1089" i="4"/>
  <c r="AH1088" i="4"/>
  <c r="M1088" i="4"/>
  <c r="G1088" i="4"/>
  <c r="C1088" i="4"/>
  <c r="B1088" i="4"/>
  <c r="AH1087" i="4"/>
  <c r="M1087" i="4"/>
  <c r="G1087" i="4"/>
  <c r="C1087" i="4"/>
  <c r="B1087" i="4"/>
  <c r="AH1086" i="4"/>
  <c r="M1086" i="4"/>
  <c r="G1086" i="4"/>
  <c r="C1086" i="4"/>
  <c r="B1086" i="4"/>
  <c r="AH1085" i="4"/>
  <c r="M1085" i="4"/>
  <c r="G1085" i="4"/>
  <c r="C1085" i="4"/>
  <c r="B1085" i="4"/>
  <c r="AH1084" i="4"/>
  <c r="M1084" i="4"/>
  <c r="G1084" i="4"/>
  <c r="C1084" i="4"/>
  <c r="B1084" i="4"/>
  <c r="AH1083" i="4"/>
  <c r="M1083" i="4"/>
  <c r="G1083" i="4"/>
  <c r="C1083" i="4"/>
  <c r="B1083" i="4"/>
  <c r="AH1082" i="4"/>
  <c r="M1082" i="4"/>
  <c r="G1082" i="4"/>
  <c r="C1082" i="4"/>
  <c r="B1082" i="4"/>
  <c r="AH1081" i="4"/>
  <c r="M1081" i="4"/>
  <c r="G1081" i="4"/>
  <c r="C1081" i="4"/>
  <c r="B1081" i="4"/>
  <c r="AH1080" i="4"/>
  <c r="M1080" i="4"/>
  <c r="G1080" i="4"/>
  <c r="C1080" i="4"/>
  <c r="B1080" i="4"/>
  <c r="AH1079" i="4"/>
  <c r="M1079" i="4"/>
  <c r="G1079" i="4"/>
  <c r="C1079" i="4"/>
  <c r="B1079" i="4"/>
  <c r="AH1078" i="4"/>
  <c r="M1078" i="4"/>
  <c r="G1078" i="4"/>
  <c r="C1078" i="4"/>
  <c r="B1078" i="4"/>
  <c r="AH1077" i="4"/>
  <c r="M1077" i="4"/>
  <c r="G1077" i="4"/>
  <c r="C1077" i="4"/>
  <c r="B1077" i="4"/>
  <c r="AH1076" i="4"/>
  <c r="M1076" i="4"/>
  <c r="G1076" i="4"/>
  <c r="C1076" i="4"/>
  <c r="B1076" i="4"/>
  <c r="AH1075" i="4"/>
  <c r="M1075" i="4"/>
  <c r="G1075" i="4"/>
  <c r="C1075" i="4"/>
  <c r="B1075" i="4"/>
  <c r="AH1074" i="4"/>
  <c r="M1074" i="4"/>
  <c r="G1074" i="4"/>
  <c r="C1074" i="4"/>
  <c r="B1074" i="4"/>
  <c r="AH1073" i="4"/>
  <c r="M1073" i="4"/>
  <c r="G1073" i="4"/>
  <c r="C1073" i="4"/>
  <c r="B1073" i="4"/>
  <c r="AH1072" i="4"/>
  <c r="M1072" i="4"/>
  <c r="G1072" i="4"/>
  <c r="C1072" i="4"/>
  <c r="B1072" i="4"/>
  <c r="AH1071" i="4"/>
  <c r="M1071" i="4"/>
  <c r="G1071" i="4"/>
  <c r="C1071" i="4"/>
  <c r="B1071" i="4"/>
  <c r="AH1070" i="4"/>
  <c r="M1070" i="4"/>
  <c r="G1070" i="4"/>
  <c r="C1070" i="4"/>
  <c r="B1070" i="4"/>
  <c r="AH1069" i="4"/>
  <c r="M1069" i="4"/>
  <c r="G1069" i="4"/>
  <c r="C1069" i="4"/>
  <c r="B1069" i="4"/>
  <c r="AH1068" i="4"/>
  <c r="M1068" i="4"/>
  <c r="G1068" i="4"/>
  <c r="C1068" i="4"/>
  <c r="B1068" i="4"/>
  <c r="AH1067" i="4"/>
  <c r="M1067" i="4"/>
  <c r="G1067" i="4"/>
  <c r="C1067" i="4"/>
  <c r="B1067" i="4"/>
  <c r="AH1066" i="4"/>
  <c r="M1066" i="4"/>
  <c r="G1066" i="4"/>
  <c r="C1066" i="4"/>
  <c r="B1066" i="4"/>
  <c r="AH1065" i="4"/>
  <c r="M1065" i="4"/>
  <c r="G1065" i="4"/>
  <c r="C1065" i="4"/>
  <c r="B1065" i="4"/>
  <c r="AH1064" i="4"/>
  <c r="M1064" i="4"/>
  <c r="G1064" i="4"/>
  <c r="C1064" i="4"/>
  <c r="B1064" i="4"/>
  <c r="AH1063" i="4"/>
  <c r="M1063" i="4"/>
  <c r="G1063" i="4"/>
  <c r="C1063" i="4"/>
  <c r="B1063" i="4"/>
  <c r="AH1062" i="4"/>
  <c r="M1062" i="4"/>
  <c r="G1062" i="4"/>
  <c r="C1062" i="4"/>
  <c r="B1062" i="4"/>
  <c r="AH1061" i="4"/>
  <c r="M1061" i="4"/>
  <c r="G1061" i="4"/>
  <c r="C1061" i="4"/>
  <c r="B1061" i="4"/>
  <c r="AH1060" i="4"/>
  <c r="M1060" i="4"/>
  <c r="G1060" i="4"/>
  <c r="C1060" i="4"/>
  <c r="B1060" i="4"/>
  <c r="AH1059" i="4"/>
  <c r="M1059" i="4"/>
  <c r="G1059" i="4"/>
  <c r="C1059" i="4"/>
  <c r="B1059" i="4"/>
  <c r="AH1058" i="4"/>
  <c r="M1058" i="4"/>
  <c r="G1058" i="4"/>
  <c r="C1058" i="4"/>
  <c r="B1058" i="4"/>
  <c r="AH1057" i="4"/>
  <c r="M1057" i="4"/>
  <c r="G1057" i="4"/>
  <c r="C1057" i="4"/>
  <c r="B1057" i="4"/>
  <c r="AH1056" i="4"/>
  <c r="M1056" i="4"/>
  <c r="G1056" i="4"/>
  <c r="C1056" i="4"/>
  <c r="B1056" i="4"/>
  <c r="AH1055" i="4"/>
  <c r="M1055" i="4"/>
  <c r="G1055" i="4"/>
  <c r="C1055" i="4"/>
  <c r="B1055" i="4"/>
  <c r="AH1054" i="4"/>
  <c r="M1054" i="4"/>
  <c r="G1054" i="4"/>
  <c r="C1054" i="4"/>
  <c r="B1054" i="4"/>
  <c r="AH1053" i="4"/>
  <c r="M1053" i="4"/>
  <c r="G1053" i="4"/>
  <c r="C1053" i="4"/>
  <c r="B1053" i="4"/>
  <c r="AH1052" i="4"/>
  <c r="M1052" i="4"/>
  <c r="G1052" i="4"/>
  <c r="C1052" i="4"/>
  <c r="B1052" i="4"/>
  <c r="AH1051" i="4"/>
  <c r="M1051" i="4"/>
  <c r="G1051" i="4"/>
  <c r="C1051" i="4"/>
  <c r="B1051" i="4"/>
  <c r="AH1050" i="4"/>
  <c r="M1050" i="4"/>
  <c r="G1050" i="4"/>
  <c r="C1050" i="4"/>
  <c r="B1050" i="4"/>
  <c r="AH1049" i="4"/>
  <c r="M1049" i="4"/>
  <c r="G1049" i="4"/>
  <c r="C1049" i="4"/>
  <c r="B1049" i="4"/>
  <c r="AH1048" i="4"/>
  <c r="M1048" i="4"/>
  <c r="G1048" i="4"/>
  <c r="C1048" i="4"/>
  <c r="B1048" i="4"/>
  <c r="AH1047" i="4"/>
  <c r="M1047" i="4"/>
  <c r="G1047" i="4"/>
  <c r="C1047" i="4"/>
  <c r="B1047" i="4"/>
  <c r="AH1046" i="4"/>
  <c r="M1046" i="4"/>
  <c r="G1046" i="4"/>
  <c r="C1046" i="4"/>
  <c r="B1046" i="4"/>
  <c r="AH1045" i="4"/>
  <c r="M1045" i="4"/>
  <c r="G1045" i="4"/>
  <c r="C1045" i="4"/>
  <c r="B1045" i="4"/>
  <c r="AH1044" i="4"/>
  <c r="M1044" i="4"/>
  <c r="G1044" i="4"/>
  <c r="C1044" i="4"/>
  <c r="B1044" i="4"/>
  <c r="AH1043" i="4"/>
  <c r="M1043" i="4"/>
  <c r="G1043" i="4"/>
  <c r="C1043" i="4"/>
  <c r="B1043" i="4"/>
  <c r="AH1042" i="4"/>
  <c r="M1042" i="4"/>
  <c r="G1042" i="4"/>
  <c r="C1042" i="4"/>
  <c r="B1042" i="4"/>
  <c r="AH1041" i="4"/>
  <c r="M1041" i="4"/>
  <c r="G1041" i="4"/>
  <c r="C1041" i="4"/>
  <c r="B1041" i="4"/>
  <c r="AH1040" i="4"/>
  <c r="M1040" i="4"/>
  <c r="G1040" i="4"/>
  <c r="C1040" i="4"/>
  <c r="B1040" i="4"/>
  <c r="AH1039" i="4"/>
  <c r="M1039" i="4"/>
  <c r="G1039" i="4"/>
  <c r="C1039" i="4"/>
  <c r="B1039" i="4"/>
  <c r="AH1038" i="4"/>
  <c r="M1038" i="4"/>
  <c r="G1038" i="4"/>
  <c r="C1038" i="4"/>
  <c r="B1038" i="4"/>
  <c r="AH1037" i="4"/>
  <c r="M1037" i="4"/>
  <c r="G1037" i="4"/>
  <c r="C1037" i="4"/>
  <c r="B1037" i="4"/>
  <c r="AH1036" i="4"/>
  <c r="M1036" i="4"/>
  <c r="G1036" i="4"/>
  <c r="C1036" i="4"/>
  <c r="B1036" i="4"/>
  <c r="AH1035" i="4"/>
  <c r="M1035" i="4"/>
  <c r="G1035" i="4"/>
  <c r="C1035" i="4"/>
  <c r="B1035" i="4"/>
  <c r="AH1034" i="4"/>
  <c r="M1034" i="4"/>
  <c r="G1034" i="4"/>
  <c r="C1034" i="4"/>
  <c r="B1034" i="4"/>
  <c r="AH1033" i="4"/>
  <c r="M1033" i="4"/>
  <c r="G1033" i="4"/>
  <c r="C1033" i="4"/>
  <c r="B1033" i="4"/>
  <c r="AH1032" i="4"/>
  <c r="M1032" i="4"/>
  <c r="G1032" i="4"/>
  <c r="C1032" i="4"/>
  <c r="B1032" i="4"/>
  <c r="AH1031" i="4"/>
  <c r="M1031" i="4"/>
  <c r="G1031" i="4"/>
  <c r="C1031" i="4"/>
  <c r="B1031" i="4"/>
  <c r="AH1030" i="4"/>
  <c r="M1030" i="4"/>
  <c r="G1030" i="4"/>
  <c r="C1030" i="4"/>
  <c r="B1030" i="4"/>
  <c r="AH1029" i="4"/>
  <c r="M1029" i="4"/>
  <c r="G1029" i="4"/>
  <c r="C1029" i="4"/>
  <c r="B1029" i="4"/>
  <c r="AH1028" i="4"/>
  <c r="M1028" i="4"/>
  <c r="G1028" i="4"/>
  <c r="C1028" i="4"/>
  <c r="B1028" i="4"/>
  <c r="AH1027" i="4"/>
  <c r="M1027" i="4"/>
  <c r="G1027" i="4"/>
  <c r="C1027" i="4"/>
  <c r="B1027" i="4"/>
  <c r="AH1026" i="4"/>
  <c r="M1026" i="4"/>
  <c r="G1026" i="4"/>
  <c r="C1026" i="4"/>
  <c r="B1026" i="4"/>
  <c r="AH1025" i="4"/>
  <c r="M1025" i="4"/>
  <c r="G1025" i="4"/>
  <c r="C1025" i="4"/>
  <c r="B1025" i="4"/>
  <c r="AH1024" i="4"/>
  <c r="M1024" i="4"/>
  <c r="G1024" i="4"/>
  <c r="C1024" i="4"/>
  <c r="B1024" i="4"/>
  <c r="AH1023" i="4"/>
  <c r="M1023" i="4"/>
  <c r="G1023" i="4"/>
  <c r="C1023" i="4"/>
  <c r="B1023" i="4"/>
  <c r="AH1022" i="4"/>
  <c r="M1022" i="4"/>
  <c r="G1022" i="4"/>
  <c r="C1022" i="4"/>
  <c r="B1022" i="4"/>
  <c r="AH1021" i="4"/>
  <c r="M1021" i="4"/>
  <c r="G1021" i="4"/>
  <c r="C1021" i="4"/>
  <c r="B1021" i="4"/>
  <c r="AH1020" i="4"/>
  <c r="M1020" i="4"/>
  <c r="G1020" i="4"/>
  <c r="C1020" i="4"/>
  <c r="B1020" i="4"/>
  <c r="AH1019" i="4"/>
  <c r="M1019" i="4"/>
  <c r="G1019" i="4"/>
  <c r="C1019" i="4"/>
  <c r="B1019" i="4"/>
  <c r="AH1018" i="4"/>
  <c r="M1018" i="4"/>
  <c r="G1018" i="4"/>
  <c r="C1018" i="4"/>
  <c r="B1018" i="4"/>
  <c r="AH1017" i="4"/>
  <c r="M1017" i="4"/>
  <c r="G1017" i="4"/>
  <c r="C1017" i="4"/>
  <c r="B1017" i="4"/>
  <c r="AH1016" i="4"/>
  <c r="M1016" i="4"/>
  <c r="G1016" i="4"/>
  <c r="C1016" i="4"/>
  <c r="B1016" i="4"/>
  <c r="AH1015" i="4"/>
  <c r="M1015" i="4"/>
  <c r="G1015" i="4"/>
  <c r="C1015" i="4"/>
  <c r="B1015" i="4"/>
  <c r="AH1014" i="4"/>
  <c r="M1014" i="4"/>
  <c r="G1014" i="4"/>
  <c r="C1014" i="4"/>
  <c r="B1014" i="4"/>
  <c r="AH1013" i="4"/>
  <c r="M1013" i="4"/>
  <c r="G1013" i="4"/>
  <c r="C1013" i="4"/>
  <c r="B1013" i="4"/>
  <c r="AH1012" i="4"/>
  <c r="M1012" i="4"/>
  <c r="G1012" i="4"/>
  <c r="C1012" i="4"/>
  <c r="B1012" i="4"/>
  <c r="AH1011" i="4"/>
  <c r="M1011" i="4"/>
  <c r="G1011" i="4"/>
  <c r="C1011" i="4"/>
  <c r="B1011" i="4"/>
  <c r="AH1010" i="4"/>
  <c r="M1010" i="4"/>
  <c r="G1010" i="4"/>
  <c r="C1010" i="4"/>
  <c r="B1010" i="4"/>
  <c r="AH1009" i="4"/>
  <c r="M1009" i="4"/>
  <c r="G1009" i="4"/>
  <c r="C1009" i="4"/>
  <c r="B1009" i="4"/>
  <c r="AH1008" i="4"/>
  <c r="M1008" i="4"/>
  <c r="G1008" i="4"/>
  <c r="C1008" i="4"/>
  <c r="B1008" i="4"/>
  <c r="AH1007" i="4"/>
  <c r="M1007" i="4"/>
  <c r="G1007" i="4"/>
  <c r="C1007" i="4"/>
  <c r="B1007" i="4"/>
  <c r="AH1006" i="4"/>
  <c r="M1006" i="4"/>
  <c r="G1006" i="4"/>
  <c r="C1006" i="4"/>
  <c r="B1006" i="4"/>
  <c r="AH1005" i="4"/>
  <c r="M1005" i="4"/>
  <c r="G1005" i="4"/>
  <c r="C1005" i="4"/>
  <c r="B1005" i="4"/>
  <c r="AH1004" i="4"/>
  <c r="M1004" i="4"/>
  <c r="G1004" i="4"/>
  <c r="C1004" i="4"/>
  <c r="B1004" i="4"/>
  <c r="AH1003" i="4"/>
  <c r="M1003" i="4"/>
  <c r="G1003" i="4"/>
  <c r="C1003" i="4"/>
  <c r="B1003" i="4"/>
  <c r="AH1002" i="4"/>
  <c r="M1002" i="4"/>
  <c r="G1002" i="4"/>
  <c r="C1002" i="4"/>
  <c r="B1002" i="4"/>
  <c r="AH1001" i="4"/>
  <c r="M1001" i="4"/>
  <c r="G1001" i="4"/>
  <c r="C1001" i="4"/>
  <c r="B1001" i="4"/>
  <c r="AH1000" i="4"/>
  <c r="M1000" i="4"/>
  <c r="G1000" i="4"/>
  <c r="C1000" i="4"/>
  <c r="B1000" i="4"/>
  <c r="AH999" i="4"/>
  <c r="M999" i="4"/>
  <c r="G999" i="4"/>
  <c r="C999" i="4"/>
  <c r="B999" i="4"/>
  <c r="AH998" i="4"/>
  <c r="M998" i="4"/>
  <c r="G998" i="4"/>
  <c r="C998" i="4"/>
  <c r="B998" i="4"/>
  <c r="AH997" i="4"/>
  <c r="M997" i="4"/>
  <c r="G997" i="4"/>
  <c r="C997" i="4"/>
  <c r="B997" i="4"/>
  <c r="AH996" i="4"/>
  <c r="M996" i="4"/>
  <c r="G996" i="4"/>
  <c r="C996" i="4"/>
  <c r="B996" i="4"/>
  <c r="AH995" i="4"/>
  <c r="M995" i="4"/>
  <c r="G995" i="4"/>
  <c r="C995" i="4"/>
  <c r="B995" i="4"/>
  <c r="AH994" i="4"/>
  <c r="M994" i="4"/>
  <c r="G994" i="4"/>
  <c r="C994" i="4"/>
  <c r="B994" i="4"/>
  <c r="AH993" i="4"/>
  <c r="M993" i="4"/>
  <c r="G993" i="4"/>
  <c r="C993" i="4"/>
  <c r="B993" i="4"/>
  <c r="AH992" i="4"/>
  <c r="M992" i="4"/>
  <c r="G992" i="4"/>
  <c r="C992" i="4"/>
  <c r="B992" i="4"/>
  <c r="AH991" i="4"/>
  <c r="M991" i="4"/>
  <c r="G991" i="4"/>
  <c r="C991" i="4"/>
  <c r="B991" i="4"/>
  <c r="AH990" i="4"/>
  <c r="M990" i="4"/>
  <c r="G990" i="4"/>
  <c r="C990" i="4"/>
  <c r="B990" i="4"/>
  <c r="AH989" i="4"/>
  <c r="M989" i="4"/>
  <c r="G989" i="4"/>
  <c r="C989" i="4"/>
  <c r="B989" i="4"/>
  <c r="AH988" i="4"/>
  <c r="M988" i="4"/>
  <c r="G988" i="4"/>
  <c r="C988" i="4"/>
  <c r="B988" i="4"/>
  <c r="AH987" i="4"/>
  <c r="M987" i="4"/>
  <c r="G987" i="4"/>
  <c r="C987" i="4"/>
  <c r="B987" i="4"/>
  <c r="AH986" i="4"/>
  <c r="M986" i="4"/>
  <c r="G986" i="4"/>
  <c r="C986" i="4"/>
  <c r="B986" i="4"/>
  <c r="AH985" i="4"/>
  <c r="M985" i="4"/>
  <c r="G985" i="4"/>
  <c r="C985" i="4"/>
  <c r="B985" i="4"/>
  <c r="AH984" i="4"/>
  <c r="M984" i="4"/>
  <c r="G984" i="4"/>
  <c r="C984" i="4"/>
  <c r="B984" i="4"/>
  <c r="AH983" i="4"/>
  <c r="M983" i="4"/>
  <c r="G983" i="4"/>
  <c r="C983" i="4"/>
  <c r="B983" i="4"/>
  <c r="AH982" i="4"/>
  <c r="M982" i="4"/>
  <c r="G982" i="4"/>
  <c r="C982" i="4"/>
  <c r="B982" i="4"/>
  <c r="AH981" i="4"/>
  <c r="M981" i="4"/>
  <c r="G981" i="4"/>
  <c r="C981" i="4"/>
  <c r="B981" i="4"/>
  <c r="AH980" i="4"/>
  <c r="M980" i="4"/>
  <c r="G980" i="4"/>
  <c r="C980" i="4"/>
  <c r="B980" i="4"/>
  <c r="AH979" i="4"/>
  <c r="M979" i="4"/>
  <c r="G979" i="4"/>
  <c r="C979" i="4"/>
  <c r="B979" i="4"/>
  <c r="AH978" i="4"/>
  <c r="M978" i="4"/>
  <c r="G978" i="4"/>
  <c r="C978" i="4"/>
  <c r="B978" i="4"/>
  <c r="AH977" i="4"/>
  <c r="M977" i="4"/>
  <c r="G977" i="4"/>
  <c r="C977" i="4"/>
  <c r="B977" i="4"/>
  <c r="AH976" i="4"/>
  <c r="M976" i="4"/>
  <c r="G976" i="4"/>
  <c r="C976" i="4"/>
  <c r="B976" i="4"/>
  <c r="AH975" i="4"/>
  <c r="M975" i="4"/>
  <c r="G975" i="4"/>
  <c r="C975" i="4"/>
  <c r="B975" i="4"/>
  <c r="AH974" i="4"/>
  <c r="M974" i="4"/>
  <c r="G974" i="4"/>
  <c r="C974" i="4"/>
  <c r="B974" i="4"/>
  <c r="AH973" i="4"/>
  <c r="M973" i="4"/>
  <c r="G973" i="4"/>
  <c r="C973" i="4"/>
  <c r="B973" i="4"/>
  <c r="AH972" i="4"/>
  <c r="M972" i="4"/>
  <c r="G972" i="4"/>
  <c r="C972" i="4"/>
  <c r="B972" i="4"/>
  <c r="AH971" i="4"/>
  <c r="M971" i="4"/>
  <c r="G971" i="4"/>
  <c r="C971" i="4"/>
  <c r="B971" i="4"/>
  <c r="H79" i="7"/>
  <c r="A79" i="7" s="1"/>
  <c r="B78" i="7"/>
  <c r="C78" i="7"/>
  <c r="F78" i="7"/>
  <c r="G78" i="7" s="1"/>
  <c r="H78" i="7"/>
  <c r="A78" i="7" s="1"/>
  <c r="H77" i="7"/>
  <c r="A77" i="7" s="1"/>
  <c r="H76" i="7"/>
  <c r="A76" i="7" s="1"/>
  <c r="A75" i="7"/>
  <c r="B75" i="7"/>
  <c r="C75" i="7"/>
  <c r="F75" i="7"/>
  <c r="G75" i="7" s="1"/>
  <c r="H75" i="7"/>
  <c r="B74" i="7"/>
  <c r="C74" i="7"/>
  <c r="F74" i="7"/>
  <c r="G74" i="7" s="1"/>
  <c r="H74" i="7"/>
  <c r="A74" i="7" s="1"/>
  <c r="H73" i="7"/>
  <c r="A73" i="7" s="1"/>
  <c r="H72" i="7"/>
  <c r="A72" i="7" s="1"/>
  <c r="H71" i="7"/>
  <c r="A71" i="7" s="1"/>
  <c r="H70" i="7"/>
  <c r="A70" i="7" s="1"/>
  <c r="A69" i="7"/>
  <c r="C69" i="7"/>
  <c r="F69" i="7"/>
  <c r="G69" i="7" s="1"/>
  <c r="H69" i="7"/>
  <c r="B69" i="7" s="1"/>
  <c r="G84" i="6"/>
  <c r="I84" i="6"/>
  <c r="G83" i="6"/>
  <c r="I83" i="6"/>
  <c r="G82" i="6"/>
  <c r="I82" i="6"/>
  <c r="G81" i="6"/>
  <c r="I81" i="6"/>
  <c r="G80" i="6"/>
  <c r="I80" i="6"/>
  <c r="G79" i="6"/>
  <c r="I79" i="6"/>
  <c r="G78" i="6"/>
  <c r="I78" i="6"/>
  <c r="G77" i="6"/>
  <c r="I77" i="6"/>
  <c r="G76" i="6"/>
  <c r="I76" i="6"/>
  <c r="G75" i="6"/>
  <c r="I75" i="6"/>
  <c r="G74" i="6"/>
  <c r="I74" i="6"/>
  <c r="G73" i="6"/>
  <c r="I73" i="6"/>
  <c r="G72" i="6"/>
  <c r="I72" i="6"/>
  <c r="G71" i="6"/>
  <c r="I71" i="6"/>
  <c r="G70" i="6"/>
  <c r="I70" i="6"/>
  <c r="F71" i="1"/>
  <c r="F72" i="1"/>
  <c r="F73" i="1"/>
  <c r="F74" i="1"/>
  <c r="F75" i="1"/>
  <c r="F76" i="1"/>
  <c r="F77" i="1"/>
  <c r="F78" i="1"/>
  <c r="F79" i="1"/>
  <c r="F80" i="1"/>
  <c r="AB71" i="1"/>
  <c r="AB72" i="1"/>
  <c r="AB73" i="1"/>
  <c r="AB74" i="1"/>
  <c r="AB75" i="1"/>
  <c r="AB76" i="1"/>
  <c r="AB77" i="1"/>
  <c r="AB78" i="1"/>
  <c r="AB79" i="1"/>
  <c r="AB80" i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H72" i="1"/>
  <c r="AH73" i="1"/>
  <c r="AH74" i="1"/>
  <c r="AH75" i="1"/>
  <c r="AH76" i="1"/>
  <c r="AH77" i="1"/>
  <c r="AH78" i="1"/>
  <c r="AH79" i="1"/>
  <c r="K4" i="12" l="1"/>
  <c r="O4" i="12"/>
  <c r="AE76" i="1"/>
  <c r="AI1122" i="4"/>
  <c r="AI1138" i="4"/>
  <c r="AE79" i="1"/>
  <c r="AE82" i="1"/>
  <c r="AI1144" i="4"/>
  <c r="AI1126" i="4"/>
  <c r="AI1139" i="4"/>
  <c r="AE72" i="1"/>
  <c r="AE80" i="1"/>
  <c r="B4" i="12"/>
  <c r="AI1143" i="4"/>
  <c r="AI1142" i="4"/>
  <c r="AI1131" i="4"/>
  <c r="AI1140" i="4"/>
  <c r="AI1136" i="4"/>
  <c r="AI1145" i="4"/>
  <c r="AI1135" i="4"/>
  <c r="AI1129" i="4"/>
  <c r="AI1146" i="4"/>
  <c r="AE83" i="1"/>
  <c r="B4" i="10"/>
  <c r="AB1146" i="4"/>
  <c r="AB1145" i="4"/>
  <c r="AB1144" i="4"/>
  <c r="AB1143" i="4"/>
  <c r="AC1143" i="4"/>
  <c r="AD1141" i="4"/>
  <c r="AI1141" i="4" s="1"/>
  <c r="AB1140" i="4"/>
  <c r="AB1139" i="4"/>
  <c r="AB1136" i="4"/>
  <c r="AI1133" i="4"/>
  <c r="AI1123" i="4"/>
  <c r="AI1130" i="4"/>
  <c r="AB1142" i="4"/>
  <c r="AI1127" i="4"/>
  <c r="AI1128" i="4"/>
  <c r="AE74" i="1"/>
  <c r="AC1133" i="4"/>
  <c r="AD1132" i="4"/>
  <c r="AI1132" i="4" s="1"/>
  <c r="AC1132" i="4"/>
  <c r="AC1129" i="4"/>
  <c r="AB1128" i="4"/>
  <c r="AC1128" i="4"/>
  <c r="AB1126" i="4"/>
  <c r="AD1125" i="4"/>
  <c r="AI1125" i="4" s="1"/>
  <c r="AB1125" i="4"/>
  <c r="AB1123" i="4"/>
  <c r="AC1123" i="4"/>
  <c r="AB1129" i="4"/>
  <c r="AE71" i="1"/>
  <c r="AE78" i="1"/>
  <c r="AE73" i="1"/>
  <c r="AE81" i="1"/>
  <c r="AE77" i="1"/>
  <c r="AE75" i="1"/>
  <c r="H45" i="15"/>
  <c r="B44" i="15"/>
  <c r="C102" i="14"/>
  <c r="C101" i="14"/>
  <c r="C98" i="14"/>
  <c r="C92" i="14"/>
  <c r="C91" i="14"/>
  <c r="C90" i="14"/>
  <c r="C89" i="14"/>
  <c r="C88" i="14"/>
  <c r="C87" i="14"/>
  <c r="C85" i="14"/>
  <c r="C83" i="14"/>
  <c r="C81" i="14"/>
  <c r="C80" i="14"/>
  <c r="C77" i="14"/>
  <c r="C75" i="14"/>
  <c r="C73" i="14"/>
  <c r="C72" i="14"/>
  <c r="C71" i="14"/>
  <c r="C68" i="14"/>
  <c r="F79" i="7"/>
  <c r="G79" i="7" s="1"/>
  <c r="C79" i="7"/>
  <c r="B79" i="7"/>
  <c r="F77" i="7"/>
  <c r="G77" i="7" s="1"/>
  <c r="C77" i="7"/>
  <c r="B77" i="7"/>
  <c r="F76" i="7"/>
  <c r="G76" i="7" s="1"/>
  <c r="C76" i="7"/>
  <c r="B76" i="7"/>
  <c r="F73" i="7"/>
  <c r="G73" i="7" s="1"/>
  <c r="C73" i="7"/>
  <c r="B73" i="7"/>
  <c r="F72" i="7"/>
  <c r="G72" i="7" s="1"/>
  <c r="C72" i="7"/>
  <c r="B72" i="7"/>
  <c r="F71" i="7"/>
  <c r="G71" i="7" s="1"/>
  <c r="C71" i="7"/>
  <c r="B71" i="7"/>
  <c r="F70" i="7"/>
  <c r="G70" i="7" s="1"/>
  <c r="C70" i="7"/>
  <c r="B70" i="7"/>
  <c r="C45" i="15" l="1"/>
  <c r="B45" i="15"/>
  <c r="H46" i="15"/>
  <c r="H47" i="15" l="1"/>
  <c r="C46" i="15"/>
  <c r="B46" i="15"/>
  <c r="H48" i="15" l="1"/>
  <c r="C47" i="15"/>
  <c r="B47" i="15"/>
  <c r="B48" i="15" l="1"/>
  <c r="H49" i="15"/>
  <c r="C48" i="15"/>
  <c r="C49" i="15" l="1"/>
  <c r="H50" i="15"/>
  <c r="B49" i="15"/>
  <c r="H51" i="15" l="1"/>
  <c r="C50" i="15"/>
  <c r="B50" i="15"/>
  <c r="C51" i="15" l="1"/>
  <c r="B51" i="15"/>
  <c r="H52" i="15"/>
  <c r="C52" i="15" l="1"/>
  <c r="B52" i="15"/>
  <c r="H53" i="15"/>
  <c r="C53" i="15" l="1"/>
  <c r="B53" i="15"/>
  <c r="H54" i="15"/>
  <c r="H55" i="15" l="1"/>
  <c r="C54" i="15"/>
  <c r="B54" i="15"/>
  <c r="H56" i="15" l="1"/>
  <c r="C55" i="15"/>
  <c r="B55" i="15"/>
  <c r="H57" i="15" l="1"/>
  <c r="C56" i="15"/>
  <c r="B56" i="15"/>
  <c r="C57" i="15" l="1"/>
  <c r="H58" i="15"/>
  <c r="B57" i="15"/>
  <c r="H59" i="15" l="1"/>
  <c r="C58" i="15"/>
  <c r="B58" i="15"/>
  <c r="H60" i="15" l="1"/>
  <c r="C59" i="15"/>
  <c r="B59" i="15"/>
  <c r="C60" i="15" l="1"/>
  <c r="B60" i="15"/>
  <c r="H61" i="15"/>
  <c r="C61" i="15" l="1"/>
  <c r="B61" i="15"/>
  <c r="H62" i="15"/>
  <c r="H63" i="15" l="1"/>
  <c r="C62" i="15"/>
  <c r="B62" i="15"/>
  <c r="H64" i="15" l="1"/>
  <c r="C63" i="15"/>
  <c r="B63" i="15"/>
  <c r="C64" i="15" l="1"/>
  <c r="B64" i="15"/>
  <c r="H65" i="15"/>
  <c r="H66" i="15" l="1"/>
  <c r="C65" i="15"/>
  <c r="B65" i="15"/>
  <c r="H67" i="15" l="1"/>
  <c r="C66" i="15"/>
  <c r="B66" i="15"/>
  <c r="C67" i="15" l="1"/>
  <c r="B67" i="15"/>
  <c r="H68" i="15"/>
  <c r="C68" i="15" l="1"/>
  <c r="B68" i="15"/>
  <c r="H69" i="15"/>
  <c r="C69" i="15" l="1"/>
  <c r="B69" i="15"/>
  <c r="H70" i="15"/>
  <c r="H71" i="15" l="1"/>
  <c r="C70" i="15"/>
  <c r="B70" i="15"/>
  <c r="H72" i="15" l="1"/>
  <c r="C71" i="15"/>
  <c r="B71" i="15"/>
  <c r="C72" i="15" l="1"/>
  <c r="B72" i="15"/>
  <c r="H73" i="15"/>
  <c r="C73" i="15" l="1"/>
  <c r="H74" i="15"/>
  <c r="B73" i="15"/>
  <c r="H75" i="15" l="1"/>
  <c r="C74" i="15"/>
  <c r="B74" i="15"/>
  <c r="H76" i="15" l="1"/>
  <c r="C75" i="15"/>
  <c r="B75" i="15"/>
  <c r="C76" i="15" l="1"/>
  <c r="B76" i="15"/>
  <c r="H77" i="15"/>
  <c r="C77" i="15" l="1"/>
  <c r="B77" i="15"/>
  <c r="H78" i="15"/>
  <c r="H79" i="15" l="1"/>
  <c r="C78" i="15"/>
  <c r="B78" i="15"/>
  <c r="H80" i="15" l="1"/>
  <c r="C79" i="15"/>
  <c r="B79" i="15"/>
  <c r="H81" i="15" l="1"/>
  <c r="B80" i="15"/>
  <c r="C80" i="15"/>
  <c r="C81" i="15" l="1"/>
  <c r="H82" i="15"/>
  <c r="B81" i="15"/>
  <c r="H83" i="15" l="1"/>
  <c r="C82" i="15"/>
  <c r="B82" i="15"/>
  <c r="C83" i="15" l="1"/>
  <c r="B83" i="15"/>
  <c r="H84" i="15"/>
  <c r="C84" i="15" l="1"/>
  <c r="B84" i="15"/>
  <c r="H85" i="15"/>
  <c r="C85" i="15" l="1"/>
  <c r="B85" i="15"/>
  <c r="H86" i="15"/>
  <c r="H87" i="15" l="1"/>
  <c r="C86" i="15"/>
  <c r="B86" i="15"/>
  <c r="H88" i="15" l="1"/>
  <c r="C87" i="15"/>
  <c r="B87" i="15"/>
  <c r="B88" i="15" l="1"/>
  <c r="H89" i="15"/>
  <c r="C88" i="15"/>
  <c r="C89" i="15" l="1"/>
  <c r="H90" i="15"/>
  <c r="B89" i="15"/>
  <c r="H91" i="15" l="1"/>
  <c r="C90" i="15"/>
  <c r="B90" i="15"/>
  <c r="H92" i="15" l="1"/>
  <c r="C91" i="15"/>
  <c r="B91" i="15"/>
  <c r="C92" i="15" l="1"/>
  <c r="B92" i="15"/>
  <c r="H93" i="15"/>
  <c r="C93" i="15" l="1"/>
  <c r="B93" i="15"/>
  <c r="H94" i="15"/>
  <c r="H95" i="15" l="1"/>
  <c r="C94" i="15"/>
  <c r="B94" i="15"/>
  <c r="H96" i="15" l="1"/>
  <c r="C95" i="15"/>
  <c r="B95" i="15"/>
  <c r="H97" i="15" l="1"/>
  <c r="C96" i="15"/>
  <c r="B96" i="15"/>
  <c r="C97" i="15" l="1"/>
  <c r="H98" i="15"/>
  <c r="B97" i="15"/>
  <c r="H99" i="15" l="1"/>
  <c r="C98" i="15"/>
  <c r="B98" i="15"/>
  <c r="C99" i="15" l="1"/>
  <c r="B99" i="15"/>
  <c r="H100" i="15"/>
  <c r="B100" i="15" l="1"/>
  <c r="H101" i="15"/>
  <c r="B101" i="15" l="1"/>
  <c r="H102" i="15"/>
  <c r="H103" i="15" l="1"/>
  <c r="C102" i="15"/>
  <c r="B102" i="15"/>
  <c r="H104" i="15" l="1"/>
  <c r="C103" i="15"/>
  <c r="B103" i="15"/>
  <c r="B104" i="15" l="1"/>
  <c r="H105" i="15"/>
  <c r="C104" i="15"/>
  <c r="C105" i="15" l="1"/>
  <c r="H106" i="15"/>
  <c r="B105" i="15"/>
  <c r="H107" i="15" l="1"/>
  <c r="C106" i="15"/>
  <c r="B106" i="15"/>
  <c r="H108" i="15" l="1"/>
  <c r="C107" i="15"/>
  <c r="B107" i="15"/>
  <c r="C108" i="15" l="1"/>
  <c r="B108" i="15"/>
  <c r="H109" i="15"/>
  <c r="C109" i="15" l="1"/>
  <c r="B109" i="15"/>
  <c r="H110" i="15"/>
  <c r="H111" i="15" l="1"/>
  <c r="C110" i="15"/>
  <c r="B110" i="15"/>
  <c r="H112" i="15" l="1"/>
  <c r="C111" i="15"/>
  <c r="B111" i="15"/>
  <c r="C112" i="15" l="1"/>
  <c r="B112" i="15"/>
  <c r="H113" i="15"/>
  <c r="C113" i="15" l="1"/>
  <c r="H114" i="15"/>
  <c r="B113" i="15"/>
  <c r="H115" i="15" l="1"/>
  <c r="C114" i="15"/>
  <c r="B114" i="15"/>
  <c r="H116" i="15" l="1"/>
  <c r="C115" i="15"/>
  <c r="B115" i="15"/>
  <c r="C116" i="15" l="1"/>
  <c r="B116" i="15"/>
  <c r="H117" i="15"/>
  <c r="C117" i="15" l="1"/>
  <c r="B117" i="15"/>
  <c r="H118" i="15"/>
  <c r="H119" i="15" l="1"/>
  <c r="C118" i="15"/>
  <c r="B118" i="15"/>
  <c r="H120" i="15" l="1"/>
  <c r="C119" i="15"/>
  <c r="B119" i="15"/>
  <c r="H121" i="15" l="1"/>
  <c r="C120" i="15"/>
  <c r="B120" i="15"/>
  <c r="C121" i="15" l="1"/>
  <c r="H122" i="15"/>
  <c r="B121" i="15"/>
  <c r="H123" i="15" l="1"/>
  <c r="C122" i="15"/>
  <c r="B122" i="15"/>
  <c r="C123" i="15" l="1"/>
  <c r="B123" i="15"/>
  <c r="H124" i="15"/>
  <c r="C124" i="15" l="1"/>
  <c r="B124" i="15"/>
  <c r="H125" i="15"/>
  <c r="C125" i="15" l="1"/>
  <c r="B125" i="15"/>
  <c r="H126" i="15"/>
  <c r="H127" i="15" l="1"/>
  <c r="C126" i="15"/>
  <c r="B126" i="15"/>
  <c r="H128" i="15" l="1"/>
  <c r="C127" i="15"/>
  <c r="B127" i="15"/>
  <c r="C128" i="15" l="1"/>
  <c r="B128" i="15"/>
  <c r="H129" i="15"/>
  <c r="C129" i="15" l="1"/>
  <c r="H130" i="15"/>
  <c r="B129" i="15"/>
  <c r="H131" i="15" l="1"/>
  <c r="C130" i="15"/>
  <c r="B130" i="15"/>
  <c r="H132" i="15" l="1"/>
  <c r="C131" i="15"/>
  <c r="B131" i="15"/>
  <c r="C132" i="15" l="1"/>
  <c r="B132" i="15"/>
  <c r="H133" i="15"/>
  <c r="C133" i="15" l="1"/>
  <c r="B133" i="15"/>
  <c r="H134" i="15"/>
  <c r="H135" i="15" l="1"/>
  <c r="C134" i="15"/>
  <c r="B134" i="15"/>
  <c r="H136" i="15" l="1"/>
  <c r="C135" i="15"/>
  <c r="B135" i="15"/>
  <c r="C136" i="15" l="1"/>
  <c r="B136" i="15"/>
  <c r="H137" i="15"/>
  <c r="C137" i="15" l="1"/>
  <c r="H138" i="15"/>
  <c r="B137" i="15"/>
  <c r="H139" i="15" l="1"/>
  <c r="C138" i="15"/>
  <c r="B138" i="15"/>
  <c r="C139" i="15" l="1"/>
  <c r="B139" i="15"/>
  <c r="H140" i="15"/>
  <c r="C140" i="15" l="1"/>
  <c r="B140" i="15"/>
  <c r="H141" i="15"/>
  <c r="C141" i="15" l="1"/>
  <c r="B141" i="15"/>
  <c r="H142" i="15"/>
  <c r="H143" i="15" l="1"/>
  <c r="C142" i="15"/>
  <c r="B142" i="15"/>
  <c r="H144" i="15" l="1"/>
  <c r="C143" i="15"/>
  <c r="B143" i="15"/>
  <c r="H145" i="15" l="1"/>
  <c r="C144" i="15"/>
  <c r="B144" i="15"/>
  <c r="C145" i="15" l="1"/>
  <c r="H146" i="15"/>
  <c r="B145" i="15"/>
  <c r="H147" i="15" l="1"/>
  <c r="C146" i="15"/>
  <c r="B146" i="15"/>
  <c r="C147" i="15" l="1"/>
  <c r="B147" i="15"/>
  <c r="H148" i="15"/>
  <c r="C148" i="15" l="1"/>
  <c r="B148" i="15"/>
  <c r="H149" i="15"/>
  <c r="C149" i="15" l="1"/>
  <c r="B149" i="15"/>
  <c r="H150" i="15"/>
  <c r="H151" i="15" l="1"/>
  <c r="C150" i="15"/>
  <c r="B150" i="15"/>
  <c r="H152" i="15" l="1"/>
  <c r="C151" i="15"/>
  <c r="B151" i="15"/>
  <c r="C152" i="15" l="1"/>
  <c r="B152" i="15"/>
  <c r="G30" i="11" l="1"/>
  <c r="M30" i="11"/>
  <c r="P30" i="11"/>
  <c r="W30" i="11"/>
  <c r="X30" i="11"/>
  <c r="Y30" i="11"/>
  <c r="A68" i="7"/>
  <c r="C68" i="7"/>
  <c r="F68" i="7"/>
  <c r="G68" i="7" s="1"/>
  <c r="H68" i="7"/>
  <c r="B68" i="7" s="1"/>
  <c r="G69" i="6"/>
  <c r="I69" i="6"/>
  <c r="AC958" i="4"/>
  <c r="AB964" i="4"/>
  <c r="AD965" i="4"/>
  <c r="AB967" i="4"/>
  <c r="AD968" i="4"/>
  <c r="AC969" i="4"/>
  <c r="AA958" i="4"/>
  <c r="AA965" i="4"/>
  <c r="AA967" i="4"/>
  <c r="AA968" i="4"/>
  <c r="AH970" i="4"/>
  <c r="M970" i="4"/>
  <c r="G970" i="4"/>
  <c r="C970" i="4"/>
  <c r="B970" i="4"/>
  <c r="AH969" i="4"/>
  <c r="M969" i="4"/>
  <c r="G969" i="4"/>
  <c r="C969" i="4"/>
  <c r="B969" i="4"/>
  <c r="AH968" i="4"/>
  <c r="M968" i="4"/>
  <c r="G968" i="4"/>
  <c r="C968" i="4"/>
  <c r="B968" i="4"/>
  <c r="AH967" i="4"/>
  <c r="M967" i="4"/>
  <c r="G967" i="4"/>
  <c r="C967" i="4"/>
  <c r="B967" i="4"/>
  <c r="AH966" i="4"/>
  <c r="AD966" i="4"/>
  <c r="AC966" i="4"/>
  <c r="AB966" i="4"/>
  <c r="AA966" i="4"/>
  <c r="M966" i="4"/>
  <c r="G966" i="4"/>
  <c r="C966" i="4"/>
  <c r="B966" i="4"/>
  <c r="AH965" i="4"/>
  <c r="M965" i="4"/>
  <c r="G965" i="4"/>
  <c r="C965" i="4"/>
  <c r="B965" i="4"/>
  <c r="AH964" i="4"/>
  <c r="AD964" i="4"/>
  <c r="AC964" i="4"/>
  <c r="AA964" i="4"/>
  <c r="M964" i="4"/>
  <c r="G964" i="4"/>
  <c r="C964" i="4"/>
  <c r="B964" i="4"/>
  <c r="AH963" i="4"/>
  <c r="AD963" i="4"/>
  <c r="AC963" i="4"/>
  <c r="AB963" i="4"/>
  <c r="AA963" i="4"/>
  <c r="M963" i="4"/>
  <c r="G963" i="4"/>
  <c r="C963" i="4"/>
  <c r="B963" i="4"/>
  <c r="AH962" i="4"/>
  <c r="AD962" i="4"/>
  <c r="AC962" i="4"/>
  <c r="AB962" i="4"/>
  <c r="AA962" i="4"/>
  <c r="M962" i="4"/>
  <c r="G962" i="4"/>
  <c r="C962" i="4"/>
  <c r="B962" i="4"/>
  <c r="AH961" i="4"/>
  <c r="AD961" i="4"/>
  <c r="AC961" i="4"/>
  <c r="AB961" i="4"/>
  <c r="AA961" i="4"/>
  <c r="M961" i="4"/>
  <c r="G961" i="4"/>
  <c r="C961" i="4"/>
  <c r="B961" i="4"/>
  <c r="AH960" i="4"/>
  <c r="M960" i="4"/>
  <c r="G960" i="4"/>
  <c r="C960" i="4"/>
  <c r="B960" i="4"/>
  <c r="AH959" i="4"/>
  <c r="AD959" i="4"/>
  <c r="AC959" i="4"/>
  <c r="AB959" i="4"/>
  <c r="AA959" i="4"/>
  <c r="M959" i="4"/>
  <c r="G959" i="4"/>
  <c r="C959" i="4"/>
  <c r="B959" i="4"/>
  <c r="AH958" i="4"/>
  <c r="M958" i="4"/>
  <c r="G958" i="4"/>
  <c r="C958" i="4"/>
  <c r="B958" i="4"/>
  <c r="AI959" i="4" l="1"/>
  <c r="AI963" i="4"/>
  <c r="AI968" i="4"/>
  <c r="AI964" i="4"/>
  <c r="AI965" i="4"/>
  <c r="AI961" i="4"/>
  <c r="AI966" i="4"/>
  <c r="AI962" i="4"/>
  <c r="AB30" i="11"/>
  <c r="AD969" i="4"/>
  <c r="AI969" i="4" s="1"/>
  <c r="AB969" i="4"/>
  <c r="AA969" i="4"/>
  <c r="AC968" i="4"/>
  <c r="AB968" i="4"/>
  <c r="AD967" i="4"/>
  <c r="AI967" i="4" s="1"/>
  <c r="AC967" i="4"/>
  <c r="AC965" i="4"/>
  <c r="AB958" i="4"/>
  <c r="AD958" i="4"/>
  <c r="AI958" i="4" s="1"/>
  <c r="AB965" i="4"/>
  <c r="F70" i="1" l="1"/>
  <c r="AB70" i="1"/>
  <c r="AC70" i="1"/>
  <c r="AD70" i="1"/>
  <c r="AF70" i="1"/>
  <c r="AG70" i="1" s="1"/>
  <c r="G29" i="11"/>
  <c r="M29" i="11"/>
  <c r="P29" i="11"/>
  <c r="W29" i="11"/>
  <c r="X29" i="11"/>
  <c r="Y29" i="11"/>
  <c r="AD945" i="4"/>
  <c r="AD946" i="4"/>
  <c r="AD948" i="4"/>
  <c r="AD949" i="4"/>
  <c r="AD950" i="4"/>
  <c r="AD952" i="4"/>
  <c r="AD953" i="4"/>
  <c r="AB954" i="4"/>
  <c r="AC955" i="4"/>
  <c r="AD956" i="4"/>
  <c r="AA945" i="4"/>
  <c r="AA948" i="4"/>
  <c r="AA949" i="4"/>
  <c r="AA950" i="4"/>
  <c r="AA951" i="4"/>
  <c r="AA952" i="4"/>
  <c r="AA953" i="4"/>
  <c r="AA954" i="4"/>
  <c r="AA955" i="4"/>
  <c r="AA956" i="4"/>
  <c r="AH957" i="4"/>
  <c r="M957" i="4"/>
  <c r="G957" i="4"/>
  <c r="C957" i="4"/>
  <c r="B957" i="4"/>
  <c r="AH956" i="4"/>
  <c r="M956" i="4"/>
  <c r="G956" i="4"/>
  <c r="C956" i="4"/>
  <c r="B956" i="4"/>
  <c r="AH955" i="4"/>
  <c r="M955" i="4"/>
  <c r="G955" i="4"/>
  <c r="C955" i="4"/>
  <c r="B955" i="4"/>
  <c r="AH954" i="4"/>
  <c r="M954" i="4"/>
  <c r="G954" i="4"/>
  <c r="C954" i="4"/>
  <c r="B954" i="4"/>
  <c r="AH953" i="4"/>
  <c r="M953" i="4"/>
  <c r="G953" i="4"/>
  <c r="C953" i="4"/>
  <c r="B953" i="4"/>
  <c r="AH952" i="4"/>
  <c r="M952" i="4"/>
  <c r="G952" i="4"/>
  <c r="C952" i="4"/>
  <c r="B952" i="4"/>
  <c r="AH951" i="4"/>
  <c r="AD951" i="4"/>
  <c r="AC951" i="4"/>
  <c r="AB951" i="4"/>
  <c r="M951" i="4"/>
  <c r="G951" i="4"/>
  <c r="C951" i="4"/>
  <c r="B951" i="4"/>
  <c r="AH950" i="4"/>
  <c r="M950" i="4"/>
  <c r="G950" i="4"/>
  <c r="C950" i="4"/>
  <c r="B950" i="4"/>
  <c r="AH949" i="4"/>
  <c r="M949" i="4"/>
  <c r="G949" i="4"/>
  <c r="C949" i="4"/>
  <c r="B949" i="4"/>
  <c r="AH948" i="4"/>
  <c r="M948" i="4"/>
  <c r="G948" i="4"/>
  <c r="C948" i="4"/>
  <c r="B948" i="4"/>
  <c r="AH947" i="4"/>
  <c r="M947" i="4"/>
  <c r="G947" i="4"/>
  <c r="C947" i="4"/>
  <c r="B947" i="4"/>
  <c r="AH946" i="4"/>
  <c r="AB946" i="4"/>
  <c r="AA946" i="4"/>
  <c r="M946" i="4"/>
  <c r="G946" i="4"/>
  <c r="C946" i="4"/>
  <c r="B946" i="4"/>
  <c r="AH945" i="4"/>
  <c r="M945" i="4"/>
  <c r="G945" i="4"/>
  <c r="C945" i="4"/>
  <c r="B945" i="4"/>
  <c r="A67" i="7"/>
  <c r="B67" i="7"/>
  <c r="G22" i="3"/>
  <c r="M22" i="3"/>
  <c r="AE22" i="3" s="1"/>
  <c r="N22" i="3"/>
  <c r="W22" i="3"/>
  <c r="X22" i="3"/>
  <c r="Y22" i="3"/>
  <c r="Z22" i="3"/>
  <c r="F69" i="1"/>
  <c r="AB69" i="1"/>
  <c r="AC69" i="1"/>
  <c r="AD69" i="1"/>
  <c r="G68" i="6"/>
  <c r="I68" i="6"/>
  <c r="H67" i="7"/>
  <c r="C67" i="7" s="1"/>
  <c r="AD932" i="4"/>
  <c r="AD940" i="4"/>
  <c r="AA932" i="4"/>
  <c r="AA937" i="4"/>
  <c r="AH944" i="4"/>
  <c r="M944" i="4"/>
  <c r="G944" i="4"/>
  <c r="C944" i="4"/>
  <c r="B944" i="4"/>
  <c r="AH943" i="4"/>
  <c r="AD943" i="4"/>
  <c r="AC943" i="4"/>
  <c r="AB943" i="4"/>
  <c r="AA943" i="4"/>
  <c r="M943" i="4"/>
  <c r="G943" i="4"/>
  <c r="C943" i="4"/>
  <c r="B943" i="4"/>
  <c r="AH942" i="4"/>
  <c r="AD942" i="4"/>
  <c r="AC942" i="4"/>
  <c r="AB942" i="4"/>
  <c r="AA942" i="4"/>
  <c r="M942" i="4"/>
  <c r="G942" i="4"/>
  <c r="C942" i="4"/>
  <c r="B942" i="4"/>
  <c r="AH941" i="4"/>
  <c r="AD941" i="4"/>
  <c r="AC941" i="4"/>
  <c r="AB941" i="4"/>
  <c r="AA941" i="4"/>
  <c r="M941" i="4"/>
  <c r="G941" i="4"/>
  <c r="C941" i="4"/>
  <c r="B941" i="4"/>
  <c r="AH940" i="4"/>
  <c r="M940" i="4"/>
  <c r="G940" i="4"/>
  <c r="C940" i="4"/>
  <c r="B940" i="4"/>
  <c r="AH939" i="4"/>
  <c r="AD939" i="4"/>
  <c r="AC939" i="4"/>
  <c r="AB939" i="4"/>
  <c r="AA939" i="4"/>
  <c r="M939" i="4"/>
  <c r="G939" i="4"/>
  <c r="C939" i="4"/>
  <c r="B939" i="4"/>
  <c r="AH938" i="4"/>
  <c r="AD938" i="4"/>
  <c r="AC938" i="4"/>
  <c r="AB938" i="4"/>
  <c r="AA938" i="4"/>
  <c r="M938" i="4"/>
  <c r="G938" i="4"/>
  <c r="C938" i="4"/>
  <c r="B938" i="4"/>
  <c r="AH937" i="4"/>
  <c r="AD937" i="4"/>
  <c r="AC937" i="4"/>
  <c r="AB937" i="4"/>
  <c r="M937" i="4"/>
  <c r="G937" i="4"/>
  <c r="C937" i="4"/>
  <c r="B937" i="4"/>
  <c r="AH936" i="4"/>
  <c r="AD936" i="4"/>
  <c r="AC936" i="4"/>
  <c r="AB936" i="4"/>
  <c r="AA936" i="4"/>
  <c r="M936" i="4"/>
  <c r="G936" i="4"/>
  <c r="C936" i="4"/>
  <c r="B936" i="4"/>
  <c r="AH935" i="4"/>
  <c r="AD935" i="4"/>
  <c r="AC935" i="4"/>
  <c r="AB935" i="4"/>
  <c r="AA935" i="4"/>
  <c r="M935" i="4"/>
  <c r="G935" i="4"/>
  <c r="C935" i="4"/>
  <c r="B935" i="4"/>
  <c r="AH934" i="4"/>
  <c r="M934" i="4"/>
  <c r="G934" i="4"/>
  <c r="C934" i="4"/>
  <c r="B934" i="4"/>
  <c r="AH933" i="4"/>
  <c r="AD933" i="4"/>
  <c r="AC933" i="4"/>
  <c r="AB933" i="4"/>
  <c r="AA933" i="4"/>
  <c r="M933" i="4"/>
  <c r="G933" i="4"/>
  <c r="C933" i="4"/>
  <c r="B933" i="4"/>
  <c r="AH932" i="4"/>
  <c r="M932" i="4"/>
  <c r="G932" i="4"/>
  <c r="C932" i="4"/>
  <c r="B932" i="4"/>
  <c r="H66" i="7"/>
  <c r="C66" i="7" s="1"/>
  <c r="G67" i="6"/>
  <c r="I67" i="6"/>
  <c r="F68" i="1"/>
  <c r="AB68" i="1"/>
  <c r="AC68" i="1"/>
  <c r="AD68" i="1"/>
  <c r="AF68" i="1"/>
  <c r="AG68" i="1" s="1"/>
  <c r="AH68" i="1"/>
  <c r="AE69" i="1" l="1"/>
  <c r="AE70" i="1"/>
  <c r="AI943" i="4"/>
  <c r="AI945" i="4"/>
  <c r="AI953" i="4"/>
  <c r="AI952" i="4"/>
  <c r="AI950" i="4"/>
  <c r="AI951" i="4"/>
  <c r="AI949" i="4"/>
  <c r="AI948" i="4"/>
  <c r="AI956" i="4"/>
  <c r="AI946" i="4"/>
  <c r="AB29" i="11"/>
  <c r="AB956" i="4"/>
  <c r="AC956" i="4"/>
  <c r="AB955" i="4"/>
  <c r="AD955" i="4"/>
  <c r="AI955" i="4" s="1"/>
  <c r="AC954" i="4"/>
  <c r="AD954" i="4"/>
  <c r="AI954" i="4" s="1"/>
  <c r="AC953" i="4"/>
  <c r="AB952" i="4"/>
  <c r="AC952" i="4"/>
  <c r="AB950" i="4"/>
  <c r="AC950" i="4"/>
  <c r="AB949" i="4"/>
  <c r="AC949" i="4"/>
  <c r="AC948" i="4"/>
  <c r="AB948" i="4"/>
  <c r="AC946" i="4"/>
  <c r="AC945" i="4"/>
  <c r="AB945" i="4"/>
  <c r="AB953" i="4"/>
  <c r="AI941" i="4"/>
  <c r="AI940" i="4"/>
  <c r="AC22" i="3"/>
  <c r="F67" i="7"/>
  <c r="G67" i="7" s="1"/>
  <c r="AI937" i="4"/>
  <c r="AI939" i="4"/>
  <c r="AA940" i="4"/>
  <c r="AI942" i="4"/>
  <c r="AI935" i="4"/>
  <c r="AC940" i="4"/>
  <c r="AI938" i="4"/>
  <c r="AI933" i="4"/>
  <c r="AI936" i="4"/>
  <c r="AI932" i="4"/>
  <c r="AC932" i="4"/>
  <c r="AB932" i="4"/>
  <c r="AB940" i="4"/>
  <c r="B66" i="7"/>
  <c r="A66" i="7"/>
  <c r="F66" i="7"/>
  <c r="G66" i="7" s="1"/>
  <c r="AE68" i="1"/>
  <c r="AD919" i="4" l="1"/>
  <c r="AC920" i="4"/>
  <c r="AD922" i="4"/>
  <c r="AC923" i="4"/>
  <c r="AD924" i="4"/>
  <c r="AB925" i="4"/>
  <c r="AC926" i="4"/>
  <c r="AD927" i="4"/>
  <c r="AC928" i="4"/>
  <c r="AD929" i="4"/>
  <c r="AD930" i="4"/>
  <c r="AA923" i="4"/>
  <c r="AA924" i="4"/>
  <c r="AA925" i="4"/>
  <c r="AA926" i="4"/>
  <c r="AA927" i="4"/>
  <c r="AA930" i="4"/>
  <c r="AH931" i="4"/>
  <c r="M931" i="4"/>
  <c r="G931" i="4"/>
  <c r="C931" i="4"/>
  <c r="B931" i="4"/>
  <c r="AH930" i="4"/>
  <c r="AC930" i="4"/>
  <c r="M930" i="4"/>
  <c r="G930" i="4"/>
  <c r="C930" i="4"/>
  <c r="B930" i="4"/>
  <c r="AH929" i="4"/>
  <c r="AA929" i="4"/>
  <c r="M929" i="4"/>
  <c r="G929" i="4"/>
  <c r="C929" i="4"/>
  <c r="B929" i="4"/>
  <c r="AH928" i="4"/>
  <c r="AD928" i="4"/>
  <c r="AA928" i="4"/>
  <c r="M928" i="4"/>
  <c r="G928" i="4"/>
  <c r="C928" i="4"/>
  <c r="B928" i="4"/>
  <c r="AH927" i="4"/>
  <c r="M927" i="4"/>
  <c r="G927" i="4"/>
  <c r="C927" i="4"/>
  <c r="B927" i="4"/>
  <c r="AH926" i="4"/>
  <c r="AB926" i="4"/>
  <c r="M926" i="4"/>
  <c r="G926" i="4"/>
  <c r="C926" i="4"/>
  <c r="B926" i="4"/>
  <c r="AH925" i="4"/>
  <c r="AD925" i="4"/>
  <c r="AC925" i="4"/>
  <c r="M925" i="4"/>
  <c r="G925" i="4"/>
  <c r="C925" i="4"/>
  <c r="B925" i="4"/>
  <c r="AH924" i="4"/>
  <c r="AC924" i="4"/>
  <c r="M924" i="4"/>
  <c r="G924" i="4"/>
  <c r="C924" i="4"/>
  <c r="B924" i="4"/>
  <c r="AH923" i="4"/>
  <c r="AD923" i="4"/>
  <c r="M923" i="4"/>
  <c r="G923" i="4"/>
  <c r="C923" i="4"/>
  <c r="B923" i="4"/>
  <c r="AH922" i="4"/>
  <c r="AB922" i="4"/>
  <c r="AA922" i="4"/>
  <c r="M922" i="4"/>
  <c r="G922" i="4"/>
  <c r="C922" i="4"/>
  <c r="B922" i="4"/>
  <c r="AH921" i="4"/>
  <c r="M921" i="4"/>
  <c r="G921" i="4"/>
  <c r="C921" i="4"/>
  <c r="B921" i="4"/>
  <c r="AH920" i="4"/>
  <c r="AD920" i="4"/>
  <c r="M920" i="4"/>
  <c r="G920" i="4"/>
  <c r="C920" i="4"/>
  <c r="B920" i="4"/>
  <c r="AH919" i="4"/>
  <c r="AB919" i="4"/>
  <c r="AA919" i="4"/>
  <c r="M919" i="4"/>
  <c r="G919" i="4"/>
  <c r="C919" i="4"/>
  <c r="B919" i="4"/>
  <c r="F67" i="1"/>
  <c r="AB67" i="1"/>
  <c r="AC67" i="1"/>
  <c r="AD67" i="1"/>
  <c r="AF67" i="1"/>
  <c r="AG67" i="1" s="1"/>
  <c r="AH67" i="1"/>
  <c r="G28" i="11"/>
  <c r="M28" i="11"/>
  <c r="P28" i="11"/>
  <c r="W28" i="11"/>
  <c r="X28" i="11"/>
  <c r="Y28" i="11"/>
  <c r="AB28" i="11" s="1"/>
  <c r="AD28" i="11"/>
  <c r="AE21" i="3"/>
  <c r="Z21" i="3"/>
  <c r="AC21" i="3" s="1"/>
  <c r="Y21" i="3"/>
  <c r="X21" i="3"/>
  <c r="W21" i="3"/>
  <c r="N21" i="3"/>
  <c r="M21" i="3"/>
  <c r="G21" i="3"/>
  <c r="C21" i="3"/>
  <c r="B21" i="3"/>
  <c r="AE20" i="3"/>
  <c r="Z20" i="3"/>
  <c r="AC20" i="3" s="1"/>
  <c r="Y20" i="3"/>
  <c r="X20" i="3"/>
  <c r="W20" i="3"/>
  <c r="N20" i="3"/>
  <c r="M20" i="3"/>
  <c r="G20" i="3"/>
  <c r="C20" i="3"/>
  <c r="B20" i="3"/>
  <c r="AE19" i="3"/>
  <c r="Z19" i="3"/>
  <c r="AC19" i="3" s="1"/>
  <c r="Y19" i="3"/>
  <c r="X19" i="3"/>
  <c r="W19" i="3"/>
  <c r="N19" i="3"/>
  <c r="M19" i="3"/>
  <c r="G19" i="3"/>
  <c r="C19" i="3"/>
  <c r="B19" i="3"/>
  <c r="AE18" i="3"/>
  <c r="Z18" i="3"/>
  <c r="AC18" i="3" s="1"/>
  <c r="Y18" i="3"/>
  <c r="X18" i="3"/>
  <c r="W18" i="3"/>
  <c r="N18" i="3"/>
  <c r="M18" i="3"/>
  <c r="G18" i="3"/>
  <c r="C18" i="3"/>
  <c r="B18" i="3"/>
  <c r="A18" i="3"/>
  <c r="A19" i="3" s="1"/>
  <c r="A20" i="3" s="1"/>
  <c r="A21" i="3" s="1"/>
  <c r="Z17" i="3"/>
  <c r="AC17" i="3" s="1"/>
  <c r="Y17" i="3"/>
  <c r="X17" i="3"/>
  <c r="W17" i="3"/>
  <c r="N17" i="3"/>
  <c r="M17" i="3"/>
  <c r="AE17" i="3" s="1"/>
  <c r="G17" i="3"/>
  <c r="C17" i="3"/>
  <c r="Z16" i="3"/>
  <c r="AC16" i="3" s="1"/>
  <c r="Y16" i="3"/>
  <c r="X16" i="3"/>
  <c r="W16" i="3"/>
  <c r="N16" i="3"/>
  <c r="M16" i="3"/>
  <c r="AE16" i="3" s="1"/>
  <c r="G16" i="3"/>
  <c r="C16" i="3"/>
  <c r="AE15" i="3"/>
  <c r="Z15" i="3"/>
  <c r="AC15" i="3" s="1"/>
  <c r="Y15" i="3"/>
  <c r="X15" i="3"/>
  <c r="W15" i="3"/>
  <c r="N15" i="3"/>
  <c r="M15" i="3"/>
  <c r="G15" i="3"/>
  <c r="C15" i="3"/>
  <c r="AE14" i="3"/>
  <c r="Z14" i="3"/>
  <c r="AC14" i="3" s="1"/>
  <c r="Y14" i="3"/>
  <c r="X14" i="3"/>
  <c r="W14" i="3"/>
  <c r="N14" i="3"/>
  <c r="M14" i="3"/>
  <c r="G14" i="3"/>
  <c r="C14" i="3"/>
  <c r="AD906" i="4"/>
  <c r="AD907" i="4"/>
  <c r="AD909" i="4"/>
  <c r="AC911" i="4"/>
  <c r="AD913" i="4"/>
  <c r="AD914" i="4"/>
  <c r="AB915" i="4"/>
  <c r="AC916" i="4"/>
  <c r="AD917" i="4"/>
  <c r="AA906" i="4"/>
  <c r="AA907" i="4"/>
  <c r="AA909" i="4"/>
  <c r="AA910" i="4"/>
  <c r="AA911" i="4"/>
  <c r="AA912" i="4"/>
  <c r="AA915" i="4"/>
  <c r="AA917" i="4"/>
  <c r="AH918" i="4"/>
  <c r="M918" i="4"/>
  <c r="G918" i="4"/>
  <c r="C918" i="4"/>
  <c r="B918" i="4"/>
  <c r="AH917" i="4"/>
  <c r="AC917" i="4"/>
  <c r="M917" i="4"/>
  <c r="G917" i="4"/>
  <c r="C917" i="4"/>
  <c r="B917" i="4"/>
  <c r="AH916" i="4"/>
  <c r="AD916" i="4"/>
  <c r="AA916" i="4"/>
  <c r="M916" i="4"/>
  <c r="G916" i="4"/>
  <c r="C916" i="4"/>
  <c r="B916" i="4"/>
  <c r="AH915" i="4"/>
  <c r="AD915" i="4"/>
  <c r="AC915" i="4"/>
  <c r="M915" i="4"/>
  <c r="G915" i="4"/>
  <c r="C915" i="4"/>
  <c r="B915" i="4"/>
  <c r="AH914" i="4"/>
  <c r="M914" i="4"/>
  <c r="G914" i="4"/>
  <c r="C914" i="4"/>
  <c r="B914" i="4"/>
  <c r="AH913" i="4"/>
  <c r="AB913" i="4"/>
  <c r="AA913" i="4"/>
  <c r="M913" i="4"/>
  <c r="G913" i="4"/>
  <c r="C913" i="4"/>
  <c r="B913" i="4"/>
  <c r="AH912" i="4"/>
  <c r="AD912" i="4"/>
  <c r="AC912" i="4"/>
  <c r="AB912" i="4"/>
  <c r="M912" i="4"/>
  <c r="G912" i="4"/>
  <c r="C912" i="4"/>
  <c r="B912" i="4"/>
  <c r="AH911" i="4"/>
  <c r="AD911" i="4"/>
  <c r="M911" i="4"/>
  <c r="G911" i="4"/>
  <c r="C911" i="4"/>
  <c r="B911" i="4"/>
  <c r="AH910" i="4"/>
  <c r="AD910" i="4"/>
  <c r="AC910" i="4"/>
  <c r="AB910" i="4"/>
  <c r="M910" i="4"/>
  <c r="G910" i="4"/>
  <c r="C910" i="4"/>
  <c r="B910" i="4"/>
  <c r="AH909" i="4"/>
  <c r="AC909" i="4"/>
  <c r="AB909" i="4"/>
  <c r="M909" i="4"/>
  <c r="G909" i="4"/>
  <c r="C909" i="4"/>
  <c r="B909" i="4"/>
  <c r="AH908" i="4"/>
  <c r="M908" i="4"/>
  <c r="G908" i="4"/>
  <c r="C908" i="4"/>
  <c r="B908" i="4"/>
  <c r="AH907" i="4"/>
  <c r="AB907" i="4"/>
  <c r="M907" i="4"/>
  <c r="G907" i="4"/>
  <c r="C907" i="4"/>
  <c r="B907" i="4"/>
  <c r="AH906" i="4"/>
  <c r="AC906" i="4"/>
  <c r="AB906" i="4"/>
  <c r="M906" i="4"/>
  <c r="G906" i="4"/>
  <c r="C906" i="4"/>
  <c r="B906" i="4"/>
  <c r="H65" i="7"/>
  <c r="A65" i="7" s="1"/>
  <c r="B64" i="7"/>
  <c r="C64" i="7"/>
  <c r="H64" i="7"/>
  <c r="A64" i="7" s="1"/>
  <c r="G66" i="6"/>
  <c r="I66" i="6"/>
  <c r="G65" i="6"/>
  <c r="I65" i="6"/>
  <c r="F66" i="1"/>
  <c r="AB66" i="1"/>
  <c r="AC66" i="1"/>
  <c r="AD66" i="1"/>
  <c r="AF66" i="1"/>
  <c r="AG66" i="1" s="1"/>
  <c r="AH66" i="1"/>
  <c r="AC893" i="4"/>
  <c r="AD894" i="4"/>
  <c r="AB896" i="4"/>
  <c r="AC897" i="4"/>
  <c r="AC898" i="4"/>
  <c r="AD900" i="4"/>
  <c r="AD901" i="4"/>
  <c r="AB902" i="4"/>
  <c r="AC903" i="4"/>
  <c r="AC904" i="4"/>
  <c r="AA896" i="4"/>
  <c r="AA897" i="4"/>
  <c r="AA898" i="4"/>
  <c r="AA902" i="4"/>
  <c r="AA904" i="4"/>
  <c r="AH905" i="4"/>
  <c r="M905" i="4"/>
  <c r="G905" i="4"/>
  <c r="C905" i="4"/>
  <c r="B905" i="4"/>
  <c r="AH904" i="4"/>
  <c r="AD904" i="4"/>
  <c r="AB904" i="4"/>
  <c r="M904" i="4"/>
  <c r="G904" i="4"/>
  <c r="C904" i="4"/>
  <c r="B904" i="4"/>
  <c r="AH903" i="4"/>
  <c r="AD903" i="4"/>
  <c r="AB903" i="4"/>
  <c r="AA903" i="4"/>
  <c r="M903" i="4"/>
  <c r="G903" i="4"/>
  <c r="C903" i="4"/>
  <c r="B903" i="4"/>
  <c r="AH902" i="4"/>
  <c r="AD902" i="4"/>
  <c r="AC902" i="4"/>
  <c r="M902" i="4"/>
  <c r="G902" i="4"/>
  <c r="C902" i="4"/>
  <c r="B902" i="4"/>
  <c r="AH901" i="4"/>
  <c r="M901" i="4"/>
  <c r="G901" i="4"/>
  <c r="C901" i="4"/>
  <c r="B901" i="4"/>
  <c r="AH900" i="4"/>
  <c r="M900" i="4"/>
  <c r="G900" i="4"/>
  <c r="C900" i="4"/>
  <c r="B900" i="4"/>
  <c r="AH899" i="4"/>
  <c r="AD899" i="4"/>
  <c r="AC899" i="4"/>
  <c r="AB899" i="4"/>
  <c r="AA899" i="4"/>
  <c r="M899" i="4"/>
  <c r="G899" i="4"/>
  <c r="C899" i="4"/>
  <c r="B899" i="4"/>
  <c r="AH898" i="4"/>
  <c r="AD898" i="4"/>
  <c r="M898" i="4"/>
  <c r="G898" i="4"/>
  <c r="C898" i="4"/>
  <c r="B898" i="4"/>
  <c r="AH897" i="4"/>
  <c r="AD897" i="4"/>
  <c r="M897" i="4"/>
  <c r="G897" i="4"/>
  <c r="C897" i="4"/>
  <c r="B897" i="4"/>
  <c r="AH896" i="4"/>
  <c r="AC896" i="4"/>
  <c r="M896" i="4"/>
  <c r="G896" i="4"/>
  <c r="C896" i="4"/>
  <c r="B896" i="4"/>
  <c r="AH895" i="4"/>
  <c r="M895" i="4"/>
  <c r="G895" i="4"/>
  <c r="C895" i="4"/>
  <c r="B895" i="4"/>
  <c r="AH894" i="4"/>
  <c r="AA894" i="4"/>
  <c r="M894" i="4"/>
  <c r="G894" i="4"/>
  <c r="C894" i="4"/>
  <c r="B894" i="4"/>
  <c r="AH893" i="4"/>
  <c r="AD893" i="4"/>
  <c r="AA893" i="4"/>
  <c r="M893" i="4"/>
  <c r="G893" i="4"/>
  <c r="C893" i="4"/>
  <c r="B893" i="4"/>
  <c r="G13" i="3"/>
  <c r="G12" i="3"/>
  <c r="G11" i="3"/>
  <c r="M10" i="3"/>
  <c r="G10" i="3"/>
  <c r="F65" i="1"/>
  <c r="AB65" i="1"/>
  <c r="AC65" i="1"/>
  <c r="AD65" i="1"/>
  <c r="AF65" i="1"/>
  <c r="AG65" i="1" s="1"/>
  <c r="AH65" i="1"/>
  <c r="C63" i="7"/>
  <c r="F63" i="7"/>
  <c r="G63" i="7" s="1"/>
  <c r="H63" i="7"/>
  <c r="A63" i="7" s="1"/>
  <c r="G64" i="6"/>
  <c r="I64" i="6"/>
  <c r="G27" i="11"/>
  <c r="M27" i="11"/>
  <c r="P27" i="11"/>
  <c r="W27" i="11"/>
  <c r="X27" i="11"/>
  <c r="Y27" i="11"/>
  <c r="AB27" i="11" s="1"/>
  <c r="AD27" i="11"/>
  <c r="AC880" i="4"/>
  <c r="AC881" i="4"/>
  <c r="AB883" i="4"/>
  <c r="AD884" i="4"/>
  <c r="AB885" i="4"/>
  <c r="AC886" i="4"/>
  <c r="AD887" i="4"/>
  <c r="AD888" i="4"/>
  <c r="AC889" i="4"/>
  <c r="AA890" i="4"/>
  <c r="AC891" i="4"/>
  <c r="AA883" i="4"/>
  <c r="AA884" i="4"/>
  <c r="AA885" i="4"/>
  <c r="AH892" i="4"/>
  <c r="M892" i="4"/>
  <c r="G892" i="4"/>
  <c r="C892" i="4"/>
  <c r="B892" i="4"/>
  <c r="AH891" i="4"/>
  <c r="AD891" i="4"/>
  <c r="AA891" i="4"/>
  <c r="M891" i="4"/>
  <c r="G891" i="4"/>
  <c r="C891" i="4"/>
  <c r="B891" i="4"/>
  <c r="AH890" i="4"/>
  <c r="AC890" i="4"/>
  <c r="M890" i="4"/>
  <c r="G890" i="4"/>
  <c r="C890" i="4"/>
  <c r="B890" i="4"/>
  <c r="AH889" i="4"/>
  <c r="AD889" i="4"/>
  <c r="AA889" i="4"/>
  <c r="M889" i="4"/>
  <c r="G889" i="4"/>
  <c r="C889" i="4"/>
  <c r="B889" i="4"/>
  <c r="AH888" i="4"/>
  <c r="M888" i="4"/>
  <c r="G888" i="4"/>
  <c r="C888" i="4"/>
  <c r="B888" i="4"/>
  <c r="AH887" i="4"/>
  <c r="M887" i="4"/>
  <c r="G887" i="4"/>
  <c r="C887" i="4"/>
  <c r="B887" i="4"/>
  <c r="AH886" i="4"/>
  <c r="M886" i="4"/>
  <c r="G886" i="4"/>
  <c r="C886" i="4"/>
  <c r="B886" i="4"/>
  <c r="AH885" i="4"/>
  <c r="AC885" i="4"/>
  <c r="M885" i="4"/>
  <c r="G885" i="4"/>
  <c r="C885" i="4"/>
  <c r="B885" i="4"/>
  <c r="AH884" i="4"/>
  <c r="AB884" i="4"/>
  <c r="M884" i="4"/>
  <c r="G884" i="4"/>
  <c r="C884" i="4"/>
  <c r="B884" i="4"/>
  <c r="AH883" i="4"/>
  <c r="AD883" i="4"/>
  <c r="AC883" i="4"/>
  <c r="M883" i="4"/>
  <c r="G883" i="4"/>
  <c r="C883" i="4"/>
  <c r="B883" i="4"/>
  <c r="AH882" i="4"/>
  <c r="M882" i="4"/>
  <c r="G882" i="4"/>
  <c r="C882" i="4"/>
  <c r="B882" i="4"/>
  <c r="AH881" i="4"/>
  <c r="AD881" i="4"/>
  <c r="AB881" i="4"/>
  <c r="AA881" i="4"/>
  <c r="M881" i="4"/>
  <c r="G881" i="4"/>
  <c r="C881" i="4"/>
  <c r="B881" i="4"/>
  <c r="AH880" i="4"/>
  <c r="AD880" i="4"/>
  <c r="AA880" i="4"/>
  <c r="M880" i="4"/>
  <c r="G880" i="4"/>
  <c r="C880" i="4"/>
  <c r="B880" i="4"/>
  <c r="A62" i="7"/>
  <c r="C62" i="7"/>
  <c r="F62" i="7"/>
  <c r="G62" i="7" s="1"/>
  <c r="H62" i="7"/>
  <c r="B62" i="7" s="1"/>
  <c r="G63" i="6"/>
  <c r="I63" i="6"/>
  <c r="F64" i="1"/>
  <c r="AB64" i="1"/>
  <c r="AC64" i="1"/>
  <c r="AD64" i="1"/>
  <c r="AF64" i="1"/>
  <c r="AG64" i="1" s="1"/>
  <c r="AH64" i="1"/>
  <c r="G26" i="11"/>
  <c r="M26" i="11"/>
  <c r="P26" i="11"/>
  <c r="W26" i="11"/>
  <c r="X26" i="11"/>
  <c r="Y26" i="11"/>
  <c r="AB26" i="11" s="1"/>
  <c r="AD26" i="11"/>
  <c r="A67" i="14"/>
  <c r="B67" i="14"/>
  <c r="C67" i="14"/>
  <c r="G67" i="14"/>
  <c r="H67" i="14"/>
  <c r="Q67" i="14"/>
  <c r="A66" i="14"/>
  <c r="B66" i="14"/>
  <c r="G66" i="14"/>
  <c r="H66" i="14"/>
  <c r="C66" i="14" s="1"/>
  <c r="Q66" i="14"/>
  <c r="A65" i="14"/>
  <c r="C65" i="14"/>
  <c r="G65" i="14"/>
  <c r="H65" i="14"/>
  <c r="B65" i="14" s="1"/>
  <c r="Q65" i="14"/>
  <c r="A64" i="14"/>
  <c r="G64" i="14"/>
  <c r="H64" i="14"/>
  <c r="B64" i="14" s="1"/>
  <c r="Q64" i="14"/>
  <c r="A63" i="14"/>
  <c r="G63" i="14"/>
  <c r="H63" i="14"/>
  <c r="B63" i="14" s="1"/>
  <c r="Q63" i="14"/>
  <c r="A62" i="14"/>
  <c r="B62" i="14"/>
  <c r="C62" i="14"/>
  <c r="G62" i="14"/>
  <c r="H62" i="14"/>
  <c r="Q62" i="14"/>
  <c r="A61" i="14"/>
  <c r="B61" i="14"/>
  <c r="G61" i="14"/>
  <c r="H61" i="14"/>
  <c r="C61" i="14" s="1"/>
  <c r="Q61" i="14"/>
  <c r="AB867" i="4"/>
  <c r="AD868" i="4"/>
  <c r="AD870" i="4"/>
  <c r="AC871" i="4"/>
  <c r="AC872" i="4"/>
  <c r="AD873" i="4"/>
  <c r="AD874" i="4"/>
  <c r="AD875" i="4"/>
  <c r="AC876" i="4"/>
  <c r="AD877" i="4"/>
  <c r="AC878" i="4"/>
  <c r="AA867" i="4"/>
  <c r="AA871" i="4"/>
  <c r="AA872" i="4"/>
  <c r="AA873" i="4"/>
  <c r="AA874" i="4"/>
  <c r="AA875" i="4"/>
  <c r="AA877" i="4"/>
  <c r="AH879" i="4"/>
  <c r="M879" i="4"/>
  <c r="G879" i="4"/>
  <c r="C879" i="4"/>
  <c r="B879" i="4"/>
  <c r="AH878" i="4"/>
  <c r="AD878" i="4"/>
  <c r="M878" i="4"/>
  <c r="G878" i="4"/>
  <c r="C878" i="4"/>
  <c r="B878" i="4"/>
  <c r="AH877" i="4"/>
  <c r="AB877" i="4"/>
  <c r="M877" i="4"/>
  <c r="G877" i="4"/>
  <c r="C877" i="4"/>
  <c r="B877" i="4"/>
  <c r="AH876" i="4"/>
  <c r="AD876" i="4"/>
  <c r="AA876" i="4"/>
  <c r="M876" i="4"/>
  <c r="G876" i="4"/>
  <c r="C876" i="4"/>
  <c r="B876" i="4"/>
  <c r="AH875" i="4"/>
  <c r="M875" i="4"/>
  <c r="G875" i="4"/>
  <c r="C875" i="4"/>
  <c r="B875" i="4"/>
  <c r="AH874" i="4"/>
  <c r="AC874" i="4"/>
  <c r="M874" i="4"/>
  <c r="G874" i="4"/>
  <c r="C874" i="4"/>
  <c r="B874" i="4"/>
  <c r="AH873" i="4"/>
  <c r="M873" i="4"/>
  <c r="G873" i="4"/>
  <c r="C873" i="4"/>
  <c r="B873" i="4"/>
  <c r="AH872" i="4"/>
  <c r="AD872" i="4"/>
  <c r="M872" i="4"/>
  <c r="G872" i="4"/>
  <c r="C872" i="4"/>
  <c r="B872" i="4"/>
  <c r="AH871" i="4"/>
  <c r="AD871" i="4"/>
  <c r="M871" i="4"/>
  <c r="G871" i="4"/>
  <c r="C871" i="4"/>
  <c r="B871" i="4"/>
  <c r="AH870" i="4"/>
  <c r="AC870" i="4"/>
  <c r="AA870" i="4"/>
  <c r="M870" i="4"/>
  <c r="G870" i="4"/>
  <c r="C870" i="4"/>
  <c r="B870" i="4"/>
  <c r="AH869" i="4"/>
  <c r="M869" i="4"/>
  <c r="G869" i="4"/>
  <c r="C869" i="4"/>
  <c r="B869" i="4"/>
  <c r="AH868" i="4"/>
  <c r="AC868" i="4"/>
  <c r="AA868" i="4"/>
  <c r="M868" i="4"/>
  <c r="G868" i="4"/>
  <c r="C868" i="4"/>
  <c r="B868" i="4"/>
  <c r="AH867" i="4"/>
  <c r="AD867" i="4"/>
  <c r="AC867" i="4"/>
  <c r="M867" i="4"/>
  <c r="G867" i="4"/>
  <c r="C867" i="4"/>
  <c r="B867" i="4"/>
  <c r="A61" i="7"/>
  <c r="F61" i="7"/>
  <c r="G61" i="7" s="1"/>
  <c r="H61" i="7"/>
  <c r="B61" i="7" s="1"/>
  <c r="G62" i="6"/>
  <c r="I62" i="6"/>
  <c r="F63" i="1"/>
  <c r="AB63" i="1"/>
  <c r="AC63" i="1"/>
  <c r="AD63" i="1"/>
  <c r="AF63" i="1"/>
  <c r="AG63" i="1" s="1"/>
  <c r="AH63" i="1"/>
  <c r="AB853" i="4"/>
  <c r="AD854" i="4"/>
  <c r="AC855" i="4"/>
  <c r="AC857" i="4"/>
  <c r="AB858" i="4"/>
  <c r="AD859" i="4"/>
  <c r="AD860" i="4"/>
  <c r="AD861" i="4"/>
  <c r="AD862" i="4"/>
  <c r="AD863" i="4"/>
  <c r="AB864" i="4"/>
  <c r="AC865" i="4"/>
  <c r="AA853" i="4"/>
  <c r="AA855" i="4"/>
  <c r="AA857" i="4"/>
  <c r="AA859" i="4"/>
  <c r="AA860" i="4"/>
  <c r="AA864" i="4"/>
  <c r="AA865" i="4"/>
  <c r="AH866" i="4"/>
  <c r="M866" i="4"/>
  <c r="G866" i="4"/>
  <c r="C866" i="4"/>
  <c r="B866" i="4"/>
  <c r="AH865" i="4"/>
  <c r="AD865" i="4"/>
  <c r="M865" i="4"/>
  <c r="G865" i="4"/>
  <c r="C865" i="4"/>
  <c r="B865" i="4"/>
  <c r="AH864" i="4"/>
  <c r="AD864" i="4"/>
  <c r="M864" i="4"/>
  <c r="G864" i="4"/>
  <c r="C864" i="4"/>
  <c r="B864" i="4"/>
  <c r="AH863" i="4"/>
  <c r="M863" i="4"/>
  <c r="G863" i="4"/>
  <c r="C863" i="4"/>
  <c r="B863" i="4"/>
  <c r="AH862" i="4"/>
  <c r="AC862" i="4"/>
  <c r="AA862" i="4"/>
  <c r="M862" i="4"/>
  <c r="G862" i="4"/>
  <c r="C862" i="4"/>
  <c r="B862" i="4"/>
  <c r="AH861" i="4"/>
  <c r="M861" i="4"/>
  <c r="G861" i="4"/>
  <c r="C861" i="4"/>
  <c r="B861" i="4"/>
  <c r="AH860" i="4"/>
  <c r="M860" i="4"/>
  <c r="G860" i="4"/>
  <c r="C860" i="4"/>
  <c r="B860" i="4"/>
  <c r="AH859" i="4"/>
  <c r="AC859" i="4"/>
  <c r="M859" i="4"/>
  <c r="G859" i="4"/>
  <c r="C859" i="4"/>
  <c r="B859" i="4"/>
  <c r="AH858" i="4"/>
  <c r="AD858" i="4"/>
  <c r="AC858" i="4"/>
  <c r="AA858" i="4"/>
  <c r="M858" i="4"/>
  <c r="G858" i="4"/>
  <c r="C858" i="4"/>
  <c r="B858" i="4"/>
  <c r="AH857" i="4"/>
  <c r="AD857" i="4"/>
  <c r="M857" i="4"/>
  <c r="G857" i="4"/>
  <c r="C857" i="4"/>
  <c r="B857" i="4"/>
  <c r="AH856" i="4"/>
  <c r="M856" i="4"/>
  <c r="G856" i="4"/>
  <c r="C856" i="4"/>
  <c r="B856" i="4"/>
  <c r="AH855" i="4"/>
  <c r="AD855" i="4"/>
  <c r="M855" i="4"/>
  <c r="G855" i="4"/>
  <c r="C855" i="4"/>
  <c r="B855" i="4"/>
  <c r="AH854" i="4"/>
  <c r="AB854" i="4"/>
  <c r="AA854" i="4"/>
  <c r="M854" i="4"/>
  <c r="G854" i="4"/>
  <c r="C854" i="4"/>
  <c r="B854" i="4"/>
  <c r="AH853" i="4"/>
  <c r="AD853" i="4"/>
  <c r="AC853" i="4"/>
  <c r="M853" i="4"/>
  <c r="G853" i="4"/>
  <c r="C853" i="4"/>
  <c r="B853" i="4"/>
  <c r="G61" i="6"/>
  <c r="I61" i="6"/>
  <c r="C60" i="7"/>
  <c r="F60" i="7"/>
  <c r="G60" i="7" s="1"/>
  <c r="H60" i="7"/>
  <c r="A60" i="7" s="1"/>
  <c r="G25" i="11"/>
  <c r="M25" i="11"/>
  <c r="P25" i="11"/>
  <c r="W25" i="11"/>
  <c r="X25" i="11"/>
  <c r="Y25" i="11"/>
  <c r="AB25" i="11" s="1"/>
  <c r="AD25" i="11"/>
  <c r="F62" i="1"/>
  <c r="AB62" i="1"/>
  <c r="AC62" i="1"/>
  <c r="AD62" i="1"/>
  <c r="AF62" i="1"/>
  <c r="AG62" i="1" s="1"/>
  <c r="AH62" i="1"/>
  <c r="AB839" i="4"/>
  <c r="AD840" i="4"/>
  <c r="AD843" i="4"/>
  <c r="AD844" i="4"/>
  <c r="AD845" i="4"/>
  <c r="AD846" i="4"/>
  <c r="AD847" i="4"/>
  <c r="AD848" i="4"/>
  <c r="AD849" i="4"/>
  <c r="AC851" i="4"/>
  <c r="AA839" i="4"/>
  <c r="AA840" i="4"/>
  <c r="AA843" i="4"/>
  <c r="AA846" i="4"/>
  <c r="AA848" i="4"/>
  <c r="AA849" i="4"/>
  <c r="AA850" i="4"/>
  <c r="AA851" i="4"/>
  <c r="AH852" i="4"/>
  <c r="M852" i="4"/>
  <c r="G852" i="4"/>
  <c r="C852" i="4"/>
  <c r="B852" i="4"/>
  <c r="AH851" i="4"/>
  <c r="AD851" i="4"/>
  <c r="AB851" i="4"/>
  <c r="M851" i="4"/>
  <c r="G851" i="4"/>
  <c r="C851" i="4"/>
  <c r="B851" i="4"/>
  <c r="AH850" i="4"/>
  <c r="AD850" i="4"/>
  <c r="AC850" i="4"/>
  <c r="AB850" i="4"/>
  <c r="M850" i="4"/>
  <c r="G850" i="4"/>
  <c r="C850" i="4"/>
  <c r="B850" i="4"/>
  <c r="AH849" i="4"/>
  <c r="AC849" i="4"/>
  <c r="M849" i="4"/>
  <c r="G849" i="4"/>
  <c r="C849" i="4"/>
  <c r="B849" i="4"/>
  <c r="AH848" i="4"/>
  <c r="AC848" i="4"/>
  <c r="M848" i="4"/>
  <c r="G848" i="4"/>
  <c r="C848" i="4"/>
  <c r="B848" i="4"/>
  <c r="AH847" i="4"/>
  <c r="M847" i="4"/>
  <c r="G847" i="4"/>
  <c r="C847" i="4"/>
  <c r="B847" i="4"/>
  <c r="AH846" i="4"/>
  <c r="M846" i="4"/>
  <c r="G846" i="4"/>
  <c r="C846" i="4"/>
  <c r="B846" i="4"/>
  <c r="AH845" i="4"/>
  <c r="AB845" i="4"/>
  <c r="AA845" i="4"/>
  <c r="M845" i="4"/>
  <c r="G845" i="4"/>
  <c r="C845" i="4"/>
  <c r="B845" i="4"/>
  <c r="AH844" i="4"/>
  <c r="AC844" i="4"/>
  <c r="AA844" i="4"/>
  <c r="M844" i="4"/>
  <c r="G844" i="4"/>
  <c r="C844" i="4"/>
  <c r="B844" i="4"/>
  <c r="AH843" i="4"/>
  <c r="M843" i="4"/>
  <c r="G843" i="4"/>
  <c r="C843" i="4"/>
  <c r="B843" i="4"/>
  <c r="AH842" i="4"/>
  <c r="M842" i="4"/>
  <c r="G842" i="4"/>
  <c r="C842" i="4"/>
  <c r="B842" i="4"/>
  <c r="AH841" i="4"/>
  <c r="AD841" i="4"/>
  <c r="AC841" i="4"/>
  <c r="AB841" i="4"/>
  <c r="AA841" i="4"/>
  <c r="M841" i="4"/>
  <c r="G841" i="4"/>
  <c r="C841" i="4"/>
  <c r="B841" i="4"/>
  <c r="AH840" i="4"/>
  <c r="AB840" i="4"/>
  <c r="M840" i="4"/>
  <c r="G840" i="4"/>
  <c r="C840" i="4"/>
  <c r="B840" i="4"/>
  <c r="AH839" i="4"/>
  <c r="AC839" i="4"/>
  <c r="M839" i="4"/>
  <c r="G839" i="4"/>
  <c r="C839" i="4"/>
  <c r="B839" i="4"/>
  <c r="A59" i="7"/>
  <c r="F59" i="7"/>
  <c r="G59" i="7" s="1"/>
  <c r="H59" i="7"/>
  <c r="B59" i="7" s="1"/>
  <c r="G60" i="6"/>
  <c r="I60" i="6"/>
  <c r="F61" i="1"/>
  <c r="AB61" i="1"/>
  <c r="AC61" i="1"/>
  <c r="AD61" i="1"/>
  <c r="AF61" i="1"/>
  <c r="AG61" i="1" s="1"/>
  <c r="AH61" i="1"/>
  <c r="A60" i="14"/>
  <c r="G60" i="14"/>
  <c r="H60" i="14"/>
  <c r="B60" i="14" s="1"/>
  <c r="Q60" i="14"/>
  <c r="AC825" i="4"/>
  <c r="AD826" i="4"/>
  <c r="AC829" i="4"/>
  <c r="AB830" i="4"/>
  <c r="AD831" i="4"/>
  <c r="AD832" i="4"/>
  <c r="AD833" i="4"/>
  <c r="AD834" i="4"/>
  <c r="AD835" i="4"/>
  <c r="AD836" i="4"/>
  <c r="AC837" i="4"/>
  <c r="AA825" i="4"/>
  <c r="AA827" i="4"/>
  <c r="AA829" i="4"/>
  <c r="AA830" i="4"/>
  <c r="AA832" i="4"/>
  <c r="AA834" i="4"/>
  <c r="AA835" i="4"/>
  <c r="AA836" i="4"/>
  <c r="AA837" i="4"/>
  <c r="AH838" i="4"/>
  <c r="M838" i="4"/>
  <c r="G838" i="4"/>
  <c r="C838" i="4"/>
  <c r="B838" i="4"/>
  <c r="AH837" i="4"/>
  <c r="AD837" i="4"/>
  <c r="M837" i="4"/>
  <c r="G837" i="4"/>
  <c r="C837" i="4"/>
  <c r="B837" i="4"/>
  <c r="AH836" i="4"/>
  <c r="AC836" i="4"/>
  <c r="AB836" i="4"/>
  <c r="M836" i="4"/>
  <c r="G836" i="4"/>
  <c r="C836" i="4"/>
  <c r="B836" i="4"/>
  <c r="AH835" i="4"/>
  <c r="AC835" i="4"/>
  <c r="M835" i="4"/>
  <c r="G835" i="4"/>
  <c r="C835" i="4"/>
  <c r="B835" i="4"/>
  <c r="AH834" i="4"/>
  <c r="AC834" i="4"/>
  <c r="M834" i="4"/>
  <c r="G834" i="4"/>
  <c r="C834" i="4"/>
  <c r="B834" i="4"/>
  <c r="AH833" i="4"/>
  <c r="M833" i="4"/>
  <c r="G833" i="4"/>
  <c r="C833" i="4"/>
  <c r="B833" i="4"/>
  <c r="AH832" i="4"/>
  <c r="AB832" i="4"/>
  <c r="M832" i="4"/>
  <c r="G832" i="4"/>
  <c r="C832" i="4"/>
  <c r="B832" i="4"/>
  <c r="AH831" i="4"/>
  <c r="AC831" i="4"/>
  <c r="AB831" i="4"/>
  <c r="AA831" i="4"/>
  <c r="M831" i="4"/>
  <c r="G831" i="4"/>
  <c r="C831" i="4"/>
  <c r="B831" i="4"/>
  <c r="AH830" i="4"/>
  <c r="AD830" i="4"/>
  <c r="AC830" i="4"/>
  <c r="M830" i="4"/>
  <c r="G830" i="4"/>
  <c r="C830" i="4"/>
  <c r="B830" i="4"/>
  <c r="AH829" i="4"/>
  <c r="AD829" i="4"/>
  <c r="M829" i="4"/>
  <c r="G829" i="4"/>
  <c r="C829" i="4"/>
  <c r="B829" i="4"/>
  <c r="AH828" i="4"/>
  <c r="M828" i="4"/>
  <c r="G828" i="4"/>
  <c r="C828" i="4"/>
  <c r="B828" i="4"/>
  <c r="AH827" i="4"/>
  <c r="AD827" i="4"/>
  <c r="AC827" i="4"/>
  <c r="AB827" i="4"/>
  <c r="M827" i="4"/>
  <c r="G827" i="4"/>
  <c r="C827" i="4"/>
  <c r="B827" i="4"/>
  <c r="AH826" i="4"/>
  <c r="AC826" i="4"/>
  <c r="AA826" i="4"/>
  <c r="M826" i="4"/>
  <c r="G826" i="4"/>
  <c r="C826" i="4"/>
  <c r="B826" i="4"/>
  <c r="AH825" i="4"/>
  <c r="AD825" i="4"/>
  <c r="M825" i="4"/>
  <c r="G825" i="4"/>
  <c r="C825" i="4"/>
  <c r="B825" i="4"/>
  <c r="H58" i="7"/>
  <c r="A58" i="7" s="1"/>
  <c r="G59" i="6"/>
  <c r="I59" i="6"/>
  <c r="F60" i="1"/>
  <c r="AB60" i="1"/>
  <c r="AC60" i="1"/>
  <c r="AD60" i="1"/>
  <c r="AF60" i="1"/>
  <c r="AG60" i="1" s="1"/>
  <c r="AH60" i="1"/>
  <c r="C57" i="7"/>
  <c r="F57" i="7"/>
  <c r="G57" i="7" s="1"/>
  <c r="H57" i="7"/>
  <c r="A57" i="7" s="1"/>
  <c r="A56" i="7"/>
  <c r="B56" i="7"/>
  <c r="C56" i="7"/>
  <c r="F56" i="7"/>
  <c r="G56" i="7" s="1"/>
  <c r="H56" i="7"/>
  <c r="G58" i="6"/>
  <c r="I58" i="6"/>
  <c r="G57" i="6"/>
  <c r="I57" i="6"/>
  <c r="F59" i="1"/>
  <c r="AB59" i="1"/>
  <c r="AC59" i="1"/>
  <c r="AD59" i="1"/>
  <c r="AF59" i="1"/>
  <c r="AG59" i="1" s="1"/>
  <c r="AH59" i="1"/>
  <c r="AH824" i="4"/>
  <c r="M824" i="4"/>
  <c r="G824" i="4"/>
  <c r="C824" i="4"/>
  <c r="B824" i="4"/>
  <c r="AH823" i="4"/>
  <c r="M823" i="4"/>
  <c r="G823" i="4"/>
  <c r="C823" i="4"/>
  <c r="B823" i="4"/>
  <c r="AH822" i="4"/>
  <c r="M822" i="4"/>
  <c r="G822" i="4"/>
  <c r="C822" i="4"/>
  <c r="B822" i="4"/>
  <c r="AH821" i="4"/>
  <c r="M821" i="4"/>
  <c r="G821" i="4"/>
  <c r="C821" i="4"/>
  <c r="B821" i="4"/>
  <c r="AH820" i="4"/>
  <c r="M820" i="4"/>
  <c r="G820" i="4"/>
  <c r="C820" i="4"/>
  <c r="B820" i="4"/>
  <c r="AH819" i="4"/>
  <c r="M819" i="4"/>
  <c r="G819" i="4"/>
  <c r="C819" i="4"/>
  <c r="B819" i="4"/>
  <c r="AH818" i="4"/>
  <c r="M818" i="4"/>
  <c r="G818" i="4"/>
  <c r="C818" i="4"/>
  <c r="B818" i="4"/>
  <c r="AH817" i="4"/>
  <c r="M817" i="4"/>
  <c r="G817" i="4"/>
  <c r="C817" i="4"/>
  <c r="B817" i="4"/>
  <c r="AH816" i="4"/>
  <c r="M816" i="4"/>
  <c r="G816" i="4"/>
  <c r="C816" i="4"/>
  <c r="B816" i="4"/>
  <c r="AH815" i="4"/>
  <c r="M815" i="4"/>
  <c r="G815" i="4"/>
  <c r="C815" i="4"/>
  <c r="B815" i="4"/>
  <c r="AH814" i="4"/>
  <c r="M814" i="4"/>
  <c r="G814" i="4"/>
  <c r="C814" i="4"/>
  <c r="B814" i="4"/>
  <c r="AH813" i="4"/>
  <c r="M813" i="4"/>
  <c r="G813" i="4"/>
  <c r="C813" i="4"/>
  <c r="B813" i="4"/>
  <c r="AH812" i="4"/>
  <c r="M812" i="4"/>
  <c r="G812" i="4"/>
  <c r="C812" i="4"/>
  <c r="B812" i="4"/>
  <c r="AH811" i="4"/>
  <c r="M811" i="4"/>
  <c r="G811" i="4"/>
  <c r="C811" i="4"/>
  <c r="B811" i="4"/>
  <c r="AH810" i="4"/>
  <c r="M810" i="4"/>
  <c r="G810" i="4"/>
  <c r="C810" i="4"/>
  <c r="B810" i="4"/>
  <c r="G9" i="3"/>
  <c r="M7" i="3"/>
  <c r="AE7" i="3" s="1"/>
  <c r="G8" i="3"/>
  <c r="AC795" i="4"/>
  <c r="AD796" i="4"/>
  <c r="AC797" i="4"/>
  <c r="AD799" i="4"/>
  <c r="AB800" i="4"/>
  <c r="AD801" i="4"/>
  <c r="AB802" i="4"/>
  <c r="AD803" i="4"/>
  <c r="AD804" i="4"/>
  <c r="AD805" i="4"/>
  <c r="AC806" i="4"/>
  <c r="AD807" i="4"/>
  <c r="AA795" i="4"/>
  <c r="AA797" i="4"/>
  <c r="AA799" i="4"/>
  <c r="AA801" i="4"/>
  <c r="AA802" i="4"/>
  <c r="AA805" i="4"/>
  <c r="AA806" i="4"/>
  <c r="AA807" i="4"/>
  <c r="AH809" i="4"/>
  <c r="M809" i="4"/>
  <c r="G809" i="4"/>
  <c r="C809" i="4"/>
  <c r="B809" i="4"/>
  <c r="AH808" i="4"/>
  <c r="M808" i="4"/>
  <c r="G808" i="4"/>
  <c r="C808" i="4"/>
  <c r="B808" i="4"/>
  <c r="AH807" i="4"/>
  <c r="AB807" i="4"/>
  <c r="M807" i="4"/>
  <c r="G807" i="4"/>
  <c r="C807" i="4"/>
  <c r="B807" i="4"/>
  <c r="AH806" i="4"/>
  <c r="AD806" i="4"/>
  <c r="M806" i="4"/>
  <c r="G806" i="4"/>
  <c r="C806" i="4"/>
  <c r="B806" i="4"/>
  <c r="AH805" i="4"/>
  <c r="M805" i="4"/>
  <c r="G805" i="4"/>
  <c r="C805" i="4"/>
  <c r="B805" i="4"/>
  <c r="AH804" i="4"/>
  <c r="AC804" i="4"/>
  <c r="AA804" i="4"/>
  <c r="M804" i="4"/>
  <c r="G804" i="4"/>
  <c r="C804" i="4"/>
  <c r="B804" i="4"/>
  <c r="AH803" i="4"/>
  <c r="M803" i="4"/>
  <c r="G803" i="4"/>
  <c r="C803" i="4"/>
  <c r="B803" i="4"/>
  <c r="AH802" i="4"/>
  <c r="M802" i="4"/>
  <c r="G802" i="4"/>
  <c r="C802" i="4"/>
  <c r="B802" i="4"/>
  <c r="AH801" i="4"/>
  <c r="AC801" i="4"/>
  <c r="AB801" i="4"/>
  <c r="M801" i="4"/>
  <c r="G801" i="4"/>
  <c r="C801" i="4"/>
  <c r="B801" i="4"/>
  <c r="AH800" i="4"/>
  <c r="AD800" i="4"/>
  <c r="AC800" i="4"/>
  <c r="AA800" i="4"/>
  <c r="M800" i="4"/>
  <c r="G800" i="4"/>
  <c r="C800" i="4"/>
  <c r="B800" i="4"/>
  <c r="AH799" i="4"/>
  <c r="AB799" i="4"/>
  <c r="M799" i="4"/>
  <c r="G799" i="4"/>
  <c r="C799" i="4"/>
  <c r="B799" i="4"/>
  <c r="AH798" i="4"/>
  <c r="M798" i="4"/>
  <c r="G798" i="4"/>
  <c r="C798" i="4"/>
  <c r="B798" i="4"/>
  <c r="AH797" i="4"/>
  <c r="AD797" i="4"/>
  <c r="M797" i="4"/>
  <c r="G797" i="4"/>
  <c r="C797" i="4"/>
  <c r="B797" i="4"/>
  <c r="AH796" i="4"/>
  <c r="M796" i="4"/>
  <c r="G796" i="4"/>
  <c r="C796" i="4"/>
  <c r="B796" i="4"/>
  <c r="AH795" i="4"/>
  <c r="AD795" i="4"/>
  <c r="M795" i="4"/>
  <c r="G795" i="4"/>
  <c r="C795" i="4"/>
  <c r="B795" i="4"/>
  <c r="F58" i="1"/>
  <c r="AB58" i="1"/>
  <c r="AC58" i="1"/>
  <c r="AD58" i="1"/>
  <c r="AF58" i="1"/>
  <c r="AG58" i="1" s="1"/>
  <c r="AH58" i="1"/>
  <c r="A7" i="3"/>
  <c r="B7" i="3"/>
  <c r="C7" i="3"/>
  <c r="G7" i="3"/>
  <c r="N7" i="3"/>
  <c r="W7" i="3"/>
  <c r="X7" i="3"/>
  <c r="Y7" i="3"/>
  <c r="Z7" i="3"/>
  <c r="A6" i="3"/>
  <c r="B6" i="3"/>
  <c r="C6" i="3"/>
  <c r="G6" i="3"/>
  <c r="M6" i="3"/>
  <c r="AE6" i="3" s="1"/>
  <c r="N6" i="3"/>
  <c r="W6" i="3"/>
  <c r="X6" i="3"/>
  <c r="Y6" i="3"/>
  <c r="Z6" i="3"/>
  <c r="Y24" i="11"/>
  <c r="X24" i="11"/>
  <c r="W24" i="11"/>
  <c r="P24" i="11"/>
  <c r="M24" i="11"/>
  <c r="G24" i="11"/>
  <c r="C24" i="11"/>
  <c r="A23" i="11"/>
  <c r="B23" i="11"/>
  <c r="C23" i="11"/>
  <c r="G23" i="11"/>
  <c r="M23" i="11"/>
  <c r="AD23" i="11" s="1"/>
  <c r="P23" i="11"/>
  <c r="W23" i="11"/>
  <c r="X23" i="11"/>
  <c r="Y23" i="11"/>
  <c r="AB23" i="11" s="1"/>
  <c r="A22" i="11"/>
  <c r="B22" i="11"/>
  <c r="C22" i="11"/>
  <c r="G22" i="11"/>
  <c r="M22" i="11"/>
  <c r="P22" i="11"/>
  <c r="W22" i="11"/>
  <c r="X22" i="11"/>
  <c r="Y22" i="11"/>
  <c r="AB22" i="11" s="1"/>
  <c r="AD22" i="11"/>
  <c r="AC779" i="4"/>
  <c r="AC780" i="4"/>
  <c r="AD781" i="4"/>
  <c r="AC783" i="4"/>
  <c r="AD784" i="4"/>
  <c r="AD785" i="4"/>
  <c r="AB786" i="4"/>
  <c r="AD787" i="4"/>
  <c r="AC788" i="4"/>
  <c r="AD790" i="4"/>
  <c r="AC791" i="4"/>
  <c r="AA779" i="4"/>
  <c r="AA780" i="4"/>
  <c r="AA781" i="4"/>
  <c r="AA786" i="4"/>
  <c r="AA787" i="4"/>
  <c r="AA788" i="4"/>
  <c r="AA789" i="4"/>
  <c r="AA790" i="4"/>
  <c r="AA791" i="4"/>
  <c r="AH794" i="4"/>
  <c r="M794" i="4"/>
  <c r="G794" i="4"/>
  <c r="C794" i="4"/>
  <c r="B794" i="4"/>
  <c r="AH793" i="4"/>
  <c r="M793" i="4"/>
  <c r="G793" i="4"/>
  <c r="C793" i="4"/>
  <c r="B793" i="4"/>
  <c r="AH792" i="4"/>
  <c r="AD792" i="4"/>
  <c r="M792" i="4"/>
  <c r="G792" i="4"/>
  <c r="C792" i="4"/>
  <c r="B792" i="4"/>
  <c r="AH791" i="4"/>
  <c r="AD791" i="4"/>
  <c r="M791" i="4"/>
  <c r="G791" i="4"/>
  <c r="C791" i="4"/>
  <c r="B791" i="4"/>
  <c r="AH790" i="4"/>
  <c r="AC790" i="4"/>
  <c r="AB790" i="4"/>
  <c r="M790" i="4"/>
  <c r="G790" i="4"/>
  <c r="C790" i="4"/>
  <c r="B790" i="4"/>
  <c r="AH789" i="4"/>
  <c r="AD789" i="4"/>
  <c r="AC789" i="4"/>
  <c r="AB789" i="4"/>
  <c r="M789" i="4"/>
  <c r="G789" i="4"/>
  <c r="C789" i="4"/>
  <c r="B789" i="4"/>
  <c r="AH788" i="4"/>
  <c r="AD788" i="4"/>
  <c r="M788" i="4"/>
  <c r="G788" i="4"/>
  <c r="C788" i="4"/>
  <c r="B788" i="4"/>
  <c r="AH787" i="4"/>
  <c r="M787" i="4"/>
  <c r="G787" i="4"/>
  <c r="C787" i="4"/>
  <c r="B787" i="4"/>
  <c r="AH786" i="4"/>
  <c r="AC786" i="4"/>
  <c r="M786" i="4"/>
  <c r="G786" i="4"/>
  <c r="C786" i="4"/>
  <c r="B786" i="4"/>
  <c r="AH785" i="4"/>
  <c r="AA785" i="4"/>
  <c r="M785" i="4"/>
  <c r="G785" i="4"/>
  <c r="C785" i="4"/>
  <c r="B785" i="4"/>
  <c r="AH784" i="4"/>
  <c r="AB784" i="4"/>
  <c r="AA784" i="4"/>
  <c r="M784" i="4"/>
  <c r="G784" i="4"/>
  <c r="C784" i="4"/>
  <c r="B784" i="4"/>
  <c r="AH783" i="4"/>
  <c r="AA783" i="4"/>
  <c r="M783" i="4"/>
  <c r="G783" i="4"/>
  <c r="C783" i="4"/>
  <c r="B783" i="4"/>
  <c r="AH782" i="4"/>
  <c r="M782" i="4"/>
  <c r="G782" i="4"/>
  <c r="C782" i="4"/>
  <c r="B782" i="4"/>
  <c r="AH781" i="4"/>
  <c r="AC781" i="4"/>
  <c r="M781" i="4"/>
  <c r="G781" i="4"/>
  <c r="C781" i="4"/>
  <c r="B781" i="4"/>
  <c r="AH780" i="4"/>
  <c r="AD780" i="4"/>
  <c r="AB780" i="4"/>
  <c r="M780" i="4"/>
  <c r="G780" i="4"/>
  <c r="C780" i="4"/>
  <c r="B780" i="4"/>
  <c r="AH779" i="4"/>
  <c r="AD779" i="4"/>
  <c r="M779" i="4"/>
  <c r="G779" i="4"/>
  <c r="C779" i="4"/>
  <c r="B779" i="4"/>
  <c r="A55" i="7"/>
  <c r="B55" i="7"/>
  <c r="C55" i="7"/>
  <c r="F55" i="7"/>
  <c r="G55" i="7" s="1"/>
  <c r="H55" i="7"/>
  <c r="G56" i="6"/>
  <c r="I56" i="6"/>
  <c r="F57" i="1"/>
  <c r="AB57" i="1"/>
  <c r="AC57" i="1"/>
  <c r="AD57" i="1"/>
  <c r="AF57" i="1"/>
  <c r="AG57" i="1" s="1"/>
  <c r="AH57" i="1"/>
  <c r="AB763" i="4"/>
  <c r="AD764" i="4"/>
  <c r="AD767" i="4"/>
  <c r="AD768" i="4"/>
  <c r="AD769" i="4"/>
  <c r="AD770" i="4"/>
  <c r="AD771" i="4"/>
  <c r="AB772" i="4"/>
  <c r="AB773" i="4"/>
  <c r="AD774" i="4"/>
  <c r="AC775" i="4"/>
  <c r="AA764" i="4"/>
  <c r="AA767" i="4"/>
  <c r="AA769" i="4"/>
  <c r="AA771" i="4"/>
  <c r="AA772" i="4"/>
  <c r="AA774" i="4"/>
  <c r="AA775" i="4"/>
  <c r="AH778" i="4"/>
  <c r="M778" i="4"/>
  <c r="G778" i="4"/>
  <c r="C778" i="4"/>
  <c r="B778" i="4"/>
  <c r="AH777" i="4"/>
  <c r="M777" i="4"/>
  <c r="G777" i="4"/>
  <c r="C777" i="4"/>
  <c r="B777" i="4"/>
  <c r="AH776" i="4"/>
  <c r="M776" i="4"/>
  <c r="G776" i="4"/>
  <c r="C776" i="4"/>
  <c r="B776" i="4"/>
  <c r="AH775" i="4"/>
  <c r="AD775" i="4"/>
  <c r="M775" i="4"/>
  <c r="G775" i="4"/>
  <c r="C775" i="4"/>
  <c r="B775" i="4"/>
  <c r="AH774" i="4"/>
  <c r="AC774" i="4"/>
  <c r="M774" i="4"/>
  <c r="G774" i="4"/>
  <c r="C774" i="4"/>
  <c r="B774" i="4"/>
  <c r="AH773" i="4"/>
  <c r="AD773" i="4"/>
  <c r="AC773" i="4"/>
  <c r="AA773" i="4"/>
  <c r="M773" i="4"/>
  <c r="G773" i="4"/>
  <c r="C773" i="4"/>
  <c r="B773" i="4"/>
  <c r="AH772" i="4"/>
  <c r="AC772" i="4"/>
  <c r="M772" i="4"/>
  <c r="G772" i="4"/>
  <c r="C772" i="4"/>
  <c r="B772" i="4"/>
  <c r="AH771" i="4"/>
  <c r="M771" i="4"/>
  <c r="G771" i="4"/>
  <c r="C771" i="4"/>
  <c r="B771" i="4"/>
  <c r="AH770" i="4"/>
  <c r="AA770" i="4"/>
  <c r="M770" i="4"/>
  <c r="G770" i="4"/>
  <c r="C770" i="4"/>
  <c r="B770" i="4"/>
  <c r="AH769" i="4"/>
  <c r="AC769" i="4"/>
  <c r="M769" i="4"/>
  <c r="G769" i="4"/>
  <c r="C769" i="4"/>
  <c r="B769" i="4"/>
  <c r="AH768" i="4"/>
  <c r="AC768" i="4"/>
  <c r="M768" i="4"/>
  <c r="G768" i="4"/>
  <c r="C768" i="4"/>
  <c r="B768" i="4"/>
  <c r="AH767" i="4"/>
  <c r="M767" i="4"/>
  <c r="G767" i="4"/>
  <c r="C767" i="4"/>
  <c r="B767" i="4"/>
  <c r="AH766" i="4"/>
  <c r="M766" i="4"/>
  <c r="G766" i="4"/>
  <c r="C766" i="4"/>
  <c r="B766" i="4"/>
  <c r="AH765" i="4"/>
  <c r="AD765" i="4"/>
  <c r="AC765" i="4"/>
  <c r="AB765" i="4"/>
  <c r="AA765" i="4"/>
  <c r="M765" i="4"/>
  <c r="G765" i="4"/>
  <c r="C765" i="4"/>
  <c r="B765" i="4"/>
  <c r="AH764" i="4"/>
  <c r="M764" i="4"/>
  <c r="G764" i="4"/>
  <c r="C764" i="4"/>
  <c r="B764" i="4"/>
  <c r="AH763" i="4"/>
  <c r="M763" i="4"/>
  <c r="G763" i="4"/>
  <c r="C763" i="4"/>
  <c r="B763" i="4"/>
  <c r="F54" i="7"/>
  <c r="G54" i="7" s="1"/>
  <c r="H54" i="7"/>
  <c r="A54" i="7" s="1"/>
  <c r="G55" i="6"/>
  <c r="I55" i="6"/>
  <c r="F56" i="1"/>
  <c r="AB56" i="1"/>
  <c r="AC56" i="1"/>
  <c r="AD56" i="1"/>
  <c r="AF56" i="1"/>
  <c r="AG56" i="1" s="1"/>
  <c r="AH56" i="1"/>
  <c r="Q55" i="14"/>
  <c r="A59" i="14"/>
  <c r="G59" i="14"/>
  <c r="H59" i="14"/>
  <c r="B59" i="14" s="1"/>
  <c r="Q59" i="14"/>
  <c r="A58" i="14"/>
  <c r="G58" i="14"/>
  <c r="H58" i="14"/>
  <c r="B58" i="14" s="1"/>
  <c r="Q58" i="14"/>
  <c r="A57" i="14"/>
  <c r="G57" i="14"/>
  <c r="H57" i="14"/>
  <c r="B57" i="14" s="1"/>
  <c r="Q57" i="14"/>
  <c r="A56" i="14"/>
  <c r="C56" i="14"/>
  <c r="G56" i="14"/>
  <c r="H56" i="14"/>
  <c r="B56" i="14" s="1"/>
  <c r="Q56" i="14"/>
  <c r="A55" i="14"/>
  <c r="G55" i="14"/>
  <c r="H55" i="14"/>
  <c r="B55" i="14" s="1"/>
  <c r="A54" i="14"/>
  <c r="B54" i="14"/>
  <c r="G54" i="14"/>
  <c r="H54" i="14"/>
  <c r="C54" i="14" s="1"/>
  <c r="Q54" i="14"/>
  <c r="A21" i="11"/>
  <c r="B21" i="11"/>
  <c r="C21" i="11"/>
  <c r="G21" i="11"/>
  <c r="M21" i="11"/>
  <c r="P21" i="11"/>
  <c r="W21" i="11"/>
  <c r="X21" i="11"/>
  <c r="Y21" i="11"/>
  <c r="AB21" i="11" s="1"/>
  <c r="AD21" i="11"/>
  <c r="AH762" i="4"/>
  <c r="M762" i="4"/>
  <c r="G762" i="4"/>
  <c r="C762" i="4"/>
  <c r="B762" i="4"/>
  <c r="AH761" i="4"/>
  <c r="M761" i="4"/>
  <c r="G761" i="4"/>
  <c r="C761" i="4"/>
  <c r="B761" i="4"/>
  <c r="AH760" i="4"/>
  <c r="M760" i="4"/>
  <c r="G760" i="4"/>
  <c r="C760" i="4"/>
  <c r="B760" i="4"/>
  <c r="AD746" i="4"/>
  <c r="AD747" i="4"/>
  <c r="AD748" i="4"/>
  <c r="AD750" i="4"/>
  <c r="AD751" i="4"/>
  <c r="AC752" i="4"/>
  <c r="AC753" i="4"/>
  <c r="AD754" i="4"/>
  <c r="AC755" i="4"/>
  <c r="AD756" i="4"/>
  <c r="AD757" i="4"/>
  <c r="AD758" i="4"/>
  <c r="AA748" i="4"/>
  <c r="AA750" i="4"/>
  <c r="AA752" i="4"/>
  <c r="AA757" i="4"/>
  <c r="AA758" i="4"/>
  <c r="AH759" i="4"/>
  <c r="M759" i="4"/>
  <c r="G759" i="4"/>
  <c r="C759" i="4"/>
  <c r="B759" i="4"/>
  <c r="AH758" i="4"/>
  <c r="AC758" i="4"/>
  <c r="M758" i="4"/>
  <c r="G758" i="4"/>
  <c r="C758" i="4"/>
  <c r="B758" i="4"/>
  <c r="AH757" i="4"/>
  <c r="M757" i="4"/>
  <c r="G757" i="4"/>
  <c r="C757" i="4"/>
  <c r="B757" i="4"/>
  <c r="AH756" i="4"/>
  <c r="M756" i="4"/>
  <c r="G756" i="4"/>
  <c r="C756" i="4"/>
  <c r="B756" i="4"/>
  <c r="AH755" i="4"/>
  <c r="AD755" i="4"/>
  <c r="M755" i="4"/>
  <c r="G755" i="4"/>
  <c r="C755" i="4"/>
  <c r="B755" i="4"/>
  <c r="AH754" i="4"/>
  <c r="M754" i="4"/>
  <c r="G754" i="4"/>
  <c r="C754" i="4"/>
  <c r="B754" i="4"/>
  <c r="AH753" i="4"/>
  <c r="M753" i="4"/>
  <c r="G753" i="4"/>
  <c r="C753" i="4"/>
  <c r="B753" i="4"/>
  <c r="AH752" i="4"/>
  <c r="AD752" i="4"/>
  <c r="M752" i="4"/>
  <c r="G752" i="4"/>
  <c r="C752" i="4"/>
  <c r="B752" i="4"/>
  <c r="AH751" i="4"/>
  <c r="AC751" i="4"/>
  <c r="AB751" i="4"/>
  <c r="AA751" i="4"/>
  <c r="M751" i="4"/>
  <c r="G751" i="4"/>
  <c r="C751" i="4"/>
  <c r="B751" i="4"/>
  <c r="AH750" i="4"/>
  <c r="AC750" i="4"/>
  <c r="AB750" i="4"/>
  <c r="M750" i="4"/>
  <c r="G750" i="4"/>
  <c r="C750" i="4"/>
  <c r="B750" i="4"/>
  <c r="AH749" i="4"/>
  <c r="M749" i="4"/>
  <c r="G749" i="4"/>
  <c r="C749" i="4"/>
  <c r="B749" i="4"/>
  <c r="AH748" i="4"/>
  <c r="AB748" i="4"/>
  <c r="M748" i="4"/>
  <c r="G748" i="4"/>
  <c r="C748" i="4"/>
  <c r="B748" i="4"/>
  <c r="AH747" i="4"/>
  <c r="AC747" i="4"/>
  <c r="AB747" i="4"/>
  <c r="AA747" i="4"/>
  <c r="M747" i="4"/>
  <c r="G747" i="4"/>
  <c r="C747" i="4"/>
  <c r="B747" i="4"/>
  <c r="AH746" i="4"/>
  <c r="M746" i="4"/>
  <c r="G746" i="4"/>
  <c r="C746" i="4"/>
  <c r="B746" i="4"/>
  <c r="H53" i="7"/>
  <c r="A53" i="7" s="1"/>
  <c r="G54" i="6"/>
  <c r="I54" i="6"/>
  <c r="F55" i="1"/>
  <c r="AB55" i="1"/>
  <c r="AC55" i="1"/>
  <c r="AD55" i="1"/>
  <c r="AF55" i="1"/>
  <c r="AG55" i="1" s="1"/>
  <c r="AH55" i="1"/>
  <c r="AD732" i="4"/>
  <c r="AB733" i="4"/>
  <c r="AD734" i="4"/>
  <c r="AC736" i="4"/>
  <c r="AD737" i="4"/>
  <c r="AB738" i="4"/>
  <c r="AD739" i="4"/>
  <c r="AD740" i="4"/>
  <c r="AB741" i="4"/>
  <c r="AC742" i="4"/>
  <c r="AD743" i="4"/>
  <c r="AC744" i="4"/>
  <c r="AA732" i="4"/>
  <c r="AA733" i="4"/>
  <c r="AA734" i="4"/>
  <c r="AA736" i="4"/>
  <c r="AA738" i="4"/>
  <c r="AA740" i="4"/>
  <c r="AA742" i="4"/>
  <c r="AA744" i="4"/>
  <c r="AH745" i="4"/>
  <c r="M745" i="4"/>
  <c r="G745" i="4"/>
  <c r="C745" i="4"/>
  <c r="B745" i="4"/>
  <c r="AH744" i="4"/>
  <c r="AD744" i="4"/>
  <c r="AB744" i="4"/>
  <c r="M744" i="4"/>
  <c r="G744" i="4"/>
  <c r="C744" i="4"/>
  <c r="B744" i="4"/>
  <c r="AH743" i="4"/>
  <c r="M743" i="4"/>
  <c r="G743" i="4"/>
  <c r="C743" i="4"/>
  <c r="B743" i="4"/>
  <c r="AH742" i="4"/>
  <c r="AD742" i="4"/>
  <c r="M742" i="4"/>
  <c r="G742" i="4"/>
  <c r="C742" i="4"/>
  <c r="B742" i="4"/>
  <c r="AH741" i="4"/>
  <c r="M741" i="4"/>
  <c r="G741" i="4"/>
  <c r="C741" i="4"/>
  <c r="B741" i="4"/>
  <c r="AH740" i="4"/>
  <c r="M740" i="4"/>
  <c r="G740" i="4"/>
  <c r="C740" i="4"/>
  <c r="B740" i="4"/>
  <c r="AH739" i="4"/>
  <c r="AC739" i="4"/>
  <c r="AA739" i="4"/>
  <c r="M739" i="4"/>
  <c r="G739" i="4"/>
  <c r="C739" i="4"/>
  <c r="B739" i="4"/>
  <c r="AH738" i="4"/>
  <c r="AC738" i="4"/>
  <c r="M738" i="4"/>
  <c r="G738" i="4"/>
  <c r="C738" i="4"/>
  <c r="B738" i="4"/>
  <c r="AH737" i="4"/>
  <c r="AA737" i="4"/>
  <c r="M737" i="4"/>
  <c r="G737" i="4"/>
  <c r="C737" i="4"/>
  <c r="B737" i="4"/>
  <c r="AH736" i="4"/>
  <c r="AD736" i="4"/>
  <c r="AB736" i="4"/>
  <c r="M736" i="4"/>
  <c r="G736" i="4"/>
  <c r="C736" i="4"/>
  <c r="B736" i="4"/>
  <c r="AH735" i="4"/>
  <c r="M735" i="4"/>
  <c r="G735" i="4"/>
  <c r="C735" i="4"/>
  <c r="B735" i="4"/>
  <c r="AH734" i="4"/>
  <c r="M734" i="4"/>
  <c r="G734" i="4"/>
  <c r="C734" i="4"/>
  <c r="B734" i="4"/>
  <c r="AH733" i="4"/>
  <c r="AC733" i="4"/>
  <c r="M733" i="4"/>
  <c r="G733" i="4"/>
  <c r="C733" i="4"/>
  <c r="B733" i="4"/>
  <c r="AH732" i="4"/>
  <c r="M732" i="4"/>
  <c r="G732" i="4"/>
  <c r="C732" i="4"/>
  <c r="B732" i="4"/>
  <c r="H52" i="7"/>
  <c r="A52" i="7" s="1"/>
  <c r="G53" i="6"/>
  <c r="I53" i="6"/>
  <c r="F54" i="1"/>
  <c r="AB54" i="1"/>
  <c r="AC54" i="1"/>
  <c r="AD54" i="1"/>
  <c r="AF54" i="1"/>
  <c r="AG54" i="1" s="1"/>
  <c r="AH54" i="1"/>
  <c r="A53" i="14"/>
  <c r="B53" i="14"/>
  <c r="G53" i="14"/>
  <c r="H53" i="14"/>
  <c r="C53" i="14" s="1"/>
  <c r="Q53" i="14"/>
  <c r="A52" i="14"/>
  <c r="B52" i="14"/>
  <c r="C52" i="14"/>
  <c r="G52" i="14"/>
  <c r="H52" i="14"/>
  <c r="Q52" i="14"/>
  <c r="A51" i="14"/>
  <c r="B51" i="14"/>
  <c r="C51" i="14"/>
  <c r="G51" i="14"/>
  <c r="H51" i="14"/>
  <c r="Q51" i="14"/>
  <c r="A50" i="14"/>
  <c r="B50" i="14"/>
  <c r="C50" i="14"/>
  <c r="G50" i="14"/>
  <c r="H50" i="14"/>
  <c r="Q50" i="14"/>
  <c r="Y20" i="11"/>
  <c r="X20" i="11"/>
  <c r="W20" i="11"/>
  <c r="B20" i="11"/>
  <c r="C20" i="11"/>
  <c r="G20" i="11"/>
  <c r="M20" i="11"/>
  <c r="P20" i="11"/>
  <c r="AB718" i="4"/>
  <c r="AD719" i="4"/>
  <c r="AD720" i="4"/>
  <c r="AD722" i="4"/>
  <c r="AD723" i="4"/>
  <c r="AC724" i="4"/>
  <c r="AD725" i="4"/>
  <c r="AD726" i="4"/>
  <c r="AD727" i="4"/>
  <c r="AB728" i="4"/>
  <c r="AB729" i="4"/>
  <c r="AC730" i="4"/>
  <c r="AA718" i="4"/>
  <c r="AA719" i="4"/>
  <c r="AA720" i="4"/>
  <c r="AA727" i="4"/>
  <c r="AA728" i="4"/>
  <c r="AA729" i="4"/>
  <c r="AH731" i="4"/>
  <c r="M731" i="4"/>
  <c r="G731" i="4"/>
  <c r="C731" i="4"/>
  <c r="B731" i="4"/>
  <c r="AH730" i="4"/>
  <c r="M730" i="4"/>
  <c r="G730" i="4"/>
  <c r="C730" i="4"/>
  <c r="B730" i="4"/>
  <c r="AH729" i="4"/>
  <c r="AD729" i="4"/>
  <c r="M729" i="4"/>
  <c r="G729" i="4"/>
  <c r="C729" i="4"/>
  <c r="B729" i="4"/>
  <c r="AH728" i="4"/>
  <c r="AD728" i="4"/>
  <c r="M728" i="4"/>
  <c r="G728" i="4"/>
  <c r="C728" i="4"/>
  <c r="B728" i="4"/>
  <c r="AH727" i="4"/>
  <c r="M727" i="4"/>
  <c r="G727" i="4"/>
  <c r="C727" i="4"/>
  <c r="B727" i="4"/>
  <c r="AH726" i="4"/>
  <c r="M726" i="4"/>
  <c r="G726" i="4"/>
  <c r="C726" i="4"/>
  <c r="B726" i="4"/>
  <c r="AH725" i="4"/>
  <c r="M725" i="4"/>
  <c r="G725" i="4"/>
  <c r="C725" i="4"/>
  <c r="B725" i="4"/>
  <c r="AH724" i="4"/>
  <c r="M724" i="4"/>
  <c r="G724" i="4"/>
  <c r="C724" i="4"/>
  <c r="B724" i="4"/>
  <c r="AH723" i="4"/>
  <c r="M723" i="4"/>
  <c r="G723" i="4"/>
  <c r="C723" i="4"/>
  <c r="B723" i="4"/>
  <c r="AH722" i="4"/>
  <c r="M722" i="4"/>
  <c r="G722" i="4"/>
  <c r="C722" i="4"/>
  <c r="B722" i="4"/>
  <c r="AH721" i="4"/>
  <c r="M721" i="4"/>
  <c r="G721" i="4"/>
  <c r="C721" i="4"/>
  <c r="B721" i="4"/>
  <c r="AH720" i="4"/>
  <c r="AB720" i="4"/>
  <c r="M720" i="4"/>
  <c r="G720" i="4"/>
  <c r="C720" i="4"/>
  <c r="B720" i="4"/>
  <c r="AH719" i="4"/>
  <c r="AB719" i="4"/>
  <c r="M719" i="4"/>
  <c r="G719" i="4"/>
  <c r="C719" i="4"/>
  <c r="B719" i="4"/>
  <c r="AH718" i="4"/>
  <c r="AD718" i="4"/>
  <c r="AC718" i="4"/>
  <c r="M718" i="4"/>
  <c r="G718" i="4"/>
  <c r="C718" i="4"/>
  <c r="B718" i="4"/>
  <c r="A51" i="7"/>
  <c r="B51" i="7"/>
  <c r="C51" i="7"/>
  <c r="F51" i="7"/>
  <c r="G51" i="7" s="1"/>
  <c r="H51" i="7"/>
  <c r="G52" i="6"/>
  <c r="I52" i="6"/>
  <c r="F53" i="1"/>
  <c r="AB53" i="1"/>
  <c r="AC53" i="1"/>
  <c r="AD53" i="1"/>
  <c r="AF53" i="1"/>
  <c r="AG53" i="1" s="1"/>
  <c r="AH53" i="1"/>
  <c r="G19" i="11"/>
  <c r="M19" i="11"/>
  <c r="P19" i="11"/>
  <c r="W19" i="11"/>
  <c r="X19" i="11"/>
  <c r="Y19" i="11"/>
  <c r="AD19" i="11"/>
  <c r="AF52" i="1"/>
  <c r="AG52" i="1" s="1"/>
  <c r="AB52" i="1"/>
  <c r="AC52" i="1"/>
  <c r="AD52" i="1"/>
  <c r="AB704" i="4"/>
  <c r="AB705" i="4"/>
  <c r="AB708" i="4"/>
  <c r="AC709" i="4"/>
  <c r="AD710" i="4"/>
  <c r="AC711" i="4"/>
  <c r="AC712" i="4"/>
  <c r="AB713" i="4"/>
  <c r="AC714" i="4"/>
  <c r="AD715" i="4"/>
  <c r="AD716" i="4"/>
  <c r="AA704" i="4"/>
  <c r="AA706" i="4"/>
  <c r="AA710" i="4"/>
  <c r="AA713" i="4"/>
  <c r="AA714" i="4"/>
  <c r="AA715" i="4"/>
  <c r="AA716" i="4"/>
  <c r="AH717" i="4"/>
  <c r="M717" i="4"/>
  <c r="G717" i="4"/>
  <c r="C717" i="4"/>
  <c r="B717" i="4"/>
  <c r="AH716" i="4"/>
  <c r="M716" i="4"/>
  <c r="G716" i="4"/>
  <c r="C716" i="4"/>
  <c r="B716" i="4"/>
  <c r="AH715" i="4"/>
  <c r="AB715" i="4"/>
  <c r="M715" i="4"/>
  <c r="G715" i="4"/>
  <c r="C715" i="4"/>
  <c r="B715" i="4"/>
  <c r="AH714" i="4"/>
  <c r="M714" i="4"/>
  <c r="G714" i="4"/>
  <c r="C714" i="4"/>
  <c r="B714" i="4"/>
  <c r="AH713" i="4"/>
  <c r="M713" i="4"/>
  <c r="G713" i="4"/>
  <c r="C713" i="4"/>
  <c r="B713" i="4"/>
  <c r="AH712" i="4"/>
  <c r="AD712" i="4"/>
  <c r="AA712" i="4"/>
  <c r="M712" i="4"/>
  <c r="G712" i="4"/>
  <c r="C712" i="4"/>
  <c r="B712" i="4"/>
  <c r="AH711" i="4"/>
  <c r="AD711" i="4"/>
  <c r="AB711" i="4"/>
  <c r="AA711" i="4"/>
  <c r="M711" i="4"/>
  <c r="G711" i="4"/>
  <c r="C711" i="4"/>
  <c r="B711" i="4"/>
  <c r="AH710" i="4"/>
  <c r="M710" i="4"/>
  <c r="G710" i="4"/>
  <c r="C710" i="4"/>
  <c r="B710" i="4"/>
  <c r="AH709" i="4"/>
  <c r="AD709" i="4"/>
  <c r="AB709" i="4"/>
  <c r="AA709" i="4"/>
  <c r="M709" i="4"/>
  <c r="G709" i="4"/>
  <c r="C709" i="4"/>
  <c r="B709" i="4"/>
  <c r="AH708" i="4"/>
  <c r="AD708" i="4"/>
  <c r="AC708" i="4"/>
  <c r="AA708" i="4"/>
  <c r="M708" i="4"/>
  <c r="G708" i="4"/>
  <c r="C708" i="4"/>
  <c r="B708" i="4"/>
  <c r="AH707" i="4"/>
  <c r="M707" i="4"/>
  <c r="G707" i="4"/>
  <c r="C707" i="4"/>
  <c r="B707" i="4"/>
  <c r="AH706" i="4"/>
  <c r="AD706" i="4"/>
  <c r="AC706" i="4"/>
  <c r="AB706" i="4"/>
  <c r="M706" i="4"/>
  <c r="G706" i="4"/>
  <c r="C706" i="4"/>
  <c r="B706" i="4"/>
  <c r="AH705" i="4"/>
  <c r="AA705" i="4"/>
  <c r="M705" i="4"/>
  <c r="G705" i="4"/>
  <c r="C705" i="4"/>
  <c r="B705" i="4"/>
  <c r="AH704" i="4"/>
  <c r="AD704" i="4"/>
  <c r="AC704" i="4"/>
  <c r="M704" i="4"/>
  <c r="G704" i="4"/>
  <c r="C704" i="4"/>
  <c r="B704" i="4"/>
  <c r="C50" i="7"/>
  <c r="F50" i="7"/>
  <c r="G50" i="7" s="1"/>
  <c r="H50" i="7"/>
  <c r="A50" i="7" s="1"/>
  <c r="G51" i="6"/>
  <c r="I51" i="6"/>
  <c r="F52" i="1"/>
  <c r="AH52" i="1"/>
  <c r="AD690" i="4"/>
  <c r="AC691" i="4"/>
  <c r="AD692" i="4"/>
  <c r="AB694" i="4"/>
  <c r="AD695" i="4"/>
  <c r="AC696" i="4"/>
  <c r="AB697" i="4"/>
  <c r="AD698" i="4"/>
  <c r="AC699" i="4"/>
  <c r="AD700" i="4"/>
  <c r="AD701" i="4"/>
  <c r="AD702" i="4"/>
  <c r="AA690" i="4"/>
  <c r="AA691" i="4"/>
  <c r="AA692" i="4"/>
  <c r="AA694" i="4"/>
  <c r="AA695" i="4"/>
  <c r="AA696" i="4"/>
  <c r="AA698" i="4"/>
  <c r="AA700" i="4"/>
  <c r="AA701" i="4"/>
  <c r="AA702" i="4"/>
  <c r="AH703" i="4"/>
  <c r="M703" i="4"/>
  <c r="G703" i="4"/>
  <c r="C703" i="4"/>
  <c r="B703" i="4"/>
  <c r="AH702" i="4"/>
  <c r="M702" i="4"/>
  <c r="G702" i="4"/>
  <c r="C702" i="4"/>
  <c r="B702" i="4"/>
  <c r="AH701" i="4"/>
  <c r="M701" i="4"/>
  <c r="G701" i="4"/>
  <c r="C701" i="4"/>
  <c r="B701" i="4"/>
  <c r="AH700" i="4"/>
  <c r="M700" i="4"/>
  <c r="G700" i="4"/>
  <c r="C700" i="4"/>
  <c r="B700" i="4"/>
  <c r="AH699" i="4"/>
  <c r="AD699" i="4"/>
  <c r="AA699" i="4"/>
  <c r="M699" i="4"/>
  <c r="G699" i="4"/>
  <c r="C699" i="4"/>
  <c r="B699" i="4"/>
  <c r="AH698" i="4"/>
  <c r="M698" i="4"/>
  <c r="G698" i="4"/>
  <c r="C698" i="4"/>
  <c r="B698" i="4"/>
  <c r="AH697" i="4"/>
  <c r="AD697" i="4"/>
  <c r="AC697" i="4"/>
  <c r="AA697" i="4"/>
  <c r="M697" i="4"/>
  <c r="G697" i="4"/>
  <c r="C697" i="4"/>
  <c r="B697" i="4"/>
  <c r="AH696" i="4"/>
  <c r="M696" i="4"/>
  <c r="G696" i="4"/>
  <c r="C696" i="4"/>
  <c r="B696" i="4"/>
  <c r="AH695" i="4"/>
  <c r="M695" i="4"/>
  <c r="G695" i="4"/>
  <c r="C695" i="4"/>
  <c r="B695" i="4"/>
  <c r="AH694" i="4"/>
  <c r="M694" i="4"/>
  <c r="G694" i="4"/>
  <c r="C694" i="4"/>
  <c r="B694" i="4"/>
  <c r="AH693" i="4"/>
  <c r="M693" i="4"/>
  <c r="G693" i="4"/>
  <c r="C693" i="4"/>
  <c r="B693" i="4"/>
  <c r="AH692" i="4"/>
  <c r="M692" i="4"/>
  <c r="G692" i="4"/>
  <c r="C692" i="4"/>
  <c r="B692" i="4"/>
  <c r="AH691" i="4"/>
  <c r="M691" i="4"/>
  <c r="G691" i="4"/>
  <c r="C691" i="4"/>
  <c r="B691" i="4"/>
  <c r="AH690" i="4"/>
  <c r="M690" i="4"/>
  <c r="G690" i="4"/>
  <c r="C690" i="4"/>
  <c r="B690" i="4"/>
  <c r="C49" i="7"/>
  <c r="F49" i="7"/>
  <c r="G49" i="7" s="1"/>
  <c r="H49" i="7"/>
  <c r="A49" i="7" s="1"/>
  <c r="G50" i="6"/>
  <c r="I50" i="6"/>
  <c r="F51" i="1"/>
  <c r="AB51" i="1"/>
  <c r="AC51" i="1"/>
  <c r="AD51" i="1"/>
  <c r="AF51" i="1"/>
  <c r="AG51" i="1" s="1"/>
  <c r="AH51" i="1"/>
  <c r="A49" i="14"/>
  <c r="G49" i="14"/>
  <c r="H49" i="14"/>
  <c r="B49" i="14" s="1"/>
  <c r="Q49" i="14"/>
  <c r="AD676" i="4"/>
  <c r="AD684" i="4"/>
  <c r="AA676" i="4"/>
  <c r="AA688" i="4"/>
  <c r="AH689" i="4"/>
  <c r="M689" i="4"/>
  <c r="G689" i="4"/>
  <c r="C689" i="4"/>
  <c r="B689" i="4"/>
  <c r="AH688" i="4"/>
  <c r="AD688" i="4"/>
  <c r="AC688" i="4"/>
  <c r="AB688" i="4"/>
  <c r="M688" i="4"/>
  <c r="G688" i="4"/>
  <c r="C688" i="4"/>
  <c r="B688" i="4"/>
  <c r="AH687" i="4"/>
  <c r="AD687" i="4"/>
  <c r="AC687" i="4"/>
  <c r="AB687" i="4"/>
  <c r="AA687" i="4"/>
  <c r="M687" i="4"/>
  <c r="G687" i="4"/>
  <c r="C687" i="4"/>
  <c r="B687" i="4"/>
  <c r="AH686" i="4"/>
  <c r="AD686" i="4"/>
  <c r="AC686" i="4"/>
  <c r="AB686" i="4"/>
  <c r="AA686" i="4"/>
  <c r="M686" i="4"/>
  <c r="G686" i="4"/>
  <c r="C686" i="4"/>
  <c r="B686" i="4"/>
  <c r="AH685" i="4"/>
  <c r="AD685" i="4"/>
  <c r="AC685" i="4"/>
  <c r="AB685" i="4"/>
  <c r="AA685" i="4"/>
  <c r="M685" i="4"/>
  <c r="G685" i="4"/>
  <c r="C685" i="4"/>
  <c r="B685" i="4"/>
  <c r="AH684" i="4"/>
  <c r="AC684" i="4"/>
  <c r="AB684" i="4"/>
  <c r="AA684" i="4"/>
  <c r="M684" i="4"/>
  <c r="G684" i="4"/>
  <c r="C684" i="4"/>
  <c r="B684" i="4"/>
  <c r="AH683" i="4"/>
  <c r="AD683" i="4"/>
  <c r="AC683" i="4"/>
  <c r="AB683" i="4"/>
  <c r="AA683" i="4"/>
  <c r="M683" i="4"/>
  <c r="G683" i="4"/>
  <c r="C683" i="4"/>
  <c r="B683" i="4"/>
  <c r="AH682" i="4"/>
  <c r="AD682" i="4"/>
  <c r="AC682" i="4"/>
  <c r="AB682" i="4"/>
  <c r="AA682" i="4"/>
  <c r="M682" i="4"/>
  <c r="G682" i="4"/>
  <c r="C682" i="4"/>
  <c r="B682" i="4"/>
  <c r="AH681" i="4"/>
  <c r="AD681" i="4"/>
  <c r="AC681" i="4"/>
  <c r="AB681" i="4"/>
  <c r="AA681" i="4"/>
  <c r="M681" i="4"/>
  <c r="G681" i="4"/>
  <c r="C681" i="4"/>
  <c r="B681" i="4"/>
  <c r="AH680" i="4"/>
  <c r="AD680" i="4"/>
  <c r="AC680" i="4"/>
  <c r="AB680" i="4"/>
  <c r="AA680" i="4"/>
  <c r="M680" i="4"/>
  <c r="G680" i="4"/>
  <c r="C680" i="4"/>
  <c r="B680" i="4"/>
  <c r="AH679" i="4"/>
  <c r="M679" i="4"/>
  <c r="G679" i="4"/>
  <c r="C679" i="4"/>
  <c r="B679" i="4"/>
  <c r="AH678" i="4"/>
  <c r="AD678" i="4"/>
  <c r="AC678" i="4"/>
  <c r="AB678" i="4"/>
  <c r="AA678" i="4"/>
  <c r="M678" i="4"/>
  <c r="G678" i="4"/>
  <c r="C678" i="4"/>
  <c r="B678" i="4"/>
  <c r="AH677" i="4"/>
  <c r="AD677" i="4"/>
  <c r="AC677" i="4"/>
  <c r="AB677" i="4"/>
  <c r="AA677" i="4"/>
  <c r="M677" i="4"/>
  <c r="G677" i="4"/>
  <c r="C677" i="4"/>
  <c r="B677" i="4"/>
  <c r="AH676" i="4"/>
  <c r="M676" i="4"/>
  <c r="G676" i="4"/>
  <c r="C676" i="4"/>
  <c r="B676" i="4"/>
  <c r="A48" i="7"/>
  <c r="B48" i="7"/>
  <c r="C48" i="7"/>
  <c r="F48" i="7"/>
  <c r="G48" i="7" s="1"/>
  <c r="H48" i="7"/>
  <c r="A47" i="7"/>
  <c r="B47" i="7"/>
  <c r="C47" i="7"/>
  <c r="F47" i="7"/>
  <c r="G47" i="7" s="1"/>
  <c r="H47" i="7"/>
  <c r="A46" i="7"/>
  <c r="B46" i="7"/>
  <c r="C46" i="7"/>
  <c r="F46" i="7"/>
  <c r="G46" i="7" s="1"/>
  <c r="H46" i="7"/>
  <c r="G49" i="6"/>
  <c r="I49" i="6"/>
  <c r="G48" i="6"/>
  <c r="I48" i="6"/>
  <c r="G47" i="6"/>
  <c r="I47" i="6"/>
  <c r="F50" i="1"/>
  <c r="AB50" i="1"/>
  <c r="AC50" i="1"/>
  <c r="AD50" i="1"/>
  <c r="AF50" i="1"/>
  <c r="AG50" i="1" s="1"/>
  <c r="AH50" i="1"/>
  <c r="AI928" i="4" l="1"/>
  <c r="AI925" i="4"/>
  <c r="AI920" i="4"/>
  <c r="AI924" i="4"/>
  <c r="AI923" i="4"/>
  <c r="AI922" i="4"/>
  <c r="AI929" i="4"/>
  <c r="AI919" i="4"/>
  <c r="AI927" i="4"/>
  <c r="AE67" i="1"/>
  <c r="AE66" i="1"/>
  <c r="AI930" i="4"/>
  <c r="AB930" i="4"/>
  <c r="AB929" i="4"/>
  <c r="AC929" i="4"/>
  <c r="AB928" i="4"/>
  <c r="AC927" i="4"/>
  <c r="AD926" i="4"/>
  <c r="AI926" i="4" s="1"/>
  <c r="AB924" i="4"/>
  <c r="AB923" i="4"/>
  <c r="AC922" i="4"/>
  <c r="AA920" i="4"/>
  <c r="AB920" i="4"/>
  <c r="AC919" i="4"/>
  <c r="AB927" i="4"/>
  <c r="AI914" i="4"/>
  <c r="AE64" i="1"/>
  <c r="AI911" i="4"/>
  <c r="AI888" i="4"/>
  <c r="AI899" i="4"/>
  <c r="AI904" i="4"/>
  <c r="AI900" i="4"/>
  <c r="AI913" i="4"/>
  <c r="AI910" i="4"/>
  <c r="AI894" i="4"/>
  <c r="AA914" i="4"/>
  <c r="AI917" i="4"/>
  <c r="AI909" i="4"/>
  <c r="AI915" i="4"/>
  <c r="AI907" i="4"/>
  <c r="AI906" i="4"/>
  <c r="AB917" i="4"/>
  <c r="AB916" i="4"/>
  <c r="AI916" i="4"/>
  <c r="AC914" i="4"/>
  <c r="AC913" i="4"/>
  <c r="AI912" i="4"/>
  <c r="AB911" i="4"/>
  <c r="AC907" i="4"/>
  <c r="AI827" i="4"/>
  <c r="AI874" i="4"/>
  <c r="AI880" i="4"/>
  <c r="AI833" i="4"/>
  <c r="AI850" i="4"/>
  <c r="AI858" i="4"/>
  <c r="AI893" i="4"/>
  <c r="AI898" i="4"/>
  <c r="AB914" i="4"/>
  <c r="AI864" i="4"/>
  <c r="AI903" i="4"/>
  <c r="AI859" i="4"/>
  <c r="AI878" i="4"/>
  <c r="AI891" i="4"/>
  <c r="F65" i="7"/>
  <c r="G65" i="7" s="1"/>
  <c r="C65" i="7"/>
  <c r="B65" i="7"/>
  <c r="F64" i="7"/>
  <c r="G64" i="7" s="1"/>
  <c r="AI897" i="4"/>
  <c r="AI902" i="4"/>
  <c r="AI901" i="4"/>
  <c r="AA901" i="4"/>
  <c r="AB901" i="4"/>
  <c r="AC901" i="4"/>
  <c r="AB898" i="4"/>
  <c r="AB897" i="4"/>
  <c r="AD896" i="4"/>
  <c r="AI896" i="4" s="1"/>
  <c r="AB894" i="4"/>
  <c r="AC894" i="4"/>
  <c r="AB893" i="4"/>
  <c r="AC900" i="4"/>
  <c r="AI883" i="4"/>
  <c r="AI884" i="4"/>
  <c r="AI853" i="4"/>
  <c r="AI857" i="4"/>
  <c r="AI876" i="4"/>
  <c r="AI889" i="4"/>
  <c r="AI831" i="4"/>
  <c r="AI870" i="4"/>
  <c r="AI881" i="4"/>
  <c r="AA900" i="4"/>
  <c r="AI887" i="4"/>
  <c r="AB900" i="4"/>
  <c r="AE65" i="1"/>
  <c r="B63" i="7"/>
  <c r="AB891" i="4"/>
  <c r="AB890" i="4"/>
  <c r="AD890" i="4"/>
  <c r="AI890" i="4" s="1"/>
  <c r="AB889" i="4"/>
  <c r="AA888" i="4"/>
  <c r="AB888" i="4"/>
  <c r="AC888" i="4"/>
  <c r="AC887" i="4"/>
  <c r="AA887" i="4"/>
  <c r="AB887" i="4"/>
  <c r="AD886" i="4"/>
  <c r="AI886" i="4" s="1"/>
  <c r="AA886" i="4"/>
  <c r="AB886" i="4"/>
  <c r="AD885" i="4"/>
  <c r="AI885" i="4" s="1"/>
  <c r="AC884" i="4"/>
  <c r="AB880" i="4"/>
  <c r="AI873" i="4"/>
  <c r="AI862" i="4"/>
  <c r="AI872" i="4"/>
  <c r="AI861" i="4"/>
  <c r="AI867" i="4"/>
  <c r="AI871" i="4"/>
  <c r="AI877" i="4"/>
  <c r="AI868" i="4"/>
  <c r="AI875" i="4"/>
  <c r="AE63" i="1"/>
  <c r="AE62" i="1"/>
  <c r="C64" i="14"/>
  <c r="C63" i="14"/>
  <c r="AA878" i="4"/>
  <c r="AB878" i="4"/>
  <c r="AC877" i="4"/>
  <c r="AB876" i="4"/>
  <c r="AB875" i="4"/>
  <c r="AC875" i="4"/>
  <c r="AB873" i="4"/>
  <c r="AC873" i="4"/>
  <c r="AB872" i="4"/>
  <c r="AB871" i="4"/>
  <c r="AB870" i="4"/>
  <c r="AB868" i="4"/>
  <c r="AI863" i="4"/>
  <c r="AI854" i="4"/>
  <c r="AI860" i="4"/>
  <c r="AI855" i="4"/>
  <c r="AB874" i="4"/>
  <c r="AI825" i="4"/>
  <c r="AI849" i="4"/>
  <c r="C61" i="7"/>
  <c r="AI865" i="4"/>
  <c r="AB865" i="4"/>
  <c r="AC864" i="4"/>
  <c r="AA863" i="4"/>
  <c r="AB863" i="4"/>
  <c r="AC863" i="4"/>
  <c r="AB862" i="4"/>
  <c r="AA861" i="4"/>
  <c r="AB861" i="4"/>
  <c r="AC861" i="4"/>
  <c r="AB860" i="4"/>
  <c r="AC860" i="4"/>
  <c r="AB859" i="4"/>
  <c r="AB857" i="4"/>
  <c r="AB855" i="4"/>
  <c r="AC854" i="4"/>
  <c r="AI848" i="4"/>
  <c r="AI841" i="4"/>
  <c r="AI847" i="4"/>
  <c r="AI767" i="4"/>
  <c r="AI846" i="4"/>
  <c r="AI845" i="4"/>
  <c r="AI844" i="4"/>
  <c r="AI843" i="4"/>
  <c r="AI779" i="4"/>
  <c r="AI840" i="4"/>
  <c r="B60" i="7"/>
  <c r="AE59" i="1"/>
  <c r="AI851" i="4"/>
  <c r="AB849" i="4"/>
  <c r="AB848" i="4"/>
  <c r="AC847" i="4"/>
  <c r="AA847" i="4"/>
  <c r="AC846" i="4"/>
  <c r="AC845" i="4"/>
  <c r="AB844" i="4"/>
  <c r="AB843" i="4"/>
  <c r="AC843" i="4"/>
  <c r="AC840" i="4"/>
  <c r="AD839" i="4"/>
  <c r="AI839" i="4" s="1"/>
  <c r="AI837" i="4"/>
  <c r="AI836" i="4"/>
  <c r="AI826" i="4"/>
  <c r="AB847" i="4"/>
  <c r="AI835" i="4"/>
  <c r="AI834" i="4"/>
  <c r="AB846" i="4"/>
  <c r="AI830" i="4"/>
  <c r="AI829" i="4"/>
  <c r="AI832" i="4"/>
  <c r="C59" i="7"/>
  <c r="AE61" i="1"/>
  <c r="AE58" i="1"/>
  <c r="AE60" i="1"/>
  <c r="C60" i="14"/>
  <c r="AB837" i="4"/>
  <c r="AB835" i="4"/>
  <c r="AB834" i="4"/>
  <c r="AC833" i="4"/>
  <c r="AA833" i="4"/>
  <c r="AC832" i="4"/>
  <c r="AB829" i="4"/>
  <c r="AB826" i="4"/>
  <c r="AB825" i="4"/>
  <c r="AB833" i="4"/>
  <c r="F58" i="7"/>
  <c r="G58" i="7" s="1"/>
  <c r="C58" i="7"/>
  <c r="B58" i="7"/>
  <c r="AE56" i="1"/>
  <c r="B57" i="7"/>
  <c r="AE57" i="1"/>
  <c r="AE55" i="1"/>
  <c r="AI795" i="4"/>
  <c r="AI797" i="4"/>
  <c r="AI788" i="4"/>
  <c r="AI789" i="4"/>
  <c r="AI806" i="4"/>
  <c r="AI800" i="4"/>
  <c r="AI804" i="4"/>
  <c r="AI781" i="4"/>
  <c r="AI780" i="4"/>
  <c r="AI807" i="4"/>
  <c r="AI799" i="4"/>
  <c r="AI805" i="4"/>
  <c r="AI796" i="4"/>
  <c r="AI803" i="4"/>
  <c r="AI773" i="4"/>
  <c r="AI784" i="4"/>
  <c r="AI801" i="4"/>
  <c r="AC807" i="4"/>
  <c r="AB806" i="4"/>
  <c r="AB805" i="4"/>
  <c r="AC805" i="4"/>
  <c r="AA803" i="4"/>
  <c r="AB803" i="4"/>
  <c r="AC803" i="4"/>
  <c r="AC802" i="4"/>
  <c r="AD802" i="4"/>
  <c r="AI802" i="4" s="1"/>
  <c r="AC799" i="4"/>
  <c r="AB797" i="4"/>
  <c r="AA796" i="4"/>
  <c r="AB796" i="4"/>
  <c r="AC796" i="4"/>
  <c r="AB795" i="4"/>
  <c r="AI791" i="4"/>
  <c r="AI785" i="4"/>
  <c r="AB804" i="4"/>
  <c r="AI765" i="4"/>
  <c r="AI790" i="4"/>
  <c r="AI792" i="4"/>
  <c r="AI787" i="4"/>
  <c r="AC6" i="3"/>
  <c r="AC7" i="3"/>
  <c r="AB791" i="4"/>
  <c r="AB788" i="4"/>
  <c r="AC787" i="4"/>
  <c r="AD786" i="4"/>
  <c r="AI786" i="4" s="1"/>
  <c r="AB785" i="4"/>
  <c r="AC785" i="4"/>
  <c r="AC784" i="4"/>
  <c r="AB783" i="4"/>
  <c r="AD783" i="4"/>
  <c r="AI783" i="4" s="1"/>
  <c r="AB781" i="4"/>
  <c r="AB779" i="4"/>
  <c r="AI704" i="4"/>
  <c r="AI774" i="4"/>
  <c r="AI764" i="4"/>
  <c r="AA792" i="4"/>
  <c r="AB787" i="4"/>
  <c r="AB792" i="4"/>
  <c r="AI771" i="4"/>
  <c r="AC792" i="4"/>
  <c r="AI770" i="4"/>
  <c r="AI769" i="4"/>
  <c r="AI768" i="4"/>
  <c r="AE53" i="1"/>
  <c r="AA763" i="4"/>
  <c r="AC763" i="4"/>
  <c r="AD763" i="4"/>
  <c r="AI763" i="4" s="1"/>
  <c r="AI775" i="4"/>
  <c r="AB775" i="4"/>
  <c r="AB774" i="4"/>
  <c r="AD772" i="4"/>
  <c r="AI772" i="4" s="1"/>
  <c r="AC771" i="4"/>
  <c r="AB770" i="4"/>
  <c r="AC770" i="4"/>
  <c r="AB769" i="4"/>
  <c r="AA768" i="4"/>
  <c r="AB768" i="4"/>
  <c r="AB767" i="4"/>
  <c r="AC767" i="4"/>
  <c r="AB764" i="4"/>
  <c r="AC764" i="4"/>
  <c r="AB771" i="4"/>
  <c r="AI715" i="4"/>
  <c r="AI726" i="4"/>
  <c r="C54" i="7"/>
  <c r="B54" i="7"/>
  <c r="C59" i="14"/>
  <c r="C58" i="14"/>
  <c r="C57" i="14"/>
  <c r="C55" i="14"/>
  <c r="AA746" i="4"/>
  <c r="AI697" i="4"/>
  <c r="AI708" i="4"/>
  <c r="AI709" i="4"/>
  <c r="AA755" i="4"/>
  <c r="AA754" i="4"/>
  <c r="AD753" i="4"/>
  <c r="AI753" i="4" s="1"/>
  <c r="AI754" i="4"/>
  <c r="AA756" i="4"/>
  <c r="AI699" i="4"/>
  <c r="AI712" i="4"/>
  <c r="AI729" i="4"/>
  <c r="AI751" i="4"/>
  <c r="AI758" i="4"/>
  <c r="AI750" i="4"/>
  <c r="AI728" i="4"/>
  <c r="AI722" i="4"/>
  <c r="AI752" i="4"/>
  <c r="AA753" i="4"/>
  <c r="AI757" i="4"/>
  <c r="AI748" i="4"/>
  <c r="AB753" i="4"/>
  <c r="AI756" i="4"/>
  <c r="AI747" i="4"/>
  <c r="AI755" i="4"/>
  <c r="AI746" i="4"/>
  <c r="AB757" i="4"/>
  <c r="AC757" i="4"/>
  <c r="AB756" i="4"/>
  <c r="AC756" i="4"/>
  <c r="AB755" i="4"/>
  <c r="AC754" i="4"/>
  <c r="AB752" i="4"/>
  <c r="AC748" i="4"/>
  <c r="AB746" i="4"/>
  <c r="AC746" i="4"/>
  <c r="AI744" i="4"/>
  <c r="AI743" i="4"/>
  <c r="AI734" i="4"/>
  <c r="AI736" i="4"/>
  <c r="AI732" i="4"/>
  <c r="AB754" i="4"/>
  <c r="AB758" i="4"/>
  <c r="AI740" i="4"/>
  <c r="AI685" i="4"/>
  <c r="AI742" i="4"/>
  <c r="AI739" i="4"/>
  <c r="AI737" i="4"/>
  <c r="F53" i="7"/>
  <c r="G53" i="7" s="1"/>
  <c r="C53" i="7"/>
  <c r="B53" i="7"/>
  <c r="AE52" i="1"/>
  <c r="AE54" i="1"/>
  <c r="AA743" i="4"/>
  <c r="AB743" i="4"/>
  <c r="AC743" i="4"/>
  <c r="AB742" i="4"/>
  <c r="AC741" i="4"/>
  <c r="AD741" i="4"/>
  <c r="AI741" i="4" s="1"/>
  <c r="AA741" i="4"/>
  <c r="AB740" i="4"/>
  <c r="AC740" i="4"/>
  <c r="AB739" i="4"/>
  <c r="AD738" i="4"/>
  <c r="AI738" i="4" s="1"/>
  <c r="AB737" i="4"/>
  <c r="AC737" i="4"/>
  <c r="AB734" i="4"/>
  <c r="AC734" i="4"/>
  <c r="AD733" i="4"/>
  <c r="AI733" i="4" s="1"/>
  <c r="AB732" i="4"/>
  <c r="AC732" i="4"/>
  <c r="AI720" i="4"/>
  <c r="AI718" i="4"/>
  <c r="AI719" i="4"/>
  <c r="AI688" i="4"/>
  <c r="AI727" i="4"/>
  <c r="AI725" i="4"/>
  <c r="AI723" i="4"/>
  <c r="F52" i="7"/>
  <c r="G52" i="7" s="1"/>
  <c r="C52" i="7"/>
  <c r="B52" i="7"/>
  <c r="AC727" i="4"/>
  <c r="AA730" i="4"/>
  <c r="AA722" i="4"/>
  <c r="AB723" i="4"/>
  <c r="AB730" i="4"/>
  <c r="AC728" i="4"/>
  <c r="AD724" i="4"/>
  <c r="AI724" i="4" s="1"/>
  <c r="AD730" i="4"/>
  <c r="AI730" i="4" s="1"/>
  <c r="AA724" i="4"/>
  <c r="AA723" i="4"/>
  <c r="AC723" i="4"/>
  <c r="AC725" i="4"/>
  <c r="AA726" i="4"/>
  <c r="AA725" i="4"/>
  <c r="AC729" i="4"/>
  <c r="AB727" i="4"/>
  <c r="AC726" i="4"/>
  <c r="AB725" i="4"/>
  <c r="AB724" i="4"/>
  <c r="AB722" i="4"/>
  <c r="AC722" i="4"/>
  <c r="AC720" i="4"/>
  <c r="AC719" i="4"/>
  <c r="AI686" i="4"/>
  <c r="AI695" i="4"/>
  <c r="AI706" i="4"/>
  <c r="AB726" i="4"/>
  <c r="AI701" i="4"/>
  <c r="AI711" i="4"/>
  <c r="AI716" i="4"/>
  <c r="AE51" i="1"/>
  <c r="AB19" i="11"/>
  <c r="AB716" i="4"/>
  <c r="AC716" i="4"/>
  <c r="AC715" i="4"/>
  <c r="AD714" i="4"/>
  <c r="AI714" i="4" s="1"/>
  <c r="AB714" i="4"/>
  <c r="AC713" i="4"/>
  <c r="AD713" i="4"/>
  <c r="AI713" i="4" s="1"/>
  <c r="AB712" i="4"/>
  <c r="AI710" i="4"/>
  <c r="AB710" i="4"/>
  <c r="AC710" i="4"/>
  <c r="AC705" i="4"/>
  <c r="AD705" i="4"/>
  <c r="AI705" i="4" s="1"/>
  <c r="AI692" i="4"/>
  <c r="AI700" i="4"/>
  <c r="AI682" i="4"/>
  <c r="AI690" i="4"/>
  <c r="AI698" i="4"/>
  <c r="B50" i="7"/>
  <c r="AI702" i="4"/>
  <c r="AB702" i="4"/>
  <c r="AC702" i="4"/>
  <c r="AB701" i="4"/>
  <c r="AC701" i="4"/>
  <c r="AB700" i="4"/>
  <c r="AC700" i="4"/>
  <c r="AB699" i="4"/>
  <c r="AB698" i="4"/>
  <c r="AC698" i="4"/>
  <c r="AB696" i="4"/>
  <c r="AD696" i="4"/>
  <c r="AI696" i="4" s="1"/>
  <c r="AC695" i="4"/>
  <c r="AB695" i="4"/>
  <c r="AD694" i="4"/>
  <c r="AI694" i="4" s="1"/>
  <c r="AC694" i="4"/>
  <c r="AB692" i="4"/>
  <c r="AC692" i="4"/>
  <c r="AD691" i="4"/>
  <c r="AI691" i="4" s="1"/>
  <c r="AB691" i="4"/>
  <c r="AB690" i="4"/>
  <c r="AC690" i="4"/>
  <c r="AI680" i="4"/>
  <c r="AI683" i="4"/>
  <c r="AI687" i="4"/>
  <c r="AI681" i="4"/>
  <c r="AI684" i="4"/>
  <c r="AI677" i="4"/>
  <c r="AI676" i="4"/>
  <c r="B49" i="7"/>
  <c r="AE50" i="1"/>
  <c r="C49" i="14"/>
  <c r="AI678" i="4"/>
  <c r="AC676" i="4"/>
  <c r="AB676" i="4"/>
  <c r="A48" i="14" l="1"/>
  <c r="B48" i="14"/>
  <c r="C48" i="14"/>
  <c r="G48" i="14"/>
  <c r="H48" i="14"/>
  <c r="Q48" i="14"/>
  <c r="G18" i="11"/>
  <c r="M18" i="11"/>
  <c r="P18" i="11"/>
  <c r="W18" i="11"/>
  <c r="X18" i="11"/>
  <c r="Y18" i="11"/>
  <c r="AB18" i="11" s="1"/>
  <c r="AD18" i="11"/>
  <c r="AD663" i="4"/>
  <c r="AB664" i="4"/>
  <c r="AD666" i="4"/>
  <c r="AB667" i="4"/>
  <c r="AD668" i="4"/>
  <c r="AD669" i="4"/>
  <c r="AD670" i="4"/>
  <c r="AD671" i="4"/>
  <c r="AD672" i="4"/>
  <c r="AB673" i="4"/>
  <c r="AC674" i="4"/>
  <c r="AA662" i="4"/>
  <c r="AA664" i="4"/>
  <c r="AA666" i="4"/>
  <c r="AA667" i="4"/>
  <c r="AA669" i="4"/>
  <c r="AA673" i="4"/>
  <c r="AA674" i="4"/>
  <c r="AH675" i="4"/>
  <c r="M675" i="4"/>
  <c r="G675" i="4"/>
  <c r="C675" i="4"/>
  <c r="B675" i="4"/>
  <c r="AH674" i="4"/>
  <c r="AD674" i="4"/>
  <c r="M674" i="4"/>
  <c r="G674" i="4"/>
  <c r="C674" i="4"/>
  <c r="B674" i="4"/>
  <c r="AH673" i="4"/>
  <c r="AD673" i="4"/>
  <c r="AC673" i="4"/>
  <c r="M673" i="4"/>
  <c r="G673" i="4"/>
  <c r="C673" i="4"/>
  <c r="B673" i="4"/>
  <c r="AH672" i="4"/>
  <c r="AA672" i="4"/>
  <c r="M672" i="4"/>
  <c r="G672" i="4"/>
  <c r="C672" i="4"/>
  <c r="B672" i="4"/>
  <c r="AH671" i="4"/>
  <c r="AB671" i="4"/>
  <c r="AA671" i="4"/>
  <c r="M671" i="4"/>
  <c r="G671" i="4"/>
  <c r="C671" i="4"/>
  <c r="B671" i="4"/>
  <c r="AH670" i="4"/>
  <c r="M670" i="4"/>
  <c r="G670" i="4"/>
  <c r="C670" i="4"/>
  <c r="B670" i="4"/>
  <c r="AH669" i="4"/>
  <c r="AB669" i="4"/>
  <c r="M669" i="4"/>
  <c r="G669" i="4"/>
  <c r="C669" i="4"/>
  <c r="B669" i="4"/>
  <c r="AH668" i="4"/>
  <c r="AC668" i="4"/>
  <c r="AB668" i="4"/>
  <c r="AA668" i="4"/>
  <c r="M668" i="4"/>
  <c r="G668" i="4"/>
  <c r="C668" i="4"/>
  <c r="B668" i="4"/>
  <c r="AH667" i="4"/>
  <c r="M667" i="4"/>
  <c r="G667" i="4"/>
  <c r="C667" i="4"/>
  <c r="B667" i="4"/>
  <c r="AH666" i="4"/>
  <c r="AC666" i="4"/>
  <c r="AB666" i="4"/>
  <c r="M666" i="4"/>
  <c r="G666" i="4"/>
  <c r="C666" i="4"/>
  <c r="B666" i="4"/>
  <c r="AH665" i="4"/>
  <c r="M665" i="4"/>
  <c r="G665" i="4"/>
  <c r="C665" i="4"/>
  <c r="B665" i="4"/>
  <c r="AH664" i="4"/>
  <c r="AD664" i="4"/>
  <c r="AC664" i="4"/>
  <c r="M664" i="4"/>
  <c r="G664" i="4"/>
  <c r="C664" i="4"/>
  <c r="B664" i="4"/>
  <c r="AH663" i="4"/>
  <c r="M663" i="4"/>
  <c r="G663" i="4"/>
  <c r="C663" i="4"/>
  <c r="B663" i="4"/>
  <c r="AH662" i="4"/>
  <c r="AD662" i="4"/>
  <c r="AC662" i="4"/>
  <c r="AB662" i="4"/>
  <c r="M662" i="4"/>
  <c r="G662" i="4"/>
  <c r="C662" i="4"/>
  <c r="B662" i="4"/>
  <c r="F49" i="1"/>
  <c r="AB49" i="1"/>
  <c r="AC49" i="1"/>
  <c r="AD49" i="1"/>
  <c r="AF49" i="1"/>
  <c r="AG49" i="1" s="1"/>
  <c r="AH49" i="1"/>
  <c r="A47" i="14"/>
  <c r="C47" i="14"/>
  <c r="G47" i="14"/>
  <c r="H47" i="14"/>
  <c r="B47" i="14" s="1"/>
  <c r="Q47" i="14"/>
  <c r="AD648" i="4"/>
  <c r="AB649" i="4"/>
  <c r="AC650" i="4"/>
  <c r="AD652" i="4"/>
  <c r="AB654" i="4"/>
  <c r="AD655" i="4"/>
  <c r="AC656" i="4"/>
  <c r="AD657" i="4"/>
  <c r="AD658" i="4"/>
  <c r="AB659" i="4"/>
  <c r="AB660" i="4"/>
  <c r="AA648" i="4"/>
  <c r="AA653" i="4"/>
  <c r="AA654" i="4"/>
  <c r="AA658" i="4"/>
  <c r="AA659" i="4"/>
  <c r="AH661" i="4"/>
  <c r="M661" i="4"/>
  <c r="G661" i="4"/>
  <c r="C661" i="4"/>
  <c r="B661" i="4"/>
  <c r="AH660" i="4"/>
  <c r="AD660" i="4"/>
  <c r="AC660" i="4"/>
  <c r="AA660" i="4"/>
  <c r="M660" i="4"/>
  <c r="G660" i="4"/>
  <c r="C660" i="4"/>
  <c r="B660" i="4"/>
  <c r="AH659" i="4"/>
  <c r="AD659" i="4"/>
  <c r="M659" i="4"/>
  <c r="G659" i="4"/>
  <c r="C659" i="4"/>
  <c r="B659" i="4"/>
  <c r="AH658" i="4"/>
  <c r="AC658" i="4"/>
  <c r="M658" i="4"/>
  <c r="G658" i="4"/>
  <c r="C658" i="4"/>
  <c r="B658" i="4"/>
  <c r="AH657" i="4"/>
  <c r="AC657" i="4"/>
  <c r="AA657" i="4"/>
  <c r="M657" i="4"/>
  <c r="G657" i="4"/>
  <c r="C657" i="4"/>
  <c r="B657" i="4"/>
  <c r="AH656" i="4"/>
  <c r="M656" i="4"/>
  <c r="G656" i="4"/>
  <c r="C656" i="4"/>
  <c r="B656" i="4"/>
  <c r="AH655" i="4"/>
  <c r="AA655" i="4"/>
  <c r="M655" i="4"/>
  <c r="G655" i="4"/>
  <c r="C655" i="4"/>
  <c r="B655" i="4"/>
  <c r="AH654" i="4"/>
  <c r="AC654" i="4"/>
  <c r="M654" i="4"/>
  <c r="G654" i="4"/>
  <c r="C654" i="4"/>
  <c r="B654" i="4"/>
  <c r="AH653" i="4"/>
  <c r="AD653" i="4"/>
  <c r="AC653" i="4"/>
  <c r="AB653" i="4"/>
  <c r="M653" i="4"/>
  <c r="G653" i="4"/>
  <c r="C653" i="4"/>
  <c r="B653" i="4"/>
  <c r="AH652" i="4"/>
  <c r="AB652" i="4"/>
  <c r="AA652" i="4"/>
  <c r="M652" i="4"/>
  <c r="G652" i="4"/>
  <c r="C652" i="4"/>
  <c r="B652" i="4"/>
  <c r="AH651" i="4"/>
  <c r="M651" i="4"/>
  <c r="G651" i="4"/>
  <c r="C651" i="4"/>
  <c r="B651" i="4"/>
  <c r="AH650" i="4"/>
  <c r="AD650" i="4"/>
  <c r="AB650" i="4"/>
  <c r="AA650" i="4"/>
  <c r="M650" i="4"/>
  <c r="G650" i="4"/>
  <c r="C650" i="4"/>
  <c r="B650" i="4"/>
  <c r="AH649" i="4"/>
  <c r="AD649" i="4"/>
  <c r="AA649" i="4"/>
  <c r="M649" i="4"/>
  <c r="G649" i="4"/>
  <c r="C649" i="4"/>
  <c r="B649" i="4"/>
  <c r="AH648" i="4"/>
  <c r="AB648" i="4"/>
  <c r="M648" i="4"/>
  <c r="G648" i="4"/>
  <c r="C648" i="4"/>
  <c r="B648" i="4"/>
  <c r="F48" i="1"/>
  <c r="AB48" i="1"/>
  <c r="AC48" i="1"/>
  <c r="AD48" i="1"/>
  <c r="AF48" i="1"/>
  <c r="AG48" i="1" s="1"/>
  <c r="AH48" i="1"/>
  <c r="A46" i="14"/>
  <c r="B46" i="14"/>
  <c r="G46" i="14"/>
  <c r="H46" i="14"/>
  <c r="C46" i="14" s="1"/>
  <c r="Q46" i="14"/>
  <c r="AD634" i="4"/>
  <c r="AC635" i="4"/>
  <c r="AC636" i="4"/>
  <c r="AC639" i="4"/>
  <c r="AC640" i="4"/>
  <c r="AD641" i="4"/>
  <c r="AC642" i="4"/>
  <c r="AD643" i="4"/>
  <c r="AC644" i="4"/>
  <c r="AC645" i="4"/>
  <c r="AC646" i="4"/>
  <c r="AA635" i="4"/>
  <c r="AA636" i="4"/>
  <c r="AA638" i="4"/>
  <c r="AA639" i="4"/>
  <c r="AA642" i="4"/>
  <c r="AA643" i="4"/>
  <c r="AA645" i="4"/>
  <c r="AH647" i="4"/>
  <c r="M647" i="4"/>
  <c r="G647" i="4"/>
  <c r="C647" i="4"/>
  <c r="B647" i="4"/>
  <c r="AH646" i="4"/>
  <c r="AD646" i="4"/>
  <c r="AB646" i="4"/>
  <c r="AA646" i="4"/>
  <c r="M646" i="4"/>
  <c r="G646" i="4"/>
  <c r="C646" i="4"/>
  <c r="B646" i="4"/>
  <c r="AH645" i="4"/>
  <c r="AD645" i="4"/>
  <c r="M645" i="4"/>
  <c r="G645" i="4"/>
  <c r="C645" i="4"/>
  <c r="B645" i="4"/>
  <c r="AH644" i="4"/>
  <c r="AD644" i="4"/>
  <c r="AB644" i="4"/>
  <c r="AA644" i="4"/>
  <c r="M644" i="4"/>
  <c r="G644" i="4"/>
  <c r="C644" i="4"/>
  <c r="B644" i="4"/>
  <c r="AH643" i="4"/>
  <c r="AB643" i="4"/>
  <c r="M643" i="4"/>
  <c r="G643" i="4"/>
  <c r="C643" i="4"/>
  <c r="B643" i="4"/>
  <c r="AH642" i="4"/>
  <c r="M642" i="4"/>
  <c r="G642" i="4"/>
  <c r="C642" i="4"/>
  <c r="B642" i="4"/>
  <c r="AH641" i="4"/>
  <c r="M641" i="4"/>
  <c r="G641" i="4"/>
  <c r="C641" i="4"/>
  <c r="B641" i="4"/>
  <c r="AH640" i="4"/>
  <c r="AD640" i="4"/>
  <c r="AA640" i="4"/>
  <c r="M640" i="4"/>
  <c r="G640" i="4"/>
  <c r="C640" i="4"/>
  <c r="B640" i="4"/>
  <c r="AH639" i="4"/>
  <c r="AD639" i="4"/>
  <c r="AB639" i="4"/>
  <c r="M639" i="4"/>
  <c r="G639" i="4"/>
  <c r="C639" i="4"/>
  <c r="B639" i="4"/>
  <c r="AH638" i="4"/>
  <c r="AD638" i="4"/>
  <c r="AC638" i="4"/>
  <c r="AB638" i="4"/>
  <c r="M638" i="4"/>
  <c r="G638" i="4"/>
  <c r="C638" i="4"/>
  <c r="B638" i="4"/>
  <c r="AH637" i="4"/>
  <c r="M637" i="4"/>
  <c r="G637" i="4"/>
  <c r="C637" i="4"/>
  <c r="B637" i="4"/>
  <c r="AH636" i="4"/>
  <c r="M636" i="4"/>
  <c r="G636" i="4"/>
  <c r="C636" i="4"/>
  <c r="B636" i="4"/>
  <c r="AH635" i="4"/>
  <c r="AD635" i="4"/>
  <c r="M635" i="4"/>
  <c r="G635" i="4"/>
  <c r="C635" i="4"/>
  <c r="B635" i="4"/>
  <c r="AH634" i="4"/>
  <c r="AC634" i="4"/>
  <c r="AB634" i="4"/>
  <c r="AA634" i="4"/>
  <c r="M634" i="4"/>
  <c r="G634" i="4"/>
  <c r="C634" i="4"/>
  <c r="B634" i="4"/>
  <c r="A45" i="7"/>
  <c r="F45" i="7"/>
  <c r="G45" i="7" s="1"/>
  <c r="H45" i="7"/>
  <c r="B45" i="7" s="1"/>
  <c r="G46" i="6"/>
  <c r="I46" i="6"/>
  <c r="F47" i="1"/>
  <c r="AB47" i="1"/>
  <c r="AC47" i="1"/>
  <c r="AD47" i="1"/>
  <c r="AF47" i="1"/>
  <c r="AG47" i="1" s="1"/>
  <c r="AH47" i="1"/>
  <c r="A45" i="14"/>
  <c r="G45" i="14"/>
  <c r="H45" i="14"/>
  <c r="B45" i="14" s="1"/>
  <c r="Q45" i="14"/>
  <c r="AC620" i="4"/>
  <c r="AD621" i="4"/>
  <c r="AB622" i="4"/>
  <c r="AD624" i="4"/>
  <c r="AB625" i="4"/>
  <c r="AD626" i="4"/>
  <c r="AD627" i="4"/>
  <c r="AB628" i="4"/>
  <c r="AC629" i="4"/>
  <c r="AC630" i="4"/>
  <c r="AC632" i="4"/>
  <c r="AA620" i="4"/>
  <c r="AA624" i="4"/>
  <c r="AA625" i="4"/>
  <c r="AA626" i="4"/>
  <c r="AA627" i="4"/>
  <c r="AA631" i="4"/>
  <c r="AH633" i="4"/>
  <c r="M633" i="4"/>
  <c r="G633" i="4"/>
  <c r="C633" i="4"/>
  <c r="B633" i="4"/>
  <c r="AH632" i="4"/>
  <c r="AD632" i="4"/>
  <c r="AA632" i="4"/>
  <c r="M632" i="4"/>
  <c r="G632" i="4"/>
  <c r="C632" i="4"/>
  <c r="B632" i="4"/>
  <c r="AH631" i="4"/>
  <c r="AD631" i="4"/>
  <c r="AC631" i="4"/>
  <c r="AB631" i="4"/>
  <c r="M631" i="4"/>
  <c r="G631" i="4"/>
  <c r="C631" i="4"/>
  <c r="B631" i="4"/>
  <c r="AH630" i="4"/>
  <c r="AD630" i="4"/>
  <c r="M630" i="4"/>
  <c r="G630" i="4"/>
  <c r="C630" i="4"/>
  <c r="B630" i="4"/>
  <c r="AH629" i="4"/>
  <c r="AD629" i="4"/>
  <c r="AA629" i="4"/>
  <c r="M629" i="4"/>
  <c r="G629" i="4"/>
  <c r="C629" i="4"/>
  <c r="B629" i="4"/>
  <c r="AH628" i="4"/>
  <c r="AD628" i="4"/>
  <c r="AC628" i="4"/>
  <c r="AA628" i="4"/>
  <c r="M628" i="4"/>
  <c r="G628" i="4"/>
  <c r="C628" i="4"/>
  <c r="B628" i="4"/>
  <c r="AH627" i="4"/>
  <c r="M627" i="4"/>
  <c r="G627" i="4"/>
  <c r="C627" i="4"/>
  <c r="B627" i="4"/>
  <c r="AH626" i="4"/>
  <c r="AC626" i="4"/>
  <c r="AB626" i="4"/>
  <c r="M626" i="4"/>
  <c r="G626" i="4"/>
  <c r="C626" i="4"/>
  <c r="B626" i="4"/>
  <c r="AH625" i="4"/>
  <c r="AC625" i="4"/>
  <c r="M625" i="4"/>
  <c r="G625" i="4"/>
  <c r="C625" i="4"/>
  <c r="B625" i="4"/>
  <c r="AH624" i="4"/>
  <c r="AC624" i="4"/>
  <c r="M624" i="4"/>
  <c r="G624" i="4"/>
  <c r="C624" i="4"/>
  <c r="B624" i="4"/>
  <c r="AH623" i="4"/>
  <c r="M623" i="4"/>
  <c r="G623" i="4"/>
  <c r="C623" i="4"/>
  <c r="B623" i="4"/>
  <c r="AH622" i="4"/>
  <c r="AD622" i="4"/>
  <c r="AC622" i="4"/>
  <c r="AA622" i="4"/>
  <c r="M622" i="4"/>
  <c r="G622" i="4"/>
  <c r="C622" i="4"/>
  <c r="B622" i="4"/>
  <c r="AH621" i="4"/>
  <c r="AC621" i="4"/>
  <c r="AA621" i="4"/>
  <c r="M621" i="4"/>
  <c r="G621" i="4"/>
  <c r="C621" i="4"/>
  <c r="B621" i="4"/>
  <c r="AH620" i="4"/>
  <c r="AD620" i="4"/>
  <c r="AB620" i="4"/>
  <c r="M620" i="4"/>
  <c r="G620" i="4"/>
  <c r="C620" i="4"/>
  <c r="B620" i="4"/>
  <c r="A44" i="7"/>
  <c r="B44" i="7"/>
  <c r="C44" i="7"/>
  <c r="F44" i="7"/>
  <c r="G44" i="7" s="1"/>
  <c r="H44" i="7"/>
  <c r="G45" i="6"/>
  <c r="I45" i="6"/>
  <c r="F46" i="1"/>
  <c r="AB46" i="1"/>
  <c r="AC46" i="1"/>
  <c r="AD46" i="1"/>
  <c r="AF46" i="1"/>
  <c r="AG46" i="1" s="1"/>
  <c r="AH46" i="1"/>
  <c r="B17" i="11"/>
  <c r="C17" i="11"/>
  <c r="G17" i="11"/>
  <c r="M17" i="11"/>
  <c r="P17" i="11"/>
  <c r="AB17" i="11" s="1"/>
  <c r="W17" i="11"/>
  <c r="X17" i="11"/>
  <c r="Y17" i="11"/>
  <c r="AD17" i="11"/>
  <c r="A44" i="14"/>
  <c r="B44" i="14"/>
  <c r="G44" i="14"/>
  <c r="H44" i="14"/>
  <c r="C44" i="14" s="1"/>
  <c r="Q44" i="14"/>
  <c r="AD606" i="4"/>
  <c r="AD607" i="4"/>
  <c r="AD608" i="4"/>
  <c r="AD610" i="4"/>
  <c r="AC611" i="4"/>
  <c r="AB612" i="4"/>
  <c r="AD613" i="4"/>
  <c r="AD614" i="4"/>
  <c r="AD615" i="4"/>
  <c r="AD616" i="4"/>
  <c r="AB617" i="4"/>
  <c r="AB618" i="4"/>
  <c r="AA606" i="4"/>
  <c r="AA607" i="4"/>
  <c r="AA608" i="4"/>
  <c r="AA610" i="4"/>
  <c r="AA611" i="4"/>
  <c r="AA612" i="4"/>
  <c r="AA613" i="4"/>
  <c r="AA617" i="4"/>
  <c r="AA618" i="4"/>
  <c r="AH619" i="4"/>
  <c r="M619" i="4"/>
  <c r="G619" i="4"/>
  <c r="C619" i="4"/>
  <c r="B619" i="4"/>
  <c r="AH618" i="4"/>
  <c r="AD618" i="4"/>
  <c r="AC618" i="4"/>
  <c r="M618" i="4"/>
  <c r="G618" i="4"/>
  <c r="C618" i="4"/>
  <c r="B618" i="4"/>
  <c r="AH617" i="4"/>
  <c r="AD617" i="4"/>
  <c r="M617" i="4"/>
  <c r="G617" i="4"/>
  <c r="C617" i="4"/>
  <c r="B617" i="4"/>
  <c r="AH616" i="4"/>
  <c r="M616" i="4"/>
  <c r="G616" i="4"/>
  <c r="C616" i="4"/>
  <c r="B616" i="4"/>
  <c r="AH615" i="4"/>
  <c r="AB615" i="4"/>
  <c r="AA615" i="4"/>
  <c r="M615" i="4"/>
  <c r="G615" i="4"/>
  <c r="C615" i="4"/>
  <c r="B615" i="4"/>
  <c r="AH614" i="4"/>
  <c r="M614" i="4"/>
  <c r="G614" i="4"/>
  <c r="C614" i="4"/>
  <c r="B614" i="4"/>
  <c r="AH613" i="4"/>
  <c r="AC613" i="4"/>
  <c r="M613" i="4"/>
  <c r="G613" i="4"/>
  <c r="C613" i="4"/>
  <c r="B613" i="4"/>
  <c r="AH612" i="4"/>
  <c r="AD612" i="4"/>
  <c r="AC612" i="4"/>
  <c r="M612" i="4"/>
  <c r="G612" i="4"/>
  <c r="C612" i="4"/>
  <c r="B612" i="4"/>
  <c r="AH611" i="4"/>
  <c r="AD611" i="4"/>
  <c r="M611" i="4"/>
  <c r="G611" i="4"/>
  <c r="C611" i="4"/>
  <c r="B611" i="4"/>
  <c r="AH610" i="4"/>
  <c r="AB610" i="4"/>
  <c r="M610" i="4"/>
  <c r="G610" i="4"/>
  <c r="C610" i="4"/>
  <c r="B610" i="4"/>
  <c r="AH609" i="4"/>
  <c r="M609" i="4"/>
  <c r="G609" i="4"/>
  <c r="C609" i="4"/>
  <c r="B609" i="4"/>
  <c r="AH608" i="4"/>
  <c r="AB608" i="4"/>
  <c r="M608" i="4"/>
  <c r="G608" i="4"/>
  <c r="C608" i="4"/>
  <c r="B608" i="4"/>
  <c r="AH607" i="4"/>
  <c r="AC607" i="4"/>
  <c r="M607" i="4"/>
  <c r="G607" i="4"/>
  <c r="C607" i="4"/>
  <c r="B607" i="4"/>
  <c r="AH606" i="4"/>
  <c r="AC606" i="4"/>
  <c r="M606" i="4"/>
  <c r="G606" i="4"/>
  <c r="C606" i="4"/>
  <c r="B606" i="4"/>
  <c r="H43" i="7"/>
  <c r="A43" i="7" s="1"/>
  <c r="G44" i="6"/>
  <c r="I44" i="6"/>
  <c r="F45" i="1"/>
  <c r="AB45" i="1"/>
  <c r="AC45" i="1"/>
  <c r="AD45" i="1"/>
  <c r="AF45" i="1"/>
  <c r="AG45" i="1" s="1"/>
  <c r="AH45" i="1"/>
  <c r="A43" i="14"/>
  <c r="G43" i="14"/>
  <c r="H43" i="14"/>
  <c r="B43" i="14" s="1"/>
  <c r="Q43" i="14"/>
  <c r="AD592" i="4"/>
  <c r="AC593" i="4"/>
  <c r="AC594" i="4"/>
  <c r="AC596" i="4"/>
  <c r="AC597" i="4"/>
  <c r="AD598" i="4"/>
  <c r="AD599" i="4"/>
  <c r="AD600" i="4"/>
  <c r="AD601" i="4"/>
  <c r="AD602" i="4"/>
  <c r="AD603" i="4"/>
  <c r="AD604" i="4"/>
  <c r="AA592" i="4"/>
  <c r="AA593" i="4"/>
  <c r="AA594" i="4"/>
  <c r="AA596" i="4"/>
  <c r="AA597" i="4"/>
  <c r="AA599" i="4"/>
  <c r="AA602" i="4"/>
  <c r="AA603" i="4"/>
  <c r="AH605" i="4"/>
  <c r="M605" i="4"/>
  <c r="G605" i="4"/>
  <c r="C605" i="4"/>
  <c r="B605" i="4"/>
  <c r="AH604" i="4"/>
  <c r="AB604" i="4"/>
  <c r="AA604" i="4"/>
  <c r="M604" i="4"/>
  <c r="G604" i="4"/>
  <c r="C604" i="4"/>
  <c r="B604" i="4"/>
  <c r="AH603" i="4"/>
  <c r="AB603" i="4"/>
  <c r="M603" i="4"/>
  <c r="G603" i="4"/>
  <c r="C603" i="4"/>
  <c r="B603" i="4"/>
  <c r="AH602" i="4"/>
  <c r="M602" i="4"/>
  <c r="G602" i="4"/>
  <c r="C602" i="4"/>
  <c r="B602" i="4"/>
  <c r="AH601" i="4"/>
  <c r="AC601" i="4"/>
  <c r="AB601" i="4"/>
  <c r="AA601" i="4"/>
  <c r="M601" i="4"/>
  <c r="G601" i="4"/>
  <c r="C601" i="4"/>
  <c r="B601" i="4"/>
  <c r="AH600" i="4"/>
  <c r="M600" i="4"/>
  <c r="G600" i="4"/>
  <c r="C600" i="4"/>
  <c r="B600" i="4"/>
  <c r="AH599" i="4"/>
  <c r="M599" i="4"/>
  <c r="G599" i="4"/>
  <c r="C599" i="4"/>
  <c r="B599" i="4"/>
  <c r="AH598" i="4"/>
  <c r="AC598" i="4"/>
  <c r="AA598" i="4"/>
  <c r="M598" i="4"/>
  <c r="G598" i="4"/>
  <c r="C598" i="4"/>
  <c r="B598" i="4"/>
  <c r="AH597" i="4"/>
  <c r="AD597" i="4"/>
  <c r="M597" i="4"/>
  <c r="G597" i="4"/>
  <c r="C597" i="4"/>
  <c r="B597" i="4"/>
  <c r="AH596" i="4"/>
  <c r="AD596" i="4"/>
  <c r="M596" i="4"/>
  <c r="G596" i="4"/>
  <c r="C596" i="4"/>
  <c r="B596" i="4"/>
  <c r="AH595" i="4"/>
  <c r="M595" i="4"/>
  <c r="G595" i="4"/>
  <c r="C595" i="4"/>
  <c r="B595" i="4"/>
  <c r="AH594" i="4"/>
  <c r="AD594" i="4"/>
  <c r="M594" i="4"/>
  <c r="G594" i="4"/>
  <c r="C594" i="4"/>
  <c r="B594" i="4"/>
  <c r="AH593" i="4"/>
  <c r="AD593" i="4"/>
  <c r="AB593" i="4"/>
  <c r="M593" i="4"/>
  <c r="G593" i="4"/>
  <c r="C593" i="4"/>
  <c r="B593" i="4"/>
  <c r="AH592" i="4"/>
  <c r="M592" i="4"/>
  <c r="G592" i="4"/>
  <c r="C592" i="4"/>
  <c r="B592" i="4"/>
  <c r="H42" i="7"/>
  <c r="A42" i="7" s="1"/>
  <c r="G43" i="6"/>
  <c r="I43" i="6"/>
  <c r="F44" i="1"/>
  <c r="AB44" i="1"/>
  <c r="AC44" i="1"/>
  <c r="AD44" i="1"/>
  <c r="AF44" i="1"/>
  <c r="AG44" i="1" s="1"/>
  <c r="AH44" i="1"/>
  <c r="A42" i="14"/>
  <c r="G42" i="14"/>
  <c r="H42" i="14"/>
  <c r="B42" i="14" s="1"/>
  <c r="Q42" i="14"/>
  <c r="A41" i="14"/>
  <c r="G41" i="14"/>
  <c r="H41" i="14"/>
  <c r="B41" i="14" s="1"/>
  <c r="Q41" i="14"/>
  <c r="AC578" i="4"/>
  <c r="AD579" i="4"/>
  <c r="AD580" i="4"/>
  <c r="AC582" i="4"/>
  <c r="AC583" i="4"/>
  <c r="AD584" i="4"/>
  <c r="AD585" i="4"/>
  <c r="AD586" i="4"/>
  <c r="AD587" i="4"/>
  <c r="AD588" i="4"/>
  <c r="AB589" i="4"/>
  <c r="AD590" i="4"/>
  <c r="AA578" i="4"/>
  <c r="AA579" i="4"/>
  <c r="AA580" i="4"/>
  <c r="AA585" i="4"/>
  <c r="AA587" i="4"/>
  <c r="AA588" i="4"/>
  <c r="AA589" i="4"/>
  <c r="AA590" i="4"/>
  <c r="AH591" i="4"/>
  <c r="M591" i="4"/>
  <c r="G591" i="4"/>
  <c r="C591" i="4"/>
  <c r="B591" i="4"/>
  <c r="AH590" i="4"/>
  <c r="AC590" i="4"/>
  <c r="M590" i="4"/>
  <c r="G590" i="4"/>
  <c r="C590" i="4"/>
  <c r="B590" i="4"/>
  <c r="AH589" i="4"/>
  <c r="AD589" i="4"/>
  <c r="AC589" i="4"/>
  <c r="M589" i="4"/>
  <c r="G589" i="4"/>
  <c r="C589" i="4"/>
  <c r="B589" i="4"/>
  <c r="AH588" i="4"/>
  <c r="AC588" i="4"/>
  <c r="M588" i="4"/>
  <c r="G588" i="4"/>
  <c r="C588" i="4"/>
  <c r="B588" i="4"/>
  <c r="AH587" i="4"/>
  <c r="AC587" i="4"/>
  <c r="M587" i="4"/>
  <c r="G587" i="4"/>
  <c r="C587" i="4"/>
  <c r="B587" i="4"/>
  <c r="AH586" i="4"/>
  <c r="M586" i="4"/>
  <c r="G586" i="4"/>
  <c r="C586" i="4"/>
  <c r="B586" i="4"/>
  <c r="AH585" i="4"/>
  <c r="M585" i="4"/>
  <c r="G585" i="4"/>
  <c r="C585" i="4"/>
  <c r="B585" i="4"/>
  <c r="AH584" i="4"/>
  <c r="AC584" i="4"/>
  <c r="AB584" i="4"/>
  <c r="AA584" i="4"/>
  <c r="M584" i="4"/>
  <c r="G584" i="4"/>
  <c r="C584" i="4"/>
  <c r="B584" i="4"/>
  <c r="AH583" i="4"/>
  <c r="AD583" i="4"/>
  <c r="AA583" i="4"/>
  <c r="M583" i="4"/>
  <c r="G583" i="4"/>
  <c r="C583" i="4"/>
  <c r="B583" i="4"/>
  <c r="AH582" i="4"/>
  <c r="AD582" i="4"/>
  <c r="AA582" i="4"/>
  <c r="M582" i="4"/>
  <c r="G582" i="4"/>
  <c r="C582" i="4"/>
  <c r="B582" i="4"/>
  <c r="AH581" i="4"/>
  <c r="M581" i="4"/>
  <c r="G581" i="4"/>
  <c r="C581" i="4"/>
  <c r="B581" i="4"/>
  <c r="AH580" i="4"/>
  <c r="AC580" i="4"/>
  <c r="AB580" i="4"/>
  <c r="M580" i="4"/>
  <c r="G580" i="4"/>
  <c r="C580" i="4"/>
  <c r="B580" i="4"/>
  <c r="AH579" i="4"/>
  <c r="AC579" i="4"/>
  <c r="AB579" i="4"/>
  <c r="M579" i="4"/>
  <c r="G579" i="4"/>
  <c r="C579" i="4"/>
  <c r="B579" i="4"/>
  <c r="AH578" i="4"/>
  <c r="AD578" i="4"/>
  <c r="M578" i="4"/>
  <c r="G578" i="4"/>
  <c r="C578" i="4"/>
  <c r="B578" i="4"/>
  <c r="F41" i="7"/>
  <c r="G41" i="7" s="1"/>
  <c r="H41" i="7"/>
  <c r="A41" i="7" s="1"/>
  <c r="G42" i="6"/>
  <c r="I42" i="6"/>
  <c r="F43" i="1"/>
  <c r="AB43" i="1"/>
  <c r="AC43" i="1"/>
  <c r="AD43" i="1"/>
  <c r="AF43" i="1"/>
  <c r="AG43" i="1" s="1"/>
  <c r="AH43" i="1"/>
  <c r="B3" i="16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C2" i="16"/>
  <c r="B2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3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" i="15"/>
  <c r="B3" i="15"/>
  <c r="C3" i="15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C23" i="14"/>
  <c r="B24" i="14"/>
  <c r="C24" i="14"/>
  <c r="B25" i="14"/>
  <c r="C25" i="14"/>
  <c r="B26" i="14"/>
  <c r="C26" i="14"/>
  <c r="B27" i="14"/>
  <c r="C27" i="14"/>
  <c r="B28" i="14"/>
  <c r="C28" i="14"/>
  <c r="B29" i="14"/>
  <c r="C29" i="14"/>
  <c r="B30" i="14"/>
  <c r="C30" i="14"/>
  <c r="B31" i="14"/>
  <c r="C31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8" i="14"/>
  <c r="C38" i="14"/>
  <c r="B39" i="14"/>
  <c r="C39" i="14"/>
  <c r="B40" i="14"/>
  <c r="C40" i="14"/>
  <c r="B3" i="14"/>
  <c r="C3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" i="14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8" i="11"/>
  <c r="C18" i="11"/>
  <c r="B19" i="11"/>
  <c r="C19" i="11"/>
  <c r="B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B98" i="11"/>
  <c r="C98" i="11"/>
  <c r="B99" i="11"/>
  <c r="C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111" i="11"/>
  <c r="C111" i="11"/>
  <c r="B112" i="11"/>
  <c r="C112" i="11"/>
  <c r="B113" i="11"/>
  <c r="C113" i="11"/>
  <c r="B114" i="11"/>
  <c r="C114" i="11"/>
  <c r="B115" i="11"/>
  <c r="C115" i="11"/>
  <c r="B116" i="11"/>
  <c r="C116" i="11"/>
  <c r="B117" i="11"/>
  <c r="C117" i="11"/>
  <c r="B118" i="11"/>
  <c r="C118" i="11"/>
  <c r="B119" i="11"/>
  <c r="C119" i="11"/>
  <c r="B120" i="11"/>
  <c r="C120" i="11"/>
  <c r="B121" i="11"/>
  <c r="C121" i="11"/>
  <c r="B122" i="11"/>
  <c r="C122" i="11"/>
  <c r="B123" i="11"/>
  <c r="C123" i="11"/>
  <c r="B124" i="11"/>
  <c r="C124" i="11"/>
  <c r="B125" i="11"/>
  <c r="C125" i="11"/>
  <c r="B126" i="11"/>
  <c r="C126" i="11"/>
  <c r="B127" i="11"/>
  <c r="C127" i="11"/>
  <c r="B128" i="11"/>
  <c r="C128" i="11"/>
  <c r="B129" i="11"/>
  <c r="C129" i="11"/>
  <c r="B130" i="11"/>
  <c r="C130" i="11"/>
  <c r="B131" i="11"/>
  <c r="C131" i="11"/>
  <c r="B132" i="11"/>
  <c r="C132" i="11"/>
  <c r="B133" i="11"/>
  <c r="C133" i="11"/>
  <c r="B134" i="11"/>
  <c r="C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B145" i="11"/>
  <c r="C145" i="11"/>
  <c r="B146" i="11"/>
  <c r="C146" i="11"/>
  <c r="B147" i="11"/>
  <c r="C147" i="11"/>
  <c r="B148" i="11"/>
  <c r="C148" i="11"/>
  <c r="B149" i="11"/>
  <c r="C149" i="11"/>
  <c r="B150" i="11"/>
  <c r="C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B161" i="11"/>
  <c r="C161" i="11"/>
  <c r="B162" i="11"/>
  <c r="C162" i="11"/>
  <c r="B163" i="11"/>
  <c r="C163" i="11"/>
  <c r="B164" i="11"/>
  <c r="C164" i="11"/>
  <c r="B165" i="11"/>
  <c r="C165" i="11"/>
  <c r="B166" i="11"/>
  <c r="C166" i="11"/>
  <c r="B167" i="11"/>
  <c r="C167" i="11"/>
  <c r="B168" i="11"/>
  <c r="C168" i="11"/>
  <c r="B169" i="11"/>
  <c r="C169" i="11"/>
  <c r="B170" i="11"/>
  <c r="C170" i="11"/>
  <c r="B171" i="11"/>
  <c r="C171" i="11"/>
  <c r="B172" i="11"/>
  <c r="C172" i="11"/>
  <c r="B173" i="11"/>
  <c r="C173" i="11"/>
  <c r="B174" i="11"/>
  <c r="C174" i="11"/>
  <c r="B175" i="11"/>
  <c r="C175" i="11"/>
  <c r="B176" i="11"/>
  <c r="C176" i="11"/>
  <c r="B177" i="11"/>
  <c r="C177" i="11"/>
  <c r="B178" i="11"/>
  <c r="C178" i="11"/>
  <c r="B179" i="11"/>
  <c r="C179" i="11"/>
  <c r="B180" i="11"/>
  <c r="C180" i="11"/>
  <c r="B181" i="11"/>
  <c r="C181" i="11"/>
  <c r="B182" i="11"/>
  <c r="C182" i="11"/>
  <c r="B183" i="11"/>
  <c r="C183" i="11"/>
  <c r="B184" i="11"/>
  <c r="C184" i="11"/>
  <c r="B185" i="11"/>
  <c r="C185" i="11"/>
  <c r="B186" i="11"/>
  <c r="C186" i="11"/>
  <c r="B187" i="11"/>
  <c r="C187" i="11"/>
  <c r="B188" i="11"/>
  <c r="C188" i="11"/>
  <c r="B189" i="11"/>
  <c r="C189" i="11"/>
  <c r="B190" i="11"/>
  <c r="C190" i="11"/>
  <c r="B191" i="11"/>
  <c r="C191" i="11"/>
  <c r="B192" i="11"/>
  <c r="C192" i="11"/>
  <c r="B193" i="11"/>
  <c r="C193" i="11"/>
  <c r="B194" i="11"/>
  <c r="C194" i="11"/>
  <c r="B195" i="11"/>
  <c r="C195" i="11"/>
  <c r="B196" i="11"/>
  <c r="C196" i="11"/>
  <c r="B197" i="11"/>
  <c r="C197" i="11"/>
  <c r="B198" i="11"/>
  <c r="C198" i="11"/>
  <c r="B199" i="11"/>
  <c r="C199" i="11"/>
  <c r="B200" i="11"/>
  <c r="C200" i="11"/>
  <c r="B201" i="11"/>
  <c r="C201" i="11"/>
  <c r="B202" i="11"/>
  <c r="C202" i="11"/>
  <c r="B203" i="11"/>
  <c r="C203" i="11"/>
  <c r="B204" i="11"/>
  <c r="C204" i="11"/>
  <c r="B205" i="11"/>
  <c r="C205" i="11"/>
  <c r="B206" i="11"/>
  <c r="C206" i="11"/>
  <c r="B207" i="11"/>
  <c r="C207" i="11"/>
  <c r="B208" i="11"/>
  <c r="C208" i="11"/>
  <c r="B209" i="11"/>
  <c r="C209" i="11"/>
  <c r="B210" i="11"/>
  <c r="C210" i="11"/>
  <c r="B211" i="11"/>
  <c r="C211" i="11"/>
  <c r="B212" i="11"/>
  <c r="C212" i="11"/>
  <c r="B213" i="11"/>
  <c r="C213" i="11"/>
  <c r="B214" i="11"/>
  <c r="C214" i="11"/>
  <c r="B215" i="11"/>
  <c r="C215" i="11"/>
  <c r="B216" i="11"/>
  <c r="C216" i="11"/>
  <c r="B217" i="11"/>
  <c r="C217" i="11"/>
  <c r="B218" i="11"/>
  <c r="C218" i="11"/>
  <c r="B219" i="11"/>
  <c r="C219" i="11"/>
  <c r="B220" i="11"/>
  <c r="C220" i="11"/>
  <c r="B221" i="11"/>
  <c r="C221" i="11"/>
  <c r="B222" i="11"/>
  <c r="C222" i="11"/>
  <c r="B223" i="11"/>
  <c r="C223" i="11"/>
  <c r="B224" i="11"/>
  <c r="C224" i="11"/>
  <c r="B225" i="11"/>
  <c r="C225" i="11"/>
  <c r="B226" i="11"/>
  <c r="C226" i="11"/>
  <c r="B227" i="11"/>
  <c r="C227" i="11"/>
  <c r="B228" i="11"/>
  <c r="C228" i="11"/>
  <c r="B229" i="11"/>
  <c r="C229" i="11"/>
  <c r="B230" i="11"/>
  <c r="C230" i="11"/>
  <c r="B231" i="11"/>
  <c r="C231" i="11"/>
  <c r="B232" i="11"/>
  <c r="C232" i="11"/>
  <c r="B233" i="11"/>
  <c r="C233" i="11"/>
  <c r="B234" i="11"/>
  <c r="C234" i="11"/>
  <c r="B235" i="11"/>
  <c r="C235" i="11"/>
  <c r="B236" i="11"/>
  <c r="C236" i="11"/>
  <c r="B237" i="11"/>
  <c r="C237" i="11"/>
  <c r="B238" i="11"/>
  <c r="C238" i="11"/>
  <c r="B239" i="11"/>
  <c r="C239" i="11"/>
  <c r="B240" i="11"/>
  <c r="C240" i="11"/>
  <c r="B241" i="11"/>
  <c r="C241" i="11"/>
  <c r="B242" i="11"/>
  <c r="C242" i="11"/>
  <c r="B243" i="11"/>
  <c r="C243" i="11"/>
  <c r="B244" i="11"/>
  <c r="C244" i="11"/>
  <c r="B245" i="11"/>
  <c r="C245" i="11"/>
  <c r="B246" i="11"/>
  <c r="C246" i="11"/>
  <c r="B247" i="11"/>
  <c r="C247" i="11"/>
  <c r="B248" i="11"/>
  <c r="C248" i="11"/>
  <c r="B249" i="11"/>
  <c r="C249" i="11"/>
  <c r="B250" i="11"/>
  <c r="C250" i="11"/>
  <c r="B251" i="11"/>
  <c r="C251" i="11"/>
  <c r="B252" i="11"/>
  <c r="C252" i="11"/>
  <c r="B253" i="11"/>
  <c r="C253" i="11"/>
  <c r="B254" i="11"/>
  <c r="C254" i="11"/>
  <c r="B255" i="11"/>
  <c r="C255" i="11"/>
  <c r="B256" i="11"/>
  <c r="C256" i="11"/>
  <c r="B257" i="11"/>
  <c r="C257" i="11"/>
  <c r="B258" i="11"/>
  <c r="C258" i="11"/>
  <c r="B259" i="11"/>
  <c r="C259" i="11"/>
  <c r="B260" i="11"/>
  <c r="C260" i="11"/>
  <c r="B261" i="11"/>
  <c r="C261" i="11"/>
  <c r="B262" i="11"/>
  <c r="C262" i="11"/>
  <c r="B263" i="11"/>
  <c r="C263" i="11"/>
  <c r="B264" i="11"/>
  <c r="C264" i="11"/>
  <c r="B265" i="11"/>
  <c r="C265" i="11"/>
  <c r="B266" i="11"/>
  <c r="C266" i="11"/>
  <c r="B267" i="11"/>
  <c r="C267" i="11"/>
  <c r="B268" i="11"/>
  <c r="C268" i="11"/>
  <c r="B269" i="11"/>
  <c r="C269" i="11"/>
  <c r="B270" i="11"/>
  <c r="C270" i="11"/>
  <c r="B271" i="11"/>
  <c r="C271" i="11"/>
  <c r="B272" i="11"/>
  <c r="C272" i="11"/>
  <c r="B273" i="11"/>
  <c r="C273" i="11"/>
  <c r="B274" i="11"/>
  <c r="C274" i="11"/>
  <c r="B275" i="11"/>
  <c r="C275" i="11"/>
  <c r="B276" i="11"/>
  <c r="C276" i="11"/>
  <c r="B277" i="11"/>
  <c r="C277" i="11"/>
  <c r="B278" i="11"/>
  <c r="C278" i="11"/>
  <c r="B279" i="11"/>
  <c r="C279" i="11"/>
  <c r="B280" i="11"/>
  <c r="C280" i="11"/>
  <c r="B281" i="11"/>
  <c r="C281" i="11"/>
  <c r="B282" i="11"/>
  <c r="C282" i="11"/>
  <c r="B283" i="11"/>
  <c r="C283" i="11"/>
  <c r="B284" i="11"/>
  <c r="C284" i="11"/>
  <c r="B285" i="11"/>
  <c r="C285" i="11"/>
  <c r="B286" i="11"/>
  <c r="C286" i="11"/>
  <c r="B287" i="11"/>
  <c r="C287" i="11"/>
  <c r="B288" i="11"/>
  <c r="C288" i="11"/>
  <c r="B289" i="11"/>
  <c r="C289" i="11"/>
  <c r="B290" i="11"/>
  <c r="C290" i="11"/>
  <c r="B291" i="11"/>
  <c r="C291" i="11"/>
  <c r="B292" i="11"/>
  <c r="C292" i="11"/>
  <c r="B293" i="11"/>
  <c r="C293" i="11"/>
  <c r="B294" i="11"/>
  <c r="C294" i="11"/>
  <c r="B295" i="11"/>
  <c r="C295" i="11"/>
  <c r="B296" i="11"/>
  <c r="C296" i="11"/>
  <c r="B297" i="11"/>
  <c r="C297" i="11"/>
  <c r="B298" i="11"/>
  <c r="C298" i="11"/>
  <c r="B299" i="11"/>
  <c r="C299" i="11"/>
  <c r="B300" i="11"/>
  <c r="C300" i="11"/>
  <c r="B301" i="11"/>
  <c r="C301" i="11"/>
  <c r="B302" i="11"/>
  <c r="C302" i="11"/>
  <c r="B303" i="11"/>
  <c r="C303" i="11"/>
  <c r="B304" i="11"/>
  <c r="C304" i="11"/>
  <c r="B305" i="11"/>
  <c r="C305" i="11"/>
  <c r="B306" i="11"/>
  <c r="C306" i="11"/>
  <c r="B307" i="11"/>
  <c r="C307" i="11"/>
  <c r="B308" i="11"/>
  <c r="C308" i="11"/>
  <c r="B309" i="11"/>
  <c r="C309" i="11"/>
  <c r="B310" i="11"/>
  <c r="C310" i="11"/>
  <c r="B311" i="11"/>
  <c r="C311" i="11"/>
  <c r="B312" i="11"/>
  <c r="C312" i="11"/>
  <c r="B313" i="11"/>
  <c r="C313" i="11"/>
  <c r="B314" i="11"/>
  <c r="C314" i="11"/>
  <c r="B315" i="11"/>
  <c r="C315" i="11"/>
  <c r="B316" i="11"/>
  <c r="C316" i="11"/>
  <c r="B317" i="11"/>
  <c r="C317" i="11"/>
  <c r="B318" i="11"/>
  <c r="C318" i="11"/>
  <c r="B319" i="11"/>
  <c r="C319" i="11"/>
  <c r="B320" i="11"/>
  <c r="C320" i="11"/>
  <c r="B321" i="11"/>
  <c r="C321" i="11"/>
  <c r="B322" i="11"/>
  <c r="C322" i="11"/>
  <c r="B323" i="11"/>
  <c r="C323" i="11"/>
  <c r="B324" i="11"/>
  <c r="C324" i="11"/>
  <c r="B325" i="11"/>
  <c r="C325" i="11"/>
  <c r="B326" i="11"/>
  <c r="C326" i="11"/>
  <c r="B327" i="11"/>
  <c r="C327" i="11"/>
  <c r="B328" i="11"/>
  <c r="C328" i="11"/>
  <c r="B329" i="11"/>
  <c r="C329" i="11"/>
  <c r="B330" i="11"/>
  <c r="C330" i="11"/>
  <c r="B331" i="11"/>
  <c r="C331" i="11"/>
  <c r="B332" i="11"/>
  <c r="C332" i="11"/>
  <c r="B333" i="11"/>
  <c r="C333" i="11"/>
  <c r="B334" i="11"/>
  <c r="C334" i="11"/>
  <c r="B335" i="11"/>
  <c r="C335" i="11"/>
  <c r="B336" i="11"/>
  <c r="C336" i="11"/>
  <c r="B337" i="11"/>
  <c r="C337" i="11"/>
  <c r="B338" i="11"/>
  <c r="C338" i="11"/>
  <c r="B339" i="11"/>
  <c r="C339" i="11"/>
  <c r="B340" i="11"/>
  <c r="C340" i="11"/>
  <c r="B341" i="11"/>
  <c r="C341" i="11"/>
  <c r="B342" i="11"/>
  <c r="C342" i="11"/>
  <c r="B343" i="11"/>
  <c r="C343" i="11"/>
  <c r="B344" i="11"/>
  <c r="C344" i="11"/>
  <c r="B345" i="11"/>
  <c r="C345" i="11"/>
  <c r="B346" i="11"/>
  <c r="C346" i="11"/>
  <c r="B347" i="11"/>
  <c r="C347" i="11"/>
  <c r="B348" i="11"/>
  <c r="C348" i="11"/>
  <c r="B349" i="11"/>
  <c r="C349" i="11"/>
  <c r="B350" i="11"/>
  <c r="C350" i="11"/>
  <c r="B351" i="11"/>
  <c r="C351" i="11"/>
  <c r="B352" i="11"/>
  <c r="C352" i="11"/>
  <c r="B353" i="11"/>
  <c r="C353" i="11"/>
  <c r="B354" i="11"/>
  <c r="C354" i="11"/>
  <c r="B355" i="11"/>
  <c r="C355" i="11"/>
  <c r="B356" i="11"/>
  <c r="C356" i="11"/>
  <c r="B357" i="11"/>
  <c r="C357" i="11"/>
  <c r="B358" i="11"/>
  <c r="C358" i="11"/>
  <c r="B359" i="11"/>
  <c r="C359" i="11"/>
  <c r="B360" i="11"/>
  <c r="C360" i="11"/>
  <c r="B361" i="11"/>
  <c r="C361" i="11"/>
  <c r="B362" i="11"/>
  <c r="C362" i="11"/>
  <c r="B363" i="11"/>
  <c r="C363" i="11"/>
  <c r="B364" i="11"/>
  <c r="C364" i="11"/>
  <c r="B365" i="11"/>
  <c r="C365" i="11"/>
  <c r="B366" i="11"/>
  <c r="C366" i="11"/>
  <c r="B367" i="11"/>
  <c r="C367" i="11"/>
  <c r="B368" i="11"/>
  <c r="C368" i="11"/>
  <c r="B369" i="11"/>
  <c r="C369" i="11"/>
  <c r="B370" i="11"/>
  <c r="C370" i="11"/>
  <c r="B371" i="11"/>
  <c r="C371" i="11"/>
  <c r="B372" i="11"/>
  <c r="C372" i="11"/>
  <c r="B373" i="11"/>
  <c r="C373" i="11"/>
  <c r="B374" i="11"/>
  <c r="C374" i="11"/>
  <c r="B375" i="11"/>
  <c r="C375" i="11"/>
  <c r="B376" i="11"/>
  <c r="C376" i="11"/>
  <c r="B377" i="11"/>
  <c r="C377" i="11"/>
  <c r="B378" i="11"/>
  <c r="C378" i="11"/>
  <c r="B379" i="11"/>
  <c r="C379" i="11"/>
  <c r="B380" i="11"/>
  <c r="C380" i="11"/>
  <c r="B381" i="11"/>
  <c r="C381" i="11"/>
  <c r="B382" i="11"/>
  <c r="C382" i="11"/>
  <c r="B383" i="11"/>
  <c r="C383" i="11"/>
  <c r="B384" i="11"/>
  <c r="C384" i="11"/>
  <c r="B385" i="11"/>
  <c r="C385" i="11"/>
  <c r="B386" i="11"/>
  <c r="C386" i="11"/>
  <c r="B387" i="11"/>
  <c r="C387" i="11"/>
  <c r="B388" i="11"/>
  <c r="C388" i="11"/>
  <c r="B389" i="11"/>
  <c r="C389" i="11"/>
  <c r="B390" i="11"/>
  <c r="C390" i="11"/>
  <c r="B391" i="11"/>
  <c r="C391" i="11"/>
  <c r="B392" i="11"/>
  <c r="C392" i="11"/>
  <c r="B393" i="11"/>
  <c r="C393" i="11"/>
  <c r="B394" i="11"/>
  <c r="C394" i="11"/>
  <c r="B395" i="11"/>
  <c r="C395" i="11"/>
  <c r="B396" i="11"/>
  <c r="C396" i="11"/>
  <c r="B397" i="11"/>
  <c r="C397" i="11"/>
  <c r="B398" i="11"/>
  <c r="C398" i="11"/>
  <c r="B399" i="11"/>
  <c r="C399" i="11"/>
  <c r="B400" i="11"/>
  <c r="C400" i="11"/>
  <c r="B401" i="11"/>
  <c r="C401" i="11"/>
  <c r="B402" i="11"/>
  <c r="C402" i="11"/>
  <c r="B403" i="11"/>
  <c r="C403" i="11"/>
  <c r="B404" i="11"/>
  <c r="C404" i="11"/>
  <c r="B405" i="11"/>
  <c r="C405" i="11"/>
  <c r="B406" i="11"/>
  <c r="C406" i="11"/>
  <c r="B407" i="11"/>
  <c r="C407" i="11"/>
  <c r="B408" i="11"/>
  <c r="C408" i="11"/>
  <c r="B409" i="11"/>
  <c r="C409" i="11"/>
  <c r="B410" i="11"/>
  <c r="C410" i="11"/>
  <c r="B411" i="11"/>
  <c r="C411" i="11"/>
  <c r="B412" i="11"/>
  <c r="C412" i="11"/>
  <c r="B413" i="11"/>
  <c r="C413" i="11"/>
  <c r="B414" i="11"/>
  <c r="C414" i="11"/>
  <c r="B415" i="11"/>
  <c r="C415" i="11"/>
  <c r="B416" i="11"/>
  <c r="C416" i="11"/>
  <c r="B417" i="11"/>
  <c r="C417" i="11"/>
  <c r="B418" i="11"/>
  <c r="C418" i="11"/>
  <c r="B419" i="11"/>
  <c r="C419" i="11"/>
  <c r="B420" i="11"/>
  <c r="C420" i="11"/>
  <c r="B421" i="11"/>
  <c r="C421" i="11"/>
  <c r="B422" i="11"/>
  <c r="C422" i="11"/>
  <c r="B423" i="11"/>
  <c r="C423" i="11"/>
  <c r="B424" i="11"/>
  <c r="C424" i="11"/>
  <c r="B425" i="11"/>
  <c r="C425" i="11"/>
  <c r="B426" i="11"/>
  <c r="C426" i="11"/>
  <c r="B427" i="11"/>
  <c r="C427" i="11"/>
  <c r="B428" i="11"/>
  <c r="C428" i="11"/>
  <c r="B429" i="11"/>
  <c r="C429" i="11"/>
  <c r="B430" i="11"/>
  <c r="C430" i="11"/>
  <c r="B431" i="11"/>
  <c r="C431" i="11"/>
  <c r="B432" i="11"/>
  <c r="C432" i="11"/>
  <c r="B433" i="11"/>
  <c r="C433" i="11"/>
  <c r="B434" i="11"/>
  <c r="C434" i="11"/>
  <c r="B435" i="11"/>
  <c r="C435" i="11"/>
  <c r="B436" i="11"/>
  <c r="C436" i="11"/>
  <c r="B437" i="11"/>
  <c r="C437" i="11"/>
  <c r="B438" i="11"/>
  <c r="C438" i="11"/>
  <c r="B439" i="11"/>
  <c r="C439" i="11"/>
  <c r="B440" i="11"/>
  <c r="C440" i="11"/>
  <c r="B441" i="11"/>
  <c r="C441" i="11"/>
  <c r="B442" i="11"/>
  <c r="C442" i="11"/>
  <c r="B443" i="11"/>
  <c r="C443" i="11"/>
  <c r="B444" i="11"/>
  <c r="C444" i="11"/>
  <c r="B445" i="11"/>
  <c r="C445" i="11"/>
  <c r="B446" i="11"/>
  <c r="C446" i="11"/>
  <c r="B447" i="11"/>
  <c r="C447" i="11"/>
  <c r="B448" i="11"/>
  <c r="C448" i="11"/>
  <c r="B449" i="11"/>
  <c r="C449" i="11"/>
  <c r="B450" i="11"/>
  <c r="C450" i="11"/>
  <c r="B451" i="11"/>
  <c r="C451" i="11"/>
  <c r="B452" i="11"/>
  <c r="C452" i="11"/>
  <c r="B453" i="11"/>
  <c r="C453" i="11"/>
  <c r="B454" i="11"/>
  <c r="C454" i="11"/>
  <c r="B455" i="11"/>
  <c r="C455" i="11"/>
  <c r="B456" i="11"/>
  <c r="C456" i="11"/>
  <c r="B457" i="11"/>
  <c r="C457" i="11"/>
  <c r="B458" i="11"/>
  <c r="C458" i="11"/>
  <c r="B459" i="11"/>
  <c r="C459" i="11"/>
  <c r="B460" i="11"/>
  <c r="C460" i="11"/>
  <c r="B461" i="11"/>
  <c r="C461" i="11"/>
  <c r="B462" i="11"/>
  <c r="C462" i="11"/>
  <c r="B463" i="11"/>
  <c r="C463" i="11"/>
  <c r="B464" i="11"/>
  <c r="C464" i="11"/>
  <c r="B465" i="11"/>
  <c r="C465" i="11"/>
  <c r="B466" i="11"/>
  <c r="C466" i="11"/>
  <c r="B467" i="11"/>
  <c r="C467" i="11"/>
  <c r="B468" i="11"/>
  <c r="C468" i="11"/>
  <c r="B469" i="11"/>
  <c r="C469" i="11"/>
  <c r="B470" i="11"/>
  <c r="C470" i="11"/>
  <c r="B471" i="11"/>
  <c r="C471" i="11"/>
  <c r="B472" i="11"/>
  <c r="C472" i="11"/>
  <c r="B473" i="11"/>
  <c r="C473" i="11"/>
  <c r="B474" i="11"/>
  <c r="C474" i="11"/>
  <c r="B475" i="11"/>
  <c r="C475" i="11"/>
  <c r="B476" i="11"/>
  <c r="C476" i="11"/>
  <c r="B477" i="11"/>
  <c r="C477" i="11"/>
  <c r="B478" i="11"/>
  <c r="C478" i="11"/>
  <c r="B479" i="11"/>
  <c r="C479" i="11"/>
  <c r="B480" i="11"/>
  <c r="C480" i="11"/>
  <c r="B481" i="11"/>
  <c r="C481" i="11"/>
  <c r="B482" i="11"/>
  <c r="C482" i="11"/>
  <c r="B483" i="11"/>
  <c r="C483" i="11"/>
  <c r="B484" i="11"/>
  <c r="C484" i="11"/>
  <c r="B485" i="11"/>
  <c r="C485" i="11"/>
  <c r="B486" i="11"/>
  <c r="C486" i="11"/>
  <c r="B487" i="11"/>
  <c r="C487" i="11"/>
  <c r="B488" i="11"/>
  <c r="C488" i="11"/>
  <c r="B489" i="11"/>
  <c r="C489" i="11"/>
  <c r="B490" i="11"/>
  <c r="C490" i="11"/>
  <c r="B491" i="11"/>
  <c r="C491" i="11"/>
  <c r="B492" i="11"/>
  <c r="C492" i="11"/>
  <c r="B493" i="11"/>
  <c r="C493" i="11"/>
  <c r="B494" i="11"/>
  <c r="C494" i="11"/>
  <c r="B495" i="11"/>
  <c r="C495" i="11"/>
  <c r="B496" i="11"/>
  <c r="C496" i="11"/>
  <c r="B497" i="11"/>
  <c r="C497" i="11"/>
  <c r="B498" i="11"/>
  <c r="C498" i="11"/>
  <c r="B499" i="11"/>
  <c r="C499" i="11"/>
  <c r="B500" i="11"/>
  <c r="C500" i="11"/>
  <c r="B501" i="11"/>
  <c r="C501" i="11"/>
  <c r="B502" i="11"/>
  <c r="C502" i="11"/>
  <c r="B503" i="11"/>
  <c r="C503" i="11"/>
  <c r="B504" i="11"/>
  <c r="C504" i="11"/>
  <c r="B505" i="11"/>
  <c r="C505" i="11"/>
  <c r="B506" i="11"/>
  <c r="C506" i="11"/>
  <c r="B507" i="11"/>
  <c r="C507" i="11"/>
  <c r="B508" i="11"/>
  <c r="C508" i="11"/>
  <c r="B509" i="11"/>
  <c r="C509" i="11"/>
  <c r="B510" i="11"/>
  <c r="C510" i="11"/>
  <c r="B511" i="11"/>
  <c r="C511" i="11"/>
  <c r="B512" i="11"/>
  <c r="C512" i="11"/>
  <c r="B513" i="11"/>
  <c r="C513" i="11"/>
  <c r="C3" i="11"/>
  <c r="B3" i="11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C4" i="4"/>
  <c r="B4" i="4"/>
  <c r="B5" i="3"/>
  <c r="C5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B15" i="3"/>
  <c r="B16" i="3"/>
  <c r="B17" i="3"/>
  <c r="B22" i="3"/>
  <c r="C22" i="3"/>
  <c r="B23" i="3"/>
  <c r="C23" i="3"/>
  <c r="B24" i="3"/>
  <c r="C24" i="3"/>
  <c r="B25" i="3"/>
  <c r="C25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C4" i="3"/>
  <c r="B4" i="3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B3" i="7"/>
  <c r="A3" i="7"/>
  <c r="B3" i="6"/>
  <c r="A3" i="6"/>
  <c r="B4" i="1"/>
  <c r="A4" i="1"/>
  <c r="AD564" i="4"/>
  <c r="AD565" i="4"/>
  <c r="AC566" i="4"/>
  <c r="AD568" i="4"/>
  <c r="AC569" i="4"/>
  <c r="AD570" i="4"/>
  <c r="AB571" i="4"/>
  <c r="AD572" i="4"/>
  <c r="AB573" i="4"/>
  <c r="AD575" i="4"/>
  <c r="AD576" i="4"/>
  <c r="AA564" i="4"/>
  <c r="AA566" i="4"/>
  <c r="AA569" i="4"/>
  <c r="AA570" i="4"/>
  <c r="AA576" i="4"/>
  <c r="AH577" i="4"/>
  <c r="M577" i="4"/>
  <c r="G577" i="4"/>
  <c r="AH576" i="4"/>
  <c r="AC576" i="4"/>
  <c r="AB576" i="4"/>
  <c r="M576" i="4"/>
  <c r="G576" i="4"/>
  <c r="AH575" i="4"/>
  <c r="AA575" i="4"/>
  <c r="M575" i="4"/>
  <c r="G575" i="4"/>
  <c r="AH574" i="4"/>
  <c r="AD574" i="4"/>
  <c r="AC574" i="4"/>
  <c r="AB574" i="4"/>
  <c r="AA574" i="4"/>
  <c r="M574" i="4"/>
  <c r="G574" i="4"/>
  <c r="AH573" i="4"/>
  <c r="AD573" i="4"/>
  <c r="AC573" i="4"/>
  <c r="AA573" i="4"/>
  <c r="M573" i="4"/>
  <c r="G573" i="4"/>
  <c r="AH572" i="4"/>
  <c r="M572" i="4"/>
  <c r="G572" i="4"/>
  <c r="AH571" i="4"/>
  <c r="AA571" i="4"/>
  <c r="M571" i="4"/>
  <c r="G571" i="4"/>
  <c r="AH570" i="4"/>
  <c r="AB570" i="4"/>
  <c r="M570" i="4"/>
  <c r="G570" i="4"/>
  <c r="AH569" i="4"/>
  <c r="AD569" i="4"/>
  <c r="AB569" i="4"/>
  <c r="M569" i="4"/>
  <c r="G569" i="4"/>
  <c r="AH568" i="4"/>
  <c r="AB568" i="4"/>
  <c r="AA568" i="4"/>
  <c r="M568" i="4"/>
  <c r="G568" i="4"/>
  <c r="AH567" i="4"/>
  <c r="M567" i="4"/>
  <c r="G567" i="4"/>
  <c r="AH566" i="4"/>
  <c r="AD566" i="4"/>
  <c r="M566" i="4"/>
  <c r="G566" i="4"/>
  <c r="AH565" i="4"/>
  <c r="AB565" i="4"/>
  <c r="AA565" i="4"/>
  <c r="M565" i="4"/>
  <c r="G565" i="4"/>
  <c r="AH564" i="4"/>
  <c r="AC564" i="4"/>
  <c r="AB564" i="4"/>
  <c r="M564" i="4"/>
  <c r="G564" i="4"/>
  <c r="G5" i="3"/>
  <c r="M5" i="3"/>
  <c r="AE5" i="3" s="1"/>
  <c r="N5" i="3"/>
  <c r="W5" i="3"/>
  <c r="X5" i="3"/>
  <c r="Y5" i="3"/>
  <c r="Z5" i="3"/>
  <c r="AC5" i="3" s="1"/>
  <c r="G41" i="6"/>
  <c r="I41" i="6"/>
  <c r="G40" i="6"/>
  <c r="I40" i="6"/>
  <c r="F42" i="1"/>
  <c r="AB42" i="1"/>
  <c r="AC42" i="1"/>
  <c r="AD42" i="1"/>
  <c r="AF42" i="1"/>
  <c r="AG42" i="1" s="1"/>
  <c r="AH42" i="1"/>
  <c r="AD559" i="4"/>
  <c r="AD561" i="4"/>
  <c r="AD562" i="4"/>
  <c r="AB563" i="4"/>
  <c r="AB560" i="4"/>
  <c r="AD558" i="4"/>
  <c r="AH563" i="4"/>
  <c r="M563" i="4"/>
  <c r="G563" i="4"/>
  <c r="AH562" i="4"/>
  <c r="M562" i="4"/>
  <c r="G562" i="4"/>
  <c r="AH561" i="4"/>
  <c r="M561" i="4"/>
  <c r="G561" i="4"/>
  <c r="AH560" i="4"/>
  <c r="M560" i="4"/>
  <c r="G560" i="4"/>
  <c r="AH559" i="4"/>
  <c r="M559" i="4"/>
  <c r="G559" i="4"/>
  <c r="AH558" i="4"/>
  <c r="M558" i="4"/>
  <c r="G558" i="4"/>
  <c r="AD550" i="4"/>
  <c r="AB552" i="4"/>
  <c r="AC554" i="4"/>
  <c r="AD555" i="4"/>
  <c r="AD556" i="4"/>
  <c r="AC557" i="4"/>
  <c r="AA550" i="4"/>
  <c r="AA551" i="4"/>
  <c r="AA554" i="4"/>
  <c r="AA556" i="4"/>
  <c r="AA557" i="4"/>
  <c r="AH557" i="4"/>
  <c r="M557" i="4"/>
  <c r="G557" i="4"/>
  <c r="AH556" i="4"/>
  <c r="M556" i="4"/>
  <c r="G556" i="4"/>
  <c r="AH555" i="4"/>
  <c r="AB555" i="4"/>
  <c r="AA555" i="4"/>
  <c r="M555" i="4"/>
  <c r="G555" i="4"/>
  <c r="AH554" i="4"/>
  <c r="AD554" i="4"/>
  <c r="M554" i="4"/>
  <c r="G554" i="4"/>
  <c r="AH553" i="4"/>
  <c r="M553" i="4"/>
  <c r="G553" i="4"/>
  <c r="AH552" i="4"/>
  <c r="AA552" i="4"/>
  <c r="M552" i="4"/>
  <c r="G552" i="4"/>
  <c r="AH551" i="4"/>
  <c r="AD551" i="4"/>
  <c r="AC551" i="4"/>
  <c r="AB551" i="4"/>
  <c r="M551" i="4"/>
  <c r="G551" i="4"/>
  <c r="AH550" i="4"/>
  <c r="M550" i="4"/>
  <c r="G550" i="4"/>
  <c r="AH549" i="4"/>
  <c r="M549" i="4"/>
  <c r="G549" i="4"/>
  <c r="AH548" i="4"/>
  <c r="M548" i="4"/>
  <c r="G548" i="4"/>
  <c r="AH547" i="4"/>
  <c r="M547" i="4"/>
  <c r="G547" i="4"/>
  <c r="AH546" i="4"/>
  <c r="M546" i="4"/>
  <c r="G546" i="4"/>
  <c r="AH545" i="4"/>
  <c r="M545" i="4"/>
  <c r="G545" i="4"/>
  <c r="AH544" i="4"/>
  <c r="M544" i="4"/>
  <c r="G544" i="4"/>
  <c r="AH543" i="4"/>
  <c r="M543" i="4"/>
  <c r="G543" i="4"/>
  <c r="AH542" i="4"/>
  <c r="M542" i="4"/>
  <c r="G542" i="4"/>
  <c r="G16" i="11"/>
  <c r="M16" i="11"/>
  <c r="AD16" i="11" s="1"/>
  <c r="P16" i="11"/>
  <c r="W16" i="11"/>
  <c r="X16" i="11"/>
  <c r="Y16" i="11"/>
  <c r="F41" i="1"/>
  <c r="AB41" i="1"/>
  <c r="AC41" i="1"/>
  <c r="AD41" i="1"/>
  <c r="AF41" i="1"/>
  <c r="AG41" i="1" s="1"/>
  <c r="AH41" i="1"/>
  <c r="G40" i="14"/>
  <c r="Q40" i="14"/>
  <c r="G39" i="14"/>
  <c r="Q39" i="14"/>
  <c r="AD528" i="4"/>
  <c r="AC529" i="4"/>
  <c r="AD530" i="4"/>
  <c r="AB532" i="4"/>
  <c r="AD533" i="4"/>
  <c r="AC534" i="4"/>
  <c r="AD535" i="4"/>
  <c r="AD536" i="4"/>
  <c r="AD537" i="4"/>
  <c r="AD538" i="4"/>
  <c r="AC539" i="4"/>
  <c r="AD540" i="4"/>
  <c r="AA529" i="4"/>
  <c r="AA530" i="4"/>
  <c r="AA532" i="4"/>
  <c r="AA534" i="4"/>
  <c r="AA535" i="4"/>
  <c r="AA537" i="4"/>
  <c r="AA539" i="4"/>
  <c r="AA540" i="4"/>
  <c r="AH541" i="4"/>
  <c r="M541" i="4"/>
  <c r="G541" i="4"/>
  <c r="AH540" i="4"/>
  <c r="AB540" i="4"/>
  <c r="M540" i="4"/>
  <c r="G540" i="4"/>
  <c r="AH539" i="4"/>
  <c r="AD539" i="4"/>
  <c r="M539" i="4"/>
  <c r="G539" i="4"/>
  <c r="AH538" i="4"/>
  <c r="AC538" i="4"/>
  <c r="AA538" i="4"/>
  <c r="M538" i="4"/>
  <c r="G538" i="4"/>
  <c r="AH537" i="4"/>
  <c r="AC537" i="4"/>
  <c r="AB537" i="4"/>
  <c r="M537" i="4"/>
  <c r="G537" i="4"/>
  <c r="AH536" i="4"/>
  <c r="M536" i="4"/>
  <c r="G536" i="4"/>
  <c r="AH535" i="4"/>
  <c r="AC535" i="4"/>
  <c r="AB535" i="4"/>
  <c r="M535" i="4"/>
  <c r="G535" i="4"/>
  <c r="AH534" i="4"/>
  <c r="AB534" i="4"/>
  <c r="M534" i="4"/>
  <c r="G534" i="4"/>
  <c r="AH533" i="4"/>
  <c r="AA533" i="4"/>
  <c r="M533" i="4"/>
  <c r="G533" i="4"/>
  <c r="AH532" i="4"/>
  <c r="AD532" i="4"/>
  <c r="AC532" i="4"/>
  <c r="M532" i="4"/>
  <c r="G532" i="4"/>
  <c r="AH531" i="4"/>
  <c r="M531" i="4"/>
  <c r="G531" i="4"/>
  <c r="AH530" i="4"/>
  <c r="AC530" i="4"/>
  <c r="M530" i="4"/>
  <c r="G530" i="4"/>
  <c r="AH529" i="4"/>
  <c r="AD529" i="4"/>
  <c r="AB529" i="4"/>
  <c r="M529" i="4"/>
  <c r="G529" i="4"/>
  <c r="AH528" i="4"/>
  <c r="AB528" i="4"/>
  <c r="AA528" i="4"/>
  <c r="M528" i="4"/>
  <c r="G528" i="4"/>
  <c r="G39" i="6"/>
  <c r="I39" i="6"/>
  <c r="F40" i="1"/>
  <c r="AB40" i="1"/>
  <c r="AC40" i="1"/>
  <c r="AD40" i="1"/>
  <c r="AF40" i="1"/>
  <c r="AG40" i="1" s="1"/>
  <c r="AH40" i="1"/>
  <c r="AB514" i="4"/>
  <c r="AD516" i="4"/>
  <c r="AD518" i="4"/>
  <c r="AB519" i="4"/>
  <c r="AC520" i="4"/>
  <c r="AD521" i="4"/>
  <c r="AD522" i="4"/>
  <c r="AD523" i="4"/>
  <c r="AD524" i="4"/>
  <c r="AD525" i="4"/>
  <c r="AD526" i="4"/>
  <c r="AA514" i="4"/>
  <c r="AA515" i="4"/>
  <c r="AA516" i="4"/>
  <c r="AA518" i="4"/>
  <c r="AA519" i="4"/>
  <c r="AA520" i="4"/>
  <c r="AA522" i="4"/>
  <c r="AA523" i="4"/>
  <c r="AA524" i="4"/>
  <c r="AA525" i="4"/>
  <c r="AA526" i="4"/>
  <c r="AH527" i="4"/>
  <c r="M527" i="4"/>
  <c r="G527" i="4"/>
  <c r="AH526" i="4"/>
  <c r="AC526" i="4"/>
  <c r="M526" i="4"/>
  <c r="G526" i="4"/>
  <c r="AH525" i="4"/>
  <c r="M525" i="4"/>
  <c r="G525" i="4"/>
  <c r="AH524" i="4"/>
  <c r="AC524" i="4"/>
  <c r="AB524" i="4"/>
  <c r="M524" i="4"/>
  <c r="G524" i="4"/>
  <c r="AH523" i="4"/>
  <c r="AC523" i="4"/>
  <c r="AB523" i="4"/>
  <c r="M523" i="4"/>
  <c r="G523" i="4"/>
  <c r="AH522" i="4"/>
  <c r="AB522" i="4"/>
  <c r="M522" i="4"/>
  <c r="G522" i="4"/>
  <c r="AH521" i="4"/>
  <c r="M521" i="4"/>
  <c r="G521" i="4"/>
  <c r="AH520" i="4"/>
  <c r="AD520" i="4"/>
  <c r="AB520" i="4"/>
  <c r="M520" i="4"/>
  <c r="G520" i="4"/>
  <c r="AH519" i="4"/>
  <c r="AD519" i="4"/>
  <c r="AC519" i="4"/>
  <c r="M519" i="4"/>
  <c r="G519" i="4"/>
  <c r="AH518" i="4"/>
  <c r="AB518" i="4"/>
  <c r="M518" i="4"/>
  <c r="G518" i="4"/>
  <c r="AH517" i="4"/>
  <c r="M517" i="4"/>
  <c r="G517" i="4"/>
  <c r="AH516" i="4"/>
  <c r="AB516" i="4"/>
  <c r="M516" i="4"/>
  <c r="G516" i="4"/>
  <c r="AH515" i="4"/>
  <c r="AD515" i="4"/>
  <c r="AC515" i="4"/>
  <c r="AB515" i="4"/>
  <c r="M515" i="4"/>
  <c r="G515" i="4"/>
  <c r="AH514" i="4"/>
  <c r="AD514" i="4"/>
  <c r="AC514" i="4"/>
  <c r="M514" i="4"/>
  <c r="G514" i="4"/>
  <c r="G38" i="6"/>
  <c r="I38" i="6"/>
  <c r="F39" i="1"/>
  <c r="AB39" i="1"/>
  <c r="AC39" i="1"/>
  <c r="AD39" i="1"/>
  <c r="AF39" i="1"/>
  <c r="AG39" i="1" s="1"/>
  <c r="AH39" i="1"/>
  <c r="G38" i="14"/>
  <c r="Q38" i="14"/>
  <c r="G37" i="14"/>
  <c r="Q37" i="14"/>
  <c r="AC500" i="4"/>
  <c r="AD501" i="4"/>
  <c r="AD502" i="4"/>
  <c r="AB504" i="4"/>
  <c r="AD505" i="4"/>
  <c r="AD506" i="4"/>
  <c r="AC507" i="4"/>
  <c r="AD508" i="4"/>
  <c r="AC509" i="4"/>
  <c r="AC510" i="4"/>
  <c r="AC511" i="4"/>
  <c r="AC512" i="4"/>
  <c r="AA501" i="4"/>
  <c r="AA502" i="4"/>
  <c r="AA504" i="4"/>
  <c r="AA505" i="4"/>
  <c r="AA506" i="4"/>
  <c r="AA509" i="4"/>
  <c r="AA510" i="4"/>
  <c r="AA511" i="4"/>
  <c r="AA512" i="4"/>
  <c r="AH513" i="4"/>
  <c r="M513" i="4"/>
  <c r="G513" i="4"/>
  <c r="AH512" i="4"/>
  <c r="AD512" i="4"/>
  <c r="M512" i="4"/>
  <c r="G512" i="4"/>
  <c r="AH511" i="4"/>
  <c r="AD511" i="4"/>
  <c r="M511" i="4"/>
  <c r="G511" i="4"/>
  <c r="AH510" i="4"/>
  <c r="AD510" i="4"/>
  <c r="AB510" i="4"/>
  <c r="M510" i="4"/>
  <c r="G510" i="4"/>
  <c r="AH509" i="4"/>
  <c r="AD509" i="4"/>
  <c r="M509" i="4"/>
  <c r="G509" i="4"/>
  <c r="AH508" i="4"/>
  <c r="M508" i="4"/>
  <c r="G508" i="4"/>
  <c r="AH507" i="4"/>
  <c r="M507" i="4"/>
  <c r="G507" i="4"/>
  <c r="AH506" i="4"/>
  <c r="AC506" i="4"/>
  <c r="M506" i="4"/>
  <c r="G506" i="4"/>
  <c r="AH505" i="4"/>
  <c r="AC505" i="4"/>
  <c r="M505" i="4"/>
  <c r="G505" i="4"/>
  <c r="AH504" i="4"/>
  <c r="AD504" i="4"/>
  <c r="M504" i="4"/>
  <c r="G504" i="4"/>
  <c r="AH503" i="4"/>
  <c r="M503" i="4"/>
  <c r="G503" i="4"/>
  <c r="AH502" i="4"/>
  <c r="AC502" i="4"/>
  <c r="AB502" i="4"/>
  <c r="M502" i="4"/>
  <c r="G502" i="4"/>
  <c r="AH501" i="4"/>
  <c r="AC501" i="4"/>
  <c r="M501" i="4"/>
  <c r="G501" i="4"/>
  <c r="AH500" i="4"/>
  <c r="AD500" i="4"/>
  <c r="AA500" i="4"/>
  <c r="M500" i="4"/>
  <c r="G500" i="4"/>
  <c r="G37" i="6"/>
  <c r="I37" i="6"/>
  <c r="F38" i="1"/>
  <c r="AB38" i="1"/>
  <c r="AC38" i="1"/>
  <c r="AD38" i="1"/>
  <c r="AF38" i="1"/>
  <c r="AG38" i="1" s="1"/>
  <c r="AH38" i="1"/>
  <c r="A4" i="10"/>
  <c r="Q36" i="14"/>
  <c r="G36" i="14"/>
  <c r="AB486" i="4"/>
  <c r="AC487" i="4"/>
  <c r="AD488" i="4"/>
  <c r="AC490" i="4"/>
  <c r="AC491" i="4"/>
  <c r="AB492" i="4"/>
  <c r="AD494" i="4"/>
  <c r="AC495" i="4"/>
  <c r="AB496" i="4"/>
  <c r="AD497" i="4"/>
  <c r="AD498" i="4"/>
  <c r="AA486" i="4"/>
  <c r="AA491" i="4"/>
  <c r="AA495" i="4"/>
  <c r="AH499" i="4"/>
  <c r="M499" i="4"/>
  <c r="G499" i="4"/>
  <c r="AH498" i="4"/>
  <c r="M498" i="4"/>
  <c r="G498" i="4"/>
  <c r="AH497" i="4"/>
  <c r="M497" i="4"/>
  <c r="G497" i="4"/>
  <c r="AH496" i="4"/>
  <c r="AD496" i="4"/>
  <c r="M496" i="4"/>
  <c r="G496" i="4"/>
  <c r="AH495" i="4"/>
  <c r="AD495" i="4"/>
  <c r="M495" i="4"/>
  <c r="G495" i="4"/>
  <c r="AH494" i="4"/>
  <c r="M494" i="4"/>
  <c r="G494" i="4"/>
  <c r="AH493" i="4"/>
  <c r="M493" i="4"/>
  <c r="G493" i="4"/>
  <c r="AH492" i="4"/>
  <c r="AC492" i="4"/>
  <c r="M492" i="4"/>
  <c r="G492" i="4"/>
  <c r="AH491" i="4"/>
  <c r="AD491" i="4"/>
  <c r="M491" i="4"/>
  <c r="G491" i="4"/>
  <c r="AH490" i="4"/>
  <c r="M490" i="4"/>
  <c r="G490" i="4"/>
  <c r="AH489" i="4"/>
  <c r="M489" i="4"/>
  <c r="G489" i="4"/>
  <c r="AH488" i="4"/>
  <c r="M488" i="4"/>
  <c r="G488" i="4"/>
  <c r="AH487" i="4"/>
  <c r="M487" i="4"/>
  <c r="G487" i="4"/>
  <c r="AH486" i="4"/>
  <c r="AD486" i="4"/>
  <c r="AC486" i="4"/>
  <c r="M486" i="4"/>
  <c r="G486" i="4"/>
  <c r="AH485" i="4"/>
  <c r="M485" i="4"/>
  <c r="G485" i="4"/>
  <c r="G36" i="6"/>
  <c r="I36" i="6"/>
  <c r="G35" i="6"/>
  <c r="I35" i="6"/>
  <c r="F37" i="1"/>
  <c r="AB37" i="1"/>
  <c r="AC37" i="1"/>
  <c r="AD37" i="1"/>
  <c r="AF37" i="1"/>
  <c r="AG37" i="1" s="1"/>
  <c r="AH37" i="1"/>
  <c r="AD471" i="4"/>
  <c r="AD472" i="4"/>
  <c r="AC473" i="4"/>
  <c r="AB475" i="4"/>
  <c r="AD476" i="4"/>
  <c r="AD477" i="4"/>
  <c r="AD478" i="4"/>
  <c r="AD479" i="4"/>
  <c r="AB480" i="4"/>
  <c r="AB481" i="4"/>
  <c r="AD482" i="4"/>
  <c r="AD483" i="4"/>
  <c r="AA471" i="4"/>
  <c r="AA472" i="4"/>
  <c r="AA473" i="4"/>
  <c r="AA475" i="4"/>
  <c r="AA477" i="4"/>
  <c r="AA478" i="4"/>
  <c r="AA479" i="4"/>
  <c r="AA480" i="4"/>
  <c r="AA481" i="4"/>
  <c r="AA482" i="4"/>
  <c r="AA483" i="4"/>
  <c r="AH484" i="4"/>
  <c r="M484" i="4"/>
  <c r="G484" i="4"/>
  <c r="AH483" i="4"/>
  <c r="AC483" i="4"/>
  <c r="AB483" i="4"/>
  <c r="M483" i="4"/>
  <c r="G483" i="4"/>
  <c r="AH482" i="4"/>
  <c r="AB482" i="4"/>
  <c r="M482" i="4"/>
  <c r="G482" i="4"/>
  <c r="AH481" i="4"/>
  <c r="AC481" i="4"/>
  <c r="M481" i="4"/>
  <c r="G481" i="4"/>
  <c r="AH480" i="4"/>
  <c r="AC480" i="4"/>
  <c r="M480" i="4"/>
  <c r="G480" i="4"/>
  <c r="AH479" i="4"/>
  <c r="M479" i="4"/>
  <c r="G479" i="4"/>
  <c r="AH478" i="4"/>
  <c r="M478" i="4"/>
  <c r="G478" i="4"/>
  <c r="AH477" i="4"/>
  <c r="AB477" i="4"/>
  <c r="M477" i="4"/>
  <c r="G477" i="4"/>
  <c r="AH476" i="4"/>
  <c r="AA476" i="4"/>
  <c r="M476" i="4"/>
  <c r="G476" i="4"/>
  <c r="AH475" i="4"/>
  <c r="AD475" i="4"/>
  <c r="AC475" i="4"/>
  <c r="M475" i="4"/>
  <c r="G475" i="4"/>
  <c r="AH474" i="4"/>
  <c r="M474" i="4"/>
  <c r="G474" i="4"/>
  <c r="AH473" i="4"/>
  <c r="AD473" i="4"/>
  <c r="M473" i="4"/>
  <c r="G473" i="4"/>
  <c r="AH472" i="4"/>
  <c r="AC472" i="4"/>
  <c r="M472" i="4"/>
  <c r="G472" i="4"/>
  <c r="AH471" i="4"/>
  <c r="AB471" i="4"/>
  <c r="M471" i="4"/>
  <c r="G471" i="4"/>
  <c r="AH470" i="4"/>
  <c r="M470" i="4"/>
  <c r="G470" i="4"/>
  <c r="G15" i="11"/>
  <c r="M15" i="11"/>
  <c r="AD15" i="11" s="1"/>
  <c r="P15" i="11"/>
  <c r="W15" i="11"/>
  <c r="X15" i="11"/>
  <c r="Y15" i="11"/>
  <c r="AB15" i="11" s="1"/>
  <c r="G14" i="11"/>
  <c r="M14" i="11"/>
  <c r="P14" i="11"/>
  <c r="W14" i="11"/>
  <c r="X14" i="11"/>
  <c r="Y14" i="11"/>
  <c r="AD14" i="11"/>
  <c r="G35" i="14"/>
  <c r="Q35" i="14"/>
  <c r="F36" i="1"/>
  <c r="AB36" i="1"/>
  <c r="AC36" i="1"/>
  <c r="AD36" i="1"/>
  <c r="AF36" i="1"/>
  <c r="AG36" i="1" s="1"/>
  <c r="AH36" i="1"/>
  <c r="AB456" i="4"/>
  <c r="AC457" i="4"/>
  <c r="AD458" i="4"/>
  <c r="AD460" i="4"/>
  <c r="AB461" i="4"/>
  <c r="AC462" i="4"/>
  <c r="AD463" i="4"/>
  <c r="AD464" i="4"/>
  <c r="AC465" i="4"/>
  <c r="AD466" i="4"/>
  <c r="AD467" i="4"/>
  <c r="AD468" i="4"/>
  <c r="AA456" i="4"/>
  <c r="AA457" i="4"/>
  <c r="AA458" i="4"/>
  <c r="AA460" i="4"/>
  <c r="AA461" i="4"/>
  <c r="AA462" i="4"/>
  <c r="AA464" i="4"/>
  <c r="AA465" i="4"/>
  <c r="AA466" i="4"/>
  <c r="AA467" i="4"/>
  <c r="AA468" i="4"/>
  <c r="AH469" i="4"/>
  <c r="M469" i="4"/>
  <c r="G469" i="4"/>
  <c r="AH468" i="4"/>
  <c r="AC468" i="4"/>
  <c r="M468" i="4"/>
  <c r="G468" i="4"/>
  <c r="AH467" i="4"/>
  <c r="M467" i="4"/>
  <c r="G467" i="4"/>
  <c r="AH466" i="4"/>
  <c r="AC466" i="4"/>
  <c r="AB466" i="4"/>
  <c r="M466" i="4"/>
  <c r="G466" i="4"/>
  <c r="AH465" i="4"/>
  <c r="AD465" i="4"/>
  <c r="AB465" i="4"/>
  <c r="M465" i="4"/>
  <c r="G465" i="4"/>
  <c r="AH464" i="4"/>
  <c r="M464" i="4"/>
  <c r="G464" i="4"/>
  <c r="AH463" i="4"/>
  <c r="AB463" i="4"/>
  <c r="M463" i="4"/>
  <c r="G463" i="4"/>
  <c r="AH462" i="4"/>
  <c r="AD462" i="4"/>
  <c r="AB462" i="4"/>
  <c r="M462" i="4"/>
  <c r="G462" i="4"/>
  <c r="AH461" i="4"/>
  <c r="AD461" i="4"/>
  <c r="AC461" i="4"/>
  <c r="M461" i="4"/>
  <c r="G461" i="4"/>
  <c r="AH460" i="4"/>
  <c r="AB460" i="4"/>
  <c r="M460" i="4"/>
  <c r="G460" i="4"/>
  <c r="AH459" i="4"/>
  <c r="M459" i="4"/>
  <c r="G459" i="4"/>
  <c r="AH458" i="4"/>
  <c r="AB458" i="4"/>
  <c r="M458" i="4"/>
  <c r="G458" i="4"/>
  <c r="AH457" i="4"/>
  <c r="AD457" i="4"/>
  <c r="AB457" i="4"/>
  <c r="M457" i="4"/>
  <c r="G457" i="4"/>
  <c r="AH456" i="4"/>
  <c r="AD456" i="4"/>
  <c r="AC456" i="4"/>
  <c r="M456" i="4"/>
  <c r="G456" i="4"/>
  <c r="AH455" i="4"/>
  <c r="M455" i="4"/>
  <c r="G455" i="4"/>
  <c r="G34" i="6"/>
  <c r="I34" i="6"/>
  <c r="G34" i="14"/>
  <c r="Q34" i="14"/>
  <c r="F35" i="1"/>
  <c r="AB35" i="1"/>
  <c r="AC35" i="1"/>
  <c r="AD35" i="1"/>
  <c r="AF35" i="1"/>
  <c r="AG35" i="1" s="1"/>
  <c r="AH35" i="1"/>
  <c r="G13" i="11"/>
  <c r="M13" i="11"/>
  <c r="AD13" i="11" s="1"/>
  <c r="P13" i="11"/>
  <c r="W13" i="11"/>
  <c r="X13" i="11"/>
  <c r="Y13" i="11"/>
  <c r="Q33" i="14"/>
  <c r="G33" i="14"/>
  <c r="AH454" i="4"/>
  <c r="M454" i="4"/>
  <c r="G454" i="4"/>
  <c r="AH453" i="4"/>
  <c r="M453" i="4"/>
  <c r="G453" i="4"/>
  <c r="AH452" i="4"/>
  <c r="M452" i="4"/>
  <c r="G452" i="4"/>
  <c r="AH451" i="4"/>
  <c r="M451" i="4"/>
  <c r="G451" i="4"/>
  <c r="AH450" i="4"/>
  <c r="M450" i="4"/>
  <c r="G450" i="4"/>
  <c r="AH449" i="4"/>
  <c r="M449" i="4"/>
  <c r="G449" i="4"/>
  <c r="AH448" i="4"/>
  <c r="M448" i="4"/>
  <c r="G448" i="4"/>
  <c r="AH447" i="4"/>
  <c r="M447" i="4"/>
  <c r="G447" i="4"/>
  <c r="AH446" i="4"/>
  <c r="M446" i="4"/>
  <c r="G446" i="4"/>
  <c r="AH445" i="4"/>
  <c r="M445" i="4"/>
  <c r="G445" i="4"/>
  <c r="AH444" i="4"/>
  <c r="M444" i="4"/>
  <c r="G444" i="4"/>
  <c r="AH443" i="4"/>
  <c r="M443" i="4"/>
  <c r="G443" i="4"/>
  <c r="AH442" i="4"/>
  <c r="M442" i="4"/>
  <c r="G442" i="4"/>
  <c r="AH441" i="4"/>
  <c r="M441" i="4"/>
  <c r="G441" i="4"/>
  <c r="AH440" i="4"/>
  <c r="M440" i="4"/>
  <c r="G440" i="4"/>
  <c r="G33" i="6"/>
  <c r="I33" i="6"/>
  <c r="F34" i="1"/>
  <c r="AB34" i="1"/>
  <c r="AC34" i="1"/>
  <c r="AD34" i="1"/>
  <c r="AF34" i="1"/>
  <c r="AG34" i="1" s="1"/>
  <c r="AH34" i="1"/>
  <c r="G12" i="11"/>
  <c r="M12" i="11"/>
  <c r="AD12" i="11" s="1"/>
  <c r="P12" i="11"/>
  <c r="W12" i="11"/>
  <c r="X12" i="11"/>
  <c r="Y12" i="11"/>
  <c r="AC426" i="4"/>
  <c r="AC427" i="4"/>
  <c r="AD428" i="4"/>
  <c r="AD430" i="4"/>
  <c r="AD431" i="4"/>
  <c r="AC432" i="4"/>
  <c r="AD433" i="4"/>
  <c r="AD434" i="4"/>
  <c r="AB435" i="4"/>
  <c r="AB436" i="4"/>
  <c r="AD437" i="4"/>
  <c r="AD438" i="4"/>
  <c r="AA427" i="4"/>
  <c r="AA428" i="4"/>
  <c r="AA430" i="4"/>
  <c r="AA432" i="4"/>
  <c r="AA434" i="4"/>
  <c r="AA435" i="4"/>
  <c r="AA436" i="4"/>
  <c r="AA437" i="4"/>
  <c r="AA438" i="4"/>
  <c r="AH439" i="4"/>
  <c r="M439" i="4"/>
  <c r="G439" i="4"/>
  <c r="AH438" i="4"/>
  <c r="AC438" i="4"/>
  <c r="M438" i="4"/>
  <c r="G438" i="4"/>
  <c r="AH437" i="4"/>
  <c r="AC437" i="4"/>
  <c r="AB437" i="4"/>
  <c r="M437" i="4"/>
  <c r="G437" i="4"/>
  <c r="AH436" i="4"/>
  <c r="AD436" i="4"/>
  <c r="AC436" i="4"/>
  <c r="M436" i="4"/>
  <c r="G436" i="4"/>
  <c r="AH435" i="4"/>
  <c r="AC435" i="4"/>
  <c r="M435" i="4"/>
  <c r="G435" i="4"/>
  <c r="AH434" i="4"/>
  <c r="AB434" i="4"/>
  <c r="M434" i="4"/>
  <c r="G434" i="4"/>
  <c r="AH433" i="4"/>
  <c r="M433" i="4"/>
  <c r="G433" i="4"/>
  <c r="AH432" i="4"/>
  <c r="AD432" i="4"/>
  <c r="M432" i="4"/>
  <c r="G432" i="4"/>
  <c r="AH431" i="4"/>
  <c r="AC431" i="4"/>
  <c r="AA431" i="4"/>
  <c r="M431" i="4"/>
  <c r="G431" i="4"/>
  <c r="AH430" i="4"/>
  <c r="AC430" i="4"/>
  <c r="AB430" i="4"/>
  <c r="M430" i="4"/>
  <c r="G430" i="4"/>
  <c r="AH429" i="4"/>
  <c r="M429" i="4"/>
  <c r="G429" i="4"/>
  <c r="AH428" i="4"/>
  <c r="AB428" i="4"/>
  <c r="M428" i="4"/>
  <c r="G428" i="4"/>
  <c r="AH427" i="4"/>
  <c r="AD427" i="4"/>
  <c r="M427" i="4"/>
  <c r="G427" i="4"/>
  <c r="AH426" i="4"/>
  <c r="AD426" i="4"/>
  <c r="AB426" i="4"/>
  <c r="AA426" i="4"/>
  <c r="M426" i="4"/>
  <c r="G426" i="4"/>
  <c r="G32" i="6"/>
  <c r="I32" i="6"/>
  <c r="G32" i="14"/>
  <c r="Q32" i="14"/>
  <c r="F33" i="1"/>
  <c r="AB33" i="1"/>
  <c r="AC33" i="1"/>
  <c r="AD33" i="1"/>
  <c r="AF33" i="1"/>
  <c r="AG33" i="1" s="1"/>
  <c r="AH33" i="1"/>
  <c r="G25" i="14"/>
  <c r="Q25" i="14"/>
  <c r="G26" i="14"/>
  <c r="Q26" i="14"/>
  <c r="G27" i="14"/>
  <c r="Q27" i="14"/>
  <c r="G28" i="14"/>
  <c r="Q28" i="14"/>
  <c r="G29" i="14"/>
  <c r="Q29" i="14"/>
  <c r="G30" i="14"/>
  <c r="Q30" i="14"/>
  <c r="G31" i="14"/>
  <c r="Q31" i="14"/>
  <c r="AB412" i="4"/>
  <c r="AB413" i="4"/>
  <c r="AC414" i="4"/>
  <c r="AD416" i="4"/>
  <c r="AD417" i="4"/>
  <c r="AC418" i="4"/>
  <c r="AD419" i="4"/>
  <c r="AD420" i="4"/>
  <c r="AD421" i="4"/>
  <c r="AC422" i="4"/>
  <c r="AD423" i="4"/>
  <c r="AD424" i="4"/>
  <c r="AA412" i="4"/>
  <c r="AA413" i="4"/>
  <c r="AA414" i="4"/>
  <c r="AA416" i="4"/>
  <c r="AA417" i="4"/>
  <c r="AA418" i="4"/>
  <c r="AA419" i="4"/>
  <c r="AA421" i="4"/>
  <c r="AA422" i="4"/>
  <c r="AA423" i="4"/>
  <c r="AA424" i="4"/>
  <c r="AH425" i="4"/>
  <c r="M425" i="4"/>
  <c r="G425" i="4"/>
  <c r="AH424" i="4"/>
  <c r="M424" i="4"/>
  <c r="G424" i="4"/>
  <c r="AH423" i="4"/>
  <c r="AB423" i="4"/>
  <c r="M423" i="4"/>
  <c r="G423" i="4"/>
  <c r="AH422" i="4"/>
  <c r="AD422" i="4"/>
  <c r="M422" i="4"/>
  <c r="G422" i="4"/>
  <c r="AH421" i="4"/>
  <c r="AB421" i="4"/>
  <c r="M421" i="4"/>
  <c r="G421" i="4"/>
  <c r="AH420" i="4"/>
  <c r="M420" i="4"/>
  <c r="G420" i="4"/>
  <c r="AH419" i="4"/>
  <c r="AB419" i="4"/>
  <c r="M419" i="4"/>
  <c r="G419" i="4"/>
  <c r="AH418" i="4"/>
  <c r="AD418" i="4"/>
  <c r="M418" i="4"/>
  <c r="G418" i="4"/>
  <c r="AH417" i="4"/>
  <c r="M417" i="4"/>
  <c r="G417" i="4"/>
  <c r="AH416" i="4"/>
  <c r="M416" i="4"/>
  <c r="G416" i="4"/>
  <c r="AH415" i="4"/>
  <c r="M415" i="4"/>
  <c r="G415" i="4"/>
  <c r="AH414" i="4"/>
  <c r="AD414" i="4"/>
  <c r="M414" i="4"/>
  <c r="G414" i="4"/>
  <c r="AH413" i="4"/>
  <c r="AD413" i="4"/>
  <c r="AC413" i="4"/>
  <c r="M413" i="4"/>
  <c r="G413" i="4"/>
  <c r="AH412" i="4"/>
  <c r="AD412" i="4"/>
  <c r="AC412" i="4"/>
  <c r="M412" i="4"/>
  <c r="G412" i="4"/>
  <c r="G31" i="6"/>
  <c r="I31" i="6"/>
  <c r="F32" i="1"/>
  <c r="AB32" i="1"/>
  <c r="AC32" i="1"/>
  <c r="AD32" i="1"/>
  <c r="AF32" i="1"/>
  <c r="AG32" i="1" s="1"/>
  <c r="AH32" i="1"/>
  <c r="G30" i="6"/>
  <c r="I30" i="6"/>
  <c r="G11" i="11"/>
  <c r="M11" i="11"/>
  <c r="AD11" i="11" s="1"/>
  <c r="P11" i="11"/>
  <c r="W11" i="11"/>
  <c r="X11" i="11"/>
  <c r="Y11" i="11"/>
  <c r="AD398" i="4"/>
  <c r="AC399" i="4"/>
  <c r="AB400" i="4"/>
  <c r="AC402" i="4"/>
  <c r="AC403" i="4"/>
  <c r="AC404" i="4"/>
  <c r="AB405" i="4"/>
  <c r="AD406" i="4"/>
  <c r="AC407" i="4"/>
  <c r="AC408" i="4"/>
  <c r="AC409" i="4"/>
  <c r="AC410" i="4"/>
  <c r="AA399" i="4"/>
  <c r="AA400" i="4"/>
  <c r="AA402" i="4"/>
  <c r="AA404" i="4"/>
  <c r="AA405" i="4"/>
  <c r="AA407" i="4"/>
  <c r="AA408" i="4"/>
  <c r="AA409" i="4"/>
  <c r="AA410" i="4"/>
  <c r="AH411" i="4"/>
  <c r="M411" i="4"/>
  <c r="G411" i="4"/>
  <c r="AH410" i="4"/>
  <c r="AD410" i="4"/>
  <c r="M410" i="4"/>
  <c r="G410" i="4"/>
  <c r="AH409" i="4"/>
  <c r="AD409" i="4"/>
  <c r="M409" i="4"/>
  <c r="G409" i="4"/>
  <c r="AH408" i="4"/>
  <c r="AD408" i="4"/>
  <c r="AB408" i="4"/>
  <c r="M408" i="4"/>
  <c r="G408" i="4"/>
  <c r="AH407" i="4"/>
  <c r="AD407" i="4"/>
  <c r="M407" i="4"/>
  <c r="G407" i="4"/>
  <c r="AH406" i="4"/>
  <c r="M406" i="4"/>
  <c r="G406" i="4"/>
  <c r="AH405" i="4"/>
  <c r="AD405" i="4"/>
  <c r="AC405" i="4"/>
  <c r="M405" i="4"/>
  <c r="G405" i="4"/>
  <c r="AH404" i="4"/>
  <c r="AD404" i="4"/>
  <c r="M404" i="4"/>
  <c r="G404" i="4"/>
  <c r="AH403" i="4"/>
  <c r="AD403" i="4"/>
  <c r="AB403" i="4"/>
  <c r="AA403" i="4"/>
  <c r="M403" i="4"/>
  <c r="G403" i="4"/>
  <c r="AH402" i="4"/>
  <c r="AD402" i="4"/>
  <c r="M402" i="4"/>
  <c r="G402" i="4"/>
  <c r="AH401" i="4"/>
  <c r="M401" i="4"/>
  <c r="G401" i="4"/>
  <c r="AH400" i="4"/>
  <c r="AD400" i="4"/>
  <c r="M400" i="4"/>
  <c r="G400" i="4"/>
  <c r="AH399" i="4"/>
  <c r="AD399" i="4"/>
  <c r="M399" i="4"/>
  <c r="G399" i="4"/>
  <c r="AH398" i="4"/>
  <c r="AC398" i="4"/>
  <c r="AB398" i="4"/>
  <c r="AA398" i="4"/>
  <c r="M398" i="4"/>
  <c r="G398" i="4"/>
  <c r="F31" i="1"/>
  <c r="AB31" i="1"/>
  <c r="AC31" i="1"/>
  <c r="AD31" i="1"/>
  <c r="AF31" i="1"/>
  <c r="AG31" i="1" s="1"/>
  <c r="AH31" i="1"/>
  <c r="G10" i="11"/>
  <c r="M10" i="11"/>
  <c r="AD10" i="11" s="1"/>
  <c r="P10" i="11"/>
  <c r="AB10" i="11" s="1"/>
  <c r="W10" i="11"/>
  <c r="X10" i="11"/>
  <c r="Y10" i="11"/>
  <c r="AB30" i="1"/>
  <c r="AC30" i="1"/>
  <c r="AD30" i="1"/>
  <c r="AB384" i="4"/>
  <c r="AC385" i="4"/>
  <c r="AC386" i="4"/>
  <c r="AD388" i="4"/>
  <c r="AD389" i="4"/>
  <c r="AC390" i="4"/>
  <c r="AD391" i="4"/>
  <c r="AD392" i="4"/>
  <c r="AD393" i="4"/>
  <c r="AD394" i="4"/>
  <c r="AD395" i="4"/>
  <c r="AD396" i="4"/>
  <c r="AA384" i="4"/>
  <c r="AA385" i="4"/>
  <c r="AA386" i="4"/>
  <c r="AA388" i="4"/>
  <c r="AA389" i="4"/>
  <c r="AA390" i="4"/>
  <c r="AA391" i="4"/>
  <c r="AA393" i="4"/>
  <c r="AA394" i="4"/>
  <c r="AA396" i="4"/>
  <c r="AH397" i="4"/>
  <c r="M397" i="4"/>
  <c r="G397" i="4"/>
  <c r="AH396" i="4"/>
  <c r="M396" i="4"/>
  <c r="G396" i="4"/>
  <c r="AH395" i="4"/>
  <c r="AB395" i="4"/>
  <c r="AA395" i="4"/>
  <c r="M395" i="4"/>
  <c r="G395" i="4"/>
  <c r="AH394" i="4"/>
  <c r="M394" i="4"/>
  <c r="G394" i="4"/>
  <c r="AH393" i="4"/>
  <c r="M393" i="4"/>
  <c r="G393" i="4"/>
  <c r="AH392" i="4"/>
  <c r="M392" i="4"/>
  <c r="G392" i="4"/>
  <c r="AH391" i="4"/>
  <c r="AB391" i="4"/>
  <c r="M391" i="4"/>
  <c r="G391" i="4"/>
  <c r="AH390" i="4"/>
  <c r="AD390" i="4"/>
  <c r="M390" i="4"/>
  <c r="G390" i="4"/>
  <c r="AH389" i="4"/>
  <c r="M389" i="4"/>
  <c r="G389" i="4"/>
  <c r="AH388" i="4"/>
  <c r="M388" i="4"/>
  <c r="G388" i="4"/>
  <c r="AH387" i="4"/>
  <c r="M387" i="4"/>
  <c r="G387" i="4"/>
  <c r="AH386" i="4"/>
  <c r="AD386" i="4"/>
  <c r="AB386" i="4"/>
  <c r="M386" i="4"/>
  <c r="G386" i="4"/>
  <c r="AH385" i="4"/>
  <c r="AD385" i="4"/>
  <c r="AB385" i="4"/>
  <c r="M385" i="4"/>
  <c r="G385" i="4"/>
  <c r="AH384" i="4"/>
  <c r="AD384" i="4"/>
  <c r="AC384" i="4"/>
  <c r="M384" i="4"/>
  <c r="G384" i="4"/>
  <c r="G29" i="6"/>
  <c r="I29" i="6"/>
  <c r="F30" i="1"/>
  <c r="AF30" i="1"/>
  <c r="AG30" i="1" s="1"/>
  <c r="AH30" i="1"/>
  <c r="G28" i="6"/>
  <c r="I28" i="6"/>
  <c r="AC370" i="4"/>
  <c r="AD371" i="4"/>
  <c r="AD372" i="4"/>
  <c r="AB374" i="4"/>
  <c r="AC375" i="4"/>
  <c r="AD376" i="4"/>
  <c r="AD377" i="4"/>
  <c r="AD378" i="4"/>
  <c r="AB379" i="4"/>
  <c r="AB380" i="4"/>
  <c r="AD381" i="4"/>
  <c r="AD382" i="4"/>
  <c r="AA372" i="4"/>
  <c r="AA374" i="4"/>
  <c r="AA377" i="4"/>
  <c r="AA378" i="4"/>
  <c r="AA379" i="4"/>
  <c r="AA380" i="4"/>
  <c r="AA381" i="4"/>
  <c r="AA382" i="4"/>
  <c r="AH383" i="4"/>
  <c r="M383" i="4"/>
  <c r="G383" i="4"/>
  <c r="AH382" i="4"/>
  <c r="AB382" i="4"/>
  <c r="M382" i="4"/>
  <c r="G382" i="4"/>
  <c r="AH381" i="4"/>
  <c r="M381" i="4"/>
  <c r="G381" i="4"/>
  <c r="AH380" i="4"/>
  <c r="AD380" i="4"/>
  <c r="AC380" i="4"/>
  <c r="M380" i="4"/>
  <c r="G380" i="4"/>
  <c r="AH379" i="4"/>
  <c r="AC379" i="4"/>
  <c r="M379" i="4"/>
  <c r="G379" i="4"/>
  <c r="AH378" i="4"/>
  <c r="AB378" i="4"/>
  <c r="M378" i="4"/>
  <c r="G378" i="4"/>
  <c r="AH377" i="4"/>
  <c r="M377" i="4"/>
  <c r="G377" i="4"/>
  <c r="AH376" i="4"/>
  <c r="AA376" i="4"/>
  <c r="M376" i="4"/>
  <c r="G376" i="4"/>
  <c r="AH375" i="4"/>
  <c r="AD375" i="4"/>
  <c r="AB375" i="4"/>
  <c r="AA375" i="4"/>
  <c r="M375" i="4"/>
  <c r="G375" i="4"/>
  <c r="AH374" i="4"/>
  <c r="AD374" i="4"/>
  <c r="AC374" i="4"/>
  <c r="M374" i="4"/>
  <c r="G374" i="4"/>
  <c r="AH373" i="4"/>
  <c r="M373" i="4"/>
  <c r="G373" i="4"/>
  <c r="AH372" i="4"/>
  <c r="M372" i="4"/>
  <c r="G372" i="4"/>
  <c r="AH371" i="4"/>
  <c r="AA371" i="4"/>
  <c r="M371" i="4"/>
  <c r="G371" i="4"/>
  <c r="AH370" i="4"/>
  <c r="AD370" i="4"/>
  <c r="AA370" i="4"/>
  <c r="M370" i="4"/>
  <c r="G370" i="4"/>
  <c r="F29" i="1"/>
  <c r="AB29" i="1"/>
  <c r="AC29" i="1"/>
  <c r="AD29" i="1"/>
  <c r="AF29" i="1"/>
  <c r="AG29" i="1" s="1"/>
  <c r="AH29" i="1"/>
  <c r="G9" i="11"/>
  <c r="M9" i="11"/>
  <c r="AD9" i="11" s="1"/>
  <c r="P9" i="11"/>
  <c r="W9" i="11"/>
  <c r="X9" i="11"/>
  <c r="Y9" i="11"/>
  <c r="G8" i="11"/>
  <c r="M8" i="11"/>
  <c r="P8" i="11"/>
  <c r="W8" i="11"/>
  <c r="X8" i="11"/>
  <c r="Y8" i="11"/>
  <c r="AD8" i="11"/>
  <c r="AD357" i="4"/>
  <c r="AD358" i="4"/>
  <c r="AD360" i="4"/>
  <c r="AB361" i="4"/>
  <c r="AD362" i="4"/>
  <c r="AD363" i="4"/>
  <c r="AD364" i="4"/>
  <c r="AB365" i="4"/>
  <c r="AD366" i="4"/>
  <c r="AC367" i="4"/>
  <c r="AD368" i="4"/>
  <c r="AA356" i="4"/>
  <c r="AA357" i="4"/>
  <c r="AA360" i="4"/>
  <c r="AA361" i="4"/>
  <c r="AA362" i="4"/>
  <c r="AA365" i="4"/>
  <c r="AA366" i="4"/>
  <c r="AA367" i="4"/>
  <c r="AA368" i="4"/>
  <c r="AH369" i="4"/>
  <c r="M369" i="4"/>
  <c r="G369" i="4"/>
  <c r="AH368" i="4"/>
  <c r="AB368" i="4"/>
  <c r="M368" i="4"/>
  <c r="G368" i="4"/>
  <c r="AH367" i="4"/>
  <c r="AD367" i="4"/>
  <c r="AB367" i="4"/>
  <c r="M367" i="4"/>
  <c r="G367" i="4"/>
  <c r="AH366" i="4"/>
  <c r="M366" i="4"/>
  <c r="G366" i="4"/>
  <c r="AH365" i="4"/>
  <c r="AC365" i="4"/>
  <c r="M365" i="4"/>
  <c r="G365" i="4"/>
  <c r="AH364" i="4"/>
  <c r="AA364" i="4"/>
  <c r="M364" i="4"/>
  <c r="G364" i="4"/>
  <c r="AH363" i="4"/>
  <c r="M363" i="4"/>
  <c r="G363" i="4"/>
  <c r="AH362" i="4"/>
  <c r="AC362" i="4"/>
  <c r="M362" i="4"/>
  <c r="G362" i="4"/>
  <c r="AH361" i="4"/>
  <c r="AD361" i="4"/>
  <c r="AC361" i="4"/>
  <c r="M361" i="4"/>
  <c r="G361" i="4"/>
  <c r="AH360" i="4"/>
  <c r="AC360" i="4"/>
  <c r="M360" i="4"/>
  <c r="G360" i="4"/>
  <c r="AH359" i="4"/>
  <c r="M359" i="4"/>
  <c r="G359" i="4"/>
  <c r="AH358" i="4"/>
  <c r="AA358" i="4"/>
  <c r="M358" i="4"/>
  <c r="G358" i="4"/>
  <c r="AH357" i="4"/>
  <c r="AC357" i="4"/>
  <c r="AB357" i="4"/>
  <c r="M357" i="4"/>
  <c r="G357" i="4"/>
  <c r="AH356" i="4"/>
  <c r="AD356" i="4"/>
  <c r="AC356" i="4"/>
  <c r="AB356" i="4"/>
  <c r="M356" i="4"/>
  <c r="G356" i="4"/>
  <c r="F28" i="1"/>
  <c r="AB28" i="1"/>
  <c r="AC28" i="1"/>
  <c r="AD28" i="1"/>
  <c r="AF28" i="1"/>
  <c r="AG28" i="1" s="1"/>
  <c r="AH28" i="1"/>
  <c r="G27" i="6"/>
  <c r="I27" i="6"/>
  <c r="AD354" i="4"/>
  <c r="AA354" i="4"/>
  <c r="AD352" i="4"/>
  <c r="AA353" i="4"/>
  <c r="AD342" i="4"/>
  <c r="AC343" i="4"/>
  <c r="AB344" i="4"/>
  <c r="AD346" i="4"/>
  <c r="AC347" i="4"/>
  <c r="AD348" i="4"/>
  <c r="AB349" i="4"/>
  <c r="AA342" i="4"/>
  <c r="AA343" i="4"/>
  <c r="AA344" i="4"/>
  <c r="AA346" i="4"/>
  <c r="AA347" i="4"/>
  <c r="AA349" i="4"/>
  <c r="AH355" i="4"/>
  <c r="M355" i="4"/>
  <c r="G355" i="4"/>
  <c r="AH354" i="4"/>
  <c r="M354" i="4"/>
  <c r="G354" i="4"/>
  <c r="AH353" i="4"/>
  <c r="M353" i="4"/>
  <c r="G353" i="4"/>
  <c r="AH352" i="4"/>
  <c r="AA352" i="4"/>
  <c r="M352" i="4"/>
  <c r="G352" i="4"/>
  <c r="AH351" i="4"/>
  <c r="AD351" i="4"/>
  <c r="M351" i="4"/>
  <c r="G351" i="4"/>
  <c r="AH350" i="4"/>
  <c r="AD350" i="4"/>
  <c r="M350" i="4"/>
  <c r="G350" i="4"/>
  <c r="AH349" i="4"/>
  <c r="M349" i="4"/>
  <c r="G349" i="4"/>
  <c r="AH348" i="4"/>
  <c r="AA348" i="4"/>
  <c r="M348" i="4"/>
  <c r="G348" i="4"/>
  <c r="AH347" i="4"/>
  <c r="M347" i="4"/>
  <c r="G347" i="4"/>
  <c r="AH346" i="4"/>
  <c r="M346" i="4"/>
  <c r="G346" i="4"/>
  <c r="AH345" i="4"/>
  <c r="M345" i="4"/>
  <c r="G345" i="4"/>
  <c r="AH344" i="4"/>
  <c r="AD344" i="4"/>
  <c r="AC344" i="4"/>
  <c r="M344" i="4"/>
  <c r="G344" i="4"/>
  <c r="AH343" i="4"/>
  <c r="AD343" i="4"/>
  <c r="M343" i="4"/>
  <c r="G343" i="4"/>
  <c r="AH342" i="4"/>
  <c r="AC342" i="4"/>
  <c r="AB342" i="4"/>
  <c r="M342" i="4"/>
  <c r="G342" i="4"/>
  <c r="G26" i="6"/>
  <c r="I26" i="6"/>
  <c r="F27" i="1"/>
  <c r="AB27" i="1"/>
  <c r="AC27" i="1"/>
  <c r="AD27" i="1"/>
  <c r="AF27" i="1"/>
  <c r="AG27" i="1" s="1"/>
  <c r="AH27" i="1"/>
  <c r="AC328" i="4"/>
  <c r="AB329" i="4"/>
  <c r="AD334" i="4"/>
  <c r="AD335" i="4"/>
  <c r="AA328" i="4"/>
  <c r="AA329" i="4"/>
  <c r="AA334" i="4"/>
  <c r="AA335" i="4"/>
  <c r="AH341" i="4"/>
  <c r="M341" i="4"/>
  <c r="G341" i="4"/>
  <c r="AH340" i="4"/>
  <c r="M340" i="4"/>
  <c r="G340" i="4"/>
  <c r="AH339" i="4"/>
  <c r="M339" i="4"/>
  <c r="G339" i="4"/>
  <c r="AH338" i="4"/>
  <c r="M338" i="4"/>
  <c r="G338" i="4"/>
  <c r="AH337" i="4"/>
  <c r="M337" i="4"/>
  <c r="G337" i="4"/>
  <c r="AH336" i="4"/>
  <c r="M336" i="4"/>
  <c r="G336" i="4"/>
  <c r="AH335" i="4"/>
  <c r="AB335" i="4"/>
  <c r="M335" i="4"/>
  <c r="G335" i="4"/>
  <c r="AH334" i="4"/>
  <c r="M334" i="4"/>
  <c r="G334" i="4"/>
  <c r="AH333" i="4"/>
  <c r="AD333" i="4"/>
  <c r="AC333" i="4"/>
  <c r="AB333" i="4"/>
  <c r="AA333" i="4"/>
  <c r="M333" i="4"/>
  <c r="G333" i="4"/>
  <c r="AH332" i="4"/>
  <c r="AD332" i="4"/>
  <c r="AC332" i="4"/>
  <c r="AB332" i="4"/>
  <c r="AA332" i="4"/>
  <c r="M332" i="4"/>
  <c r="G332" i="4"/>
  <c r="AH331" i="4"/>
  <c r="AD331" i="4"/>
  <c r="AC331" i="4"/>
  <c r="AB331" i="4"/>
  <c r="AA331" i="4"/>
  <c r="M331" i="4"/>
  <c r="G331" i="4"/>
  <c r="AH330" i="4"/>
  <c r="AD330" i="4"/>
  <c r="AC330" i="4"/>
  <c r="AB330" i="4"/>
  <c r="AA330" i="4"/>
  <c r="M330" i="4"/>
  <c r="G330" i="4"/>
  <c r="AH329" i="4"/>
  <c r="M329" i="4"/>
  <c r="G329" i="4"/>
  <c r="AH328" i="4"/>
  <c r="M328" i="4"/>
  <c r="G328" i="4"/>
  <c r="G25" i="6"/>
  <c r="I25" i="6"/>
  <c r="AE48" i="1" l="1"/>
  <c r="AE49" i="1"/>
  <c r="AI635" i="4"/>
  <c r="AI640" i="4"/>
  <c r="AI644" i="4"/>
  <c r="AI674" i="4"/>
  <c r="AI672" i="4"/>
  <c r="AI663" i="4"/>
  <c r="AI648" i="4"/>
  <c r="AI671" i="4"/>
  <c r="AI664" i="4"/>
  <c r="AI670" i="4"/>
  <c r="AI659" i="4"/>
  <c r="AI669" i="4"/>
  <c r="AI655" i="4"/>
  <c r="AI668" i="4"/>
  <c r="AI662" i="4"/>
  <c r="AI622" i="4"/>
  <c r="AI652" i="4"/>
  <c r="AI666" i="4"/>
  <c r="AE47" i="1"/>
  <c r="AB674" i="4"/>
  <c r="AI673" i="4"/>
  <c r="AB672" i="4"/>
  <c r="AC672" i="4"/>
  <c r="AC671" i="4"/>
  <c r="AC669" i="4"/>
  <c r="AD667" i="4"/>
  <c r="AI667" i="4" s="1"/>
  <c r="AC667" i="4"/>
  <c r="AA663" i="4"/>
  <c r="AB663" i="4"/>
  <c r="AC663" i="4"/>
  <c r="AI653" i="4"/>
  <c r="AA670" i="4"/>
  <c r="AI658" i="4"/>
  <c r="AB670" i="4"/>
  <c r="AI610" i="4"/>
  <c r="AI645" i="4"/>
  <c r="AI657" i="4"/>
  <c r="AC670" i="4"/>
  <c r="AI649" i="4"/>
  <c r="AI650" i="4"/>
  <c r="AI660" i="4"/>
  <c r="AC659" i="4"/>
  <c r="AB658" i="4"/>
  <c r="AB657" i="4"/>
  <c r="AA656" i="4"/>
  <c r="AB656" i="4"/>
  <c r="AD656" i="4"/>
  <c r="AI656" i="4" s="1"/>
  <c r="AC655" i="4"/>
  <c r="AD654" i="4"/>
  <c r="AI654" i="4" s="1"/>
  <c r="AC652" i="4"/>
  <c r="AC649" i="4"/>
  <c r="AC648" i="4"/>
  <c r="AI601" i="4"/>
  <c r="AI626" i="4"/>
  <c r="AI634" i="4"/>
  <c r="AI616" i="4"/>
  <c r="AI628" i="4"/>
  <c r="AI643" i="4"/>
  <c r="AB655" i="4"/>
  <c r="AI639" i="4"/>
  <c r="AI641" i="4"/>
  <c r="AI646" i="4"/>
  <c r="AB645" i="4"/>
  <c r="AC643" i="4"/>
  <c r="AB642" i="4"/>
  <c r="AD642" i="4"/>
  <c r="AI642" i="4" s="1"/>
  <c r="AB640" i="4"/>
  <c r="AI638" i="4"/>
  <c r="AD636" i="4"/>
  <c r="AI636" i="4" s="1"/>
  <c r="AB636" i="4"/>
  <c r="AB635" i="4"/>
  <c r="AI630" i="4"/>
  <c r="AI631" i="4"/>
  <c r="AI627" i="4"/>
  <c r="AI629" i="4"/>
  <c r="AI607" i="4"/>
  <c r="AA641" i="4"/>
  <c r="AI588" i="4"/>
  <c r="AI614" i="4"/>
  <c r="AI620" i="4"/>
  <c r="AI621" i="4"/>
  <c r="AB641" i="4"/>
  <c r="AC641" i="4"/>
  <c r="C45" i="7"/>
  <c r="AE45" i="1"/>
  <c r="AE44" i="1"/>
  <c r="AE46" i="1"/>
  <c r="C45" i="14"/>
  <c r="AI632" i="4"/>
  <c r="AB632" i="4"/>
  <c r="AA630" i="4"/>
  <c r="AB630" i="4"/>
  <c r="AB629" i="4"/>
  <c r="AC627" i="4"/>
  <c r="AD625" i="4"/>
  <c r="AI625" i="4" s="1"/>
  <c r="AI624" i="4"/>
  <c r="AB624" i="4"/>
  <c r="AB621" i="4"/>
  <c r="AI593" i="4"/>
  <c r="AI596" i="4"/>
  <c r="AI615" i="4"/>
  <c r="AI606" i="4"/>
  <c r="AI612" i="4"/>
  <c r="AI611" i="4"/>
  <c r="AI613" i="4"/>
  <c r="AI585" i="4"/>
  <c r="AB627" i="4"/>
  <c r="AI597" i="4"/>
  <c r="AI617" i="4"/>
  <c r="AI608" i="4"/>
  <c r="AE43" i="1"/>
  <c r="AI618" i="4"/>
  <c r="AC617" i="4"/>
  <c r="AA616" i="4"/>
  <c r="AB616" i="4"/>
  <c r="AC616" i="4"/>
  <c r="AC615" i="4"/>
  <c r="AB613" i="4"/>
  <c r="AB611" i="4"/>
  <c r="AC610" i="4"/>
  <c r="AC608" i="4"/>
  <c r="AB607" i="4"/>
  <c r="AB606" i="4"/>
  <c r="AI603" i="4"/>
  <c r="AI602" i="4"/>
  <c r="AA614" i="4"/>
  <c r="AI592" i="4"/>
  <c r="AB614" i="4"/>
  <c r="AI600" i="4"/>
  <c r="AC614" i="4"/>
  <c r="AI594" i="4"/>
  <c r="AI599" i="4"/>
  <c r="AI598" i="4"/>
  <c r="F43" i="7"/>
  <c r="G43" i="7" s="1"/>
  <c r="C43" i="7"/>
  <c r="B43" i="7"/>
  <c r="C43" i="14"/>
  <c r="AC604" i="4"/>
  <c r="AI604" i="4"/>
  <c r="AC603" i="4"/>
  <c r="AB602" i="4"/>
  <c r="AC602" i="4"/>
  <c r="AA600" i="4"/>
  <c r="AB600" i="4"/>
  <c r="AC600" i="4"/>
  <c r="AC599" i="4"/>
  <c r="AB598" i="4"/>
  <c r="AB597" i="4"/>
  <c r="AB596" i="4"/>
  <c r="AB594" i="4"/>
  <c r="AB592" i="4"/>
  <c r="AC592" i="4"/>
  <c r="AI580" i="4"/>
  <c r="AI575" i="4"/>
  <c r="AI565" i="4"/>
  <c r="AI579" i="4"/>
  <c r="AI589" i="4"/>
  <c r="AI587" i="4"/>
  <c r="AI572" i="4"/>
  <c r="AI578" i="4"/>
  <c r="AI586" i="4"/>
  <c r="AI558" i="4"/>
  <c r="AI574" i="4"/>
  <c r="AI570" i="4"/>
  <c r="AI583" i="4"/>
  <c r="AI584" i="4"/>
  <c r="AB599" i="4"/>
  <c r="AI582" i="4"/>
  <c r="F42" i="7"/>
  <c r="G42" i="7" s="1"/>
  <c r="C42" i="7"/>
  <c r="B42" i="7"/>
  <c r="C42" i="14"/>
  <c r="C41" i="14"/>
  <c r="AI590" i="4"/>
  <c r="AB590" i="4"/>
  <c r="AB588" i="4"/>
  <c r="AB587" i="4"/>
  <c r="AA586" i="4"/>
  <c r="AB586" i="4"/>
  <c r="AC586" i="4"/>
  <c r="AC585" i="4"/>
  <c r="AB583" i="4"/>
  <c r="AB582" i="4"/>
  <c r="AB578" i="4"/>
  <c r="AB585" i="4"/>
  <c r="C41" i="7"/>
  <c r="B41" i="7"/>
  <c r="AB11" i="11"/>
  <c r="AB14" i="11"/>
  <c r="AB8" i="11"/>
  <c r="AI561" i="4"/>
  <c r="AI551" i="4"/>
  <c r="AI573" i="4"/>
  <c r="AI564" i="4"/>
  <c r="AI576" i="4"/>
  <c r="AI566" i="4"/>
  <c r="AI569" i="4"/>
  <c r="AE42" i="1"/>
  <c r="AB575" i="4"/>
  <c r="AC575" i="4"/>
  <c r="AA572" i="4"/>
  <c r="AC571" i="4"/>
  <c r="AD571" i="4"/>
  <c r="AI571" i="4" s="1"/>
  <c r="AC568" i="4"/>
  <c r="AI568" i="4"/>
  <c r="AB566" i="4"/>
  <c r="AC565" i="4"/>
  <c r="AI530" i="4"/>
  <c r="AI562" i="4"/>
  <c r="AI554" i="4"/>
  <c r="AI559" i="4"/>
  <c r="AB572" i="4"/>
  <c r="AC570" i="4"/>
  <c r="AC572" i="4"/>
  <c r="AB562" i="4"/>
  <c r="AA562" i="4"/>
  <c r="AA561" i="4"/>
  <c r="AA560" i="4"/>
  <c r="AC560" i="4"/>
  <c r="AA559" i="4"/>
  <c r="AC559" i="4"/>
  <c r="AA558" i="4"/>
  <c r="AA563" i="4"/>
  <c r="AC563" i="4"/>
  <c r="AD563" i="4"/>
  <c r="AI563" i="4" s="1"/>
  <c r="AB561" i="4"/>
  <c r="AC561" i="4"/>
  <c r="AD560" i="4"/>
  <c r="AI560" i="4" s="1"/>
  <c r="AB559" i="4"/>
  <c r="AB558" i="4"/>
  <c r="AC558" i="4"/>
  <c r="AI555" i="4"/>
  <c r="AI550" i="4"/>
  <c r="AC562" i="4"/>
  <c r="AI525" i="4"/>
  <c r="AI556" i="4"/>
  <c r="AD557" i="4"/>
  <c r="AI557" i="4" s="1"/>
  <c r="AB557" i="4"/>
  <c r="AB556" i="4"/>
  <c r="AC556" i="4"/>
  <c r="AC555" i="4"/>
  <c r="AB554" i="4"/>
  <c r="AC552" i="4"/>
  <c r="AD552" i="4"/>
  <c r="AI552" i="4" s="1"/>
  <c r="AB550" i="4"/>
  <c r="AC550" i="4"/>
  <c r="AI532" i="4"/>
  <c r="AI521" i="4"/>
  <c r="AI500" i="4"/>
  <c r="AI524" i="4"/>
  <c r="AI515" i="4"/>
  <c r="AI495" i="4"/>
  <c r="AI529" i="4"/>
  <c r="AI535" i="4"/>
  <c r="AI539" i="4"/>
  <c r="AI533" i="4"/>
  <c r="AI540" i="4"/>
  <c r="AI514" i="4"/>
  <c r="AI538" i="4"/>
  <c r="AI537" i="4"/>
  <c r="AI528" i="4"/>
  <c r="AI526" i="4"/>
  <c r="AI536" i="4"/>
  <c r="AB16" i="11"/>
  <c r="AE41" i="1"/>
  <c r="AE40" i="1"/>
  <c r="AC540" i="4"/>
  <c r="AB539" i="4"/>
  <c r="AB538" i="4"/>
  <c r="AD534" i="4"/>
  <c r="AI534" i="4" s="1"/>
  <c r="AB533" i="4"/>
  <c r="AC533" i="4"/>
  <c r="AB530" i="4"/>
  <c r="AC528" i="4"/>
  <c r="AI520" i="4"/>
  <c r="AI518" i="4"/>
  <c r="AI516" i="4"/>
  <c r="AA536" i="4"/>
  <c r="AI504" i="4"/>
  <c r="AB536" i="4"/>
  <c r="AI519" i="4"/>
  <c r="AI523" i="4"/>
  <c r="AC536" i="4"/>
  <c r="AI522" i="4"/>
  <c r="AE39" i="1"/>
  <c r="AB526" i="4"/>
  <c r="AB525" i="4"/>
  <c r="AC525" i="4"/>
  <c r="AB521" i="4"/>
  <c r="AC518" i="4"/>
  <c r="AC516" i="4"/>
  <c r="AI438" i="4"/>
  <c r="AA521" i="4"/>
  <c r="AI486" i="4"/>
  <c r="AI488" i="4"/>
  <c r="AI508" i="4"/>
  <c r="AC521" i="4"/>
  <c r="AI475" i="4"/>
  <c r="AI482" i="4"/>
  <c r="AI494" i="4"/>
  <c r="AC522" i="4"/>
  <c r="AI478" i="4"/>
  <c r="AE38" i="1"/>
  <c r="AI509" i="4"/>
  <c r="AI472" i="4"/>
  <c r="AI497" i="4"/>
  <c r="AI510" i="4"/>
  <c r="AI506" i="4"/>
  <c r="AI456" i="4"/>
  <c r="AI471" i="4"/>
  <c r="AI496" i="4"/>
  <c r="AI505" i="4"/>
  <c r="AI479" i="4"/>
  <c r="AI498" i="4"/>
  <c r="AA507" i="4"/>
  <c r="AI502" i="4"/>
  <c r="AI511" i="4"/>
  <c r="AI430" i="4"/>
  <c r="AI477" i="4"/>
  <c r="AI501" i="4"/>
  <c r="AI473" i="4"/>
  <c r="AI491" i="4"/>
  <c r="AI512" i="4"/>
  <c r="AB512" i="4"/>
  <c r="AB511" i="4"/>
  <c r="AB509" i="4"/>
  <c r="AA508" i="4"/>
  <c r="AB508" i="4"/>
  <c r="AC508" i="4"/>
  <c r="AB507" i="4"/>
  <c r="AD507" i="4"/>
  <c r="AI507" i="4" s="1"/>
  <c r="AB506" i="4"/>
  <c r="AB505" i="4"/>
  <c r="AC504" i="4"/>
  <c r="AB501" i="4"/>
  <c r="AB500" i="4"/>
  <c r="AE34" i="1"/>
  <c r="AC496" i="4"/>
  <c r="AB487" i="4"/>
  <c r="AD487" i="4"/>
  <c r="AI487" i="4" s="1"/>
  <c r="AA487" i="4"/>
  <c r="AA496" i="4"/>
  <c r="AB488" i="4"/>
  <c r="AA498" i="4"/>
  <c r="AA490" i="4"/>
  <c r="AD490" i="4"/>
  <c r="AI490" i="4" s="1"/>
  <c r="AA497" i="4"/>
  <c r="AA488" i="4"/>
  <c r="AA494" i="4"/>
  <c r="AC498" i="4"/>
  <c r="AE37" i="1"/>
  <c r="AA493" i="4"/>
  <c r="AB498" i="4"/>
  <c r="AB497" i="4"/>
  <c r="AC497" i="4"/>
  <c r="AB495" i="4"/>
  <c r="AC494" i="4"/>
  <c r="AB494" i="4"/>
  <c r="AB493" i="4"/>
  <c r="AC493" i="4"/>
  <c r="AD493" i="4"/>
  <c r="AI493" i="4" s="1"/>
  <c r="AD492" i="4"/>
  <c r="AI492" i="4" s="1"/>
  <c r="AA492" i="4"/>
  <c r="AB491" i="4"/>
  <c r="AB490" i="4"/>
  <c r="AC488" i="4"/>
  <c r="AI467" i="4"/>
  <c r="AI458" i="4"/>
  <c r="AI466" i="4"/>
  <c r="AI476" i="4"/>
  <c r="AI483" i="4"/>
  <c r="AE36" i="1"/>
  <c r="AE32" i="1"/>
  <c r="AE29" i="1"/>
  <c r="AC482" i="4"/>
  <c r="AD481" i="4"/>
  <c r="AI481" i="4" s="1"/>
  <c r="AD480" i="4"/>
  <c r="AI480" i="4" s="1"/>
  <c r="AB479" i="4"/>
  <c r="AC479" i="4"/>
  <c r="AB478" i="4"/>
  <c r="AB476" i="4"/>
  <c r="AC476" i="4"/>
  <c r="AB473" i="4"/>
  <c r="AB472" i="4"/>
  <c r="AC471" i="4"/>
  <c r="AI457" i="4"/>
  <c r="AI461" i="4"/>
  <c r="AC478" i="4"/>
  <c r="AI465" i="4"/>
  <c r="AI464" i="4"/>
  <c r="AI427" i="4"/>
  <c r="AI434" i="4"/>
  <c r="AI463" i="4"/>
  <c r="AC477" i="4"/>
  <c r="AI431" i="4"/>
  <c r="AI462" i="4"/>
  <c r="AI468" i="4"/>
  <c r="AI460" i="4"/>
  <c r="AB468" i="4"/>
  <c r="AB467" i="4"/>
  <c r="AC467" i="4"/>
  <c r="AB464" i="4"/>
  <c r="AC460" i="4"/>
  <c r="AC458" i="4"/>
  <c r="AA463" i="4"/>
  <c r="AI404" i="4"/>
  <c r="AI433" i="4"/>
  <c r="AC463" i="4"/>
  <c r="AI432" i="4"/>
  <c r="AI436" i="4"/>
  <c r="AI437" i="4"/>
  <c r="AI428" i="4"/>
  <c r="AC464" i="4"/>
  <c r="AI426" i="4"/>
  <c r="AI413" i="4"/>
  <c r="AI423" i="4"/>
  <c r="AE35" i="1"/>
  <c r="AB13" i="11"/>
  <c r="AE33" i="1"/>
  <c r="AB12" i="11"/>
  <c r="AB438" i="4"/>
  <c r="AD435" i="4"/>
  <c r="AI435" i="4" s="1"/>
  <c r="AC434" i="4"/>
  <c r="AB433" i="4"/>
  <c r="AB432" i="4"/>
  <c r="AB431" i="4"/>
  <c r="AC428" i="4"/>
  <c r="AB427" i="4"/>
  <c r="AA433" i="4"/>
  <c r="AC433" i="4"/>
  <c r="AI412" i="4"/>
  <c r="AI421" i="4"/>
  <c r="AI420" i="4"/>
  <c r="AI414" i="4"/>
  <c r="AI419" i="4"/>
  <c r="AI417" i="4"/>
  <c r="AE30" i="1"/>
  <c r="AE31" i="1"/>
  <c r="AI424" i="4"/>
  <c r="AB424" i="4"/>
  <c r="AC424" i="4"/>
  <c r="AC423" i="4"/>
  <c r="AI422" i="4"/>
  <c r="AB422" i="4"/>
  <c r="AC421" i="4"/>
  <c r="AC419" i="4"/>
  <c r="AI418" i="4"/>
  <c r="AB418" i="4"/>
  <c r="AI416" i="4"/>
  <c r="AB416" i="4"/>
  <c r="AC416" i="4"/>
  <c r="AB414" i="4"/>
  <c r="AB417" i="4"/>
  <c r="AI352" i="4"/>
  <c r="AI368" i="4"/>
  <c r="AI360" i="4"/>
  <c r="AI408" i="4"/>
  <c r="AI410" i="4"/>
  <c r="AC417" i="4"/>
  <c r="AA420" i="4"/>
  <c r="AB420" i="4"/>
  <c r="AC420" i="4"/>
  <c r="AI386" i="4"/>
  <c r="AI361" i="4"/>
  <c r="AI366" i="4"/>
  <c r="AI357" i="4"/>
  <c r="AI380" i="4"/>
  <c r="AI378" i="4"/>
  <c r="AI407" i="4"/>
  <c r="AI364" i="4"/>
  <c r="AI405" i="4"/>
  <c r="AI409" i="4"/>
  <c r="AI402" i="4"/>
  <c r="AI382" i="4"/>
  <c r="AI372" i="4"/>
  <c r="AI385" i="4"/>
  <c r="AI362" i="4"/>
  <c r="AI389" i="4"/>
  <c r="AI399" i="4"/>
  <c r="AI398" i="4"/>
  <c r="AI403" i="4"/>
  <c r="AI406" i="4"/>
  <c r="AI371" i="4"/>
  <c r="AI395" i="4"/>
  <c r="AI393" i="4"/>
  <c r="AI400" i="4"/>
  <c r="AI384" i="4"/>
  <c r="AI392" i="4"/>
  <c r="AI391" i="4"/>
  <c r="AE28" i="1"/>
  <c r="AB410" i="4"/>
  <c r="AB409" i="4"/>
  <c r="AB407" i="4"/>
  <c r="AA406" i="4"/>
  <c r="AB406" i="4"/>
  <c r="AC406" i="4"/>
  <c r="AB404" i="4"/>
  <c r="AB402" i="4"/>
  <c r="AC400" i="4"/>
  <c r="AB399" i="4"/>
  <c r="AI396" i="4"/>
  <c r="AB396" i="4"/>
  <c r="AC396" i="4"/>
  <c r="AC395" i="4"/>
  <c r="AI394" i="4"/>
  <c r="AB394" i="4"/>
  <c r="AC394" i="4"/>
  <c r="AC393" i="4"/>
  <c r="AB393" i="4"/>
  <c r="AC391" i="4"/>
  <c r="AI390" i="4"/>
  <c r="AB390" i="4"/>
  <c r="AI388" i="4"/>
  <c r="AB388" i="4"/>
  <c r="AC388" i="4"/>
  <c r="AI377" i="4"/>
  <c r="AB389" i="4"/>
  <c r="AI376" i="4"/>
  <c r="AC389" i="4"/>
  <c r="AI375" i="4"/>
  <c r="AA392" i="4"/>
  <c r="AI348" i="4"/>
  <c r="AI381" i="4"/>
  <c r="AB392" i="4"/>
  <c r="AI374" i="4"/>
  <c r="AC392" i="4"/>
  <c r="AI356" i="4"/>
  <c r="AI370" i="4"/>
  <c r="AC382" i="4"/>
  <c r="AB381" i="4"/>
  <c r="AC381" i="4"/>
  <c r="AD379" i="4"/>
  <c r="AI379" i="4" s="1"/>
  <c r="AC378" i="4"/>
  <c r="AB377" i="4"/>
  <c r="AB376" i="4"/>
  <c r="AC376" i="4"/>
  <c r="AB372" i="4"/>
  <c r="AC372" i="4"/>
  <c r="AB371" i="4"/>
  <c r="AC371" i="4"/>
  <c r="AB370" i="4"/>
  <c r="AI354" i="4"/>
  <c r="AI358" i="4"/>
  <c r="AC377" i="4"/>
  <c r="AI343" i="4"/>
  <c r="AI342" i="4"/>
  <c r="AI363" i="4"/>
  <c r="AI367" i="4"/>
  <c r="AB9" i="11"/>
  <c r="AC368" i="4"/>
  <c r="AB366" i="4"/>
  <c r="AC366" i="4"/>
  <c r="AD365" i="4"/>
  <c r="AI365" i="4" s="1"/>
  <c r="AB364" i="4"/>
  <c r="AC364" i="4"/>
  <c r="AB363" i="4"/>
  <c r="AA363" i="4"/>
  <c r="AC363" i="4"/>
  <c r="AB362" i="4"/>
  <c r="AB360" i="4"/>
  <c r="AB358" i="4"/>
  <c r="AC358" i="4"/>
  <c r="AI350" i="4"/>
  <c r="AI344" i="4"/>
  <c r="AI351" i="4"/>
  <c r="AI346" i="4"/>
  <c r="AE27" i="1"/>
  <c r="AB353" i="4"/>
  <c r="AC354" i="4"/>
  <c r="AC353" i="4"/>
  <c r="AC350" i="4"/>
  <c r="AC349" i="4"/>
  <c r="AC348" i="4"/>
  <c r="AB348" i="4"/>
  <c r="AD347" i="4"/>
  <c r="AI347" i="4" s="1"/>
  <c r="AB347" i="4"/>
  <c r="AB346" i="4"/>
  <c r="AC346" i="4"/>
  <c r="AB343" i="4"/>
  <c r="AD349" i="4"/>
  <c r="AI349" i="4" s="1"/>
  <c r="AB352" i="4"/>
  <c r="AD353" i="4"/>
  <c r="AI353" i="4" s="1"/>
  <c r="AA351" i="4"/>
  <c r="AC352" i="4"/>
  <c r="AB351" i="4"/>
  <c r="AA350" i="4"/>
  <c r="AC351" i="4"/>
  <c r="AB350" i="4"/>
  <c r="AB354" i="4"/>
  <c r="AI330" i="4"/>
  <c r="AC335" i="4"/>
  <c r="AI334" i="4"/>
  <c r="AI331" i="4"/>
  <c r="AI335" i="4"/>
  <c r="AI332" i="4"/>
  <c r="AI333" i="4"/>
  <c r="AD329" i="4"/>
  <c r="AI329" i="4" s="1"/>
  <c r="AC329" i="4"/>
  <c r="AD328" i="4"/>
  <c r="AI328" i="4" s="1"/>
  <c r="AB328" i="4"/>
  <c r="AB334" i="4"/>
  <c r="AC334" i="4"/>
  <c r="F26" i="1" l="1"/>
  <c r="AB26" i="1"/>
  <c r="AC26" i="1"/>
  <c r="AD26" i="1"/>
  <c r="AF26" i="1"/>
  <c r="AG26" i="1" s="1"/>
  <c r="AH26" i="1"/>
  <c r="G24" i="14"/>
  <c r="Q24" i="14"/>
  <c r="AD314" i="4"/>
  <c r="AD315" i="4"/>
  <c r="AC316" i="4"/>
  <c r="AD317" i="4"/>
  <c r="AD318" i="4"/>
  <c r="AB319" i="4"/>
  <c r="AC320" i="4"/>
  <c r="AC321" i="4"/>
  <c r="AA314" i="4"/>
  <c r="AA315" i="4"/>
  <c r="AA316" i="4"/>
  <c r="AA317" i="4"/>
  <c r="AA318" i="4"/>
  <c r="AA319" i="4"/>
  <c r="AA320" i="4"/>
  <c r="AA321" i="4"/>
  <c r="AH327" i="4"/>
  <c r="M327" i="4"/>
  <c r="G327" i="4"/>
  <c r="AH326" i="4"/>
  <c r="M326" i="4"/>
  <c r="G326" i="4"/>
  <c r="AH325" i="4"/>
  <c r="M325" i="4"/>
  <c r="G325" i="4"/>
  <c r="AH324" i="4"/>
  <c r="M324" i="4"/>
  <c r="G324" i="4"/>
  <c r="AH323" i="4"/>
  <c r="M323" i="4"/>
  <c r="G323" i="4"/>
  <c r="AH322" i="4"/>
  <c r="M322" i="4"/>
  <c r="G322" i="4"/>
  <c r="AH321" i="4"/>
  <c r="M321" i="4"/>
  <c r="G321" i="4"/>
  <c r="AH320" i="4"/>
  <c r="M320" i="4"/>
  <c r="G320" i="4"/>
  <c r="AH319" i="4"/>
  <c r="AD319" i="4"/>
  <c r="AC319" i="4"/>
  <c r="M319" i="4"/>
  <c r="G319" i="4"/>
  <c r="AH318" i="4"/>
  <c r="M318" i="4"/>
  <c r="G318" i="4"/>
  <c r="AH317" i="4"/>
  <c r="M317" i="4"/>
  <c r="G317" i="4"/>
  <c r="AH316" i="4"/>
  <c r="M316" i="4"/>
  <c r="G316" i="4"/>
  <c r="AH315" i="4"/>
  <c r="M315" i="4"/>
  <c r="G315" i="4"/>
  <c r="AH314" i="4"/>
  <c r="M314" i="4"/>
  <c r="G314" i="4"/>
  <c r="G24" i="6"/>
  <c r="I24" i="6"/>
  <c r="F25" i="1"/>
  <c r="AB25" i="1"/>
  <c r="AC25" i="1"/>
  <c r="AD25" i="1"/>
  <c r="AF25" i="1"/>
  <c r="AG25" i="1" s="1"/>
  <c r="AH25" i="1"/>
  <c r="G23" i="14"/>
  <c r="Q23" i="14"/>
  <c r="AB300" i="4"/>
  <c r="AD301" i="4"/>
  <c r="AB302" i="4"/>
  <c r="AB303" i="4"/>
  <c r="AB304" i="4"/>
  <c r="AD305" i="4"/>
  <c r="AD306" i="4"/>
  <c r="AB307" i="4"/>
  <c r="AA300" i="4"/>
  <c r="AA301" i="4"/>
  <c r="AA302" i="4"/>
  <c r="AA303" i="4"/>
  <c r="AA304" i="4"/>
  <c r="AA305" i="4"/>
  <c r="AA306" i="4"/>
  <c r="AA307" i="4"/>
  <c r="AH313" i="4"/>
  <c r="M313" i="4"/>
  <c r="G313" i="4"/>
  <c r="AH312" i="4"/>
  <c r="M312" i="4"/>
  <c r="G312" i="4"/>
  <c r="AH311" i="4"/>
  <c r="M311" i="4"/>
  <c r="G311" i="4"/>
  <c r="AH310" i="4"/>
  <c r="M310" i="4"/>
  <c r="G310" i="4"/>
  <c r="AH309" i="4"/>
  <c r="M309" i="4"/>
  <c r="G309" i="4"/>
  <c r="AH308" i="4"/>
  <c r="M308" i="4"/>
  <c r="G308" i="4"/>
  <c r="AH307" i="4"/>
  <c r="M307" i="4"/>
  <c r="G307" i="4"/>
  <c r="AH306" i="4"/>
  <c r="M306" i="4"/>
  <c r="G306" i="4"/>
  <c r="AH305" i="4"/>
  <c r="M305" i="4"/>
  <c r="G305" i="4"/>
  <c r="AH304" i="4"/>
  <c r="M304" i="4"/>
  <c r="G304" i="4"/>
  <c r="AH303" i="4"/>
  <c r="M303" i="4"/>
  <c r="G303" i="4"/>
  <c r="AH302" i="4"/>
  <c r="M302" i="4"/>
  <c r="G302" i="4"/>
  <c r="AH301" i="4"/>
  <c r="M301" i="4"/>
  <c r="G301" i="4"/>
  <c r="AH300" i="4"/>
  <c r="M300" i="4"/>
  <c r="G300" i="4"/>
  <c r="G23" i="6"/>
  <c r="I23" i="6"/>
  <c r="F24" i="1"/>
  <c r="AB24" i="1"/>
  <c r="AC24" i="1"/>
  <c r="AD24" i="1"/>
  <c r="AF24" i="1"/>
  <c r="AG24" i="1" s="1"/>
  <c r="AH24" i="1"/>
  <c r="G22" i="14"/>
  <c r="Q22" i="14"/>
  <c r="AC286" i="4"/>
  <c r="AA286" i="4"/>
  <c r="AH299" i="4"/>
  <c r="M299" i="4"/>
  <c r="G299" i="4"/>
  <c r="AH298" i="4"/>
  <c r="M298" i="4"/>
  <c r="G298" i="4"/>
  <c r="AH297" i="4"/>
  <c r="M297" i="4"/>
  <c r="G297" i="4"/>
  <c r="AH296" i="4"/>
  <c r="M296" i="4"/>
  <c r="G296" i="4"/>
  <c r="AH295" i="4"/>
  <c r="M295" i="4"/>
  <c r="G295" i="4"/>
  <c r="AH294" i="4"/>
  <c r="M294" i="4"/>
  <c r="G294" i="4"/>
  <c r="AH293" i="4"/>
  <c r="AD293" i="4"/>
  <c r="AC293" i="4"/>
  <c r="AB293" i="4"/>
  <c r="AA293" i="4"/>
  <c r="M293" i="4"/>
  <c r="G293" i="4"/>
  <c r="AH292" i="4"/>
  <c r="AD292" i="4"/>
  <c r="AC292" i="4"/>
  <c r="AB292" i="4"/>
  <c r="AA292" i="4"/>
  <c r="M292" i="4"/>
  <c r="G292" i="4"/>
  <c r="AH291" i="4"/>
  <c r="AD291" i="4"/>
  <c r="AC291" i="4"/>
  <c r="AB291" i="4"/>
  <c r="AA291" i="4"/>
  <c r="M291" i="4"/>
  <c r="G291" i="4"/>
  <c r="AH290" i="4"/>
  <c r="AD290" i="4"/>
  <c r="AC290" i="4"/>
  <c r="AB290" i="4"/>
  <c r="AA290" i="4"/>
  <c r="M290" i="4"/>
  <c r="G290" i="4"/>
  <c r="AH289" i="4"/>
  <c r="AD289" i="4"/>
  <c r="AC289" i="4"/>
  <c r="AB289" i="4"/>
  <c r="AA289" i="4"/>
  <c r="M289" i="4"/>
  <c r="G289" i="4"/>
  <c r="AH288" i="4"/>
  <c r="AD288" i="4"/>
  <c r="AC288" i="4"/>
  <c r="AB288" i="4"/>
  <c r="AA288" i="4"/>
  <c r="M288" i="4"/>
  <c r="G288" i="4"/>
  <c r="AH287" i="4"/>
  <c r="AD287" i="4"/>
  <c r="AC287" i="4"/>
  <c r="AB287" i="4"/>
  <c r="AA287" i="4"/>
  <c r="M287" i="4"/>
  <c r="G287" i="4"/>
  <c r="AH286" i="4"/>
  <c r="M286" i="4"/>
  <c r="G286" i="4"/>
  <c r="G22" i="6"/>
  <c r="I22" i="6"/>
  <c r="F23" i="1"/>
  <c r="AB23" i="1"/>
  <c r="AC23" i="1"/>
  <c r="AD23" i="1"/>
  <c r="AF23" i="1"/>
  <c r="AG23" i="1" s="1"/>
  <c r="AH23" i="1"/>
  <c r="AI288" i="4" l="1"/>
  <c r="AE24" i="1"/>
  <c r="AE26" i="1"/>
  <c r="AE25" i="1"/>
  <c r="AI292" i="4"/>
  <c r="AI291" i="4"/>
  <c r="AI317" i="4"/>
  <c r="AI319" i="4"/>
  <c r="AI315" i="4"/>
  <c r="AE23" i="1"/>
  <c r="AB321" i="4"/>
  <c r="AD321" i="4"/>
  <c r="AI321" i="4" s="1"/>
  <c r="AB320" i="4"/>
  <c r="AD320" i="4"/>
  <c r="AI320" i="4" s="1"/>
  <c r="AB318" i="4"/>
  <c r="AC318" i="4"/>
  <c r="AI318" i="4"/>
  <c r="AB317" i="4"/>
  <c r="AC317" i="4"/>
  <c r="AB316" i="4"/>
  <c r="AD316" i="4"/>
  <c r="AI316" i="4" s="1"/>
  <c r="AB315" i="4"/>
  <c r="AC315" i="4"/>
  <c r="AB314" i="4"/>
  <c r="AC314" i="4"/>
  <c r="AI314" i="4"/>
  <c r="AI301" i="4"/>
  <c r="AI293" i="4"/>
  <c r="AI305" i="4"/>
  <c r="AC307" i="4"/>
  <c r="AD307" i="4"/>
  <c r="AI307" i="4" s="1"/>
  <c r="AC306" i="4"/>
  <c r="AB306" i="4"/>
  <c r="AI306" i="4"/>
  <c r="AB305" i="4"/>
  <c r="AC305" i="4"/>
  <c r="AC304" i="4"/>
  <c r="AD304" i="4"/>
  <c r="AI304" i="4" s="1"/>
  <c r="AC303" i="4"/>
  <c r="AD303" i="4"/>
  <c r="AI303" i="4" s="1"/>
  <c r="AC302" i="4"/>
  <c r="AD302" i="4"/>
  <c r="AI302" i="4" s="1"/>
  <c r="AB301" i="4"/>
  <c r="AC301" i="4"/>
  <c r="AC300" i="4"/>
  <c r="AD300" i="4"/>
  <c r="AI300" i="4" s="1"/>
  <c r="AI287" i="4"/>
  <c r="AI289" i="4"/>
  <c r="AI290" i="4"/>
  <c r="AD286" i="4"/>
  <c r="AI286" i="4" s="1"/>
  <c r="AB286" i="4"/>
  <c r="G21" i="14" l="1"/>
  <c r="Q21" i="14"/>
  <c r="AH285" i="4"/>
  <c r="M285" i="4"/>
  <c r="G285" i="4"/>
  <c r="AH284" i="4"/>
  <c r="M284" i="4"/>
  <c r="G284" i="4"/>
  <c r="AH283" i="4"/>
  <c r="M283" i="4"/>
  <c r="G283" i="4"/>
  <c r="AH282" i="4"/>
  <c r="M282" i="4"/>
  <c r="G282" i="4"/>
  <c r="AH281" i="4"/>
  <c r="M281" i="4"/>
  <c r="G281" i="4"/>
  <c r="AH280" i="4"/>
  <c r="M280" i="4"/>
  <c r="G280" i="4"/>
  <c r="AH279" i="4"/>
  <c r="M279" i="4"/>
  <c r="G279" i="4"/>
  <c r="AH278" i="4"/>
  <c r="M278" i="4"/>
  <c r="G278" i="4"/>
  <c r="AH277" i="4"/>
  <c r="M277" i="4"/>
  <c r="G277" i="4"/>
  <c r="AH276" i="4"/>
  <c r="M276" i="4"/>
  <c r="G276" i="4"/>
  <c r="AH275" i="4"/>
  <c r="M275" i="4"/>
  <c r="G275" i="4"/>
  <c r="AH274" i="4"/>
  <c r="M274" i="4"/>
  <c r="G274" i="4"/>
  <c r="AH273" i="4"/>
  <c r="M273" i="4"/>
  <c r="G273" i="4"/>
  <c r="AH272" i="4"/>
  <c r="M272" i="4"/>
  <c r="G272" i="4"/>
  <c r="G21" i="6"/>
  <c r="I21" i="6"/>
  <c r="F22" i="1"/>
  <c r="AB22" i="1"/>
  <c r="AC22" i="1"/>
  <c r="AD22" i="1"/>
  <c r="AF22" i="1"/>
  <c r="AG22" i="1" s="1"/>
  <c r="AH22" i="1"/>
  <c r="G20" i="14"/>
  <c r="Q20" i="14"/>
  <c r="AC258" i="4"/>
  <c r="AB259" i="4"/>
  <c r="AD260" i="4"/>
  <c r="AD261" i="4"/>
  <c r="AD262" i="4"/>
  <c r="AD263" i="4"/>
  <c r="AD264" i="4"/>
  <c r="AB265" i="4"/>
  <c r="AA258" i="4"/>
  <c r="AA259" i="4"/>
  <c r="AA260" i="4"/>
  <c r="AA261" i="4"/>
  <c r="AA262" i="4"/>
  <c r="AA263" i="4"/>
  <c r="AA264" i="4"/>
  <c r="AA265" i="4"/>
  <c r="AH271" i="4"/>
  <c r="M271" i="4"/>
  <c r="G271" i="4"/>
  <c r="AH270" i="4"/>
  <c r="M270" i="4"/>
  <c r="G270" i="4"/>
  <c r="AH269" i="4"/>
  <c r="M269" i="4"/>
  <c r="G269" i="4"/>
  <c r="AH268" i="4"/>
  <c r="M268" i="4"/>
  <c r="G268" i="4"/>
  <c r="AH267" i="4"/>
  <c r="M267" i="4"/>
  <c r="G267" i="4"/>
  <c r="AH266" i="4"/>
  <c r="M266" i="4"/>
  <c r="G266" i="4"/>
  <c r="AH265" i="4"/>
  <c r="M265" i="4"/>
  <c r="G265" i="4"/>
  <c r="AH264" i="4"/>
  <c r="M264" i="4"/>
  <c r="G264" i="4"/>
  <c r="AH263" i="4"/>
  <c r="M263" i="4"/>
  <c r="G263" i="4"/>
  <c r="AH262" i="4"/>
  <c r="M262" i="4"/>
  <c r="G262" i="4"/>
  <c r="AH261" i="4"/>
  <c r="M261" i="4"/>
  <c r="G261" i="4"/>
  <c r="AH260" i="4"/>
  <c r="M260" i="4"/>
  <c r="G260" i="4"/>
  <c r="AH259" i="4"/>
  <c r="M259" i="4"/>
  <c r="G259" i="4"/>
  <c r="AH258" i="4"/>
  <c r="M258" i="4"/>
  <c r="G258" i="4"/>
  <c r="G20" i="6"/>
  <c r="I20" i="6"/>
  <c r="F21" i="1"/>
  <c r="AB21" i="1"/>
  <c r="AC21" i="1"/>
  <c r="AD21" i="1"/>
  <c r="AF21" i="1"/>
  <c r="AG21" i="1" s="1"/>
  <c r="AH21" i="1"/>
  <c r="G19" i="6"/>
  <c r="I19" i="6"/>
  <c r="AD244" i="4"/>
  <c r="AC245" i="4"/>
  <c r="AD246" i="4"/>
  <c r="AC247" i="4"/>
  <c r="AD248" i="4"/>
  <c r="AD249" i="4"/>
  <c r="AB250" i="4"/>
  <c r="AD251" i="4"/>
  <c r="AA244" i="4"/>
  <c r="AA245" i="4"/>
  <c r="AA246" i="4"/>
  <c r="AA247" i="4"/>
  <c r="AA248" i="4"/>
  <c r="AA249" i="4"/>
  <c r="AA250" i="4"/>
  <c r="AA251" i="4"/>
  <c r="AH257" i="4"/>
  <c r="M257" i="4"/>
  <c r="G257" i="4"/>
  <c r="AH256" i="4"/>
  <c r="M256" i="4"/>
  <c r="G256" i="4"/>
  <c r="AH255" i="4"/>
  <c r="M255" i="4"/>
  <c r="G255" i="4"/>
  <c r="AH254" i="4"/>
  <c r="M254" i="4"/>
  <c r="G254" i="4"/>
  <c r="AH253" i="4"/>
  <c r="M253" i="4"/>
  <c r="G253" i="4"/>
  <c r="AH252" i="4"/>
  <c r="M252" i="4"/>
  <c r="G252" i="4"/>
  <c r="AH251" i="4"/>
  <c r="M251" i="4"/>
  <c r="G251" i="4"/>
  <c r="AH250" i="4"/>
  <c r="M250" i="4"/>
  <c r="G250" i="4"/>
  <c r="AH249" i="4"/>
  <c r="M249" i="4"/>
  <c r="G249" i="4"/>
  <c r="AH248" i="4"/>
  <c r="M248" i="4"/>
  <c r="G248" i="4"/>
  <c r="AH247" i="4"/>
  <c r="M247" i="4"/>
  <c r="G247" i="4"/>
  <c r="AH246" i="4"/>
  <c r="M246" i="4"/>
  <c r="G246" i="4"/>
  <c r="AH245" i="4"/>
  <c r="M245" i="4"/>
  <c r="G245" i="4"/>
  <c r="AH244" i="4"/>
  <c r="M244" i="4"/>
  <c r="G244" i="4"/>
  <c r="G19" i="14"/>
  <c r="Q19" i="14"/>
  <c r="G18" i="14"/>
  <c r="Q18" i="14"/>
  <c r="F20" i="1"/>
  <c r="AB20" i="1"/>
  <c r="AC20" i="1"/>
  <c r="AD20" i="1"/>
  <c r="AF20" i="1"/>
  <c r="AG20" i="1" s="1"/>
  <c r="AH20" i="1"/>
  <c r="AD229" i="4"/>
  <c r="AD230" i="4"/>
  <c r="AB231" i="4"/>
  <c r="AD232" i="4"/>
  <c r="AB233" i="4"/>
  <c r="AD234" i="4"/>
  <c r="AD235" i="4"/>
  <c r="AD236" i="4"/>
  <c r="AC237" i="4"/>
  <c r="AA229" i="4"/>
  <c r="AA230" i="4"/>
  <c r="AA231" i="4"/>
  <c r="AA232" i="4"/>
  <c r="AA233" i="4"/>
  <c r="AA234" i="4"/>
  <c r="AA236" i="4"/>
  <c r="AA237" i="4"/>
  <c r="AH243" i="4"/>
  <c r="M243" i="4"/>
  <c r="G243" i="4"/>
  <c r="AH242" i="4"/>
  <c r="M242" i="4"/>
  <c r="G242" i="4"/>
  <c r="AH241" i="4"/>
  <c r="M241" i="4"/>
  <c r="G241" i="4"/>
  <c r="AH240" i="4"/>
  <c r="M240" i="4"/>
  <c r="G240" i="4"/>
  <c r="AH239" i="4"/>
  <c r="M239" i="4"/>
  <c r="G239" i="4"/>
  <c r="AH238" i="4"/>
  <c r="M238" i="4"/>
  <c r="G238" i="4"/>
  <c r="AH237" i="4"/>
  <c r="M237" i="4"/>
  <c r="G237" i="4"/>
  <c r="AH236" i="4"/>
  <c r="M236" i="4"/>
  <c r="G236" i="4"/>
  <c r="AH235" i="4"/>
  <c r="M235" i="4"/>
  <c r="G235" i="4"/>
  <c r="AH234" i="4"/>
  <c r="M234" i="4"/>
  <c r="G234" i="4"/>
  <c r="AH233" i="4"/>
  <c r="M233" i="4"/>
  <c r="G233" i="4"/>
  <c r="AH232" i="4"/>
  <c r="M232" i="4"/>
  <c r="G232" i="4"/>
  <c r="AH231" i="4"/>
  <c r="M231" i="4"/>
  <c r="G231" i="4"/>
  <c r="AH230" i="4"/>
  <c r="M230" i="4"/>
  <c r="G230" i="4"/>
  <c r="AH229" i="4"/>
  <c r="M229" i="4"/>
  <c r="G229" i="4"/>
  <c r="G18" i="6"/>
  <c r="I18" i="6"/>
  <c r="F19" i="1"/>
  <c r="AB19" i="1"/>
  <c r="AC19" i="1"/>
  <c r="AD19" i="1"/>
  <c r="AF19" i="1"/>
  <c r="AG19" i="1" s="1"/>
  <c r="AH19" i="1"/>
  <c r="AC214" i="4"/>
  <c r="AC215" i="4"/>
  <c r="AD216" i="4"/>
  <c r="AC217" i="4"/>
  <c r="AD218" i="4"/>
  <c r="AD219" i="4"/>
  <c r="AC220" i="4"/>
  <c r="AD221" i="4"/>
  <c r="AD222" i="4"/>
  <c r="AA214" i="4"/>
  <c r="AA215" i="4"/>
  <c r="AA216" i="4"/>
  <c r="AA217" i="4"/>
  <c r="AA218" i="4"/>
  <c r="AA219" i="4"/>
  <c r="AA220" i="4"/>
  <c r="AA221" i="4"/>
  <c r="AA222" i="4"/>
  <c r="AH228" i="4"/>
  <c r="M228" i="4"/>
  <c r="G228" i="4"/>
  <c r="AH227" i="4"/>
  <c r="M227" i="4"/>
  <c r="G227" i="4"/>
  <c r="AH226" i="4"/>
  <c r="M226" i="4"/>
  <c r="G226" i="4"/>
  <c r="AH225" i="4"/>
  <c r="M225" i="4"/>
  <c r="G225" i="4"/>
  <c r="AH224" i="4"/>
  <c r="M224" i="4"/>
  <c r="G224" i="4"/>
  <c r="AH223" i="4"/>
  <c r="M223" i="4"/>
  <c r="G223" i="4"/>
  <c r="AH222" i="4"/>
  <c r="M222" i="4"/>
  <c r="G222" i="4"/>
  <c r="AH221" i="4"/>
  <c r="M221" i="4"/>
  <c r="G221" i="4"/>
  <c r="AH220" i="4"/>
  <c r="M220" i="4"/>
  <c r="G220" i="4"/>
  <c r="AH219" i="4"/>
  <c r="M219" i="4"/>
  <c r="G219" i="4"/>
  <c r="AH218" i="4"/>
  <c r="M218" i="4"/>
  <c r="G218" i="4"/>
  <c r="AH217" i="4"/>
  <c r="M217" i="4"/>
  <c r="G217" i="4"/>
  <c r="AH216" i="4"/>
  <c r="M216" i="4"/>
  <c r="G216" i="4"/>
  <c r="AH215" i="4"/>
  <c r="M215" i="4"/>
  <c r="G215" i="4"/>
  <c r="AH214" i="4"/>
  <c r="M214" i="4"/>
  <c r="G214" i="4"/>
  <c r="G17" i="6"/>
  <c r="I17" i="6"/>
  <c r="F18" i="1"/>
  <c r="AB18" i="1"/>
  <c r="AC18" i="1"/>
  <c r="AD18" i="1"/>
  <c r="AF18" i="1"/>
  <c r="AG18" i="1" s="1"/>
  <c r="AH18" i="1"/>
  <c r="G7" i="11"/>
  <c r="M7" i="11"/>
  <c r="AD7" i="11" s="1"/>
  <c r="P7" i="11"/>
  <c r="W7" i="11"/>
  <c r="X7" i="11"/>
  <c r="Y7" i="11"/>
  <c r="AB7" i="11" s="1"/>
  <c r="AI222" i="4" l="1"/>
  <c r="AI218" i="4"/>
  <c r="AE22" i="1"/>
  <c r="AI264" i="4"/>
  <c r="AI263" i="4"/>
  <c r="AI251" i="4"/>
  <c r="AI261" i="4"/>
  <c r="AI249" i="4"/>
  <c r="AE21" i="1"/>
  <c r="AC265" i="4"/>
  <c r="AD265" i="4"/>
  <c r="AI265" i="4" s="1"/>
  <c r="AB264" i="4"/>
  <c r="AC264" i="4"/>
  <c r="AB263" i="4"/>
  <c r="AC263" i="4"/>
  <c r="AB262" i="4"/>
  <c r="AI262" i="4"/>
  <c r="AC262" i="4"/>
  <c r="AB261" i="4"/>
  <c r="AC261" i="4"/>
  <c r="AI260" i="4"/>
  <c r="AB260" i="4"/>
  <c r="AC260" i="4"/>
  <c r="AD259" i="4"/>
  <c r="AI259" i="4" s="1"/>
  <c r="AC259" i="4"/>
  <c r="AD258" i="4"/>
  <c r="AI258" i="4" s="1"/>
  <c r="AB258" i="4"/>
  <c r="AE20" i="1"/>
  <c r="AB251" i="4"/>
  <c r="AC251" i="4"/>
  <c r="AC250" i="4"/>
  <c r="AD250" i="4"/>
  <c r="AI250" i="4" s="1"/>
  <c r="AB249" i="4"/>
  <c r="AC249" i="4"/>
  <c r="AB248" i="4"/>
  <c r="AC248" i="4"/>
  <c r="AI248" i="4"/>
  <c r="AD247" i="4"/>
  <c r="AI247" i="4" s="1"/>
  <c r="AB247" i="4"/>
  <c r="AI246" i="4"/>
  <c r="AB246" i="4"/>
  <c r="AC246" i="4"/>
  <c r="AD245" i="4"/>
  <c r="AI245" i="4" s="1"/>
  <c r="AB245" i="4"/>
  <c r="AI244" i="4"/>
  <c r="AB244" i="4"/>
  <c r="AC244" i="4"/>
  <c r="AI234" i="4"/>
  <c r="AI232" i="4"/>
  <c r="AI230" i="4"/>
  <c r="AI229" i="4"/>
  <c r="AI235" i="4"/>
  <c r="AE19" i="1"/>
  <c r="AD237" i="4"/>
  <c r="AI237" i="4" s="1"/>
  <c r="AB237" i="4"/>
  <c r="AI236" i="4"/>
  <c r="AB236" i="4"/>
  <c r="AC236" i="4"/>
  <c r="AB234" i="4"/>
  <c r="AC234" i="4"/>
  <c r="AC233" i="4"/>
  <c r="AD233" i="4"/>
  <c r="AI233" i="4" s="1"/>
  <c r="AB232" i="4"/>
  <c r="AC232" i="4"/>
  <c r="AD231" i="4"/>
  <c r="AI231" i="4" s="1"/>
  <c r="AC231" i="4"/>
  <c r="AB230" i="4"/>
  <c r="AC230" i="4"/>
  <c r="AB229" i="4"/>
  <c r="AC229" i="4"/>
  <c r="AI219" i="4"/>
  <c r="AA235" i="4"/>
  <c r="AB235" i="4"/>
  <c r="AI216" i="4"/>
  <c r="AC235" i="4"/>
  <c r="AE18" i="1"/>
  <c r="AB222" i="4"/>
  <c r="AC222" i="4"/>
  <c r="AI221" i="4"/>
  <c r="AB221" i="4"/>
  <c r="AC221" i="4"/>
  <c r="AD220" i="4"/>
  <c r="AI220" i="4" s="1"/>
  <c r="AB220" i="4"/>
  <c r="AB219" i="4"/>
  <c r="AC219" i="4"/>
  <c r="AB218" i="4"/>
  <c r="AC218" i="4"/>
  <c r="AD217" i="4"/>
  <c r="AI217" i="4" s="1"/>
  <c r="AB217" i="4"/>
  <c r="AB216" i="4"/>
  <c r="AC216" i="4"/>
  <c r="AB215" i="4"/>
  <c r="AD215" i="4"/>
  <c r="AI215" i="4" s="1"/>
  <c r="AD214" i="4"/>
  <c r="AI214" i="4" s="1"/>
  <c r="AB214" i="4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3" i="15"/>
  <c r="Q4" i="15"/>
  <c r="Q5" i="15"/>
  <c r="Q6" i="15"/>
  <c r="Q7" i="15"/>
  <c r="Q8" i="15"/>
  <c r="Q9" i="15"/>
  <c r="Q10" i="15"/>
  <c r="H4" i="15"/>
  <c r="G17" i="14"/>
  <c r="Q17" i="14"/>
  <c r="AC199" i="4"/>
  <c r="AC200" i="4"/>
  <c r="AC201" i="4"/>
  <c r="AD202" i="4"/>
  <c r="AB203" i="4"/>
  <c r="AC204" i="4"/>
  <c r="AD205" i="4"/>
  <c r="AB206" i="4"/>
  <c r="AC207" i="4"/>
  <c r="AA199" i="4"/>
  <c r="AA200" i="4"/>
  <c r="AA201" i="4"/>
  <c r="AA202" i="4"/>
  <c r="AA204" i="4"/>
  <c r="AA205" i="4"/>
  <c r="AA206" i="4"/>
  <c r="AH213" i="4"/>
  <c r="M213" i="4"/>
  <c r="G213" i="4"/>
  <c r="AH212" i="4"/>
  <c r="M212" i="4"/>
  <c r="G212" i="4"/>
  <c r="AH211" i="4"/>
  <c r="M211" i="4"/>
  <c r="G211" i="4"/>
  <c r="AH210" i="4"/>
  <c r="M210" i="4"/>
  <c r="G210" i="4"/>
  <c r="AH209" i="4"/>
  <c r="M209" i="4"/>
  <c r="G209" i="4"/>
  <c r="AH208" i="4"/>
  <c r="M208" i="4"/>
  <c r="G208" i="4"/>
  <c r="AH207" i="4"/>
  <c r="M207" i="4"/>
  <c r="G207" i="4"/>
  <c r="AH206" i="4"/>
  <c r="M206" i="4"/>
  <c r="G206" i="4"/>
  <c r="AH205" i="4"/>
  <c r="M205" i="4"/>
  <c r="G205" i="4"/>
  <c r="AH204" i="4"/>
  <c r="M204" i="4"/>
  <c r="G204" i="4"/>
  <c r="AH203" i="4"/>
  <c r="M203" i="4"/>
  <c r="G203" i="4"/>
  <c r="AH202" i="4"/>
  <c r="M202" i="4"/>
  <c r="G202" i="4"/>
  <c r="AH201" i="4"/>
  <c r="M201" i="4"/>
  <c r="G201" i="4"/>
  <c r="AH200" i="4"/>
  <c r="M200" i="4"/>
  <c r="G200" i="4"/>
  <c r="AH199" i="4"/>
  <c r="M199" i="4"/>
  <c r="G199" i="4"/>
  <c r="G16" i="6"/>
  <c r="I16" i="6"/>
  <c r="F17" i="1"/>
  <c r="AB17" i="1"/>
  <c r="AC17" i="1"/>
  <c r="AD17" i="1"/>
  <c r="AF17" i="1"/>
  <c r="AG17" i="1" s="1"/>
  <c r="AH17" i="1"/>
  <c r="G6" i="11"/>
  <c r="M6" i="11"/>
  <c r="AD6" i="11" s="1"/>
  <c r="P6" i="11"/>
  <c r="W6" i="11"/>
  <c r="X6" i="11"/>
  <c r="Y6" i="11"/>
  <c r="G5" i="11"/>
  <c r="M5" i="11"/>
  <c r="AD5" i="11" s="1"/>
  <c r="P5" i="11"/>
  <c r="W5" i="11"/>
  <c r="X5" i="11"/>
  <c r="Y5" i="11"/>
  <c r="Q16" i="14"/>
  <c r="G16" i="14"/>
  <c r="AC184" i="4"/>
  <c r="AB186" i="4"/>
  <c r="AC187" i="4"/>
  <c r="AB188" i="4"/>
  <c r="AD189" i="4"/>
  <c r="AD190" i="4"/>
  <c r="AD191" i="4"/>
  <c r="AD192" i="4"/>
  <c r="AA184" i="4"/>
  <c r="AA186" i="4"/>
  <c r="AA187" i="4"/>
  <c r="AA188" i="4"/>
  <c r="AA189" i="4"/>
  <c r="AA191" i="4"/>
  <c r="AA192" i="4"/>
  <c r="AH198" i="4"/>
  <c r="M198" i="4"/>
  <c r="G198" i="4"/>
  <c r="AH197" i="4"/>
  <c r="M197" i="4"/>
  <c r="G197" i="4"/>
  <c r="AH196" i="4"/>
  <c r="M196" i="4"/>
  <c r="G196" i="4"/>
  <c r="AH195" i="4"/>
  <c r="M195" i="4"/>
  <c r="G195" i="4"/>
  <c r="AH194" i="4"/>
  <c r="M194" i="4"/>
  <c r="G194" i="4"/>
  <c r="AH193" i="4"/>
  <c r="M193" i="4"/>
  <c r="G193" i="4"/>
  <c r="AH192" i="4"/>
  <c r="M192" i="4"/>
  <c r="G192" i="4"/>
  <c r="AH191" i="4"/>
  <c r="M191" i="4"/>
  <c r="G191" i="4"/>
  <c r="AH190" i="4"/>
  <c r="M190" i="4"/>
  <c r="G190" i="4"/>
  <c r="AH189" i="4"/>
  <c r="M189" i="4"/>
  <c r="G189" i="4"/>
  <c r="AH188" i="4"/>
  <c r="M188" i="4"/>
  <c r="G188" i="4"/>
  <c r="AH187" i="4"/>
  <c r="M187" i="4"/>
  <c r="G187" i="4"/>
  <c r="AH186" i="4"/>
  <c r="M186" i="4"/>
  <c r="G186" i="4"/>
  <c r="AH185" i="4"/>
  <c r="AD185" i="4"/>
  <c r="AC185" i="4"/>
  <c r="AB185" i="4"/>
  <c r="AA185" i="4"/>
  <c r="M185" i="4"/>
  <c r="G185" i="4"/>
  <c r="AH184" i="4"/>
  <c r="M184" i="4"/>
  <c r="G184" i="4"/>
  <c r="G15" i="6"/>
  <c r="I15" i="6"/>
  <c r="F16" i="1"/>
  <c r="AB16" i="1"/>
  <c r="AC16" i="1"/>
  <c r="AD16" i="1"/>
  <c r="AF16" i="1"/>
  <c r="AG16" i="1" s="1"/>
  <c r="AH16" i="1"/>
  <c r="G14" i="6"/>
  <c r="I14" i="6"/>
  <c r="G15" i="14"/>
  <c r="Q15" i="14"/>
  <c r="G14" i="14"/>
  <c r="Q14" i="14"/>
  <c r="G4" i="11"/>
  <c r="M4" i="11"/>
  <c r="AD4" i="11" s="1"/>
  <c r="P4" i="11"/>
  <c r="W4" i="11"/>
  <c r="X4" i="11"/>
  <c r="Y4" i="11"/>
  <c r="F15" i="1"/>
  <c r="AB15" i="1"/>
  <c r="AC15" i="1"/>
  <c r="AD15" i="1"/>
  <c r="AF15" i="1"/>
  <c r="AG15" i="1" s="1"/>
  <c r="AH15" i="1"/>
  <c r="AH183" i="4"/>
  <c r="M183" i="4"/>
  <c r="G183" i="4"/>
  <c r="AH182" i="4"/>
  <c r="M182" i="4"/>
  <c r="G182" i="4"/>
  <c r="AH181" i="4"/>
  <c r="M181" i="4"/>
  <c r="G181" i="4"/>
  <c r="AH180" i="4"/>
  <c r="M180" i="4"/>
  <c r="G180" i="4"/>
  <c r="AH179" i="4"/>
  <c r="M179" i="4"/>
  <c r="G179" i="4"/>
  <c r="AH178" i="4"/>
  <c r="M178" i="4"/>
  <c r="G178" i="4"/>
  <c r="AH177" i="4"/>
  <c r="M177" i="4"/>
  <c r="G177" i="4"/>
  <c r="AH176" i="4"/>
  <c r="M176" i="4"/>
  <c r="G176" i="4"/>
  <c r="AH175" i="4"/>
  <c r="M175" i="4"/>
  <c r="G175" i="4"/>
  <c r="AH174" i="4"/>
  <c r="M174" i="4"/>
  <c r="G174" i="4"/>
  <c r="AH173" i="4"/>
  <c r="M173" i="4"/>
  <c r="G173" i="4"/>
  <c r="AH172" i="4"/>
  <c r="M172" i="4"/>
  <c r="G172" i="4"/>
  <c r="AH171" i="4"/>
  <c r="M171" i="4"/>
  <c r="G171" i="4"/>
  <c r="AH170" i="4"/>
  <c r="M170" i="4"/>
  <c r="G170" i="4"/>
  <c r="AH169" i="4"/>
  <c r="M169" i="4"/>
  <c r="G169" i="4"/>
  <c r="Q13" i="14"/>
  <c r="G13" i="14"/>
  <c r="AD154" i="4"/>
  <c r="AD155" i="4"/>
  <c r="AD156" i="4"/>
  <c r="AD157" i="4"/>
  <c r="AB158" i="4"/>
  <c r="AD159" i="4"/>
  <c r="AC160" i="4"/>
  <c r="AD161" i="4"/>
  <c r="AD162" i="4"/>
  <c r="AA154" i="4"/>
  <c r="AA155" i="4"/>
  <c r="AA156" i="4"/>
  <c r="AA157" i="4"/>
  <c r="AA158" i="4"/>
  <c r="AA159" i="4"/>
  <c r="AA160" i="4"/>
  <c r="AA161" i="4"/>
  <c r="AA162" i="4"/>
  <c r="AH168" i="4"/>
  <c r="M168" i="4"/>
  <c r="G168" i="4"/>
  <c r="AH167" i="4"/>
  <c r="M167" i="4"/>
  <c r="G167" i="4"/>
  <c r="AH166" i="4"/>
  <c r="M166" i="4"/>
  <c r="G166" i="4"/>
  <c r="AH165" i="4"/>
  <c r="M165" i="4"/>
  <c r="G165" i="4"/>
  <c r="AH164" i="4"/>
  <c r="M164" i="4"/>
  <c r="G164" i="4"/>
  <c r="AH163" i="4"/>
  <c r="M163" i="4"/>
  <c r="G163" i="4"/>
  <c r="AH162" i="4"/>
  <c r="M162" i="4"/>
  <c r="G162" i="4"/>
  <c r="AH161" i="4"/>
  <c r="M161" i="4"/>
  <c r="G161" i="4"/>
  <c r="AH160" i="4"/>
  <c r="M160" i="4"/>
  <c r="G160" i="4"/>
  <c r="AH159" i="4"/>
  <c r="AB159" i="4"/>
  <c r="M159" i="4"/>
  <c r="G159" i="4"/>
  <c r="AH158" i="4"/>
  <c r="M158" i="4"/>
  <c r="G158" i="4"/>
  <c r="AH157" i="4"/>
  <c r="M157" i="4"/>
  <c r="G157" i="4"/>
  <c r="AH156" i="4"/>
  <c r="M156" i="4"/>
  <c r="G156" i="4"/>
  <c r="AH155" i="4"/>
  <c r="M155" i="4"/>
  <c r="G155" i="4"/>
  <c r="AH154" i="4"/>
  <c r="M154" i="4"/>
  <c r="G154" i="4"/>
  <c r="G13" i="6"/>
  <c r="I13" i="6"/>
  <c r="F14" i="1"/>
  <c r="AB14" i="1"/>
  <c r="AC14" i="1"/>
  <c r="AD14" i="1"/>
  <c r="AF14" i="1"/>
  <c r="AG14" i="1" s="1"/>
  <c r="AH14" i="1"/>
  <c r="G12" i="6"/>
  <c r="I12" i="6"/>
  <c r="AD139" i="4"/>
  <c r="AD140" i="4"/>
  <c r="AD141" i="4"/>
  <c r="AD142" i="4"/>
  <c r="AD143" i="4"/>
  <c r="AD144" i="4"/>
  <c r="AD145" i="4"/>
  <c r="AD146" i="4"/>
  <c r="AD147" i="4"/>
  <c r="AA139" i="4"/>
  <c r="AA140" i="4"/>
  <c r="AA141" i="4"/>
  <c r="AA142" i="4"/>
  <c r="AA143" i="4"/>
  <c r="AA144" i="4"/>
  <c r="AA145" i="4"/>
  <c r="AA146" i="4"/>
  <c r="AA147" i="4"/>
  <c r="AH153" i="4"/>
  <c r="M153" i="4"/>
  <c r="G153" i="4"/>
  <c r="AH152" i="4"/>
  <c r="M152" i="4"/>
  <c r="G152" i="4"/>
  <c r="AH151" i="4"/>
  <c r="M151" i="4"/>
  <c r="G151" i="4"/>
  <c r="AH150" i="4"/>
  <c r="M150" i="4"/>
  <c r="G150" i="4"/>
  <c r="AH149" i="4"/>
  <c r="M149" i="4"/>
  <c r="G149" i="4"/>
  <c r="AH148" i="4"/>
  <c r="M148" i="4"/>
  <c r="G148" i="4"/>
  <c r="AH147" i="4"/>
  <c r="M147" i="4"/>
  <c r="G147" i="4"/>
  <c r="AH146" i="4"/>
  <c r="M146" i="4"/>
  <c r="G146" i="4"/>
  <c r="AH145" i="4"/>
  <c r="M145" i="4"/>
  <c r="G145" i="4"/>
  <c r="AH144" i="4"/>
  <c r="M144" i="4"/>
  <c r="G144" i="4"/>
  <c r="AH143" i="4"/>
  <c r="M143" i="4"/>
  <c r="G143" i="4"/>
  <c r="AH142" i="4"/>
  <c r="M142" i="4"/>
  <c r="G142" i="4"/>
  <c r="AH141" i="4"/>
  <c r="M141" i="4"/>
  <c r="G141" i="4"/>
  <c r="AH140" i="4"/>
  <c r="M140" i="4"/>
  <c r="G140" i="4"/>
  <c r="AH139" i="4"/>
  <c r="M139" i="4"/>
  <c r="G139" i="4"/>
  <c r="G12" i="14"/>
  <c r="Q12" i="14"/>
  <c r="G11" i="14"/>
  <c r="Q11" i="14"/>
  <c r="G10" i="14"/>
  <c r="Q10" i="14"/>
  <c r="F13" i="1"/>
  <c r="AB13" i="1"/>
  <c r="AC13" i="1"/>
  <c r="AD13" i="1"/>
  <c r="AF13" i="1"/>
  <c r="AG13" i="1" s="1"/>
  <c r="AH13" i="1"/>
  <c r="H5" i="15" l="1"/>
  <c r="B4" i="15"/>
  <c r="C4" i="15"/>
  <c r="AB5" i="11"/>
  <c r="AI202" i="4"/>
  <c r="AI190" i="4"/>
  <c r="AI205" i="4"/>
  <c r="AE17" i="1"/>
  <c r="AA207" i="4"/>
  <c r="AA203" i="4"/>
  <c r="AB207" i="4"/>
  <c r="AD207" i="4"/>
  <c r="AI207" i="4" s="1"/>
  <c r="AD204" i="4"/>
  <c r="AI204" i="4" s="1"/>
  <c r="AB204" i="4"/>
  <c r="AC203" i="4"/>
  <c r="AD203" i="4"/>
  <c r="AI203" i="4" s="1"/>
  <c r="AB202" i="4"/>
  <c r="AC202" i="4"/>
  <c r="AD201" i="4"/>
  <c r="AI201" i="4" s="1"/>
  <c r="AB201" i="4"/>
  <c r="AB200" i="4"/>
  <c r="AD200" i="4"/>
  <c r="AI200" i="4" s="1"/>
  <c r="AD199" i="4"/>
  <c r="AI199" i="4" s="1"/>
  <c r="AB199" i="4"/>
  <c r="AC206" i="4"/>
  <c r="AI162" i="4"/>
  <c r="AD206" i="4"/>
  <c r="AI206" i="4" s="1"/>
  <c r="AB205" i="4"/>
  <c r="AC205" i="4"/>
  <c r="AI192" i="4"/>
  <c r="AE13" i="1"/>
  <c r="AB6" i="11"/>
  <c r="AE16" i="1"/>
  <c r="AI185" i="4"/>
  <c r="AB192" i="4"/>
  <c r="AC192" i="4"/>
  <c r="AB191" i="4"/>
  <c r="AC191" i="4"/>
  <c r="AI191" i="4"/>
  <c r="AB189" i="4"/>
  <c r="AC189" i="4"/>
  <c r="AI189" i="4"/>
  <c r="AC188" i="4"/>
  <c r="AD188" i="4"/>
  <c r="AI188" i="4" s="1"/>
  <c r="AD187" i="4"/>
  <c r="AI187" i="4" s="1"/>
  <c r="AB187" i="4"/>
  <c r="AD186" i="4"/>
  <c r="AI186" i="4" s="1"/>
  <c r="AC186" i="4"/>
  <c r="AD184" i="4"/>
  <c r="AI184" i="4" s="1"/>
  <c r="AB184" i="4"/>
  <c r="AA190" i="4"/>
  <c r="AB190" i="4"/>
  <c r="AC190" i="4"/>
  <c r="AI140" i="4"/>
  <c r="AE15" i="1"/>
  <c r="AB4" i="11"/>
  <c r="AI155" i="4"/>
  <c r="AI154" i="4"/>
  <c r="AI161" i="4"/>
  <c r="AI144" i="4"/>
  <c r="AI141" i="4"/>
  <c r="AI139" i="4"/>
  <c r="AI157" i="4"/>
  <c r="AI156" i="4"/>
  <c r="AE14" i="1"/>
  <c r="AB162" i="4"/>
  <c r="AC162" i="4"/>
  <c r="AB160" i="4"/>
  <c r="AD160" i="4"/>
  <c r="AI160" i="4" s="1"/>
  <c r="AC159" i="4"/>
  <c r="AI159" i="4"/>
  <c r="AC158" i="4"/>
  <c r="AD158" i="4"/>
  <c r="AI158" i="4" s="1"/>
  <c r="AB157" i="4"/>
  <c r="AC157" i="4"/>
  <c r="AB156" i="4"/>
  <c r="AC156" i="4"/>
  <c r="AB155" i="4"/>
  <c r="AC155" i="4"/>
  <c r="AB154" i="4"/>
  <c r="AC154" i="4"/>
  <c r="AB161" i="4"/>
  <c r="AI146" i="4"/>
  <c r="AC161" i="4"/>
  <c r="AI147" i="4"/>
  <c r="AI145" i="4"/>
  <c r="AI143" i="4"/>
  <c r="AI142" i="4"/>
  <c r="AB147" i="4"/>
  <c r="AC147" i="4"/>
  <c r="AB146" i="4"/>
  <c r="AC146" i="4"/>
  <c r="AB145" i="4"/>
  <c r="AC145" i="4"/>
  <c r="AB144" i="4"/>
  <c r="AC144" i="4"/>
  <c r="AB143" i="4"/>
  <c r="AC143" i="4"/>
  <c r="AC142" i="4"/>
  <c r="AB142" i="4"/>
  <c r="AB141" i="4"/>
  <c r="AC141" i="4"/>
  <c r="AB140" i="4"/>
  <c r="AC140" i="4"/>
  <c r="AB139" i="4"/>
  <c r="AC139" i="4"/>
  <c r="AB124" i="4"/>
  <c r="AB125" i="4"/>
  <c r="AD126" i="4"/>
  <c r="AD127" i="4"/>
  <c r="AD128" i="4"/>
  <c r="AB129" i="4"/>
  <c r="AB130" i="4"/>
  <c r="AD131" i="4"/>
  <c r="AC132" i="4"/>
  <c r="AA124" i="4"/>
  <c r="AA125" i="4"/>
  <c r="AA126" i="4"/>
  <c r="AA127" i="4"/>
  <c r="AA128" i="4"/>
  <c r="AA129" i="4"/>
  <c r="AA130" i="4"/>
  <c r="AA131" i="4"/>
  <c r="AA132" i="4"/>
  <c r="AH138" i="4"/>
  <c r="M138" i="4"/>
  <c r="G138" i="4"/>
  <c r="AH137" i="4"/>
  <c r="M137" i="4"/>
  <c r="G137" i="4"/>
  <c r="AH136" i="4"/>
  <c r="M136" i="4"/>
  <c r="G136" i="4"/>
  <c r="AH135" i="4"/>
  <c r="M135" i="4"/>
  <c r="G135" i="4"/>
  <c r="AH134" i="4"/>
  <c r="M134" i="4"/>
  <c r="G134" i="4"/>
  <c r="AH133" i="4"/>
  <c r="M133" i="4"/>
  <c r="G133" i="4"/>
  <c r="AH132" i="4"/>
  <c r="M132" i="4"/>
  <c r="G132" i="4"/>
  <c r="AH131" i="4"/>
  <c r="M131" i="4"/>
  <c r="G131" i="4"/>
  <c r="AH130" i="4"/>
  <c r="M130" i="4"/>
  <c r="G130" i="4"/>
  <c r="AH129" i="4"/>
  <c r="M129" i="4"/>
  <c r="G129" i="4"/>
  <c r="AH128" i="4"/>
  <c r="M128" i="4"/>
  <c r="G128" i="4"/>
  <c r="AH127" i="4"/>
  <c r="M127" i="4"/>
  <c r="G127" i="4"/>
  <c r="AH126" i="4"/>
  <c r="M126" i="4"/>
  <c r="G126" i="4"/>
  <c r="AH125" i="4"/>
  <c r="M125" i="4"/>
  <c r="G125" i="4"/>
  <c r="AH124" i="4"/>
  <c r="M124" i="4"/>
  <c r="G124" i="4"/>
  <c r="G11" i="6"/>
  <c r="I11" i="6"/>
  <c r="F12" i="1"/>
  <c r="AB12" i="1"/>
  <c r="AC12" i="1"/>
  <c r="AD12" i="1"/>
  <c r="AF12" i="1"/>
  <c r="AG12" i="1" s="1"/>
  <c r="AH12" i="1"/>
  <c r="AB109" i="4"/>
  <c r="AB110" i="4"/>
  <c r="AD112" i="4"/>
  <c r="AD113" i="4"/>
  <c r="AD114" i="4"/>
  <c r="AB115" i="4"/>
  <c r="AD116" i="4"/>
  <c r="AC117" i="4"/>
  <c r="AA109" i="4"/>
  <c r="AA110" i="4"/>
  <c r="AA111" i="4"/>
  <c r="AA112" i="4"/>
  <c r="AA113" i="4"/>
  <c r="AA114" i="4"/>
  <c r="AA115" i="4"/>
  <c r="AA116" i="4"/>
  <c r="AA117" i="4"/>
  <c r="AH123" i="4"/>
  <c r="M123" i="4"/>
  <c r="G123" i="4"/>
  <c r="AH122" i="4"/>
  <c r="M122" i="4"/>
  <c r="G122" i="4"/>
  <c r="AH121" i="4"/>
  <c r="M121" i="4"/>
  <c r="G121" i="4"/>
  <c r="AH120" i="4"/>
  <c r="M120" i="4"/>
  <c r="G120" i="4"/>
  <c r="AH119" i="4"/>
  <c r="M119" i="4"/>
  <c r="G119" i="4"/>
  <c r="AH118" i="4"/>
  <c r="M118" i="4"/>
  <c r="G118" i="4"/>
  <c r="AH117" i="4"/>
  <c r="M117" i="4"/>
  <c r="G117" i="4"/>
  <c r="AH116" i="4"/>
  <c r="M116" i="4"/>
  <c r="G116" i="4"/>
  <c r="AH115" i="4"/>
  <c r="M115" i="4"/>
  <c r="G115" i="4"/>
  <c r="AH114" i="4"/>
  <c r="M114" i="4"/>
  <c r="G114" i="4"/>
  <c r="AH113" i="4"/>
  <c r="M113" i="4"/>
  <c r="G113" i="4"/>
  <c r="AH112" i="4"/>
  <c r="M112" i="4"/>
  <c r="G112" i="4"/>
  <c r="AH111" i="4"/>
  <c r="AD111" i="4"/>
  <c r="AC111" i="4"/>
  <c r="AB111" i="4"/>
  <c r="M111" i="4"/>
  <c r="G111" i="4"/>
  <c r="AH110" i="4"/>
  <c r="M110" i="4"/>
  <c r="G110" i="4"/>
  <c r="AH109" i="4"/>
  <c r="M109" i="4"/>
  <c r="G109" i="4"/>
  <c r="G10" i="6"/>
  <c r="I10" i="6"/>
  <c r="F11" i="1"/>
  <c r="AB11" i="1"/>
  <c r="AC11" i="1"/>
  <c r="AD11" i="1"/>
  <c r="AF11" i="1"/>
  <c r="AG11" i="1" s="1"/>
  <c r="AH11" i="1"/>
  <c r="AC94" i="4"/>
  <c r="AC95" i="4"/>
  <c r="AD96" i="4"/>
  <c r="AB97" i="4"/>
  <c r="AC98" i="4"/>
  <c r="AD99" i="4"/>
  <c r="AB100" i="4"/>
  <c r="AA101" i="4"/>
  <c r="AC102" i="4"/>
  <c r="AA94" i="4"/>
  <c r="AA95" i="4"/>
  <c r="AA96" i="4"/>
  <c r="AA97" i="4"/>
  <c r="AA98" i="4"/>
  <c r="AA99" i="4"/>
  <c r="AA100" i="4"/>
  <c r="AA102" i="4"/>
  <c r="AH108" i="4"/>
  <c r="M108" i="4"/>
  <c r="G108" i="4"/>
  <c r="AH107" i="4"/>
  <c r="M107" i="4"/>
  <c r="G107" i="4"/>
  <c r="AH106" i="4"/>
  <c r="M106" i="4"/>
  <c r="G106" i="4"/>
  <c r="AH105" i="4"/>
  <c r="M105" i="4"/>
  <c r="G105" i="4"/>
  <c r="AH104" i="4"/>
  <c r="M104" i="4"/>
  <c r="G104" i="4"/>
  <c r="AH103" i="4"/>
  <c r="M103" i="4"/>
  <c r="G103" i="4"/>
  <c r="AH102" i="4"/>
  <c r="AD102" i="4"/>
  <c r="M102" i="4"/>
  <c r="G102" i="4"/>
  <c r="AH101" i="4"/>
  <c r="M101" i="4"/>
  <c r="G101" i="4"/>
  <c r="AH100" i="4"/>
  <c r="M100" i="4"/>
  <c r="G100" i="4"/>
  <c r="AH99" i="4"/>
  <c r="M99" i="4"/>
  <c r="G99" i="4"/>
  <c r="AH98" i="4"/>
  <c r="M98" i="4"/>
  <c r="G98" i="4"/>
  <c r="AH97" i="4"/>
  <c r="M97" i="4"/>
  <c r="G97" i="4"/>
  <c r="AH96" i="4"/>
  <c r="M96" i="4"/>
  <c r="G96" i="4"/>
  <c r="AH95" i="4"/>
  <c r="M95" i="4"/>
  <c r="G95" i="4"/>
  <c r="AH94" i="4"/>
  <c r="M94" i="4"/>
  <c r="G94" i="4"/>
  <c r="G9" i="6"/>
  <c r="I9" i="6"/>
  <c r="F10" i="1"/>
  <c r="AB10" i="1"/>
  <c r="AC10" i="1"/>
  <c r="AD10" i="1"/>
  <c r="AF10" i="1"/>
  <c r="AG10" i="1" s="1"/>
  <c r="AH10" i="1"/>
  <c r="G9" i="14"/>
  <c r="Q9" i="14"/>
  <c r="AB79" i="4"/>
  <c r="AD80" i="4"/>
  <c r="AD86" i="4"/>
  <c r="AA79" i="4"/>
  <c r="AA80" i="4"/>
  <c r="AA85" i="4"/>
  <c r="AH93" i="4"/>
  <c r="M93" i="4"/>
  <c r="G93" i="4"/>
  <c r="AH92" i="4"/>
  <c r="M92" i="4"/>
  <c r="G92" i="4"/>
  <c r="AH91" i="4"/>
  <c r="M91" i="4"/>
  <c r="G91" i="4"/>
  <c r="AH90" i="4"/>
  <c r="M90" i="4"/>
  <c r="G90" i="4"/>
  <c r="AH89" i="4"/>
  <c r="M89" i="4"/>
  <c r="G89" i="4"/>
  <c r="AH88" i="4"/>
  <c r="M88" i="4"/>
  <c r="G88" i="4"/>
  <c r="AH87" i="4"/>
  <c r="AD87" i="4"/>
  <c r="AC87" i="4"/>
  <c r="AB87" i="4"/>
  <c r="AA87" i="4"/>
  <c r="M87" i="4"/>
  <c r="G87" i="4"/>
  <c r="AH86" i="4"/>
  <c r="M86" i="4"/>
  <c r="G86" i="4"/>
  <c r="AH85" i="4"/>
  <c r="AD85" i="4"/>
  <c r="AC85" i="4"/>
  <c r="AB85" i="4"/>
  <c r="M85" i="4"/>
  <c r="G85" i="4"/>
  <c r="AH84" i="4"/>
  <c r="AD84" i="4"/>
  <c r="AC84" i="4"/>
  <c r="AB84" i="4"/>
  <c r="AA84" i="4"/>
  <c r="M84" i="4"/>
  <c r="G84" i="4"/>
  <c r="AH83" i="4"/>
  <c r="AD83" i="4"/>
  <c r="AC83" i="4"/>
  <c r="AB83" i="4"/>
  <c r="AA83" i="4"/>
  <c r="M83" i="4"/>
  <c r="G83" i="4"/>
  <c r="AH82" i="4"/>
  <c r="AD82" i="4"/>
  <c r="AC82" i="4"/>
  <c r="AB82" i="4"/>
  <c r="AA82" i="4"/>
  <c r="M82" i="4"/>
  <c r="G82" i="4"/>
  <c r="AH81" i="4"/>
  <c r="AD81" i="4"/>
  <c r="AC81" i="4"/>
  <c r="AB81" i="4"/>
  <c r="AA81" i="4"/>
  <c r="M81" i="4"/>
  <c r="G81" i="4"/>
  <c r="AH80" i="4"/>
  <c r="M80" i="4"/>
  <c r="G80" i="4"/>
  <c r="AH79" i="4"/>
  <c r="M79" i="4"/>
  <c r="G79" i="4"/>
  <c r="G8" i="6"/>
  <c r="I8" i="6"/>
  <c r="F9" i="1"/>
  <c r="AB9" i="1"/>
  <c r="AC9" i="1"/>
  <c r="AD9" i="1"/>
  <c r="AF9" i="1"/>
  <c r="AG9" i="1" s="1"/>
  <c r="AH9" i="1"/>
  <c r="G7" i="6"/>
  <c r="I7" i="6"/>
  <c r="G8" i="14"/>
  <c r="Q8" i="14"/>
  <c r="AC64" i="4"/>
  <c r="AD65" i="4"/>
  <c r="AC66" i="4"/>
  <c r="AD67" i="4"/>
  <c r="AC68" i="4"/>
  <c r="AD69" i="4"/>
  <c r="AD70" i="4"/>
  <c r="AD71" i="4"/>
  <c r="AB72" i="4"/>
  <c r="AA64" i="4"/>
  <c r="AA65" i="4"/>
  <c r="AA66" i="4"/>
  <c r="AA67" i="4"/>
  <c r="AA68" i="4"/>
  <c r="AA70" i="4"/>
  <c r="AA71" i="4"/>
  <c r="AA72" i="4"/>
  <c r="AH78" i="4"/>
  <c r="M78" i="4"/>
  <c r="G78" i="4"/>
  <c r="AH77" i="4"/>
  <c r="M77" i="4"/>
  <c r="G77" i="4"/>
  <c r="AH76" i="4"/>
  <c r="M76" i="4"/>
  <c r="G76" i="4"/>
  <c r="AH75" i="4"/>
  <c r="M75" i="4"/>
  <c r="G75" i="4"/>
  <c r="AH74" i="4"/>
  <c r="M74" i="4"/>
  <c r="G74" i="4"/>
  <c r="AH73" i="4"/>
  <c r="M73" i="4"/>
  <c r="G73" i="4"/>
  <c r="AH72" i="4"/>
  <c r="M72" i="4"/>
  <c r="G72" i="4"/>
  <c r="AH71" i="4"/>
  <c r="M71" i="4"/>
  <c r="G71" i="4"/>
  <c r="AH70" i="4"/>
  <c r="M70" i="4"/>
  <c r="G70" i="4"/>
  <c r="AH69" i="4"/>
  <c r="AA69" i="4"/>
  <c r="M69" i="4"/>
  <c r="G69" i="4"/>
  <c r="AH68" i="4"/>
  <c r="M68" i="4"/>
  <c r="G68" i="4"/>
  <c r="AH67" i="4"/>
  <c r="M67" i="4"/>
  <c r="G67" i="4"/>
  <c r="AH66" i="4"/>
  <c r="M66" i="4"/>
  <c r="G66" i="4"/>
  <c r="AH65" i="4"/>
  <c r="M65" i="4"/>
  <c r="G65" i="4"/>
  <c r="AH64" i="4"/>
  <c r="M64" i="4"/>
  <c r="G64" i="4"/>
  <c r="F8" i="1"/>
  <c r="AB8" i="1"/>
  <c r="AC8" i="1"/>
  <c r="AD8" i="1"/>
  <c r="AF8" i="1"/>
  <c r="AG8" i="1" s="1"/>
  <c r="AH8" i="1"/>
  <c r="O10" i="12"/>
  <c r="O11" i="12"/>
  <c r="O12" i="12"/>
  <c r="O13" i="12"/>
  <c r="O14" i="12"/>
  <c r="O15" i="12"/>
  <c r="O16" i="12"/>
  <c r="O17" i="12"/>
  <c r="O18" i="12"/>
  <c r="O19" i="12"/>
  <c r="O20" i="12"/>
  <c r="O21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AC7" i="1"/>
  <c r="AF7" i="1"/>
  <c r="AD7" i="1"/>
  <c r="G7" i="14"/>
  <c r="Q7" i="14"/>
  <c r="G6" i="14"/>
  <c r="Q6" i="14"/>
  <c r="G5" i="14"/>
  <c r="Q5" i="14"/>
  <c r="G4" i="14"/>
  <c r="Q4" i="14"/>
  <c r="G3" i="14"/>
  <c r="Q3" i="14"/>
  <c r="X3" i="11"/>
  <c r="Y3" i="11"/>
  <c r="W3" i="11"/>
  <c r="P3" i="11"/>
  <c r="AB3" i="11" s="1"/>
  <c r="M3" i="11"/>
  <c r="AD3" i="11" s="1"/>
  <c r="G3" i="11"/>
  <c r="H6" i="15" l="1"/>
  <c r="B5" i="15"/>
  <c r="C5" i="15"/>
  <c r="AI116" i="4"/>
  <c r="AI112" i="4"/>
  <c r="AI126" i="4"/>
  <c r="AI131" i="4"/>
  <c r="AI102" i="4"/>
  <c r="AI128" i="4"/>
  <c r="AI127" i="4"/>
  <c r="AE9" i="1"/>
  <c r="AE12" i="1"/>
  <c r="AB132" i="4"/>
  <c r="AD132" i="4"/>
  <c r="AI132" i="4" s="1"/>
  <c r="AD130" i="4"/>
  <c r="AI130" i="4" s="1"/>
  <c r="AC130" i="4"/>
  <c r="AD129" i="4"/>
  <c r="AI129" i="4" s="1"/>
  <c r="AC129" i="4"/>
  <c r="AB128" i="4"/>
  <c r="AC128" i="4"/>
  <c r="AB127" i="4"/>
  <c r="AC127" i="4"/>
  <c r="AB126" i="4"/>
  <c r="AC126" i="4"/>
  <c r="AD125" i="4"/>
  <c r="AI125" i="4" s="1"/>
  <c r="AC125" i="4"/>
  <c r="AD124" i="4"/>
  <c r="AI124" i="4" s="1"/>
  <c r="AC124" i="4"/>
  <c r="AB131" i="4"/>
  <c r="AI96" i="4"/>
  <c r="AC131" i="4"/>
  <c r="AI111" i="4"/>
  <c r="AI114" i="4"/>
  <c r="AI113" i="4"/>
  <c r="AE10" i="1"/>
  <c r="AE11" i="1"/>
  <c r="AB117" i="4"/>
  <c r="AD117" i="4"/>
  <c r="AI117" i="4" s="1"/>
  <c r="AC116" i="4"/>
  <c r="AC115" i="4"/>
  <c r="AD115" i="4"/>
  <c r="AI115" i="4" s="1"/>
  <c r="AC114" i="4"/>
  <c r="AB114" i="4"/>
  <c r="AB113" i="4"/>
  <c r="AC113" i="4"/>
  <c r="AB112" i="4"/>
  <c r="AC112" i="4"/>
  <c r="AC110" i="4"/>
  <c r="AD110" i="4"/>
  <c r="AI110" i="4" s="1"/>
  <c r="AC109" i="4"/>
  <c r="AD109" i="4"/>
  <c r="AI109" i="4" s="1"/>
  <c r="AI82" i="4"/>
  <c r="AB116" i="4"/>
  <c r="AI83" i="4"/>
  <c r="AI81" i="4"/>
  <c r="AI86" i="4"/>
  <c r="AB102" i="4"/>
  <c r="AC100" i="4"/>
  <c r="AD100" i="4"/>
  <c r="AI100" i="4" s="1"/>
  <c r="AI99" i="4"/>
  <c r="AB99" i="4"/>
  <c r="AC99" i="4"/>
  <c r="AB98" i="4"/>
  <c r="AD98" i="4"/>
  <c r="AI98" i="4" s="1"/>
  <c r="AD97" i="4"/>
  <c r="AI97" i="4" s="1"/>
  <c r="AC97" i="4"/>
  <c r="AB96" i="4"/>
  <c r="AC96" i="4"/>
  <c r="AD95" i="4"/>
  <c r="AI95" i="4" s="1"/>
  <c r="AB95" i="4"/>
  <c r="AB94" i="4"/>
  <c r="AD94" i="4"/>
  <c r="AI94" i="4" s="1"/>
  <c r="AB101" i="4"/>
  <c r="AC101" i="4"/>
  <c r="AD101" i="4"/>
  <c r="AI101" i="4" s="1"/>
  <c r="AI87" i="4"/>
  <c r="AI80" i="4"/>
  <c r="AI85" i="4"/>
  <c r="AE8" i="1"/>
  <c r="AI84" i="4"/>
  <c r="AA86" i="4"/>
  <c r="AB86" i="4"/>
  <c r="AC86" i="4"/>
  <c r="AB80" i="4"/>
  <c r="AC80" i="4"/>
  <c r="AC79" i="4"/>
  <c r="AD79" i="4"/>
  <c r="AI79" i="4" s="1"/>
  <c r="AI70" i="4"/>
  <c r="AI69" i="4"/>
  <c r="AI67" i="4"/>
  <c r="AI65" i="4"/>
  <c r="AI71" i="4"/>
  <c r="AC72" i="4"/>
  <c r="AD72" i="4"/>
  <c r="AI72" i="4" s="1"/>
  <c r="AB69" i="4"/>
  <c r="AC69" i="4"/>
  <c r="AD68" i="4"/>
  <c r="AI68" i="4" s="1"/>
  <c r="AB68" i="4"/>
  <c r="AB67" i="4"/>
  <c r="AC67" i="4"/>
  <c r="AB66" i="4"/>
  <c r="AD66" i="4"/>
  <c r="AI66" i="4" s="1"/>
  <c r="AC65" i="4"/>
  <c r="AB65" i="4"/>
  <c r="AB64" i="4"/>
  <c r="AD64" i="4"/>
  <c r="AI64" i="4" s="1"/>
  <c r="AB71" i="4"/>
  <c r="AC71" i="4"/>
  <c r="AB70" i="4"/>
  <c r="AC70" i="4"/>
  <c r="AE7" i="1"/>
  <c r="H7" i="15" l="1"/>
  <c r="B6" i="15"/>
  <c r="C6" i="15"/>
  <c r="F7" i="1"/>
  <c r="AB7" i="1"/>
  <c r="AG7" i="1"/>
  <c r="AH7" i="1"/>
  <c r="H8" i="15" l="1"/>
  <c r="B7" i="15"/>
  <c r="C7" i="15"/>
  <c r="AH63" i="4"/>
  <c r="M63" i="4"/>
  <c r="G63" i="4"/>
  <c r="AH62" i="4"/>
  <c r="M62" i="4"/>
  <c r="G62" i="4"/>
  <c r="AH61" i="4"/>
  <c r="M61" i="4"/>
  <c r="G61" i="4"/>
  <c r="AH60" i="4"/>
  <c r="M60" i="4"/>
  <c r="G60" i="4"/>
  <c r="AH59" i="4"/>
  <c r="M59" i="4"/>
  <c r="G59" i="4"/>
  <c r="AH58" i="4"/>
  <c r="M58" i="4"/>
  <c r="G58" i="4"/>
  <c r="AH57" i="4"/>
  <c r="M57" i="4"/>
  <c r="G57" i="4"/>
  <c r="AH56" i="4"/>
  <c r="M56" i="4"/>
  <c r="G56" i="4"/>
  <c r="AH55" i="4"/>
  <c r="M55" i="4"/>
  <c r="G55" i="4"/>
  <c r="AH54" i="4"/>
  <c r="M54" i="4"/>
  <c r="G54" i="4"/>
  <c r="AH53" i="4"/>
  <c r="M53" i="4"/>
  <c r="G53" i="4"/>
  <c r="AH52" i="4"/>
  <c r="M52" i="4"/>
  <c r="G52" i="4"/>
  <c r="AH51" i="4"/>
  <c r="M51" i="4"/>
  <c r="G51" i="4"/>
  <c r="AH50" i="4"/>
  <c r="M50" i="4"/>
  <c r="G50" i="4"/>
  <c r="AH49" i="4"/>
  <c r="M49" i="4"/>
  <c r="G49" i="4"/>
  <c r="AH48" i="4"/>
  <c r="M48" i="4"/>
  <c r="G48" i="4"/>
  <c r="AH47" i="4"/>
  <c r="M47" i="4"/>
  <c r="G47" i="4"/>
  <c r="AH46" i="4"/>
  <c r="M46" i="4"/>
  <c r="G46" i="4"/>
  <c r="AH45" i="4"/>
  <c r="M45" i="4"/>
  <c r="G45" i="4"/>
  <c r="AH44" i="4"/>
  <c r="M44" i="4"/>
  <c r="G44" i="4"/>
  <c r="AH43" i="4"/>
  <c r="M43" i="4"/>
  <c r="G43" i="4"/>
  <c r="AH42" i="4"/>
  <c r="M42" i="4"/>
  <c r="G42" i="4"/>
  <c r="AH41" i="4"/>
  <c r="M41" i="4"/>
  <c r="G41" i="4"/>
  <c r="AH40" i="4"/>
  <c r="M40" i="4"/>
  <c r="G40" i="4"/>
  <c r="AH39" i="4"/>
  <c r="M39" i="4"/>
  <c r="G39" i="4"/>
  <c r="AH38" i="4"/>
  <c r="M38" i="4"/>
  <c r="G38" i="4"/>
  <c r="AH37" i="4"/>
  <c r="M37" i="4"/>
  <c r="G37" i="4"/>
  <c r="AH36" i="4"/>
  <c r="M36" i="4"/>
  <c r="G36" i="4"/>
  <c r="AH35" i="4"/>
  <c r="M35" i="4"/>
  <c r="G35" i="4"/>
  <c r="AH34" i="4"/>
  <c r="M34" i="4"/>
  <c r="G34" i="4"/>
  <c r="AH33" i="4"/>
  <c r="M33" i="4"/>
  <c r="G33" i="4"/>
  <c r="AH32" i="4"/>
  <c r="M32" i="4"/>
  <c r="G32" i="4"/>
  <c r="AH31" i="4"/>
  <c r="M31" i="4"/>
  <c r="G31" i="4"/>
  <c r="AH30" i="4"/>
  <c r="M30" i="4"/>
  <c r="G30" i="4"/>
  <c r="AH29" i="4"/>
  <c r="M29" i="4"/>
  <c r="G29" i="4"/>
  <c r="AH28" i="4"/>
  <c r="M28" i="4"/>
  <c r="G28" i="4"/>
  <c r="AH27" i="4"/>
  <c r="M27" i="4"/>
  <c r="G27" i="4"/>
  <c r="AH26" i="4"/>
  <c r="M26" i="4"/>
  <c r="G26" i="4"/>
  <c r="AH25" i="4"/>
  <c r="M25" i="4"/>
  <c r="G25" i="4"/>
  <c r="AH24" i="4"/>
  <c r="M24" i="4"/>
  <c r="G24" i="4"/>
  <c r="AH23" i="4"/>
  <c r="M23" i="4"/>
  <c r="G23" i="4"/>
  <c r="AH22" i="4"/>
  <c r="M22" i="4"/>
  <c r="G22" i="4"/>
  <c r="AH21" i="4"/>
  <c r="M21" i="4"/>
  <c r="G21" i="4"/>
  <c r="AH20" i="4"/>
  <c r="M20" i="4"/>
  <c r="G20" i="4"/>
  <c r="AH19" i="4"/>
  <c r="M19" i="4"/>
  <c r="G19" i="4"/>
  <c r="AH18" i="4"/>
  <c r="M18" i="4"/>
  <c r="G18" i="4"/>
  <c r="AH17" i="4"/>
  <c r="M17" i="4"/>
  <c r="G17" i="4"/>
  <c r="AH16" i="4"/>
  <c r="M16" i="4"/>
  <c r="G16" i="4"/>
  <c r="AH15" i="4"/>
  <c r="M15" i="4"/>
  <c r="G15" i="4"/>
  <c r="AH14" i="4"/>
  <c r="M14" i="4"/>
  <c r="G14" i="4"/>
  <c r="AH13" i="4"/>
  <c r="M13" i="4"/>
  <c r="G13" i="4"/>
  <c r="AH12" i="4"/>
  <c r="M12" i="4"/>
  <c r="G12" i="4"/>
  <c r="AH11" i="4"/>
  <c r="M11" i="4"/>
  <c r="G11" i="4"/>
  <c r="AH10" i="4"/>
  <c r="M10" i="4"/>
  <c r="G10" i="4"/>
  <c r="AH9" i="4"/>
  <c r="M9" i="4"/>
  <c r="G9" i="4"/>
  <c r="AH8" i="4"/>
  <c r="M8" i="4"/>
  <c r="G8" i="4"/>
  <c r="AH7" i="4"/>
  <c r="M7" i="4"/>
  <c r="G7" i="4"/>
  <c r="AH6" i="4"/>
  <c r="M6" i="4"/>
  <c r="G6" i="4"/>
  <c r="AH5" i="4"/>
  <c r="M5" i="4"/>
  <c r="G5" i="4"/>
  <c r="AH4" i="4"/>
  <c r="M4" i="4"/>
  <c r="G4" i="4"/>
  <c r="H3" i="7"/>
  <c r="C3" i="7" s="1"/>
  <c r="C2" i="7"/>
  <c r="F2" i="7"/>
  <c r="G2" i="7" s="1"/>
  <c r="G6" i="6"/>
  <c r="I6" i="6"/>
  <c r="G5" i="6"/>
  <c r="I5" i="6"/>
  <c r="G4" i="6"/>
  <c r="I4" i="6"/>
  <c r="G3" i="6"/>
  <c r="I3" i="6"/>
  <c r="H9" i="15" l="1"/>
  <c r="C8" i="15"/>
  <c r="B8" i="15"/>
  <c r="F3" i="7"/>
  <c r="G3" i="7" s="1"/>
  <c r="H4" i="7"/>
  <c r="F4" i="7" s="1"/>
  <c r="G4" i="7" s="1"/>
  <c r="C4" i="7"/>
  <c r="F6" i="1"/>
  <c r="AB6" i="1"/>
  <c r="AC6" i="1"/>
  <c r="AD6" i="1"/>
  <c r="AF6" i="1"/>
  <c r="AG6" i="1" s="1"/>
  <c r="AH6" i="1"/>
  <c r="F5" i="1"/>
  <c r="AB5" i="1"/>
  <c r="AC5" i="1"/>
  <c r="AD5" i="1"/>
  <c r="AF5" i="1"/>
  <c r="AG5" i="1" s="1"/>
  <c r="AH5" i="1"/>
  <c r="F4" i="1"/>
  <c r="AB4" i="1"/>
  <c r="AC4" i="1"/>
  <c r="AD4" i="1"/>
  <c r="AF4" i="1"/>
  <c r="AG4" i="1" s="1"/>
  <c r="AH4" i="1"/>
  <c r="C28" i="13"/>
  <c r="C29" i="13"/>
  <c r="C27" i="13"/>
  <c r="C26" i="13"/>
  <c r="C25" i="13"/>
  <c r="C23" i="13"/>
  <c r="C22" i="13"/>
  <c r="O11" i="10"/>
  <c r="M11" i="10"/>
  <c r="K11" i="10"/>
  <c r="O4" i="10"/>
  <c r="M4" i="10"/>
  <c r="K4" i="10"/>
  <c r="K15" i="19"/>
  <c r="K27" i="19" s="1"/>
  <c r="K39" i="19" s="1"/>
  <c r="K16" i="19"/>
  <c r="K28" i="19" s="1"/>
  <c r="K40" i="19" s="1"/>
  <c r="K17" i="19"/>
  <c r="K29" i="19" s="1"/>
  <c r="K41" i="19" s="1"/>
  <c r="K18" i="19"/>
  <c r="K30" i="19" s="1"/>
  <c r="K42" i="19" s="1"/>
  <c r="K19" i="19"/>
  <c r="K31" i="19" s="1"/>
  <c r="K43" i="19" s="1"/>
  <c r="K20" i="19"/>
  <c r="K32" i="19" s="1"/>
  <c r="K44" i="19" s="1"/>
  <c r="K21" i="19"/>
  <c r="K33" i="19" s="1"/>
  <c r="K45" i="19" s="1"/>
  <c r="K22" i="19"/>
  <c r="K34" i="19" s="1"/>
  <c r="K46" i="19" s="1"/>
  <c r="K23" i="19"/>
  <c r="K35" i="19" s="1"/>
  <c r="K47" i="19" s="1"/>
  <c r="K24" i="19"/>
  <c r="K25" i="19"/>
  <c r="K37" i="19" s="1"/>
  <c r="K49" i="19" s="1"/>
  <c r="K36" i="19"/>
  <c r="K48" i="19" s="1"/>
  <c r="K14" i="19"/>
  <c r="K26" i="19" s="1"/>
  <c r="K38" i="19" s="1"/>
  <c r="I15" i="19"/>
  <c r="I16" i="19"/>
  <c r="I28" i="19" s="1"/>
  <c r="I40" i="19" s="1"/>
  <c r="I17" i="19"/>
  <c r="I29" i="19" s="1"/>
  <c r="I41" i="19" s="1"/>
  <c r="I18" i="19"/>
  <c r="I19" i="19"/>
  <c r="I31" i="19" s="1"/>
  <c r="I43" i="19" s="1"/>
  <c r="I20" i="19"/>
  <c r="I21" i="19"/>
  <c r="I33" i="19" s="1"/>
  <c r="I45" i="19" s="1"/>
  <c r="I22" i="19"/>
  <c r="I34" i="19" s="1"/>
  <c r="I46" i="19" s="1"/>
  <c r="I23" i="19"/>
  <c r="I35" i="19" s="1"/>
  <c r="I47" i="19" s="1"/>
  <c r="I24" i="19"/>
  <c r="I36" i="19" s="1"/>
  <c r="I48" i="19" s="1"/>
  <c r="I25" i="19"/>
  <c r="I37" i="19" s="1"/>
  <c r="I49" i="19" s="1"/>
  <c r="I27" i="19"/>
  <c r="I39" i="19" s="1"/>
  <c r="I30" i="19"/>
  <c r="I42" i="19" s="1"/>
  <c r="I32" i="19"/>
  <c r="I44" i="19" s="1"/>
  <c r="I14" i="19"/>
  <c r="I26" i="19" s="1"/>
  <c r="I38" i="19" s="1"/>
  <c r="H15" i="19"/>
  <c r="H27" i="19" s="1"/>
  <c r="H39" i="19" s="1"/>
  <c r="H16" i="19"/>
  <c r="H28" i="19" s="1"/>
  <c r="H40" i="19" s="1"/>
  <c r="H17" i="19"/>
  <c r="H18" i="19"/>
  <c r="H30" i="19" s="1"/>
  <c r="H42" i="19" s="1"/>
  <c r="H19" i="19"/>
  <c r="H31" i="19" s="1"/>
  <c r="H43" i="19" s="1"/>
  <c r="H20" i="19"/>
  <c r="H32" i="19" s="1"/>
  <c r="H44" i="19" s="1"/>
  <c r="H21" i="19"/>
  <c r="H33" i="19" s="1"/>
  <c r="H45" i="19" s="1"/>
  <c r="H22" i="19"/>
  <c r="H34" i="19" s="1"/>
  <c r="H46" i="19" s="1"/>
  <c r="H23" i="19"/>
  <c r="H35" i="19" s="1"/>
  <c r="H47" i="19" s="1"/>
  <c r="H24" i="19"/>
  <c r="H36" i="19" s="1"/>
  <c r="H48" i="19" s="1"/>
  <c r="H25" i="19"/>
  <c r="H37" i="19" s="1"/>
  <c r="H49" i="19" s="1"/>
  <c r="H29" i="19"/>
  <c r="H41" i="19" s="1"/>
  <c r="H14" i="19"/>
  <c r="H26" i="19" s="1"/>
  <c r="H38" i="19" s="1"/>
  <c r="H10" i="15" l="1"/>
  <c r="B9" i="15"/>
  <c r="C9" i="15"/>
  <c r="H5" i="7"/>
  <c r="H6" i="7"/>
  <c r="C5" i="7"/>
  <c r="F5" i="7"/>
  <c r="G5" i="7" s="1"/>
  <c r="AE5" i="1"/>
  <c r="AE6" i="1"/>
  <c r="AE4" i="1"/>
  <c r="E44" i="19"/>
  <c r="E45" i="19"/>
  <c r="E46" i="19"/>
  <c r="E47" i="19"/>
  <c r="E48" i="19"/>
  <c r="E49" i="19"/>
  <c r="G44" i="19"/>
  <c r="P44" i="19" s="1"/>
  <c r="G45" i="19"/>
  <c r="P45" i="19" s="1"/>
  <c r="G46" i="19"/>
  <c r="P46" i="19" s="1"/>
  <c r="G47" i="19"/>
  <c r="T47" i="19" s="1"/>
  <c r="G48" i="19"/>
  <c r="G49" i="19"/>
  <c r="O44" i="19"/>
  <c r="O45" i="19"/>
  <c r="O46" i="19"/>
  <c r="O47" i="19"/>
  <c r="O48" i="19"/>
  <c r="O49" i="19"/>
  <c r="E35" i="19"/>
  <c r="E36" i="19"/>
  <c r="E37" i="19"/>
  <c r="E38" i="19"/>
  <c r="E39" i="19"/>
  <c r="E40" i="19"/>
  <c r="E41" i="19"/>
  <c r="E42" i="19"/>
  <c r="E43" i="19"/>
  <c r="G35" i="19"/>
  <c r="G36" i="19"/>
  <c r="G37" i="19"/>
  <c r="G38" i="19"/>
  <c r="T38" i="19" s="1"/>
  <c r="G39" i="19"/>
  <c r="P39" i="19" s="1"/>
  <c r="G40" i="19"/>
  <c r="T40" i="19" s="1"/>
  <c r="G41" i="19"/>
  <c r="P41" i="19" s="1"/>
  <c r="G42" i="19"/>
  <c r="G43" i="19"/>
  <c r="P43" i="19" s="1"/>
  <c r="O35" i="19"/>
  <c r="O36" i="19"/>
  <c r="O37" i="19"/>
  <c r="O38" i="19"/>
  <c r="O39" i="19"/>
  <c r="O40" i="19"/>
  <c r="O41" i="19"/>
  <c r="O42" i="19"/>
  <c r="O43" i="19"/>
  <c r="P38" i="19"/>
  <c r="P42" i="19"/>
  <c r="T42" i="19"/>
  <c r="E30" i="19"/>
  <c r="E31" i="19"/>
  <c r="E32" i="19"/>
  <c r="E33" i="19"/>
  <c r="E34" i="19"/>
  <c r="G30" i="19"/>
  <c r="T30" i="19" s="1"/>
  <c r="G31" i="19"/>
  <c r="T31" i="19" s="1"/>
  <c r="G32" i="19"/>
  <c r="T32" i="19" s="1"/>
  <c r="G33" i="19"/>
  <c r="P33" i="19" s="1"/>
  <c r="G34" i="19"/>
  <c r="O30" i="19"/>
  <c r="O31" i="19"/>
  <c r="O32" i="19"/>
  <c r="O33" i="19"/>
  <c r="O34" i="19"/>
  <c r="C15" i="19"/>
  <c r="C27" i="19" s="1"/>
  <c r="C39" i="19" s="1"/>
  <c r="C16" i="19"/>
  <c r="C28" i="19" s="1"/>
  <c r="C40" i="19" s="1"/>
  <c r="C17" i="19"/>
  <c r="C29" i="19" s="1"/>
  <c r="C41" i="19" s="1"/>
  <c r="C18" i="19"/>
  <c r="C30" i="19" s="1"/>
  <c r="C42" i="19" s="1"/>
  <c r="C19" i="19"/>
  <c r="C31" i="19" s="1"/>
  <c r="C43" i="19" s="1"/>
  <c r="C20" i="19"/>
  <c r="C32" i="19" s="1"/>
  <c r="C44" i="19" s="1"/>
  <c r="C21" i="19"/>
  <c r="C33" i="19" s="1"/>
  <c r="C45" i="19" s="1"/>
  <c r="C22" i="19"/>
  <c r="C34" i="19" s="1"/>
  <c r="C46" i="19" s="1"/>
  <c r="C23" i="19"/>
  <c r="C35" i="19" s="1"/>
  <c r="C47" i="19" s="1"/>
  <c r="C24" i="19"/>
  <c r="C36" i="19" s="1"/>
  <c r="C48" i="19" s="1"/>
  <c r="C25" i="19"/>
  <c r="C37" i="19" s="1"/>
  <c r="C49" i="19" s="1"/>
  <c r="C14" i="19"/>
  <c r="C26" i="19" s="1"/>
  <c r="C38" i="19" s="1"/>
  <c r="B15" i="19"/>
  <c r="B27" i="19" s="1"/>
  <c r="B39" i="19" s="1"/>
  <c r="B16" i="19"/>
  <c r="B28" i="19" s="1"/>
  <c r="B40" i="19" s="1"/>
  <c r="B17" i="19"/>
  <c r="B29" i="19" s="1"/>
  <c r="B41" i="19" s="1"/>
  <c r="B18" i="19"/>
  <c r="B30" i="19" s="1"/>
  <c r="B42" i="19" s="1"/>
  <c r="B19" i="19"/>
  <c r="B31" i="19" s="1"/>
  <c r="B43" i="19" s="1"/>
  <c r="B20" i="19"/>
  <c r="B32" i="19" s="1"/>
  <c r="B44" i="19" s="1"/>
  <c r="B21" i="19"/>
  <c r="B33" i="19" s="1"/>
  <c r="B45" i="19" s="1"/>
  <c r="B22" i="19"/>
  <c r="B34" i="19" s="1"/>
  <c r="B46" i="19" s="1"/>
  <c r="B23" i="19"/>
  <c r="B35" i="19" s="1"/>
  <c r="B47" i="19" s="1"/>
  <c r="B24" i="19"/>
  <c r="B36" i="19" s="1"/>
  <c r="B48" i="19" s="1"/>
  <c r="B25" i="19"/>
  <c r="B37" i="19" s="1"/>
  <c r="B49" i="19" s="1"/>
  <c r="B14" i="19"/>
  <c r="B26" i="19" s="1"/>
  <c r="B38" i="19" s="1"/>
  <c r="O29" i="19"/>
  <c r="G29" i="19"/>
  <c r="O28" i="19"/>
  <c r="G28" i="19"/>
  <c r="O27" i="19"/>
  <c r="G27" i="19"/>
  <c r="T27" i="19" s="1"/>
  <c r="O26" i="19"/>
  <c r="G26" i="19"/>
  <c r="P26" i="19" s="1"/>
  <c r="O25" i="19"/>
  <c r="G25" i="19"/>
  <c r="T25" i="19" s="1"/>
  <c r="O24" i="19"/>
  <c r="G24" i="19"/>
  <c r="P24" i="19" s="1"/>
  <c r="O23" i="19"/>
  <c r="G23" i="19"/>
  <c r="P23" i="19" s="1"/>
  <c r="O22" i="19"/>
  <c r="G22" i="19"/>
  <c r="O21" i="19"/>
  <c r="G21" i="19"/>
  <c r="O20" i="19"/>
  <c r="G20" i="19"/>
  <c r="P20" i="19" s="1"/>
  <c r="O19" i="19"/>
  <c r="G19" i="19"/>
  <c r="O18" i="19"/>
  <c r="G18" i="19"/>
  <c r="O17" i="19"/>
  <c r="G17" i="19"/>
  <c r="T17" i="19" s="1"/>
  <c r="E17" i="19"/>
  <c r="O16" i="19"/>
  <c r="G16" i="19"/>
  <c r="T16" i="19" s="1"/>
  <c r="E16" i="19"/>
  <c r="O15" i="19"/>
  <c r="G15" i="19"/>
  <c r="E15" i="19"/>
  <c r="O14" i="19"/>
  <c r="G14" i="19"/>
  <c r="T14" i="19" s="1"/>
  <c r="E14" i="19"/>
  <c r="O13" i="19"/>
  <c r="G13" i="19"/>
  <c r="E13" i="19"/>
  <c r="O12" i="19"/>
  <c r="G12" i="19"/>
  <c r="T12" i="19" s="1"/>
  <c r="E12" i="19"/>
  <c r="O11" i="19"/>
  <c r="G11" i="19"/>
  <c r="T11" i="19" s="1"/>
  <c r="E11" i="19"/>
  <c r="O10" i="19"/>
  <c r="G10" i="19"/>
  <c r="E10" i="19"/>
  <c r="O9" i="19"/>
  <c r="G9" i="19"/>
  <c r="E9" i="19"/>
  <c r="O8" i="19"/>
  <c r="G8" i="19"/>
  <c r="E8" i="19"/>
  <c r="O7" i="19"/>
  <c r="G7" i="19"/>
  <c r="P7" i="19" s="1"/>
  <c r="E7" i="19"/>
  <c r="O6" i="19"/>
  <c r="G6" i="19"/>
  <c r="T6" i="19" s="1"/>
  <c r="E6" i="19"/>
  <c r="O5" i="19"/>
  <c r="G5" i="19"/>
  <c r="E5" i="19"/>
  <c r="O4" i="19"/>
  <c r="G4" i="19"/>
  <c r="E4" i="19"/>
  <c r="O3" i="19"/>
  <c r="G3" i="19"/>
  <c r="T3" i="19" s="1"/>
  <c r="E3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O2" i="19"/>
  <c r="G2" i="19"/>
  <c r="E2" i="19"/>
  <c r="B10" i="15" l="1"/>
  <c r="C10" i="15"/>
  <c r="H11" i="15"/>
  <c r="H7" i="7"/>
  <c r="C6" i="7"/>
  <c r="F6" i="7"/>
  <c r="G6" i="7" s="1"/>
  <c r="T39" i="19"/>
  <c r="W39" i="19" s="1"/>
  <c r="W40" i="19"/>
  <c r="W6" i="19"/>
  <c r="P40" i="19"/>
  <c r="W47" i="19"/>
  <c r="W3" i="19"/>
  <c r="W25" i="19"/>
  <c r="W11" i="19"/>
  <c r="W14" i="19"/>
  <c r="W17" i="19"/>
  <c r="W32" i="19"/>
  <c r="W31" i="19"/>
  <c r="W30" i="19"/>
  <c r="W42" i="19"/>
  <c r="W27" i="19"/>
  <c r="W12" i="19"/>
  <c r="W38" i="19"/>
  <c r="W16" i="19"/>
  <c r="T45" i="19"/>
  <c r="T44" i="19"/>
  <c r="T33" i="19"/>
  <c r="P32" i="19"/>
  <c r="T35" i="19"/>
  <c r="P47" i="19"/>
  <c r="P31" i="19"/>
  <c r="P35" i="19"/>
  <c r="T43" i="19"/>
  <c r="P49" i="19"/>
  <c r="T48" i="19"/>
  <c r="P48" i="19"/>
  <c r="T49" i="19"/>
  <c r="T46" i="19"/>
  <c r="T41" i="19"/>
  <c r="T34" i="19"/>
  <c r="T37" i="19"/>
  <c r="P37" i="19"/>
  <c r="P30" i="19"/>
  <c r="T36" i="19"/>
  <c r="P36" i="19"/>
  <c r="P34" i="19"/>
  <c r="T7" i="19"/>
  <c r="P14" i="19"/>
  <c r="T23" i="19"/>
  <c r="T5" i="19"/>
  <c r="P9" i="19"/>
  <c r="P4" i="19"/>
  <c r="P16" i="19"/>
  <c r="T9" i="19"/>
  <c r="P11" i="19"/>
  <c r="T4" i="19"/>
  <c r="P6" i="19"/>
  <c r="T19" i="19"/>
  <c r="P22" i="19"/>
  <c r="P29" i="19"/>
  <c r="P13" i="19"/>
  <c r="P25" i="19"/>
  <c r="P8" i="19"/>
  <c r="P18" i="19"/>
  <c r="T29" i="19"/>
  <c r="P3" i="19"/>
  <c r="T13" i="19"/>
  <c r="P15" i="19"/>
  <c r="P21" i="19"/>
  <c r="T8" i="19"/>
  <c r="P10" i="19"/>
  <c r="P28" i="19"/>
  <c r="P5" i="19"/>
  <c r="T15" i="19"/>
  <c r="P17" i="19"/>
  <c r="T21" i="19"/>
  <c r="T10" i="19"/>
  <c r="P12" i="19"/>
  <c r="P27" i="19"/>
  <c r="P19" i="19"/>
  <c r="P2" i="19"/>
  <c r="T2" i="19"/>
  <c r="T18" i="19"/>
  <c r="T20" i="19"/>
  <c r="T22" i="19"/>
  <c r="T24" i="19"/>
  <c r="T26" i="19"/>
  <c r="T28" i="19"/>
  <c r="H12" i="15" l="1"/>
  <c r="B11" i="15"/>
  <c r="C11" i="15"/>
  <c r="H8" i="7"/>
  <c r="C7" i="7"/>
  <c r="F7" i="7"/>
  <c r="G7" i="7" s="1"/>
  <c r="W22" i="19"/>
  <c r="W23" i="19"/>
  <c r="W43" i="19"/>
  <c r="W4" i="19"/>
  <c r="W36" i="19"/>
  <c r="W9" i="19"/>
  <c r="W13" i="19"/>
  <c r="W35" i="19"/>
  <c r="W10" i="19"/>
  <c r="W29" i="19"/>
  <c r="W37" i="19"/>
  <c r="W28" i="19"/>
  <c r="W21" i="19"/>
  <c r="W34" i="19"/>
  <c r="W41" i="19"/>
  <c r="W24" i="19"/>
  <c r="W15" i="19"/>
  <c r="W5" i="19"/>
  <c r="W46" i="19"/>
  <c r="W44" i="19"/>
  <c r="W49" i="19"/>
  <c r="W45" i="19"/>
  <c r="W20" i="19"/>
  <c r="W18" i="19"/>
  <c r="W7" i="19"/>
  <c r="W48" i="19"/>
  <c r="W26" i="19"/>
  <c r="W33" i="19"/>
  <c r="W2" i="19"/>
  <c r="W8" i="19"/>
  <c r="W19" i="19"/>
  <c r="H13" i="15" l="1"/>
  <c r="B12" i="15"/>
  <c r="C12" i="15"/>
  <c r="H9" i="7"/>
  <c r="C8" i="7"/>
  <c r="F8" i="7"/>
  <c r="G8" i="7" s="1"/>
  <c r="A3" i="18"/>
  <c r="H14" i="15" l="1"/>
  <c r="B13" i="15"/>
  <c r="C13" i="15"/>
  <c r="F9" i="7"/>
  <c r="G9" i="7" s="1"/>
  <c r="H10" i="7"/>
  <c r="C9" i="7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D250" i="18" s="1"/>
  <c r="H15" i="15" l="1"/>
  <c r="B14" i="15"/>
  <c r="C14" i="15"/>
  <c r="H11" i="7"/>
  <c r="C10" i="7"/>
  <c r="F10" i="7"/>
  <c r="G10" i="7" s="1"/>
  <c r="AD250" i="18"/>
  <c r="AR250" i="18"/>
  <c r="C250" i="18"/>
  <c r="E250" i="18"/>
  <c r="A251" i="18"/>
  <c r="A252" i="18" s="1"/>
  <c r="B250" i="18"/>
  <c r="C208" i="18"/>
  <c r="B208" i="18"/>
  <c r="D208" i="18"/>
  <c r="E208" i="18"/>
  <c r="AH250" i="18"/>
  <c r="AG250" i="18"/>
  <c r="AC250" i="18"/>
  <c r="AE250" i="18"/>
  <c r="AF250" i="18"/>
  <c r="E251" i="18"/>
  <c r="C209" i="18"/>
  <c r="B209" i="18"/>
  <c r="D209" i="18"/>
  <c r="E209" i="18"/>
  <c r="H16" i="15" l="1"/>
  <c r="B15" i="15"/>
  <c r="C15" i="15"/>
  <c r="H12" i="7"/>
  <c r="F11" i="7"/>
  <c r="G11" i="7" s="1"/>
  <c r="C11" i="7"/>
  <c r="D251" i="18"/>
  <c r="C251" i="18"/>
  <c r="B251" i="18"/>
  <c r="AD208" i="18"/>
  <c r="AR208" i="18"/>
  <c r="AH208" i="18"/>
  <c r="AD209" i="18"/>
  <c r="AR209" i="18"/>
  <c r="AE208" i="18"/>
  <c r="AC208" i="18"/>
  <c r="AG208" i="18"/>
  <c r="AD251" i="18"/>
  <c r="AR251" i="18"/>
  <c r="AF208" i="18"/>
  <c r="AH251" i="18"/>
  <c r="AG251" i="18"/>
  <c r="AC251" i="18"/>
  <c r="AE251" i="18"/>
  <c r="AF251" i="18"/>
  <c r="AH209" i="18"/>
  <c r="AG209" i="18"/>
  <c r="AC209" i="18"/>
  <c r="AE209" i="18"/>
  <c r="AF209" i="18"/>
  <c r="D252" i="18"/>
  <c r="E252" i="18"/>
  <c r="A253" i="18"/>
  <c r="B252" i="18"/>
  <c r="C252" i="18"/>
  <c r="E210" i="18"/>
  <c r="B210" i="18"/>
  <c r="D210" i="18"/>
  <c r="C210" i="18"/>
  <c r="H17" i="15" l="1"/>
  <c r="B16" i="15"/>
  <c r="C16" i="15"/>
  <c r="F12" i="7"/>
  <c r="G12" i="7" s="1"/>
  <c r="H13" i="7"/>
  <c r="C12" i="7"/>
  <c r="AD252" i="18"/>
  <c r="AR252" i="18"/>
  <c r="AD210" i="18"/>
  <c r="AR210" i="18"/>
  <c r="AH252" i="18"/>
  <c r="AG252" i="18"/>
  <c r="AC252" i="18"/>
  <c r="AE252" i="18"/>
  <c r="AF252" i="18"/>
  <c r="AH210" i="18"/>
  <c r="AG210" i="18"/>
  <c r="AC210" i="18"/>
  <c r="AE210" i="18"/>
  <c r="AF210" i="18"/>
  <c r="A254" i="18"/>
  <c r="B253" i="18"/>
  <c r="C253" i="18"/>
  <c r="D253" i="18"/>
  <c r="E253" i="18"/>
  <c r="C211" i="18"/>
  <c r="E211" i="18"/>
  <c r="B211" i="18"/>
  <c r="D211" i="18"/>
  <c r="H18" i="15" l="1"/>
  <c r="B17" i="15"/>
  <c r="C17" i="15"/>
  <c r="C13" i="7"/>
  <c r="F13" i="7"/>
  <c r="G13" i="7" s="1"/>
  <c r="H14" i="7"/>
  <c r="AR211" i="18"/>
  <c r="AD211" i="18"/>
  <c r="AD253" i="18"/>
  <c r="AR253" i="18"/>
  <c r="AH211" i="18"/>
  <c r="AG211" i="18"/>
  <c r="AC211" i="18"/>
  <c r="AE211" i="18"/>
  <c r="AF211" i="18"/>
  <c r="AH253" i="18"/>
  <c r="AG253" i="18"/>
  <c r="AC253" i="18"/>
  <c r="AE253" i="18"/>
  <c r="AF253" i="18"/>
  <c r="A255" i="18"/>
  <c r="C254" i="18"/>
  <c r="D254" i="18"/>
  <c r="E254" i="18"/>
  <c r="B254" i="18"/>
  <c r="B212" i="18"/>
  <c r="D212" i="18"/>
  <c r="C212" i="18"/>
  <c r="E212" i="18"/>
  <c r="H19" i="15" l="1"/>
  <c r="B18" i="15"/>
  <c r="C18" i="15"/>
  <c r="F14" i="7"/>
  <c r="G14" i="7" s="1"/>
  <c r="H15" i="7"/>
  <c r="C14" i="7"/>
  <c r="AD254" i="18"/>
  <c r="AR254" i="18"/>
  <c r="AR212" i="18"/>
  <c r="AD212" i="18"/>
  <c r="AH254" i="18"/>
  <c r="AG254" i="18"/>
  <c r="AC254" i="18"/>
  <c r="AE254" i="18"/>
  <c r="AF254" i="18"/>
  <c r="AH212" i="18"/>
  <c r="AG212" i="18"/>
  <c r="AC212" i="18"/>
  <c r="AE212" i="18"/>
  <c r="AF212" i="18"/>
  <c r="B255" i="18"/>
  <c r="A256" i="18"/>
  <c r="C255" i="18"/>
  <c r="D255" i="18"/>
  <c r="E255" i="18"/>
  <c r="E213" i="18"/>
  <c r="B213" i="18"/>
  <c r="C213" i="18"/>
  <c r="D213" i="18"/>
  <c r="H20" i="15" l="1"/>
  <c r="B19" i="15"/>
  <c r="C19" i="15"/>
  <c r="H16" i="7"/>
  <c r="C15" i="7"/>
  <c r="F15" i="7"/>
  <c r="G15" i="7" s="1"/>
  <c r="AD255" i="18"/>
  <c r="AR255" i="18"/>
  <c r="AD213" i="18"/>
  <c r="AR213" i="18"/>
  <c r="AH213" i="18"/>
  <c r="AG213" i="18"/>
  <c r="AC213" i="18"/>
  <c r="AE213" i="18"/>
  <c r="AF213" i="18"/>
  <c r="AH255" i="18"/>
  <c r="AG255" i="18"/>
  <c r="AC255" i="18"/>
  <c r="AE255" i="18"/>
  <c r="AF255" i="18"/>
  <c r="B256" i="18"/>
  <c r="D256" i="18"/>
  <c r="C256" i="18"/>
  <c r="E256" i="18"/>
  <c r="A257" i="18"/>
  <c r="E214" i="18"/>
  <c r="D214" i="18"/>
  <c r="B214" i="18"/>
  <c r="C214" i="18"/>
  <c r="H21" i="15" l="1"/>
  <c r="B20" i="15"/>
  <c r="C20" i="15"/>
  <c r="C16" i="7"/>
  <c r="F16" i="7"/>
  <c r="G16" i="7" s="1"/>
  <c r="H17" i="7"/>
  <c r="AD256" i="18"/>
  <c r="AR256" i="18"/>
  <c r="AD214" i="18"/>
  <c r="AR214" i="18"/>
  <c r="AG256" i="18"/>
  <c r="AH256" i="18"/>
  <c r="AC256" i="18"/>
  <c r="AE256" i="18"/>
  <c r="AF256" i="18"/>
  <c r="AH214" i="18"/>
  <c r="AG214" i="18"/>
  <c r="AE214" i="18"/>
  <c r="AC214" i="18"/>
  <c r="AF214" i="18"/>
  <c r="B257" i="18"/>
  <c r="A258" i="18"/>
  <c r="C257" i="18"/>
  <c r="E257" i="18"/>
  <c r="D257" i="18"/>
  <c r="D215" i="18"/>
  <c r="C215" i="18"/>
  <c r="B215" i="18"/>
  <c r="E215" i="18"/>
  <c r="G4" i="3"/>
  <c r="M4" i="3"/>
  <c r="AE4" i="3" s="1"/>
  <c r="N4" i="3"/>
  <c r="W4" i="3"/>
  <c r="X4" i="3"/>
  <c r="Y4" i="3"/>
  <c r="Z4" i="3"/>
  <c r="H22" i="15" l="1"/>
  <c r="B21" i="15"/>
  <c r="C21" i="15"/>
  <c r="C17" i="7"/>
  <c r="F17" i="7"/>
  <c r="G17" i="7" s="1"/>
  <c r="H18" i="7"/>
  <c r="AD257" i="18"/>
  <c r="AR257" i="18"/>
  <c r="AD215" i="18"/>
  <c r="AR215" i="18"/>
  <c r="AH257" i="18"/>
  <c r="AG257" i="18"/>
  <c r="AC257" i="18"/>
  <c r="AE257" i="18"/>
  <c r="AF257" i="18"/>
  <c r="AH215" i="18"/>
  <c r="AG215" i="18"/>
  <c r="AC215" i="18"/>
  <c r="AE215" i="18"/>
  <c r="AF215" i="18"/>
  <c r="A259" i="18"/>
  <c r="C258" i="18"/>
  <c r="B258" i="18"/>
  <c r="D258" i="18"/>
  <c r="E258" i="18"/>
  <c r="C216" i="18"/>
  <c r="E216" i="18"/>
  <c r="D216" i="18"/>
  <c r="B216" i="18"/>
  <c r="AC4" i="3"/>
  <c r="H23" i="15" l="1"/>
  <c r="B22" i="15"/>
  <c r="C22" i="15"/>
  <c r="F18" i="7"/>
  <c r="G18" i="7" s="1"/>
  <c r="C18" i="7"/>
  <c r="H19" i="7"/>
  <c r="AD216" i="18"/>
  <c r="AR216" i="18"/>
  <c r="AD258" i="18"/>
  <c r="AR258" i="18"/>
  <c r="AH216" i="18"/>
  <c r="AG216" i="18"/>
  <c r="AE216" i="18"/>
  <c r="AC216" i="18"/>
  <c r="AF216" i="18"/>
  <c r="AH258" i="18"/>
  <c r="AG258" i="18"/>
  <c r="AC258" i="18"/>
  <c r="AE258" i="18"/>
  <c r="AF258" i="18"/>
  <c r="B259" i="18"/>
  <c r="A260" i="18"/>
  <c r="D259" i="18"/>
  <c r="E259" i="18"/>
  <c r="C259" i="18"/>
  <c r="B217" i="18"/>
  <c r="D217" i="18"/>
  <c r="C217" i="18"/>
  <c r="E217" i="18"/>
  <c r="H24" i="15" l="1"/>
  <c r="B23" i="15"/>
  <c r="C23" i="15"/>
  <c r="C19" i="7"/>
  <c r="H20" i="7"/>
  <c r="F19" i="7"/>
  <c r="G19" i="7" s="1"/>
  <c r="AR259" i="18"/>
  <c r="AD259" i="18"/>
  <c r="AD217" i="18"/>
  <c r="AR217" i="18"/>
  <c r="AG259" i="18"/>
  <c r="AH259" i="18"/>
  <c r="AC259" i="18"/>
  <c r="AE259" i="18"/>
  <c r="AF259" i="18"/>
  <c r="AH217" i="18"/>
  <c r="AG217" i="18"/>
  <c r="AC217" i="18"/>
  <c r="AE217" i="18"/>
  <c r="AF217" i="18"/>
  <c r="C260" i="18"/>
  <c r="A261" i="18"/>
  <c r="B260" i="18"/>
  <c r="D260" i="18"/>
  <c r="E260" i="18"/>
  <c r="C218" i="18"/>
  <c r="E218" i="18"/>
  <c r="B218" i="18"/>
  <c r="D218" i="18"/>
  <c r="H25" i="15" l="1"/>
  <c r="B24" i="15"/>
  <c r="C24" i="15"/>
  <c r="H21" i="7"/>
  <c r="C20" i="7"/>
  <c r="F20" i="7"/>
  <c r="G20" i="7" s="1"/>
  <c r="AR260" i="18"/>
  <c r="AD260" i="18"/>
  <c r="AD218" i="18"/>
  <c r="AR218" i="18"/>
  <c r="AH260" i="18"/>
  <c r="AG260" i="18"/>
  <c r="AC260" i="18"/>
  <c r="AE260" i="18"/>
  <c r="AF260" i="18"/>
  <c r="AH218" i="18"/>
  <c r="AG218" i="18"/>
  <c r="AC218" i="18"/>
  <c r="AE218" i="18"/>
  <c r="AF218" i="18"/>
  <c r="A262" i="18"/>
  <c r="B261" i="18"/>
  <c r="C261" i="18"/>
  <c r="D261" i="18"/>
  <c r="E261" i="18"/>
  <c r="B219" i="18"/>
  <c r="C219" i="18"/>
  <c r="D219" i="18"/>
  <c r="E219" i="18"/>
  <c r="H26" i="15" l="1"/>
  <c r="B25" i="15"/>
  <c r="C25" i="15"/>
  <c r="C21" i="7"/>
  <c r="H22" i="7"/>
  <c r="F21" i="7"/>
  <c r="G21" i="7" s="1"/>
  <c r="AD261" i="18"/>
  <c r="AR261" i="18"/>
  <c r="AD219" i="18"/>
  <c r="AR219" i="18"/>
  <c r="AH261" i="18"/>
  <c r="AG261" i="18"/>
  <c r="AE261" i="18"/>
  <c r="AC261" i="18"/>
  <c r="AF261" i="18"/>
  <c r="AH219" i="18"/>
  <c r="AG219" i="18"/>
  <c r="AE219" i="18"/>
  <c r="AC219" i="18"/>
  <c r="AF219" i="18"/>
  <c r="B262" i="18"/>
  <c r="A263" i="18"/>
  <c r="D262" i="18"/>
  <c r="C262" i="18"/>
  <c r="E262" i="18"/>
  <c r="B220" i="18"/>
  <c r="E220" i="18"/>
  <c r="C220" i="18"/>
  <c r="D220" i="18"/>
  <c r="H27" i="15" l="1"/>
  <c r="B26" i="15"/>
  <c r="C26" i="15"/>
  <c r="C22" i="7"/>
  <c r="H23" i="7"/>
  <c r="F22" i="7"/>
  <c r="G22" i="7" s="1"/>
  <c r="AD220" i="18"/>
  <c r="AR220" i="18"/>
  <c r="AD262" i="18"/>
  <c r="AR262" i="18"/>
  <c r="AH262" i="18"/>
  <c r="AG262" i="18"/>
  <c r="AC262" i="18"/>
  <c r="AE262" i="18"/>
  <c r="AF262" i="18"/>
  <c r="AH220" i="18"/>
  <c r="AG220" i="18"/>
  <c r="AC220" i="18"/>
  <c r="AE220" i="18"/>
  <c r="AF220" i="18"/>
  <c r="B263" i="18"/>
  <c r="C263" i="18"/>
  <c r="A264" i="18"/>
  <c r="E263" i="18"/>
  <c r="D263" i="18"/>
  <c r="E221" i="18"/>
  <c r="D221" i="18"/>
  <c r="B221" i="18"/>
  <c r="C221" i="18"/>
  <c r="H28" i="15" l="1"/>
  <c r="B27" i="15"/>
  <c r="C27" i="15"/>
  <c r="H24" i="7"/>
  <c r="C23" i="7"/>
  <c r="F23" i="7"/>
  <c r="G23" i="7" s="1"/>
  <c r="AD263" i="18"/>
  <c r="AR263" i="18"/>
  <c r="AD221" i="18"/>
  <c r="AR221" i="18"/>
  <c r="AH263" i="18"/>
  <c r="AG263" i="18"/>
  <c r="AC263" i="18"/>
  <c r="AE263" i="18"/>
  <c r="AF263" i="18"/>
  <c r="AH221" i="18"/>
  <c r="AG221" i="18"/>
  <c r="AC221" i="18"/>
  <c r="AE221" i="18"/>
  <c r="AF221" i="18"/>
  <c r="A265" i="18"/>
  <c r="B264" i="18"/>
  <c r="D264" i="18"/>
  <c r="E264" i="18"/>
  <c r="C264" i="18"/>
  <c r="D222" i="18"/>
  <c r="B222" i="18"/>
  <c r="C222" i="18"/>
  <c r="E222" i="18"/>
  <c r="H29" i="15" l="1"/>
  <c r="B28" i="15"/>
  <c r="C28" i="15"/>
  <c r="C24" i="7"/>
  <c r="F24" i="7"/>
  <c r="G24" i="7" s="1"/>
  <c r="H25" i="7"/>
  <c r="AR222" i="18"/>
  <c r="AD222" i="18"/>
  <c r="AD264" i="18"/>
  <c r="AR264" i="18"/>
  <c r="AH222" i="18"/>
  <c r="AG222" i="18"/>
  <c r="AC222" i="18"/>
  <c r="AE222" i="18"/>
  <c r="AF222" i="18"/>
  <c r="AG264" i="18"/>
  <c r="AH264" i="18"/>
  <c r="AC264" i="18"/>
  <c r="AE264" i="18"/>
  <c r="AF264" i="18"/>
  <c r="A266" i="18"/>
  <c r="B265" i="18"/>
  <c r="C265" i="18"/>
  <c r="E265" i="18"/>
  <c r="D265" i="18"/>
  <c r="C223" i="18"/>
  <c r="E223" i="18"/>
  <c r="D223" i="18"/>
  <c r="B223" i="18"/>
  <c r="H30" i="15" l="1"/>
  <c r="B29" i="15"/>
  <c r="C29" i="15"/>
  <c r="H26" i="7"/>
  <c r="C25" i="7"/>
  <c r="F25" i="7"/>
  <c r="G25" i="7" s="1"/>
  <c r="AD265" i="18"/>
  <c r="AR265" i="18"/>
  <c r="AR223" i="18"/>
  <c r="AD223" i="18"/>
  <c r="AG265" i="18"/>
  <c r="AH265" i="18"/>
  <c r="AC265" i="18"/>
  <c r="AE265" i="18"/>
  <c r="AF265" i="18"/>
  <c r="AH223" i="18"/>
  <c r="AG223" i="18"/>
  <c r="AC223" i="18"/>
  <c r="AE223" i="18"/>
  <c r="AF223" i="18"/>
  <c r="A267" i="18"/>
  <c r="B266" i="18"/>
  <c r="D266" i="18"/>
  <c r="E266" i="18"/>
  <c r="C266" i="18"/>
  <c r="B224" i="18"/>
  <c r="D224" i="18"/>
  <c r="C224" i="18"/>
  <c r="E224" i="18"/>
  <c r="H31" i="15" l="1"/>
  <c r="B30" i="15"/>
  <c r="C30" i="15"/>
  <c r="C26" i="7"/>
  <c r="F26" i="7"/>
  <c r="G26" i="7" s="1"/>
  <c r="H27" i="7"/>
  <c r="AD266" i="18"/>
  <c r="AR266" i="18"/>
  <c r="AR224" i="18"/>
  <c r="AD224" i="18"/>
  <c r="AH266" i="18"/>
  <c r="AG266" i="18"/>
  <c r="AC266" i="18"/>
  <c r="AE266" i="18"/>
  <c r="AF266" i="18"/>
  <c r="AH224" i="18"/>
  <c r="AG224" i="18"/>
  <c r="AC224" i="18"/>
  <c r="AE224" i="18"/>
  <c r="AF224" i="18"/>
  <c r="B267" i="18"/>
  <c r="A268" i="18"/>
  <c r="C267" i="18"/>
  <c r="D267" i="18"/>
  <c r="E267" i="18"/>
  <c r="B225" i="18"/>
  <c r="C225" i="18"/>
  <c r="D225" i="18"/>
  <c r="E225" i="18"/>
  <c r="H32" i="15" l="1"/>
  <c r="B31" i="15"/>
  <c r="C31" i="15"/>
  <c r="C27" i="7"/>
  <c r="F27" i="7"/>
  <c r="G27" i="7" s="1"/>
  <c r="H28" i="7"/>
  <c r="AD267" i="18"/>
  <c r="AR267" i="18"/>
  <c r="AD225" i="18"/>
  <c r="AR225" i="18"/>
  <c r="AH267" i="18"/>
  <c r="AG267" i="18"/>
  <c r="AC267" i="18"/>
  <c r="AE267" i="18"/>
  <c r="AF267" i="18"/>
  <c r="AG225" i="18"/>
  <c r="AH225" i="18"/>
  <c r="AC225" i="18"/>
  <c r="AE225" i="18"/>
  <c r="AF225" i="18"/>
  <c r="A269" i="18"/>
  <c r="C268" i="18"/>
  <c r="D268" i="18"/>
  <c r="E268" i="18"/>
  <c r="B268" i="18"/>
  <c r="C226" i="18"/>
  <c r="B226" i="18"/>
  <c r="D226" i="18"/>
  <c r="E226" i="18"/>
  <c r="H33" i="15" l="1"/>
  <c r="B32" i="15"/>
  <c r="C32" i="15"/>
  <c r="C28" i="7"/>
  <c r="H29" i="7"/>
  <c r="F28" i="7"/>
  <c r="G28" i="7" s="1"/>
  <c r="AD268" i="18"/>
  <c r="AR268" i="18"/>
  <c r="AD226" i="18"/>
  <c r="AR226" i="18"/>
  <c r="AH268" i="18"/>
  <c r="AG268" i="18"/>
  <c r="AC268" i="18"/>
  <c r="AE268" i="18"/>
  <c r="AF268" i="18"/>
  <c r="AH226" i="18"/>
  <c r="AG226" i="18"/>
  <c r="AC226" i="18"/>
  <c r="AE226" i="18"/>
  <c r="AF226" i="18"/>
  <c r="A270" i="18"/>
  <c r="B269" i="18"/>
  <c r="D269" i="18"/>
  <c r="C269" i="18"/>
  <c r="E269" i="18"/>
  <c r="E227" i="18"/>
  <c r="B227" i="18"/>
  <c r="C227" i="18"/>
  <c r="D227" i="18"/>
  <c r="H34" i="15" l="1"/>
  <c r="B33" i="15"/>
  <c r="C33" i="15"/>
  <c r="C29" i="7"/>
  <c r="H30" i="7"/>
  <c r="F29" i="7"/>
  <c r="G29" i="7" s="1"/>
  <c r="AD269" i="18"/>
  <c r="AR269" i="18"/>
  <c r="AD227" i="18"/>
  <c r="AR227" i="18"/>
  <c r="AH269" i="18"/>
  <c r="AG269" i="18"/>
  <c r="AC269" i="18"/>
  <c r="AE269" i="18"/>
  <c r="AF269" i="18"/>
  <c r="AH227" i="18"/>
  <c r="AG227" i="18"/>
  <c r="AC227" i="18"/>
  <c r="AE227" i="18"/>
  <c r="AF227" i="18"/>
  <c r="A271" i="18"/>
  <c r="B270" i="18"/>
  <c r="C270" i="18"/>
  <c r="D270" i="18"/>
  <c r="E270" i="18"/>
  <c r="E228" i="18"/>
  <c r="B228" i="18"/>
  <c r="C228" i="18"/>
  <c r="D228" i="18"/>
  <c r="H35" i="15" l="1"/>
  <c r="B34" i="15"/>
  <c r="C34" i="15"/>
  <c r="C30" i="7"/>
  <c r="H31" i="7"/>
  <c r="F30" i="7"/>
  <c r="G30" i="7" s="1"/>
  <c r="AD228" i="18"/>
  <c r="AR228" i="18"/>
  <c r="AR270" i="18"/>
  <c r="AD270" i="18"/>
  <c r="AG270" i="18"/>
  <c r="AH270" i="18"/>
  <c r="AC270" i="18"/>
  <c r="AE270" i="18"/>
  <c r="AF270" i="18"/>
  <c r="AH228" i="18"/>
  <c r="AG228" i="18"/>
  <c r="AC228" i="18"/>
  <c r="AE228" i="18"/>
  <c r="AF228" i="18"/>
  <c r="B271" i="18"/>
  <c r="A272" i="18"/>
  <c r="C271" i="18"/>
  <c r="D271" i="18"/>
  <c r="E271" i="18"/>
  <c r="B229" i="18"/>
  <c r="D229" i="18"/>
  <c r="E229" i="18"/>
  <c r="C229" i="18"/>
  <c r="H36" i="15" l="1"/>
  <c r="B35" i="15"/>
  <c r="C35" i="15"/>
  <c r="H32" i="7"/>
  <c r="C31" i="7"/>
  <c r="F31" i="7"/>
  <c r="G31" i="7" s="1"/>
  <c r="AD229" i="18"/>
  <c r="AR229" i="18"/>
  <c r="AR271" i="18"/>
  <c r="AD271" i="18"/>
  <c r="AH271" i="18"/>
  <c r="AG271" i="18"/>
  <c r="AC271" i="18"/>
  <c r="AE271" i="18"/>
  <c r="AF271" i="18"/>
  <c r="AH229" i="18"/>
  <c r="AG229" i="18"/>
  <c r="AC229" i="18"/>
  <c r="AE229" i="18"/>
  <c r="AF229" i="18"/>
  <c r="A273" i="18"/>
  <c r="C272" i="18"/>
  <c r="E272" i="18"/>
  <c r="B272" i="18"/>
  <c r="D272" i="18"/>
  <c r="C230" i="18"/>
  <c r="E230" i="18"/>
  <c r="B230" i="18"/>
  <c r="D230" i="18"/>
  <c r="H37" i="15" l="1"/>
  <c r="B36" i="15"/>
  <c r="C36" i="15"/>
  <c r="H33" i="7"/>
  <c r="C32" i="7"/>
  <c r="F32" i="7"/>
  <c r="G32" i="7" s="1"/>
  <c r="AR272" i="18"/>
  <c r="AD272" i="18"/>
  <c r="AD230" i="18"/>
  <c r="AR230" i="18"/>
  <c r="AH272" i="18"/>
  <c r="AG272" i="18"/>
  <c r="AC272" i="18"/>
  <c r="AE272" i="18"/>
  <c r="AF272" i="18"/>
  <c r="AH230" i="18"/>
  <c r="AG230" i="18"/>
  <c r="AC230" i="18"/>
  <c r="AE230" i="18"/>
  <c r="AF230" i="18"/>
  <c r="A274" i="18"/>
  <c r="B273" i="18"/>
  <c r="D273" i="18"/>
  <c r="E273" i="18"/>
  <c r="C273" i="18"/>
  <c r="C231" i="18"/>
  <c r="B231" i="18"/>
  <c r="D231" i="18"/>
  <c r="E231" i="18"/>
  <c r="H38" i="15" l="1"/>
  <c r="B37" i="15"/>
  <c r="C37" i="15"/>
  <c r="H34" i="7"/>
  <c r="C33" i="7"/>
  <c r="F33" i="7"/>
  <c r="G33" i="7" s="1"/>
  <c r="AD273" i="18"/>
  <c r="AR273" i="18"/>
  <c r="AD231" i="18"/>
  <c r="AR231" i="18"/>
  <c r="AH273" i="18"/>
  <c r="AG273" i="18"/>
  <c r="AC273" i="18"/>
  <c r="AE273" i="18"/>
  <c r="AF273" i="18"/>
  <c r="AH231" i="18"/>
  <c r="AG231" i="18"/>
  <c r="AC231" i="18"/>
  <c r="AE231" i="18"/>
  <c r="AF231" i="18"/>
  <c r="B274" i="18"/>
  <c r="A275" i="18"/>
  <c r="C274" i="18"/>
  <c r="E274" i="18"/>
  <c r="D274" i="18"/>
  <c r="D232" i="18"/>
  <c r="C232" i="18"/>
  <c r="B232" i="18"/>
  <c r="E232" i="18"/>
  <c r="H39" i="15" l="1"/>
  <c r="B38" i="15"/>
  <c r="C38" i="15"/>
  <c r="H35" i="7"/>
  <c r="C34" i="7"/>
  <c r="F34" i="7"/>
  <c r="G34" i="7" s="1"/>
  <c r="AD274" i="18"/>
  <c r="AR274" i="18"/>
  <c r="AD232" i="18"/>
  <c r="AR232" i="18"/>
  <c r="AH232" i="18"/>
  <c r="AG232" i="18"/>
  <c r="AC232" i="18"/>
  <c r="AE232" i="18"/>
  <c r="AF232" i="18"/>
  <c r="AH274" i="18"/>
  <c r="AG274" i="18"/>
  <c r="AE274" i="18"/>
  <c r="AC274" i="18"/>
  <c r="AF274" i="18"/>
  <c r="B275" i="18"/>
  <c r="A276" i="18"/>
  <c r="C275" i="18"/>
  <c r="D275" i="18"/>
  <c r="E275" i="18"/>
  <c r="C233" i="18"/>
  <c r="D233" i="18"/>
  <c r="E233" i="18"/>
  <c r="B233" i="18"/>
  <c r="H40" i="15" l="1"/>
  <c r="B39" i="15"/>
  <c r="C39" i="15"/>
  <c r="C35" i="7"/>
  <c r="H36" i="7"/>
  <c r="F35" i="7"/>
  <c r="G35" i="7" s="1"/>
  <c r="AD275" i="18"/>
  <c r="AR275" i="18"/>
  <c r="AD233" i="18"/>
  <c r="AR233" i="18"/>
  <c r="AH275" i="18"/>
  <c r="AG275" i="18"/>
  <c r="AC275" i="18"/>
  <c r="AE275" i="18"/>
  <c r="AF275" i="18"/>
  <c r="AH233" i="18"/>
  <c r="AG233" i="18"/>
  <c r="AC233" i="18"/>
  <c r="AE233" i="18"/>
  <c r="AF233" i="18"/>
  <c r="B276" i="18"/>
  <c r="C276" i="18"/>
  <c r="E276" i="18"/>
  <c r="A277" i="18"/>
  <c r="D276" i="18"/>
  <c r="C234" i="18"/>
  <c r="B234" i="18"/>
  <c r="D234" i="18"/>
  <c r="E234" i="18"/>
  <c r="H41" i="15" l="1"/>
  <c r="B40" i="15"/>
  <c r="C40" i="15"/>
  <c r="C36" i="7"/>
  <c r="F36" i="7"/>
  <c r="G36" i="7" s="1"/>
  <c r="H37" i="7"/>
  <c r="AD276" i="18"/>
  <c r="AR276" i="18"/>
  <c r="AR234" i="18"/>
  <c r="AD234" i="18"/>
  <c r="AH276" i="18"/>
  <c r="AG276" i="18"/>
  <c r="AC276" i="18"/>
  <c r="AE276" i="18"/>
  <c r="AF276" i="18"/>
  <c r="AH234" i="18"/>
  <c r="AG234" i="18"/>
  <c r="AC234" i="18"/>
  <c r="AE234" i="18"/>
  <c r="AF234" i="18"/>
  <c r="A278" i="18"/>
  <c r="B277" i="18"/>
  <c r="D277" i="18"/>
  <c r="C277" i="18"/>
  <c r="E277" i="18"/>
  <c r="C235" i="18"/>
  <c r="B235" i="18"/>
  <c r="E235" i="18"/>
  <c r="D235" i="18"/>
  <c r="H42" i="15" l="1"/>
  <c r="B41" i="15"/>
  <c r="C41" i="15"/>
  <c r="C37" i="7"/>
  <c r="F37" i="7"/>
  <c r="G37" i="7" s="1"/>
  <c r="H38" i="7"/>
  <c r="AD277" i="18"/>
  <c r="AR277" i="18"/>
  <c r="AR235" i="18"/>
  <c r="AD235" i="18"/>
  <c r="AH277" i="18"/>
  <c r="AG277" i="18"/>
  <c r="AC277" i="18"/>
  <c r="AE277" i="18"/>
  <c r="AF277" i="18"/>
  <c r="AH235" i="18"/>
  <c r="AG235" i="18"/>
  <c r="AC235" i="18"/>
  <c r="AE235" i="18"/>
  <c r="AF235" i="18"/>
  <c r="A279" i="18"/>
  <c r="E278" i="18"/>
  <c r="C278" i="18"/>
  <c r="B278" i="18"/>
  <c r="D278" i="18"/>
  <c r="B236" i="18"/>
  <c r="D236" i="18"/>
  <c r="C236" i="18"/>
  <c r="E236" i="18"/>
  <c r="H43" i="15" l="1"/>
  <c r="B42" i="15"/>
  <c r="C42" i="15"/>
  <c r="H39" i="7"/>
  <c r="C38" i="7"/>
  <c r="F38" i="7"/>
  <c r="G38" i="7" s="1"/>
  <c r="AR236" i="18"/>
  <c r="AD236" i="18"/>
  <c r="AD278" i="18"/>
  <c r="AR278" i="18"/>
  <c r="AH236" i="18"/>
  <c r="AG236" i="18"/>
  <c r="AC236" i="18"/>
  <c r="AE236" i="18"/>
  <c r="AF236" i="18"/>
  <c r="AH278" i="18"/>
  <c r="AG278" i="18"/>
  <c r="AC278" i="18"/>
  <c r="AE278" i="18"/>
  <c r="AF278" i="18"/>
  <c r="B279" i="18"/>
  <c r="A280" i="18"/>
  <c r="C279" i="18"/>
  <c r="E279" i="18"/>
  <c r="D279" i="18"/>
  <c r="E237" i="18"/>
  <c r="D237" i="18"/>
  <c r="C237" i="18"/>
  <c r="B237" i="18"/>
  <c r="B43" i="15" l="1"/>
  <c r="C43" i="15"/>
  <c r="F39" i="7"/>
  <c r="G39" i="7" s="1"/>
  <c r="C39" i="7"/>
  <c r="H40" i="7"/>
  <c r="AD237" i="18"/>
  <c r="AR237" i="18"/>
  <c r="AD279" i="18"/>
  <c r="AR279" i="18"/>
  <c r="AH279" i="18"/>
  <c r="AG279" i="18"/>
  <c r="AC279" i="18"/>
  <c r="AE279" i="18"/>
  <c r="AF279" i="18"/>
  <c r="AH237" i="18"/>
  <c r="AG237" i="18"/>
  <c r="AC237" i="18"/>
  <c r="AE237" i="18"/>
  <c r="AF237" i="18"/>
  <c r="B280" i="18"/>
  <c r="A281" i="18"/>
  <c r="D280" i="18"/>
  <c r="E280" i="18"/>
  <c r="C280" i="18"/>
  <c r="D238" i="18"/>
  <c r="E238" i="18"/>
  <c r="B238" i="18"/>
  <c r="C238" i="18"/>
  <c r="C40" i="7" l="1"/>
  <c r="F40" i="7"/>
  <c r="G40" i="7" s="1"/>
  <c r="AD280" i="18"/>
  <c r="AR280" i="18"/>
  <c r="AD238" i="18"/>
  <c r="AR238" i="18"/>
  <c r="AH280" i="18"/>
  <c r="AG280" i="18"/>
  <c r="AE280" i="18"/>
  <c r="AC280" i="18"/>
  <c r="AF280" i="18"/>
  <c r="AH238" i="18"/>
  <c r="AG238" i="18"/>
  <c r="AC238" i="18"/>
  <c r="AE238" i="18"/>
  <c r="AF238" i="18"/>
  <c r="A282" i="18"/>
  <c r="C281" i="18"/>
  <c r="B281" i="18"/>
  <c r="D281" i="18"/>
  <c r="E281" i="18"/>
  <c r="D239" i="18"/>
  <c r="C239" i="18"/>
  <c r="E239" i="18"/>
  <c r="B239" i="18"/>
  <c r="AD281" i="18" l="1"/>
  <c r="AR281" i="18"/>
  <c r="AD239" i="18"/>
  <c r="AR239" i="18"/>
  <c r="AH239" i="18"/>
  <c r="AG239" i="18"/>
  <c r="AC239" i="18"/>
  <c r="AE239" i="18"/>
  <c r="AF239" i="18"/>
  <c r="AH281" i="18"/>
  <c r="AG281" i="18"/>
  <c r="AE281" i="18"/>
  <c r="AF281" i="18"/>
  <c r="AC281" i="18"/>
  <c r="A283" i="18"/>
  <c r="C282" i="18"/>
  <c r="D282" i="18"/>
  <c r="B282" i="18"/>
  <c r="E282" i="18"/>
  <c r="B240" i="18"/>
  <c r="D240" i="18"/>
  <c r="C240" i="18"/>
  <c r="E240" i="18"/>
  <c r="AR282" i="18" l="1"/>
  <c r="AD282" i="18"/>
  <c r="AD240" i="18"/>
  <c r="AR240" i="18"/>
  <c r="AH282" i="18"/>
  <c r="AG282" i="18"/>
  <c r="AE282" i="18"/>
  <c r="AC282" i="18"/>
  <c r="AF282" i="18"/>
  <c r="AH240" i="18"/>
  <c r="AG240" i="18"/>
  <c r="AC240" i="18"/>
  <c r="AE240" i="18"/>
  <c r="AF240" i="18"/>
  <c r="B283" i="18"/>
  <c r="D283" i="18"/>
  <c r="A284" i="18"/>
  <c r="E283" i="18"/>
  <c r="C283" i="18"/>
  <c r="B241" i="18"/>
  <c r="D241" i="18"/>
  <c r="C241" i="18"/>
  <c r="E241" i="18"/>
  <c r="AR283" i="18" l="1"/>
  <c r="AD283" i="18"/>
  <c r="AD241" i="18"/>
  <c r="AR241" i="18"/>
  <c r="AG283" i="18"/>
  <c r="AH283" i="18"/>
  <c r="AE283" i="18"/>
  <c r="AC283" i="18"/>
  <c r="AF283" i="18"/>
  <c r="AH241" i="18"/>
  <c r="AG241" i="18"/>
  <c r="AC241" i="18"/>
  <c r="AE241" i="18"/>
  <c r="AF241" i="18"/>
  <c r="C284" i="18"/>
  <c r="B284" i="18"/>
  <c r="D284" i="18"/>
  <c r="A285" i="18"/>
  <c r="E284" i="18"/>
  <c r="C242" i="18"/>
  <c r="E242" i="18"/>
  <c r="B242" i="18"/>
  <c r="D242" i="18"/>
  <c r="AR284" i="18" l="1"/>
  <c r="AD284" i="18"/>
  <c r="AD242" i="18"/>
  <c r="AR242" i="18"/>
  <c r="AG284" i="18"/>
  <c r="AH284" i="18"/>
  <c r="AE284" i="18"/>
  <c r="AC284" i="18"/>
  <c r="AF284" i="18"/>
  <c r="AH242" i="18"/>
  <c r="AG242" i="18"/>
  <c r="AC242" i="18"/>
  <c r="AE242" i="18"/>
  <c r="AF242" i="18"/>
  <c r="A286" i="18"/>
  <c r="D285" i="18"/>
  <c r="E285" i="18"/>
  <c r="C285" i="18"/>
  <c r="B285" i="18"/>
  <c r="B243" i="18"/>
  <c r="E243" i="18"/>
  <c r="D243" i="18"/>
  <c r="C243" i="18"/>
  <c r="AD285" i="18" l="1"/>
  <c r="AR285" i="18"/>
  <c r="AD243" i="18"/>
  <c r="AR243" i="18"/>
  <c r="AH285" i="18"/>
  <c r="AG285" i="18"/>
  <c r="AE285" i="18"/>
  <c r="AF285" i="18"/>
  <c r="AC285" i="18"/>
  <c r="AH243" i="18"/>
  <c r="AG243" i="18"/>
  <c r="AC243" i="18"/>
  <c r="AE243" i="18"/>
  <c r="AF243" i="18"/>
  <c r="B286" i="18"/>
  <c r="A287" i="18"/>
  <c r="E286" i="18"/>
  <c r="C286" i="18"/>
  <c r="D286" i="18"/>
  <c r="B244" i="18"/>
  <c r="E244" i="18"/>
  <c r="C244" i="18"/>
  <c r="D244" i="18"/>
  <c r="AD286" i="18" l="1"/>
  <c r="AR286" i="18"/>
  <c r="AD244" i="18"/>
  <c r="AR244" i="18"/>
  <c r="AH286" i="18"/>
  <c r="AG286" i="18"/>
  <c r="AE286" i="18"/>
  <c r="AC286" i="18"/>
  <c r="AF286" i="18"/>
  <c r="AH244" i="18"/>
  <c r="AG244" i="18"/>
  <c r="AC244" i="18"/>
  <c r="AE244" i="18"/>
  <c r="AF244" i="18"/>
  <c r="A288" i="18"/>
  <c r="C287" i="18"/>
  <c r="B287" i="18"/>
  <c r="D287" i="18"/>
  <c r="E287" i="18"/>
  <c r="E245" i="18"/>
  <c r="B245" i="18"/>
  <c r="C245" i="18"/>
  <c r="D245" i="18"/>
  <c r="AD287" i="18" l="1"/>
  <c r="AR287" i="18"/>
  <c r="AD245" i="18"/>
  <c r="AR245" i="18"/>
  <c r="AH287" i="18"/>
  <c r="AG287" i="18"/>
  <c r="AE287" i="18"/>
  <c r="AF287" i="18"/>
  <c r="AC287" i="18"/>
  <c r="AH245" i="18"/>
  <c r="AG245" i="18"/>
  <c r="AC245" i="18"/>
  <c r="AE245" i="18"/>
  <c r="AF245" i="18"/>
  <c r="B288" i="18"/>
  <c r="A289" i="18"/>
  <c r="E288" i="18"/>
  <c r="C288" i="18"/>
  <c r="D288" i="18"/>
  <c r="C246" i="18"/>
  <c r="B246" i="18"/>
  <c r="D246" i="18"/>
  <c r="E246" i="18"/>
  <c r="AD288" i="18" l="1"/>
  <c r="AR288" i="18"/>
  <c r="AD246" i="18"/>
  <c r="AR246" i="18"/>
  <c r="AG288" i="18"/>
  <c r="AH288" i="18"/>
  <c r="AE288" i="18"/>
  <c r="AF288" i="18"/>
  <c r="AC288" i="18"/>
  <c r="AH246" i="18"/>
  <c r="AG246" i="18"/>
  <c r="AC246" i="18"/>
  <c r="AE246" i="18"/>
  <c r="AF246" i="18"/>
  <c r="A290" i="18"/>
  <c r="B289" i="18"/>
  <c r="C289" i="18"/>
  <c r="D289" i="18"/>
  <c r="E289" i="18"/>
  <c r="C247" i="18"/>
  <c r="D247" i="18"/>
  <c r="B247" i="18"/>
  <c r="E247" i="18"/>
  <c r="AD289" i="18" l="1"/>
  <c r="AR289" i="18"/>
  <c r="AR247" i="18"/>
  <c r="AD247" i="18"/>
  <c r="AG289" i="18"/>
  <c r="AH289" i="18"/>
  <c r="AE289" i="18"/>
  <c r="AF289" i="18"/>
  <c r="AC289" i="18"/>
  <c r="AH247" i="18"/>
  <c r="AG247" i="18"/>
  <c r="AE247" i="18"/>
  <c r="AC247" i="18"/>
  <c r="AF247" i="18"/>
  <c r="A291" i="18"/>
  <c r="C290" i="18"/>
  <c r="D290" i="18"/>
  <c r="B290" i="18"/>
  <c r="E290" i="18"/>
  <c r="B248" i="18"/>
  <c r="D248" i="18"/>
  <c r="C248" i="18"/>
  <c r="E248" i="18"/>
  <c r="AD290" i="18" l="1"/>
  <c r="AR290" i="18"/>
  <c r="AR248" i="18"/>
  <c r="AD248" i="18"/>
  <c r="AH290" i="18"/>
  <c r="AG290" i="18"/>
  <c r="AE290" i="18"/>
  <c r="AF290" i="18"/>
  <c r="AC290" i="18"/>
  <c r="AH248" i="18"/>
  <c r="AG248" i="18"/>
  <c r="AC248" i="18"/>
  <c r="AE248" i="18"/>
  <c r="AF248" i="18"/>
  <c r="B291" i="18"/>
  <c r="A292" i="18"/>
  <c r="E291" i="18"/>
  <c r="C291" i="18"/>
  <c r="D291" i="18"/>
  <c r="C249" i="18"/>
  <c r="D249" i="18"/>
  <c r="E249" i="18"/>
  <c r="B249" i="18"/>
  <c r="B4" i="13"/>
  <c r="AD249" i="18" l="1"/>
  <c r="AR249" i="18"/>
  <c r="AD291" i="18"/>
  <c r="AR291" i="18"/>
  <c r="AH291" i="18"/>
  <c r="AG291" i="18"/>
  <c r="AE291" i="18"/>
  <c r="AF291" i="18"/>
  <c r="AC291" i="18"/>
  <c r="AH249" i="18"/>
  <c r="AG249" i="18"/>
  <c r="AC249" i="18"/>
  <c r="AE249" i="18"/>
  <c r="AF249" i="18"/>
  <c r="B292" i="18"/>
  <c r="D292" i="18"/>
  <c r="A293" i="18"/>
  <c r="C292" i="18"/>
  <c r="E292" i="18"/>
  <c r="AD292" i="18" l="1"/>
  <c r="AR292" i="18"/>
  <c r="AH292" i="18"/>
  <c r="AG292" i="18"/>
  <c r="AE292" i="18"/>
  <c r="AF292" i="18"/>
  <c r="AC292" i="18"/>
  <c r="D293" i="18"/>
  <c r="E293" i="18"/>
  <c r="B293" i="18"/>
  <c r="A294" i="18"/>
  <c r="C293" i="18"/>
  <c r="AD293" i="18" l="1"/>
  <c r="AR293" i="18"/>
  <c r="AH293" i="18"/>
  <c r="AG293" i="18"/>
  <c r="AE293" i="18"/>
  <c r="AF293" i="18"/>
  <c r="AC293" i="18"/>
  <c r="A295" i="18"/>
  <c r="C294" i="18"/>
  <c r="B294" i="18"/>
  <c r="D294" i="18"/>
  <c r="E294" i="18"/>
  <c r="AD294" i="18" l="1"/>
  <c r="AR294" i="18"/>
  <c r="AG294" i="18"/>
  <c r="AH294" i="18"/>
  <c r="AE294" i="18"/>
  <c r="AC294" i="18"/>
  <c r="AF294" i="18"/>
  <c r="B295" i="18"/>
  <c r="A296" i="18"/>
  <c r="D295" i="18"/>
  <c r="E295" i="18"/>
  <c r="C295" i="18"/>
  <c r="AR295" i="18" l="1"/>
  <c r="AD295" i="18"/>
  <c r="AH295" i="18"/>
  <c r="AG295" i="18"/>
  <c r="AE295" i="18"/>
  <c r="AF295" i="18"/>
  <c r="AC295" i="18"/>
  <c r="B296" i="18"/>
  <c r="C296" i="18"/>
  <c r="A297" i="18"/>
  <c r="E296" i="18"/>
  <c r="D296" i="18"/>
  <c r="AR296" i="18" l="1"/>
  <c r="AD296" i="18"/>
  <c r="AH296" i="18"/>
  <c r="AG296" i="18"/>
  <c r="AE296" i="18"/>
  <c r="AF296" i="18"/>
  <c r="AC296" i="18"/>
  <c r="A298" i="18"/>
  <c r="D297" i="18"/>
  <c r="E297" i="18"/>
  <c r="B297" i="18"/>
  <c r="C297" i="18"/>
  <c r="AD297" i="18" l="1"/>
  <c r="AR297" i="18"/>
  <c r="AH297" i="18"/>
  <c r="AG297" i="18"/>
  <c r="AE297" i="18"/>
  <c r="AC297" i="18"/>
  <c r="AF297" i="18"/>
  <c r="B298" i="18"/>
  <c r="A299" i="18"/>
  <c r="C298" i="18"/>
  <c r="E298" i="18"/>
  <c r="D298" i="18"/>
  <c r="AD298" i="18" l="1"/>
  <c r="AR298" i="18"/>
  <c r="AH298" i="18"/>
  <c r="AG298" i="18"/>
  <c r="AE298" i="18"/>
  <c r="AF298" i="18"/>
  <c r="AC298" i="18"/>
  <c r="B299" i="18"/>
  <c r="E299" i="18"/>
  <c r="D299" i="18"/>
  <c r="A300" i="18"/>
  <c r="C299" i="18"/>
  <c r="AD299" i="18" l="1"/>
  <c r="AR299" i="18"/>
  <c r="AH299" i="18"/>
  <c r="AG299" i="18"/>
  <c r="AE299" i="18"/>
  <c r="AC299" i="18"/>
  <c r="AF299" i="18"/>
  <c r="B300" i="18"/>
  <c r="A301" i="18"/>
  <c r="C300" i="18"/>
  <c r="D300" i="18"/>
  <c r="E300" i="18"/>
  <c r="AD300" i="18" l="1"/>
  <c r="AR300" i="18"/>
  <c r="AH300" i="18"/>
  <c r="AG300" i="18"/>
  <c r="AE300" i="18"/>
  <c r="AC300" i="18"/>
  <c r="AF300" i="18"/>
  <c r="A302" i="18"/>
  <c r="B301" i="18"/>
  <c r="C301" i="18"/>
  <c r="D301" i="18"/>
  <c r="E301" i="18"/>
  <c r="AD301" i="18" l="1"/>
  <c r="AR301" i="18"/>
  <c r="AH301" i="18"/>
  <c r="AG301" i="18"/>
  <c r="AE301" i="18"/>
  <c r="AF301" i="18"/>
  <c r="AC301" i="18"/>
  <c r="A303" i="18"/>
  <c r="D302" i="18"/>
  <c r="C302" i="18"/>
  <c r="E302" i="18"/>
  <c r="B302" i="18"/>
  <c r="AD302" i="18" l="1"/>
  <c r="AR302" i="18"/>
  <c r="AH302" i="18"/>
  <c r="AG302" i="18"/>
  <c r="AE302" i="18"/>
  <c r="AF302" i="18"/>
  <c r="AC302" i="18"/>
  <c r="B303" i="18"/>
  <c r="A304" i="18"/>
  <c r="C303" i="18"/>
  <c r="E303" i="18"/>
  <c r="D303" i="18"/>
  <c r="AD303" i="18" l="1"/>
  <c r="AR303" i="18"/>
  <c r="AH303" i="18"/>
  <c r="AG303" i="18"/>
  <c r="AE303" i="18"/>
  <c r="AF303" i="18"/>
  <c r="AC303" i="18"/>
  <c r="B304" i="18"/>
  <c r="A305" i="18"/>
  <c r="D304" i="18"/>
  <c r="E304" i="18"/>
  <c r="C304" i="18"/>
  <c r="AD304" i="18" l="1"/>
  <c r="AR304" i="18"/>
  <c r="AH304" i="18"/>
  <c r="AG304" i="18"/>
  <c r="AE304" i="18"/>
  <c r="AF304" i="18"/>
  <c r="AC304" i="18"/>
  <c r="B305" i="18"/>
  <c r="C305" i="18"/>
  <c r="A306" i="18"/>
  <c r="D305" i="18"/>
  <c r="E305" i="18"/>
  <c r="AD305" i="18" l="1"/>
  <c r="AR305" i="18"/>
  <c r="AH305" i="18"/>
  <c r="AG305" i="18"/>
  <c r="AE305" i="18"/>
  <c r="AC305" i="18"/>
  <c r="AF305" i="18"/>
  <c r="A307" i="18"/>
  <c r="C306" i="18"/>
  <c r="E306" i="18"/>
  <c r="D306" i="18"/>
  <c r="B306" i="18"/>
  <c r="AD306" i="18" l="1"/>
  <c r="AR306" i="18"/>
  <c r="AH306" i="18"/>
  <c r="AG306" i="18"/>
  <c r="AE306" i="18"/>
  <c r="AF306" i="18"/>
  <c r="AC306" i="18"/>
  <c r="B307" i="18"/>
  <c r="A308" i="18"/>
  <c r="C307" i="18"/>
  <c r="D307" i="18"/>
  <c r="E307" i="18"/>
  <c r="AR307" i="18" l="1"/>
  <c r="AD307" i="18"/>
  <c r="AG307" i="18"/>
  <c r="AH307" i="18"/>
  <c r="AE307" i="18"/>
  <c r="AC307" i="18"/>
  <c r="AF307" i="18"/>
  <c r="A309" i="18"/>
  <c r="C308" i="18"/>
  <c r="B308" i="18"/>
  <c r="D308" i="18"/>
  <c r="E308" i="18"/>
  <c r="AR308" i="18" l="1"/>
  <c r="AD308" i="18"/>
  <c r="AG308" i="18"/>
  <c r="AH308" i="18"/>
  <c r="AE308" i="18"/>
  <c r="AF308" i="18"/>
  <c r="AC308" i="18"/>
  <c r="A310" i="18"/>
  <c r="D309" i="18"/>
  <c r="E309" i="18"/>
  <c r="B309" i="18"/>
  <c r="C309" i="18"/>
  <c r="AD309" i="18" l="1"/>
  <c r="AR309" i="18"/>
  <c r="AH309" i="18"/>
  <c r="AG309" i="18"/>
  <c r="AE309" i="18"/>
  <c r="AC309" i="18"/>
  <c r="AF309" i="18"/>
  <c r="B310" i="18"/>
  <c r="A311" i="18"/>
  <c r="D310" i="18"/>
  <c r="C310" i="18"/>
  <c r="E310" i="18"/>
  <c r="AD310" i="18" l="1"/>
  <c r="AR310" i="18"/>
  <c r="AH310" i="18"/>
  <c r="AG310" i="18"/>
  <c r="AE310" i="18"/>
  <c r="AF310" i="18"/>
  <c r="AC310" i="18"/>
  <c r="C311" i="18"/>
  <c r="A312" i="18"/>
  <c r="B311" i="18"/>
  <c r="D311" i="18"/>
  <c r="E311" i="18"/>
  <c r="C105" i="2"/>
  <c r="C104" i="2"/>
  <c r="C103" i="2"/>
  <c r="C102" i="2"/>
  <c r="C101" i="2"/>
  <c r="C100" i="2"/>
  <c r="C99" i="2"/>
  <c r="C98" i="2"/>
  <c r="C97" i="2"/>
  <c r="C96" i="2"/>
  <c r="C95" i="2"/>
  <c r="B95" i="2"/>
  <c r="C94" i="2"/>
  <c r="B94" i="2"/>
  <c r="C93" i="2"/>
  <c r="C92" i="2"/>
  <c r="C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C81" i="2"/>
  <c r="C80" i="2"/>
  <c r="B80" i="2"/>
  <c r="C79" i="2"/>
  <c r="B79" i="2"/>
  <c r="C78" i="2"/>
  <c r="B78" i="2"/>
  <c r="C77" i="2"/>
  <c r="B77" i="2"/>
  <c r="C76" i="2"/>
  <c r="B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K23" i="2"/>
  <c r="C23" i="2"/>
  <c r="K22" i="2"/>
  <c r="C22" i="2"/>
  <c r="K21" i="2"/>
  <c r="J21" i="2"/>
  <c r="C21" i="2"/>
  <c r="K20" i="2"/>
  <c r="J20" i="2"/>
  <c r="C20" i="2"/>
  <c r="K19" i="2"/>
  <c r="J19" i="2"/>
  <c r="C19" i="2"/>
  <c r="K18" i="2"/>
  <c r="J18" i="2"/>
  <c r="C18" i="2"/>
  <c r="K17" i="2"/>
  <c r="J17" i="2"/>
  <c r="C17" i="2"/>
  <c r="K16" i="2"/>
  <c r="J16" i="2"/>
  <c r="C16" i="2"/>
  <c r="K15" i="2"/>
  <c r="J15" i="2"/>
  <c r="C15" i="2"/>
  <c r="K14" i="2"/>
  <c r="J14" i="2"/>
  <c r="C14" i="2"/>
  <c r="K13" i="2"/>
  <c r="J13" i="2"/>
  <c r="C13" i="2"/>
  <c r="K12" i="2"/>
  <c r="J12" i="2"/>
  <c r="C12" i="2"/>
  <c r="K11" i="2"/>
  <c r="J11" i="2"/>
  <c r="C11" i="2"/>
  <c r="K10" i="2"/>
  <c r="J10" i="2"/>
  <c r="C10" i="2"/>
  <c r="K9" i="2"/>
  <c r="C9" i="2"/>
  <c r="K8" i="2"/>
  <c r="C8" i="2"/>
  <c r="K7" i="2"/>
  <c r="J7" i="2"/>
  <c r="C7" i="2"/>
  <c r="K6" i="2"/>
  <c r="J6" i="2"/>
  <c r="C6" i="2"/>
  <c r="K5" i="2"/>
  <c r="J5" i="2"/>
  <c r="C5" i="2"/>
  <c r="K4" i="2"/>
  <c r="J4" i="2"/>
  <c r="C4" i="2"/>
  <c r="K3" i="2"/>
  <c r="J3" i="2"/>
  <c r="C3" i="2"/>
  <c r="K2" i="2"/>
  <c r="J2" i="2"/>
  <c r="C2" i="2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P513" i="11"/>
  <c r="AB513" i="11" s="1"/>
  <c r="M513" i="11"/>
  <c r="AD513" i="11" s="1"/>
  <c r="P512" i="11"/>
  <c r="AB512" i="11" s="1"/>
  <c r="M512" i="11"/>
  <c r="AD512" i="11" s="1"/>
  <c r="P511" i="11"/>
  <c r="AB511" i="11" s="1"/>
  <c r="M511" i="11"/>
  <c r="AD511" i="11" s="1"/>
  <c r="P510" i="11"/>
  <c r="AB510" i="11" s="1"/>
  <c r="M510" i="11"/>
  <c r="AD510" i="11" s="1"/>
  <c r="P509" i="11"/>
  <c r="AB509" i="11" s="1"/>
  <c r="M509" i="11"/>
  <c r="AD509" i="11" s="1"/>
  <c r="P508" i="11"/>
  <c r="AB508" i="11" s="1"/>
  <c r="M508" i="11"/>
  <c r="AD508" i="11" s="1"/>
  <c r="P507" i="11"/>
  <c r="AB507" i="11" s="1"/>
  <c r="M507" i="11"/>
  <c r="AD507" i="11" s="1"/>
  <c r="P506" i="11"/>
  <c r="AB506" i="11" s="1"/>
  <c r="M506" i="11"/>
  <c r="AD506" i="11" s="1"/>
  <c r="P505" i="11"/>
  <c r="AB505" i="11" s="1"/>
  <c r="M505" i="11"/>
  <c r="AD505" i="11" s="1"/>
  <c r="P504" i="11"/>
  <c r="AB504" i="11" s="1"/>
  <c r="M504" i="11"/>
  <c r="AD504" i="11" s="1"/>
  <c r="P503" i="11"/>
  <c r="AB503" i="11" s="1"/>
  <c r="M503" i="11"/>
  <c r="AD503" i="11" s="1"/>
  <c r="P502" i="11"/>
  <c r="AB502" i="11" s="1"/>
  <c r="M502" i="11"/>
  <c r="AD502" i="11" s="1"/>
  <c r="P501" i="11"/>
  <c r="AB501" i="11" s="1"/>
  <c r="M501" i="11"/>
  <c r="AD501" i="11" s="1"/>
  <c r="P500" i="11"/>
  <c r="AB500" i="11" s="1"/>
  <c r="M500" i="11"/>
  <c r="AD500" i="11" s="1"/>
  <c r="P499" i="11"/>
  <c r="AB499" i="11" s="1"/>
  <c r="M499" i="11"/>
  <c r="AD499" i="11" s="1"/>
  <c r="P498" i="11"/>
  <c r="AB498" i="11" s="1"/>
  <c r="M498" i="11"/>
  <c r="AD498" i="11" s="1"/>
  <c r="P497" i="11"/>
  <c r="AB497" i="11" s="1"/>
  <c r="M497" i="11"/>
  <c r="AD497" i="11" s="1"/>
  <c r="P496" i="11"/>
  <c r="AB496" i="11" s="1"/>
  <c r="M496" i="11"/>
  <c r="AD496" i="11" s="1"/>
  <c r="P495" i="11"/>
  <c r="AB495" i="11" s="1"/>
  <c r="M495" i="11"/>
  <c r="AD495" i="11" s="1"/>
  <c r="P494" i="11"/>
  <c r="AB494" i="11" s="1"/>
  <c r="M494" i="11"/>
  <c r="AD494" i="11" s="1"/>
  <c r="P493" i="11"/>
  <c r="AB493" i="11" s="1"/>
  <c r="M493" i="11"/>
  <c r="AD493" i="11" s="1"/>
  <c r="P492" i="11"/>
  <c r="AB492" i="11" s="1"/>
  <c r="M492" i="11"/>
  <c r="AD492" i="11" s="1"/>
  <c r="P491" i="11"/>
  <c r="AB491" i="11" s="1"/>
  <c r="M491" i="11"/>
  <c r="AD491" i="11" s="1"/>
  <c r="P490" i="11"/>
  <c r="AB490" i="11" s="1"/>
  <c r="M490" i="11"/>
  <c r="AD490" i="11" s="1"/>
  <c r="P489" i="11"/>
  <c r="AB489" i="11" s="1"/>
  <c r="M489" i="11"/>
  <c r="AD489" i="11" s="1"/>
  <c r="P488" i="11"/>
  <c r="AB488" i="11" s="1"/>
  <c r="M488" i="11"/>
  <c r="AD488" i="11" s="1"/>
  <c r="P487" i="11"/>
  <c r="AB487" i="11" s="1"/>
  <c r="M487" i="11"/>
  <c r="AD487" i="11" s="1"/>
  <c r="P486" i="11"/>
  <c r="AB486" i="11" s="1"/>
  <c r="M486" i="11"/>
  <c r="AD486" i="11" s="1"/>
  <c r="P485" i="11"/>
  <c r="AB485" i="11" s="1"/>
  <c r="M485" i="11"/>
  <c r="AD485" i="11" s="1"/>
  <c r="P484" i="11"/>
  <c r="AB484" i="11" s="1"/>
  <c r="M484" i="11"/>
  <c r="AD484" i="11" s="1"/>
  <c r="P483" i="11"/>
  <c r="AB483" i="11" s="1"/>
  <c r="M483" i="11"/>
  <c r="AD483" i="11" s="1"/>
  <c r="P482" i="11"/>
  <c r="AB482" i="11" s="1"/>
  <c r="M482" i="11"/>
  <c r="AD482" i="11" s="1"/>
  <c r="P481" i="11"/>
  <c r="AB481" i="11" s="1"/>
  <c r="M481" i="11"/>
  <c r="AD481" i="11" s="1"/>
  <c r="P480" i="11"/>
  <c r="AB480" i="11" s="1"/>
  <c r="M480" i="11"/>
  <c r="AD480" i="11" s="1"/>
  <c r="P479" i="11"/>
  <c r="AB479" i="11" s="1"/>
  <c r="M479" i="11"/>
  <c r="AD479" i="11" s="1"/>
  <c r="P478" i="11"/>
  <c r="AB478" i="11" s="1"/>
  <c r="M478" i="11"/>
  <c r="AD478" i="11" s="1"/>
  <c r="P477" i="11"/>
  <c r="AB477" i="11" s="1"/>
  <c r="M477" i="11"/>
  <c r="AD477" i="11" s="1"/>
  <c r="P476" i="11"/>
  <c r="AB476" i="11" s="1"/>
  <c r="M476" i="11"/>
  <c r="AD476" i="11" s="1"/>
  <c r="P475" i="11"/>
  <c r="AB475" i="11" s="1"/>
  <c r="M475" i="11"/>
  <c r="AD475" i="11" s="1"/>
  <c r="P474" i="11"/>
  <c r="AB474" i="11" s="1"/>
  <c r="M474" i="11"/>
  <c r="AD474" i="11" s="1"/>
  <c r="P473" i="11"/>
  <c r="AB473" i="11" s="1"/>
  <c r="M473" i="11"/>
  <c r="AD473" i="11" s="1"/>
  <c r="P472" i="11"/>
  <c r="AB472" i="11" s="1"/>
  <c r="M472" i="11"/>
  <c r="AD472" i="11" s="1"/>
  <c r="P471" i="11"/>
  <c r="AB471" i="11" s="1"/>
  <c r="M471" i="11"/>
  <c r="AD471" i="11" s="1"/>
  <c r="P470" i="11"/>
  <c r="AB470" i="11" s="1"/>
  <c r="M470" i="11"/>
  <c r="AD470" i="11" s="1"/>
  <c r="P469" i="11"/>
  <c r="AB469" i="11" s="1"/>
  <c r="M469" i="11"/>
  <c r="AD469" i="11" s="1"/>
  <c r="P468" i="11"/>
  <c r="AB468" i="11" s="1"/>
  <c r="M468" i="11"/>
  <c r="AD468" i="11" s="1"/>
  <c r="P467" i="11"/>
  <c r="AB467" i="11" s="1"/>
  <c r="M467" i="11"/>
  <c r="AD467" i="11" s="1"/>
  <c r="P466" i="11"/>
  <c r="AB466" i="11" s="1"/>
  <c r="M466" i="11"/>
  <c r="AD466" i="11" s="1"/>
  <c r="P465" i="11"/>
  <c r="AB465" i="11" s="1"/>
  <c r="M465" i="11"/>
  <c r="AD465" i="11" s="1"/>
  <c r="P464" i="11"/>
  <c r="AB464" i="11" s="1"/>
  <c r="M464" i="11"/>
  <c r="AD464" i="11" s="1"/>
  <c r="P463" i="11"/>
  <c r="AB463" i="11" s="1"/>
  <c r="M463" i="11"/>
  <c r="AD463" i="11" s="1"/>
  <c r="P462" i="11"/>
  <c r="AB462" i="11" s="1"/>
  <c r="M462" i="11"/>
  <c r="AD462" i="11" s="1"/>
  <c r="P461" i="11"/>
  <c r="AB461" i="11" s="1"/>
  <c r="M461" i="11"/>
  <c r="AD461" i="11" s="1"/>
  <c r="P460" i="11"/>
  <c r="AB460" i="11" s="1"/>
  <c r="M460" i="11"/>
  <c r="AD460" i="11" s="1"/>
  <c r="P459" i="11"/>
  <c r="AB459" i="11" s="1"/>
  <c r="M459" i="11"/>
  <c r="AD459" i="11" s="1"/>
  <c r="P458" i="11"/>
  <c r="AB458" i="11" s="1"/>
  <c r="M458" i="11"/>
  <c r="AD458" i="11" s="1"/>
  <c r="P457" i="11"/>
  <c r="AB457" i="11" s="1"/>
  <c r="M457" i="11"/>
  <c r="AD457" i="11" s="1"/>
  <c r="P456" i="11"/>
  <c r="AB456" i="11" s="1"/>
  <c r="M456" i="11"/>
  <c r="AD456" i="11" s="1"/>
  <c r="P455" i="11"/>
  <c r="AB455" i="11" s="1"/>
  <c r="M455" i="11"/>
  <c r="AD455" i="11" s="1"/>
  <c r="P454" i="11"/>
  <c r="AB454" i="11" s="1"/>
  <c r="M454" i="11"/>
  <c r="AD454" i="11" s="1"/>
  <c r="P453" i="11"/>
  <c r="AB453" i="11" s="1"/>
  <c r="M453" i="11"/>
  <c r="AD453" i="11" s="1"/>
  <c r="P452" i="11"/>
  <c r="AB452" i="11" s="1"/>
  <c r="M452" i="11"/>
  <c r="AD452" i="11" s="1"/>
  <c r="P451" i="11"/>
  <c r="AB451" i="11" s="1"/>
  <c r="M451" i="11"/>
  <c r="AD451" i="11" s="1"/>
  <c r="P450" i="11"/>
  <c r="AB450" i="11" s="1"/>
  <c r="M450" i="11"/>
  <c r="AD450" i="11" s="1"/>
  <c r="P449" i="11"/>
  <c r="AB449" i="11" s="1"/>
  <c r="M449" i="11"/>
  <c r="AD449" i="11" s="1"/>
  <c r="P448" i="11"/>
  <c r="AB448" i="11" s="1"/>
  <c r="M448" i="11"/>
  <c r="AD448" i="11" s="1"/>
  <c r="P447" i="11"/>
  <c r="AB447" i="11" s="1"/>
  <c r="M447" i="11"/>
  <c r="AD447" i="11" s="1"/>
  <c r="P446" i="11"/>
  <c r="AB446" i="11" s="1"/>
  <c r="M446" i="11"/>
  <c r="AD446" i="11" s="1"/>
  <c r="P445" i="11"/>
  <c r="AB445" i="11" s="1"/>
  <c r="M445" i="11"/>
  <c r="AD445" i="11" s="1"/>
  <c r="P444" i="11"/>
  <c r="AB444" i="11" s="1"/>
  <c r="M444" i="11"/>
  <c r="AD444" i="11" s="1"/>
  <c r="P443" i="11"/>
  <c r="AB443" i="11" s="1"/>
  <c r="M443" i="11"/>
  <c r="AD443" i="11" s="1"/>
  <c r="P442" i="11"/>
  <c r="AB442" i="11" s="1"/>
  <c r="M442" i="11"/>
  <c r="AD442" i="11" s="1"/>
  <c r="P441" i="11"/>
  <c r="AB441" i="11" s="1"/>
  <c r="M441" i="11"/>
  <c r="AD441" i="11" s="1"/>
  <c r="P440" i="11"/>
  <c r="AB440" i="11" s="1"/>
  <c r="M440" i="11"/>
  <c r="AD440" i="11" s="1"/>
  <c r="P439" i="11"/>
  <c r="AB439" i="11" s="1"/>
  <c r="M439" i="11"/>
  <c r="AD439" i="11" s="1"/>
  <c r="P438" i="11"/>
  <c r="AB438" i="11" s="1"/>
  <c r="M438" i="11"/>
  <c r="AD438" i="11" s="1"/>
  <c r="P437" i="11"/>
  <c r="AB437" i="11" s="1"/>
  <c r="M437" i="11"/>
  <c r="AD437" i="11" s="1"/>
  <c r="P436" i="11"/>
  <c r="AB436" i="11" s="1"/>
  <c r="M436" i="11"/>
  <c r="AD436" i="11" s="1"/>
  <c r="P435" i="11"/>
  <c r="AB435" i="11" s="1"/>
  <c r="M435" i="11"/>
  <c r="AD435" i="11" s="1"/>
  <c r="P434" i="11"/>
  <c r="AB434" i="11" s="1"/>
  <c r="M434" i="11"/>
  <c r="AD434" i="11" s="1"/>
  <c r="P433" i="11"/>
  <c r="AB433" i="11" s="1"/>
  <c r="M433" i="11"/>
  <c r="AD433" i="11" s="1"/>
  <c r="P432" i="11"/>
  <c r="AB432" i="11" s="1"/>
  <c r="M432" i="11"/>
  <c r="AD432" i="11" s="1"/>
  <c r="P431" i="11"/>
  <c r="AB431" i="11" s="1"/>
  <c r="M431" i="11"/>
  <c r="AD431" i="11" s="1"/>
  <c r="P430" i="11"/>
  <c r="AB430" i="11" s="1"/>
  <c r="M430" i="11"/>
  <c r="AD430" i="11" s="1"/>
  <c r="P429" i="11"/>
  <c r="AB429" i="11" s="1"/>
  <c r="M429" i="11"/>
  <c r="AD429" i="11" s="1"/>
  <c r="P428" i="11"/>
  <c r="AB428" i="11" s="1"/>
  <c r="M428" i="11"/>
  <c r="AD428" i="11" s="1"/>
  <c r="P427" i="11"/>
  <c r="AB427" i="11" s="1"/>
  <c r="M427" i="11"/>
  <c r="AD427" i="11" s="1"/>
  <c r="P426" i="11"/>
  <c r="AB426" i="11" s="1"/>
  <c r="M426" i="11"/>
  <c r="AD426" i="11" s="1"/>
  <c r="P425" i="11"/>
  <c r="AB425" i="11" s="1"/>
  <c r="M425" i="11"/>
  <c r="AD425" i="11" s="1"/>
  <c r="P424" i="11"/>
  <c r="AB424" i="11" s="1"/>
  <c r="M424" i="11"/>
  <c r="AD424" i="11" s="1"/>
  <c r="P423" i="11"/>
  <c r="AB423" i="11" s="1"/>
  <c r="M423" i="11"/>
  <c r="AD423" i="11" s="1"/>
  <c r="P422" i="11"/>
  <c r="AB422" i="11" s="1"/>
  <c r="M422" i="11"/>
  <c r="AD422" i="11" s="1"/>
  <c r="P421" i="11"/>
  <c r="AB421" i="11" s="1"/>
  <c r="M421" i="11"/>
  <c r="AD421" i="11" s="1"/>
  <c r="P420" i="11"/>
  <c r="AB420" i="11" s="1"/>
  <c r="M420" i="11"/>
  <c r="AD420" i="11" s="1"/>
  <c r="P419" i="11"/>
  <c r="AB419" i="11" s="1"/>
  <c r="M419" i="11"/>
  <c r="AD419" i="11" s="1"/>
  <c r="P418" i="11"/>
  <c r="AB418" i="11" s="1"/>
  <c r="M418" i="11"/>
  <c r="AD418" i="11" s="1"/>
  <c r="P417" i="11"/>
  <c r="AB417" i="11" s="1"/>
  <c r="M417" i="11"/>
  <c r="AD417" i="11" s="1"/>
  <c r="P416" i="11"/>
  <c r="AB416" i="11" s="1"/>
  <c r="M416" i="11"/>
  <c r="AD416" i="11" s="1"/>
  <c r="P415" i="11"/>
  <c r="AB415" i="11" s="1"/>
  <c r="M415" i="11"/>
  <c r="AD415" i="11" s="1"/>
  <c r="P414" i="11"/>
  <c r="AB414" i="11" s="1"/>
  <c r="M414" i="11"/>
  <c r="AD414" i="11" s="1"/>
  <c r="P413" i="11"/>
  <c r="AB413" i="11" s="1"/>
  <c r="M413" i="11"/>
  <c r="AD413" i="11" s="1"/>
  <c r="P412" i="11"/>
  <c r="AB412" i="11" s="1"/>
  <c r="M412" i="11"/>
  <c r="AD412" i="11" s="1"/>
  <c r="P411" i="11"/>
  <c r="AB411" i="11" s="1"/>
  <c r="M411" i="11"/>
  <c r="AD411" i="11" s="1"/>
  <c r="P410" i="11"/>
  <c r="AB410" i="11" s="1"/>
  <c r="M410" i="11"/>
  <c r="AD410" i="11" s="1"/>
  <c r="P409" i="11"/>
  <c r="AB409" i="11" s="1"/>
  <c r="M409" i="11"/>
  <c r="AD409" i="11" s="1"/>
  <c r="P408" i="11"/>
  <c r="AB408" i="11" s="1"/>
  <c r="M408" i="11"/>
  <c r="AD408" i="11" s="1"/>
  <c r="P407" i="11"/>
  <c r="AB407" i="11" s="1"/>
  <c r="M407" i="11"/>
  <c r="AD407" i="11" s="1"/>
  <c r="P406" i="11"/>
  <c r="AB406" i="11" s="1"/>
  <c r="M406" i="11"/>
  <c r="AD406" i="11" s="1"/>
  <c r="P405" i="11"/>
  <c r="AB405" i="11" s="1"/>
  <c r="M405" i="11"/>
  <c r="AD405" i="11" s="1"/>
  <c r="P404" i="11"/>
  <c r="AB404" i="11" s="1"/>
  <c r="M404" i="11"/>
  <c r="AD404" i="11" s="1"/>
  <c r="P403" i="11"/>
  <c r="AB403" i="11" s="1"/>
  <c r="M403" i="11"/>
  <c r="AD403" i="11" s="1"/>
  <c r="P402" i="11"/>
  <c r="AB402" i="11" s="1"/>
  <c r="M402" i="11"/>
  <c r="AD402" i="11" s="1"/>
  <c r="P401" i="11"/>
  <c r="AB401" i="11" s="1"/>
  <c r="M401" i="11"/>
  <c r="AD401" i="11" s="1"/>
  <c r="P400" i="11"/>
  <c r="AB400" i="11" s="1"/>
  <c r="M400" i="11"/>
  <c r="AD400" i="11" s="1"/>
  <c r="P399" i="11"/>
  <c r="AB399" i="11" s="1"/>
  <c r="M399" i="11"/>
  <c r="AD399" i="11" s="1"/>
  <c r="P398" i="11"/>
  <c r="AB398" i="11" s="1"/>
  <c r="M398" i="11"/>
  <c r="AD398" i="11" s="1"/>
  <c r="P397" i="11"/>
  <c r="AB397" i="11" s="1"/>
  <c r="M397" i="11"/>
  <c r="AD397" i="11" s="1"/>
  <c r="P396" i="11"/>
  <c r="AB396" i="11" s="1"/>
  <c r="M396" i="11"/>
  <c r="AD396" i="11" s="1"/>
  <c r="P395" i="11"/>
  <c r="AB395" i="11" s="1"/>
  <c r="M395" i="11"/>
  <c r="AD395" i="11" s="1"/>
  <c r="P394" i="11"/>
  <c r="AB394" i="11" s="1"/>
  <c r="M394" i="11"/>
  <c r="AD394" i="11" s="1"/>
  <c r="P393" i="11"/>
  <c r="AB393" i="11" s="1"/>
  <c r="M393" i="11"/>
  <c r="AD393" i="11" s="1"/>
  <c r="P392" i="11"/>
  <c r="AB392" i="11" s="1"/>
  <c r="M392" i="11"/>
  <c r="AD392" i="11" s="1"/>
  <c r="P391" i="11"/>
  <c r="AB391" i="11" s="1"/>
  <c r="M391" i="11"/>
  <c r="AD391" i="11" s="1"/>
  <c r="P390" i="11"/>
  <c r="AB390" i="11" s="1"/>
  <c r="M390" i="11"/>
  <c r="AD390" i="11" s="1"/>
  <c r="P389" i="11"/>
  <c r="AB389" i="11" s="1"/>
  <c r="M389" i="11"/>
  <c r="AD389" i="11" s="1"/>
  <c r="P388" i="11"/>
  <c r="AB388" i="11" s="1"/>
  <c r="M388" i="11"/>
  <c r="AD388" i="11" s="1"/>
  <c r="P387" i="11"/>
  <c r="AB387" i="11" s="1"/>
  <c r="M387" i="11"/>
  <c r="AD387" i="11" s="1"/>
  <c r="P386" i="11"/>
  <c r="AB386" i="11" s="1"/>
  <c r="M386" i="11"/>
  <c r="AD386" i="11" s="1"/>
  <c r="P385" i="11"/>
  <c r="AB385" i="11" s="1"/>
  <c r="M385" i="11"/>
  <c r="AD385" i="11" s="1"/>
  <c r="P384" i="11"/>
  <c r="AB384" i="11" s="1"/>
  <c r="M384" i="11"/>
  <c r="AD384" i="11" s="1"/>
  <c r="P383" i="11"/>
  <c r="AB383" i="11" s="1"/>
  <c r="M383" i="11"/>
  <c r="AD383" i="11" s="1"/>
  <c r="P382" i="11"/>
  <c r="AB382" i="11" s="1"/>
  <c r="M382" i="11"/>
  <c r="AD382" i="11" s="1"/>
  <c r="P381" i="11"/>
  <c r="AB381" i="11" s="1"/>
  <c r="M381" i="11"/>
  <c r="AD381" i="11" s="1"/>
  <c r="P380" i="11"/>
  <c r="AB380" i="11" s="1"/>
  <c r="M380" i="11"/>
  <c r="AD380" i="11" s="1"/>
  <c r="P379" i="11"/>
  <c r="AB379" i="11" s="1"/>
  <c r="M379" i="11"/>
  <c r="AD379" i="11" s="1"/>
  <c r="P378" i="11"/>
  <c r="AB378" i="11" s="1"/>
  <c r="M378" i="11"/>
  <c r="AD378" i="11" s="1"/>
  <c r="P377" i="11"/>
  <c r="AB377" i="11" s="1"/>
  <c r="M377" i="11"/>
  <c r="AD377" i="11" s="1"/>
  <c r="P376" i="11"/>
  <c r="AB376" i="11" s="1"/>
  <c r="M376" i="11"/>
  <c r="AD376" i="11" s="1"/>
  <c r="P375" i="11"/>
  <c r="AB375" i="11" s="1"/>
  <c r="M375" i="11"/>
  <c r="AD375" i="11" s="1"/>
  <c r="P374" i="11"/>
  <c r="AB374" i="11" s="1"/>
  <c r="M374" i="11"/>
  <c r="AD374" i="11" s="1"/>
  <c r="P373" i="11"/>
  <c r="AB373" i="11" s="1"/>
  <c r="M373" i="11"/>
  <c r="AD373" i="11" s="1"/>
  <c r="P372" i="11"/>
  <c r="AB372" i="11" s="1"/>
  <c r="M372" i="11"/>
  <c r="AD372" i="11" s="1"/>
  <c r="P371" i="11"/>
  <c r="AB371" i="11" s="1"/>
  <c r="M371" i="11"/>
  <c r="AD371" i="11" s="1"/>
  <c r="P370" i="11"/>
  <c r="AB370" i="11" s="1"/>
  <c r="M370" i="11"/>
  <c r="AD370" i="11" s="1"/>
  <c r="P369" i="11"/>
  <c r="AB369" i="11" s="1"/>
  <c r="M369" i="11"/>
  <c r="AD369" i="11" s="1"/>
  <c r="P368" i="11"/>
  <c r="AB368" i="11" s="1"/>
  <c r="M368" i="11"/>
  <c r="AD368" i="11" s="1"/>
  <c r="P367" i="11"/>
  <c r="AB367" i="11" s="1"/>
  <c r="M367" i="11"/>
  <c r="AD367" i="11" s="1"/>
  <c r="P366" i="11"/>
  <c r="AB366" i="11" s="1"/>
  <c r="M366" i="11"/>
  <c r="AD366" i="11" s="1"/>
  <c r="P365" i="11"/>
  <c r="AB365" i="11" s="1"/>
  <c r="M365" i="11"/>
  <c r="AD365" i="11" s="1"/>
  <c r="P364" i="11"/>
  <c r="AB364" i="11" s="1"/>
  <c r="M364" i="11"/>
  <c r="AD364" i="11" s="1"/>
  <c r="P363" i="11"/>
  <c r="AB363" i="11" s="1"/>
  <c r="M363" i="11"/>
  <c r="AD363" i="11" s="1"/>
  <c r="P362" i="11"/>
  <c r="AB362" i="11" s="1"/>
  <c r="M362" i="11"/>
  <c r="AD362" i="11" s="1"/>
  <c r="P361" i="11"/>
  <c r="AB361" i="11" s="1"/>
  <c r="M361" i="11"/>
  <c r="AD361" i="11" s="1"/>
  <c r="P360" i="11"/>
  <c r="AB360" i="11" s="1"/>
  <c r="M360" i="11"/>
  <c r="AD360" i="11" s="1"/>
  <c r="P359" i="11"/>
  <c r="AB359" i="11" s="1"/>
  <c r="M359" i="11"/>
  <c r="AD359" i="11" s="1"/>
  <c r="P358" i="11"/>
  <c r="AB358" i="11" s="1"/>
  <c r="M358" i="11"/>
  <c r="AD358" i="11" s="1"/>
  <c r="P357" i="11"/>
  <c r="AB357" i="11" s="1"/>
  <c r="M357" i="11"/>
  <c r="AD357" i="11" s="1"/>
  <c r="P356" i="11"/>
  <c r="AB356" i="11" s="1"/>
  <c r="M356" i="11"/>
  <c r="AD356" i="11" s="1"/>
  <c r="P355" i="11"/>
  <c r="AB355" i="11" s="1"/>
  <c r="M355" i="11"/>
  <c r="AD355" i="11" s="1"/>
  <c r="P354" i="11"/>
  <c r="AB354" i="11" s="1"/>
  <c r="M354" i="11"/>
  <c r="AD354" i="11" s="1"/>
  <c r="P353" i="11"/>
  <c r="AB353" i="11" s="1"/>
  <c r="M353" i="11"/>
  <c r="AD353" i="11" s="1"/>
  <c r="P352" i="11"/>
  <c r="AB352" i="11" s="1"/>
  <c r="M352" i="11"/>
  <c r="AD352" i="11" s="1"/>
  <c r="P351" i="11"/>
  <c r="AB351" i="11" s="1"/>
  <c r="M351" i="11"/>
  <c r="AD351" i="11" s="1"/>
  <c r="P350" i="11"/>
  <c r="AB350" i="11" s="1"/>
  <c r="M350" i="11"/>
  <c r="AD350" i="11" s="1"/>
  <c r="P349" i="11"/>
  <c r="AB349" i="11" s="1"/>
  <c r="M349" i="11"/>
  <c r="AD349" i="11" s="1"/>
  <c r="P348" i="11"/>
  <c r="AB348" i="11" s="1"/>
  <c r="M348" i="11"/>
  <c r="AD348" i="11" s="1"/>
  <c r="P347" i="11"/>
  <c r="AB347" i="11" s="1"/>
  <c r="M347" i="11"/>
  <c r="AD347" i="11" s="1"/>
  <c r="P346" i="11"/>
  <c r="AB346" i="11" s="1"/>
  <c r="M346" i="11"/>
  <c r="AD346" i="11" s="1"/>
  <c r="P345" i="11"/>
  <c r="AB345" i="11" s="1"/>
  <c r="M345" i="11"/>
  <c r="AD345" i="11" s="1"/>
  <c r="P344" i="11"/>
  <c r="AB344" i="11" s="1"/>
  <c r="M344" i="11"/>
  <c r="AD344" i="11" s="1"/>
  <c r="P343" i="11"/>
  <c r="AB343" i="11" s="1"/>
  <c r="M343" i="11"/>
  <c r="AD343" i="11" s="1"/>
  <c r="P342" i="11"/>
  <c r="AB342" i="11" s="1"/>
  <c r="M342" i="11"/>
  <c r="AD342" i="11" s="1"/>
  <c r="P341" i="11"/>
  <c r="AB341" i="11" s="1"/>
  <c r="M341" i="11"/>
  <c r="AD341" i="11" s="1"/>
  <c r="P340" i="11"/>
  <c r="AB340" i="11" s="1"/>
  <c r="M340" i="11"/>
  <c r="AD340" i="11" s="1"/>
  <c r="P339" i="11"/>
  <c r="AB339" i="11" s="1"/>
  <c r="M339" i="11"/>
  <c r="AD339" i="11" s="1"/>
  <c r="P338" i="11"/>
  <c r="AB338" i="11" s="1"/>
  <c r="M338" i="11"/>
  <c r="AD338" i="11" s="1"/>
  <c r="P337" i="11"/>
  <c r="AB337" i="11" s="1"/>
  <c r="M337" i="11"/>
  <c r="AD337" i="11" s="1"/>
  <c r="P336" i="11"/>
  <c r="AB336" i="11" s="1"/>
  <c r="M336" i="11"/>
  <c r="AD336" i="11" s="1"/>
  <c r="P335" i="11"/>
  <c r="AB335" i="11" s="1"/>
  <c r="M335" i="11"/>
  <c r="AD335" i="11" s="1"/>
  <c r="P334" i="11"/>
  <c r="AB334" i="11" s="1"/>
  <c r="M334" i="11"/>
  <c r="AD334" i="11" s="1"/>
  <c r="P333" i="11"/>
  <c r="AB333" i="11" s="1"/>
  <c r="M333" i="11"/>
  <c r="AD333" i="11" s="1"/>
  <c r="P332" i="11"/>
  <c r="AB332" i="11" s="1"/>
  <c r="M332" i="11"/>
  <c r="AD332" i="11" s="1"/>
  <c r="P331" i="11"/>
  <c r="AB331" i="11" s="1"/>
  <c r="M331" i="11"/>
  <c r="AD331" i="11" s="1"/>
  <c r="P330" i="11"/>
  <c r="AB330" i="11" s="1"/>
  <c r="M330" i="11"/>
  <c r="AD330" i="11" s="1"/>
  <c r="P329" i="11"/>
  <c r="AB329" i="11" s="1"/>
  <c r="M329" i="11"/>
  <c r="AD329" i="11" s="1"/>
  <c r="P328" i="11"/>
  <c r="AB328" i="11" s="1"/>
  <c r="M328" i="11"/>
  <c r="AD328" i="11" s="1"/>
  <c r="P327" i="11"/>
  <c r="AB327" i="11" s="1"/>
  <c r="M327" i="11"/>
  <c r="AD327" i="11" s="1"/>
  <c r="P326" i="11"/>
  <c r="AB326" i="11" s="1"/>
  <c r="M326" i="11"/>
  <c r="AD326" i="11" s="1"/>
  <c r="P325" i="11"/>
  <c r="AB325" i="11" s="1"/>
  <c r="M325" i="11"/>
  <c r="AD325" i="11" s="1"/>
  <c r="P324" i="11"/>
  <c r="AB324" i="11" s="1"/>
  <c r="M324" i="11"/>
  <c r="AD324" i="11" s="1"/>
  <c r="P323" i="11"/>
  <c r="AB323" i="11" s="1"/>
  <c r="M323" i="11"/>
  <c r="AD323" i="11" s="1"/>
  <c r="P322" i="11"/>
  <c r="AB322" i="11" s="1"/>
  <c r="M322" i="11"/>
  <c r="AD322" i="11" s="1"/>
  <c r="P321" i="11"/>
  <c r="AB321" i="11" s="1"/>
  <c r="M321" i="11"/>
  <c r="AD321" i="11" s="1"/>
  <c r="P320" i="11"/>
  <c r="AB320" i="11" s="1"/>
  <c r="M320" i="11"/>
  <c r="AD320" i="11" s="1"/>
  <c r="P319" i="11"/>
  <c r="AB319" i="11" s="1"/>
  <c r="M319" i="11"/>
  <c r="AD319" i="11" s="1"/>
  <c r="P318" i="11"/>
  <c r="AB318" i="11" s="1"/>
  <c r="M318" i="11"/>
  <c r="AD318" i="11" s="1"/>
  <c r="P317" i="11"/>
  <c r="AB317" i="11" s="1"/>
  <c r="M317" i="11"/>
  <c r="AD317" i="11" s="1"/>
  <c r="P316" i="11"/>
  <c r="AB316" i="11" s="1"/>
  <c r="M316" i="11"/>
  <c r="AD316" i="11" s="1"/>
  <c r="P315" i="11"/>
  <c r="AB315" i="11" s="1"/>
  <c r="M315" i="11"/>
  <c r="AD315" i="11" s="1"/>
  <c r="P314" i="11"/>
  <c r="AB314" i="11" s="1"/>
  <c r="M314" i="11"/>
  <c r="AD314" i="11" s="1"/>
  <c r="P313" i="11"/>
  <c r="AB313" i="11" s="1"/>
  <c r="M313" i="11"/>
  <c r="AD313" i="11" s="1"/>
  <c r="P312" i="11"/>
  <c r="AB312" i="11" s="1"/>
  <c r="M312" i="11"/>
  <c r="AD312" i="11" s="1"/>
  <c r="P311" i="11"/>
  <c r="AB311" i="11" s="1"/>
  <c r="M311" i="11"/>
  <c r="AD311" i="11" s="1"/>
  <c r="P310" i="11"/>
  <c r="AB310" i="11" s="1"/>
  <c r="M310" i="11"/>
  <c r="AD310" i="11" s="1"/>
  <c r="P309" i="11"/>
  <c r="AB309" i="11" s="1"/>
  <c r="M309" i="11"/>
  <c r="AD309" i="11" s="1"/>
  <c r="P308" i="11"/>
  <c r="AB308" i="11" s="1"/>
  <c r="M308" i="11"/>
  <c r="AD308" i="11" s="1"/>
  <c r="P307" i="11"/>
  <c r="AB307" i="11" s="1"/>
  <c r="M307" i="11"/>
  <c r="AD307" i="11" s="1"/>
  <c r="P306" i="11"/>
  <c r="AB306" i="11" s="1"/>
  <c r="M306" i="11"/>
  <c r="AD306" i="11" s="1"/>
  <c r="P305" i="11"/>
  <c r="AB305" i="11" s="1"/>
  <c r="M305" i="11"/>
  <c r="AD305" i="11" s="1"/>
  <c r="P304" i="11"/>
  <c r="AB304" i="11" s="1"/>
  <c r="M304" i="11"/>
  <c r="AD304" i="11" s="1"/>
  <c r="P303" i="11"/>
  <c r="AB303" i="11" s="1"/>
  <c r="M303" i="11"/>
  <c r="AD303" i="11" s="1"/>
  <c r="P302" i="11"/>
  <c r="AB302" i="11" s="1"/>
  <c r="M302" i="11"/>
  <c r="AD302" i="11" s="1"/>
  <c r="P301" i="11"/>
  <c r="AB301" i="11" s="1"/>
  <c r="M301" i="11"/>
  <c r="AD301" i="11" s="1"/>
  <c r="P300" i="11"/>
  <c r="AB300" i="11" s="1"/>
  <c r="M300" i="11"/>
  <c r="AD300" i="11" s="1"/>
  <c r="P299" i="11"/>
  <c r="AB299" i="11" s="1"/>
  <c r="M299" i="11"/>
  <c r="AD299" i="11" s="1"/>
  <c r="P298" i="11"/>
  <c r="AB298" i="11" s="1"/>
  <c r="M298" i="11"/>
  <c r="AD298" i="11" s="1"/>
  <c r="P297" i="11"/>
  <c r="AB297" i="11" s="1"/>
  <c r="M297" i="11"/>
  <c r="AD297" i="11" s="1"/>
  <c r="P296" i="11"/>
  <c r="AB296" i="11" s="1"/>
  <c r="M296" i="11"/>
  <c r="AD296" i="11" s="1"/>
  <c r="P295" i="11"/>
  <c r="AB295" i="11" s="1"/>
  <c r="M295" i="11"/>
  <c r="AD295" i="11" s="1"/>
  <c r="P294" i="11"/>
  <c r="AB294" i="11" s="1"/>
  <c r="M294" i="11"/>
  <c r="AD294" i="11" s="1"/>
  <c r="P293" i="11"/>
  <c r="AB293" i="11" s="1"/>
  <c r="M293" i="11"/>
  <c r="AD293" i="11" s="1"/>
  <c r="P292" i="11"/>
  <c r="AB292" i="11" s="1"/>
  <c r="M292" i="11"/>
  <c r="AD292" i="11" s="1"/>
  <c r="P291" i="11"/>
  <c r="AB291" i="11" s="1"/>
  <c r="M291" i="11"/>
  <c r="AD291" i="11" s="1"/>
  <c r="P290" i="11"/>
  <c r="AB290" i="11" s="1"/>
  <c r="M290" i="11"/>
  <c r="AD290" i="11" s="1"/>
  <c r="P289" i="11"/>
  <c r="AB289" i="11" s="1"/>
  <c r="M289" i="11"/>
  <c r="AD289" i="11" s="1"/>
  <c r="P288" i="11"/>
  <c r="AB288" i="11" s="1"/>
  <c r="M288" i="11"/>
  <c r="AD288" i="11" s="1"/>
  <c r="P287" i="11"/>
  <c r="AB287" i="11" s="1"/>
  <c r="M287" i="11"/>
  <c r="AD287" i="11" s="1"/>
  <c r="P286" i="11"/>
  <c r="AB286" i="11" s="1"/>
  <c r="M286" i="11"/>
  <c r="AD286" i="11" s="1"/>
  <c r="P285" i="11"/>
  <c r="AB285" i="11" s="1"/>
  <c r="M285" i="11"/>
  <c r="AD285" i="11" s="1"/>
  <c r="P284" i="11"/>
  <c r="AB284" i="11" s="1"/>
  <c r="M284" i="11"/>
  <c r="AD284" i="11" s="1"/>
  <c r="P283" i="11"/>
  <c r="AB283" i="11" s="1"/>
  <c r="M283" i="11"/>
  <c r="AD283" i="11" s="1"/>
  <c r="P282" i="11"/>
  <c r="AB282" i="11" s="1"/>
  <c r="M282" i="11"/>
  <c r="AD282" i="11" s="1"/>
  <c r="P281" i="11"/>
  <c r="AB281" i="11" s="1"/>
  <c r="M281" i="11"/>
  <c r="AD281" i="11" s="1"/>
  <c r="P280" i="11"/>
  <c r="AB280" i="11" s="1"/>
  <c r="M280" i="11"/>
  <c r="AD280" i="11" s="1"/>
  <c r="P279" i="11"/>
  <c r="AB279" i="11" s="1"/>
  <c r="M279" i="11"/>
  <c r="AD279" i="11" s="1"/>
  <c r="P278" i="11"/>
  <c r="AB278" i="11" s="1"/>
  <c r="M278" i="11"/>
  <c r="AD278" i="11" s="1"/>
  <c r="P277" i="11"/>
  <c r="AB277" i="11" s="1"/>
  <c r="M277" i="11"/>
  <c r="AD277" i="11" s="1"/>
  <c r="P276" i="11"/>
  <c r="AB276" i="11" s="1"/>
  <c r="M276" i="11"/>
  <c r="AD276" i="11" s="1"/>
  <c r="P275" i="11"/>
  <c r="AB275" i="11" s="1"/>
  <c r="M275" i="11"/>
  <c r="AD275" i="11" s="1"/>
  <c r="P274" i="11"/>
  <c r="AB274" i="11" s="1"/>
  <c r="M274" i="11"/>
  <c r="AD274" i="11" s="1"/>
  <c r="P273" i="11"/>
  <c r="AB273" i="11" s="1"/>
  <c r="M273" i="11"/>
  <c r="AD273" i="11" s="1"/>
  <c r="P272" i="11"/>
  <c r="AB272" i="11" s="1"/>
  <c r="M272" i="11"/>
  <c r="AD272" i="11" s="1"/>
  <c r="P271" i="11"/>
  <c r="AB271" i="11" s="1"/>
  <c r="M271" i="11"/>
  <c r="AD271" i="11" s="1"/>
  <c r="P270" i="11"/>
  <c r="AB270" i="11" s="1"/>
  <c r="M270" i="11"/>
  <c r="AD270" i="11" s="1"/>
  <c r="P269" i="11"/>
  <c r="AB269" i="11" s="1"/>
  <c r="M269" i="11"/>
  <c r="AD269" i="11" s="1"/>
  <c r="P268" i="11"/>
  <c r="AB268" i="11" s="1"/>
  <c r="M268" i="11"/>
  <c r="AD268" i="11" s="1"/>
  <c r="P267" i="11"/>
  <c r="AB267" i="11" s="1"/>
  <c r="M267" i="11"/>
  <c r="AD267" i="11" s="1"/>
  <c r="P266" i="11"/>
  <c r="AB266" i="11" s="1"/>
  <c r="M266" i="11"/>
  <c r="AD266" i="11" s="1"/>
  <c r="P265" i="11"/>
  <c r="AB265" i="11" s="1"/>
  <c r="M265" i="11"/>
  <c r="AD265" i="11" s="1"/>
  <c r="P264" i="11"/>
  <c r="AB264" i="11" s="1"/>
  <c r="M264" i="11"/>
  <c r="AD264" i="11" s="1"/>
  <c r="P263" i="11"/>
  <c r="AB263" i="11" s="1"/>
  <c r="M263" i="11"/>
  <c r="AD263" i="11" s="1"/>
  <c r="P262" i="11"/>
  <c r="AB262" i="11" s="1"/>
  <c r="M262" i="11"/>
  <c r="AD262" i="11" s="1"/>
  <c r="P261" i="11"/>
  <c r="AB261" i="11" s="1"/>
  <c r="M261" i="11"/>
  <c r="AD261" i="11" s="1"/>
  <c r="P260" i="11"/>
  <c r="AB260" i="11" s="1"/>
  <c r="M260" i="11"/>
  <c r="AD260" i="11" s="1"/>
  <c r="P259" i="11"/>
  <c r="AB259" i="11" s="1"/>
  <c r="M259" i="11"/>
  <c r="AD259" i="11" s="1"/>
  <c r="P258" i="11"/>
  <c r="AB258" i="11" s="1"/>
  <c r="M258" i="11"/>
  <c r="AD258" i="11" s="1"/>
  <c r="P257" i="11"/>
  <c r="AB257" i="11" s="1"/>
  <c r="M257" i="11"/>
  <c r="AD257" i="11" s="1"/>
  <c r="P256" i="11"/>
  <c r="AB256" i="11" s="1"/>
  <c r="M256" i="11"/>
  <c r="AD256" i="11" s="1"/>
  <c r="P255" i="11"/>
  <c r="AB255" i="11" s="1"/>
  <c r="M255" i="11"/>
  <c r="AD255" i="11" s="1"/>
  <c r="P254" i="11"/>
  <c r="AB254" i="11" s="1"/>
  <c r="M254" i="11"/>
  <c r="AD254" i="11" s="1"/>
  <c r="P253" i="11"/>
  <c r="AB253" i="11" s="1"/>
  <c r="M253" i="11"/>
  <c r="AD253" i="11" s="1"/>
  <c r="P252" i="11"/>
  <c r="AB252" i="11" s="1"/>
  <c r="M252" i="11"/>
  <c r="AD252" i="11" s="1"/>
  <c r="P251" i="11"/>
  <c r="AB251" i="11" s="1"/>
  <c r="M251" i="11"/>
  <c r="AD251" i="11" s="1"/>
  <c r="P250" i="11"/>
  <c r="AB250" i="11" s="1"/>
  <c r="M250" i="11"/>
  <c r="AD250" i="11" s="1"/>
  <c r="P249" i="11"/>
  <c r="AB249" i="11" s="1"/>
  <c r="M249" i="11"/>
  <c r="AD249" i="11" s="1"/>
  <c r="P248" i="11"/>
  <c r="AB248" i="11" s="1"/>
  <c r="M248" i="11"/>
  <c r="AD248" i="11" s="1"/>
  <c r="P247" i="11"/>
  <c r="AB247" i="11" s="1"/>
  <c r="M247" i="11"/>
  <c r="AD247" i="11" s="1"/>
  <c r="P246" i="11"/>
  <c r="AB246" i="11" s="1"/>
  <c r="M246" i="11"/>
  <c r="AD246" i="11" s="1"/>
  <c r="P245" i="11"/>
  <c r="AB245" i="11" s="1"/>
  <c r="M245" i="11"/>
  <c r="AD245" i="11" s="1"/>
  <c r="P244" i="11"/>
  <c r="AB244" i="11" s="1"/>
  <c r="M244" i="11"/>
  <c r="AD244" i="11" s="1"/>
  <c r="P243" i="11"/>
  <c r="AB243" i="11" s="1"/>
  <c r="M243" i="11"/>
  <c r="AD243" i="11" s="1"/>
  <c r="P242" i="11"/>
  <c r="AB242" i="11" s="1"/>
  <c r="M242" i="11"/>
  <c r="AD242" i="11" s="1"/>
  <c r="P241" i="11"/>
  <c r="AB241" i="11" s="1"/>
  <c r="M241" i="11"/>
  <c r="AD241" i="11" s="1"/>
  <c r="P240" i="11"/>
  <c r="AB240" i="11" s="1"/>
  <c r="M240" i="11"/>
  <c r="AD240" i="11" s="1"/>
  <c r="P239" i="11"/>
  <c r="AB239" i="11" s="1"/>
  <c r="M239" i="11"/>
  <c r="AD239" i="11" s="1"/>
  <c r="P238" i="11"/>
  <c r="AB238" i="11" s="1"/>
  <c r="M238" i="11"/>
  <c r="AD238" i="11" s="1"/>
  <c r="P237" i="11"/>
  <c r="AB237" i="11" s="1"/>
  <c r="M237" i="11"/>
  <c r="AD237" i="11" s="1"/>
  <c r="P236" i="11"/>
  <c r="AB236" i="11" s="1"/>
  <c r="M236" i="11"/>
  <c r="AD236" i="11" s="1"/>
  <c r="P235" i="11"/>
  <c r="AB235" i="11" s="1"/>
  <c r="M235" i="11"/>
  <c r="AD235" i="11" s="1"/>
  <c r="P234" i="11"/>
  <c r="AB234" i="11" s="1"/>
  <c r="M234" i="11"/>
  <c r="AD234" i="11" s="1"/>
  <c r="P233" i="11"/>
  <c r="AB233" i="11" s="1"/>
  <c r="M233" i="11"/>
  <c r="AD233" i="11" s="1"/>
  <c r="P232" i="11"/>
  <c r="AB232" i="11" s="1"/>
  <c r="M232" i="11"/>
  <c r="AD232" i="11" s="1"/>
  <c r="P231" i="11"/>
  <c r="AB231" i="11" s="1"/>
  <c r="M231" i="11"/>
  <c r="AD231" i="11" s="1"/>
  <c r="P230" i="11"/>
  <c r="AB230" i="11" s="1"/>
  <c r="M230" i="11"/>
  <c r="AD230" i="11" s="1"/>
  <c r="P229" i="11"/>
  <c r="AB229" i="11" s="1"/>
  <c r="M229" i="11"/>
  <c r="AD229" i="11" s="1"/>
  <c r="P228" i="11"/>
  <c r="AB228" i="11" s="1"/>
  <c r="M228" i="11"/>
  <c r="AD228" i="11" s="1"/>
  <c r="P227" i="11"/>
  <c r="AB227" i="11" s="1"/>
  <c r="M227" i="11"/>
  <c r="AD227" i="11" s="1"/>
  <c r="P226" i="11"/>
  <c r="AB226" i="11" s="1"/>
  <c r="M226" i="11"/>
  <c r="AD226" i="11" s="1"/>
  <c r="P225" i="11"/>
  <c r="AB225" i="11" s="1"/>
  <c r="M225" i="11"/>
  <c r="AD225" i="11" s="1"/>
  <c r="P224" i="11"/>
  <c r="AB224" i="11" s="1"/>
  <c r="M224" i="11"/>
  <c r="AD224" i="11" s="1"/>
  <c r="P223" i="11"/>
  <c r="AB223" i="11" s="1"/>
  <c r="M223" i="11"/>
  <c r="AD223" i="11" s="1"/>
  <c r="P222" i="11"/>
  <c r="AB222" i="11" s="1"/>
  <c r="M222" i="11"/>
  <c r="AD222" i="11" s="1"/>
  <c r="P221" i="11"/>
  <c r="AB221" i="11" s="1"/>
  <c r="M221" i="11"/>
  <c r="AD221" i="11" s="1"/>
  <c r="P220" i="11"/>
  <c r="AB220" i="11" s="1"/>
  <c r="M220" i="11"/>
  <c r="AD220" i="11" s="1"/>
  <c r="P219" i="11"/>
  <c r="AB219" i="11" s="1"/>
  <c r="M219" i="11"/>
  <c r="AD219" i="11" s="1"/>
  <c r="P218" i="11"/>
  <c r="AB218" i="11" s="1"/>
  <c r="M218" i="11"/>
  <c r="AD218" i="11" s="1"/>
  <c r="P217" i="11"/>
  <c r="AB217" i="11" s="1"/>
  <c r="M217" i="11"/>
  <c r="AD217" i="11" s="1"/>
  <c r="P216" i="11"/>
  <c r="AB216" i="11" s="1"/>
  <c r="M216" i="11"/>
  <c r="AD216" i="11" s="1"/>
  <c r="P215" i="11"/>
  <c r="AB215" i="11" s="1"/>
  <c r="M215" i="11"/>
  <c r="AD215" i="11" s="1"/>
  <c r="P214" i="11"/>
  <c r="AB214" i="11" s="1"/>
  <c r="M214" i="11"/>
  <c r="AD214" i="11" s="1"/>
  <c r="P213" i="11"/>
  <c r="AB213" i="11" s="1"/>
  <c r="M213" i="11"/>
  <c r="AD213" i="11" s="1"/>
  <c r="P212" i="11"/>
  <c r="AB212" i="11" s="1"/>
  <c r="M212" i="11"/>
  <c r="AD212" i="11" s="1"/>
  <c r="P211" i="11"/>
  <c r="AB211" i="11" s="1"/>
  <c r="M211" i="11"/>
  <c r="AD211" i="11" s="1"/>
  <c r="P210" i="11"/>
  <c r="AB210" i="11" s="1"/>
  <c r="M210" i="11"/>
  <c r="AD210" i="11" s="1"/>
  <c r="P209" i="11"/>
  <c r="AB209" i="11" s="1"/>
  <c r="M209" i="11"/>
  <c r="AD209" i="11" s="1"/>
  <c r="P208" i="11"/>
  <c r="AB208" i="11" s="1"/>
  <c r="M208" i="11"/>
  <c r="AD208" i="11" s="1"/>
  <c r="P207" i="11"/>
  <c r="AB207" i="11" s="1"/>
  <c r="M207" i="11"/>
  <c r="AD207" i="11" s="1"/>
  <c r="P206" i="11"/>
  <c r="AB206" i="11" s="1"/>
  <c r="M206" i="11"/>
  <c r="AD206" i="11" s="1"/>
  <c r="P205" i="11"/>
  <c r="AB205" i="11" s="1"/>
  <c r="M205" i="11"/>
  <c r="AD205" i="11" s="1"/>
  <c r="P204" i="11"/>
  <c r="AB204" i="11" s="1"/>
  <c r="M204" i="11"/>
  <c r="AD204" i="11" s="1"/>
  <c r="P203" i="11"/>
  <c r="AB203" i="11" s="1"/>
  <c r="M203" i="11"/>
  <c r="AD203" i="11" s="1"/>
  <c r="P202" i="11"/>
  <c r="AB202" i="11" s="1"/>
  <c r="M202" i="11"/>
  <c r="AD202" i="11" s="1"/>
  <c r="P201" i="11"/>
  <c r="AB201" i="11" s="1"/>
  <c r="M201" i="11"/>
  <c r="AD201" i="11" s="1"/>
  <c r="P200" i="11"/>
  <c r="AB200" i="11" s="1"/>
  <c r="M200" i="11"/>
  <c r="AD200" i="11" s="1"/>
  <c r="P199" i="11"/>
  <c r="AB199" i="11" s="1"/>
  <c r="M199" i="11"/>
  <c r="AD199" i="11" s="1"/>
  <c r="P198" i="11"/>
  <c r="AB198" i="11" s="1"/>
  <c r="M198" i="11"/>
  <c r="AD198" i="11" s="1"/>
  <c r="P197" i="11"/>
  <c r="AB197" i="11" s="1"/>
  <c r="M197" i="11"/>
  <c r="AD197" i="11" s="1"/>
  <c r="P196" i="11"/>
  <c r="AB196" i="11" s="1"/>
  <c r="M196" i="11"/>
  <c r="AD196" i="11" s="1"/>
  <c r="P195" i="11"/>
  <c r="AB195" i="11" s="1"/>
  <c r="M195" i="11"/>
  <c r="AD195" i="11" s="1"/>
  <c r="P194" i="11"/>
  <c r="AB194" i="11" s="1"/>
  <c r="M194" i="11"/>
  <c r="AD194" i="11" s="1"/>
  <c r="P193" i="11"/>
  <c r="AB193" i="11" s="1"/>
  <c r="M193" i="11"/>
  <c r="AD193" i="11" s="1"/>
  <c r="P192" i="11"/>
  <c r="AB192" i="11" s="1"/>
  <c r="M192" i="11"/>
  <c r="AD192" i="11" s="1"/>
  <c r="P191" i="11"/>
  <c r="AB191" i="11" s="1"/>
  <c r="M191" i="11"/>
  <c r="AD191" i="11" s="1"/>
  <c r="P190" i="11"/>
  <c r="AB190" i="11" s="1"/>
  <c r="M190" i="11"/>
  <c r="AD190" i="11" s="1"/>
  <c r="P189" i="11"/>
  <c r="AB189" i="11" s="1"/>
  <c r="M189" i="11"/>
  <c r="AD189" i="11" s="1"/>
  <c r="P188" i="11"/>
  <c r="AB188" i="11" s="1"/>
  <c r="M188" i="11"/>
  <c r="AD188" i="11" s="1"/>
  <c r="P187" i="11"/>
  <c r="AB187" i="11" s="1"/>
  <c r="M187" i="11"/>
  <c r="AD187" i="11" s="1"/>
  <c r="P186" i="11"/>
  <c r="AB186" i="11" s="1"/>
  <c r="M186" i="11"/>
  <c r="AD186" i="11" s="1"/>
  <c r="P185" i="11"/>
  <c r="AB185" i="11" s="1"/>
  <c r="M185" i="11"/>
  <c r="AD185" i="11" s="1"/>
  <c r="P184" i="11"/>
  <c r="AB184" i="11" s="1"/>
  <c r="M184" i="11"/>
  <c r="AD184" i="11" s="1"/>
  <c r="P183" i="11"/>
  <c r="AB183" i="11" s="1"/>
  <c r="M183" i="11"/>
  <c r="AD183" i="11" s="1"/>
  <c r="P182" i="11"/>
  <c r="AB182" i="11" s="1"/>
  <c r="M182" i="11"/>
  <c r="AD182" i="11" s="1"/>
  <c r="P181" i="11"/>
  <c r="AB181" i="11" s="1"/>
  <c r="M181" i="11"/>
  <c r="AD181" i="11" s="1"/>
  <c r="P180" i="11"/>
  <c r="AB180" i="11" s="1"/>
  <c r="M180" i="11"/>
  <c r="AD180" i="11" s="1"/>
  <c r="P179" i="11"/>
  <c r="AB179" i="11" s="1"/>
  <c r="M179" i="11"/>
  <c r="AD179" i="11" s="1"/>
  <c r="P178" i="11"/>
  <c r="AB178" i="11" s="1"/>
  <c r="M178" i="11"/>
  <c r="AD178" i="11" s="1"/>
  <c r="P177" i="11"/>
  <c r="AB177" i="11" s="1"/>
  <c r="M177" i="11"/>
  <c r="AD177" i="11" s="1"/>
  <c r="P176" i="11"/>
  <c r="AB176" i="11" s="1"/>
  <c r="M176" i="11"/>
  <c r="AD176" i="11" s="1"/>
  <c r="P175" i="11"/>
  <c r="AB175" i="11" s="1"/>
  <c r="M175" i="11"/>
  <c r="AD175" i="11" s="1"/>
  <c r="P174" i="11"/>
  <c r="AB174" i="11" s="1"/>
  <c r="M174" i="11"/>
  <c r="AD174" i="11" s="1"/>
  <c r="P173" i="11"/>
  <c r="AB173" i="11" s="1"/>
  <c r="M173" i="11"/>
  <c r="AD173" i="11" s="1"/>
  <c r="P172" i="11"/>
  <c r="AB172" i="11" s="1"/>
  <c r="M172" i="11"/>
  <c r="AD172" i="11" s="1"/>
  <c r="P171" i="11"/>
  <c r="AB171" i="11" s="1"/>
  <c r="M171" i="11"/>
  <c r="AD171" i="11" s="1"/>
  <c r="P170" i="11"/>
  <c r="AB170" i="11" s="1"/>
  <c r="M170" i="11"/>
  <c r="AD170" i="11" s="1"/>
  <c r="P169" i="11"/>
  <c r="AB169" i="11" s="1"/>
  <c r="M169" i="11"/>
  <c r="AD169" i="11" s="1"/>
  <c r="P168" i="11"/>
  <c r="AB168" i="11" s="1"/>
  <c r="M168" i="11"/>
  <c r="AD168" i="11" s="1"/>
  <c r="P167" i="11"/>
  <c r="AB167" i="11" s="1"/>
  <c r="M167" i="11"/>
  <c r="AD167" i="11" s="1"/>
  <c r="P166" i="11"/>
  <c r="AB166" i="11" s="1"/>
  <c r="M166" i="11"/>
  <c r="AD166" i="11" s="1"/>
  <c r="P165" i="11"/>
  <c r="AB165" i="11" s="1"/>
  <c r="M165" i="11"/>
  <c r="AD165" i="11" s="1"/>
  <c r="P164" i="11"/>
  <c r="AB164" i="11" s="1"/>
  <c r="M164" i="11"/>
  <c r="AD164" i="11" s="1"/>
  <c r="P163" i="11"/>
  <c r="AB163" i="11" s="1"/>
  <c r="M163" i="11"/>
  <c r="AD163" i="11" s="1"/>
  <c r="P162" i="11"/>
  <c r="AB162" i="11" s="1"/>
  <c r="M162" i="11"/>
  <c r="AD162" i="11" s="1"/>
  <c r="P161" i="11"/>
  <c r="AB161" i="11" s="1"/>
  <c r="M161" i="11"/>
  <c r="AD161" i="11" s="1"/>
  <c r="P160" i="11"/>
  <c r="AB160" i="11" s="1"/>
  <c r="M160" i="11"/>
  <c r="AD160" i="11" s="1"/>
  <c r="P159" i="11"/>
  <c r="AB159" i="11" s="1"/>
  <c r="M159" i="11"/>
  <c r="AD159" i="11" s="1"/>
  <c r="P158" i="11"/>
  <c r="AB158" i="11" s="1"/>
  <c r="M158" i="11"/>
  <c r="AD158" i="11" s="1"/>
  <c r="P157" i="11"/>
  <c r="AB157" i="11" s="1"/>
  <c r="M157" i="11"/>
  <c r="AD157" i="11" s="1"/>
  <c r="P156" i="11"/>
  <c r="AB156" i="11" s="1"/>
  <c r="M156" i="11"/>
  <c r="AD156" i="11" s="1"/>
  <c r="P155" i="11"/>
  <c r="AB155" i="11" s="1"/>
  <c r="M155" i="11"/>
  <c r="AD155" i="11" s="1"/>
  <c r="P154" i="11"/>
  <c r="AB154" i="11" s="1"/>
  <c r="M154" i="11"/>
  <c r="AD154" i="11" s="1"/>
  <c r="P153" i="11"/>
  <c r="AB153" i="11" s="1"/>
  <c r="M153" i="11"/>
  <c r="AD153" i="11" s="1"/>
  <c r="P152" i="11"/>
  <c r="AB152" i="11" s="1"/>
  <c r="M152" i="11"/>
  <c r="AD152" i="11" s="1"/>
  <c r="P151" i="11"/>
  <c r="AB151" i="11" s="1"/>
  <c r="M151" i="11"/>
  <c r="AD151" i="11" s="1"/>
  <c r="P150" i="11"/>
  <c r="AB150" i="11" s="1"/>
  <c r="M150" i="11"/>
  <c r="AD150" i="11" s="1"/>
  <c r="P149" i="11"/>
  <c r="AB149" i="11" s="1"/>
  <c r="M149" i="11"/>
  <c r="AD149" i="11" s="1"/>
  <c r="P148" i="11"/>
  <c r="AB148" i="11" s="1"/>
  <c r="M148" i="11"/>
  <c r="AD148" i="11" s="1"/>
  <c r="P147" i="11"/>
  <c r="AB147" i="11" s="1"/>
  <c r="M147" i="11"/>
  <c r="AD147" i="11" s="1"/>
  <c r="P146" i="11"/>
  <c r="AB146" i="11" s="1"/>
  <c r="M146" i="11"/>
  <c r="AD146" i="11" s="1"/>
  <c r="P145" i="11"/>
  <c r="AB145" i="11" s="1"/>
  <c r="M145" i="11"/>
  <c r="AD145" i="11" s="1"/>
  <c r="P144" i="11"/>
  <c r="AB144" i="11" s="1"/>
  <c r="M144" i="11"/>
  <c r="AD144" i="11" s="1"/>
  <c r="P143" i="11"/>
  <c r="AB143" i="11" s="1"/>
  <c r="M143" i="11"/>
  <c r="AD143" i="11" s="1"/>
  <c r="P142" i="11"/>
  <c r="AB142" i="11" s="1"/>
  <c r="M142" i="11"/>
  <c r="AD142" i="11" s="1"/>
  <c r="P141" i="11"/>
  <c r="AB141" i="11" s="1"/>
  <c r="M141" i="11"/>
  <c r="AD141" i="11" s="1"/>
  <c r="P140" i="11"/>
  <c r="AB140" i="11" s="1"/>
  <c r="M140" i="11"/>
  <c r="AD140" i="11" s="1"/>
  <c r="P139" i="11"/>
  <c r="AB139" i="11" s="1"/>
  <c r="M139" i="11"/>
  <c r="AD139" i="11" s="1"/>
  <c r="P138" i="11"/>
  <c r="AB138" i="11" s="1"/>
  <c r="M138" i="11"/>
  <c r="AD138" i="11" s="1"/>
  <c r="P137" i="11"/>
  <c r="AB137" i="11" s="1"/>
  <c r="M137" i="11"/>
  <c r="AD137" i="11" s="1"/>
  <c r="P136" i="11"/>
  <c r="AB136" i="11" s="1"/>
  <c r="M136" i="11"/>
  <c r="AD136" i="11" s="1"/>
  <c r="P135" i="11"/>
  <c r="AB135" i="11" s="1"/>
  <c r="M135" i="11"/>
  <c r="AD135" i="11" s="1"/>
  <c r="P134" i="11"/>
  <c r="AB134" i="11" s="1"/>
  <c r="M134" i="11"/>
  <c r="AD134" i="11" s="1"/>
  <c r="P133" i="11"/>
  <c r="AB133" i="11" s="1"/>
  <c r="M133" i="11"/>
  <c r="AD133" i="11" s="1"/>
  <c r="P132" i="11"/>
  <c r="AB132" i="11" s="1"/>
  <c r="M132" i="11"/>
  <c r="AD132" i="11" s="1"/>
  <c r="P131" i="11"/>
  <c r="AB131" i="11" s="1"/>
  <c r="M131" i="11"/>
  <c r="AD131" i="11" s="1"/>
  <c r="P130" i="11"/>
  <c r="AB130" i="11" s="1"/>
  <c r="M130" i="11"/>
  <c r="AD130" i="11" s="1"/>
  <c r="P129" i="11"/>
  <c r="AB129" i="11" s="1"/>
  <c r="M129" i="11"/>
  <c r="AD129" i="11" s="1"/>
  <c r="P128" i="11"/>
  <c r="AB128" i="11" s="1"/>
  <c r="M128" i="11"/>
  <c r="AD128" i="11" s="1"/>
  <c r="P127" i="11"/>
  <c r="AB127" i="11" s="1"/>
  <c r="M127" i="11"/>
  <c r="AD127" i="11" s="1"/>
  <c r="P126" i="11"/>
  <c r="AB126" i="11" s="1"/>
  <c r="M126" i="11"/>
  <c r="AD126" i="11" s="1"/>
  <c r="P125" i="11"/>
  <c r="AB125" i="11" s="1"/>
  <c r="M125" i="11"/>
  <c r="AD125" i="11" s="1"/>
  <c r="P124" i="11"/>
  <c r="AB124" i="11" s="1"/>
  <c r="M124" i="11"/>
  <c r="AD124" i="11" s="1"/>
  <c r="P123" i="11"/>
  <c r="AB123" i="11" s="1"/>
  <c r="M123" i="11"/>
  <c r="AD123" i="11" s="1"/>
  <c r="P122" i="11"/>
  <c r="AB122" i="11" s="1"/>
  <c r="M122" i="11"/>
  <c r="AD122" i="11" s="1"/>
  <c r="P121" i="11"/>
  <c r="AB121" i="11" s="1"/>
  <c r="M121" i="11"/>
  <c r="AD121" i="11" s="1"/>
  <c r="P120" i="11"/>
  <c r="AB120" i="11" s="1"/>
  <c r="M120" i="11"/>
  <c r="AD120" i="11" s="1"/>
  <c r="P119" i="11"/>
  <c r="AB119" i="11" s="1"/>
  <c r="M119" i="11"/>
  <c r="AD119" i="11" s="1"/>
  <c r="P118" i="11"/>
  <c r="AB118" i="11" s="1"/>
  <c r="M118" i="11"/>
  <c r="AD118" i="11" s="1"/>
  <c r="P117" i="11"/>
  <c r="AB117" i="11" s="1"/>
  <c r="M117" i="11"/>
  <c r="AD117" i="11" s="1"/>
  <c r="P116" i="11"/>
  <c r="AB116" i="11" s="1"/>
  <c r="M116" i="11"/>
  <c r="AD116" i="11" s="1"/>
  <c r="P115" i="11"/>
  <c r="AB115" i="11" s="1"/>
  <c r="M115" i="11"/>
  <c r="AD115" i="11" s="1"/>
  <c r="P114" i="11"/>
  <c r="AB114" i="11" s="1"/>
  <c r="M114" i="11"/>
  <c r="AD114" i="11" s="1"/>
  <c r="P113" i="11"/>
  <c r="AB113" i="11" s="1"/>
  <c r="M113" i="11"/>
  <c r="AD113" i="11" s="1"/>
  <c r="P112" i="11"/>
  <c r="AB112" i="11" s="1"/>
  <c r="M112" i="11"/>
  <c r="AD112" i="11" s="1"/>
  <c r="P111" i="11"/>
  <c r="AB111" i="11" s="1"/>
  <c r="M111" i="11"/>
  <c r="AD111" i="11" s="1"/>
  <c r="P110" i="11"/>
  <c r="AB110" i="11" s="1"/>
  <c r="M110" i="11"/>
  <c r="AD110" i="11" s="1"/>
  <c r="P109" i="11"/>
  <c r="AB109" i="11" s="1"/>
  <c r="M109" i="11"/>
  <c r="AD109" i="11" s="1"/>
  <c r="P108" i="11"/>
  <c r="AB108" i="11" s="1"/>
  <c r="M108" i="11"/>
  <c r="AD108" i="11" s="1"/>
  <c r="P107" i="11"/>
  <c r="AB107" i="11" s="1"/>
  <c r="M107" i="11"/>
  <c r="AD107" i="11" s="1"/>
  <c r="P106" i="11"/>
  <c r="AB106" i="11" s="1"/>
  <c r="M106" i="11"/>
  <c r="AD106" i="11" s="1"/>
  <c r="P105" i="11"/>
  <c r="AB105" i="11" s="1"/>
  <c r="M105" i="11"/>
  <c r="AD105" i="11" s="1"/>
  <c r="P104" i="11"/>
  <c r="AB104" i="11" s="1"/>
  <c r="M104" i="11"/>
  <c r="AD104" i="11" s="1"/>
  <c r="P103" i="11"/>
  <c r="AB103" i="11" s="1"/>
  <c r="M103" i="11"/>
  <c r="AD103" i="11" s="1"/>
  <c r="P102" i="11"/>
  <c r="AB102" i="11" s="1"/>
  <c r="M102" i="11"/>
  <c r="AD102" i="11" s="1"/>
  <c r="P101" i="11"/>
  <c r="AB101" i="11" s="1"/>
  <c r="M101" i="11"/>
  <c r="AD101" i="11" s="1"/>
  <c r="P100" i="11"/>
  <c r="AB100" i="11" s="1"/>
  <c r="M100" i="11"/>
  <c r="AD100" i="11" s="1"/>
  <c r="AB99" i="11"/>
  <c r="P99" i="11"/>
  <c r="M99" i="11"/>
  <c r="AD99" i="11" s="1"/>
  <c r="P98" i="11"/>
  <c r="AB98" i="11" s="1"/>
  <c r="M98" i="11"/>
  <c r="AD98" i="11" s="1"/>
  <c r="P97" i="11"/>
  <c r="AB97" i="11" s="1"/>
  <c r="M97" i="11"/>
  <c r="AD97" i="11" s="1"/>
  <c r="P96" i="11"/>
  <c r="AB96" i="11" s="1"/>
  <c r="M96" i="11"/>
  <c r="AD96" i="11" s="1"/>
  <c r="P95" i="11"/>
  <c r="AB95" i="11" s="1"/>
  <c r="M95" i="11"/>
  <c r="AD95" i="11" s="1"/>
  <c r="P94" i="11"/>
  <c r="AB94" i="11" s="1"/>
  <c r="M94" i="11"/>
  <c r="AD94" i="11" s="1"/>
  <c r="P93" i="11"/>
  <c r="AB93" i="11" s="1"/>
  <c r="M93" i="11"/>
  <c r="AD93" i="11" s="1"/>
  <c r="P92" i="11"/>
  <c r="AB92" i="11" s="1"/>
  <c r="M92" i="11"/>
  <c r="AD92" i="11" s="1"/>
  <c r="P91" i="11"/>
  <c r="AB91" i="11" s="1"/>
  <c r="M91" i="11"/>
  <c r="AD91" i="11" s="1"/>
  <c r="P90" i="11"/>
  <c r="AB90" i="11" s="1"/>
  <c r="M90" i="11"/>
  <c r="AD90" i="11" s="1"/>
  <c r="P89" i="11"/>
  <c r="AB89" i="11" s="1"/>
  <c r="M89" i="11"/>
  <c r="AD89" i="11" s="1"/>
  <c r="P88" i="11"/>
  <c r="AB88" i="11" s="1"/>
  <c r="M88" i="11"/>
  <c r="AD88" i="11" s="1"/>
  <c r="P87" i="11"/>
  <c r="AB87" i="11" s="1"/>
  <c r="M87" i="11"/>
  <c r="AD87" i="11" s="1"/>
  <c r="P86" i="11"/>
  <c r="AB86" i="11" s="1"/>
  <c r="M86" i="11"/>
  <c r="AD86" i="11" s="1"/>
  <c r="P85" i="11"/>
  <c r="AB85" i="11" s="1"/>
  <c r="M85" i="11"/>
  <c r="AD85" i="11" s="1"/>
  <c r="P84" i="11"/>
  <c r="AB84" i="11" s="1"/>
  <c r="M84" i="11"/>
  <c r="AD84" i="11" s="1"/>
  <c r="P83" i="11"/>
  <c r="AB83" i="11" s="1"/>
  <c r="M83" i="11"/>
  <c r="AD83" i="11" s="1"/>
  <c r="P82" i="11"/>
  <c r="AB82" i="11" s="1"/>
  <c r="M82" i="11"/>
  <c r="AD82" i="11" s="1"/>
  <c r="P81" i="11"/>
  <c r="AB81" i="11" s="1"/>
  <c r="M81" i="11"/>
  <c r="AD81" i="11" s="1"/>
  <c r="P80" i="11"/>
  <c r="AB80" i="11" s="1"/>
  <c r="M80" i="11"/>
  <c r="AD80" i="11" s="1"/>
  <c r="P79" i="11"/>
  <c r="AB79" i="11" s="1"/>
  <c r="M79" i="11"/>
  <c r="AD79" i="11" s="1"/>
  <c r="P78" i="11"/>
  <c r="AB78" i="11" s="1"/>
  <c r="M78" i="11"/>
  <c r="AD78" i="11" s="1"/>
  <c r="P77" i="11"/>
  <c r="AB77" i="11" s="1"/>
  <c r="M77" i="11"/>
  <c r="AD77" i="11" s="1"/>
  <c r="P76" i="11"/>
  <c r="AB76" i="11" s="1"/>
  <c r="M76" i="11"/>
  <c r="AD76" i="11" s="1"/>
  <c r="AB75" i="11"/>
  <c r="P75" i="11"/>
  <c r="M75" i="11"/>
  <c r="AD75" i="11" s="1"/>
  <c r="P74" i="11"/>
  <c r="AB74" i="11" s="1"/>
  <c r="M74" i="11"/>
  <c r="AD74" i="11" s="1"/>
  <c r="P73" i="11"/>
  <c r="AB73" i="11" s="1"/>
  <c r="M73" i="11"/>
  <c r="AD73" i="11" s="1"/>
  <c r="P72" i="11"/>
  <c r="AB72" i="11" s="1"/>
  <c r="M72" i="11"/>
  <c r="AD72" i="11" s="1"/>
  <c r="P71" i="11"/>
  <c r="AB71" i="11" s="1"/>
  <c r="M71" i="11"/>
  <c r="AD71" i="11" s="1"/>
  <c r="P70" i="11"/>
  <c r="AB70" i="11" s="1"/>
  <c r="M70" i="11"/>
  <c r="AD70" i="11" s="1"/>
  <c r="P69" i="11"/>
  <c r="AB69" i="11" s="1"/>
  <c r="M69" i="11"/>
  <c r="AD69" i="11" s="1"/>
  <c r="P68" i="11"/>
  <c r="AB68" i="11" s="1"/>
  <c r="M68" i="11"/>
  <c r="AD68" i="11" s="1"/>
  <c r="P67" i="11"/>
  <c r="AB67" i="11" s="1"/>
  <c r="M67" i="11"/>
  <c r="AD67" i="11" s="1"/>
  <c r="P66" i="11"/>
  <c r="AB66" i="11" s="1"/>
  <c r="M66" i="11"/>
  <c r="AD66" i="11" s="1"/>
  <c r="P65" i="11"/>
  <c r="AB65" i="11" s="1"/>
  <c r="M65" i="11"/>
  <c r="AD65" i="11" s="1"/>
  <c r="P64" i="11"/>
  <c r="AB64" i="11" s="1"/>
  <c r="M64" i="11"/>
  <c r="AD64" i="11" s="1"/>
  <c r="AB63" i="11"/>
  <c r="P63" i="11"/>
  <c r="M63" i="11"/>
  <c r="AD63" i="11" s="1"/>
  <c r="P62" i="11"/>
  <c r="AB62" i="11" s="1"/>
  <c r="M62" i="11"/>
  <c r="AD62" i="11" s="1"/>
  <c r="P61" i="11"/>
  <c r="AB61" i="11" s="1"/>
  <c r="M61" i="11"/>
  <c r="AD61" i="11" s="1"/>
  <c r="P60" i="11"/>
  <c r="AB60" i="11" s="1"/>
  <c r="M60" i="11"/>
  <c r="AD60" i="11" s="1"/>
  <c r="P59" i="11"/>
  <c r="AB59" i="11" s="1"/>
  <c r="M59" i="11"/>
  <c r="AD59" i="11" s="1"/>
  <c r="P58" i="11"/>
  <c r="AB58" i="11" s="1"/>
  <c r="M58" i="11"/>
  <c r="AD58" i="11" s="1"/>
  <c r="P57" i="11"/>
  <c r="AB57" i="11" s="1"/>
  <c r="M57" i="11"/>
  <c r="AD57" i="11" s="1"/>
  <c r="P56" i="11"/>
  <c r="AB56" i="11" s="1"/>
  <c r="M56" i="11"/>
  <c r="AD56" i="11" s="1"/>
  <c r="P55" i="11"/>
  <c r="AB55" i="11" s="1"/>
  <c r="M55" i="11"/>
  <c r="AD55" i="11" s="1"/>
  <c r="P54" i="11"/>
  <c r="AB54" i="11" s="1"/>
  <c r="M54" i="11"/>
  <c r="AD54" i="11" s="1"/>
  <c r="P53" i="11"/>
  <c r="AB53" i="11" s="1"/>
  <c r="M53" i="11"/>
  <c r="AD53" i="11" s="1"/>
  <c r="P52" i="11"/>
  <c r="AB52" i="11" s="1"/>
  <c r="M52" i="11"/>
  <c r="AD52" i="11" s="1"/>
  <c r="P51" i="11"/>
  <c r="AB51" i="11" s="1"/>
  <c r="M51" i="11"/>
  <c r="AD51" i="11" s="1"/>
  <c r="P50" i="11"/>
  <c r="AB50" i="11" s="1"/>
  <c r="M50" i="11"/>
  <c r="AD50" i="11" s="1"/>
  <c r="P49" i="11"/>
  <c r="AB49" i="11" s="1"/>
  <c r="M49" i="11"/>
  <c r="AD49" i="11" s="1"/>
  <c r="P48" i="11"/>
  <c r="AB48" i="11" s="1"/>
  <c r="M48" i="11"/>
  <c r="AD48" i="11" s="1"/>
  <c r="P47" i="11"/>
  <c r="AB47" i="11" s="1"/>
  <c r="M47" i="11"/>
  <c r="AD47" i="11" s="1"/>
  <c r="P46" i="11"/>
  <c r="AB46" i="11" s="1"/>
  <c r="M46" i="11"/>
  <c r="AD46" i="11" s="1"/>
  <c r="P45" i="11"/>
  <c r="AB45" i="11" s="1"/>
  <c r="M45" i="11"/>
  <c r="AD45" i="11" s="1"/>
  <c r="AB44" i="11"/>
  <c r="AD44" i="11"/>
  <c r="AB42" i="11"/>
  <c r="AD42" i="11"/>
  <c r="P36" i="11"/>
  <c r="AD36" i="11"/>
  <c r="P35" i="11"/>
  <c r="AB35" i="11" s="1"/>
  <c r="M35" i="11"/>
  <c r="AD35" i="11" s="1"/>
  <c r="P34" i="11"/>
  <c r="AB34" i="11" s="1"/>
  <c r="M34" i="11"/>
  <c r="AD34" i="11" s="1"/>
  <c r="P33" i="11"/>
  <c r="AB33" i="11" s="1"/>
  <c r="M33" i="11"/>
  <c r="AD33" i="11" s="1"/>
  <c r="P32" i="11"/>
  <c r="AB32" i="11" s="1"/>
  <c r="M32" i="11"/>
  <c r="AD32" i="11" s="1"/>
  <c r="P31" i="11"/>
  <c r="AB31" i="11" s="1"/>
  <c r="M31" i="11"/>
  <c r="AD31" i="11" s="1"/>
  <c r="AB24" i="11"/>
  <c r="AD24" i="11"/>
  <c r="AB20" i="11"/>
  <c r="AD20" i="11"/>
  <c r="Z557" i="3"/>
  <c r="Y557" i="3"/>
  <c r="X557" i="3"/>
  <c r="W557" i="3"/>
  <c r="N557" i="3"/>
  <c r="M557" i="3"/>
  <c r="AE557" i="3" s="1"/>
  <c r="Z556" i="3"/>
  <c r="Y556" i="3"/>
  <c r="X556" i="3"/>
  <c r="W556" i="3"/>
  <c r="N556" i="3"/>
  <c r="M556" i="3"/>
  <c r="AE556" i="3" s="1"/>
  <c r="Z555" i="3"/>
  <c r="Y555" i="3"/>
  <c r="X555" i="3"/>
  <c r="W555" i="3"/>
  <c r="N555" i="3"/>
  <c r="AC555" i="3" s="1"/>
  <c r="M555" i="3"/>
  <c r="AE555" i="3" s="1"/>
  <c r="Z554" i="3"/>
  <c r="Y554" i="3"/>
  <c r="X554" i="3"/>
  <c r="W554" i="3"/>
  <c r="N554" i="3"/>
  <c r="AC554" i="3" s="1"/>
  <c r="M554" i="3"/>
  <c r="AE554" i="3" s="1"/>
  <c r="Z553" i="3"/>
  <c r="Y553" i="3"/>
  <c r="X553" i="3"/>
  <c r="W553" i="3"/>
  <c r="N553" i="3"/>
  <c r="M553" i="3"/>
  <c r="AE553" i="3" s="1"/>
  <c r="Z552" i="3"/>
  <c r="Y552" i="3"/>
  <c r="X552" i="3"/>
  <c r="W552" i="3"/>
  <c r="N552" i="3"/>
  <c r="M552" i="3"/>
  <c r="AE552" i="3" s="1"/>
  <c r="Z551" i="3"/>
  <c r="Y551" i="3"/>
  <c r="X551" i="3"/>
  <c r="W551" i="3"/>
  <c r="N551" i="3"/>
  <c r="M551" i="3"/>
  <c r="AE551" i="3" s="1"/>
  <c r="Z550" i="3"/>
  <c r="Y550" i="3"/>
  <c r="X550" i="3"/>
  <c r="W550" i="3"/>
  <c r="N550" i="3"/>
  <c r="M550" i="3"/>
  <c r="AE550" i="3" s="1"/>
  <c r="Z549" i="3"/>
  <c r="Y549" i="3"/>
  <c r="X549" i="3"/>
  <c r="W549" i="3"/>
  <c r="N549" i="3"/>
  <c r="M549" i="3"/>
  <c r="AE549" i="3" s="1"/>
  <c r="Z548" i="3"/>
  <c r="Y548" i="3"/>
  <c r="X548" i="3"/>
  <c r="W548" i="3"/>
  <c r="N548" i="3"/>
  <c r="M548" i="3"/>
  <c r="AE548" i="3" s="1"/>
  <c r="Z547" i="3"/>
  <c r="Y547" i="3"/>
  <c r="X547" i="3"/>
  <c r="W547" i="3"/>
  <c r="N547" i="3"/>
  <c r="M547" i="3"/>
  <c r="AE547" i="3" s="1"/>
  <c r="Z546" i="3"/>
  <c r="Y546" i="3"/>
  <c r="X546" i="3"/>
  <c r="W546" i="3"/>
  <c r="N546" i="3"/>
  <c r="AC546" i="3" s="1"/>
  <c r="M546" i="3"/>
  <c r="AE546" i="3" s="1"/>
  <c r="Z545" i="3"/>
  <c r="Y545" i="3"/>
  <c r="X545" i="3"/>
  <c r="W545" i="3"/>
  <c r="N545" i="3"/>
  <c r="M545" i="3"/>
  <c r="AE545" i="3" s="1"/>
  <c r="Z544" i="3"/>
  <c r="Y544" i="3"/>
  <c r="X544" i="3"/>
  <c r="W544" i="3"/>
  <c r="N544" i="3"/>
  <c r="M544" i="3"/>
  <c r="AE544" i="3" s="1"/>
  <c r="Z543" i="3"/>
  <c r="Y543" i="3"/>
  <c r="X543" i="3"/>
  <c r="W543" i="3"/>
  <c r="N543" i="3"/>
  <c r="M543" i="3"/>
  <c r="AE543" i="3" s="1"/>
  <c r="Z542" i="3"/>
  <c r="Y542" i="3"/>
  <c r="X542" i="3"/>
  <c r="W542" i="3"/>
  <c r="N542" i="3"/>
  <c r="M542" i="3"/>
  <c r="AE542" i="3" s="1"/>
  <c r="Z541" i="3"/>
  <c r="Y541" i="3"/>
  <c r="X541" i="3"/>
  <c r="W541" i="3"/>
  <c r="N541" i="3"/>
  <c r="M541" i="3"/>
  <c r="AE541" i="3" s="1"/>
  <c r="Z540" i="3"/>
  <c r="Y540" i="3"/>
  <c r="X540" i="3"/>
  <c r="W540" i="3"/>
  <c r="N540" i="3"/>
  <c r="M540" i="3"/>
  <c r="AE540" i="3" s="1"/>
  <c r="Z539" i="3"/>
  <c r="Y539" i="3"/>
  <c r="X539" i="3"/>
  <c r="W539" i="3"/>
  <c r="N539" i="3"/>
  <c r="M539" i="3"/>
  <c r="AE539" i="3" s="1"/>
  <c r="Z538" i="3"/>
  <c r="Y538" i="3"/>
  <c r="X538" i="3"/>
  <c r="W538" i="3"/>
  <c r="N538" i="3"/>
  <c r="M538" i="3"/>
  <c r="AE538" i="3" s="1"/>
  <c r="Z537" i="3"/>
  <c r="Y537" i="3"/>
  <c r="X537" i="3"/>
  <c r="W537" i="3"/>
  <c r="N537" i="3"/>
  <c r="M537" i="3"/>
  <c r="AE537" i="3" s="1"/>
  <c r="Z536" i="3"/>
  <c r="Y536" i="3"/>
  <c r="X536" i="3"/>
  <c r="W536" i="3"/>
  <c r="N536" i="3"/>
  <c r="M536" i="3"/>
  <c r="AE536" i="3" s="1"/>
  <c r="Z535" i="3"/>
  <c r="Y535" i="3"/>
  <c r="X535" i="3"/>
  <c r="W535" i="3"/>
  <c r="N535" i="3"/>
  <c r="M535" i="3"/>
  <c r="AE535" i="3" s="1"/>
  <c r="Z534" i="3"/>
  <c r="Y534" i="3"/>
  <c r="X534" i="3"/>
  <c r="W534" i="3"/>
  <c r="N534" i="3"/>
  <c r="M534" i="3"/>
  <c r="AE534" i="3" s="1"/>
  <c r="Z533" i="3"/>
  <c r="Y533" i="3"/>
  <c r="X533" i="3"/>
  <c r="W533" i="3"/>
  <c r="N533" i="3"/>
  <c r="M533" i="3"/>
  <c r="AE533" i="3" s="1"/>
  <c r="Z532" i="3"/>
  <c r="Y532" i="3"/>
  <c r="X532" i="3"/>
  <c r="W532" i="3"/>
  <c r="N532" i="3"/>
  <c r="M532" i="3"/>
  <c r="AE532" i="3" s="1"/>
  <c r="Z531" i="3"/>
  <c r="Y531" i="3"/>
  <c r="X531" i="3"/>
  <c r="W531" i="3"/>
  <c r="N531" i="3"/>
  <c r="M531" i="3"/>
  <c r="AE531" i="3" s="1"/>
  <c r="Z530" i="3"/>
  <c r="Y530" i="3"/>
  <c r="X530" i="3"/>
  <c r="W530" i="3"/>
  <c r="N530" i="3"/>
  <c r="AC530" i="3" s="1"/>
  <c r="M530" i="3"/>
  <c r="AE530" i="3" s="1"/>
  <c r="Z529" i="3"/>
  <c r="Y529" i="3"/>
  <c r="X529" i="3"/>
  <c r="W529" i="3"/>
  <c r="N529" i="3"/>
  <c r="M529" i="3"/>
  <c r="AE529" i="3" s="1"/>
  <c r="Z528" i="3"/>
  <c r="Y528" i="3"/>
  <c r="X528" i="3"/>
  <c r="W528" i="3"/>
  <c r="N528" i="3"/>
  <c r="M528" i="3"/>
  <c r="AE528" i="3" s="1"/>
  <c r="Z527" i="3"/>
  <c r="Y527" i="3"/>
  <c r="X527" i="3"/>
  <c r="W527" i="3"/>
  <c r="N527" i="3"/>
  <c r="M527" i="3"/>
  <c r="AE527" i="3" s="1"/>
  <c r="Z526" i="3"/>
  <c r="Y526" i="3"/>
  <c r="X526" i="3"/>
  <c r="W526" i="3"/>
  <c r="N526" i="3"/>
  <c r="M526" i="3"/>
  <c r="AE526" i="3" s="1"/>
  <c r="Z525" i="3"/>
  <c r="Y525" i="3"/>
  <c r="X525" i="3"/>
  <c r="W525" i="3"/>
  <c r="N525" i="3"/>
  <c r="M525" i="3"/>
  <c r="AE525" i="3" s="1"/>
  <c r="Z524" i="3"/>
  <c r="Y524" i="3"/>
  <c r="X524" i="3"/>
  <c r="W524" i="3"/>
  <c r="N524" i="3"/>
  <c r="M524" i="3"/>
  <c r="AE524" i="3" s="1"/>
  <c r="Z523" i="3"/>
  <c r="Y523" i="3"/>
  <c r="X523" i="3"/>
  <c r="W523" i="3"/>
  <c r="N523" i="3"/>
  <c r="AC523" i="3" s="1"/>
  <c r="M523" i="3"/>
  <c r="AE523" i="3" s="1"/>
  <c r="Z522" i="3"/>
  <c r="Y522" i="3"/>
  <c r="X522" i="3"/>
  <c r="W522" i="3"/>
  <c r="N522" i="3"/>
  <c r="AC522" i="3" s="1"/>
  <c r="M522" i="3"/>
  <c r="AE522" i="3" s="1"/>
  <c r="Z521" i="3"/>
  <c r="Y521" i="3"/>
  <c r="X521" i="3"/>
  <c r="W521" i="3"/>
  <c r="N521" i="3"/>
  <c r="M521" i="3"/>
  <c r="AE521" i="3" s="1"/>
  <c r="Z520" i="3"/>
  <c r="Y520" i="3"/>
  <c r="X520" i="3"/>
  <c r="W520" i="3"/>
  <c r="N520" i="3"/>
  <c r="M520" i="3"/>
  <c r="AE520" i="3" s="1"/>
  <c r="Z519" i="3"/>
  <c r="Y519" i="3"/>
  <c r="X519" i="3"/>
  <c r="W519" i="3"/>
  <c r="N519" i="3"/>
  <c r="AC519" i="3" s="1"/>
  <c r="M519" i="3"/>
  <c r="AE519" i="3" s="1"/>
  <c r="Z518" i="3"/>
  <c r="Y518" i="3"/>
  <c r="X518" i="3"/>
  <c r="W518" i="3"/>
  <c r="N518" i="3"/>
  <c r="M518" i="3"/>
  <c r="AE518" i="3" s="1"/>
  <c r="Z517" i="3"/>
  <c r="Y517" i="3"/>
  <c r="X517" i="3"/>
  <c r="W517" i="3"/>
  <c r="N517" i="3"/>
  <c r="M517" i="3"/>
  <c r="AE517" i="3" s="1"/>
  <c r="Z516" i="3"/>
  <c r="Y516" i="3"/>
  <c r="X516" i="3"/>
  <c r="W516" i="3"/>
  <c r="N516" i="3"/>
  <c r="M516" i="3"/>
  <c r="AE516" i="3" s="1"/>
  <c r="Z515" i="3"/>
  <c r="Y515" i="3"/>
  <c r="X515" i="3"/>
  <c r="W515" i="3"/>
  <c r="N515" i="3"/>
  <c r="M515" i="3"/>
  <c r="AE515" i="3" s="1"/>
  <c r="Z514" i="3"/>
  <c r="Y514" i="3"/>
  <c r="X514" i="3"/>
  <c r="W514" i="3"/>
  <c r="N514" i="3"/>
  <c r="AC514" i="3" s="1"/>
  <c r="M514" i="3"/>
  <c r="AE514" i="3" s="1"/>
  <c r="Z513" i="3"/>
  <c r="Y513" i="3"/>
  <c r="X513" i="3"/>
  <c r="W513" i="3"/>
  <c r="N513" i="3"/>
  <c r="AC513" i="3" s="1"/>
  <c r="M513" i="3"/>
  <c r="AE513" i="3" s="1"/>
  <c r="Z512" i="3"/>
  <c r="Y512" i="3"/>
  <c r="X512" i="3"/>
  <c r="W512" i="3"/>
  <c r="N512" i="3"/>
  <c r="M512" i="3"/>
  <c r="AE512" i="3" s="1"/>
  <c r="Z511" i="3"/>
  <c r="Y511" i="3"/>
  <c r="X511" i="3"/>
  <c r="W511" i="3"/>
  <c r="N511" i="3"/>
  <c r="AC511" i="3" s="1"/>
  <c r="M511" i="3"/>
  <c r="AE511" i="3" s="1"/>
  <c r="Z510" i="3"/>
  <c r="Y510" i="3"/>
  <c r="X510" i="3"/>
  <c r="W510" i="3"/>
  <c r="N510" i="3"/>
  <c r="M510" i="3"/>
  <c r="AE510" i="3" s="1"/>
  <c r="Z509" i="3"/>
  <c r="Y509" i="3"/>
  <c r="X509" i="3"/>
  <c r="W509" i="3"/>
  <c r="N509" i="3"/>
  <c r="M509" i="3"/>
  <c r="AE509" i="3" s="1"/>
  <c r="Z508" i="3"/>
  <c r="Y508" i="3"/>
  <c r="X508" i="3"/>
  <c r="W508" i="3"/>
  <c r="N508" i="3"/>
  <c r="M508" i="3"/>
  <c r="AE508" i="3" s="1"/>
  <c r="Z507" i="3"/>
  <c r="Y507" i="3"/>
  <c r="X507" i="3"/>
  <c r="W507" i="3"/>
  <c r="N507" i="3"/>
  <c r="AC507" i="3" s="1"/>
  <c r="M507" i="3"/>
  <c r="AE507" i="3" s="1"/>
  <c r="Z506" i="3"/>
  <c r="Y506" i="3"/>
  <c r="X506" i="3"/>
  <c r="W506" i="3"/>
  <c r="N506" i="3"/>
  <c r="AC506" i="3" s="1"/>
  <c r="M506" i="3"/>
  <c r="AE506" i="3" s="1"/>
  <c r="Z505" i="3"/>
  <c r="Y505" i="3"/>
  <c r="X505" i="3"/>
  <c r="W505" i="3"/>
  <c r="N505" i="3"/>
  <c r="M505" i="3"/>
  <c r="AE505" i="3" s="1"/>
  <c r="Z504" i="3"/>
  <c r="Y504" i="3"/>
  <c r="X504" i="3"/>
  <c r="W504" i="3"/>
  <c r="N504" i="3"/>
  <c r="M504" i="3"/>
  <c r="AE504" i="3" s="1"/>
  <c r="Z503" i="3"/>
  <c r="Y503" i="3"/>
  <c r="X503" i="3"/>
  <c r="W503" i="3"/>
  <c r="N503" i="3"/>
  <c r="AC503" i="3" s="1"/>
  <c r="M503" i="3"/>
  <c r="AE503" i="3" s="1"/>
  <c r="Z502" i="3"/>
  <c r="Y502" i="3"/>
  <c r="X502" i="3"/>
  <c r="W502" i="3"/>
  <c r="N502" i="3"/>
  <c r="M502" i="3"/>
  <c r="AE502" i="3" s="1"/>
  <c r="Z501" i="3"/>
  <c r="Y501" i="3"/>
  <c r="X501" i="3"/>
  <c r="W501" i="3"/>
  <c r="N501" i="3"/>
  <c r="M501" i="3"/>
  <c r="AE501" i="3" s="1"/>
  <c r="Z500" i="3"/>
  <c r="Y500" i="3"/>
  <c r="X500" i="3"/>
  <c r="W500" i="3"/>
  <c r="N500" i="3"/>
  <c r="M500" i="3"/>
  <c r="AE500" i="3" s="1"/>
  <c r="Z499" i="3"/>
  <c r="Y499" i="3"/>
  <c r="X499" i="3"/>
  <c r="W499" i="3"/>
  <c r="N499" i="3"/>
  <c r="M499" i="3"/>
  <c r="AE499" i="3" s="1"/>
  <c r="Z498" i="3"/>
  <c r="Y498" i="3"/>
  <c r="X498" i="3"/>
  <c r="W498" i="3"/>
  <c r="N498" i="3"/>
  <c r="M498" i="3"/>
  <c r="AE498" i="3" s="1"/>
  <c r="Z497" i="3"/>
  <c r="Y497" i="3"/>
  <c r="X497" i="3"/>
  <c r="W497" i="3"/>
  <c r="N497" i="3"/>
  <c r="M497" i="3"/>
  <c r="AE497" i="3" s="1"/>
  <c r="Z496" i="3"/>
  <c r="Y496" i="3"/>
  <c r="X496" i="3"/>
  <c r="W496" i="3"/>
  <c r="N496" i="3"/>
  <c r="M496" i="3"/>
  <c r="AE496" i="3" s="1"/>
  <c r="Z495" i="3"/>
  <c r="Y495" i="3"/>
  <c r="X495" i="3"/>
  <c r="W495" i="3"/>
  <c r="N495" i="3"/>
  <c r="M495" i="3"/>
  <c r="AE495" i="3" s="1"/>
  <c r="Z494" i="3"/>
  <c r="Y494" i="3"/>
  <c r="X494" i="3"/>
  <c r="W494" i="3"/>
  <c r="N494" i="3"/>
  <c r="M494" i="3"/>
  <c r="AE494" i="3" s="1"/>
  <c r="Z493" i="3"/>
  <c r="Y493" i="3"/>
  <c r="X493" i="3"/>
  <c r="W493" i="3"/>
  <c r="N493" i="3"/>
  <c r="M493" i="3"/>
  <c r="AE493" i="3" s="1"/>
  <c r="Z492" i="3"/>
  <c r="Y492" i="3"/>
  <c r="X492" i="3"/>
  <c r="W492" i="3"/>
  <c r="N492" i="3"/>
  <c r="M492" i="3"/>
  <c r="AE492" i="3" s="1"/>
  <c r="Z491" i="3"/>
  <c r="Y491" i="3"/>
  <c r="X491" i="3"/>
  <c r="W491" i="3"/>
  <c r="N491" i="3"/>
  <c r="AC491" i="3" s="1"/>
  <c r="M491" i="3"/>
  <c r="AE491" i="3" s="1"/>
  <c r="Z490" i="3"/>
  <c r="Y490" i="3"/>
  <c r="X490" i="3"/>
  <c r="W490" i="3"/>
  <c r="N490" i="3"/>
  <c r="AC490" i="3" s="1"/>
  <c r="M490" i="3"/>
  <c r="AE490" i="3" s="1"/>
  <c r="Z489" i="3"/>
  <c r="Y489" i="3"/>
  <c r="X489" i="3"/>
  <c r="W489" i="3"/>
  <c r="N489" i="3"/>
  <c r="M489" i="3"/>
  <c r="AE489" i="3" s="1"/>
  <c r="Z488" i="3"/>
  <c r="Y488" i="3"/>
  <c r="X488" i="3"/>
  <c r="W488" i="3"/>
  <c r="N488" i="3"/>
  <c r="M488" i="3"/>
  <c r="AE488" i="3" s="1"/>
  <c r="Z487" i="3"/>
  <c r="Y487" i="3"/>
  <c r="X487" i="3"/>
  <c r="W487" i="3"/>
  <c r="N487" i="3"/>
  <c r="AC487" i="3" s="1"/>
  <c r="M487" i="3"/>
  <c r="AE487" i="3" s="1"/>
  <c r="Z486" i="3"/>
  <c r="Y486" i="3"/>
  <c r="X486" i="3"/>
  <c r="W486" i="3"/>
  <c r="N486" i="3"/>
  <c r="M486" i="3"/>
  <c r="AE486" i="3" s="1"/>
  <c r="Z485" i="3"/>
  <c r="Y485" i="3"/>
  <c r="X485" i="3"/>
  <c r="W485" i="3"/>
  <c r="N485" i="3"/>
  <c r="M485" i="3"/>
  <c r="AE485" i="3" s="1"/>
  <c r="Z484" i="3"/>
  <c r="Y484" i="3"/>
  <c r="X484" i="3"/>
  <c r="W484" i="3"/>
  <c r="N484" i="3"/>
  <c r="AC484" i="3" s="1"/>
  <c r="M484" i="3"/>
  <c r="AE484" i="3" s="1"/>
  <c r="Z483" i="3"/>
  <c r="Y483" i="3"/>
  <c r="X483" i="3"/>
  <c r="W483" i="3"/>
  <c r="N483" i="3"/>
  <c r="M483" i="3"/>
  <c r="AE483" i="3" s="1"/>
  <c r="Z482" i="3"/>
  <c r="Y482" i="3"/>
  <c r="X482" i="3"/>
  <c r="W482" i="3"/>
  <c r="N482" i="3"/>
  <c r="AC482" i="3" s="1"/>
  <c r="M482" i="3"/>
  <c r="AE482" i="3" s="1"/>
  <c r="Z481" i="3"/>
  <c r="Y481" i="3"/>
  <c r="X481" i="3"/>
  <c r="W481" i="3"/>
  <c r="N481" i="3"/>
  <c r="M481" i="3"/>
  <c r="AE481" i="3" s="1"/>
  <c r="Z480" i="3"/>
  <c r="Y480" i="3"/>
  <c r="X480" i="3"/>
  <c r="W480" i="3"/>
  <c r="N480" i="3"/>
  <c r="M480" i="3"/>
  <c r="AE480" i="3" s="1"/>
  <c r="Z479" i="3"/>
  <c r="Y479" i="3"/>
  <c r="X479" i="3"/>
  <c r="W479" i="3"/>
  <c r="N479" i="3"/>
  <c r="M479" i="3"/>
  <c r="AE479" i="3" s="1"/>
  <c r="Z478" i="3"/>
  <c r="Y478" i="3"/>
  <c r="X478" i="3"/>
  <c r="W478" i="3"/>
  <c r="N478" i="3"/>
  <c r="M478" i="3"/>
  <c r="AE478" i="3" s="1"/>
  <c r="Z477" i="3"/>
  <c r="Y477" i="3"/>
  <c r="X477" i="3"/>
  <c r="W477" i="3"/>
  <c r="N477" i="3"/>
  <c r="M477" i="3"/>
  <c r="AE477" i="3" s="1"/>
  <c r="Z476" i="3"/>
  <c r="Y476" i="3"/>
  <c r="X476" i="3"/>
  <c r="W476" i="3"/>
  <c r="N476" i="3"/>
  <c r="AC476" i="3" s="1"/>
  <c r="M476" i="3"/>
  <c r="AE476" i="3" s="1"/>
  <c r="Z475" i="3"/>
  <c r="Y475" i="3"/>
  <c r="X475" i="3"/>
  <c r="W475" i="3"/>
  <c r="N475" i="3"/>
  <c r="AC475" i="3" s="1"/>
  <c r="M475" i="3"/>
  <c r="AE475" i="3" s="1"/>
  <c r="Z474" i="3"/>
  <c r="Y474" i="3"/>
  <c r="X474" i="3"/>
  <c r="W474" i="3"/>
  <c r="N474" i="3"/>
  <c r="AC474" i="3" s="1"/>
  <c r="M474" i="3"/>
  <c r="AE474" i="3" s="1"/>
  <c r="Z473" i="3"/>
  <c r="Y473" i="3"/>
  <c r="X473" i="3"/>
  <c r="W473" i="3"/>
  <c r="N473" i="3"/>
  <c r="M473" i="3"/>
  <c r="AE473" i="3" s="1"/>
  <c r="Z472" i="3"/>
  <c r="Y472" i="3"/>
  <c r="X472" i="3"/>
  <c r="W472" i="3"/>
  <c r="N472" i="3"/>
  <c r="M472" i="3"/>
  <c r="AE472" i="3" s="1"/>
  <c r="Z471" i="3"/>
  <c r="Y471" i="3"/>
  <c r="X471" i="3"/>
  <c r="W471" i="3"/>
  <c r="N471" i="3"/>
  <c r="M471" i="3"/>
  <c r="AE471" i="3" s="1"/>
  <c r="Z470" i="3"/>
  <c r="Y470" i="3"/>
  <c r="X470" i="3"/>
  <c r="W470" i="3"/>
  <c r="N470" i="3"/>
  <c r="M470" i="3"/>
  <c r="AE470" i="3" s="1"/>
  <c r="Z469" i="3"/>
  <c r="Y469" i="3"/>
  <c r="X469" i="3"/>
  <c r="W469" i="3"/>
  <c r="N469" i="3"/>
  <c r="M469" i="3"/>
  <c r="AE469" i="3" s="1"/>
  <c r="Z468" i="3"/>
  <c r="Y468" i="3"/>
  <c r="X468" i="3"/>
  <c r="W468" i="3"/>
  <c r="N468" i="3"/>
  <c r="M468" i="3"/>
  <c r="AE468" i="3" s="1"/>
  <c r="Z467" i="3"/>
  <c r="Y467" i="3"/>
  <c r="X467" i="3"/>
  <c r="W467" i="3"/>
  <c r="N467" i="3"/>
  <c r="AC467" i="3" s="1"/>
  <c r="M467" i="3"/>
  <c r="AE467" i="3" s="1"/>
  <c r="Z466" i="3"/>
  <c r="Y466" i="3"/>
  <c r="X466" i="3"/>
  <c r="W466" i="3"/>
  <c r="N466" i="3"/>
  <c r="AC466" i="3" s="1"/>
  <c r="M466" i="3"/>
  <c r="AE466" i="3" s="1"/>
  <c r="Z465" i="3"/>
  <c r="Y465" i="3"/>
  <c r="X465" i="3"/>
  <c r="W465" i="3"/>
  <c r="N465" i="3"/>
  <c r="AC465" i="3" s="1"/>
  <c r="M465" i="3"/>
  <c r="AE465" i="3" s="1"/>
  <c r="Z464" i="3"/>
  <c r="Y464" i="3"/>
  <c r="X464" i="3"/>
  <c r="W464" i="3"/>
  <c r="N464" i="3"/>
  <c r="M464" i="3"/>
  <c r="AE464" i="3" s="1"/>
  <c r="Z463" i="3"/>
  <c r="Y463" i="3"/>
  <c r="X463" i="3"/>
  <c r="W463" i="3"/>
  <c r="N463" i="3"/>
  <c r="M463" i="3"/>
  <c r="AE463" i="3" s="1"/>
  <c r="Z462" i="3"/>
  <c r="Y462" i="3"/>
  <c r="X462" i="3"/>
  <c r="W462" i="3"/>
  <c r="N462" i="3"/>
  <c r="M462" i="3"/>
  <c r="AE462" i="3" s="1"/>
  <c r="Z461" i="3"/>
  <c r="Y461" i="3"/>
  <c r="X461" i="3"/>
  <c r="W461" i="3"/>
  <c r="N461" i="3"/>
  <c r="M461" i="3"/>
  <c r="AE461" i="3" s="1"/>
  <c r="Z460" i="3"/>
  <c r="Y460" i="3"/>
  <c r="X460" i="3"/>
  <c r="W460" i="3"/>
  <c r="N460" i="3"/>
  <c r="M460" i="3"/>
  <c r="AE460" i="3" s="1"/>
  <c r="Z459" i="3"/>
  <c r="Y459" i="3"/>
  <c r="X459" i="3"/>
  <c r="W459" i="3"/>
  <c r="N459" i="3"/>
  <c r="M459" i="3"/>
  <c r="AE459" i="3" s="1"/>
  <c r="Z458" i="3"/>
  <c r="Y458" i="3"/>
  <c r="X458" i="3"/>
  <c r="W458" i="3"/>
  <c r="N458" i="3"/>
  <c r="M458" i="3"/>
  <c r="AE458" i="3" s="1"/>
  <c r="Z457" i="3"/>
  <c r="Y457" i="3"/>
  <c r="X457" i="3"/>
  <c r="W457" i="3"/>
  <c r="N457" i="3"/>
  <c r="M457" i="3"/>
  <c r="AE457" i="3" s="1"/>
  <c r="Z456" i="3"/>
  <c r="Y456" i="3"/>
  <c r="X456" i="3"/>
  <c r="W456" i="3"/>
  <c r="N456" i="3"/>
  <c r="M456" i="3"/>
  <c r="AE456" i="3" s="1"/>
  <c r="Z455" i="3"/>
  <c r="Y455" i="3"/>
  <c r="X455" i="3"/>
  <c r="W455" i="3"/>
  <c r="N455" i="3"/>
  <c r="M455" i="3"/>
  <c r="AE455" i="3" s="1"/>
  <c r="Z454" i="3"/>
  <c r="Y454" i="3"/>
  <c r="X454" i="3"/>
  <c r="W454" i="3"/>
  <c r="N454" i="3"/>
  <c r="M454" i="3"/>
  <c r="AE454" i="3" s="1"/>
  <c r="Z453" i="3"/>
  <c r="Y453" i="3"/>
  <c r="X453" i="3"/>
  <c r="W453" i="3"/>
  <c r="N453" i="3"/>
  <c r="M453" i="3"/>
  <c r="AE453" i="3" s="1"/>
  <c r="Z452" i="3"/>
  <c r="Y452" i="3"/>
  <c r="X452" i="3"/>
  <c r="W452" i="3"/>
  <c r="N452" i="3"/>
  <c r="AC452" i="3" s="1"/>
  <c r="M452" i="3"/>
  <c r="AE452" i="3" s="1"/>
  <c r="Z451" i="3"/>
  <c r="Y451" i="3"/>
  <c r="X451" i="3"/>
  <c r="W451" i="3"/>
  <c r="N451" i="3"/>
  <c r="AC451" i="3" s="1"/>
  <c r="M451" i="3"/>
  <c r="AE451" i="3" s="1"/>
  <c r="Z450" i="3"/>
  <c r="Y450" i="3"/>
  <c r="X450" i="3"/>
  <c r="W450" i="3"/>
  <c r="N450" i="3"/>
  <c r="AC450" i="3" s="1"/>
  <c r="M450" i="3"/>
  <c r="AE450" i="3" s="1"/>
  <c r="Z449" i="3"/>
  <c r="Y449" i="3"/>
  <c r="X449" i="3"/>
  <c r="W449" i="3"/>
  <c r="N449" i="3"/>
  <c r="AC449" i="3" s="1"/>
  <c r="M449" i="3"/>
  <c r="AE449" i="3" s="1"/>
  <c r="Z448" i="3"/>
  <c r="Y448" i="3"/>
  <c r="X448" i="3"/>
  <c r="W448" i="3"/>
  <c r="N448" i="3"/>
  <c r="M448" i="3"/>
  <c r="AE448" i="3" s="1"/>
  <c r="Z447" i="3"/>
  <c r="AC447" i="3" s="1"/>
  <c r="Y447" i="3"/>
  <c r="X447" i="3"/>
  <c r="W447" i="3"/>
  <c r="N447" i="3"/>
  <c r="M447" i="3"/>
  <c r="AE447" i="3" s="1"/>
  <c r="Z446" i="3"/>
  <c r="Y446" i="3"/>
  <c r="X446" i="3"/>
  <c r="W446" i="3"/>
  <c r="N446" i="3"/>
  <c r="M446" i="3"/>
  <c r="AE446" i="3" s="1"/>
  <c r="Z445" i="3"/>
  <c r="Y445" i="3"/>
  <c r="X445" i="3"/>
  <c r="W445" i="3"/>
  <c r="N445" i="3"/>
  <c r="M445" i="3"/>
  <c r="AE445" i="3" s="1"/>
  <c r="Z444" i="3"/>
  <c r="Y444" i="3"/>
  <c r="X444" i="3"/>
  <c r="W444" i="3"/>
  <c r="N444" i="3"/>
  <c r="M444" i="3"/>
  <c r="AE444" i="3" s="1"/>
  <c r="Z443" i="3"/>
  <c r="AC443" i="3" s="1"/>
  <c r="Y443" i="3"/>
  <c r="X443" i="3"/>
  <c r="W443" i="3"/>
  <c r="N443" i="3"/>
  <c r="M443" i="3"/>
  <c r="AE443" i="3" s="1"/>
  <c r="Z442" i="3"/>
  <c r="Y442" i="3"/>
  <c r="X442" i="3"/>
  <c r="W442" i="3"/>
  <c r="N442" i="3"/>
  <c r="M442" i="3"/>
  <c r="AE442" i="3" s="1"/>
  <c r="Z441" i="3"/>
  <c r="Y441" i="3"/>
  <c r="X441" i="3"/>
  <c r="W441" i="3"/>
  <c r="N441" i="3"/>
  <c r="M441" i="3"/>
  <c r="AE441" i="3" s="1"/>
  <c r="Z440" i="3"/>
  <c r="Y440" i="3"/>
  <c r="X440" i="3"/>
  <c r="W440" i="3"/>
  <c r="N440" i="3"/>
  <c r="M440" i="3"/>
  <c r="AE440" i="3" s="1"/>
  <c r="Z439" i="3"/>
  <c r="AC439" i="3" s="1"/>
  <c r="Y439" i="3"/>
  <c r="X439" i="3"/>
  <c r="W439" i="3"/>
  <c r="N439" i="3"/>
  <c r="M439" i="3"/>
  <c r="AE439" i="3" s="1"/>
  <c r="Z438" i="3"/>
  <c r="AC438" i="3" s="1"/>
  <c r="Y438" i="3"/>
  <c r="X438" i="3"/>
  <c r="W438" i="3"/>
  <c r="N438" i="3"/>
  <c r="M438" i="3"/>
  <c r="AE438" i="3" s="1"/>
  <c r="Z437" i="3"/>
  <c r="Y437" i="3"/>
  <c r="X437" i="3"/>
  <c r="W437" i="3"/>
  <c r="N437" i="3"/>
  <c r="M437" i="3"/>
  <c r="AE437" i="3" s="1"/>
  <c r="Z436" i="3"/>
  <c r="AC436" i="3" s="1"/>
  <c r="Y436" i="3"/>
  <c r="X436" i="3"/>
  <c r="W436" i="3"/>
  <c r="N436" i="3"/>
  <c r="M436" i="3"/>
  <c r="AE436" i="3" s="1"/>
  <c r="Z435" i="3"/>
  <c r="AC435" i="3" s="1"/>
  <c r="Y435" i="3"/>
  <c r="X435" i="3"/>
  <c r="W435" i="3"/>
  <c r="N435" i="3"/>
  <c r="M435" i="3"/>
  <c r="AE435" i="3" s="1"/>
  <c r="Z434" i="3"/>
  <c r="Y434" i="3"/>
  <c r="X434" i="3"/>
  <c r="W434" i="3"/>
  <c r="N434" i="3"/>
  <c r="M434" i="3"/>
  <c r="AE434" i="3" s="1"/>
  <c r="Z433" i="3"/>
  <c r="AC433" i="3" s="1"/>
  <c r="Y433" i="3"/>
  <c r="X433" i="3"/>
  <c r="W433" i="3"/>
  <c r="N433" i="3"/>
  <c r="M433" i="3"/>
  <c r="AE433" i="3" s="1"/>
  <c r="Z432" i="3"/>
  <c r="Y432" i="3"/>
  <c r="X432" i="3"/>
  <c r="W432" i="3"/>
  <c r="N432" i="3"/>
  <c r="M432" i="3"/>
  <c r="AE432" i="3" s="1"/>
  <c r="Z431" i="3"/>
  <c r="Y431" i="3"/>
  <c r="X431" i="3"/>
  <c r="W431" i="3"/>
  <c r="N431" i="3"/>
  <c r="M431" i="3"/>
  <c r="AE431" i="3" s="1"/>
  <c r="Z430" i="3"/>
  <c r="AC430" i="3" s="1"/>
  <c r="Y430" i="3"/>
  <c r="X430" i="3"/>
  <c r="W430" i="3"/>
  <c r="N430" i="3"/>
  <c r="M430" i="3"/>
  <c r="AE430" i="3" s="1"/>
  <c r="Z429" i="3"/>
  <c r="Y429" i="3"/>
  <c r="X429" i="3"/>
  <c r="W429" i="3"/>
  <c r="N429" i="3"/>
  <c r="M429" i="3"/>
  <c r="AE429" i="3" s="1"/>
  <c r="Z428" i="3"/>
  <c r="AC428" i="3" s="1"/>
  <c r="Y428" i="3"/>
  <c r="X428" i="3"/>
  <c r="W428" i="3"/>
  <c r="N428" i="3"/>
  <c r="M428" i="3"/>
  <c r="AE428" i="3" s="1"/>
  <c r="Z427" i="3"/>
  <c r="AC427" i="3" s="1"/>
  <c r="Y427" i="3"/>
  <c r="X427" i="3"/>
  <c r="W427" i="3"/>
  <c r="N427" i="3"/>
  <c r="M427" i="3"/>
  <c r="AE427" i="3" s="1"/>
  <c r="Z426" i="3"/>
  <c r="Y426" i="3"/>
  <c r="X426" i="3"/>
  <c r="W426" i="3"/>
  <c r="N426" i="3"/>
  <c r="M426" i="3"/>
  <c r="AE426" i="3" s="1"/>
  <c r="Z425" i="3"/>
  <c r="Y425" i="3"/>
  <c r="X425" i="3"/>
  <c r="W425" i="3"/>
  <c r="N425" i="3"/>
  <c r="M425" i="3"/>
  <c r="AE425" i="3" s="1"/>
  <c r="Z424" i="3"/>
  <c r="Y424" i="3"/>
  <c r="X424" i="3"/>
  <c r="W424" i="3"/>
  <c r="N424" i="3"/>
  <c r="M424" i="3"/>
  <c r="AE424" i="3" s="1"/>
  <c r="Z423" i="3"/>
  <c r="AC423" i="3" s="1"/>
  <c r="Y423" i="3"/>
  <c r="X423" i="3"/>
  <c r="W423" i="3"/>
  <c r="N423" i="3"/>
  <c r="M423" i="3"/>
  <c r="AE423" i="3" s="1"/>
  <c r="Z422" i="3"/>
  <c r="AC422" i="3" s="1"/>
  <c r="Y422" i="3"/>
  <c r="X422" i="3"/>
  <c r="W422" i="3"/>
  <c r="N422" i="3"/>
  <c r="M422" i="3"/>
  <c r="AE422" i="3" s="1"/>
  <c r="Z421" i="3"/>
  <c r="Y421" i="3"/>
  <c r="X421" i="3"/>
  <c r="W421" i="3"/>
  <c r="N421" i="3"/>
  <c r="M421" i="3"/>
  <c r="AE421" i="3" s="1"/>
  <c r="Z420" i="3"/>
  <c r="AC420" i="3" s="1"/>
  <c r="Y420" i="3"/>
  <c r="X420" i="3"/>
  <c r="W420" i="3"/>
  <c r="N420" i="3"/>
  <c r="M420" i="3"/>
  <c r="AE420" i="3" s="1"/>
  <c r="Z419" i="3"/>
  <c r="AC419" i="3" s="1"/>
  <c r="Y419" i="3"/>
  <c r="X419" i="3"/>
  <c r="W419" i="3"/>
  <c r="N419" i="3"/>
  <c r="M419" i="3"/>
  <c r="AE419" i="3" s="1"/>
  <c r="Z418" i="3"/>
  <c r="Y418" i="3"/>
  <c r="X418" i="3"/>
  <c r="W418" i="3"/>
  <c r="N418" i="3"/>
  <c r="M418" i="3"/>
  <c r="AE418" i="3" s="1"/>
  <c r="Z417" i="3"/>
  <c r="Y417" i="3"/>
  <c r="X417" i="3"/>
  <c r="W417" i="3"/>
  <c r="N417" i="3"/>
  <c r="M417" i="3"/>
  <c r="AE417" i="3" s="1"/>
  <c r="Z416" i="3"/>
  <c r="Y416" i="3"/>
  <c r="X416" i="3"/>
  <c r="W416" i="3"/>
  <c r="N416" i="3"/>
  <c r="M416" i="3"/>
  <c r="AE416" i="3" s="1"/>
  <c r="Z415" i="3"/>
  <c r="AC415" i="3" s="1"/>
  <c r="Y415" i="3"/>
  <c r="X415" i="3"/>
  <c r="W415" i="3"/>
  <c r="N415" i="3"/>
  <c r="M415" i="3"/>
  <c r="AE415" i="3" s="1"/>
  <c r="Z414" i="3"/>
  <c r="Y414" i="3"/>
  <c r="X414" i="3"/>
  <c r="W414" i="3"/>
  <c r="N414" i="3"/>
  <c r="M414" i="3"/>
  <c r="AE414" i="3" s="1"/>
  <c r="Z413" i="3"/>
  <c r="AC413" i="3" s="1"/>
  <c r="Y413" i="3"/>
  <c r="X413" i="3"/>
  <c r="W413" i="3"/>
  <c r="N413" i="3"/>
  <c r="M413" i="3"/>
  <c r="AE413" i="3" s="1"/>
  <c r="Z412" i="3"/>
  <c r="Y412" i="3"/>
  <c r="X412" i="3"/>
  <c r="W412" i="3"/>
  <c r="N412" i="3"/>
  <c r="M412" i="3"/>
  <c r="AE412" i="3" s="1"/>
  <c r="Z411" i="3"/>
  <c r="AC411" i="3" s="1"/>
  <c r="Y411" i="3"/>
  <c r="X411" i="3"/>
  <c r="W411" i="3"/>
  <c r="N411" i="3"/>
  <c r="M411" i="3"/>
  <c r="AE411" i="3" s="1"/>
  <c r="Z410" i="3"/>
  <c r="Y410" i="3"/>
  <c r="X410" i="3"/>
  <c r="W410" i="3"/>
  <c r="N410" i="3"/>
  <c r="M410" i="3"/>
  <c r="AE410" i="3" s="1"/>
  <c r="Z409" i="3"/>
  <c r="AC409" i="3" s="1"/>
  <c r="Y409" i="3"/>
  <c r="X409" i="3"/>
  <c r="W409" i="3"/>
  <c r="N409" i="3"/>
  <c r="M409" i="3"/>
  <c r="AE409" i="3" s="1"/>
  <c r="Z408" i="3"/>
  <c r="Y408" i="3"/>
  <c r="X408" i="3"/>
  <c r="W408" i="3"/>
  <c r="N408" i="3"/>
  <c r="M408" i="3"/>
  <c r="AE408" i="3" s="1"/>
  <c r="Z407" i="3"/>
  <c r="AC407" i="3" s="1"/>
  <c r="Y407" i="3"/>
  <c r="X407" i="3"/>
  <c r="W407" i="3"/>
  <c r="N407" i="3"/>
  <c r="M407" i="3"/>
  <c r="AE407" i="3" s="1"/>
  <c r="Z406" i="3"/>
  <c r="Y406" i="3"/>
  <c r="X406" i="3"/>
  <c r="W406" i="3"/>
  <c r="N406" i="3"/>
  <c r="M406" i="3"/>
  <c r="AE406" i="3" s="1"/>
  <c r="Z405" i="3"/>
  <c r="AC405" i="3" s="1"/>
  <c r="Y405" i="3"/>
  <c r="X405" i="3"/>
  <c r="W405" i="3"/>
  <c r="N405" i="3"/>
  <c r="M405" i="3"/>
  <c r="AE405" i="3" s="1"/>
  <c r="Z404" i="3"/>
  <c r="Y404" i="3"/>
  <c r="X404" i="3"/>
  <c r="W404" i="3"/>
  <c r="N404" i="3"/>
  <c r="M404" i="3"/>
  <c r="AE404" i="3" s="1"/>
  <c r="Z403" i="3"/>
  <c r="Y403" i="3"/>
  <c r="X403" i="3"/>
  <c r="W403" i="3"/>
  <c r="N403" i="3"/>
  <c r="M403" i="3"/>
  <c r="AE403" i="3" s="1"/>
  <c r="Z402" i="3"/>
  <c r="Y402" i="3"/>
  <c r="X402" i="3"/>
  <c r="W402" i="3"/>
  <c r="N402" i="3"/>
  <c r="M402" i="3"/>
  <c r="AE402" i="3" s="1"/>
  <c r="Z401" i="3"/>
  <c r="Y401" i="3"/>
  <c r="X401" i="3"/>
  <c r="W401" i="3"/>
  <c r="N401" i="3"/>
  <c r="M401" i="3"/>
  <c r="AE401" i="3" s="1"/>
  <c r="Z400" i="3"/>
  <c r="Y400" i="3"/>
  <c r="X400" i="3"/>
  <c r="W400" i="3"/>
  <c r="N400" i="3"/>
  <c r="M400" i="3"/>
  <c r="AE400" i="3" s="1"/>
  <c r="AC399" i="3"/>
  <c r="Z399" i="3"/>
  <c r="Y399" i="3"/>
  <c r="X399" i="3"/>
  <c r="W399" i="3"/>
  <c r="N399" i="3"/>
  <c r="M399" i="3"/>
  <c r="AE399" i="3" s="1"/>
  <c r="Z398" i="3"/>
  <c r="Y398" i="3"/>
  <c r="X398" i="3"/>
  <c r="W398" i="3"/>
  <c r="N398" i="3"/>
  <c r="M398" i="3"/>
  <c r="AE398" i="3" s="1"/>
  <c r="Z397" i="3"/>
  <c r="Y397" i="3"/>
  <c r="X397" i="3"/>
  <c r="W397" i="3"/>
  <c r="N397" i="3"/>
  <c r="M397" i="3"/>
  <c r="AE397" i="3" s="1"/>
  <c r="Z396" i="3"/>
  <c r="Y396" i="3"/>
  <c r="X396" i="3"/>
  <c r="W396" i="3"/>
  <c r="N396" i="3"/>
  <c r="M396" i="3"/>
  <c r="AE396" i="3" s="1"/>
  <c r="Z395" i="3"/>
  <c r="Y395" i="3"/>
  <c r="X395" i="3"/>
  <c r="W395" i="3"/>
  <c r="N395" i="3"/>
  <c r="AC395" i="3" s="1"/>
  <c r="M395" i="3"/>
  <c r="AE395" i="3" s="1"/>
  <c r="Z394" i="3"/>
  <c r="Y394" i="3"/>
  <c r="X394" i="3"/>
  <c r="W394" i="3"/>
  <c r="N394" i="3"/>
  <c r="AC394" i="3" s="1"/>
  <c r="M394" i="3"/>
  <c r="AE394" i="3" s="1"/>
  <c r="Z393" i="3"/>
  <c r="Y393" i="3"/>
  <c r="X393" i="3"/>
  <c r="W393" i="3"/>
  <c r="N393" i="3"/>
  <c r="M393" i="3"/>
  <c r="AE393" i="3" s="1"/>
  <c r="Z392" i="3"/>
  <c r="Y392" i="3"/>
  <c r="X392" i="3"/>
  <c r="W392" i="3"/>
  <c r="N392" i="3"/>
  <c r="M392" i="3"/>
  <c r="AE392" i="3" s="1"/>
  <c r="Z391" i="3"/>
  <c r="Y391" i="3"/>
  <c r="X391" i="3"/>
  <c r="W391" i="3"/>
  <c r="N391" i="3"/>
  <c r="M391" i="3"/>
  <c r="AE391" i="3" s="1"/>
  <c r="Z390" i="3"/>
  <c r="Y390" i="3"/>
  <c r="X390" i="3"/>
  <c r="W390" i="3"/>
  <c r="N390" i="3"/>
  <c r="M390" i="3"/>
  <c r="AE390" i="3" s="1"/>
  <c r="Z389" i="3"/>
  <c r="Y389" i="3"/>
  <c r="X389" i="3"/>
  <c r="W389" i="3"/>
  <c r="N389" i="3"/>
  <c r="M389" i="3"/>
  <c r="AE389" i="3" s="1"/>
  <c r="Z388" i="3"/>
  <c r="Y388" i="3"/>
  <c r="X388" i="3"/>
  <c r="W388" i="3"/>
  <c r="N388" i="3"/>
  <c r="M388" i="3"/>
  <c r="AE388" i="3" s="1"/>
  <c r="Z387" i="3"/>
  <c r="Y387" i="3"/>
  <c r="X387" i="3"/>
  <c r="W387" i="3"/>
  <c r="N387" i="3"/>
  <c r="M387" i="3"/>
  <c r="AE387" i="3" s="1"/>
  <c r="Z386" i="3"/>
  <c r="Y386" i="3"/>
  <c r="X386" i="3"/>
  <c r="W386" i="3"/>
  <c r="N386" i="3"/>
  <c r="M386" i="3"/>
  <c r="AE386" i="3" s="1"/>
  <c r="Z385" i="3"/>
  <c r="Y385" i="3"/>
  <c r="X385" i="3"/>
  <c r="W385" i="3"/>
  <c r="N385" i="3"/>
  <c r="M385" i="3"/>
  <c r="AE385" i="3" s="1"/>
  <c r="Z384" i="3"/>
  <c r="Y384" i="3"/>
  <c r="X384" i="3"/>
  <c r="W384" i="3"/>
  <c r="N384" i="3"/>
  <c r="M384" i="3"/>
  <c r="AE384" i="3" s="1"/>
  <c r="Z383" i="3"/>
  <c r="Y383" i="3"/>
  <c r="X383" i="3"/>
  <c r="W383" i="3"/>
  <c r="N383" i="3"/>
  <c r="AC383" i="3" s="1"/>
  <c r="M383" i="3"/>
  <c r="AE383" i="3" s="1"/>
  <c r="Z382" i="3"/>
  <c r="Y382" i="3"/>
  <c r="X382" i="3"/>
  <c r="W382" i="3"/>
  <c r="N382" i="3"/>
  <c r="M382" i="3"/>
  <c r="AE382" i="3" s="1"/>
  <c r="Z381" i="3"/>
  <c r="Y381" i="3"/>
  <c r="X381" i="3"/>
  <c r="W381" i="3"/>
  <c r="N381" i="3"/>
  <c r="M381" i="3"/>
  <c r="AE381" i="3" s="1"/>
  <c r="Z380" i="3"/>
  <c r="Y380" i="3"/>
  <c r="X380" i="3"/>
  <c r="W380" i="3"/>
  <c r="N380" i="3"/>
  <c r="M380" i="3"/>
  <c r="AE380" i="3" s="1"/>
  <c r="Z379" i="3"/>
  <c r="Y379" i="3"/>
  <c r="X379" i="3"/>
  <c r="W379" i="3"/>
  <c r="N379" i="3"/>
  <c r="M379" i="3"/>
  <c r="AE379" i="3" s="1"/>
  <c r="Z378" i="3"/>
  <c r="Y378" i="3"/>
  <c r="X378" i="3"/>
  <c r="W378" i="3"/>
  <c r="N378" i="3"/>
  <c r="AC378" i="3" s="1"/>
  <c r="M378" i="3"/>
  <c r="AE378" i="3" s="1"/>
  <c r="Z377" i="3"/>
  <c r="Y377" i="3"/>
  <c r="X377" i="3"/>
  <c r="W377" i="3"/>
  <c r="N377" i="3"/>
  <c r="M377" i="3"/>
  <c r="AE377" i="3" s="1"/>
  <c r="Z376" i="3"/>
  <c r="Y376" i="3"/>
  <c r="X376" i="3"/>
  <c r="W376" i="3"/>
  <c r="N376" i="3"/>
  <c r="M376" i="3"/>
  <c r="AE376" i="3" s="1"/>
  <c r="Z375" i="3"/>
  <c r="Y375" i="3"/>
  <c r="X375" i="3"/>
  <c r="W375" i="3"/>
  <c r="N375" i="3"/>
  <c r="AC375" i="3" s="1"/>
  <c r="M375" i="3"/>
  <c r="AE375" i="3" s="1"/>
  <c r="Z374" i="3"/>
  <c r="Y374" i="3"/>
  <c r="X374" i="3"/>
  <c r="W374" i="3"/>
  <c r="N374" i="3"/>
  <c r="M374" i="3"/>
  <c r="AE374" i="3" s="1"/>
  <c r="Z373" i="3"/>
  <c r="Y373" i="3"/>
  <c r="X373" i="3"/>
  <c r="W373" i="3"/>
  <c r="N373" i="3"/>
  <c r="M373" i="3"/>
  <c r="AE373" i="3" s="1"/>
  <c r="Z372" i="3"/>
  <c r="Y372" i="3"/>
  <c r="X372" i="3"/>
  <c r="W372" i="3"/>
  <c r="N372" i="3"/>
  <c r="M372" i="3"/>
  <c r="AE372" i="3" s="1"/>
  <c r="Z371" i="3"/>
  <c r="Y371" i="3"/>
  <c r="X371" i="3"/>
  <c r="W371" i="3"/>
  <c r="N371" i="3"/>
  <c r="M371" i="3"/>
  <c r="AE371" i="3" s="1"/>
  <c r="Z370" i="3"/>
  <c r="Y370" i="3"/>
  <c r="X370" i="3"/>
  <c r="W370" i="3"/>
  <c r="N370" i="3"/>
  <c r="AC370" i="3" s="1"/>
  <c r="M370" i="3"/>
  <c r="AE370" i="3" s="1"/>
  <c r="Z369" i="3"/>
  <c r="Y369" i="3"/>
  <c r="X369" i="3"/>
  <c r="W369" i="3"/>
  <c r="N369" i="3"/>
  <c r="AC369" i="3" s="1"/>
  <c r="M369" i="3"/>
  <c r="AE369" i="3" s="1"/>
  <c r="Z368" i="3"/>
  <c r="Y368" i="3"/>
  <c r="X368" i="3"/>
  <c r="W368" i="3"/>
  <c r="N368" i="3"/>
  <c r="M368" i="3"/>
  <c r="AE368" i="3" s="1"/>
  <c r="Z367" i="3"/>
  <c r="Y367" i="3"/>
  <c r="X367" i="3"/>
  <c r="W367" i="3"/>
  <c r="N367" i="3"/>
  <c r="M367" i="3"/>
  <c r="AE367" i="3" s="1"/>
  <c r="Z366" i="3"/>
  <c r="Y366" i="3"/>
  <c r="X366" i="3"/>
  <c r="W366" i="3"/>
  <c r="N366" i="3"/>
  <c r="M366" i="3"/>
  <c r="AE366" i="3" s="1"/>
  <c r="Z365" i="3"/>
  <c r="Y365" i="3"/>
  <c r="X365" i="3"/>
  <c r="W365" i="3"/>
  <c r="N365" i="3"/>
  <c r="M365" i="3"/>
  <c r="AE365" i="3" s="1"/>
  <c r="Z364" i="3"/>
  <c r="Y364" i="3"/>
  <c r="X364" i="3"/>
  <c r="W364" i="3"/>
  <c r="N364" i="3"/>
  <c r="M364" i="3"/>
  <c r="AE364" i="3" s="1"/>
  <c r="Z363" i="3"/>
  <c r="Y363" i="3"/>
  <c r="X363" i="3"/>
  <c r="W363" i="3"/>
  <c r="N363" i="3"/>
  <c r="M363" i="3"/>
  <c r="AE363" i="3" s="1"/>
  <c r="Z362" i="3"/>
  <c r="Y362" i="3"/>
  <c r="X362" i="3"/>
  <c r="W362" i="3"/>
  <c r="N362" i="3"/>
  <c r="M362" i="3"/>
  <c r="AE362" i="3" s="1"/>
  <c r="Z361" i="3"/>
  <c r="Y361" i="3"/>
  <c r="X361" i="3"/>
  <c r="W361" i="3"/>
  <c r="N361" i="3"/>
  <c r="M361" i="3"/>
  <c r="AE361" i="3" s="1"/>
  <c r="Z360" i="3"/>
  <c r="Y360" i="3"/>
  <c r="X360" i="3"/>
  <c r="W360" i="3"/>
  <c r="N360" i="3"/>
  <c r="M360" i="3"/>
  <c r="AE360" i="3" s="1"/>
  <c r="Z359" i="3"/>
  <c r="AC359" i="3" s="1"/>
  <c r="Y359" i="3"/>
  <c r="X359" i="3"/>
  <c r="W359" i="3"/>
  <c r="N359" i="3"/>
  <c r="M359" i="3"/>
  <c r="AE359" i="3" s="1"/>
  <c r="Z358" i="3"/>
  <c r="Y358" i="3"/>
  <c r="X358" i="3"/>
  <c r="W358" i="3"/>
  <c r="N358" i="3"/>
  <c r="M358" i="3"/>
  <c r="AE358" i="3" s="1"/>
  <c r="Z357" i="3"/>
  <c r="Y357" i="3"/>
  <c r="X357" i="3"/>
  <c r="W357" i="3"/>
  <c r="N357" i="3"/>
  <c r="M357" i="3"/>
  <c r="AE357" i="3" s="1"/>
  <c r="Z356" i="3"/>
  <c r="Y356" i="3"/>
  <c r="X356" i="3"/>
  <c r="W356" i="3"/>
  <c r="N356" i="3"/>
  <c r="M356" i="3"/>
  <c r="AE356" i="3" s="1"/>
  <c r="Z355" i="3"/>
  <c r="Y355" i="3"/>
  <c r="X355" i="3"/>
  <c r="W355" i="3"/>
  <c r="N355" i="3"/>
  <c r="AC355" i="3" s="1"/>
  <c r="M355" i="3"/>
  <c r="AE355" i="3" s="1"/>
  <c r="Z354" i="3"/>
  <c r="Y354" i="3"/>
  <c r="X354" i="3"/>
  <c r="W354" i="3"/>
  <c r="N354" i="3"/>
  <c r="AC354" i="3" s="1"/>
  <c r="M354" i="3"/>
  <c r="AE354" i="3" s="1"/>
  <c r="Z353" i="3"/>
  <c r="Y353" i="3"/>
  <c r="X353" i="3"/>
  <c r="W353" i="3"/>
  <c r="N353" i="3"/>
  <c r="M353" i="3"/>
  <c r="AE353" i="3" s="1"/>
  <c r="Z352" i="3"/>
  <c r="Y352" i="3"/>
  <c r="X352" i="3"/>
  <c r="W352" i="3"/>
  <c r="N352" i="3"/>
  <c r="M352" i="3"/>
  <c r="AE352" i="3" s="1"/>
  <c r="Z351" i="3"/>
  <c r="Y351" i="3"/>
  <c r="X351" i="3"/>
  <c r="W351" i="3"/>
  <c r="N351" i="3"/>
  <c r="AC351" i="3" s="1"/>
  <c r="M351" i="3"/>
  <c r="AE351" i="3" s="1"/>
  <c r="Z350" i="3"/>
  <c r="Y350" i="3"/>
  <c r="X350" i="3"/>
  <c r="W350" i="3"/>
  <c r="N350" i="3"/>
  <c r="M350" i="3"/>
  <c r="AE350" i="3" s="1"/>
  <c r="Z349" i="3"/>
  <c r="Y349" i="3"/>
  <c r="X349" i="3"/>
  <c r="W349" i="3"/>
  <c r="N349" i="3"/>
  <c r="M349" i="3"/>
  <c r="AE349" i="3" s="1"/>
  <c r="Z348" i="3"/>
  <c r="Y348" i="3"/>
  <c r="X348" i="3"/>
  <c r="W348" i="3"/>
  <c r="N348" i="3"/>
  <c r="M348" i="3"/>
  <c r="AE348" i="3" s="1"/>
  <c r="Z347" i="3"/>
  <c r="Y347" i="3"/>
  <c r="X347" i="3"/>
  <c r="W347" i="3"/>
  <c r="N347" i="3"/>
  <c r="AC347" i="3" s="1"/>
  <c r="M347" i="3"/>
  <c r="AE347" i="3" s="1"/>
  <c r="Z346" i="3"/>
  <c r="Y346" i="3"/>
  <c r="X346" i="3"/>
  <c r="W346" i="3"/>
  <c r="N346" i="3"/>
  <c r="AC346" i="3" s="1"/>
  <c r="M346" i="3"/>
  <c r="AE346" i="3" s="1"/>
  <c r="Z345" i="3"/>
  <c r="Y345" i="3"/>
  <c r="X345" i="3"/>
  <c r="W345" i="3"/>
  <c r="N345" i="3"/>
  <c r="AC345" i="3" s="1"/>
  <c r="M345" i="3"/>
  <c r="AE345" i="3" s="1"/>
  <c r="Z344" i="3"/>
  <c r="Y344" i="3"/>
  <c r="X344" i="3"/>
  <c r="W344" i="3"/>
  <c r="N344" i="3"/>
  <c r="M344" i="3"/>
  <c r="AE344" i="3" s="1"/>
  <c r="Z343" i="3"/>
  <c r="Y343" i="3"/>
  <c r="X343" i="3"/>
  <c r="W343" i="3"/>
  <c r="N343" i="3"/>
  <c r="AC343" i="3" s="1"/>
  <c r="M343" i="3"/>
  <c r="AE343" i="3" s="1"/>
  <c r="Z342" i="3"/>
  <c r="Y342" i="3"/>
  <c r="X342" i="3"/>
  <c r="W342" i="3"/>
  <c r="N342" i="3"/>
  <c r="M342" i="3"/>
  <c r="AE342" i="3" s="1"/>
  <c r="Z341" i="3"/>
  <c r="Y341" i="3"/>
  <c r="X341" i="3"/>
  <c r="W341" i="3"/>
  <c r="N341" i="3"/>
  <c r="M341" i="3"/>
  <c r="AE341" i="3" s="1"/>
  <c r="Z340" i="3"/>
  <c r="Y340" i="3"/>
  <c r="X340" i="3"/>
  <c r="W340" i="3"/>
  <c r="N340" i="3"/>
  <c r="M340" i="3"/>
  <c r="AE340" i="3" s="1"/>
  <c r="Z339" i="3"/>
  <c r="Y339" i="3"/>
  <c r="X339" i="3"/>
  <c r="W339" i="3"/>
  <c r="N339" i="3"/>
  <c r="M339" i="3"/>
  <c r="AE339" i="3" s="1"/>
  <c r="Z338" i="3"/>
  <c r="Y338" i="3"/>
  <c r="X338" i="3"/>
  <c r="W338" i="3"/>
  <c r="N338" i="3"/>
  <c r="M338" i="3"/>
  <c r="AE338" i="3" s="1"/>
  <c r="Z337" i="3"/>
  <c r="Y337" i="3"/>
  <c r="X337" i="3"/>
  <c r="W337" i="3"/>
  <c r="N337" i="3"/>
  <c r="AC337" i="3" s="1"/>
  <c r="M337" i="3"/>
  <c r="AE337" i="3" s="1"/>
  <c r="Z336" i="3"/>
  <c r="Y336" i="3"/>
  <c r="X336" i="3"/>
  <c r="W336" i="3"/>
  <c r="N336" i="3"/>
  <c r="M336" i="3"/>
  <c r="AE336" i="3" s="1"/>
  <c r="Z335" i="3"/>
  <c r="Y335" i="3"/>
  <c r="X335" i="3"/>
  <c r="W335" i="3"/>
  <c r="N335" i="3"/>
  <c r="AC335" i="3" s="1"/>
  <c r="M335" i="3"/>
  <c r="AE335" i="3" s="1"/>
  <c r="Z334" i="3"/>
  <c r="Y334" i="3"/>
  <c r="X334" i="3"/>
  <c r="W334" i="3"/>
  <c r="N334" i="3"/>
  <c r="M334" i="3"/>
  <c r="AE334" i="3" s="1"/>
  <c r="Z333" i="3"/>
  <c r="Y333" i="3"/>
  <c r="X333" i="3"/>
  <c r="W333" i="3"/>
  <c r="N333" i="3"/>
  <c r="M333" i="3"/>
  <c r="AE333" i="3" s="1"/>
  <c r="Z332" i="3"/>
  <c r="AC332" i="3" s="1"/>
  <c r="Y332" i="3"/>
  <c r="X332" i="3"/>
  <c r="W332" i="3"/>
  <c r="N332" i="3"/>
  <c r="M332" i="3"/>
  <c r="AE332" i="3" s="1"/>
  <c r="Z331" i="3"/>
  <c r="Y331" i="3"/>
  <c r="X331" i="3"/>
  <c r="W331" i="3"/>
  <c r="N331" i="3"/>
  <c r="M331" i="3"/>
  <c r="AE331" i="3" s="1"/>
  <c r="Z330" i="3"/>
  <c r="Y330" i="3"/>
  <c r="X330" i="3"/>
  <c r="W330" i="3"/>
  <c r="N330" i="3"/>
  <c r="M330" i="3"/>
  <c r="AE330" i="3" s="1"/>
  <c r="Z329" i="3"/>
  <c r="Y329" i="3"/>
  <c r="X329" i="3"/>
  <c r="W329" i="3"/>
  <c r="N329" i="3"/>
  <c r="M329" i="3"/>
  <c r="AE329" i="3" s="1"/>
  <c r="Z328" i="3"/>
  <c r="Y328" i="3"/>
  <c r="X328" i="3"/>
  <c r="W328" i="3"/>
  <c r="N328" i="3"/>
  <c r="M328" i="3"/>
  <c r="AE328" i="3" s="1"/>
  <c r="Z327" i="3"/>
  <c r="AC327" i="3" s="1"/>
  <c r="Y327" i="3"/>
  <c r="X327" i="3"/>
  <c r="W327" i="3"/>
  <c r="N327" i="3"/>
  <c r="M327" i="3"/>
  <c r="AE327" i="3" s="1"/>
  <c r="Z326" i="3"/>
  <c r="Y326" i="3"/>
  <c r="X326" i="3"/>
  <c r="W326" i="3"/>
  <c r="N326" i="3"/>
  <c r="M326" i="3"/>
  <c r="AE326" i="3" s="1"/>
  <c r="Z325" i="3"/>
  <c r="AC325" i="3" s="1"/>
  <c r="Y325" i="3"/>
  <c r="X325" i="3"/>
  <c r="W325" i="3"/>
  <c r="N325" i="3"/>
  <c r="M325" i="3"/>
  <c r="AE325" i="3" s="1"/>
  <c r="Z324" i="3"/>
  <c r="Y324" i="3"/>
  <c r="X324" i="3"/>
  <c r="W324" i="3"/>
  <c r="N324" i="3"/>
  <c r="AC324" i="3" s="1"/>
  <c r="M324" i="3"/>
  <c r="AE324" i="3" s="1"/>
  <c r="Z323" i="3"/>
  <c r="AC323" i="3" s="1"/>
  <c r="Y323" i="3"/>
  <c r="X323" i="3"/>
  <c r="W323" i="3"/>
  <c r="N323" i="3"/>
  <c r="M323" i="3"/>
  <c r="AE323" i="3" s="1"/>
  <c r="Z322" i="3"/>
  <c r="Y322" i="3"/>
  <c r="X322" i="3"/>
  <c r="W322" i="3"/>
  <c r="N322" i="3"/>
  <c r="M322" i="3"/>
  <c r="AE322" i="3" s="1"/>
  <c r="Z321" i="3"/>
  <c r="AC321" i="3" s="1"/>
  <c r="Y321" i="3"/>
  <c r="X321" i="3"/>
  <c r="W321" i="3"/>
  <c r="N321" i="3"/>
  <c r="M321" i="3"/>
  <c r="AE321" i="3" s="1"/>
  <c r="Z320" i="3"/>
  <c r="Y320" i="3"/>
  <c r="X320" i="3"/>
  <c r="W320" i="3"/>
  <c r="N320" i="3"/>
  <c r="M320" i="3"/>
  <c r="AE320" i="3" s="1"/>
  <c r="AC319" i="3"/>
  <c r="Z319" i="3"/>
  <c r="Y319" i="3"/>
  <c r="X319" i="3"/>
  <c r="W319" i="3"/>
  <c r="N319" i="3"/>
  <c r="M319" i="3"/>
  <c r="AE319" i="3" s="1"/>
  <c r="Z318" i="3"/>
  <c r="AC318" i="3" s="1"/>
  <c r="Y318" i="3"/>
  <c r="X318" i="3"/>
  <c r="W318" i="3"/>
  <c r="N318" i="3"/>
  <c r="M318" i="3"/>
  <c r="AE318" i="3" s="1"/>
  <c r="Z317" i="3"/>
  <c r="Y317" i="3"/>
  <c r="X317" i="3"/>
  <c r="W317" i="3"/>
  <c r="N317" i="3"/>
  <c r="M317" i="3"/>
  <c r="AE317" i="3" s="1"/>
  <c r="Z316" i="3"/>
  <c r="AC316" i="3" s="1"/>
  <c r="Y316" i="3"/>
  <c r="X316" i="3"/>
  <c r="W316" i="3"/>
  <c r="N316" i="3"/>
  <c r="M316" i="3"/>
  <c r="AE316" i="3" s="1"/>
  <c r="Z315" i="3"/>
  <c r="Y315" i="3"/>
  <c r="X315" i="3"/>
  <c r="W315" i="3"/>
  <c r="N315" i="3"/>
  <c r="M315" i="3"/>
  <c r="AE315" i="3" s="1"/>
  <c r="Z314" i="3"/>
  <c r="AC314" i="3" s="1"/>
  <c r="Y314" i="3"/>
  <c r="X314" i="3"/>
  <c r="W314" i="3"/>
  <c r="N314" i="3"/>
  <c r="M314" i="3"/>
  <c r="AE314" i="3" s="1"/>
  <c r="Z313" i="3"/>
  <c r="Y313" i="3"/>
  <c r="X313" i="3"/>
  <c r="W313" i="3"/>
  <c r="N313" i="3"/>
  <c r="M313" i="3"/>
  <c r="AE313" i="3" s="1"/>
  <c r="Z312" i="3"/>
  <c r="AC312" i="3" s="1"/>
  <c r="Y312" i="3"/>
  <c r="X312" i="3"/>
  <c r="W312" i="3"/>
  <c r="N312" i="3"/>
  <c r="M312" i="3"/>
  <c r="AE312" i="3" s="1"/>
  <c r="Z311" i="3"/>
  <c r="Y311" i="3"/>
  <c r="X311" i="3"/>
  <c r="W311" i="3"/>
  <c r="N311" i="3"/>
  <c r="M311" i="3"/>
  <c r="AE311" i="3" s="1"/>
  <c r="Z310" i="3"/>
  <c r="AC310" i="3" s="1"/>
  <c r="Y310" i="3"/>
  <c r="X310" i="3"/>
  <c r="W310" i="3"/>
  <c r="N310" i="3"/>
  <c r="M310" i="3"/>
  <c r="AE310" i="3" s="1"/>
  <c r="Z309" i="3"/>
  <c r="Y309" i="3"/>
  <c r="X309" i="3"/>
  <c r="W309" i="3"/>
  <c r="N309" i="3"/>
  <c r="M309" i="3"/>
  <c r="AE309" i="3" s="1"/>
  <c r="Z308" i="3"/>
  <c r="AC308" i="3" s="1"/>
  <c r="Y308" i="3"/>
  <c r="X308" i="3"/>
  <c r="W308" i="3"/>
  <c r="N308" i="3"/>
  <c r="M308" i="3"/>
  <c r="AE308" i="3" s="1"/>
  <c r="Z307" i="3"/>
  <c r="AC307" i="3" s="1"/>
  <c r="Y307" i="3"/>
  <c r="X307" i="3"/>
  <c r="W307" i="3"/>
  <c r="N307" i="3"/>
  <c r="M307" i="3"/>
  <c r="AE307" i="3" s="1"/>
  <c r="Z306" i="3"/>
  <c r="AC306" i="3" s="1"/>
  <c r="Y306" i="3"/>
  <c r="X306" i="3"/>
  <c r="W306" i="3"/>
  <c r="N306" i="3"/>
  <c r="M306" i="3"/>
  <c r="AE306" i="3" s="1"/>
  <c r="Z305" i="3"/>
  <c r="Y305" i="3"/>
  <c r="X305" i="3"/>
  <c r="W305" i="3"/>
  <c r="N305" i="3"/>
  <c r="M305" i="3"/>
  <c r="AE305" i="3" s="1"/>
  <c r="Z304" i="3"/>
  <c r="Y304" i="3"/>
  <c r="X304" i="3"/>
  <c r="W304" i="3"/>
  <c r="N304" i="3"/>
  <c r="M304" i="3"/>
  <c r="AE304" i="3" s="1"/>
  <c r="AC303" i="3"/>
  <c r="Z303" i="3"/>
  <c r="Y303" i="3"/>
  <c r="X303" i="3"/>
  <c r="W303" i="3"/>
  <c r="N303" i="3"/>
  <c r="M303" i="3"/>
  <c r="AE303" i="3" s="1"/>
  <c r="Z302" i="3"/>
  <c r="Y302" i="3"/>
  <c r="X302" i="3"/>
  <c r="W302" i="3"/>
  <c r="N302" i="3"/>
  <c r="AC302" i="3" s="1"/>
  <c r="M302" i="3"/>
  <c r="AE302" i="3" s="1"/>
  <c r="Z301" i="3"/>
  <c r="Y301" i="3"/>
  <c r="X301" i="3"/>
  <c r="W301" i="3"/>
  <c r="N301" i="3"/>
  <c r="M301" i="3"/>
  <c r="AE301" i="3" s="1"/>
  <c r="Z300" i="3"/>
  <c r="Y300" i="3"/>
  <c r="X300" i="3"/>
  <c r="W300" i="3"/>
  <c r="N300" i="3"/>
  <c r="M300" i="3"/>
  <c r="AE300" i="3" s="1"/>
  <c r="Z299" i="3"/>
  <c r="AC299" i="3" s="1"/>
  <c r="Y299" i="3"/>
  <c r="X299" i="3"/>
  <c r="W299" i="3"/>
  <c r="N299" i="3"/>
  <c r="M299" i="3"/>
  <c r="AE299" i="3" s="1"/>
  <c r="Z298" i="3"/>
  <c r="Y298" i="3"/>
  <c r="X298" i="3"/>
  <c r="W298" i="3"/>
  <c r="N298" i="3"/>
  <c r="M298" i="3"/>
  <c r="AE298" i="3" s="1"/>
  <c r="Z297" i="3"/>
  <c r="Y297" i="3"/>
  <c r="X297" i="3"/>
  <c r="W297" i="3"/>
  <c r="N297" i="3"/>
  <c r="M297" i="3"/>
  <c r="AE297" i="3" s="1"/>
  <c r="Z296" i="3"/>
  <c r="Y296" i="3"/>
  <c r="X296" i="3"/>
  <c r="W296" i="3"/>
  <c r="N296" i="3"/>
  <c r="M296" i="3"/>
  <c r="AE296" i="3" s="1"/>
  <c r="Z295" i="3"/>
  <c r="Y295" i="3"/>
  <c r="X295" i="3"/>
  <c r="W295" i="3"/>
  <c r="N295" i="3"/>
  <c r="AC295" i="3" s="1"/>
  <c r="M295" i="3"/>
  <c r="AE295" i="3" s="1"/>
  <c r="Z294" i="3"/>
  <c r="AC294" i="3" s="1"/>
  <c r="Y294" i="3"/>
  <c r="X294" i="3"/>
  <c r="W294" i="3"/>
  <c r="N294" i="3"/>
  <c r="M294" i="3"/>
  <c r="AE294" i="3" s="1"/>
  <c r="Z293" i="3"/>
  <c r="Y293" i="3"/>
  <c r="X293" i="3"/>
  <c r="W293" i="3"/>
  <c r="N293" i="3"/>
  <c r="M293" i="3"/>
  <c r="AE293" i="3" s="1"/>
  <c r="Z292" i="3"/>
  <c r="Y292" i="3"/>
  <c r="X292" i="3"/>
  <c r="W292" i="3"/>
  <c r="N292" i="3"/>
  <c r="M292" i="3"/>
  <c r="AE292" i="3" s="1"/>
  <c r="Z291" i="3"/>
  <c r="Y291" i="3"/>
  <c r="X291" i="3"/>
  <c r="W291" i="3"/>
  <c r="N291" i="3"/>
  <c r="M291" i="3"/>
  <c r="AE291" i="3" s="1"/>
  <c r="Z290" i="3"/>
  <c r="AC290" i="3" s="1"/>
  <c r="Y290" i="3"/>
  <c r="X290" i="3"/>
  <c r="W290" i="3"/>
  <c r="N290" i="3"/>
  <c r="M290" i="3"/>
  <c r="AE290" i="3" s="1"/>
  <c r="Z289" i="3"/>
  <c r="Y289" i="3"/>
  <c r="X289" i="3"/>
  <c r="W289" i="3"/>
  <c r="N289" i="3"/>
  <c r="M289" i="3"/>
  <c r="AE289" i="3" s="1"/>
  <c r="Z288" i="3"/>
  <c r="AC288" i="3" s="1"/>
  <c r="Y288" i="3"/>
  <c r="X288" i="3"/>
  <c r="W288" i="3"/>
  <c r="N288" i="3"/>
  <c r="M288" i="3"/>
  <c r="AE288" i="3" s="1"/>
  <c r="Z287" i="3"/>
  <c r="Y287" i="3"/>
  <c r="X287" i="3"/>
  <c r="W287" i="3"/>
  <c r="N287" i="3"/>
  <c r="M287" i="3"/>
  <c r="AE287" i="3" s="1"/>
  <c r="AC286" i="3"/>
  <c r="Z286" i="3"/>
  <c r="Y286" i="3"/>
  <c r="X286" i="3"/>
  <c r="W286" i="3"/>
  <c r="N286" i="3"/>
  <c r="M286" i="3"/>
  <c r="AE286" i="3" s="1"/>
  <c r="Z285" i="3"/>
  <c r="Y285" i="3"/>
  <c r="X285" i="3"/>
  <c r="W285" i="3"/>
  <c r="N285" i="3"/>
  <c r="M285" i="3"/>
  <c r="AE285" i="3" s="1"/>
  <c r="Z284" i="3"/>
  <c r="Y284" i="3"/>
  <c r="X284" i="3"/>
  <c r="W284" i="3"/>
  <c r="N284" i="3"/>
  <c r="M284" i="3"/>
  <c r="AE284" i="3" s="1"/>
  <c r="Z283" i="3"/>
  <c r="Y283" i="3"/>
  <c r="X283" i="3"/>
  <c r="W283" i="3"/>
  <c r="N283" i="3"/>
  <c r="M283" i="3"/>
  <c r="AE283" i="3" s="1"/>
  <c r="Z282" i="3"/>
  <c r="Y282" i="3"/>
  <c r="X282" i="3"/>
  <c r="W282" i="3"/>
  <c r="N282" i="3"/>
  <c r="AC282" i="3" s="1"/>
  <c r="M282" i="3"/>
  <c r="AE282" i="3" s="1"/>
  <c r="Z281" i="3"/>
  <c r="Y281" i="3"/>
  <c r="X281" i="3"/>
  <c r="W281" i="3"/>
  <c r="N281" i="3"/>
  <c r="M281" i="3"/>
  <c r="AE281" i="3" s="1"/>
  <c r="Z280" i="3"/>
  <c r="Y280" i="3"/>
  <c r="X280" i="3"/>
  <c r="W280" i="3"/>
  <c r="N280" i="3"/>
  <c r="M280" i="3"/>
  <c r="AE280" i="3" s="1"/>
  <c r="Z279" i="3"/>
  <c r="AC279" i="3" s="1"/>
  <c r="Y279" i="3"/>
  <c r="X279" i="3"/>
  <c r="W279" i="3"/>
  <c r="N279" i="3"/>
  <c r="M279" i="3"/>
  <c r="AE279" i="3" s="1"/>
  <c r="Z278" i="3"/>
  <c r="Y278" i="3"/>
  <c r="X278" i="3"/>
  <c r="W278" i="3"/>
  <c r="N278" i="3"/>
  <c r="M278" i="3"/>
  <c r="AE278" i="3" s="1"/>
  <c r="Z277" i="3"/>
  <c r="AC277" i="3" s="1"/>
  <c r="Y277" i="3"/>
  <c r="X277" i="3"/>
  <c r="W277" i="3"/>
  <c r="N277" i="3"/>
  <c r="M277" i="3"/>
  <c r="AE277" i="3" s="1"/>
  <c r="Z276" i="3"/>
  <c r="Y276" i="3"/>
  <c r="X276" i="3"/>
  <c r="W276" i="3"/>
  <c r="N276" i="3"/>
  <c r="M276" i="3"/>
  <c r="AE276" i="3" s="1"/>
  <c r="Z275" i="3"/>
  <c r="AC275" i="3" s="1"/>
  <c r="Y275" i="3"/>
  <c r="X275" i="3"/>
  <c r="W275" i="3"/>
  <c r="N275" i="3"/>
  <c r="M275" i="3"/>
  <c r="AE275" i="3" s="1"/>
  <c r="Z274" i="3"/>
  <c r="AC274" i="3" s="1"/>
  <c r="Y274" i="3"/>
  <c r="X274" i="3"/>
  <c r="W274" i="3"/>
  <c r="N274" i="3"/>
  <c r="M274" i="3"/>
  <c r="AE274" i="3" s="1"/>
  <c r="Z273" i="3"/>
  <c r="Y273" i="3"/>
  <c r="X273" i="3"/>
  <c r="W273" i="3"/>
  <c r="N273" i="3"/>
  <c r="M273" i="3"/>
  <c r="AE273" i="3" s="1"/>
  <c r="Z272" i="3"/>
  <c r="Y272" i="3"/>
  <c r="X272" i="3"/>
  <c r="W272" i="3"/>
  <c r="N272" i="3"/>
  <c r="M272" i="3"/>
  <c r="AE272" i="3" s="1"/>
  <c r="Z271" i="3"/>
  <c r="AC271" i="3" s="1"/>
  <c r="Y271" i="3"/>
  <c r="X271" i="3"/>
  <c r="W271" i="3"/>
  <c r="N271" i="3"/>
  <c r="M271" i="3"/>
  <c r="AE271" i="3" s="1"/>
  <c r="AC270" i="3"/>
  <c r="Z270" i="3"/>
  <c r="Y270" i="3"/>
  <c r="X270" i="3"/>
  <c r="W270" i="3"/>
  <c r="N270" i="3"/>
  <c r="M270" i="3"/>
  <c r="AE270" i="3" s="1"/>
  <c r="Z269" i="3"/>
  <c r="Y269" i="3"/>
  <c r="X269" i="3"/>
  <c r="W269" i="3"/>
  <c r="N269" i="3"/>
  <c r="M269" i="3"/>
  <c r="AE269" i="3" s="1"/>
  <c r="Z268" i="3"/>
  <c r="Y268" i="3"/>
  <c r="X268" i="3"/>
  <c r="W268" i="3"/>
  <c r="N268" i="3"/>
  <c r="M268" i="3"/>
  <c r="AE268" i="3" s="1"/>
  <c r="Z267" i="3"/>
  <c r="Y267" i="3"/>
  <c r="X267" i="3"/>
  <c r="W267" i="3"/>
  <c r="N267" i="3"/>
  <c r="AC267" i="3" s="1"/>
  <c r="M267" i="3"/>
  <c r="AE267" i="3" s="1"/>
  <c r="Z266" i="3"/>
  <c r="Y266" i="3"/>
  <c r="X266" i="3"/>
  <c r="W266" i="3"/>
  <c r="N266" i="3"/>
  <c r="M266" i="3"/>
  <c r="AE266" i="3" s="1"/>
  <c r="Z265" i="3"/>
  <c r="Y265" i="3"/>
  <c r="X265" i="3"/>
  <c r="W265" i="3"/>
  <c r="N265" i="3"/>
  <c r="M265" i="3"/>
  <c r="AE265" i="3" s="1"/>
  <c r="Z264" i="3"/>
  <c r="Y264" i="3"/>
  <c r="X264" i="3"/>
  <c r="W264" i="3"/>
  <c r="N264" i="3"/>
  <c r="M264" i="3"/>
  <c r="AE264" i="3" s="1"/>
  <c r="Z263" i="3"/>
  <c r="Y263" i="3"/>
  <c r="X263" i="3"/>
  <c r="W263" i="3"/>
  <c r="N263" i="3"/>
  <c r="AC263" i="3" s="1"/>
  <c r="M263" i="3"/>
  <c r="AE263" i="3" s="1"/>
  <c r="Z262" i="3"/>
  <c r="AC262" i="3" s="1"/>
  <c r="Y262" i="3"/>
  <c r="X262" i="3"/>
  <c r="W262" i="3"/>
  <c r="N262" i="3"/>
  <c r="M262" i="3"/>
  <c r="AE262" i="3" s="1"/>
  <c r="Z261" i="3"/>
  <c r="Y261" i="3"/>
  <c r="X261" i="3"/>
  <c r="W261" i="3"/>
  <c r="N261" i="3"/>
  <c r="M261" i="3"/>
  <c r="AE261" i="3" s="1"/>
  <c r="Z260" i="3"/>
  <c r="Y260" i="3"/>
  <c r="X260" i="3"/>
  <c r="W260" i="3"/>
  <c r="N260" i="3"/>
  <c r="M260" i="3"/>
  <c r="AE260" i="3" s="1"/>
  <c r="AC259" i="3"/>
  <c r="Z259" i="3"/>
  <c r="Y259" i="3"/>
  <c r="X259" i="3"/>
  <c r="W259" i="3"/>
  <c r="N259" i="3"/>
  <c r="M259" i="3"/>
  <c r="AE259" i="3" s="1"/>
  <c r="Z258" i="3"/>
  <c r="Y258" i="3"/>
  <c r="X258" i="3"/>
  <c r="W258" i="3"/>
  <c r="N258" i="3"/>
  <c r="AC258" i="3" s="1"/>
  <c r="M258" i="3"/>
  <c r="AE258" i="3" s="1"/>
  <c r="Z257" i="3"/>
  <c r="Y257" i="3"/>
  <c r="X257" i="3"/>
  <c r="W257" i="3"/>
  <c r="N257" i="3"/>
  <c r="M257" i="3"/>
  <c r="AE257" i="3" s="1"/>
  <c r="Z256" i="3"/>
  <c r="Y256" i="3"/>
  <c r="X256" i="3"/>
  <c r="W256" i="3"/>
  <c r="N256" i="3"/>
  <c r="M256" i="3"/>
  <c r="AE256" i="3" s="1"/>
  <c r="Z255" i="3"/>
  <c r="AC255" i="3" s="1"/>
  <c r="Y255" i="3"/>
  <c r="X255" i="3"/>
  <c r="W255" i="3"/>
  <c r="N255" i="3"/>
  <c r="M255" i="3"/>
  <c r="AE255" i="3" s="1"/>
  <c r="Z254" i="3"/>
  <c r="Y254" i="3"/>
  <c r="X254" i="3"/>
  <c r="W254" i="3"/>
  <c r="N254" i="3"/>
  <c r="AC254" i="3" s="1"/>
  <c r="M254" i="3"/>
  <c r="AE254" i="3" s="1"/>
  <c r="Z253" i="3"/>
  <c r="AC253" i="3" s="1"/>
  <c r="Y253" i="3"/>
  <c r="X253" i="3"/>
  <c r="W253" i="3"/>
  <c r="N253" i="3"/>
  <c r="M253" i="3"/>
  <c r="AE253" i="3" s="1"/>
  <c r="Z252" i="3"/>
  <c r="Y252" i="3"/>
  <c r="X252" i="3"/>
  <c r="W252" i="3"/>
  <c r="N252" i="3"/>
  <c r="M252" i="3"/>
  <c r="AE252" i="3" s="1"/>
  <c r="Z251" i="3"/>
  <c r="AC251" i="3" s="1"/>
  <c r="Y251" i="3"/>
  <c r="X251" i="3"/>
  <c r="W251" i="3"/>
  <c r="N251" i="3"/>
  <c r="M251" i="3"/>
  <c r="AE251" i="3" s="1"/>
  <c r="Z250" i="3"/>
  <c r="AC250" i="3" s="1"/>
  <c r="Y250" i="3"/>
  <c r="X250" i="3"/>
  <c r="W250" i="3"/>
  <c r="N250" i="3"/>
  <c r="M250" i="3"/>
  <c r="AE250" i="3" s="1"/>
  <c r="Z249" i="3"/>
  <c r="Y249" i="3"/>
  <c r="X249" i="3"/>
  <c r="W249" i="3"/>
  <c r="N249" i="3"/>
  <c r="M249" i="3"/>
  <c r="AE249" i="3" s="1"/>
  <c r="Z248" i="3"/>
  <c r="Y248" i="3"/>
  <c r="X248" i="3"/>
  <c r="W248" i="3"/>
  <c r="N248" i="3"/>
  <c r="M248" i="3"/>
  <c r="AE248" i="3" s="1"/>
  <c r="Z247" i="3"/>
  <c r="Y247" i="3"/>
  <c r="X247" i="3"/>
  <c r="W247" i="3"/>
  <c r="N247" i="3"/>
  <c r="M247" i="3"/>
  <c r="AE247" i="3" s="1"/>
  <c r="Z246" i="3"/>
  <c r="AC246" i="3" s="1"/>
  <c r="Y246" i="3"/>
  <c r="X246" i="3"/>
  <c r="W246" i="3"/>
  <c r="N246" i="3"/>
  <c r="M246" i="3"/>
  <c r="AE246" i="3" s="1"/>
  <c r="Z245" i="3"/>
  <c r="Y245" i="3"/>
  <c r="X245" i="3"/>
  <c r="W245" i="3"/>
  <c r="N245" i="3"/>
  <c r="M245" i="3"/>
  <c r="AE245" i="3" s="1"/>
  <c r="Z244" i="3"/>
  <c r="AC244" i="3" s="1"/>
  <c r="Y244" i="3"/>
  <c r="X244" i="3"/>
  <c r="W244" i="3"/>
  <c r="N244" i="3"/>
  <c r="M244" i="3"/>
  <c r="AE244" i="3" s="1"/>
  <c r="Z243" i="3"/>
  <c r="Y243" i="3"/>
  <c r="X243" i="3"/>
  <c r="W243" i="3"/>
  <c r="N243" i="3"/>
  <c r="M243" i="3"/>
  <c r="AE243" i="3" s="1"/>
  <c r="AC242" i="3"/>
  <c r="Z242" i="3"/>
  <c r="Y242" i="3"/>
  <c r="X242" i="3"/>
  <c r="W242" i="3"/>
  <c r="N242" i="3"/>
  <c r="M242" i="3"/>
  <c r="AE242" i="3" s="1"/>
  <c r="Z241" i="3"/>
  <c r="Y241" i="3"/>
  <c r="X241" i="3"/>
  <c r="W241" i="3"/>
  <c r="N241" i="3"/>
  <c r="M241" i="3"/>
  <c r="AE241" i="3" s="1"/>
  <c r="Z240" i="3"/>
  <c r="Y240" i="3"/>
  <c r="X240" i="3"/>
  <c r="W240" i="3"/>
  <c r="N240" i="3"/>
  <c r="M240" i="3"/>
  <c r="AE240" i="3" s="1"/>
  <c r="Z239" i="3"/>
  <c r="Y239" i="3"/>
  <c r="X239" i="3"/>
  <c r="W239" i="3"/>
  <c r="N239" i="3"/>
  <c r="M239" i="3"/>
  <c r="AE239" i="3" s="1"/>
  <c r="Z238" i="3"/>
  <c r="AC238" i="3" s="1"/>
  <c r="Y238" i="3"/>
  <c r="X238" i="3"/>
  <c r="W238" i="3"/>
  <c r="N238" i="3"/>
  <c r="M238" i="3"/>
  <c r="AE238" i="3" s="1"/>
  <c r="Z237" i="3"/>
  <c r="Y237" i="3"/>
  <c r="X237" i="3"/>
  <c r="W237" i="3"/>
  <c r="N237" i="3"/>
  <c r="M237" i="3"/>
  <c r="AE237" i="3" s="1"/>
  <c r="Z236" i="3"/>
  <c r="Y236" i="3"/>
  <c r="X236" i="3"/>
  <c r="W236" i="3"/>
  <c r="N236" i="3"/>
  <c r="M236" i="3"/>
  <c r="AE236" i="3" s="1"/>
  <c r="Z235" i="3"/>
  <c r="AC235" i="3" s="1"/>
  <c r="Y235" i="3"/>
  <c r="X235" i="3"/>
  <c r="W235" i="3"/>
  <c r="N235" i="3"/>
  <c r="M235" i="3"/>
  <c r="AE235" i="3" s="1"/>
  <c r="Z234" i="3"/>
  <c r="Y234" i="3"/>
  <c r="X234" i="3"/>
  <c r="W234" i="3"/>
  <c r="N234" i="3"/>
  <c r="M234" i="3"/>
  <c r="AE234" i="3" s="1"/>
  <c r="Z233" i="3"/>
  <c r="AC233" i="3" s="1"/>
  <c r="Y233" i="3"/>
  <c r="X233" i="3"/>
  <c r="W233" i="3"/>
  <c r="N233" i="3"/>
  <c r="M233" i="3"/>
  <c r="AE233" i="3" s="1"/>
  <c r="Z232" i="3"/>
  <c r="Y232" i="3"/>
  <c r="X232" i="3"/>
  <c r="W232" i="3"/>
  <c r="N232" i="3"/>
  <c r="M232" i="3"/>
  <c r="AE232" i="3" s="1"/>
  <c r="AC231" i="3"/>
  <c r="Z231" i="3"/>
  <c r="Y231" i="3"/>
  <c r="X231" i="3"/>
  <c r="W231" i="3"/>
  <c r="N231" i="3"/>
  <c r="M231" i="3"/>
  <c r="AE231" i="3" s="1"/>
  <c r="Z230" i="3"/>
  <c r="Y230" i="3"/>
  <c r="X230" i="3"/>
  <c r="W230" i="3"/>
  <c r="N230" i="3"/>
  <c r="M230" i="3"/>
  <c r="AE230" i="3" s="1"/>
  <c r="Z229" i="3"/>
  <c r="Y229" i="3"/>
  <c r="X229" i="3"/>
  <c r="W229" i="3"/>
  <c r="N229" i="3"/>
  <c r="M229" i="3"/>
  <c r="AE229" i="3" s="1"/>
  <c r="Z228" i="3"/>
  <c r="Y228" i="3"/>
  <c r="X228" i="3"/>
  <c r="W228" i="3"/>
  <c r="N228" i="3"/>
  <c r="M228" i="3"/>
  <c r="AE228" i="3" s="1"/>
  <c r="Z227" i="3"/>
  <c r="AC227" i="3" s="1"/>
  <c r="Y227" i="3"/>
  <c r="X227" i="3"/>
  <c r="W227" i="3"/>
  <c r="N227" i="3"/>
  <c r="M227" i="3"/>
  <c r="AE227" i="3" s="1"/>
  <c r="Z226" i="3"/>
  <c r="Y226" i="3"/>
  <c r="X226" i="3"/>
  <c r="W226" i="3"/>
  <c r="N226" i="3"/>
  <c r="M226" i="3"/>
  <c r="AE226" i="3" s="1"/>
  <c r="Z225" i="3"/>
  <c r="Y225" i="3"/>
  <c r="X225" i="3"/>
  <c r="W225" i="3"/>
  <c r="N225" i="3"/>
  <c r="M225" i="3"/>
  <c r="AE225" i="3" s="1"/>
  <c r="Z224" i="3"/>
  <c r="Y224" i="3"/>
  <c r="X224" i="3"/>
  <c r="W224" i="3"/>
  <c r="N224" i="3"/>
  <c r="M224" i="3"/>
  <c r="AE224" i="3" s="1"/>
  <c r="Z223" i="3"/>
  <c r="Y223" i="3"/>
  <c r="X223" i="3"/>
  <c r="W223" i="3"/>
  <c r="N223" i="3"/>
  <c r="AC223" i="3" s="1"/>
  <c r="M223" i="3"/>
  <c r="AE223" i="3" s="1"/>
  <c r="Z222" i="3"/>
  <c r="Y222" i="3"/>
  <c r="X222" i="3"/>
  <c r="W222" i="3"/>
  <c r="N222" i="3"/>
  <c r="M222" i="3"/>
  <c r="AE222" i="3" s="1"/>
  <c r="Z221" i="3"/>
  <c r="Y221" i="3"/>
  <c r="X221" i="3"/>
  <c r="W221" i="3"/>
  <c r="N221" i="3"/>
  <c r="M221" i="3"/>
  <c r="AE221" i="3" s="1"/>
  <c r="Z220" i="3"/>
  <c r="Y220" i="3"/>
  <c r="X220" i="3"/>
  <c r="W220" i="3"/>
  <c r="N220" i="3"/>
  <c r="M220" i="3"/>
  <c r="AE220" i="3" s="1"/>
  <c r="Z219" i="3"/>
  <c r="Y219" i="3"/>
  <c r="X219" i="3"/>
  <c r="W219" i="3"/>
  <c r="N219" i="3"/>
  <c r="AC219" i="3" s="1"/>
  <c r="M219" i="3"/>
  <c r="AE219" i="3" s="1"/>
  <c r="AC218" i="3"/>
  <c r="Z218" i="3"/>
  <c r="Y218" i="3"/>
  <c r="X218" i="3"/>
  <c r="W218" i="3"/>
  <c r="N218" i="3"/>
  <c r="M218" i="3"/>
  <c r="AE218" i="3" s="1"/>
  <c r="Z217" i="3"/>
  <c r="Y217" i="3"/>
  <c r="X217" i="3"/>
  <c r="W217" i="3"/>
  <c r="N217" i="3"/>
  <c r="M217" i="3"/>
  <c r="AE217" i="3" s="1"/>
  <c r="Z216" i="3"/>
  <c r="Y216" i="3"/>
  <c r="X216" i="3"/>
  <c r="W216" i="3"/>
  <c r="N216" i="3"/>
  <c r="M216" i="3"/>
  <c r="AE216" i="3" s="1"/>
  <c r="Z215" i="3"/>
  <c r="Y215" i="3"/>
  <c r="X215" i="3"/>
  <c r="W215" i="3"/>
  <c r="N215" i="3"/>
  <c r="AC215" i="3" s="1"/>
  <c r="M215" i="3"/>
  <c r="AE215" i="3" s="1"/>
  <c r="Z214" i="3"/>
  <c r="AC214" i="3" s="1"/>
  <c r="Y214" i="3"/>
  <c r="X214" i="3"/>
  <c r="W214" i="3"/>
  <c r="N214" i="3"/>
  <c r="M214" i="3"/>
  <c r="AE214" i="3" s="1"/>
  <c r="Z213" i="3"/>
  <c r="Y213" i="3"/>
  <c r="X213" i="3"/>
  <c r="W213" i="3"/>
  <c r="N213" i="3"/>
  <c r="M213" i="3"/>
  <c r="AE213" i="3" s="1"/>
  <c r="Z212" i="3"/>
  <c r="Y212" i="3"/>
  <c r="X212" i="3"/>
  <c r="W212" i="3"/>
  <c r="N212" i="3"/>
  <c r="M212" i="3"/>
  <c r="AE212" i="3" s="1"/>
  <c r="Z211" i="3"/>
  <c r="Y211" i="3"/>
  <c r="X211" i="3"/>
  <c r="W211" i="3"/>
  <c r="N211" i="3"/>
  <c r="M211" i="3"/>
  <c r="AE211" i="3" s="1"/>
  <c r="Z210" i="3"/>
  <c r="AC210" i="3" s="1"/>
  <c r="Y210" i="3"/>
  <c r="X210" i="3"/>
  <c r="W210" i="3"/>
  <c r="N210" i="3"/>
  <c r="M210" i="3"/>
  <c r="AE210" i="3" s="1"/>
  <c r="Z209" i="3"/>
  <c r="Y209" i="3"/>
  <c r="X209" i="3"/>
  <c r="W209" i="3"/>
  <c r="N209" i="3"/>
  <c r="M209" i="3"/>
  <c r="AE209" i="3" s="1"/>
  <c r="Z208" i="3"/>
  <c r="Y208" i="3"/>
  <c r="X208" i="3"/>
  <c r="W208" i="3"/>
  <c r="N208" i="3"/>
  <c r="M208" i="3"/>
  <c r="AE208" i="3" s="1"/>
  <c r="Z207" i="3"/>
  <c r="Y207" i="3"/>
  <c r="X207" i="3"/>
  <c r="W207" i="3"/>
  <c r="N207" i="3"/>
  <c r="M207" i="3"/>
  <c r="AE207" i="3" s="1"/>
  <c r="Z206" i="3"/>
  <c r="Y206" i="3"/>
  <c r="X206" i="3"/>
  <c r="W206" i="3"/>
  <c r="N206" i="3"/>
  <c r="M206" i="3"/>
  <c r="AE206" i="3" s="1"/>
  <c r="Z205" i="3"/>
  <c r="Y205" i="3"/>
  <c r="X205" i="3"/>
  <c r="W205" i="3"/>
  <c r="N205" i="3"/>
  <c r="M205" i="3"/>
  <c r="AE205" i="3" s="1"/>
  <c r="Z204" i="3"/>
  <c r="Y204" i="3"/>
  <c r="X204" i="3"/>
  <c r="W204" i="3"/>
  <c r="N204" i="3"/>
  <c r="M204" i="3"/>
  <c r="AE204" i="3" s="1"/>
  <c r="Z203" i="3"/>
  <c r="Y203" i="3"/>
  <c r="X203" i="3"/>
  <c r="W203" i="3"/>
  <c r="N203" i="3"/>
  <c r="M203" i="3"/>
  <c r="AE203" i="3" s="1"/>
  <c r="Z202" i="3"/>
  <c r="Y202" i="3"/>
  <c r="X202" i="3"/>
  <c r="W202" i="3"/>
  <c r="N202" i="3"/>
  <c r="M202" i="3"/>
  <c r="AE202" i="3" s="1"/>
  <c r="Z201" i="3"/>
  <c r="Y201" i="3"/>
  <c r="X201" i="3"/>
  <c r="W201" i="3"/>
  <c r="N201" i="3"/>
  <c r="M201" i="3"/>
  <c r="AE201" i="3" s="1"/>
  <c r="Z200" i="3"/>
  <c r="Y200" i="3"/>
  <c r="X200" i="3"/>
  <c r="W200" i="3"/>
  <c r="N200" i="3"/>
  <c r="M200" i="3"/>
  <c r="AE200" i="3" s="1"/>
  <c r="Z199" i="3"/>
  <c r="Y199" i="3"/>
  <c r="X199" i="3"/>
  <c r="W199" i="3"/>
  <c r="N199" i="3"/>
  <c r="M199" i="3"/>
  <c r="AE199" i="3" s="1"/>
  <c r="Z198" i="3"/>
  <c r="Y198" i="3"/>
  <c r="X198" i="3"/>
  <c r="W198" i="3"/>
  <c r="N198" i="3"/>
  <c r="M198" i="3"/>
  <c r="AE198" i="3" s="1"/>
  <c r="Z197" i="3"/>
  <c r="AC197" i="3" s="1"/>
  <c r="Y197" i="3"/>
  <c r="X197" i="3"/>
  <c r="W197" i="3"/>
  <c r="N197" i="3"/>
  <c r="M197" i="3"/>
  <c r="AE197" i="3" s="1"/>
  <c r="Z196" i="3"/>
  <c r="AC196" i="3" s="1"/>
  <c r="Y196" i="3"/>
  <c r="X196" i="3"/>
  <c r="W196" i="3"/>
  <c r="N196" i="3"/>
  <c r="M196" i="3"/>
  <c r="AE196" i="3" s="1"/>
  <c r="Z195" i="3"/>
  <c r="Y195" i="3"/>
  <c r="X195" i="3"/>
  <c r="W195" i="3"/>
  <c r="N195" i="3"/>
  <c r="M195" i="3"/>
  <c r="AE195" i="3" s="1"/>
  <c r="Z194" i="3"/>
  <c r="Y194" i="3"/>
  <c r="X194" i="3"/>
  <c r="W194" i="3"/>
  <c r="N194" i="3"/>
  <c r="M194" i="3"/>
  <c r="AE194" i="3" s="1"/>
  <c r="Z193" i="3"/>
  <c r="Y193" i="3"/>
  <c r="X193" i="3"/>
  <c r="W193" i="3"/>
  <c r="N193" i="3"/>
  <c r="M193" i="3"/>
  <c r="AE193" i="3" s="1"/>
  <c r="Z192" i="3"/>
  <c r="Y192" i="3"/>
  <c r="X192" i="3"/>
  <c r="W192" i="3"/>
  <c r="N192" i="3"/>
  <c r="M192" i="3"/>
  <c r="AE192" i="3" s="1"/>
  <c r="Z191" i="3"/>
  <c r="AC191" i="3" s="1"/>
  <c r="Y191" i="3"/>
  <c r="X191" i="3"/>
  <c r="W191" i="3"/>
  <c r="N191" i="3"/>
  <c r="M191" i="3"/>
  <c r="AE191" i="3" s="1"/>
  <c r="Z190" i="3"/>
  <c r="Y190" i="3"/>
  <c r="X190" i="3"/>
  <c r="W190" i="3"/>
  <c r="N190" i="3"/>
  <c r="M190" i="3"/>
  <c r="AE190" i="3" s="1"/>
  <c r="Z189" i="3"/>
  <c r="Y189" i="3"/>
  <c r="X189" i="3"/>
  <c r="W189" i="3"/>
  <c r="N189" i="3"/>
  <c r="AC189" i="3" s="1"/>
  <c r="M189" i="3"/>
  <c r="AE189" i="3" s="1"/>
  <c r="Z188" i="3"/>
  <c r="Y188" i="3"/>
  <c r="X188" i="3"/>
  <c r="W188" i="3"/>
  <c r="N188" i="3"/>
  <c r="M188" i="3"/>
  <c r="AE188" i="3" s="1"/>
  <c r="Z187" i="3"/>
  <c r="Y187" i="3"/>
  <c r="X187" i="3"/>
  <c r="W187" i="3"/>
  <c r="N187" i="3"/>
  <c r="M187" i="3"/>
  <c r="AE187" i="3" s="1"/>
  <c r="Z186" i="3"/>
  <c r="Y186" i="3"/>
  <c r="X186" i="3"/>
  <c r="W186" i="3"/>
  <c r="N186" i="3"/>
  <c r="AC186" i="3" s="1"/>
  <c r="M186" i="3"/>
  <c r="AE186" i="3" s="1"/>
  <c r="Z185" i="3"/>
  <c r="Y185" i="3"/>
  <c r="X185" i="3"/>
  <c r="W185" i="3"/>
  <c r="N185" i="3"/>
  <c r="M185" i="3"/>
  <c r="AE185" i="3" s="1"/>
  <c r="Z184" i="3"/>
  <c r="Y184" i="3"/>
  <c r="X184" i="3"/>
  <c r="W184" i="3"/>
  <c r="N184" i="3"/>
  <c r="M184" i="3"/>
  <c r="AE184" i="3" s="1"/>
  <c r="Z183" i="3"/>
  <c r="Y183" i="3"/>
  <c r="X183" i="3"/>
  <c r="W183" i="3"/>
  <c r="N183" i="3"/>
  <c r="M183" i="3"/>
  <c r="AE183" i="3" s="1"/>
  <c r="Z182" i="3"/>
  <c r="Y182" i="3"/>
  <c r="X182" i="3"/>
  <c r="W182" i="3"/>
  <c r="N182" i="3"/>
  <c r="M182" i="3"/>
  <c r="AE182" i="3" s="1"/>
  <c r="Z181" i="3"/>
  <c r="AC181" i="3" s="1"/>
  <c r="Y181" i="3"/>
  <c r="X181" i="3"/>
  <c r="W181" i="3"/>
  <c r="N181" i="3"/>
  <c r="M181" i="3"/>
  <c r="AE181" i="3" s="1"/>
  <c r="Z180" i="3"/>
  <c r="AC180" i="3" s="1"/>
  <c r="Y180" i="3"/>
  <c r="X180" i="3"/>
  <c r="W180" i="3"/>
  <c r="N180" i="3"/>
  <c r="M180" i="3"/>
  <c r="AE180" i="3" s="1"/>
  <c r="Z179" i="3"/>
  <c r="Y179" i="3"/>
  <c r="X179" i="3"/>
  <c r="W179" i="3"/>
  <c r="N179" i="3"/>
  <c r="M179" i="3"/>
  <c r="AE179" i="3" s="1"/>
  <c r="Z178" i="3"/>
  <c r="Y178" i="3"/>
  <c r="X178" i="3"/>
  <c r="W178" i="3"/>
  <c r="N178" i="3"/>
  <c r="M178" i="3"/>
  <c r="AE178" i="3" s="1"/>
  <c r="Z177" i="3"/>
  <c r="Y177" i="3"/>
  <c r="X177" i="3"/>
  <c r="W177" i="3"/>
  <c r="N177" i="3"/>
  <c r="M177" i="3"/>
  <c r="AE177" i="3" s="1"/>
  <c r="Z176" i="3"/>
  <c r="Y176" i="3"/>
  <c r="X176" i="3"/>
  <c r="W176" i="3"/>
  <c r="N176" i="3"/>
  <c r="M176" i="3"/>
  <c r="AE176" i="3" s="1"/>
  <c r="Z175" i="3"/>
  <c r="Y175" i="3"/>
  <c r="X175" i="3"/>
  <c r="W175" i="3"/>
  <c r="N175" i="3"/>
  <c r="M175" i="3"/>
  <c r="AE175" i="3" s="1"/>
  <c r="Z174" i="3"/>
  <c r="AC174" i="3" s="1"/>
  <c r="Y174" i="3"/>
  <c r="X174" i="3"/>
  <c r="W174" i="3"/>
  <c r="N174" i="3"/>
  <c r="M174" i="3"/>
  <c r="AE174" i="3" s="1"/>
  <c r="Z173" i="3"/>
  <c r="Y173" i="3"/>
  <c r="X173" i="3"/>
  <c r="W173" i="3"/>
  <c r="N173" i="3"/>
  <c r="M173" i="3"/>
  <c r="AE173" i="3" s="1"/>
  <c r="AC172" i="3"/>
  <c r="Z172" i="3"/>
  <c r="Y172" i="3"/>
  <c r="X172" i="3"/>
  <c r="W172" i="3"/>
  <c r="N172" i="3"/>
  <c r="M172" i="3"/>
  <c r="AE172" i="3" s="1"/>
  <c r="Z171" i="3"/>
  <c r="Y171" i="3"/>
  <c r="X171" i="3"/>
  <c r="W171" i="3"/>
  <c r="N171" i="3"/>
  <c r="M171" i="3"/>
  <c r="AE171" i="3" s="1"/>
  <c r="Z170" i="3"/>
  <c r="Y170" i="3"/>
  <c r="X170" i="3"/>
  <c r="W170" i="3"/>
  <c r="N170" i="3"/>
  <c r="M170" i="3"/>
  <c r="AE170" i="3" s="1"/>
  <c r="Z169" i="3"/>
  <c r="Y169" i="3"/>
  <c r="X169" i="3"/>
  <c r="W169" i="3"/>
  <c r="N169" i="3"/>
  <c r="AC169" i="3" s="1"/>
  <c r="M169" i="3"/>
  <c r="AE169" i="3" s="1"/>
  <c r="Z168" i="3"/>
  <c r="Y168" i="3"/>
  <c r="X168" i="3"/>
  <c r="W168" i="3"/>
  <c r="N168" i="3"/>
  <c r="M168" i="3"/>
  <c r="AE168" i="3" s="1"/>
  <c r="Z167" i="3"/>
  <c r="Y167" i="3"/>
  <c r="X167" i="3"/>
  <c r="W167" i="3"/>
  <c r="N167" i="3"/>
  <c r="M167" i="3"/>
  <c r="AE167" i="3" s="1"/>
  <c r="Z166" i="3"/>
  <c r="Y166" i="3"/>
  <c r="X166" i="3"/>
  <c r="W166" i="3"/>
  <c r="N166" i="3"/>
  <c r="M166" i="3"/>
  <c r="AE166" i="3" s="1"/>
  <c r="Z165" i="3"/>
  <c r="AC165" i="3" s="1"/>
  <c r="Y165" i="3"/>
  <c r="X165" i="3"/>
  <c r="W165" i="3"/>
  <c r="N165" i="3"/>
  <c r="M165" i="3"/>
  <c r="AE165" i="3" s="1"/>
  <c r="Z164" i="3"/>
  <c r="Y164" i="3"/>
  <c r="X164" i="3"/>
  <c r="W164" i="3"/>
  <c r="N164" i="3"/>
  <c r="AC164" i="3" s="1"/>
  <c r="M164" i="3"/>
  <c r="AE164" i="3" s="1"/>
  <c r="Z163" i="3"/>
  <c r="Y163" i="3"/>
  <c r="X163" i="3"/>
  <c r="W163" i="3"/>
  <c r="N163" i="3"/>
  <c r="AC163" i="3" s="1"/>
  <c r="M163" i="3"/>
  <c r="AE163" i="3" s="1"/>
  <c r="Z162" i="3"/>
  <c r="Y162" i="3"/>
  <c r="X162" i="3"/>
  <c r="W162" i="3"/>
  <c r="N162" i="3"/>
  <c r="AC162" i="3" s="1"/>
  <c r="M162" i="3"/>
  <c r="AE162" i="3" s="1"/>
  <c r="Z161" i="3"/>
  <c r="Y161" i="3"/>
  <c r="X161" i="3"/>
  <c r="W161" i="3"/>
  <c r="N161" i="3"/>
  <c r="AC161" i="3" s="1"/>
  <c r="M161" i="3"/>
  <c r="AE161" i="3" s="1"/>
  <c r="Z160" i="3"/>
  <c r="Y160" i="3"/>
  <c r="X160" i="3"/>
  <c r="W160" i="3"/>
  <c r="N160" i="3"/>
  <c r="M160" i="3"/>
  <c r="AE160" i="3" s="1"/>
  <c r="Z159" i="3"/>
  <c r="Y159" i="3"/>
  <c r="X159" i="3"/>
  <c r="W159" i="3"/>
  <c r="N159" i="3"/>
  <c r="M159" i="3"/>
  <c r="AE159" i="3" s="1"/>
  <c r="Z158" i="3"/>
  <c r="Y158" i="3"/>
  <c r="X158" i="3"/>
  <c r="W158" i="3"/>
  <c r="N158" i="3"/>
  <c r="M158" i="3"/>
  <c r="AE158" i="3" s="1"/>
  <c r="Z157" i="3"/>
  <c r="AC157" i="3" s="1"/>
  <c r="Y157" i="3"/>
  <c r="X157" i="3"/>
  <c r="W157" i="3"/>
  <c r="N157" i="3"/>
  <c r="M157" i="3"/>
  <c r="AE157" i="3" s="1"/>
  <c r="Z156" i="3"/>
  <c r="AC156" i="3" s="1"/>
  <c r="Y156" i="3"/>
  <c r="X156" i="3"/>
  <c r="W156" i="3"/>
  <c r="N156" i="3"/>
  <c r="M156" i="3"/>
  <c r="AE156" i="3" s="1"/>
  <c r="Z155" i="3"/>
  <c r="AC155" i="3" s="1"/>
  <c r="Y155" i="3"/>
  <c r="X155" i="3"/>
  <c r="W155" i="3"/>
  <c r="N155" i="3"/>
  <c r="M155" i="3"/>
  <c r="AE155" i="3" s="1"/>
  <c r="Z154" i="3"/>
  <c r="Y154" i="3"/>
  <c r="X154" i="3"/>
  <c r="W154" i="3"/>
  <c r="N154" i="3"/>
  <c r="M154" i="3"/>
  <c r="AE154" i="3" s="1"/>
  <c r="Z153" i="3"/>
  <c r="Y153" i="3"/>
  <c r="X153" i="3"/>
  <c r="W153" i="3"/>
  <c r="N153" i="3"/>
  <c r="M153" i="3"/>
  <c r="AE153" i="3" s="1"/>
  <c r="Z152" i="3"/>
  <c r="Y152" i="3"/>
  <c r="X152" i="3"/>
  <c r="W152" i="3"/>
  <c r="N152" i="3"/>
  <c r="M152" i="3"/>
  <c r="AE152" i="3" s="1"/>
  <c r="Z151" i="3"/>
  <c r="AC151" i="3" s="1"/>
  <c r="Y151" i="3"/>
  <c r="X151" i="3"/>
  <c r="W151" i="3"/>
  <c r="N151" i="3"/>
  <c r="M151" i="3"/>
  <c r="AE151" i="3" s="1"/>
  <c r="Z150" i="3"/>
  <c r="AC150" i="3" s="1"/>
  <c r="Y150" i="3"/>
  <c r="X150" i="3"/>
  <c r="W150" i="3"/>
  <c r="N150" i="3"/>
  <c r="M150" i="3"/>
  <c r="AE150" i="3" s="1"/>
  <c r="Z149" i="3"/>
  <c r="AC149" i="3" s="1"/>
  <c r="Y149" i="3"/>
  <c r="X149" i="3"/>
  <c r="W149" i="3"/>
  <c r="N149" i="3"/>
  <c r="M149" i="3"/>
  <c r="AE149" i="3" s="1"/>
  <c r="Z148" i="3"/>
  <c r="Y148" i="3"/>
  <c r="X148" i="3"/>
  <c r="W148" i="3"/>
  <c r="N148" i="3"/>
  <c r="M148" i="3"/>
  <c r="AE148" i="3" s="1"/>
  <c r="Z147" i="3"/>
  <c r="Y147" i="3"/>
  <c r="X147" i="3"/>
  <c r="W147" i="3"/>
  <c r="N147" i="3"/>
  <c r="M147" i="3"/>
  <c r="AE147" i="3" s="1"/>
  <c r="Z146" i="3"/>
  <c r="Y146" i="3"/>
  <c r="X146" i="3"/>
  <c r="W146" i="3"/>
  <c r="N146" i="3"/>
  <c r="M146" i="3"/>
  <c r="AE146" i="3" s="1"/>
  <c r="Z145" i="3"/>
  <c r="Y145" i="3"/>
  <c r="X145" i="3"/>
  <c r="W145" i="3"/>
  <c r="N145" i="3"/>
  <c r="M145" i="3"/>
  <c r="AE145" i="3" s="1"/>
  <c r="Z144" i="3"/>
  <c r="Y144" i="3"/>
  <c r="X144" i="3"/>
  <c r="W144" i="3"/>
  <c r="N144" i="3"/>
  <c r="M144" i="3"/>
  <c r="AE144" i="3" s="1"/>
  <c r="Z143" i="3"/>
  <c r="Y143" i="3"/>
  <c r="X143" i="3"/>
  <c r="W143" i="3"/>
  <c r="N143" i="3"/>
  <c r="M143" i="3"/>
  <c r="AE143" i="3" s="1"/>
  <c r="Z142" i="3"/>
  <c r="AC142" i="3" s="1"/>
  <c r="Y142" i="3"/>
  <c r="X142" i="3"/>
  <c r="W142" i="3"/>
  <c r="N142" i="3"/>
  <c r="M142" i="3"/>
  <c r="AE142" i="3" s="1"/>
  <c r="Z141" i="3"/>
  <c r="Y141" i="3"/>
  <c r="X141" i="3"/>
  <c r="W141" i="3"/>
  <c r="N141" i="3"/>
  <c r="M141" i="3"/>
  <c r="AE141" i="3" s="1"/>
  <c r="Z140" i="3"/>
  <c r="Y140" i="3"/>
  <c r="X140" i="3"/>
  <c r="W140" i="3"/>
  <c r="N140" i="3"/>
  <c r="AC140" i="3" s="1"/>
  <c r="M140" i="3"/>
  <c r="AE140" i="3" s="1"/>
  <c r="Z139" i="3"/>
  <c r="Y139" i="3"/>
  <c r="X139" i="3"/>
  <c r="W139" i="3"/>
  <c r="N139" i="3"/>
  <c r="M139" i="3"/>
  <c r="AE139" i="3" s="1"/>
  <c r="Z138" i="3"/>
  <c r="Y138" i="3"/>
  <c r="X138" i="3"/>
  <c r="W138" i="3"/>
  <c r="N138" i="3"/>
  <c r="M138" i="3"/>
  <c r="AE138" i="3" s="1"/>
  <c r="Z137" i="3"/>
  <c r="Y137" i="3"/>
  <c r="X137" i="3"/>
  <c r="W137" i="3"/>
  <c r="N137" i="3"/>
  <c r="AC137" i="3" s="1"/>
  <c r="M137" i="3"/>
  <c r="AE137" i="3" s="1"/>
  <c r="Z136" i="3"/>
  <c r="Y136" i="3"/>
  <c r="X136" i="3"/>
  <c r="W136" i="3"/>
  <c r="N136" i="3"/>
  <c r="M136" i="3"/>
  <c r="AE136" i="3" s="1"/>
  <c r="Z135" i="3"/>
  <c r="Y135" i="3"/>
  <c r="X135" i="3"/>
  <c r="W135" i="3"/>
  <c r="N135" i="3"/>
  <c r="M135" i="3"/>
  <c r="AE135" i="3" s="1"/>
  <c r="Z134" i="3"/>
  <c r="Y134" i="3"/>
  <c r="X134" i="3"/>
  <c r="W134" i="3"/>
  <c r="N134" i="3"/>
  <c r="M134" i="3"/>
  <c r="AE134" i="3" s="1"/>
  <c r="Z133" i="3"/>
  <c r="AC133" i="3" s="1"/>
  <c r="Y133" i="3"/>
  <c r="X133" i="3"/>
  <c r="W133" i="3"/>
  <c r="N133" i="3"/>
  <c r="M133" i="3"/>
  <c r="AE133" i="3" s="1"/>
  <c r="Z132" i="3"/>
  <c r="Y132" i="3"/>
  <c r="X132" i="3"/>
  <c r="W132" i="3"/>
  <c r="N132" i="3"/>
  <c r="M132" i="3"/>
  <c r="AE132" i="3" s="1"/>
  <c r="Z131" i="3"/>
  <c r="Y131" i="3"/>
  <c r="X131" i="3"/>
  <c r="W131" i="3"/>
  <c r="N131" i="3"/>
  <c r="M131" i="3"/>
  <c r="AE131" i="3" s="1"/>
  <c r="Z130" i="3"/>
  <c r="Y130" i="3"/>
  <c r="X130" i="3"/>
  <c r="W130" i="3"/>
  <c r="N130" i="3"/>
  <c r="M130" i="3"/>
  <c r="AE130" i="3" s="1"/>
  <c r="Z129" i="3"/>
  <c r="Y129" i="3"/>
  <c r="X129" i="3"/>
  <c r="W129" i="3"/>
  <c r="N129" i="3"/>
  <c r="M129" i="3"/>
  <c r="AE129" i="3" s="1"/>
  <c r="Z128" i="3"/>
  <c r="Y128" i="3"/>
  <c r="X128" i="3"/>
  <c r="W128" i="3"/>
  <c r="N128" i="3"/>
  <c r="M128" i="3"/>
  <c r="AE128" i="3" s="1"/>
  <c r="Z127" i="3"/>
  <c r="Y127" i="3"/>
  <c r="X127" i="3"/>
  <c r="W127" i="3"/>
  <c r="N127" i="3"/>
  <c r="M127" i="3"/>
  <c r="AE127" i="3" s="1"/>
  <c r="Z126" i="3"/>
  <c r="AC126" i="3" s="1"/>
  <c r="Y126" i="3"/>
  <c r="X126" i="3"/>
  <c r="W126" i="3"/>
  <c r="N126" i="3"/>
  <c r="M126" i="3"/>
  <c r="AE126" i="3" s="1"/>
  <c r="Z125" i="3"/>
  <c r="AC125" i="3" s="1"/>
  <c r="Y125" i="3"/>
  <c r="X125" i="3"/>
  <c r="W125" i="3"/>
  <c r="N125" i="3"/>
  <c r="M125" i="3"/>
  <c r="AE125" i="3" s="1"/>
  <c r="Z124" i="3"/>
  <c r="AC124" i="3" s="1"/>
  <c r="Y124" i="3"/>
  <c r="X124" i="3"/>
  <c r="W124" i="3"/>
  <c r="N124" i="3"/>
  <c r="M124" i="3"/>
  <c r="AE124" i="3" s="1"/>
  <c r="Z123" i="3"/>
  <c r="AC123" i="3" s="1"/>
  <c r="Y123" i="3"/>
  <c r="X123" i="3"/>
  <c r="W123" i="3"/>
  <c r="N123" i="3"/>
  <c r="M123" i="3"/>
  <c r="AE123" i="3" s="1"/>
  <c r="Z122" i="3"/>
  <c r="Y122" i="3"/>
  <c r="X122" i="3"/>
  <c r="W122" i="3"/>
  <c r="N122" i="3"/>
  <c r="M122" i="3"/>
  <c r="AE122" i="3" s="1"/>
  <c r="Z121" i="3"/>
  <c r="Y121" i="3"/>
  <c r="X121" i="3"/>
  <c r="W121" i="3"/>
  <c r="N121" i="3"/>
  <c r="M121" i="3"/>
  <c r="AE121" i="3" s="1"/>
  <c r="Z120" i="3"/>
  <c r="Y120" i="3"/>
  <c r="X120" i="3"/>
  <c r="W120" i="3"/>
  <c r="N120" i="3"/>
  <c r="M120" i="3"/>
  <c r="AE120" i="3" s="1"/>
  <c r="Z119" i="3"/>
  <c r="Y119" i="3"/>
  <c r="X119" i="3"/>
  <c r="W119" i="3"/>
  <c r="N119" i="3"/>
  <c r="M119" i="3"/>
  <c r="AE119" i="3" s="1"/>
  <c r="Z118" i="3"/>
  <c r="AC118" i="3" s="1"/>
  <c r="Y118" i="3"/>
  <c r="X118" i="3"/>
  <c r="W118" i="3"/>
  <c r="N118" i="3"/>
  <c r="M118" i="3"/>
  <c r="AE118" i="3" s="1"/>
  <c r="AC117" i="3"/>
  <c r="Z117" i="3"/>
  <c r="Y117" i="3"/>
  <c r="X117" i="3"/>
  <c r="W117" i="3"/>
  <c r="N117" i="3"/>
  <c r="M117" i="3"/>
  <c r="AE117" i="3" s="1"/>
  <c r="Z116" i="3"/>
  <c r="AC116" i="3" s="1"/>
  <c r="Y116" i="3"/>
  <c r="X116" i="3"/>
  <c r="W116" i="3"/>
  <c r="N116" i="3"/>
  <c r="M116" i="3"/>
  <c r="AE116" i="3" s="1"/>
  <c r="Z115" i="3"/>
  <c r="Y115" i="3"/>
  <c r="X115" i="3"/>
  <c r="W115" i="3"/>
  <c r="N115" i="3"/>
  <c r="M115" i="3"/>
  <c r="AE115" i="3" s="1"/>
  <c r="Z114" i="3"/>
  <c r="Y114" i="3"/>
  <c r="X114" i="3"/>
  <c r="W114" i="3"/>
  <c r="N114" i="3"/>
  <c r="AC114" i="3" s="1"/>
  <c r="M114" i="3"/>
  <c r="AE114" i="3" s="1"/>
  <c r="Z113" i="3"/>
  <c r="Y113" i="3"/>
  <c r="X113" i="3"/>
  <c r="W113" i="3"/>
  <c r="N113" i="3"/>
  <c r="AC113" i="3" s="1"/>
  <c r="M113" i="3"/>
  <c r="AE113" i="3" s="1"/>
  <c r="Z112" i="3"/>
  <c r="Y112" i="3"/>
  <c r="X112" i="3"/>
  <c r="W112" i="3"/>
  <c r="N112" i="3"/>
  <c r="M112" i="3"/>
  <c r="AE112" i="3" s="1"/>
  <c r="Z111" i="3"/>
  <c r="Y111" i="3"/>
  <c r="X111" i="3"/>
  <c r="W111" i="3"/>
  <c r="N111" i="3"/>
  <c r="M111" i="3"/>
  <c r="AE111" i="3" s="1"/>
  <c r="Z110" i="3"/>
  <c r="Y110" i="3"/>
  <c r="X110" i="3"/>
  <c r="W110" i="3"/>
  <c r="N110" i="3"/>
  <c r="M110" i="3"/>
  <c r="AE110" i="3" s="1"/>
  <c r="Z109" i="3"/>
  <c r="Y109" i="3"/>
  <c r="X109" i="3"/>
  <c r="W109" i="3"/>
  <c r="N109" i="3"/>
  <c r="M109" i="3"/>
  <c r="AE109" i="3" s="1"/>
  <c r="Z108" i="3"/>
  <c r="AC108" i="3" s="1"/>
  <c r="Y108" i="3"/>
  <c r="X108" i="3"/>
  <c r="W108" i="3"/>
  <c r="N108" i="3"/>
  <c r="M108" i="3"/>
  <c r="AE108" i="3" s="1"/>
  <c r="Z107" i="3"/>
  <c r="Y107" i="3"/>
  <c r="X107" i="3"/>
  <c r="W107" i="3"/>
  <c r="N107" i="3"/>
  <c r="M107" i="3"/>
  <c r="AE107" i="3" s="1"/>
  <c r="Z106" i="3"/>
  <c r="Y106" i="3"/>
  <c r="X106" i="3"/>
  <c r="W106" i="3"/>
  <c r="N106" i="3"/>
  <c r="M106" i="3"/>
  <c r="AE106" i="3" s="1"/>
  <c r="Z105" i="3"/>
  <c r="Y105" i="3"/>
  <c r="X105" i="3"/>
  <c r="W105" i="3"/>
  <c r="N105" i="3"/>
  <c r="M105" i="3"/>
  <c r="AE105" i="3" s="1"/>
  <c r="Z104" i="3"/>
  <c r="Y104" i="3"/>
  <c r="X104" i="3"/>
  <c r="W104" i="3"/>
  <c r="N104" i="3"/>
  <c r="M104" i="3"/>
  <c r="AE104" i="3" s="1"/>
  <c r="Z103" i="3"/>
  <c r="Y103" i="3"/>
  <c r="X103" i="3"/>
  <c r="W103" i="3"/>
  <c r="N103" i="3"/>
  <c r="M103" i="3"/>
  <c r="AE103" i="3" s="1"/>
  <c r="Z102" i="3"/>
  <c r="AC102" i="3" s="1"/>
  <c r="Y102" i="3"/>
  <c r="X102" i="3"/>
  <c r="W102" i="3"/>
  <c r="N102" i="3"/>
  <c r="M102" i="3"/>
  <c r="AE102" i="3" s="1"/>
  <c r="Z101" i="3"/>
  <c r="AC101" i="3" s="1"/>
  <c r="Y101" i="3"/>
  <c r="X101" i="3"/>
  <c r="W101" i="3"/>
  <c r="N101" i="3"/>
  <c r="M101" i="3"/>
  <c r="AE101" i="3" s="1"/>
  <c r="Z100" i="3"/>
  <c r="Y100" i="3"/>
  <c r="X100" i="3"/>
  <c r="W100" i="3"/>
  <c r="N100" i="3"/>
  <c r="M100" i="3"/>
  <c r="AE100" i="3" s="1"/>
  <c r="Z99" i="3"/>
  <c r="Y99" i="3"/>
  <c r="X99" i="3"/>
  <c r="W99" i="3"/>
  <c r="N99" i="3"/>
  <c r="M99" i="3"/>
  <c r="AE99" i="3" s="1"/>
  <c r="Z98" i="3"/>
  <c r="Y98" i="3"/>
  <c r="X98" i="3"/>
  <c r="W98" i="3"/>
  <c r="N98" i="3"/>
  <c r="M98" i="3"/>
  <c r="AE98" i="3" s="1"/>
  <c r="Z97" i="3"/>
  <c r="Y97" i="3"/>
  <c r="X97" i="3"/>
  <c r="W97" i="3"/>
  <c r="N97" i="3"/>
  <c r="M97" i="3"/>
  <c r="AE97" i="3" s="1"/>
  <c r="Z96" i="3"/>
  <c r="Y96" i="3"/>
  <c r="X96" i="3"/>
  <c r="W96" i="3"/>
  <c r="N96" i="3"/>
  <c r="M96" i="3"/>
  <c r="AE96" i="3" s="1"/>
  <c r="Z95" i="3"/>
  <c r="Y95" i="3"/>
  <c r="X95" i="3"/>
  <c r="W95" i="3"/>
  <c r="N95" i="3"/>
  <c r="M95" i="3"/>
  <c r="AE95" i="3" s="1"/>
  <c r="Z94" i="3"/>
  <c r="AC94" i="3" s="1"/>
  <c r="Y94" i="3"/>
  <c r="X94" i="3"/>
  <c r="W94" i="3"/>
  <c r="N94" i="3"/>
  <c r="M94" i="3"/>
  <c r="AE94" i="3" s="1"/>
  <c r="Z93" i="3"/>
  <c r="AC93" i="3" s="1"/>
  <c r="Y93" i="3"/>
  <c r="X93" i="3"/>
  <c r="W93" i="3"/>
  <c r="N93" i="3"/>
  <c r="M93" i="3"/>
  <c r="AE93" i="3" s="1"/>
  <c r="Z92" i="3"/>
  <c r="AC92" i="3" s="1"/>
  <c r="Y92" i="3"/>
  <c r="X92" i="3"/>
  <c r="W92" i="3"/>
  <c r="N92" i="3"/>
  <c r="M92" i="3"/>
  <c r="AE92" i="3" s="1"/>
  <c r="Z91" i="3"/>
  <c r="Y91" i="3"/>
  <c r="X91" i="3"/>
  <c r="W91" i="3"/>
  <c r="N91" i="3"/>
  <c r="M91" i="3"/>
  <c r="AE91" i="3" s="1"/>
  <c r="Z90" i="3"/>
  <c r="Y90" i="3"/>
  <c r="X90" i="3"/>
  <c r="W90" i="3"/>
  <c r="N90" i="3"/>
  <c r="M90" i="3"/>
  <c r="AE90" i="3" s="1"/>
  <c r="Z89" i="3"/>
  <c r="Y89" i="3"/>
  <c r="X89" i="3"/>
  <c r="W89" i="3"/>
  <c r="N89" i="3"/>
  <c r="M89" i="3"/>
  <c r="AE89" i="3" s="1"/>
  <c r="Z88" i="3"/>
  <c r="Y88" i="3"/>
  <c r="X88" i="3"/>
  <c r="W88" i="3"/>
  <c r="N88" i="3"/>
  <c r="M88" i="3"/>
  <c r="AE88" i="3" s="1"/>
  <c r="Z87" i="3"/>
  <c r="Y87" i="3"/>
  <c r="X87" i="3"/>
  <c r="W87" i="3"/>
  <c r="N87" i="3"/>
  <c r="M87" i="3"/>
  <c r="AE87" i="3" s="1"/>
  <c r="Z86" i="3"/>
  <c r="AC86" i="3" s="1"/>
  <c r="Y86" i="3"/>
  <c r="X86" i="3"/>
  <c r="W86" i="3"/>
  <c r="N86" i="3"/>
  <c r="M86" i="3"/>
  <c r="AE86" i="3" s="1"/>
  <c r="Z85" i="3"/>
  <c r="Y85" i="3"/>
  <c r="X85" i="3"/>
  <c r="W85" i="3"/>
  <c r="N85" i="3"/>
  <c r="AC85" i="3" s="1"/>
  <c r="M85" i="3"/>
  <c r="AE85" i="3" s="1"/>
  <c r="Z84" i="3"/>
  <c r="Y84" i="3"/>
  <c r="X84" i="3"/>
  <c r="W84" i="3"/>
  <c r="N84" i="3"/>
  <c r="AC84" i="3" s="1"/>
  <c r="M84" i="3"/>
  <c r="AE84" i="3" s="1"/>
  <c r="Z83" i="3"/>
  <c r="Y83" i="3"/>
  <c r="X83" i="3"/>
  <c r="W83" i="3"/>
  <c r="N83" i="3"/>
  <c r="M83" i="3"/>
  <c r="AE83" i="3" s="1"/>
  <c r="Z82" i="3"/>
  <c r="Y82" i="3"/>
  <c r="X82" i="3"/>
  <c r="W82" i="3"/>
  <c r="N82" i="3"/>
  <c r="AC82" i="3" s="1"/>
  <c r="M82" i="3"/>
  <c r="AE82" i="3" s="1"/>
  <c r="Z81" i="3"/>
  <c r="Y81" i="3"/>
  <c r="X81" i="3"/>
  <c r="W81" i="3"/>
  <c r="N81" i="3"/>
  <c r="M81" i="3"/>
  <c r="AE81" i="3" s="1"/>
  <c r="Z80" i="3"/>
  <c r="Y80" i="3"/>
  <c r="X80" i="3"/>
  <c r="W80" i="3"/>
  <c r="N80" i="3"/>
  <c r="M80" i="3"/>
  <c r="AE80" i="3" s="1"/>
  <c r="Z79" i="3"/>
  <c r="Y79" i="3"/>
  <c r="X79" i="3"/>
  <c r="W79" i="3"/>
  <c r="N79" i="3"/>
  <c r="M79" i="3"/>
  <c r="AE79" i="3" s="1"/>
  <c r="Z78" i="3"/>
  <c r="Y78" i="3"/>
  <c r="X78" i="3"/>
  <c r="W78" i="3"/>
  <c r="N78" i="3"/>
  <c r="M78" i="3"/>
  <c r="AE78" i="3" s="1"/>
  <c r="Z77" i="3"/>
  <c r="Y77" i="3"/>
  <c r="X77" i="3"/>
  <c r="W77" i="3"/>
  <c r="N77" i="3"/>
  <c r="M77" i="3"/>
  <c r="AE77" i="3" s="1"/>
  <c r="Z76" i="3"/>
  <c r="AC76" i="3" s="1"/>
  <c r="Y76" i="3"/>
  <c r="X76" i="3"/>
  <c r="W76" i="3"/>
  <c r="N76" i="3"/>
  <c r="M76" i="3"/>
  <c r="AE76" i="3" s="1"/>
  <c r="Z75" i="3"/>
  <c r="Y75" i="3"/>
  <c r="X75" i="3"/>
  <c r="W75" i="3"/>
  <c r="N75" i="3"/>
  <c r="M75" i="3"/>
  <c r="AE75" i="3" s="1"/>
  <c r="Z74" i="3"/>
  <c r="Y74" i="3"/>
  <c r="X74" i="3"/>
  <c r="W74" i="3"/>
  <c r="N74" i="3"/>
  <c r="M74" i="3"/>
  <c r="AE74" i="3" s="1"/>
  <c r="Z73" i="3"/>
  <c r="Y73" i="3"/>
  <c r="X73" i="3"/>
  <c r="W73" i="3"/>
  <c r="N73" i="3"/>
  <c r="M73" i="3"/>
  <c r="AE73" i="3" s="1"/>
  <c r="Z72" i="3"/>
  <c r="Y72" i="3"/>
  <c r="X72" i="3"/>
  <c r="W72" i="3"/>
  <c r="N72" i="3"/>
  <c r="M72" i="3"/>
  <c r="AE72" i="3" s="1"/>
  <c r="Z71" i="3"/>
  <c r="Y71" i="3"/>
  <c r="X71" i="3"/>
  <c r="W71" i="3"/>
  <c r="N71" i="3"/>
  <c r="M71" i="3"/>
  <c r="AE71" i="3" s="1"/>
  <c r="Z70" i="3"/>
  <c r="AC70" i="3" s="1"/>
  <c r="Y70" i="3"/>
  <c r="X70" i="3"/>
  <c r="W70" i="3"/>
  <c r="N70" i="3"/>
  <c r="M70" i="3"/>
  <c r="AE70" i="3" s="1"/>
  <c r="Z69" i="3"/>
  <c r="AC69" i="3" s="1"/>
  <c r="Y69" i="3"/>
  <c r="X69" i="3"/>
  <c r="W69" i="3"/>
  <c r="N69" i="3"/>
  <c r="M69" i="3"/>
  <c r="AE69" i="3" s="1"/>
  <c r="Z68" i="3"/>
  <c r="Y68" i="3"/>
  <c r="X68" i="3"/>
  <c r="W68" i="3"/>
  <c r="N68" i="3"/>
  <c r="M68" i="3"/>
  <c r="AE68" i="3" s="1"/>
  <c r="Z67" i="3"/>
  <c r="Y67" i="3"/>
  <c r="X67" i="3"/>
  <c r="W67" i="3"/>
  <c r="N67" i="3"/>
  <c r="M67" i="3"/>
  <c r="AE67" i="3" s="1"/>
  <c r="Z66" i="3"/>
  <c r="Y66" i="3"/>
  <c r="X66" i="3"/>
  <c r="W66" i="3"/>
  <c r="N66" i="3"/>
  <c r="M66" i="3"/>
  <c r="AE66" i="3" s="1"/>
  <c r="Z65" i="3"/>
  <c r="Y65" i="3"/>
  <c r="X65" i="3"/>
  <c r="W65" i="3"/>
  <c r="N65" i="3"/>
  <c r="M65" i="3"/>
  <c r="AE65" i="3" s="1"/>
  <c r="Z64" i="3"/>
  <c r="Y64" i="3"/>
  <c r="X64" i="3"/>
  <c r="W64" i="3"/>
  <c r="N64" i="3"/>
  <c r="M64" i="3"/>
  <c r="AE64" i="3" s="1"/>
  <c r="Z63" i="3"/>
  <c r="Y63" i="3"/>
  <c r="X63" i="3"/>
  <c r="W63" i="3"/>
  <c r="N63" i="3"/>
  <c r="M63" i="3"/>
  <c r="AE63" i="3" s="1"/>
  <c r="Z62" i="3"/>
  <c r="AC62" i="3" s="1"/>
  <c r="Y62" i="3"/>
  <c r="X62" i="3"/>
  <c r="W62" i="3"/>
  <c r="N62" i="3"/>
  <c r="M62" i="3"/>
  <c r="AE62" i="3" s="1"/>
  <c r="Z61" i="3"/>
  <c r="AC61" i="3" s="1"/>
  <c r="Y61" i="3"/>
  <c r="X61" i="3"/>
  <c r="W61" i="3"/>
  <c r="N61" i="3"/>
  <c r="M61" i="3"/>
  <c r="AE61" i="3" s="1"/>
  <c r="Z60" i="3"/>
  <c r="Y60" i="3"/>
  <c r="X60" i="3"/>
  <c r="W60" i="3"/>
  <c r="N60" i="3"/>
  <c r="M60" i="3"/>
  <c r="AE60" i="3" s="1"/>
  <c r="Z59" i="3"/>
  <c r="Y59" i="3"/>
  <c r="X59" i="3"/>
  <c r="W59" i="3"/>
  <c r="N59" i="3"/>
  <c r="M59" i="3"/>
  <c r="AE59" i="3" s="1"/>
  <c r="Z58" i="3"/>
  <c r="Y58" i="3"/>
  <c r="X58" i="3"/>
  <c r="W58" i="3"/>
  <c r="N58" i="3"/>
  <c r="M58" i="3"/>
  <c r="AE58" i="3" s="1"/>
  <c r="Z57" i="3"/>
  <c r="Y57" i="3"/>
  <c r="X57" i="3"/>
  <c r="W57" i="3"/>
  <c r="N57" i="3"/>
  <c r="M57" i="3"/>
  <c r="AE57" i="3" s="1"/>
  <c r="Z56" i="3"/>
  <c r="Y56" i="3"/>
  <c r="X56" i="3"/>
  <c r="W56" i="3"/>
  <c r="N56" i="3"/>
  <c r="M56" i="3"/>
  <c r="AE56" i="3" s="1"/>
  <c r="Z55" i="3"/>
  <c r="Y55" i="3"/>
  <c r="X55" i="3"/>
  <c r="W55" i="3"/>
  <c r="N55" i="3"/>
  <c r="M55" i="3"/>
  <c r="AE55" i="3" s="1"/>
  <c r="Z54" i="3"/>
  <c r="Y54" i="3"/>
  <c r="X54" i="3"/>
  <c r="W54" i="3"/>
  <c r="N54" i="3"/>
  <c r="M54" i="3"/>
  <c r="AE54" i="3" s="1"/>
  <c r="AC53" i="3"/>
  <c r="Z53" i="3"/>
  <c r="Y53" i="3"/>
  <c r="X53" i="3"/>
  <c r="W53" i="3"/>
  <c r="N53" i="3"/>
  <c r="M53" i="3"/>
  <c r="AE53" i="3" s="1"/>
  <c r="Z52" i="3"/>
  <c r="AC52" i="3" s="1"/>
  <c r="Y52" i="3"/>
  <c r="X52" i="3"/>
  <c r="W52" i="3"/>
  <c r="N52" i="3"/>
  <c r="M52" i="3"/>
  <c r="AE52" i="3" s="1"/>
  <c r="Z51" i="3"/>
  <c r="Y51" i="3"/>
  <c r="X51" i="3"/>
  <c r="W51" i="3"/>
  <c r="N51" i="3"/>
  <c r="M51" i="3"/>
  <c r="AE51" i="3" s="1"/>
  <c r="Z50" i="3"/>
  <c r="Y50" i="3"/>
  <c r="X50" i="3"/>
  <c r="W50" i="3"/>
  <c r="N50" i="3"/>
  <c r="AC50" i="3" s="1"/>
  <c r="M50" i="3"/>
  <c r="AE50" i="3" s="1"/>
  <c r="Z49" i="3"/>
  <c r="Y49" i="3"/>
  <c r="X49" i="3"/>
  <c r="W49" i="3"/>
  <c r="N49" i="3"/>
  <c r="M49" i="3"/>
  <c r="AE49" i="3" s="1"/>
  <c r="Z48" i="3"/>
  <c r="Y48" i="3"/>
  <c r="X48" i="3"/>
  <c r="W48" i="3"/>
  <c r="N48" i="3"/>
  <c r="M48" i="3"/>
  <c r="AE48" i="3" s="1"/>
  <c r="Z47" i="3"/>
  <c r="Y47" i="3"/>
  <c r="X47" i="3"/>
  <c r="W47" i="3"/>
  <c r="N47" i="3"/>
  <c r="M47" i="3"/>
  <c r="AE47" i="3" s="1"/>
  <c r="Z46" i="3"/>
  <c r="Y46" i="3"/>
  <c r="X46" i="3"/>
  <c r="W46" i="3"/>
  <c r="N46" i="3"/>
  <c r="M46" i="3"/>
  <c r="AE46" i="3" s="1"/>
  <c r="Z45" i="3"/>
  <c r="Y45" i="3"/>
  <c r="X45" i="3"/>
  <c r="W45" i="3"/>
  <c r="N45" i="3"/>
  <c r="M45" i="3"/>
  <c r="AE45" i="3" s="1"/>
  <c r="Z44" i="3"/>
  <c r="AC44" i="3" s="1"/>
  <c r="Y44" i="3"/>
  <c r="X44" i="3"/>
  <c r="W44" i="3"/>
  <c r="N44" i="3"/>
  <c r="M44" i="3"/>
  <c r="AE44" i="3" s="1"/>
  <c r="Z43" i="3"/>
  <c r="Y43" i="3"/>
  <c r="X43" i="3"/>
  <c r="W43" i="3"/>
  <c r="N43" i="3"/>
  <c r="M43" i="3"/>
  <c r="AE43" i="3" s="1"/>
  <c r="Z42" i="3"/>
  <c r="Y42" i="3"/>
  <c r="X42" i="3"/>
  <c r="W42" i="3"/>
  <c r="N42" i="3"/>
  <c r="M42" i="3"/>
  <c r="AE42" i="3" s="1"/>
  <c r="Z41" i="3"/>
  <c r="Y41" i="3"/>
  <c r="X41" i="3"/>
  <c r="W41" i="3"/>
  <c r="N41" i="3"/>
  <c r="M41" i="3"/>
  <c r="AE41" i="3" s="1"/>
  <c r="Z40" i="3"/>
  <c r="Y40" i="3"/>
  <c r="X40" i="3"/>
  <c r="W40" i="3"/>
  <c r="N40" i="3"/>
  <c r="M40" i="3"/>
  <c r="AE40" i="3" s="1"/>
  <c r="Z39" i="3"/>
  <c r="Y39" i="3"/>
  <c r="X39" i="3"/>
  <c r="W39" i="3"/>
  <c r="N39" i="3"/>
  <c r="M39" i="3"/>
  <c r="AE39" i="3" s="1"/>
  <c r="Z38" i="3"/>
  <c r="AC38" i="3" s="1"/>
  <c r="Y38" i="3"/>
  <c r="X38" i="3"/>
  <c r="W38" i="3"/>
  <c r="N38" i="3"/>
  <c r="M38" i="3"/>
  <c r="AE38" i="3" s="1"/>
  <c r="Z37" i="3"/>
  <c r="AC37" i="3" s="1"/>
  <c r="Y37" i="3"/>
  <c r="X37" i="3"/>
  <c r="W37" i="3"/>
  <c r="N37" i="3"/>
  <c r="M37" i="3"/>
  <c r="AE37" i="3" s="1"/>
  <c r="Z36" i="3"/>
  <c r="Y36" i="3"/>
  <c r="X36" i="3"/>
  <c r="W36" i="3"/>
  <c r="N36" i="3"/>
  <c r="M36" i="3"/>
  <c r="AE36" i="3" s="1"/>
  <c r="Z35" i="3"/>
  <c r="Y35" i="3"/>
  <c r="X35" i="3"/>
  <c r="W35" i="3"/>
  <c r="N35" i="3"/>
  <c r="M35" i="3"/>
  <c r="AE35" i="3" s="1"/>
  <c r="Z34" i="3"/>
  <c r="AC34" i="3" s="1"/>
  <c r="Y34" i="3"/>
  <c r="X34" i="3"/>
  <c r="W34" i="3"/>
  <c r="N34" i="3"/>
  <c r="M34" i="3"/>
  <c r="AE34" i="3" s="1"/>
  <c r="Z33" i="3"/>
  <c r="Y33" i="3"/>
  <c r="X33" i="3"/>
  <c r="W33" i="3"/>
  <c r="N33" i="3"/>
  <c r="M33" i="3"/>
  <c r="AE33" i="3" s="1"/>
  <c r="Z32" i="3"/>
  <c r="Y32" i="3"/>
  <c r="X32" i="3"/>
  <c r="W32" i="3"/>
  <c r="N32" i="3"/>
  <c r="M32" i="3"/>
  <c r="AE32" i="3" s="1"/>
  <c r="Z31" i="3"/>
  <c r="Y31" i="3"/>
  <c r="X31" i="3"/>
  <c r="W31" i="3"/>
  <c r="N31" i="3"/>
  <c r="M31" i="3"/>
  <c r="AE31" i="3" s="1"/>
  <c r="Z30" i="3"/>
  <c r="Y30" i="3"/>
  <c r="X30" i="3"/>
  <c r="W30" i="3"/>
  <c r="N30" i="3"/>
  <c r="M30" i="3"/>
  <c r="AE30" i="3" s="1"/>
  <c r="Z29" i="3"/>
  <c r="AC29" i="3" s="1"/>
  <c r="Y29" i="3"/>
  <c r="X29" i="3"/>
  <c r="W29" i="3"/>
  <c r="N29" i="3"/>
  <c r="M29" i="3"/>
  <c r="AE29" i="3" s="1"/>
  <c r="Z28" i="3"/>
  <c r="Y28" i="3"/>
  <c r="X28" i="3"/>
  <c r="W28" i="3"/>
  <c r="N28" i="3"/>
  <c r="M28" i="3"/>
  <c r="AE28" i="3" s="1"/>
  <c r="Z27" i="3"/>
  <c r="Y27" i="3"/>
  <c r="X27" i="3"/>
  <c r="W27" i="3"/>
  <c r="N27" i="3"/>
  <c r="M27" i="3"/>
  <c r="AE27" i="3" s="1"/>
  <c r="Z26" i="3"/>
  <c r="Y26" i="3"/>
  <c r="X26" i="3"/>
  <c r="W26" i="3"/>
  <c r="N26" i="3"/>
  <c r="M26" i="3"/>
  <c r="AE26" i="3" s="1"/>
  <c r="Z23" i="3"/>
  <c r="Y23" i="3"/>
  <c r="X23" i="3"/>
  <c r="W23" i="3"/>
  <c r="N23" i="3"/>
  <c r="M23" i="3"/>
  <c r="AE23" i="3" s="1"/>
  <c r="Z13" i="3"/>
  <c r="Y13" i="3"/>
  <c r="X13" i="3"/>
  <c r="W13" i="3"/>
  <c r="N13" i="3"/>
  <c r="M13" i="3"/>
  <c r="AE13" i="3" s="1"/>
  <c r="Z12" i="3"/>
  <c r="Y12" i="3"/>
  <c r="X12" i="3"/>
  <c r="W12" i="3"/>
  <c r="N12" i="3"/>
  <c r="M12" i="3"/>
  <c r="AE12" i="3" s="1"/>
  <c r="Z11" i="3"/>
  <c r="Y11" i="3"/>
  <c r="X11" i="3"/>
  <c r="W11" i="3"/>
  <c r="N11" i="3"/>
  <c r="M11" i="3"/>
  <c r="AE11" i="3" s="1"/>
  <c r="Z10" i="3"/>
  <c r="Y10" i="3"/>
  <c r="X10" i="3"/>
  <c r="W10" i="3"/>
  <c r="N10" i="3"/>
  <c r="AE10" i="3"/>
  <c r="Z9" i="3"/>
  <c r="Y9" i="3"/>
  <c r="X9" i="3"/>
  <c r="W9" i="3"/>
  <c r="N9" i="3"/>
  <c r="M9" i="3"/>
  <c r="AE9" i="3" s="1"/>
  <c r="Z8" i="3"/>
  <c r="Y8" i="3"/>
  <c r="X8" i="3"/>
  <c r="W8" i="3"/>
  <c r="N8" i="3"/>
  <c r="M8" i="3"/>
  <c r="AE8" i="3" s="1"/>
  <c r="O1" i="6"/>
  <c r="O112" i="6" s="1"/>
  <c r="N1" i="6"/>
  <c r="N112" i="6" s="1"/>
  <c r="M1" i="6"/>
  <c r="M112" i="6" s="1"/>
  <c r="L1" i="6"/>
  <c r="L112" i="6" s="1"/>
  <c r="K1" i="6"/>
  <c r="K112" i="6" s="1"/>
  <c r="J1" i="6"/>
  <c r="J112" i="6" s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11" i="10"/>
  <c r="B7" i="10"/>
  <c r="B21" i="12"/>
  <c r="B20" i="12"/>
  <c r="B19" i="12"/>
  <c r="B18" i="12"/>
  <c r="B17" i="12"/>
  <c r="B16" i="12"/>
  <c r="B15" i="12"/>
  <c r="B14" i="12"/>
  <c r="B13" i="12"/>
  <c r="B12" i="12"/>
  <c r="B11" i="12"/>
  <c r="B10" i="12"/>
  <c r="D23" i="17"/>
  <c r="C7" i="17"/>
  <c r="C29" i="17" s="1"/>
  <c r="S111" i="7" l="1"/>
  <c r="P112" i="6"/>
  <c r="P111" i="7" s="1"/>
  <c r="Q112" i="6"/>
  <c r="U111" i="7" s="1"/>
  <c r="N108" i="6"/>
  <c r="N110" i="6"/>
  <c r="N111" i="6"/>
  <c r="N109" i="6"/>
  <c r="O108" i="6"/>
  <c r="O110" i="6"/>
  <c r="O111" i="6"/>
  <c r="O109" i="6"/>
  <c r="M110" i="6"/>
  <c r="M111" i="6"/>
  <c r="M109" i="6"/>
  <c r="M108" i="6"/>
  <c r="J108" i="6"/>
  <c r="J110" i="6"/>
  <c r="J111" i="6"/>
  <c r="J109" i="6"/>
  <c r="L111" i="6"/>
  <c r="L109" i="6"/>
  <c r="L110" i="6"/>
  <c r="L108" i="6"/>
  <c r="K109" i="6"/>
  <c r="K110" i="6"/>
  <c r="K108" i="6"/>
  <c r="K111" i="6"/>
  <c r="AC26" i="3"/>
  <c r="L107" i="6"/>
  <c r="L106" i="6"/>
  <c r="L105" i="6"/>
  <c r="L104" i="6"/>
  <c r="L100" i="6"/>
  <c r="L102" i="6"/>
  <c r="L101" i="6"/>
  <c r="L103" i="6"/>
  <c r="L99" i="6"/>
  <c r="L96" i="6"/>
  <c r="L98" i="6"/>
  <c r="L97" i="6"/>
  <c r="L95" i="6"/>
  <c r="L91" i="6"/>
  <c r="L93" i="6"/>
  <c r="L92" i="6"/>
  <c r="L94" i="6"/>
  <c r="M106" i="6"/>
  <c r="M107" i="6"/>
  <c r="M105" i="6"/>
  <c r="M103" i="6"/>
  <c r="M101" i="6"/>
  <c r="M104" i="6"/>
  <c r="M100" i="6"/>
  <c r="M102" i="6"/>
  <c r="M98" i="6"/>
  <c r="M99" i="6"/>
  <c r="M96" i="6"/>
  <c r="M97" i="6"/>
  <c r="M94" i="6"/>
  <c r="M95" i="6"/>
  <c r="M91" i="6"/>
  <c r="M93" i="6"/>
  <c r="M92" i="6"/>
  <c r="N106" i="6"/>
  <c r="N107" i="6"/>
  <c r="N105" i="6"/>
  <c r="N103" i="6"/>
  <c r="N104" i="6"/>
  <c r="N100" i="6"/>
  <c r="N101" i="6"/>
  <c r="N102" i="6"/>
  <c r="N98" i="6"/>
  <c r="N99" i="6"/>
  <c r="N97" i="6"/>
  <c r="N96" i="6"/>
  <c r="N92" i="6"/>
  <c r="N94" i="6"/>
  <c r="N95" i="6"/>
  <c r="N91" i="6"/>
  <c r="N93" i="6"/>
  <c r="O106" i="6"/>
  <c r="O107" i="6"/>
  <c r="O105" i="6"/>
  <c r="O102" i="6"/>
  <c r="O103" i="6"/>
  <c r="O104" i="6"/>
  <c r="O100" i="6"/>
  <c r="O101" i="6"/>
  <c r="O98" i="6"/>
  <c r="O96" i="6"/>
  <c r="O99" i="6"/>
  <c r="O97" i="6"/>
  <c r="O93" i="6"/>
  <c r="O92" i="6"/>
  <c r="O94" i="6"/>
  <c r="O95" i="6"/>
  <c r="O91" i="6"/>
  <c r="J106" i="6"/>
  <c r="J107" i="6"/>
  <c r="J105" i="6"/>
  <c r="J100" i="6"/>
  <c r="J101" i="6"/>
  <c r="J103" i="6"/>
  <c r="J102" i="6"/>
  <c r="J104" i="6"/>
  <c r="J97" i="6"/>
  <c r="J98" i="6"/>
  <c r="J96" i="6"/>
  <c r="J99" i="6"/>
  <c r="J94" i="6"/>
  <c r="J93" i="6"/>
  <c r="J92" i="6"/>
  <c r="J95" i="6"/>
  <c r="J91" i="6"/>
  <c r="K106" i="6"/>
  <c r="K107" i="6"/>
  <c r="K105" i="6"/>
  <c r="K104" i="6"/>
  <c r="K100" i="6"/>
  <c r="K101" i="6"/>
  <c r="K102" i="6"/>
  <c r="K103" i="6"/>
  <c r="K97" i="6"/>
  <c r="K96" i="6"/>
  <c r="K98" i="6"/>
  <c r="K99" i="6"/>
  <c r="K91" i="6"/>
  <c r="K92" i="6"/>
  <c r="K93" i="6"/>
  <c r="K94" i="6"/>
  <c r="K95" i="6"/>
  <c r="N90" i="6"/>
  <c r="N89" i="6"/>
  <c r="N85" i="6"/>
  <c r="N86" i="6"/>
  <c r="N84" i="6"/>
  <c r="N87" i="6"/>
  <c r="N88" i="6"/>
  <c r="N83" i="6"/>
  <c r="N78" i="6"/>
  <c r="N74" i="6"/>
  <c r="N71" i="6"/>
  <c r="N77" i="6"/>
  <c r="N79" i="6"/>
  <c r="N70" i="6"/>
  <c r="N81" i="6"/>
  <c r="N82" i="6"/>
  <c r="N76" i="6"/>
  <c r="N73" i="6"/>
  <c r="N80" i="6"/>
  <c r="N75" i="6"/>
  <c r="N72" i="6"/>
  <c r="O90" i="6"/>
  <c r="O87" i="6"/>
  <c r="O89" i="6"/>
  <c r="O88" i="6"/>
  <c r="O83" i="6"/>
  <c r="O86" i="6"/>
  <c r="O84" i="6"/>
  <c r="O85" i="6"/>
  <c r="O75" i="6"/>
  <c r="O72" i="6"/>
  <c r="O76" i="6"/>
  <c r="O70" i="6"/>
  <c r="O82" i="6"/>
  <c r="O78" i="6"/>
  <c r="O74" i="6"/>
  <c r="O77" i="6"/>
  <c r="O71" i="6"/>
  <c r="O80" i="6"/>
  <c r="O81" i="6"/>
  <c r="O73" i="6"/>
  <c r="O79" i="6"/>
  <c r="J90" i="6"/>
  <c r="J83" i="6"/>
  <c r="J88" i="6"/>
  <c r="J87" i="6"/>
  <c r="J85" i="6"/>
  <c r="J89" i="6"/>
  <c r="J86" i="6"/>
  <c r="J84" i="6"/>
  <c r="J81" i="6"/>
  <c r="J82" i="6"/>
  <c r="J76" i="6"/>
  <c r="J73" i="6"/>
  <c r="J80" i="6"/>
  <c r="J79" i="6"/>
  <c r="J70" i="6"/>
  <c r="J71" i="6"/>
  <c r="J75" i="6"/>
  <c r="J72" i="6"/>
  <c r="J77" i="6"/>
  <c r="J78" i="6"/>
  <c r="J74" i="6"/>
  <c r="K90" i="6"/>
  <c r="K86" i="6"/>
  <c r="K84" i="6"/>
  <c r="K88" i="6"/>
  <c r="K83" i="6"/>
  <c r="K87" i="6"/>
  <c r="K85" i="6"/>
  <c r="K89" i="6"/>
  <c r="K77" i="6"/>
  <c r="K75" i="6"/>
  <c r="K72" i="6"/>
  <c r="K71" i="6"/>
  <c r="K81" i="6"/>
  <c r="K82" i="6"/>
  <c r="K76" i="6"/>
  <c r="K73" i="6"/>
  <c r="K80" i="6"/>
  <c r="K79" i="6"/>
  <c r="K70" i="6"/>
  <c r="K74" i="6"/>
  <c r="K78" i="6"/>
  <c r="L90" i="6"/>
  <c r="L89" i="6"/>
  <c r="L84" i="6"/>
  <c r="L86" i="6"/>
  <c r="L88" i="6"/>
  <c r="L83" i="6"/>
  <c r="L87" i="6"/>
  <c r="L85" i="6"/>
  <c r="L71" i="6"/>
  <c r="L70" i="6"/>
  <c r="L74" i="6"/>
  <c r="L77" i="6"/>
  <c r="L81" i="6"/>
  <c r="L82" i="6"/>
  <c r="L76" i="6"/>
  <c r="L73" i="6"/>
  <c r="L79" i="6"/>
  <c r="L80" i="6"/>
  <c r="L78" i="6"/>
  <c r="L75" i="6"/>
  <c r="L72" i="6"/>
  <c r="M90" i="6"/>
  <c r="M89" i="6"/>
  <c r="M86" i="6"/>
  <c r="M84" i="6"/>
  <c r="M88" i="6"/>
  <c r="M83" i="6"/>
  <c r="M87" i="6"/>
  <c r="M85" i="6"/>
  <c r="M78" i="6"/>
  <c r="M74" i="6"/>
  <c r="M75" i="6"/>
  <c r="M71" i="6"/>
  <c r="M77" i="6"/>
  <c r="M73" i="6"/>
  <c r="M81" i="6"/>
  <c r="M76" i="6"/>
  <c r="M72" i="6"/>
  <c r="M82" i="6"/>
  <c r="M80" i="6"/>
  <c r="M79" i="6"/>
  <c r="M70" i="6"/>
  <c r="AC23" i="3"/>
  <c r="O69" i="6"/>
  <c r="O68" i="6"/>
  <c r="N69" i="6"/>
  <c r="N68" i="6"/>
  <c r="J69" i="6"/>
  <c r="J68" i="6"/>
  <c r="K69" i="6"/>
  <c r="K68" i="6"/>
  <c r="L69" i="6"/>
  <c r="L68" i="6"/>
  <c r="M69" i="6"/>
  <c r="M68" i="6"/>
  <c r="N67" i="6"/>
  <c r="N66" i="6"/>
  <c r="N62" i="6"/>
  <c r="N65" i="6"/>
  <c r="N64" i="6"/>
  <c r="N63" i="6"/>
  <c r="O67" i="6"/>
  <c r="O66" i="6"/>
  <c r="O64" i="6"/>
  <c r="O62" i="6"/>
  <c r="O65" i="6"/>
  <c r="O63" i="6"/>
  <c r="J67" i="6"/>
  <c r="J66" i="6"/>
  <c r="J63" i="6"/>
  <c r="J64" i="6"/>
  <c r="J62" i="6"/>
  <c r="J65" i="6"/>
  <c r="K67" i="6"/>
  <c r="K66" i="6"/>
  <c r="K63" i="6"/>
  <c r="K64" i="6"/>
  <c r="K62" i="6"/>
  <c r="K65" i="6"/>
  <c r="L67" i="6"/>
  <c r="L66" i="6"/>
  <c r="L63" i="6"/>
  <c r="L64" i="6"/>
  <c r="L62" i="6"/>
  <c r="L65" i="6"/>
  <c r="M67" i="6"/>
  <c r="M66" i="6"/>
  <c r="M65" i="6"/>
  <c r="M63" i="6"/>
  <c r="M64" i="6"/>
  <c r="M62" i="6"/>
  <c r="AC13" i="3"/>
  <c r="AC12" i="3"/>
  <c r="N41" i="6"/>
  <c r="N60" i="6"/>
  <c r="N56" i="6"/>
  <c r="N61" i="6"/>
  <c r="N48" i="6"/>
  <c r="N55" i="6"/>
  <c r="N53" i="6"/>
  <c r="N58" i="6"/>
  <c r="N54" i="6"/>
  <c r="N50" i="6"/>
  <c r="N59" i="6"/>
  <c r="N52" i="6"/>
  <c r="N51" i="6"/>
  <c r="N49" i="6"/>
  <c r="N47" i="6"/>
  <c r="N57" i="6"/>
  <c r="N44" i="6"/>
  <c r="N42" i="6"/>
  <c r="N45" i="6"/>
  <c r="N46" i="6"/>
  <c r="N43" i="6"/>
  <c r="L41" i="6"/>
  <c r="L61" i="6"/>
  <c r="L48" i="6"/>
  <c r="L55" i="6"/>
  <c r="L53" i="6"/>
  <c r="L58" i="6"/>
  <c r="L54" i="6"/>
  <c r="L50" i="6"/>
  <c r="L56" i="6"/>
  <c r="L59" i="6"/>
  <c r="L52" i="6"/>
  <c r="L51" i="6"/>
  <c r="L49" i="6"/>
  <c r="L47" i="6"/>
  <c r="L57" i="6"/>
  <c r="L60" i="6"/>
  <c r="L45" i="6"/>
  <c r="L43" i="6"/>
  <c r="L46" i="6"/>
  <c r="L44" i="6"/>
  <c r="L42" i="6"/>
  <c r="M41" i="6"/>
  <c r="M60" i="6"/>
  <c r="M56" i="6"/>
  <c r="M61" i="6"/>
  <c r="M48" i="6"/>
  <c r="M47" i="6"/>
  <c r="M55" i="6"/>
  <c r="M53" i="6"/>
  <c r="M51" i="6"/>
  <c r="M49" i="6"/>
  <c r="M58" i="6"/>
  <c r="M54" i="6"/>
  <c r="M50" i="6"/>
  <c r="M59" i="6"/>
  <c r="M52" i="6"/>
  <c r="M57" i="6"/>
  <c r="M44" i="6"/>
  <c r="M42" i="6"/>
  <c r="M45" i="6"/>
  <c r="M43" i="6"/>
  <c r="M46" i="6"/>
  <c r="O41" i="6"/>
  <c r="O57" i="6"/>
  <c r="O48" i="6"/>
  <c r="O59" i="6"/>
  <c r="O60" i="6"/>
  <c r="O56" i="6"/>
  <c r="O51" i="6"/>
  <c r="O61" i="6"/>
  <c r="O52" i="6"/>
  <c r="O49" i="6"/>
  <c r="O55" i="6"/>
  <c r="O53" i="6"/>
  <c r="O47" i="6"/>
  <c r="O58" i="6"/>
  <c r="O54" i="6"/>
  <c r="O50" i="6"/>
  <c r="O42" i="6"/>
  <c r="O46" i="6"/>
  <c r="O44" i="6"/>
  <c r="O43" i="6"/>
  <c r="O45" i="6"/>
  <c r="J41" i="6"/>
  <c r="J55" i="6"/>
  <c r="J53" i="6"/>
  <c r="J58" i="6"/>
  <c r="J54" i="6"/>
  <c r="J50" i="6"/>
  <c r="J59" i="6"/>
  <c r="J52" i="6"/>
  <c r="J51" i="6"/>
  <c r="J49" i="6"/>
  <c r="J47" i="6"/>
  <c r="J57" i="6"/>
  <c r="J60" i="6"/>
  <c r="J56" i="6"/>
  <c r="J61" i="6"/>
  <c r="J48" i="6"/>
  <c r="J43" i="6"/>
  <c r="J46" i="6"/>
  <c r="J44" i="6"/>
  <c r="J42" i="6"/>
  <c r="J45" i="6"/>
  <c r="K41" i="6"/>
  <c r="K55" i="6"/>
  <c r="K53" i="6"/>
  <c r="K58" i="6"/>
  <c r="K54" i="6"/>
  <c r="K50" i="6"/>
  <c r="K47" i="6"/>
  <c r="K59" i="6"/>
  <c r="K52" i="6"/>
  <c r="K51" i="6"/>
  <c r="K49" i="6"/>
  <c r="K57" i="6"/>
  <c r="K60" i="6"/>
  <c r="K56" i="6"/>
  <c r="K61" i="6"/>
  <c r="K48" i="6"/>
  <c r="K45" i="6"/>
  <c r="K43" i="6"/>
  <c r="K46" i="6"/>
  <c r="K44" i="6"/>
  <c r="K42" i="6"/>
  <c r="AC9" i="3"/>
  <c r="AC10" i="3"/>
  <c r="AC46" i="3"/>
  <c r="AC90" i="3"/>
  <c r="AC98" i="3"/>
  <c r="AC100" i="3"/>
  <c r="AC166" i="3"/>
  <c r="AC168" i="3"/>
  <c r="AC229" i="3"/>
  <c r="AC266" i="3"/>
  <c r="AC301" i="3"/>
  <c r="AC374" i="3"/>
  <c r="AC380" i="3"/>
  <c r="AC382" i="3"/>
  <c r="AC388" i="3"/>
  <c r="AC390" i="3"/>
  <c r="AC493" i="3"/>
  <c r="AC495" i="3"/>
  <c r="AC499" i="3"/>
  <c r="AC515" i="3"/>
  <c r="AC525" i="3"/>
  <c r="AC529" i="3"/>
  <c r="AC531" i="3"/>
  <c r="AC533" i="3"/>
  <c r="AC535" i="3"/>
  <c r="AC539" i="3"/>
  <c r="AC547" i="3"/>
  <c r="AC54" i="3"/>
  <c r="AC78" i="3"/>
  <c r="AC171" i="3"/>
  <c r="AC182" i="3"/>
  <c r="AC188" i="3"/>
  <c r="AC239" i="3"/>
  <c r="AC276" i="3"/>
  <c r="AC278" i="3"/>
  <c r="AC311" i="3"/>
  <c r="AC408" i="3"/>
  <c r="AC122" i="3"/>
  <c r="AC130" i="3"/>
  <c r="AC132" i="3"/>
  <c r="AC173" i="3"/>
  <c r="AC177" i="3"/>
  <c r="AC179" i="3"/>
  <c r="AC234" i="3"/>
  <c r="AC236" i="3"/>
  <c r="AC403" i="3"/>
  <c r="AC283" i="3"/>
  <c r="AC333" i="3"/>
  <c r="AC349" i="3"/>
  <c r="AC431" i="3"/>
  <c r="AC454" i="3"/>
  <c r="AC460" i="3"/>
  <c r="AC462" i="3"/>
  <c r="AC45" i="3"/>
  <c r="AC110" i="3"/>
  <c r="AC146" i="3"/>
  <c r="AC148" i="3"/>
  <c r="AC207" i="3"/>
  <c r="AC211" i="3"/>
  <c r="AC222" i="3"/>
  <c r="AC226" i="3"/>
  <c r="AC287" i="3"/>
  <c r="AC291" i="3"/>
  <c r="AC298" i="3"/>
  <c r="AC357" i="3"/>
  <c r="AC478" i="3"/>
  <c r="AC36" i="3"/>
  <c r="AC42" i="3"/>
  <c r="AC154" i="3"/>
  <c r="AC230" i="3"/>
  <c r="AC300" i="3"/>
  <c r="AC363" i="3"/>
  <c r="AC365" i="3"/>
  <c r="AC367" i="3"/>
  <c r="AC371" i="3"/>
  <c r="AC379" i="3"/>
  <c r="AC387" i="3"/>
  <c r="AC391" i="3"/>
  <c r="AC397" i="3"/>
  <c r="AC492" i="3"/>
  <c r="AC494" i="3"/>
  <c r="AC496" i="3"/>
  <c r="AC500" i="3"/>
  <c r="AC532" i="3"/>
  <c r="AC534" i="3"/>
  <c r="AC536" i="3"/>
  <c r="AC540" i="3"/>
  <c r="AC548" i="3"/>
  <c r="AC77" i="3"/>
  <c r="AC134" i="3"/>
  <c r="AC136" i="3"/>
  <c r="AC183" i="3"/>
  <c r="AC58" i="3"/>
  <c r="AC60" i="3"/>
  <c r="AC66" i="3"/>
  <c r="AC68" i="3"/>
  <c r="AC74" i="3"/>
  <c r="AC178" i="3"/>
  <c r="AC322" i="3"/>
  <c r="AC326" i="3"/>
  <c r="AC402" i="3"/>
  <c r="AC252" i="3"/>
  <c r="AC315" i="3"/>
  <c r="AC338" i="3"/>
  <c r="AC418" i="3"/>
  <c r="AC426" i="3"/>
  <c r="AC442" i="3"/>
  <c r="AC453" i="3"/>
  <c r="AC455" i="3"/>
  <c r="AC459" i="3"/>
  <c r="AC463" i="3"/>
  <c r="AC471" i="3"/>
  <c r="AC28" i="3"/>
  <c r="AC109" i="3"/>
  <c r="AC141" i="3"/>
  <c r="AC145" i="3"/>
  <c r="AC158" i="3"/>
  <c r="AC194" i="3"/>
  <c r="AC202" i="3"/>
  <c r="AC204" i="3"/>
  <c r="AC206" i="3"/>
  <c r="AC212" i="3"/>
  <c r="AC243" i="3"/>
  <c r="AC247" i="3"/>
  <c r="AC260" i="3"/>
  <c r="AC477" i="3"/>
  <c r="AC479" i="3"/>
  <c r="AC481" i="3"/>
  <c r="AC483" i="3"/>
  <c r="AD311" i="18"/>
  <c r="AR311" i="18"/>
  <c r="O37" i="6"/>
  <c r="O40" i="6"/>
  <c r="O38" i="6"/>
  <c r="O39" i="6"/>
  <c r="N37" i="6"/>
  <c r="N40" i="6"/>
  <c r="N38" i="6"/>
  <c r="N39" i="6"/>
  <c r="M37" i="6"/>
  <c r="M38" i="6"/>
  <c r="M39" i="6"/>
  <c r="M40" i="6"/>
  <c r="J37" i="6"/>
  <c r="J39" i="6"/>
  <c r="J40" i="6"/>
  <c r="J38" i="6"/>
  <c r="K37" i="6"/>
  <c r="K39" i="6"/>
  <c r="K40" i="6"/>
  <c r="K38" i="6"/>
  <c r="L37" i="6"/>
  <c r="L39" i="6"/>
  <c r="L40" i="6"/>
  <c r="L38" i="6"/>
  <c r="O36" i="6"/>
  <c r="O35" i="6"/>
  <c r="O34" i="6"/>
  <c r="O33" i="6"/>
  <c r="O32" i="6"/>
  <c r="O31" i="6"/>
  <c r="J32" i="6"/>
  <c r="J31" i="6"/>
  <c r="J36" i="6"/>
  <c r="J35" i="6"/>
  <c r="J34" i="6"/>
  <c r="J33" i="6"/>
  <c r="K33" i="6"/>
  <c r="K32" i="6"/>
  <c r="K31" i="6"/>
  <c r="K36" i="6"/>
  <c r="K35" i="6"/>
  <c r="K34" i="6"/>
  <c r="L33" i="6"/>
  <c r="L32" i="6"/>
  <c r="L31" i="6"/>
  <c r="L34" i="6"/>
  <c r="L36" i="6"/>
  <c r="L35" i="6"/>
  <c r="M34" i="6"/>
  <c r="M33" i="6"/>
  <c r="M32" i="6"/>
  <c r="M31" i="6"/>
  <c r="M35" i="6"/>
  <c r="M36" i="6"/>
  <c r="N36" i="6"/>
  <c r="N35" i="6"/>
  <c r="N34" i="6"/>
  <c r="N33" i="6"/>
  <c r="N32" i="6"/>
  <c r="N31" i="6"/>
  <c r="J23" i="6"/>
  <c r="J26" i="6"/>
  <c r="J29" i="6"/>
  <c r="J27" i="6"/>
  <c r="J28" i="6"/>
  <c r="J30" i="6"/>
  <c r="J25" i="6"/>
  <c r="J24" i="6"/>
  <c r="K23" i="6"/>
  <c r="K27" i="6"/>
  <c r="K26" i="6"/>
  <c r="K25" i="6"/>
  <c r="K29" i="6"/>
  <c r="K28" i="6"/>
  <c r="K30" i="6"/>
  <c r="K24" i="6"/>
  <c r="L23" i="6"/>
  <c r="L27" i="6"/>
  <c r="L26" i="6"/>
  <c r="L25" i="6"/>
  <c r="L29" i="6"/>
  <c r="L28" i="6"/>
  <c r="L30" i="6"/>
  <c r="L24" i="6"/>
  <c r="M23" i="6"/>
  <c r="M27" i="6"/>
  <c r="M26" i="6"/>
  <c r="M25" i="6"/>
  <c r="M29" i="6"/>
  <c r="M30" i="6"/>
  <c r="M28" i="6"/>
  <c r="M24" i="6"/>
  <c r="N23" i="6"/>
  <c r="N30" i="6"/>
  <c r="N25" i="6"/>
  <c r="N27" i="6"/>
  <c r="N26" i="6"/>
  <c r="N28" i="6"/>
  <c r="N29" i="6"/>
  <c r="N24" i="6"/>
  <c r="O23" i="6"/>
  <c r="O28" i="6"/>
  <c r="O30" i="6"/>
  <c r="O25" i="6"/>
  <c r="O29" i="6"/>
  <c r="O27" i="6"/>
  <c r="O26" i="6"/>
  <c r="O24" i="6"/>
  <c r="P23" i="6"/>
  <c r="P22" i="7" s="1"/>
  <c r="N19" i="6"/>
  <c r="N22" i="6"/>
  <c r="N21" i="6"/>
  <c r="N20" i="6"/>
  <c r="J19" i="6"/>
  <c r="J22" i="6"/>
  <c r="J21" i="6"/>
  <c r="J20" i="6"/>
  <c r="K19" i="6"/>
  <c r="K22" i="6"/>
  <c r="K21" i="6"/>
  <c r="K20" i="6"/>
  <c r="L19" i="6"/>
  <c r="L22" i="6"/>
  <c r="L21" i="6"/>
  <c r="L20" i="6"/>
  <c r="M19" i="6"/>
  <c r="M22" i="6"/>
  <c r="M20" i="6"/>
  <c r="M21" i="6"/>
  <c r="O19" i="6"/>
  <c r="O22" i="6"/>
  <c r="O21" i="6"/>
  <c r="O20" i="6"/>
  <c r="AC30" i="3"/>
  <c r="AC32" i="3"/>
  <c r="AC106" i="3"/>
  <c r="AC121" i="3"/>
  <c r="AC138" i="3"/>
  <c r="AC153" i="3"/>
  <c r="AC170" i="3"/>
  <c r="AC185" i="3"/>
  <c r="AC187" i="3"/>
  <c r="AC190" i="3"/>
  <c r="AC192" i="3"/>
  <c r="AC221" i="3"/>
  <c r="AC245" i="3"/>
  <c r="AC360" i="3"/>
  <c r="AC556" i="3"/>
  <c r="AC11" i="3"/>
  <c r="AC47" i="3"/>
  <c r="AC49" i="3"/>
  <c r="AC51" i="3"/>
  <c r="AC64" i="3"/>
  <c r="AC79" i="3"/>
  <c r="AC81" i="3"/>
  <c r="AC83" i="3"/>
  <c r="AC96" i="3"/>
  <c r="AC111" i="3"/>
  <c r="AC115" i="3"/>
  <c r="AC128" i="3"/>
  <c r="AC143" i="3"/>
  <c r="AC147" i="3"/>
  <c r="AC160" i="3"/>
  <c r="AC175" i="3"/>
  <c r="AC330" i="3"/>
  <c r="AC364" i="3"/>
  <c r="AC366" i="3"/>
  <c r="AC389" i="3"/>
  <c r="AC412" i="3"/>
  <c r="AC414" i="3"/>
  <c r="AC437" i="3"/>
  <c r="AC33" i="3"/>
  <c r="AC193" i="3"/>
  <c r="AC195" i="3"/>
  <c r="AC198" i="3"/>
  <c r="AC200" i="3"/>
  <c r="AC220" i="3"/>
  <c r="AC269" i="3"/>
  <c r="AC293" i="3"/>
  <c r="AC339" i="3"/>
  <c r="AC341" i="3"/>
  <c r="AC361" i="3"/>
  <c r="AC386" i="3"/>
  <c r="AC393" i="3"/>
  <c r="AC434" i="3"/>
  <c r="AC441" i="3"/>
  <c r="AC445" i="3"/>
  <c r="AC464" i="3"/>
  <c r="AC497" i="3"/>
  <c r="AC502" i="3"/>
  <c r="AC538" i="3"/>
  <c r="AC541" i="3"/>
  <c r="AC543" i="3"/>
  <c r="AC545" i="3"/>
  <c r="AC40" i="3"/>
  <c r="AC55" i="3"/>
  <c r="AC57" i="3"/>
  <c r="AC59" i="3"/>
  <c r="AC72" i="3"/>
  <c r="AC87" i="3"/>
  <c r="AC89" i="3"/>
  <c r="AC91" i="3"/>
  <c r="AC104" i="3"/>
  <c r="AC119" i="3"/>
  <c r="AC203" i="3"/>
  <c r="AC273" i="3"/>
  <c r="AC284" i="3"/>
  <c r="AC297" i="3"/>
  <c r="AC317" i="3"/>
  <c r="AC376" i="3"/>
  <c r="AC424" i="3"/>
  <c r="AC468" i="3"/>
  <c r="AC470" i="3"/>
  <c r="AC485" i="3"/>
  <c r="AC508" i="3"/>
  <c r="AC510" i="3"/>
  <c r="AC472" i="3"/>
  <c r="AC489" i="3"/>
  <c r="AC516" i="3"/>
  <c r="AC518" i="3"/>
  <c r="AC549" i="3"/>
  <c r="AC551" i="3"/>
  <c r="AC553" i="3"/>
  <c r="AC524" i="3"/>
  <c r="AC526" i="3"/>
  <c r="AC557" i="3"/>
  <c r="AC48" i="3"/>
  <c r="AC63" i="3"/>
  <c r="AC65" i="3"/>
  <c r="AC67" i="3"/>
  <c r="AC80" i="3"/>
  <c r="AC95" i="3"/>
  <c r="AC97" i="3"/>
  <c r="AC99" i="3"/>
  <c r="AC112" i="3"/>
  <c r="AC127" i="3"/>
  <c r="AC129" i="3"/>
  <c r="AC131" i="3"/>
  <c r="AC144" i="3"/>
  <c r="AC159" i="3"/>
  <c r="AC176" i="3"/>
  <c r="AC257" i="3"/>
  <c r="AC334" i="3"/>
  <c r="AC199" i="3"/>
  <c r="AC237" i="3"/>
  <c r="AC248" i="3"/>
  <c r="AC268" i="3"/>
  <c r="AC281" i="3"/>
  <c r="AC292" i="3"/>
  <c r="AC340" i="3"/>
  <c r="AC342" i="3"/>
  <c r="AC344" i="3"/>
  <c r="AC362" i="3"/>
  <c r="AC385" i="3"/>
  <c r="AC392" i="3"/>
  <c r="AC410" i="3"/>
  <c r="AC461" i="3"/>
  <c r="AC480" i="3"/>
  <c r="AC527" i="3"/>
  <c r="AC228" i="3"/>
  <c r="AC348" i="3"/>
  <c r="AC350" i="3"/>
  <c r="AC373" i="3"/>
  <c r="AC396" i="3"/>
  <c r="AC398" i="3"/>
  <c r="AC421" i="3"/>
  <c r="AC444" i="3"/>
  <c r="AC446" i="3"/>
  <c r="AC458" i="3"/>
  <c r="AC498" i="3"/>
  <c r="AC501" i="3"/>
  <c r="AC505" i="3"/>
  <c r="AC537" i="3"/>
  <c r="AC542" i="3"/>
  <c r="AC544" i="3"/>
  <c r="AC41" i="3"/>
  <c r="AC56" i="3"/>
  <c r="AC71" i="3"/>
  <c r="AC73" i="3"/>
  <c r="AC75" i="3"/>
  <c r="AC88" i="3"/>
  <c r="AC103" i="3"/>
  <c r="AC105" i="3"/>
  <c r="AC107" i="3"/>
  <c r="AC120" i="3"/>
  <c r="AC135" i="3"/>
  <c r="AC139" i="3"/>
  <c r="AC152" i="3"/>
  <c r="AC167" i="3"/>
  <c r="AC184" i="3"/>
  <c r="AC213" i="3"/>
  <c r="AC261" i="3"/>
  <c r="AC272" i="3"/>
  <c r="AC285" i="3"/>
  <c r="AC296" i="3"/>
  <c r="AC377" i="3"/>
  <c r="AC425" i="3"/>
  <c r="AC469" i="3"/>
  <c r="AC486" i="3"/>
  <c r="AC509" i="3"/>
  <c r="AC232" i="3"/>
  <c r="AC309" i="3"/>
  <c r="AC331" i="3"/>
  <c r="AC358" i="3"/>
  <c r="AC381" i="3"/>
  <c r="AC406" i="3"/>
  <c r="AC429" i="3"/>
  <c r="AC488" i="3"/>
  <c r="AC517" i="3"/>
  <c r="AC521" i="3"/>
  <c r="AC550" i="3"/>
  <c r="AC552" i="3"/>
  <c r="AH311" i="18"/>
  <c r="AG311" i="18"/>
  <c r="AE311" i="18"/>
  <c r="AC311" i="18"/>
  <c r="AF311" i="18"/>
  <c r="M17" i="6"/>
  <c r="M18" i="6"/>
  <c r="M16" i="6"/>
  <c r="N18" i="6"/>
  <c r="N17" i="6"/>
  <c r="N16" i="6"/>
  <c r="O17" i="6"/>
  <c r="O18" i="6"/>
  <c r="O16" i="6"/>
  <c r="J18" i="6"/>
  <c r="J17" i="6"/>
  <c r="J16" i="6"/>
  <c r="K18" i="6"/>
  <c r="K17" i="6"/>
  <c r="K16" i="6"/>
  <c r="L17" i="6"/>
  <c r="L18" i="6"/>
  <c r="L16" i="6"/>
  <c r="M14" i="6"/>
  <c r="M15" i="6"/>
  <c r="N15" i="6"/>
  <c r="N14" i="6"/>
  <c r="O14" i="6"/>
  <c r="O15" i="6"/>
  <c r="L14" i="6"/>
  <c r="L15" i="6"/>
  <c r="J14" i="6"/>
  <c r="J15" i="6"/>
  <c r="K14" i="6"/>
  <c r="K15" i="6"/>
  <c r="L12" i="6"/>
  <c r="L13" i="6"/>
  <c r="L11" i="6"/>
  <c r="L9" i="6"/>
  <c r="L8" i="6"/>
  <c r="L10" i="6"/>
  <c r="M12" i="6"/>
  <c r="M13" i="6"/>
  <c r="M9" i="6"/>
  <c r="M11" i="6"/>
  <c r="M8" i="6"/>
  <c r="M10" i="6"/>
  <c r="N13" i="6"/>
  <c r="N12" i="6"/>
  <c r="N10" i="6"/>
  <c r="N11" i="6"/>
  <c r="N9" i="6"/>
  <c r="N8" i="6"/>
  <c r="O12" i="6"/>
  <c r="O13" i="6"/>
  <c r="O8" i="6"/>
  <c r="O11" i="6"/>
  <c r="O9" i="6"/>
  <c r="O10" i="6"/>
  <c r="J13" i="6"/>
  <c r="J12" i="6"/>
  <c r="J8" i="6"/>
  <c r="J10" i="6"/>
  <c r="J11" i="6"/>
  <c r="J9" i="6"/>
  <c r="K13" i="6"/>
  <c r="K12" i="6"/>
  <c r="K11" i="6"/>
  <c r="K9" i="6"/>
  <c r="K8" i="6"/>
  <c r="K10" i="6"/>
  <c r="J7" i="6"/>
  <c r="J4" i="6"/>
  <c r="J6" i="6"/>
  <c r="J3" i="6"/>
  <c r="J5" i="6"/>
  <c r="K7" i="6"/>
  <c r="K6" i="6"/>
  <c r="K3" i="6"/>
  <c r="K4" i="6"/>
  <c r="K5" i="6"/>
  <c r="L7" i="6"/>
  <c r="L6" i="6"/>
  <c r="L5" i="6"/>
  <c r="L4" i="6"/>
  <c r="L3" i="6"/>
  <c r="M7" i="6"/>
  <c r="M5" i="6"/>
  <c r="M4" i="6"/>
  <c r="M6" i="6"/>
  <c r="M3" i="6"/>
  <c r="N7" i="6"/>
  <c r="N6" i="6"/>
  <c r="N5" i="6"/>
  <c r="N3" i="6"/>
  <c r="N4" i="6"/>
  <c r="O7" i="6"/>
  <c r="O3" i="6"/>
  <c r="O6" i="6"/>
  <c r="O5" i="6"/>
  <c r="O4" i="6"/>
  <c r="B312" i="18"/>
  <c r="A313" i="18"/>
  <c r="E312" i="18"/>
  <c r="C312" i="18"/>
  <c r="D312" i="18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5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C27" i="3"/>
  <c r="AC31" i="3"/>
  <c r="AC39" i="3"/>
  <c r="AC8" i="3"/>
  <c r="AC35" i="3"/>
  <c r="AC43" i="3"/>
  <c r="AC201" i="3"/>
  <c r="AC241" i="3"/>
  <c r="AC256" i="3"/>
  <c r="AC305" i="3"/>
  <c r="AC320" i="3"/>
  <c r="AC404" i="3"/>
  <c r="AC225" i="3"/>
  <c r="AC265" i="3"/>
  <c r="AC280" i="3"/>
  <c r="AC205" i="3"/>
  <c r="AC209" i="3"/>
  <c r="AC217" i="3"/>
  <c r="AC224" i="3"/>
  <c r="AC240" i="3"/>
  <c r="AC289" i="3"/>
  <c r="AC304" i="3"/>
  <c r="AC208" i="3"/>
  <c r="AC216" i="3"/>
  <c r="AC249" i="3"/>
  <c r="AC264" i="3"/>
  <c r="AC313" i="3"/>
  <c r="AC356" i="3"/>
  <c r="AC372" i="3"/>
  <c r="AC352" i="3"/>
  <c r="AC368" i="3"/>
  <c r="AC384" i="3"/>
  <c r="AC400" i="3"/>
  <c r="AC416" i="3"/>
  <c r="AC456" i="3"/>
  <c r="AC473" i="3"/>
  <c r="AC528" i="3"/>
  <c r="AC328" i="3"/>
  <c r="AC329" i="3"/>
  <c r="AC336" i="3"/>
  <c r="AC432" i="3"/>
  <c r="AC504" i="3"/>
  <c r="AC512" i="3"/>
  <c r="AC520" i="3"/>
  <c r="AC353" i="3"/>
  <c r="AC401" i="3"/>
  <c r="AC417" i="3"/>
  <c r="AC440" i="3"/>
  <c r="AC457" i="3"/>
  <c r="AC448" i="3"/>
  <c r="C19" i="17"/>
  <c r="C10" i="17"/>
  <c r="C24" i="17"/>
  <c r="C11" i="17"/>
  <c r="C18" i="17"/>
  <c r="C9" i="17"/>
  <c r="C17" i="17"/>
  <c r="C23" i="17"/>
  <c r="C30" i="17"/>
  <c r="C12" i="17"/>
  <c r="C20" i="17"/>
  <c r="C25" i="17"/>
  <c r="C13" i="17"/>
  <c r="C21" i="17"/>
  <c r="C26" i="17"/>
  <c r="C14" i="17"/>
  <c r="C27" i="17"/>
  <c r="C15" i="17"/>
  <c r="C22" i="17"/>
  <c r="C28" i="17"/>
  <c r="C8" i="17"/>
  <c r="C16" i="17"/>
  <c r="M111" i="7" l="1"/>
  <c r="O111" i="7"/>
  <c r="Q111" i="7"/>
  <c r="R111" i="7"/>
  <c r="L111" i="7"/>
  <c r="K111" i="7"/>
  <c r="N111" i="7"/>
  <c r="J111" i="7"/>
  <c r="T111" i="7"/>
  <c r="Q110" i="6"/>
  <c r="T109" i="7" s="1"/>
  <c r="P110" i="6"/>
  <c r="J109" i="7" s="1"/>
  <c r="P109" i="6"/>
  <c r="O108" i="7" s="1"/>
  <c r="Q109" i="6"/>
  <c r="U108" i="7" s="1"/>
  <c r="P108" i="6"/>
  <c r="J107" i="7" s="1"/>
  <c r="Q108" i="6"/>
  <c r="U107" i="7"/>
  <c r="R107" i="7"/>
  <c r="P111" i="6"/>
  <c r="P110" i="7" s="1"/>
  <c r="Q111" i="6"/>
  <c r="T110" i="7" s="1"/>
  <c r="L109" i="7"/>
  <c r="L108" i="7"/>
  <c r="S109" i="7"/>
  <c r="T107" i="7"/>
  <c r="Q96" i="6"/>
  <c r="T95" i="7" s="1"/>
  <c r="P96" i="6"/>
  <c r="P95" i="7" s="1"/>
  <c r="P105" i="6"/>
  <c r="J104" i="7" s="1"/>
  <c r="Q105" i="6"/>
  <c r="R104" i="7" s="1"/>
  <c r="P99" i="6"/>
  <c r="J98" i="7" s="1"/>
  <c r="Q99" i="6"/>
  <c r="S98" i="7" s="1"/>
  <c r="P98" i="6"/>
  <c r="J97" i="7" s="1"/>
  <c r="Q98" i="6"/>
  <c r="R97" i="7" s="1"/>
  <c r="Q107" i="6"/>
  <c r="S106" i="7" s="1"/>
  <c r="P107" i="6"/>
  <c r="P106" i="7" s="1"/>
  <c r="P91" i="6"/>
  <c r="P90" i="7" s="1"/>
  <c r="Q91" i="6"/>
  <c r="S90" i="7" s="1"/>
  <c r="P97" i="6"/>
  <c r="J96" i="7" s="1"/>
  <c r="Q97" i="6"/>
  <c r="R96" i="7" s="1"/>
  <c r="Q106" i="6"/>
  <c r="U105" i="7" s="1"/>
  <c r="P95" i="6"/>
  <c r="M94" i="7" s="1"/>
  <c r="Q95" i="6"/>
  <c r="T94" i="7" s="1"/>
  <c r="Q104" i="6"/>
  <c r="U103" i="7" s="1"/>
  <c r="P104" i="6"/>
  <c r="N103" i="7" s="1"/>
  <c r="S95" i="7"/>
  <c r="Q92" i="6"/>
  <c r="R91" i="7" s="1"/>
  <c r="P92" i="6"/>
  <c r="P91" i="7" s="1"/>
  <c r="Q102" i="6"/>
  <c r="S101" i="7" s="1"/>
  <c r="P102" i="6"/>
  <c r="P101" i="7" s="1"/>
  <c r="U94" i="7"/>
  <c r="P106" i="6"/>
  <c r="P105" i="7" s="1"/>
  <c r="Q100" i="6"/>
  <c r="S99" i="7" s="1"/>
  <c r="P100" i="6"/>
  <c r="P99" i="7" s="1"/>
  <c r="P93" i="6"/>
  <c r="P92" i="7" s="1"/>
  <c r="Q93" i="6"/>
  <c r="T92" i="7" s="1"/>
  <c r="Q103" i="6"/>
  <c r="R102" i="7" s="1"/>
  <c r="P103" i="6"/>
  <c r="L102" i="7" s="1"/>
  <c r="M97" i="7"/>
  <c r="Q94" i="6"/>
  <c r="R93" i="7" s="1"/>
  <c r="P94" i="6"/>
  <c r="N93" i="7" s="1"/>
  <c r="Q101" i="6"/>
  <c r="U100" i="7" s="1"/>
  <c r="P101" i="6"/>
  <c r="P100" i="7" s="1"/>
  <c r="P78" i="6"/>
  <c r="P77" i="7" s="1"/>
  <c r="Q78" i="6"/>
  <c r="R77" i="7" s="1"/>
  <c r="P73" i="6"/>
  <c r="K72" i="7" s="1"/>
  <c r="Q73" i="6"/>
  <c r="R72" i="7" s="1"/>
  <c r="P87" i="6"/>
  <c r="J86" i="7" s="1"/>
  <c r="Q87" i="6"/>
  <c r="S86" i="7" s="1"/>
  <c r="P74" i="6"/>
  <c r="J73" i="7" s="1"/>
  <c r="Q74" i="6"/>
  <c r="U73" i="7" s="1"/>
  <c r="P80" i="6"/>
  <c r="P79" i="7" s="1"/>
  <c r="Q80" i="6"/>
  <c r="Q85" i="6"/>
  <c r="S84" i="7" s="1"/>
  <c r="P85" i="6"/>
  <c r="J84" i="7" s="1"/>
  <c r="P77" i="6"/>
  <c r="P76" i="7" s="1"/>
  <c r="Q77" i="6"/>
  <c r="S76" i="7" s="1"/>
  <c r="Q76" i="6"/>
  <c r="R75" i="7" s="1"/>
  <c r="P76" i="6"/>
  <c r="M75" i="7" s="1"/>
  <c r="Q88" i="6"/>
  <c r="U87" i="7" s="1"/>
  <c r="P88" i="6"/>
  <c r="J87" i="7" s="1"/>
  <c r="P79" i="6"/>
  <c r="J78" i="7" s="1"/>
  <c r="Q79" i="6"/>
  <c r="P72" i="6"/>
  <c r="Q72" i="6"/>
  <c r="S71" i="7" s="1"/>
  <c r="Q82" i="6"/>
  <c r="S81" i="7" s="1"/>
  <c r="P82" i="6"/>
  <c r="J81" i="7" s="1"/>
  <c r="P83" i="6"/>
  <c r="J82" i="7" s="1"/>
  <c r="Q83" i="6"/>
  <c r="U82" i="7" s="1"/>
  <c r="P89" i="6"/>
  <c r="P88" i="7" s="1"/>
  <c r="Q89" i="6"/>
  <c r="T88" i="7" s="1"/>
  <c r="P75" i="6"/>
  <c r="P74" i="7" s="1"/>
  <c r="Q75" i="6"/>
  <c r="S74" i="7" s="1"/>
  <c r="P81" i="6"/>
  <c r="M80" i="7" s="1"/>
  <c r="Q81" i="6"/>
  <c r="S80" i="7" s="1"/>
  <c r="P90" i="6"/>
  <c r="P89" i="7" s="1"/>
  <c r="Q90" i="6"/>
  <c r="S89" i="7" s="1"/>
  <c r="P71" i="6"/>
  <c r="L70" i="7" s="1"/>
  <c r="Q71" i="6"/>
  <c r="U70" i="7" s="1"/>
  <c r="P84" i="6"/>
  <c r="J83" i="7" s="1"/>
  <c r="Q84" i="6"/>
  <c r="T83" i="7" s="1"/>
  <c r="Q70" i="6"/>
  <c r="R69" i="7" s="1"/>
  <c r="P70" i="6"/>
  <c r="P69" i="7" s="1"/>
  <c r="Q86" i="6"/>
  <c r="T85" i="7" s="1"/>
  <c r="P86" i="6"/>
  <c r="P85" i="7" s="1"/>
  <c r="P68" i="6"/>
  <c r="P67" i="7" s="1"/>
  <c r="Q68" i="6"/>
  <c r="T67" i="7" s="1"/>
  <c r="P69" i="6"/>
  <c r="P68" i="7" s="1"/>
  <c r="Q69" i="6"/>
  <c r="P65" i="6"/>
  <c r="O64" i="7" s="1"/>
  <c r="Q65" i="6"/>
  <c r="P62" i="6"/>
  <c r="K61" i="7" s="1"/>
  <c r="Q62" i="6"/>
  <c r="U61" i="7" s="1"/>
  <c r="P67" i="6"/>
  <c r="P66" i="7" s="1"/>
  <c r="Q67" i="6"/>
  <c r="U66" i="7" s="1"/>
  <c r="P64" i="6"/>
  <c r="P63" i="7" s="1"/>
  <c r="Q64" i="6"/>
  <c r="R63" i="7" s="1"/>
  <c r="Q63" i="6"/>
  <c r="P63" i="6"/>
  <c r="J62" i="7" s="1"/>
  <c r="Q66" i="6"/>
  <c r="U65" i="7" s="1"/>
  <c r="P66" i="6"/>
  <c r="P65" i="7" s="1"/>
  <c r="A906" i="4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P41" i="6"/>
  <c r="M40" i="7" s="1"/>
  <c r="Q42" i="6"/>
  <c r="U41" i="7" s="1"/>
  <c r="P42" i="6"/>
  <c r="J41" i="7" s="1"/>
  <c r="P57" i="6"/>
  <c r="J56" i="7" s="1"/>
  <c r="Q57" i="6"/>
  <c r="T56" i="7" s="1"/>
  <c r="P58" i="6"/>
  <c r="P57" i="7" s="1"/>
  <c r="Q58" i="6"/>
  <c r="T57" i="7" s="1"/>
  <c r="P49" i="6"/>
  <c r="P48" i="7" s="1"/>
  <c r="Q49" i="6"/>
  <c r="Q43" i="6"/>
  <c r="U42" i="7" s="1"/>
  <c r="P43" i="6"/>
  <c r="P42" i="7" s="1"/>
  <c r="P51" i="6"/>
  <c r="P50" i="7" s="1"/>
  <c r="Q51" i="6"/>
  <c r="T50" i="7" s="1"/>
  <c r="P47" i="6"/>
  <c r="P46" i="7" s="1"/>
  <c r="Q47" i="6"/>
  <c r="P46" i="6"/>
  <c r="P45" i="7" s="1"/>
  <c r="Q46" i="6"/>
  <c r="T45" i="7" s="1"/>
  <c r="P55" i="6"/>
  <c r="O54" i="7" s="1"/>
  <c r="Q55" i="6"/>
  <c r="R54" i="7" s="1"/>
  <c r="Q41" i="6"/>
  <c r="S40" i="7" s="1"/>
  <c r="Q48" i="6"/>
  <c r="R47" i="7" s="1"/>
  <c r="P48" i="6"/>
  <c r="P47" i="7" s="1"/>
  <c r="Q52" i="6"/>
  <c r="T51" i="7" s="1"/>
  <c r="P52" i="6"/>
  <c r="P51" i="7" s="1"/>
  <c r="P61" i="6"/>
  <c r="P60" i="7" s="1"/>
  <c r="Q61" i="6"/>
  <c r="S60" i="7" s="1"/>
  <c r="Q59" i="6"/>
  <c r="R58" i="7" s="1"/>
  <c r="P59" i="6"/>
  <c r="O58" i="7" s="1"/>
  <c r="P56" i="6"/>
  <c r="N55" i="7" s="1"/>
  <c r="Q56" i="6"/>
  <c r="Q50" i="6"/>
  <c r="P50" i="6"/>
  <c r="K49" i="7" s="1"/>
  <c r="Q44" i="6"/>
  <c r="T43" i="7" s="1"/>
  <c r="P44" i="6"/>
  <c r="P43" i="7" s="1"/>
  <c r="P53" i="6"/>
  <c r="L52" i="7" s="1"/>
  <c r="Q53" i="6"/>
  <c r="T52" i="7" s="1"/>
  <c r="P45" i="6"/>
  <c r="J44" i="7" s="1"/>
  <c r="Q45" i="6"/>
  <c r="S44" i="7" s="1"/>
  <c r="P60" i="6"/>
  <c r="P59" i="7" s="1"/>
  <c r="Q60" i="6"/>
  <c r="P54" i="6"/>
  <c r="M53" i="7" s="1"/>
  <c r="Q54" i="6"/>
  <c r="R53" i="7" s="1"/>
  <c r="P37" i="6"/>
  <c r="P36" i="7" s="1"/>
  <c r="AD312" i="18"/>
  <c r="AR312" i="18"/>
  <c r="Q37" i="6"/>
  <c r="R36" i="7" s="1"/>
  <c r="P38" i="6"/>
  <c r="P37" i="7" s="1"/>
  <c r="Q38" i="6"/>
  <c r="U37" i="7" s="1"/>
  <c r="P40" i="6"/>
  <c r="P39" i="7" s="1"/>
  <c r="Q40" i="6"/>
  <c r="U39" i="7" s="1"/>
  <c r="P39" i="6"/>
  <c r="P38" i="7" s="1"/>
  <c r="Q39" i="6"/>
  <c r="Q31" i="6"/>
  <c r="R30" i="7" s="1"/>
  <c r="P31" i="6"/>
  <c r="P30" i="7" s="1"/>
  <c r="P32" i="6"/>
  <c r="P31" i="7" s="1"/>
  <c r="Q32" i="6"/>
  <c r="U31" i="7" s="1"/>
  <c r="Q33" i="6"/>
  <c r="U32" i="7" s="1"/>
  <c r="P33" i="6"/>
  <c r="P32" i="7" s="1"/>
  <c r="P34" i="6"/>
  <c r="K33" i="7" s="1"/>
  <c r="Q34" i="6"/>
  <c r="U33" i="7" s="1"/>
  <c r="Q35" i="6"/>
  <c r="U34" i="7" s="1"/>
  <c r="P35" i="6"/>
  <c r="P34" i="7" s="1"/>
  <c r="P36" i="6"/>
  <c r="L35" i="7" s="1"/>
  <c r="Q36" i="6"/>
  <c r="S35" i="7" s="1"/>
  <c r="Q23" i="6"/>
  <c r="S22" i="7" s="1"/>
  <c r="P24" i="6"/>
  <c r="P23" i="7" s="1"/>
  <c r="Q24" i="6"/>
  <c r="T23" i="7" s="1"/>
  <c r="Q25" i="6"/>
  <c r="T24" i="7" s="1"/>
  <c r="P28" i="6"/>
  <c r="P27" i="7" s="1"/>
  <c r="P30" i="6"/>
  <c r="P29" i="7" s="1"/>
  <c r="Q30" i="6"/>
  <c r="Q28" i="6"/>
  <c r="P25" i="6"/>
  <c r="M24" i="7" s="1"/>
  <c r="P27" i="6"/>
  <c r="N26" i="7" s="1"/>
  <c r="Q27" i="6"/>
  <c r="S26" i="7" s="1"/>
  <c r="P29" i="6"/>
  <c r="P28" i="7" s="1"/>
  <c r="Q29" i="6"/>
  <c r="U28" i="7" s="1"/>
  <c r="Q26" i="6"/>
  <c r="P26" i="6"/>
  <c r="P25" i="7" s="1"/>
  <c r="N22" i="7"/>
  <c r="M22" i="7"/>
  <c r="L22" i="7"/>
  <c r="K22" i="7"/>
  <c r="P19" i="6"/>
  <c r="J18" i="7" s="1"/>
  <c r="O22" i="7"/>
  <c r="J22" i="7"/>
  <c r="Q19" i="6"/>
  <c r="T18" i="7" s="1"/>
  <c r="Q20" i="6"/>
  <c r="U19" i="7" s="1"/>
  <c r="P20" i="6"/>
  <c r="P19" i="7" s="1"/>
  <c r="Q21" i="6"/>
  <c r="T20" i="7" s="1"/>
  <c r="P21" i="6"/>
  <c r="P22" i="6"/>
  <c r="P21" i="7" s="1"/>
  <c r="Q22" i="6"/>
  <c r="AG312" i="18"/>
  <c r="AH312" i="18"/>
  <c r="AE312" i="18"/>
  <c r="AC312" i="18"/>
  <c r="AF312" i="18"/>
  <c r="Q16" i="6"/>
  <c r="T15" i="7" s="1"/>
  <c r="P16" i="6"/>
  <c r="P15" i="7" s="1"/>
  <c r="P17" i="6"/>
  <c r="P16" i="7" s="1"/>
  <c r="Q17" i="6"/>
  <c r="S16" i="7" s="1"/>
  <c r="P18" i="6"/>
  <c r="P17" i="7" s="1"/>
  <c r="Q18" i="6"/>
  <c r="T17" i="7" s="1"/>
  <c r="P14" i="6"/>
  <c r="P13" i="7" s="1"/>
  <c r="P15" i="6"/>
  <c r="J14" i="7" s="1"/>
  <c r="Q15" i="6"/>
  <c r="Q14" i="6"/>
  <c r="Q9" i="6"/>
  <c r="U8" i="7" s="1"/>
  <c r="P9" i="6"/>
  <c r="J8" i="7" s="1"/>
  <c r="Q11" i="6"/>
  <c r="S10" i="7" s="1"/>
  <c r="P11" i="6"/>
  <c r="P10" i="7" s="1"/>
  <c r="P10" i="6"/>
  <c r="P9" i="7" s="1"/>
  <c r="Q10" i="6"/>
  <c r="U9" i="7" s="1"/>
  <c r="Q8" i="6"/>
  <c r="U7" i="7" s="1"/>
  <c r="P8" i="6"/>
  <c r="P7" i="7" s="1"/>
  <c r="P12" i="6"/>
  <c r="P11" i="7" s="1"/>
  <c r="Q12" i="6"/>
  <c r="R11" i="7" s="1"/>
  <c r="P13" i="6"/>
  <c r="P12" i="7" s="1"/>
  <c r="Q13" i="6"/>
  <c r="U12" i="7" s="1"/>
  <c r="P3" i="6"/>
  <c r="P2" i="7" s="1"/>
  <c r="Q3" i="6"/>
  <c r="P6" i="6"/>
  <c r="P5" i="7" s="1"/>
  <c r="Q6" i="6"/>
  <c r="Q4" i="6"/>
  <c r="S3" i="7" s="1"/>
  <c r="P4" i="6"/>
  <c r="P3" i="7" s="1"/>
  <c r="P7" i="6"/>
  <c r="P6" i="7" s="1"/>
  <c r="Q7" i="6"/>
  <c r="Q5" i="6"/>
  <c r="P5" i="6"/>
  <c r="P4" i="7" s="1"/>
  <c r="B11" i="10"/>
  <c r="A314" i="18"/>
  <c r="C313" i="18"/>
  <c r="B313" i="18"/>
  <c r="E313" i="18"/>
  <c r="D313" i="18"/>
  <c r="M108" i="7" l="1"/>
  <c r="L95" i="7"/>
  <c r="K97" i="7"/>
  <c r="R109" i="7"/>
  <c r="U109" i="7"/>
  <c r="S91" i="7"/>
  <c r="L98" i="7"/>
  <c r="N108" i="7"/>
  <c r="Q107" i="7"/>
  <c r="K108" i="7"/>
  <c r="K107" i="7"/>
  <c r="M107" i="7"/>
  <c r="L107" i="7"/>
  <c r="O107" i="7"/>
  <c r="R110" i="7"/>
  <c r="J110" i="7"/>
  <c r="O110" i="7"/>
  <c r="S110" i="7"/>
  <c r="L110" i="7"/>
  <c r="U110" i="7"/>
  <c r="M110" i="7"/>
  <c r="N110" i="7"/>
  <c r="K110" i="7"/>
  <c r="Q110" i="7"/>
  <c r="T98" i="7"/>
  <c r="R98" i="7"/>
  <c r="R108" i="7"/>
  <c r="O109" i="7"/>
  <c r="U98" i="7"/>
  <c r="T108" i="7"/>
  <c r="Q108" i="7"/>
  <c r="M92" i="7"/>
  <c r="T90" i="7"/>
  <c r="L104" i="7"/>
  <c r="K109" i="7"/>
  <c r="J108" i="7"/>
  <c r="P108" i="7"/>
  <c r="K104" i="7"/>
  <c r="M98" i="7"/>
  <c r="R103" i="7"/>
  <c r="N109" i="7"/>
  <c r="P109" i="7"/>
  <c r="T77" i="7"/>
  <c r="M95" i="7"/>
  <c r="M109" i="7"/>
  <c r="S108" i="7"/>
  <c r="S107" i="7"/>
  <c r="N107" i="7"/>
  <c r="P107" i="7"/>
  <c r="Q109" i="7"/>
  <c r="O103" i="7"/>
  <c r="R105" i="7"/>
  <c r="T105" i="7"/>
  <c r="S97" i="7"/>
  <c r="T97" i="7"/>
  <c r="U91" i="7"/>
  <c r="N97" i="7"/>
  <c r="M104" i="7"/>
  <c r="N104" i="7"/>
  <c r="O101" i="7"/>
  <c r="M91" i="7"/>
  <c r="M106" i="7"/>
  <c r="T106" i="7"/>
  <c r="S92" i="7"/>
  <c r="J100" i="7"/>
  <c r="U93" i="7"/>
  <c r="J99" i="7"/>
  <c r="O94" i="7"/>
  <c r="U104" i="7"/>
  <c r="T100" i="7"/>
  <c r="Q106" i="7"/>
  <c r="N106" i="7"/>
  <c r="N101" i="7"/>
  <c r="J91" i="7"/>
  <c r="R99" i="7"/>
  <c r="O106" i="7"/>
  <c r="K99" i="7"/>
  <c r="R101" i="7"/>
  <c r="U106" i="7"/>
  <c r="O91" i="7"/>
  <c r="N90" i="7"/>
  <c r="L97" i="7"/>
  <c r="N92" i="7"/>
  <c r="N98" i="7"/>
  <c r="T96" i="7"/>
  <c r="N102" i="7"/>
  <c r="L106" i="7"/>
  <c r="J106" i="7"/>
  <c r="M101" i="7"/>
  <c r="S105" i="7"/>
  <c r="O99" i="7"/>
  <c r="M90" i="7"/>
  <c r="K91" i="7"/>
  <c r="O95" i="7"/>
  <c r="N95" i="7"/>
  <c r="R106" i="7"/>
  <c r="K106" i="7"/>
  <c r="T93" i="7"/>
  <c r="Q93" i="7"/>
  <c r="U99" i="7"/>
  <c r="K90" i="7"/>
  <c r="J101" i="7"/>
  <c r="Q103" i="7"/>
  <c r="L94" i="7"/>
  <c r="N96" i="7"/>
  <c r="J90" i="7"/>
  <c r="L101" i="7"/>
  <c r="T102" i="7"/>
  <c r="S103" i="7"/>
  <c r="U96" i="7"/>
  <c r="K95" i="7"/>
  <c r="K103" i="7"/>
  <c r="M99" i="7"/>
  <c r="J94" i="7"/>
  <c r="M102" i="7"/>
  <c r="U95" i="7"/>
  <c r="Q90" i="7"/>
  <c r="R90" i="7"/>
  <c r="U97" i="7"/>
  <c r="Q97" i="7"/>
  <c r="Q98" i="7"/>
  <c r="O96" i="7"/>
  <c r="L105" i="7"/>
  <c r="J102" i="7"/>
  <c r="P102" i="7"/>
  <c r="Q101" i="7"/>
  <c r="O105" i="7"/>
  <c r="R94" i="7"/>
  <c r="Q94" i="7"/>
  <c r="S102" i="7"/>
  <c r="L90" i="7"/>
  <c r="O97" i="7"/>
  <c r="P97" i="7"/>
  <c r="K98" i="7"/>
  <c r="P98" i="7"/>
  <c r="S94" i="7"/>
  <c r="L93" i="7"/>
  <c r="Q102" i="7"/>
  <c r="N94" i="7"/>
  <c r="P94" i="7"/>
  <c r="S96" i="7"/>
  <c r="Q105" i="7"/>
  <c r="K102" i="7"/>
  <c r="S100" i="7"/>
  <c r="K105" i="7"/>
  <c r="R100" i="7"/>
  <c r="S104" i="7"/>
  <c r="Q104" i="7"/>
  <c r="O93" i="7"/>
  <c r="P93" i="7"/>
  <c r="L103" i="7"/>
  <c r="P103" i="7"/>
  <c r="T101" i="7"/>
  <c r="J92" i="7"/>
  <c r="O90" i="7"/>
  <c r="K101" i="7"/>
  <c r="M96" i="7"/>
  <c r="J105" i="7"/>
  <c r="K93" i="7"/>
  <c r="M100" i="7"/>
  <c r="K96" i="7"/>
  <c r="L100" i="7"/>
  <c r="T103" i="7"/>
  <c r="O104" i="7"/>
  <c r="P104" i="7"/>
  <c r="U102" i="7"/>
  <c r="M103" i="7"/>
  <c r="N100" i="7"/>
  <c r="Q100" i="7"/>
  <c r="U92" i="7"/>
  <c r="Q92" i="7"/>
  <c r="Q99" i="7"/>
  <c r="N105" i="7"/>
  <c r="O100" i="7"/>
  <c r="T91" i="7"/>
  <c r="Q91" i="7"/>
  <c r="U90" i="7"/>
  <c r="K92" i="7"/>
  <c r="T104" i="7"/>
  <c r="T99" i="7"/>
  <c r="M93" i="7"/>
  <c r="O98" i="7"/>
  <c r="K94" i="7"/>
  <c r="R92" i="7"/>
  <c r="N91" i="7"/>
  <c r="J95" i="7"/>
  <c r="O102" i="7"/>
  <c r="L96" i="7"/>
  <c r="P96" i="7"/>
  <c r="R95" i="7"/>
  <c r="Q95" i="7"/>
  <c r="J93" i="7"/>
  <c r="M105" i="7"/>
  <c r="K100" i="7"/>
  <c r="J103" i="7"/>
  <c r="L99" i="7"/>
  <c r="Q96" i="7"/>
  <c r="N99" i="7"/>
  <c r="S93" i="7"/>
  <c r="L91" i="7"/>
  <c r="L92" i="7"/>
  <c r="U101" i="7"/>
  <c r="O92" i="7"/>
  <c r="L82" i="7"/>
  <c r="T86" i="7"/>
  <c r="U86" i="7"/>
  <c r="U75" i="7"/>
  <c r="T84" i="7"/>
  <c r="R84" i="7"/>
  <c r="O73" i="7"/>
  <c r="K73" i="7"/>
  <c r="M73" i="7"/>
  <c r="O72" i="7"/>
  <c r="M86" i="7"/>
  <c r="R86" i="7"/>
  <c r="K78" i="7"/>
  <c r="K74" i="7"/>
  <c r="K86" i="7"/>
  <c r="O69" i="7"/>
  <c r="K40" i="7"/>
  <c r="L76" i="7"/>
  <c r="K82" i="7"/>
  <c r="O86" i="7"/>
  <c r="U81" i="7"/>
  <c r="J69" i="7"/>
  <c r="N84" i="7"/>
  <c r="T75" i="7"/>
  <c r="N73" i="7"/>
  <c r="S77" i="7"/>
  <c r="N82" i="7"/>
  <c r="S85" i="7"/>
  <c r="N75" i="7"/>
  <c r="O75" i="7"/>
  <c r="R73" i="7"/>
  <c r="J75" i="7"/>
  <c r="U72" i="7"/>
  <c r="M84" i="7"/>
  <c r="S88" i="7"/>
  <c r="N88" i="7"/>
  <c r="O74" i="7"/>
  <c r="L89" i="7"/>
  <c r="K70" i="7"/>
  <c r="J40" i="7"/>
  <c r="R87" i="7"/>
  <c r="T72" i="7"/>
  <c r="O77" i="7"/>
  <c r="U88" i="7"/>
  <c r="M74" i="7"/>
  <c r="L77" i="7"/>
  <c r="M89" i="7"/>
  <c r="M78" i="7"/>
  <c r="R80" i="7"/>
  <c r="R81" i="7"/>
  <c r="Q89" i="7"/>
  <c r="T76" i="7"/>
  <c r="K88" i="7"/>
  <c r="M82" i="7"/>
  <c r="J77" i="7"/>
  <c r="J89" i="7"/>
  <c r="L40" i="7"/>
  <c r="N77" i="7"/>
  <c r="M77" i="7"/>
  <c r="K89" i="7"/>
  <c r="O81" i="7"/>
  <c r="S72" i="7"/>
  <c r="O40" i="7"/>
  <c r="J88" i="7"/>
  <c r="L84" i="7"/>
  <c r="T81" i="7"/>
  <c r="N78" i="7"/>
  <c r="U74" i="7"/>
  <c r="R89" i="7"/>
  <c r="P40" i="7"/>
  <c r="N40" i="7"/>
  <c r="U45" i="7"/>
  <c r="Q82" i="7"/>
  <c r="T89" i="7"/>
  <c r="O89" i="7"/>
  <c r="M81" i="7"/>
  <c r="R76" i="7"/>
  <c r="Q78" i="7"/>
  <c r="S78" i="7"/>
  <c r="N89" i="7"/>
  <c r="U89" i="7"/>
  <c r="R79" i="7"/>
  <c r="Q79" i="7"/>
  <c r="J71" i="7"/>
  <c r="P71" i="7"/>
  <c r="N87" i="7"/>
  <c r="P87" i="7"/>
  <c r="L79" i="7"/>
  <c r="J85" i="7"/>
  <c r="L87" i="7"/>
  <c r="K83" i="7"/>
  <c r="T70" i="7"/>
  <c r="T80" i="7"/>
  <c r="Q80" i="7"/>
  <c r="U71" i="7"/>
  <c r="Q88" i="7"/>
  <c r="N85" i="7"/>
  <c r="M85" i="7"/>
  <c r="M72" i="7"/>
  <c r="O78" i="7"/>
  <c r="P78" i="7"/>
  <c r="T87" i="7"/>
  <c r="Q87" i="7"/>
  <c r="R70" i="7"/>
  <c r="U79" i="7"/>
  <c r="S82" i="7"/>
  <c r="O70" i="7"/>
  <c r="U77" i="7"/>
  <c r="Q77" i="7"/>
  <c r="M87" i="7"/>
  <c r="Q85" i="7"/>
  <c r="U78" i="7"/>
  <c r="K71" i="7"/>
  <c r="T79" i="7"/>
  <c r="J80" i="7"/>
  <c r="P80" i="7"/>
  <c r="O71" i="7"/>
  <c r="N76" i="7"/>
  <c r="K80" i="7"/>
  <c r="K76" i="7"/>
  <c r="O79" i="7"/>
  <c r="T73" i="7"/>
  <c r="Q73" i="7"/>
  <c r="S87" i="7"/>
  <c r="S70" i="7"/>
  <c r="Q70" i="7"/>
  <c r="O87" i="7"/>
  <c r="S83" i="7"/>
  <c r="Q83" i="7"/>
  <c r="K69" i="7"/>
  <c r="M71" i="7"/>
  <c r="N79" i="7"/>
  <c r="J74" i="7"/>
  <c r="T82" i="7"/>
  <c r="O82" i="7"/>
  <c r="P82" i="7"/>
  <c r="K77" i="7"/>
  <c r="N81" i="7"/>
  <c r="L74" i="7"/>
  <c r="T78" i="7"/>
  <c r="L75" i="7"/>
  <c r="P75" i="7"/>
  <c r="L78" i="7"/>
  <c r="L73" i="7"/>
  <c r="P73" i="7"/>
  <c r="N86" i="7"/>
  <c r="K75" i="7"/>
  <c r="N70" i="7"/>
  <c r="P70" i="7"/>
  <c r="L80" i="7"/>
  <c r="R82" i="7"/>
  <c r="U85" i="7"/>
  <c r="T74" i="7"/>
  <c r="Q74" i="7"/>
  <c r="M88" i="7"/>
  <c r="R85" i="7"/>
  <c r="N74" i="7"/>
  <c r="S79" i="7"/>
  <c r="R74" i="7"/>
  <c r="N71" i="7"/>
  <c r="S75" i="7"/>
  <c r="Q75" i="7"/>
  <c r="R78" i="7"/>
  <c r="K84" i="7"/>
  <c r="P84" i="7"/>
  <c r="Q86" i="7"/>
  <c r="R88" i="7"/>
  <c r="M76" i="7"/>
  <c r="T71" i="7"/>
  <c r="Q71" i="7"/>
  <c r="U69" i="7"/>
  <c r="Q69" i="7"/>
  <c r="R71" i="7"/>
  <c r="N83" i="7"/>
  <c r="P83" i="7"/>
  <c r="O85" i="7"/>
  <c r="L85" i="7"/>
  <c r="U83" i="7"/>
  <c r="K81" i="7"/>
  <c r="P81" i="7"/>
  <c r="M79" i="7"/>
  <c r="U80" i="7"/>
  <c r="O84" i="7"/>
  <c r="J76" i="7"/>
  <c r="M83" i="7"/>
  <c r="U84" i="7"/>
  <c r="Q84" i="7"/>
  <c r="R83" i="7"/>
  <c r="N69" i="7"/>
  <c r="L86" i="7"/>
  <c r="P86" i="7"/>
  <c r="L88" i="7"/>
  <c r="S69" i="7"/>
  <c r="J72" i="7"/>
  <c r="P72" i="7"/>
  <c r="K85" i="7"/>
  <c r="L71" i="7"/>
  <c r="N72" i="7"/>
  <c r="J70" i="7"/>
  <c r="L81" i="7"/>
  <c r="K79" i="7"/>
  <c r="K87" i="7"/>
  <c r="S73" i="7"/>
  <c r="O88" i="7"/>
  <c r="O83" i="7"/>
  <c r="Q81" i="7"/>
  <c r="L72" i="7"/>
  <c r="N80" i="7"/>
  <c r="O80" i="7"/>
  <c r="O76" i="7"/>
  <c r="U76" i="7"/>
  <c r="Q76" i="7"/>
  <c r="M70" i="7"/>
  <c r="J79" i="7"/>
  <c r="L83" i="7"/>
  <c r="T69" i="7"/>
  <c r="Q72" i="7"/>
  <c r="L69" i="7"/>
  <c r="M69" i="7"/>
  <c r="N41" i="7"/>
  <c r="T41" i="7"/>
  <c r="Q67" i="7"/>
  <c r="K67" i="7"/>
  <c r="U67" i="7"/>
  <c r="O67" i="7"/>
  <c r="Q68" i="7"/>
  <c r="N67" i="7"/>
  <c r="M63" i="7"/>
  <c r="N61" i="7"/>
  <c r="L67" i="7"/>
  <c r="S67" i="7"/>
  <c r="K41" i="7"/>
  <c r="U68" i="7"/>
  <c r="R67" i="7"/>
  <c r="M67" i="7"/>
  <c r="K63" i="7"/>
  <c r="O68" i="7"/>
  <c r="N68" i="7"/>
  <c r="J68" i="7"/>
  <c r="S68" i="7"/>
  <c r="T66" i="7"/>
  <c r="U56" i="7"/>
  <c r="O65" i="7"/>
  <c r="R61" i="7"/>
  <c r="R68" i="7"/>
  <c r="T68" i="7"/>
  <c r="J67" i="7"/>
  <c r="L68" i="7"/>
  <c r="M68" i="7"/>
  <c r="K68" i="7"/>
  <c r="S61" i="7"/>
  <c r="M61" i="7"/>
  <c r="O56" i="7"/>
  <c r="L56" i="7"/>
  <c r="O45" i="7"/>
  <c r="J51" i="7"/>
  <c r="T42" i="7"/>
  <c r="L61" i="7"/>
  <c r="Q64" i="7"/>
  <c r="R50" i="7"/>
  <c r="O63" i="7"/>
  <c r="L62" i="7"/>
  <c r="O66" i="7"/>
  <c r="N66" i="7"/>
  <c r="S56" i="7"/>
  <c r="U63" i="7"/>
  <c r="Q65" i="7"/>
  <c r="J61" i="7"/>
  <c r="L65" i="7"/>
  <c r="K62" i="7"/>
  <c r="Q61" i="7"/>
  <c r="T63" i="7"/>
  <c r="J66" i="7"/>
  <c r="O62" i="7"/>
  <c r="S50" i="7"/>
  <c r="S63" i="7"/>
  <c r="Q66" i="7"/>
  <c r="K66" i="7"/>
  <c r="M65" i="7"/>
  <c r="L41" i="7"/>
  <c r="T65" i="7"/>
  <c r="L64" i="7"/>
  <c r="M64" i="7"/>
  <c r="K65" i="7"/>
  <c r="L63" i="7"/>
  <c r="N62" i="7"/>
  <c r="P62" i="7"/>
  <c r="N65" i="7"/>
  <c r="R64" i="7"/>
  <c r="T61" i="7"/>
  <c r="S64" i="7"/>
  <c r="U64" i="7"/>
  <c r="N63" i="7"/>
  <c r="U62" i="7"/>
  <c r="Q62" i="7"/>
  <c r="T62" i="7"/>
  <c r="J64" i="7"/>
  <c r="P64" i="7"/>
  <c r="R42" i="7"/>
  <c r="S42" i="7"/>
  <c r="J65" i="7"/>
  <c r="J63" i="7"/>
  <c r="M62" i="7"/>
  <c r="M66" i="7"/>
  <c r="R66" i="7"/>
  <c r="Q63" i="7"/>
  <c r="O61" i="7"/>
  <c r="P61" i="7"/>
  <c r="S62" i="7"/>
  <c r="S66" i="7"/>
  <c r="L66" i="7"/>
  <c r="K64" i="7"/>
  <c r="T64" i="7"/>
  <c r="R65" i="7"/>
  <c r="S65" i="7"/>
  <c r="R62" i="7"/>
  <c r="N64" i="7"/>
  <c r="L42" i="7"/>
  <c r="T53" i="7"/>
  <c r="N51" i="7"/>
  <c r="M48" i="7"/>
  <c r="J43" i="7"/>
  <c r="Q48" i="7"/>
  <c r="L57" i="7"/>
  <c r="N56" i="7"/>
  <c r="N45" i="7"/>
  <c r="K57" i="7"/>
  <c r="O47" i="7"/>
  <c r="S57" i="7"/>
  <c r="N46" i="7"/>
  <c r="K42" i="7"/>
  <c r="M57" i="7"/>
  <c r="M47" i="7"/>
  <c r="R57" i="7"/>
  <c r="U57" i="7"/>
  <c r="S52" i="7"/>
  <c r="T58" i="7"/>
  <c r="J58" i="7"/>
  <c r="T60" i="7"/>
  <c r="M60" i="7"/>
  <c r="N53" i="7"/>
  <c r="U47" i="7"/>
  <c r="N42" i="7"/>
  <c r="J42" i="7"/>
  <c r="Q60" i="7"/>
  <c r="M45" i="7"/>
  <c r="J45" i="7"/>
  <c r="L60" i="7"/>
  <c r="S47" i="7"/>
  <c r="R52" i="7"/>
  <c r="M50" i="7"/>
  <c r="R60" i="7"/>
  <c r="Q59" i="7"/>
  <c r="S43" i="7"/>
  <c r="M46" i="7"/>
  <c r="U60" i="7"/>
  <c r="S51" i="7"/>
  <c r="J59" i="7"/>
  <c r="R41" i="7"/>
  <c r="R44" i="7"/>
  <c r="K45" i="7"/>
  <c r="J46" i="7"/>
  <c r="N48" i="7"/>
  <c r="J60" i="7"/>
  <c r="O60" i="7"/>
  <c r="O42" i="7"/>
  <c r="L44" i="7"/>
  <c r="Q46" i="7"/>
  <c r="N60" i="7"/>
  <c r="K60" i="7"/>
  <c r="U54" i="7"/>
  <c r="Q54" i="7"/>
  <c r="J53" i="7"/>
  <c r="P53" i="7"/>
  <c r="T46" i="7"/>
  <c r="N52" i="7"/>
  <c r="P52" i="7"/>
  <c r="M52" i="7"/>
  <c r="J49" i="7"/>
  <c r="M59" i="7"/>
  <c r="O44" i="7"/>
  <c r="K48" i="7"/>
  <c r="J54" i="7"/>
  <c r="Q50" i="7"/>
  <c r="T48" i="7"/>
  <c r="J48" i="7"/>
  <c r="S46" i="7"/>
  <c r="L50" i="7"/>
  <c r="M58" i="7"/>
  <c r="O48" i="7"/>
  <c r="R43" i="7"/>
  <c r="Q43" i="7"/>
  <c r="R55" i="7"/>
  <c r="Q55" i="7"/>
  <c r="N44" i="7"/>
  <c r="M43" i="7"/>
  <c r="S58" i="7"/>
  <c r="Q58" i="7"/>
  <c r="U59" i="7"/>
  <c r="U51" i="7"/>
  <c r="Q51" i="7"/>
  <c r="T54" i="7"/>
  <c r="L49" i="7"/>
  <c r="U55" i="7"/>
  <c r="S53" i="7"/>
  <c r="K53" i="7"/>
  <c r="L47" i="7"/>
  <c r="O51" i="7"/>
  <c r="M56" i="7"/>
  <c r="P56" i="7"/>
  <c r="R49" i="7"/>
  <c r="Q49" i="7"/>
  <c r="N58" i="7"/>
  <c r="R40" i="7"/>
  <c r="Q40" i="7"/>
  <c r="L43" i="7"/>
  <c r="U48" i="7"/>
  <c r="M49" i="7"/>
  <c r="T59" i="7"/>
  <c r="R48" i="7"/>
  <c r="J55" i="7"/>
  <c r="P55" i="7"/>
  <c r="U58" i="7"/>
  <c r="O59" i="7"/>
  <c r="J47" i="7"/>
  <c r="N54" i="7"/>
  <c r="S45" i="7"/>
  <c r="Q45" i="7"/>
  <c r="R59" i="7"/>
  <c r="O55" i="7"/>
  <c r="Q42" i="7"/>
  <c r="U50" i="7"/>
  <c r="L51" i="7"/>
  <c r="O41" i="7"/>
  <c r="U40" i="7"/>
  <c r="S54" i="7"/>
  <c r="T44" i="7"/>
  <c r="Q44" i="7"/>
  <c r="S49" i="7"/>
  <c r="N59" i="7"/>
  <c r="L48" i="7"/>
  <c r="K51" i="7"/>
  <c r="L53" i="7"/>
  <c r="U46" i="7"/>
  <c r="L55" i="7"/>
  <c r="N47" i="7"/>
  <c r="L59" i="7"/>
  <c r="O50" i="7"/>
  <c r="U49" i="7"/>
  <c r="R51" i="7"/>
  <c r="M41" i="7"/>
  <c r="P41" i="7"/>
  <c r="O49" i="7"/>
  <c r="P49" i="7"/>
  <c r="L54" i="7"/>
  <c r="P54" i="7"/>
  <c r="T40" i="7"/>
  <c r="M54" i="7"/>
  <c r="M44" i="7"/>
  <c r="P44" i="7"/>
  <c r="J52" i="7"/>
  <c r="N49" i="7"/>
  <c r="O43" i="7"/>
  <c r="K44" i="7"/>
  <c r="L46" i="7"/>
  <c r="O52" i="7"/>
  <c r="K54" i="7"/>
  <c r="O46" i="7"/>
  <c r="Q47" i="7"/>
  <c r="M42" i="7"/>
  <c r="K59" i="7"/>
  <c r="T47" i="7"/>
  <c r="M55" i="7"/>
  <c r="O57" i="7"/>
  <c r="K56" i="7"/>
  <c r="O53" i="7"/>
  <c r="R45" i="7"/>
  <c r="J57" i="7"/>
  <c r="S41" i="7"/>
  <c r="Q41" i="7"/>
  <c r="S48" i="7"/>
  <c r="K58" i="7"/>
  <c r="P58" i="7"/>
  <c r="R56" i="7"/>
  <c r="Q56" i="7"/>
  <c r="N43" i="7"/>
  <c r="M51" i="7"/>
  <c r="Q53" i="7"/>
  <c r="K47" i="7"/>
  <c r="U52" i="7"/>
  <c r="Q52" i="7"/>
  <c r="T49" i="7"/>
  <c r="U43" i="7"/>
  <c r="T55" i="7"/>
  <c r="R46" i="7"/>
  <c r="K50" i="7"/>
  <c r="K55" i="7"/>
  <c r="S59" i="7"/>
  <c r="U44" i="7"/>
  <c r="K52" i="7"/>
  <c r="L58" i="7"/>
  <c r="N50" i="7"/>
  <c r="S55" i="7"/>
  <c r="J50" i="7"/>
  <c r="K43" i="7"/>
  <c r="U53" i="7"/>
  <c r="N57" i="7"/>
  <c r="L45" i="7"/>
  <c r="Q57" i="7"/>
  <c r="K46" i="7"/>
  <c r="L36" i="7"/>
  <c r="N36" i="7"/>
  <c r="T37" i="7"/>
  <c r="T36" i="7"/>
  <c r="K38" i="7"/>
  <c r="O36" i="7"/>
  <c r="J38" i="7"/>
  <c r="J36" i="7"/>
  <c r="K36" i="7"/>
  <c r="Q36" i="7"/>
  <c r="M36" i="7"/>
  <c r="L39" i="7"/>
  <c r="R39" i="7"/>
  <c r="M37" i="7"/>
  <c r="S39" i="7"/>
  <c r="AD313" i="18"/>
  <c r="AR313" i="18"/>
  <c r="O38" i="7"/>
  <c r="M39" i="7"/>
  <c r="K37" i="7"/>
  <c r="O39" i="7"/>
  <c r="Q39" i="7"/>
  <c r="J39" i="7"/>
  <c r="N39" i="7"/>
  <c r="S36" i="7"/>
  <c r="T39" i="7"/>
  <c r="U36" i="7"/>
  <c r="K39" i="7"/>
  <c r="S37" i="7"/>
  <c r="O37" i="7"/>
  <c r="L37" i="7"/>
  <c r="U38" i="7"/>
  <c r="Q38" i="7"/>
  <c r="N37" i="7"/>
  <c r="N38" i="7"/>
  <c r="R38" i="7"/>
  <c r="T38" i="7"/>
  <c r="S38" i="7"/>
  <c r="L38" i="7"/>
  <c r="J37" i="7"/>
  <c r="M38" i="7"/>
  <c r="R37" i="7"/>
  <c r="Q37" i="7"/>
  <c r="U22" i="7"/>
  <c r="T22" i="7"/>
  <c r="M35" i="7"/>
  <c r="Q35" i="7"/>
  <c r="U35" i="7"/>
  <c r="R35" i="7"/>
  <c r="T35" i="7"/>
  <c r="P35" i="7"/>
  <c r="J35" i="7"/>
  <c r="O35" i="7"/>
  <c r="K35" i="7"/>
  <c r="S30" i="7"/>
  <c r="N35" i="7"/>
  <c r="J30" i="7"/>
  <c r="T32" i="7"/>
  <c r="M33" i="7"/>
  <c r="R32" i="7"/>
  <c r="N30" i="7"/>
  <c r="R22" i="7"/>
  <c r="S31" i="7"/>
  <c r="T30" i="7"/>
  <c r="T31" i="7"/>
  <c r="O32" i="7"/>
  <c r="O30" i="7"/>
  <c r="S32" i="7"/>
  <c r="M34" i="7"/>
  <c r="K34" i="7"/>
  <c r="Q34" i="7"/>
  <c r="N31" i="7"/>
  <c r="S34" i="7"/>
  <c r="K30" i="7"/>
  <c r="R33" i="7"/>
  <c r="Q33" i="7"/>
  <c r="J33" i="7"/>
  <c r="P33" i="7"/>
  <c r="S33" i="7"/>
  <c r="M32" i="7"/>
  <c r="L32" i="7"/>
  <c r="J32" i="7"/>
  <c r="O31" i="7"/>
  <c r="K31" i="7"/>
  <c r="U30" i="7"/>
  <c r="Q30" i="7"/>
  <c r="T33" i="7"/>
  <c r="L33" i="7"/>
  <c r="L34" i="7"/>
  <c r="N33" i="7"/>
  <c r="N32" i="7"/>
  <c r="Q32" i="7"/>
  <c r="K32" i="7"/>
  <c r="R31" i="7"/>
  <c r="Q31" i="7"/>
  <c r="R34" i="7"/>
  <c r="O34" i="7"/>
  <c r="M31" i="7"/>
  <c r="L31" i="7"/>
  <c r="J31" i="7"/>
  <c r="T34" i="7"/>
  <c r="J34" i="7"/>
  <c r="O33" i="7"/>
  <c r="M30" i="7"/>
  <c r="L30" i="7"/>
  <c r="N34" i="7"/>
  <c r="S24" i="7"/>
  <c r="Q22" i="7"/>
  <c r="U24" i="7"/>
  <c r="O27" i="7"/>
  <c r="Q29" i="7"/>
  <c r="M26" i="7"/>
  <c r="K29" i="7"/>
  <c r="R23" i="7"/>
  <c r="R24" i="7"/>
  <c r="T29" i="7"/>
  <c r="O29" i="7"/>
  <c r="M25" i="7"/>
  <c r="J27" i="7"/>
  <c r="N28" i="7"/>
  <c r="K28" i="7"/>
  <c r="U26" i="7"/>
  <c r="Q28" i="7"/>
  <c r="N25" i="7"/>
  <c r="L23" i="7"/>
  <c r="L29" i="7"/>
  <c r="N29" i="7"/>
  <c r="J25" i="7"/>
  <c r="O28" i="7"/>
  <c r="T28" i="7"/>
  <c r="S23" i="7"/>
  <c r="R29" i="7"/>
  <c r="K25" i="7"/>
  <c r="O23" i="7"/>
  <c r="Q25" i="7"/>
  <c r="L25" i="7"/>
  <c r="O25" i="7"/>
  <c r="J29" i="7"/>
  <c r="R26" i="7"/>
  <c r="S25" i="7"/>
  <c r="S29" i="7"/>
  <c r="M29" i="7"/>
  <c r="Q27" i="7"/>
  <c r="N27" i="7"/>
  <c r="K23" i="7"/>
  <c r="U29" i="7"/>
  <c r="J28" i="7"/>
  <c r="L24" i="7"/>
  <c r="L28" i="7"/>
  <c r="O26" i="7"/>
  <c r="U25" i="7"/>
  <c r="M23" i="7"/>
  <c r="T27" i="7"/>
  <c r="N24" i="7"/>
  <c r="R28" i="7"/>
  <c r="L26" i="7"/>
  <c r="J26" i="7"/>
  <c r="S28" i="7"/>
  <c r="K27" i="7"/>
  <c r="Q24" i="7"/>
  <c r="J23" i="7"/>
  <c r="O24" i="7"/>
  <c r="P24" i="7"/>
  <c r="T26" i="7"/>
  <c r="Q26" i="7"/>
  <c r="M28" i="7"/>
  <c r="R27" i="7"/>
  <c r="J24" i="7"/>
  <c r="Q23" i="7"/>
  <c r="N23" i="7"/>
  <c r="U27" i="7"/>
  <c r="K26" i="7"/>
  <c r="P26" i="7"/>
  <c r="T25" i="7"/>
  <c r="L27" i="7"/>
  <c r="S27" i="7"/>
  <c r="U23" i="7"/>
  <c r="R25" i="7"/>
  <c r="K24" i="7"/>
  <c r="M27" i="7"/>
  <c r="R18" i="7"/>
  <c r="M18" i="7"/>
  <c r="L18" i="7"/>
  <c r="S18" i="7"/>
  <c r="O18" i="7"/>
  <c r="S19" i="7"/>
  <c r="N18" i="7"/>
  <c r="K18" i="7"/>
  <c r="M19" i="7"/>
  <c r="Q18" i="7"/>
  <c r="N19" i="7"/>
  <c r="P18" i="7"/>
  <c r="U18" i="7"/>
  <c r="T19" i="7"/>
  <c r="P20" i="7"/>
  <c r="N20" i="7"/>
  <c r="Q21" i="7"/>
  <c r="T21" i="7"/>
  <c r="J21" i="7"/>
  <c r="K19" i="7"/>
  <c r="K21" i="7"/>
  <c r="L21" i="7"/>
  <c r="S20" i="7"/>
  <c r="L19" i="7"/>
  <c r="M21" i="7"/>
  <c r="R21" i="7"/>
  <c r="S21" i="7"/>
  <c r="U21" i="7"/>
  <c r="O19" i="7"/>
  <c r="O21" i="7"/>
  <c r="U20" i="7"/>
  <c r="N21" i="7"/>
  <c r="M20" i="7"/>
  <c r="O20" i="7"/>
  <c r="K20" i="7"/>
  <c r="J19" i="7"/>
  <c r="J20" i="7"/>
  <c r="R19" i="7"/>
  <c r="Q19" i="7"/>
  <c r="R20" i="7"/>
  <c r="Q20" i="7"/>
  <c r="L20" i="7"/>
  <c r="AG313" i="18"/>
  <c r="AH313" i="18"/>
  <c r="AE313" i="18"/>
  <c r="AC313" i="18"/>
  <c r="AF313" i="18"/>
  <c r="R16" i="7"/>
  <c r="U17" i="7"/>
  <c r="K17" i="7"/>
  <c r="N17" i="7"/>
  <c r="S17" i="7"/>
  <c r="Q17" i="7"/>
  <c r="M17" i="7"/>
  <c r="J17" i="7"/>
  <c r="R17" i="7"/>
  <c r="O17" i="7"/>
  <c r="L17" i="7"/>
  <c r="R15" i="7"/>
  <c r="U15" i="7"/>
  <c r="L15" i="7"/>
  <c r="L16" i="7"/>
  <c r="K16" i="7"/>
  <c r="M15" i="7"/>
  <c r="Q15" i="7"/>
  <c r="J16" i="7"/>
  <c r="N16" i="7"/>
  <c r="O15" i="7"/>
  <c r="U16" i="7"/>
  <c r="Q16" i="7"/>
  <c r="T16" i="7"/>
  <c r="N15" i="7"/>
  <c r="O16" i="7"/>
  <c r="M16" i="7"/>
  <c r="S15" i="7"/>
  <c r="J15" i="7"/>
  <c r="K15" i="7"/>
  <c r="U13" i="7"/>
  <c r="T13" i="7"/>
  <c r="U10" i="7"/>
  <c r="Q14" i="7"/>
  <c r="R14" i="7"/>
  <c r="S14" i="7"/>
  <c r="U14" i="7"/>
  <c r="T14" i="7"/>
  <c r="K14" i="7"/>
  <c r="L14" i="7"/>
  <c r="N14" i="7"/>
  <c r="M14" i="7"/>
  <c r="O14" i="7"/>
  <c r="P14" i="7"/>
  <c r="N13" i="7"/>
  <c r="M13" i="7"/>
  <c r="K13" i="7"/>
  <c r="T10" i="7"/>
  <c r="S13" i="7"/>
  <c r="Q13" i="7"/>
  <c r="O13" i="7"/>
  <c r="S8" i="7"/>
  <c r="J13" i="7"/>
  <c r="R13" i="7"/>
  <c r="L13" i="7"/>
  <c r="L8" i="7"/>
  <c r="S12" i="7"/>
  <c r="N8" i="7"/>
  <c r="L11" i="7"/>
  <c r="M8" i="7"/>
  <c r="R7" i="7"/>
  <c r="J11" i="7"/>
  <c r="M11" i="7"/>
  <c r="Q11" i="7"/>
  <c r="O11" i="7"/>
  <c r="O9" i="7"/>
  <c r="T8" i="7"/>
  <c r="K9" i="7"/>
  <c r="S7" i="7"/>
  <c r="R12" i="7"/>
  <c r="L10" i="7"/>
  <c r="N7" i="7"/>
  <c r="T9" i="7"/>
  <c r="Q9" i="7"/>
  <c r="K11" i="7"/>
  <c r="M12" i="7"/>
  <c r="N10" i="7"/>
  <c r="R9" i="7"/>
  <c r="M10" i="7"/>
  <c r="K12" i="7"/>
  <c r="L9" i="7"/>
  <c r="O8" i="7"/>
  <c r="P8" i="7"/>
  <c r="J12" i="7"/>
  <c r="T12" i="7"/>
  <c r="T11" i="7"/>
  <c r="O10" i="7"/>
  <c r="M9" i="7"/>
  <c r="R8" i="7"/>
  <c r="Q8" i="7"/>
  <c r="M2" i="7"/>
  <c r="Q12" i="7"/>
  <c r="N12" i="7"/>
  <c r="N11" i="7"/>
  <c r="N9" i="7"/>
  <c r="O12" i="7"/>
  <c r="S9" i="7"/>
  <c r="K10" i="7"/>
  <c r="J7" i="7"/>
  <c r="U11" i="7"/>
  <c r="L7" i="7"/>
  <c r="J10" i="7"/>
  <c r="K7" i="7"/>
  <c r="S11" i="7"/>
  <c r="L12" i="7"/>
  <c r="T7" i="7"/>
  <c r="Q7" i="7"/>
  <c r="J9" i="7"/>
  <c r="M7" i="7"/>
  <c r="R10" i="7"/>
  <c r="Q10" i="7"/>
  <c r="O7" i="7"/>
  <c r="K8" i="7"/>
  <c r="N2" i="7"/>
  <c r="K2" i="7"/>
  <c r="M5" i="7"/>
  <c r="Q6" i="7"/>
  <c r="O3" i="7"/>
  <c r="L5" i="7"/>
  <c r="J5" i="7"/>
  <c r="J2" i="7"/>
  <c r="O2" i="7"/>
  <c r="Q2" i="7"/>
  <c r="L6" i="7"/>
  <c r="M6" i="7"/>
  <c r="N5" i="7"/>
  <c r="Q4" i="7"/>
  <c r="O6" i="7"/>
  <c r="K3" i="7"/>
  <c r="U3" i="7"/>
  <c r="J3" i="7"/>
  <c r="U6" i="7"/>
  <c r="K6" i="7"/>
  <c r="S6" i="7"/>
  <c r="S2" i="7"/>
  <c r="Q3" i="7"/>
  <c r="Q5" i="7"/>
  <c r="J6" i="7"/>
  <c r="R6" i="7"/>
  <c r="T3" i="7"/>
  <c r="N6" i="7"/>
  <c r="N3" i="7"/>
  <c r="O4" i="7"/>
  <c r="T6" i="7"/>
  <c r="N4" i="7"/>
  <c r="R5" i="7"/>
  <c r="L4" i="7"/>
  <c r="R2" i="7"/>
  <c r="M4" i="7"/>
  <c r="T5" i="7"/>
  <c r="U4" i="7"/>
  <c r="T2" i="7"/>
  <c r="U2" i="7"/>
  <c r="S5" i="7"/>
  <c r="K4" i="7"/>
  <c r="U5" i="7"/>
  <c r="R3" i="7"/>
  <c r="K5" i="7"/>
  <c r="O5" i="7"/>
  <c r="L3" i="7"/>
  <c r="J4" i="7"/>
  <c r="T4" i="7"/>
  <c r="M3" i="7"/>
  <c r="R4" i="7"/>
  <c r="L2" i="7"/>
  <c r="S4" i="7"/>
  <c r="A315" i="18"/>
  <c r="B314" i="18"/>
  <c r="D314" i="18"/>
  <c r="C314" i="18"/>
  <c r="E314" i="18"/>
  <c r="AD314" i="18" l="1"/>
  <c r="AR314" i="18"/>
  <c r="AH314" i="18"/>
  <c r="AG314" i="18"/>
  <c r="AE314" i="18"/>
  <c r="AC314" i="18"/>
  <c r="AF314" i="18"/>
  <c r="A4" i="11"/>
  <c r="A5" i="11" s="1"/>
  <c r="A6" i="11" s="1"/>
  <c r="B315" i="18"/>
  <c r="A316" i="18"/>
  <c r="D315" i="18"/>
  <c r="C315" i="18"/>
  <c r="E315" i="18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D315" i="18"/>
  <c r="AR315" i="18"/>
  <c r="AH315" i="18"/>
  <c r="AG315" i="18"/>
  <c r="AE315" i="18"/>
  <c r="AC315" i="18"/>
  <c r="AF315" i="18"/>
  <c r="B316" i="18"/>
  <c r="D316" i="18"/>
  <c r="E316" i="18"/>
  <c r="C316" i="18"/>
  <c r="A317" i="18"/>
  <c r="AD316" i="18" l="1"/>
  <c r="AR316" i="18"/>
  <c r="AH316" i="18"/>
  <c r="AG316" i="18"/>
  <c r="AE316" i="18"/>
  <c r="AC316" i="18"/>
  <c r="AF316" i="18"/>
  <c r="A318" i="18"/>
  <c r="C317" i="18"/>
  <c r="B317" i="18"/>
  <c r="E317" i="18"/>
  <c r="D317" i="18"/>
  <c r="AD317" i="18" l="1"/>
  <c r="AR317" i="18"/>
  <c r="AH317" i="18"/>
  <c r="AG317" i="18"/>
  <c r="AE317" i="18"/>
  <c r="AC317" i="18"/>
  <c r="AF317" i="18"/>
  <c r="A319" i="18"/>
  <c r="B318" i="18"/>
  <c r="D318" i="18"/>
  <c r="C318" i="18"/>
  <c r="E318" i="18"/>
  <c r="AR318" i="18" l="1"/>
  <c r="AD318" i="18"/>
  <c r="AG318" i="18"/>
  <c r="AH318" i="18"/>
  <c r="AE318" i="18"/>
  <c r="AC318" i="18"/>
  <c r="AF318" i="18"/>
  <c r="B319" i="18"/>
  <c r="A320" i="18"/>
  <c r="D319" i="18"/>
  <c r="C319" i="18"/>
  <c r="E319" i="18"/>
  <c r="AR319" i="18" l="1"/>
  <c r="AD319" i="18"/>
  <c r="AH319" i="18"/>
  <c r="AG319" i="18"/>
  <c r="AE319" i="18"/>
  <c r="AC319" i="18"/>
  <c r="AF319" i="18"/>
  <c r="C320" i="18"/>
  <c r="B320" i="18"/>
  <c r="A321" i="18"/>
  <c r="D320" i="18"/>
  <c r="E320" i="18"/>
  <c r="AR320" i="18" l="1"/>
  <c r="AD320" i="18"/>
  <c r="AH320" i="18"/>
  <c r="AG320" i="18"/>
  <c r="AE320" i="18"/>
  <c r="AC320" i="18"/>
  <c r="AF320" i="18"/>
  <c r="A322" i="18"/>
  <c r="D321" i="18"/>
  <c r="E321" i="18"/>
  <c r="C321" i="18"/>
  <c r="B321" i="18"/>
  <c r="AD321" i="18" l="1"/>
  <c r="AR321" i="18"/>
  <c r="AH321" i="18"/>
  <c r="AG321" i="18"/>
  <c r="AE321" i="18"/>
  <c r="AC321" i="18"/>
  <c r="AF321" i="18"/>
  <c r="B322" i="18"/>
  <c r="A323" i="18"/>
  <c r="D322" i="18"/>
  <c r="C322" i="18"/>
  <c r="E322" i="18"/>
  <c r="AD322" i="18" l="1"/>
  <c r="AR322" i="18"/>
  <c r="AH322" i="18"/>
  <c r="AG322" i="18"/>
  <c r="AE322" i="18"/>
  <c r="AC322" i="18"/>
  <c r="AF322" i="18"/>
  <c r="A324" i="18"/>
  <c r="B323" i="18"/>
  <c r="C323" i="18"/>
  <c r="D323" i="18"/>
  <c r="E323" i="18"/>
  <c r="AD323" i="18" l="1"/>
  <c r="AR323" i="18"/>
  <c r="AH323" i="18"/>
  <c r="AG323" i="18"/>
  <c r="AE323" i="18"/>
  <c r="AC323" i="18"/>
  <c r="AF323" i="18"/>
  <c r="B324" i="18"/>
  <c r="C324" i="18"/>
  <c r="D324" i="18"/>
  <c r="E324" i="18"/>
  <c r="A325" i="18"/>
  <c r="AD324" i="18" l="1"/>
  <c r="AR324" i="18"/>
  <c r="AH324" i="18"/>
  <c r="AG324" i="18"/>
  <c r="AE324" i="18"/>
  <c r="AC324" i="18"/>
  <c r="AF324" i="18"/>
  <c r="A326" i="18"/>
  <c r="B325" i="18"/>
  <c r="D325" i="18"/>
  <c r="E325" i="18"/>
  <c r="C325" i="18"/>
  <c r="AD325" i="18" l="1"/>
  <c r="AR325" i="18"/>
  <c r="AH325" i="18"/>
  <c r="AG325" i="18"/>
  <c r="AE325" i="18"/>
  <c r="AC325" i="18"/>
  <c r="AF325" i="18"/>
  <c r="A327" i="18"/>
  <c r="C326" i="18"/>
  <c r="B326" i="18"/>
  <c r="E326" i="18"/>
  <c r="D326" i="18"/>
  <c r="AD326" i="18" l="1"/>
  <c r="AR326" i="18"/>
  <c r="AH326" i="18"/>
  <c r="AG326" i="18"/>
  <c r="AE326" i="18"/>
  <c r="AC326" i="18"/>
  <c r="AF326" i="18"/>
  <c r="B327" i="18"/>
  <c r="A328" i="18"/>
  <c r="C327" i="18"/>
  <c r="E327" i="18"/>
  <c r="D327" i="18"/>
  <c r="AD327" i="18" l="1"/>
  <c r="AR327" i="18"/>
  <c r="AH327" i="18"/>
  <c r="AG327" i="18"/>
  <c r="AE327" i="18"/>
  <c r="AC327" i="18"/>
  <c r="AF327" i="18"/>
  <c r="B328" i="18"/>
  <c r="D328" i="18"/>
  <c r="A329" i="18"/>
  <c r="C328" i="18"/>
  <c r="E328" i="18"/>
  <c r="AD328" i="18" l="1"/>
  <c r="AR328" i="18"/>
  <c r="AH328" i="18"/>
  <c r="AG328" i="18"/>
  <c r="AE328" i="18"/>
  <c r="AC328" i="18"/>
  <c r="AF328" i="18"/>
  <c r="A330" i="18"/>
  <c r="E329" i="18"/>
  <c r="B329" i="18"/>
  <c r="D329" i="18"/>
  <c r="C329" i="18"/>
  <c r="AD329" i="18" l="1"/>
  <c r="AR329" i="18"/>
  <c r="AH329" i="18"/>
  <c r="AG329" i="18"/>
  <c r="AE329" i="18"/>
  <c r="AC329" i="18"/>
  <c r="AF329" i="18"/>
  <c r="A331" i="18"/>
  <c r="D330" i="18"/>
  <c r="E330" i="18"/>
  <c r="B330" i="18"/>
  <c r="C330" i="18"/>
  <c r="AD330" i="18" l="1"/>
  <c r="AR330" i="18"/>
  <c r="AH330" i="18"/>
  <c r="AG330" i="18"/>
  <c r="AE330" i="18"/>
  <c r="AC330" i="18"/>
  <c r="AF330" i="18"/>
  <c r="B331" i="18"/>
  <c r="A332" i="18"/>
  <c r="D331" i="18"/>
  <c r="C331" i="18"/>
  <c r="E331" i="18"/>
  <c r="AR331" i="18" l="1"/>
  <c r="AD331" i="18"/>
  <c r="AG331" i="18"/>
  <c r="AH331" i="18"/>
  <c r="AE331" i="18"/>
  <c r="AC331" i="18"/>
  <c r="AF331" i="18"/>
  <c r="C332" i="18"/>
  <c r="B332" i="18"/>
  <c r="A333" i="18"/>
  <c r="D332" i="18"/>
  <c r="E332" i="18"/>
  <c r="AR332" i="18" l="1"/>
  <c r="AD332" i="18"/>
  <c r="AG332" i="18"/>
  <c r="AH332" i="18"/>
  <c r="AE332" i="18"/>
  <c r="AC332" i="18"/>
  <c r="AF332" i="18"/>
  <c r="A334" i="18"/>
  <c r="D333" i="18"/>
  <c r="E333" i="18"/>
  <c r="B333" i="18"/>
  <c r="C333" i="18"/>
  <c r="AD333" i="18" l="1"/>
  <c r="AR333" i="18"/>
  <c r="AH333" i="18"/>
  <c r="AG333" i="18"/>
  <c r="AE333" i="18"/>
  <c r="AC333" i="18"/>
  <c r="AF333" i="18"/>
  <c r="B334" i="18"/>
  <c r="A335" i="18"/>
  <c r="C334" i="18"/>
  <c r="D334" i="18"/>
  <c r="E334" i="18"/>
  <c r="AD334" i="18" l="1"/>
  <c r="AR334" i="18"/>
  <c r="AH334" i="18"/>
  <c r="AG334" i="18"/>
  <c r="AE334" i="18"/>
  <c r="AC334" i="18"/>
  <c r="AF334" i="18"/>
  <c r="A336" i="18"/>
  <c r="C335" i="18"/>
  <c r="D335" i="18"/>
  <c r="E335" i="18"/>
  <c r="B335" i="18"/>
  <c r="AD335" i="18" l="1"/>
  <c r="AR335" i="18"/>
  <c r="AH335" i="18"/>
  <c r="AG335" i="18"/>
  <c r="AE335" i="18"/>
  <c r="AC335" i="18"/>
  <c r="AF335" i="18"/>
  <c r="A337" i="18"/>
  <c r="B336" i="18"/>
  <c r="E336" i="18"/>
  <c r="D336" i="18"/>
  <c r="C336" i="18"/>
  <c r="AD336" i="18" l="1"/>
  <c r="AR336" i="18"/>
  <c r="AG336" i="18"/>
  <c r="AH336" i="18"/>
  <c r="AE336" i="18"/>
  <c r="AC336" i="18"/>
  <c r="AF336" i="18"/>
  <c r="B337" i="18"/>
  <c r="C337" i="18"/>
  <c r="A338" i="18"/>
  <c r="D337" i="18"/>
  <c r="E337" i="18"/>
  <c r="AD337" i="18" l="1"/>
  <c r="AR337" i="18"/>
  <c r="AH337" i="18"/>
  <c r="AG337" i="18"/>
  <c r="AE337" i="18"/>
  <c r="AC337" i="18"/>
  <c r="AF337" i="18"/>
  <c r="A339" i="18"/>
  <c r="B338" i="18"/>
  <c r="E338" i="18"/>
  <c r="C338" i="18"/>
  <c r="D338" i="18"/>
  <c r="AD338" i="18" l="1"/>
  <c r="AR338" i="18"/>
  <c r="AH338" i="18"/>
  <c r="AG338" i="18"/>
  <c r="AE338" i="18"/>
  <c r="AC338" i="18"/>
  <c r="AF338" i="18"/>
  <c r="B339" i="18"/>
  <c r="C339" i="18"/>
  <c r="A340" i="18"/>
  <c r="D339" i="18"/>
  <c r="E339" i="18"/>
  <c r="AD339" i="18" l="1"/>
  <c r="AR339" i="18"/>
  <c r="AH339" i="18"/>
  <c r="AG339" i="18"/>
  <c r="AE339" i="18"/>
  <c r="AC339" i="18"/>
  <c r="AF339" i="18"/>
  <c r="A341" i="18"/>
  <c r="B340" i="18"/>
  <c r="D340" i="18"/>
  <c r="C340" i="18"/>
  <c r="E340" i="18"/>
  <c r="AD340" i="18" l="1"/>
  <c r="AR340" i="18"/>
  <c r="AH340" i="18"/>
  <c r="AG340" i="18"/>
  <c r="AE340" i="18"/>
  <c r="AC340" i="18"/>
  <c r="AF340" i="18"/>
  <c r="A342" i="18"/>
  <c r="D341" i="18"/>
  <c r="C341" i="18"/>
  <c r="B341" i="18"/>
  <c r="E341" i="18"/>
  <c r="AD341" i="18" l="1"/>
  <c r="AR341" i="18"/>
  <c r="AH341" i="18"/>
  <c r="AG341" i="18"/>
  <c r="AE341" i="18"/>
  <c r="AC341" i="18"/>
  <c r="AF341" i="18"/>
  <c r="A343" i="18"/>
  <c r="B342" i="18"/>
  <c r="C342" i="18"/>
  <c r="E342" i="18"/>
  <c r="D342" i="18"/>
  <c r="AR342" i="18" l="1"/>
  <c r="AD342" i="18"/>
  <c r="AG342" i="18"/>
  <c r="AH342" i="18"/>
  <c r="AE342" i="18"/>
  <c r="AC342" i="18"/>
  <c r="AF342" i="18"/>
  <c r="B343" i="18"/>
  <c r="A344" i="18"/>
  <c r="D343" i="18"/>
  <c r="E343" i="18"/>
  <c r="C343" i="18"/>
  <c r="AR343" i="18" l="1"/>
  <c r="AD343" i="18"/>
  <c r="AH343" i="18"/>
  <c r="AG343" i="18"/>
  <c r="AE343" i="18"/>
  <c r="AC343" i="18"/>
  <c r="AF343" i="18"/>
  <c r="A345" i="18"/>
  <c r="B344" i="18"/>
  <c r="C344" i="18"/>
  <c r="D344" i="18"/>
  <c r="E344" i="18"/>
  <c r="AR344" i="18" l="1"/>
  <c r="AD344" i="18"/>
  <c r="AH344" i="18"/>
  <c r="AG344" i="18"/>
  <c r="AE344" i="18"/>
  <c r="AC344" i="18"/>
  <c r="AF344" i="18"/>
  <c r="A346" i="18"/>
  <c r="D345" i="18"/>
  <c r="E345" i="18"/>
  <c r="B345" i="18"/>
  <c r="C345" i="18"/>
  <c r="AD345" i="18" l="1"/>
  <c r="AR345" i="18"/>
  <c r="AH345" i="18"/>
  <c r="AG345" i="18"/>
  <c r="AE345" i="18"/>
  <c r="AC345" i="18"/>
  <c r="AF345" i="18"/>
  <c r="A347" i="18"/>
  <c r="B346" i="18"/>
  <c r="E346" i="18"/>
  <c r="C346" i="18"/>
  <c r="D346" i="18"/>
  <c r="AD346" i="18" l="1"/>
  <c r="AR346" i="18"/>
  <c r="AH346" i="18"/>
  <c r="AG346" i="18"/>
  <c r="AE346" i="18"/>
  <c r="AC346" i="18"/>
  <c r="AF346" i="18"/>
  <c r="B347" i="18"/>
  <c r="C347" i="18"/>
  <c r="D347" i="18"/>
  <c r="A348" i="18"/>
  <c r="E347" i="18"/>
  <c r="AD347" i="18" l="1"/>
  <c r="AR347" i="18"/>
  <c r="AH347" i="18"/>
  <c r="AG347" i="18"/>
  <c r="AE347" i="18"/>
  <c r="AC347" i="18"/>
  <c r="AF347" i="18"/>
  <c r="D348" i="18"/>
  <c r="C348" i="18"/>
  <c r="B348" i="18"/>
  <c r="A349" i="18"/>
  <c r="E348" i="18"/>
  <c r="AD348" i="18" l="1"/>
  <c r="AR348" i="18"/>
  <c r="AH348" i="18"/>
  <c r="AG348" i="18"/>
  <c r="AE348" i="18"/>
  <c r="AC348" i="18"/>
  <c r="AF348" i="18"/>
  <c r="A350" i="18"/>
  <c r="B349" i="18"/>
  <c r="C349" i="18"/>
  <c r="E349" i="18"/>
  <c r="D349" i="18"/>
  <c r="AD349" i="18" l="1"/>
  <c r="AR349" i="18"/>
  <c r="AG349" i="18"/>
  <c r="AH349" i="18"/>
  <c r="AE349" i="18"/>
  <c r="AC349" i="18"/>
  <c r="AF349" i="18"/>
  <c r="A351" i="18"/>
  <c r="B350" i="18"/>
  <c r="C350" i="18"/>
  <c r="D350" i="18"/>
  <c r="E350" i="18"/>
  <c r="AD350" i="18" l="1"/>
  <c r="AR350" i="18"/>
  <c r="AH350" i="18"/>
  <c r="AG350" i="18"/>
  <c r="AE350" i="18"/>
  <c r="AC350" i="18"/>
  <c r="AF350" i="18"/>
  <c r="A352" i="18"/>
  <c r="E351" i="18"/>
  <c r="B351" i="18"/>
  <c r="D351" i="18"/>
  <c r="C351" i="18"/>
  <c r="AD351" i="18" l="1"/>
  <c r="AR351" i="18"/>
  <c r="AH351" i="18"/>
  <c r="AG351" i="18"/>
  <c r="AE351" i="18"/>
  <c r="AC351" i="18"/>
  <c r="AF351" i="18"/>
  <c r="C352" i="18"/>
  <c r="D352" i="18"/>
  <c r="B352" i="18"/>
  <c r="A353" i="18"/>
  <c r="E352" i="18"/>
  <c r="AD352" i="18" l="1"/>
  <c r="AR352" i="18"/>
  <c r="AH352" i="18"/>
  <c r="AG352" i="18"/>
  <c r="AE352" i="18"/>
  <c r="AC352" i="18"/>
  <c r="AF352" i="18"/>
  <c r="A354" i="18"/>
  <c r="B353" i="18"/>
  <c r="C353" i="18"/>
  <c r="D353" i="18"/>
  <c r="E353" i="18"/>
  <c r="AD353" i="18" l="1"/>
  <c r="AR353" i="18"/>
  <c r="AH353" i="18"/>
  <c r="AG353" i="18"/>
  <c r="AE353" i="18"/>
  <c r="AC353" i="18"/>
  <c r="AF353" i="18"/>
  <c r="A355" i="18"/>
  <c r="B354" i="18"/>
  <c r="D354" i="18"/>
  <c r="E354" i="18"/>
  <c r="C354" i="18"/>
  <c r="AR354" i="18" l="1"/>
  <c r="AD354" i="18"/>
  <c r="AH354" i="18"/>
  <c r="AG354" i="18"/>
  <c r="AE354" i="18"/>
  <c r="AC354" i="18"/>
  <c r="AF354" i="18"/>
  <c r="D355" i="18"/>
  <c r="C355" i="18"/>
  <c r="A356" i="18"/>
  <c r="B355" i="18"/>
  <c r="E355" i="18"/>
  <c r="AR355" i="18" l="1"/>
  <c r="AD355" i="18"/>
  <c r="AG355" i="18"/>
  <c r="AH355" i="18"/>
  <c r="AE355" i="18"/>
  <c r="AC355" i="18"/>
  <c r="AF355" i="18"/>
  <c r="B356" i="18"/>
  <c r="C356" i="18"/>
  <c r="A357" i="18"/>
  <c r="E356" i="18"/>
  <c r="D356" i="18"/>
  <c r="AR356" i="18" l="1"/>
  <c r="AD356" i="18"/>
  <c r="AG356" i="18"/>
  <c r="AH356" i="18"/>
  <c r="AE356" i="18"/>
  <c r="AC356" i="18"/>
  <c r="AF356" i="18"/>
  <c r="A358" i="18"/>
  <c r="D357" i="18"/>
  <c r="E357" i="18"/>
  <c r="B357" i="18"/>
  <c r="C357" i="18"/>
  <c r="AD357" i="18" l="1"/>
  <c r="AR357" i="18"/>
  <c r="AH357" i="18"/>
  <c r="AG357" i="18"/>
  <c r="AE357" i="18"/>
  <c r="AC357" i="18"/>
  <c r="AF357" i="18"/>
  <c r="A359" i="18"/>
  <c r="D358" i="18"/>
  <c r="C358" i="18"/>
  <c r="B358" i="18"/>
  <c r="E358" i="18"/>
  <c r="AD358" i="18" l="1"/>
  <c r="AR358" i="18"/>
  <c r="AH358" i="18"/>
  <c r="AG358" i="18"/>
  <c r="AE358" i="18"/>
  <c r="AC358" i="18"/>
  <c r="AF358" i="18"/>
  <c r="B359" i="18"/>
  <c r="A360" i="18"/>
  <c r="C359" i="18"/>
  <c r="E359" i="18"/>
  <c r="D359" i="18"/>
  <c r="AD359" i="18" l="1"/>
  <c r="AR359" i="18"/>
  <c r="AH359" i="18"/>
  <c r="AG359" i="18"/>
  <c r="AE359" i="18"/>
  <c r="AC359" i="18"/>
  <c r="AF359" i="18"/>
  <c r="C360" i="18"/>
  <c r="B360" i="18"/>
  <c r="E360" i="18"/>
  <c r="D360" i="18"/>
  <c r="A361" i="18"/>
  <c r="AD360" i="18" l="1"/>
  <c r="AR360" i="18"/>
  <c r="AG360" i="18"/>
  <c r="AH360" i="18"/>
  <c r="AE360" i="18"/>
  <c r="AC360" i="18"/>
  <c r="AF360" i="18"/>
  <c r="A362" i="18"/>
  <c r="B361" i="18"/>
  <c r="C361" i="18"/>
  <c r="D361" i="18"/>
  <c r="E361" i="18"/>
  <c r="AD361" i="18" l="1"/>
  <c r="AR361" i="18"/>
  <c r="AG361" i="18"/>
  <c r="AH361" i="18"/>
  <c r="AE361" i="18"/>
  <c r="AC361" i="18"/>
  <c r="AF361" i="18"/>
  <c r="A363" i="18"/>
  <c r="B362" i="18"/>
  <c r="D362" i="18"/>
  <c r="C362" i="18"/>
  <c r="E362" i="18"/>
  <c r="AD362" i="18" l="1"/>
  <c r="AR362" i="18"/>
  <c r="AH362" i="18"/>
  <c r="AG362" i="18"/>
  <c r="AE362" i="18"/>
  <c r="AC362" i="18"/>
  <c r="AF362" i="18"/>
  <c r="A364" i="18"/>
  <c r="C363" i="18"/>
  <c r="D363" i="18"/>
  <c r="B363" i="18"/>
  <c r="E363" i="18"/>
  <c r="AD363" i="18" l="1"/>
  <c r="AR363" i="18"/>
  <c r="AH363" i="18"/>
  <c r="AG363" i="18"/>
  <c r="AE363" i="18"/>
  <c r="AC363" i="18"/>
  <c r="AF363" i="18"/>
  <c r="A365" i="18"/>
  <c r="B364" i="18"/>
  <c r="D364" i="18"/>
  <c r="E364" i="18"/>
  <c r="C364" i="18"/>
  <c r="AD364" i="18" l="1"/>
  <c r="AR364" i="18"/>
  <c r="AH364" i="18"/>
  <c r="AG364" i="18"/>
  <c r="AE364" i="18"/>
  <c r="AC364" i="18"/>
  <c r="AF364" i="18"/>
  <c r="B365" i="18"/>
  <c r="C365" i="18"/>
  <c r="A366" i="18"/>
  <c r="D365" i="18"/>
  <c r="E365" i="18"/>
  <c r="AD365" i="18" l="1"/>
  <c r="AR365" i="18"/>
  <c r="AH365" i="18"/>
  <c r="AG365" i="18"/>
  <c r="AE365" i="18"/>
  <c r="AC365" i="18"/>
  <c r="AF365" i="18"/>
  <c r="A367" i="18"/>
  <c r="B366" i="18"/>
  <c r="D366" i="18"/>
  <c r="C366" i="18"/>
  <c r="E366" i="18"/>
  <c r="AD366" i="18" l="1"/>
  <c r="AR366" i="18"/>
  <c r="AG366" i="18"/>
  <c r="AH366" i="18"/>
  <c r="AE366" i="18"/>
  <c r="AC366" i="18"/>
  <c r="AF366" i="18"/>
  <c r="A368" i="18"/>
  <c r="D367" i="18"/>
  <c r="C367" i="18"/>
  <c r="E367" i="18"/>
  <c r="B367" i="18"/>
  <c r="AR367" i="18" l="1"/>
  <c r="AD367" i="18"/>
  <c r="AH367" i="18"/>
  <c r="AG367" i="18"/>
  <c r="AE367" i="18"/>
  <c r="AC367" i="18"/>
  <c r="AF367" i="18"/>
  <c r="B368" i="18"/>
  <c r="C368" i="18"/>
  <c r="A369" i="18"/>
  <c r="D368" i="18"/>
  <c r="E368" i="18"/>
  <c r="AR368" i="18" l="1"/>
  <c r="AD368" i="18"/>
  <c r="AH368" i="18"/>
  <c r="AG368" i="18"/>
  <c r="AE368" i="18"/>
  <c r="AC368" i="18"/>
  <c r="AF368" i="18"/>
  <c r="D369" i="18"/>
  <c r="E369" i="18"/>
  <c r="B369" i="18"/>
  <c r="C369" i="18"/>
  <c r="AD369" i="18" l="1"/>
  <c r="AR369" i="18"/>
  <c r="AH369" i="18"/>
  <c r="AG369" i="18"/>
  <c r="AE369" i="18"/>
  <c r="AC369" i="18"/>
  <c r="AF369" i="18"/>
  <c r="B2" i="18" l="1"/>
  <c r="C2" i="18"/>
  <c r="D2" i="18"/>
  <c r="E2" i="18"/>
  <c r="AD2" i="18" l="1"/>
  <c r="AR2" i="18"/>
  <c r="AH2" i="18"/>
  <c r="AG2" i="18"/>
  <c r="AE2" i="18"/>
  <c r="AC2" i="18"/>
  <c r="AF2" i="18"/>
  <c r="C3" i="18"/>
  <c r="B3" i="18"/>
  <c r="E3" i="18"/>
  <c r="D3" i="18"/>
  <c r="AD3" i="18" l="1"/>
  <c r="AR3" i="18"/>
  <c r="AH3" i="18"/>
  <c r="AG3" i="18"/>
  <c r="AE3" i="18"/>
  <c r="AC3" i="18"/>
  <c r="AF3" i="18"/>
  <c r="C4" i="18"/>
  <c r="B4" i="18"/>
  <c r="E4" i="18"/>
  <c r="D4" i="18"/>
  <c r="AD4" i="18" l="1"/>
  <c r="AR4" i="18"/>
  <c r="AH4" i="18"/>
  <c r="AG4" i="18"/>
  <c r="AE4" i="18"/>
  <c r="AC4" i="18"/>
  <c r="AF4" i="18"/>
  <c r="C5" i="18"/>
  <c r="B5" i="18"/>
  <c r="E5" i="18"/>
  <c r="D5" i="18"/>
  <c r="AD5" i="18" l="1"/>
  <c r="AR5" i="18"/>
  <c r="AC5" i="18"/>
  <c r="AG5" i="18"/>
  <c r="AH5" i="18"/>
  <c r="AE5" i="18"/>
  <c r="AF5" i="18"/>
  <c r="D6" i="18"/>
  <c r="C6" i="18"/>
  <c r="B6" i="18"/>
  <c r="E6" i="18"/>
  <c r="AD6" i="18" l="1"/>
  <c r="AR6" i="18"/>
  <c r="AH6" i="18"/>
  <c r="AG6" i="18"/>
  <c r="AC6" i="18"/>
  <c r="AE6" i="18"/>
  <c r="AF6" i="18"/>
  <c r="B7" i="18"/>
  <c r="D7" i="18"/>
  <c r="C7" i="18"/>
  <c r="E7" i="18"/>
  <c r="AR7" i="18" l="1"/>
  <c r="AD7" i="18"/>
  <c r="AH7" i="18"/>
  <c r="AG7" i="18"/>
  <c r="AC7" i="18"/>
  <c r="AE7" i="18"/>
  <c r="AF7" i="18"/>
  <c r="D8" i="18"/>
  <c r="C8" i="18"/>
  <c r="B8" i="18"/>
  <c r="E8" i="18"/>
  <c r="AR8" i="18" l="1"/>
  <c r="AD8" i="18"/>
  <c r="AH8" i="18"/>
  <c r="AG8" i="18"/>
  <c r="AE8" i="18"/>
  <c r="AC8" i="18"/>
  <c r="AF8" i="18"/>
  <c r="D9" i="18"/>
  <c r="B9" i="18"/>
  <c r="C9" i="18"/>
  <c r="E9" i="18"/>
  <c r="AD9" i="18" l="1"/>
  <c r="AR9" i="18"/>
  <c r="AG9" i="18"/>
  <c r="AH9" i="18"/>
  <c r="AC9" i="18"/>
  <c r="AE9" i="18"/>
  <c r="AF9" i="18"/>
  <c r="C10" i="18"/>
  <c r="E10" i="18"/>
  <c r="D10" i="18"/>
  <c r="B10" i="18"/>
  <c r="AD10" i="18" l="1"/>
  <c r="AR10" i="18"/>
  <c r="AH10" i="18"/>
  <c r="AG10" i="18"/>
  <c r="AC10" i="18"/>
  <c r="AE10" i="18"/>
  <c r="AF10" i="18"/>
  <c r="B11" i="18"/>
  <c r="C11" i="18"/>
  <c r="D11" i="18"/>
  <c r="E11" i="18"/>
  <c r="AD11" i="18" l="1"/>
  <c r="AR11" i="18"/>
  <c r="AH11" i="18"/>
  <c r="AG11" i="18"/>
  <c r="AC11" i="18"/>
  <c r="AE11" i="18"/>
  <c r="AF11" i="18"/>
  <c r="B12" i="18"/>
  <c r="E12" i="18"/>
  <c r="D12" i="18"/>
  <c r="C12" i="18"/>
  <c r="AD12" i="18" l="1"/>
  <c r="AR12" i="18"/>
  <c r="AH12" i="18"/>
  <c r="AG12" i="18"/>
  <c r="AC12" i="18"/>
  <c r="AE12" i="18"/>
  <c r="AF12" i="18"/>
  <c r="B13" i="18"/>
  <c r="E13" i="18"/>
  <c r="D13" i="18"/>
  <c r="C13" i="18"/>
  <c r="AD13" i="18" l="1"/>
  <c r="AR13" i="18"/>
  <c r="AH13" i="18"/>
  <c r="AG13" i="18"/>
  <c r="AC13" i="18"/>
  <c r="AE13" i="18"/>
  <c r="AF13" i="18"/>
  <c r="B14" i="18"/>
  <c r="D14" i="18"/>
  <c r="E14" i="18"/>
  <c r="C14" i="18"/>
  <c r="AD14" i="18" l="1"/>
  <c r="AR14" i="18"/>
  <c r="AH14" i="18"/>
  <c r="AG14" i="18"/>
  <c r="AC14" i="18"/>
  <c r="AE14" i="18"/>
  <c r="AF14" i="18"/>
  <c r="C15" i="18"/>
  <c r="B15" i="18"/>
  <c r="D15" i="18"/>
  <c r="E15" i="18"/>
  <c r="AD15" i="18" l="1"/>
  <c r="AR15" i="18"/>
  <c r="AH15" i="18"/>
  <c r="AG15" i="18"/>
  <c r="AC15" i="18"/>
  <c r="AE15" i="18"/>
  <c r="AF15" i="18"/>
  <c r="C16" i="18"/>
  <c r="B16" i="18"/>
  <c r="E16" i="18"/>
  <c r="D16" i="18"/>
  <c r="AD16" i="18" l="1"/>
  <c r="AR16" i="18"/>
  <c r="AH16" i="18"/>
  <c r="AG16" i="18"/>
  <c r="AC16" i="18"/>
  <c r="AE16" i="18"/>
  <c r="AF16" i="18"/>
  <c r="C17" i="18"/>
  <c r="B17" i="18"/>
  <c r="E17" i="18"/>
  <c r="D17" i="18"/>
  <c r="AD17" i="18" l="1"/>
  <c r="AR17" i="18"/>
  <c r="AH17" i="18"/>
  <c r="AG17" i="18"/>
  <c r="AC17" i="18"/>
  <c r="AE17" i="18"/>
  <c r="AF17" i="18"/>
  <c r="B18" i="18"/>
  <c r="D18" i="18"/>
  <c r="E18" i="18"/>
  <c r="C18" i="18"/>
  <c r="AD18" i="18" l="1"/>
  <c r="AR18" i="18"/>
  <c r="AH18" i="18"/>
  <c r="AG18" i="18"/>
  <c r="AC18" i="18"/>
  <c r="AE18" i="18"/>
  <c r="AF18" i="18"/>
  <c r="D19" i="18"/>
  <c r="C19" i="18"/>
  <c r="E19" i="18"/>
  <c r="B19" i="18"/>
  <c r="AR19" i="18" l="1"/>
  <c r="AD19" i="18"/>
  <c r="AH19" i="18"/>
  <c r="AG19" i="18"/>
  <c r="AC19" i="18"/>
  <c r="AE19" i="18"/>
  <c r="AF19" i="18"/>
  <c r="C20" i="18"/>
  <c r="D20" i="18"/>
  <c r="E20" i="18"/>
  <c r="B20" i="18"/>
  <c r="AR20" i="18" l="1"/>
  <c r="AD20" i="18"/>
  <c r="AH20" i="18"/>
  <c r="AG20" i="18"/>
  <c r="AC20" i="18"/>
  <c r="AE20" i="18"/>
  <c r="AF20" i="18"/>
  <c r="D21" i="18"/>
  <c r="C21" i="18"/>
  <c r="B21" i="18"/>
  <c r="E21" i="18"/>
  <c r="AD21" i="18" l="1"/>
  <c r="AR21" i="18"/>
  <c r="AH21" i="18"/>
  <c r="AG21" i="18"/>
  <c r="AC21" i="18"/>
  <c r="AE21" i="18"/>
  <c r="AF21" i="18"/>
  <c r="B22" i="18"/>
  <c r="D22" i="18"/>
  <c r="E22" i="18"/>
  <c r="C22" i="18"/>
  <c r="AD22" i="18" l="1"/>
  <c r="AR22" i="18"/>
  <c r="AH22" i="18"/>
  <c r="AG22" i="18"/>
  <c r="AC22" i="18"/>
  <c r="AE22" i="18"/>
  <c r="AF22" i="18"/>
  <c r="B23" i="18"/>
  <c r="C23" i="18"/>
  <c r="E23" i="18"/>
  <c r="D23" i="18"/>
  <c r="AD23" i="18" l="1"/>
  <c r="AR23" i="18"/>
  <c r="AH23" i="18"/>
  <c r="AG23" i="18"/>
  <c r="AC23" i="18"/>
  <c r="AE23" i="18"/>
  <c r="AF23" i="18"/>
  <c r="B24" i="18"/>
  <c r="C24" i="18"/>
  <c r="E24" i="18"/>
  <c r="D24" i="18"/>
  <c r="AD24" i="18" l="1"/>
  <c r="AR24" i="18"/>
  <c r="AH24" i="18"/>
  <c r="AG24" i="18"/>
  <c r="AC24" i="18"/>
  <c r="AE24" i="18"/>
  <c r="AF24" i="18"/>
  <c r="B25" i="18"/>
  <c r="C25" i="18"/>
  <c r="E25" i="18"/>
  <c r="D25" i="18"/>
  <c r="AD25" i="18" l="1"/>
  <c r="AR25" i="18"/>
  <c r="AH25" i="18"/>
  <c r="AG25" i="18"/>
  <c r="AC25" i="18"/>
  <c r="AE25" i="18"/>
  <c r="AF25" i="18"/>
  <c r="B26" i="18"/>
  <c r="C26" i="18"/>
  <c r="E26" i="18"/>
  <c r="D26" i="18"/>
  <c r="AD26" i="18" l="1"/>
  <c r="AR26" i="18"/>
  <c r="AH26" i="18"/>
  <c r="AG26" i="18"/>
  <c r="AC26" i="18"/>
  <c r="AE26" i="18"/>
  <c r="AF26" i="18"/>
  <c r="B27" i="18"/>
  <c r="C27" i="18"/>
  <c r="D27" i="18"/>
  <c r="E27" i="18"/>
  <c r="AD27" i="18" l="1"/>
  <c r="AR27" i="18"/>
  <c r="AH27" i="18"/>
  <c r="AG27" i="18"/>
  <c r="AC27" i="18"/>
  <c r="AE27" i="18"/>
  <c r="AF27" i="18"/>
  <c r="C28" i="18"/>
  <c r="B28" i="18"/>
  <c r="D28" i="18"/>
  <c r="E28" i="18"/>
  <c r="AD28" i="18" l="1"/>
  <c r="AR28" i="18"/>
  <c r="AH28" i="18"/>
  <c r="AG28" i="18"/>
  <c r="AC28" i="18"/>
  <c r="AE28" i="18"/>
  <c r="AF28" i="18"/>
  <c r="B29" i="18"/>
  <c r="C29" i="18"/>
  <c r="E29" i="18"/>
  <c r="D29" i="18"/>
  <c r="AD29" i="18" l="1"/>
  <c r="AR29" i="18"/>
  <c r="AH29" i="18"/>
  <c r="AG29" i="18"/>
  <c r="AC29" i="18"/>
  <c r="AE29" i="18"/>
  <c r="AF29" i="18"/>
  <c r="B30" i="18"/>
  <c r="D30" i="18"/>
  <c r="C30" i="18"/>
  <c r="E30" i="18"/>
  <c r="AR30" i="18" l="1"/>
  <c r="AD30" i="18"/>
  <c r="AH30" i="18"/>
  <c r="AG30" i="18"/>
  <c r="AC30" i="18"/>
  <c r="AE30" i="18"/>
  <c r="AF30" i="18"/>
  <c r="B31" i="18"/>
  <c r="D31" i="18"/>
  <c r="C31" i="18"/>
  <c r="E31" i="18"/>
  <c r="AR31" i="18" l="1"/>
  <c r="AD31" i="18"/>
  <c r="AH31" i="18"/>
  <c r="AG31" i="18"/>
  <c r="AC31" i="18"/>
  <c r="AE31" i="18"/>
  <c r="AF31" i="18"/>
  <c r="B32" i="18"/>
  <c r="D32" i="18"/>
  <c r="C32" i="18"/>
  <c r="E32" i="18"/>
  <c r="AR32" i="18" l="1"/>
  <c r="AD32" i="18"/>
  <c r="AH32" i="18"/>
  <c r="AG32" i="18"/>
  <c r="AC32" i="18"/>
  <c r="AE32" i="18"/>
  <c r="AF32" i="18"/>
  <c r="B33" i="18"/>
  <c r="D33" i="18"/>
  <c r="C33" i="18"/>
  <c r="E33" i="18"/>
  <c r="AD33" i="18" l="1"/>
  <c r="AR33" i="18"/>
  <c r="AG33" i="18"/>
  <c r="AH33" i="18"/>
  <c r="AC33" i="18"/>
  <c r="AE33" i="18"/>
  <c r="AF33" i="18"/>
  <c r="B34" i="18"/>
  <c r="D34" i="18"/>
  <c r="C34" i="18"/>
  <c r="E34" i="18"/>
  <c r="AD34" i="18" l="1"/>
  <c r="AR34" i="18"/>
  <c r="AH34" i="18"/>
  <c r="AG34" i="18"/>
  <c r="AC34" i="18"/>
  <c r="AE34" i="18"/>
  <c r="AF34" i="18"/>
  <c r="C35" i="18"/>
  <c r="B35" i="18"/>
  <c r="D35" i="18"/>
  <c r="E35" i="18"/>
  <c r="AD35" i="18" l="1"/>
  <c r="AR35" i="18"/>
  <c r="AH35" i="18"/>
  <c r="AG35" i="18"/>
  <c r="AC35" i="18"/>
  <c r="AE35" i="18"/>
  <c r="AF35" i="18"/>
  <c r="D36" i="18"/>
  <c r="C36" i="18"/>
  <c r="E36" i="18"/>
  <c r="B36" i="18"/>
  <c r="AD36" i="18" l="1"/>
  <c r="AR36" i="18"/>
  <c r="AH36" i="18"/>
  <c r="AG36" i="18"/>
  <c r="AE36" i="18"/>
  <c r="AC36" i="18"/>
  <c r="AF36" i="18"/>
  <c r="B37" i="18"/>
  <c r="E37" i="18"/>
  <c r="D37" i="18"/>
  <c r="C37" i="18"/>
  <c r="AD37" i="18" l="1"/>
  <c r="AR37" i="18"/>
  <c r="AH37" i="18"/>
  <c r="AG37" i="18"/>
  <c r="AE37" i="18"/>
  <c r="AC37" i="18"/>
  <c r="AF37" i="18"/>
  <c r="B38" i="18"/>
  <c r="E38" i="18"/>
  <c r="D38" i="18"/>
  <c r="C38" i="18"/>
  <c r="AD38" i="18" l="1"/>
  <c r="AR38" i="18"/>
  <c r="AH38" i="18"/>
  <c r="AG38" i="18"/>
  <c r="AC38" i="18"/>
  <c r="AE38" i="18"/>
  <c r="AF38" i="18"/>
  <c r="C39" i="18"/>
  <c r="B39" i="18"/>
  <c r="D39" i="18"/>
  <c r="E39" i="18"/>
  <c r="AD39" i="18" l="1"/>
  <c r="AR39" i="18"/>
  <c r="AH39" i="18"/>
  <c r="AG39" i="18"/>
  <c r="AC39" i="18"/>
  <c r="AE39" i="18"/>
  <c r="AF39" i="18"/>
  <c r="C40" i="18"/>
  <c r="B40" i="18"/>
  <c r="D40" i="18"/>
  <c r="E40" i="18"/>
  <c r="AD40" i="18" l="1"/>
  <c r="C9" i="13" s="1"/>
  <c r="D7" i="17" s="1"/>
  <c r="AR40" i="18"/>
  <c r="AH40" i="18"/>
  <c r="C24" i="13" s="1"/>
  <c r="D22" i="17" s="1"/>
  <c r="AG40" i="18"/>
  <c r="C21" i="13" s="1"/>
  <c r="D21" i="17" s="1"/>
  <c r="AC40" i="18"/>
  <c r="C18" i="13" s="1"/>
  <c r="D30" i="17" s="1"/>
  <c r="AE40" i="18"/>
  <c r="C15" i="13" s="1"/>
  <c r="AF40" i="18"/>
  <c r="C12" i="13" s="1"/>
  <c r="B41" i="18"/>
  <c r="C41" i="18"/>
  <c r="D41" i="18"/>
  <c r="E41" i="18"/>
  <c r="AD41" i="18" l="1"/>
  <c r="AR41" i="18"/>
  <c r="AH41" i="18"/>
  <c r="AG41" i="18"/>
  <c r="AC41" i="18"/>
  <c r="AE41" i="18"/>
  <c r="AF41" i="18"/>
  <c r="D42" i="18"/>
  <c r="E42" i="18"/>
  <c r="B42" i="18"/>
  <c r="C42" i="18"/>
  <c r="AD42" i="18" l="1"/>
  <c r="AR42" i="18"/>
  <c r="AH42" i="18"/>
  <c r="AG42" i="18"/>
  <c r="AC42" i="18"/>
  <c r="AE42" i="18"/>
  <c r="AF42" i="18"/>
  <c r="C43" i="18"/>
  <c r="D43" i="18"/>
  <c r="E43" i="18"/>
  <c r="B43" i="18"/>
  <c r="AR43" i="18" l="1"/>
  <c r="AD43" i="18"/>
  <c r="AH43" i="18"/>
  <c r="AG43" i="18"/>
  <c r="AC43" i="18"/>
  <c r="AE43" i="18"/>
  <c r="AF43" i="18"/>
  <c r="B44" i="18"/>
  <c r="C44" i="18"/>
  <c r="D44" i="18"/>
  <c r="E44" i="18"/>
  <c r="AR44" i="18" l="1"/>
  <c r="AD44" i="18"/>
  <c r="AH44" i="18"/>
  <c r="AG44" i="18"/>
  <c r="AC44" i="18"/>
  <c r="AE44" i="18"/>
  <c r="AF44" i="18"/>
  <c r="B45" i="18"/>
  <c r="D45" i="18"/>
  <c r="E45" i="18"/>
  <c r="C45" i="18"/>
  <c r="AD45" i="18" l="1"/>
  <c r="AR45" i="18"/>
  <c r="AH45" i="18"/>
  <c r="AG45" i="18"/>
  <c r="AE45" i="18"/>
  <c r="AC45" i="18"/>
  <c r="AF45" i="18"/>
  <c r="B46" i="18"/>
  <c r="C46" i="18"/>
  <c r="D46" i="18"/>
  <c r="E46" i="18"/>
  <c r="AD46" i="18" l="1"/>
  <c r="AR46" i="18"/>
  <c r="AH46" i="18"/>
  <c r="AG46" i="18"/>
  <c r="AC46" i="18"/>
  <c r="AE46" i="18"/>
  <c r="AF46" i="18"/>
  <c r="C47" i="18"/>
  <c r="D47" i="18"/>
  <c r="B47" i="18"/>
  <c r="E47" i="18"/>
  <c r="AD47" i="18" l="1"/>
  <c r="AR47" i="18"/>
  <c r="AH47" i="18"/>
  <c r="AG47" i="18"/>
  <c r="AC47" i="18"/>
  <c r="AE47" i="18"/>
  <c r="AF47" i="18"/>
  <c r="B48" i="18"/>
  <c r="C48" i="18"/>
  <c r="D48" i="18"/>
  <c r="E48" i="18"/>
  <c r="AD48" i="18" l="1"/>
  <c r="AR48" i="18"/>
  <c r="AH48" i="18"/>
  <c r="AG48" i="18"/>
  <c r="AC48" i="18"/>
  <c r="AE48" i="18"/>
  <c r="AF48" i="18"/>
  <c r="B49" i="18"/>
  <c r="E49" i="18"/>
  <c r="C49" i="18"/>
  <c r="D49" i="18"/>
  <c r="AD49" i="18" l="1"/>
  <c r="AR49" i="18"/>
  <c r="AH49" i="18"/>
  <c r="AG49" i="18"/>
  <c r="AE49" i="18"/>
  <c r="AC49" i="18"/>
  <c r="AF49" i="18"/>
  <c r="B50" i="18"/>
  <c r="C50" i="18"/>
  <c r="D50" i="18"/>
  <c r="E50" i="18"/>
  <c r="AD50" i="18" l="1"/>
  <c r="AR50" i="18"/>
  <c r="AH50" i="18"/>
  <c r="AG50" i="18"/>
  <c r="AC50" i="18"/>
  <c r="AE50" i="18"/>
  <c r="AF50" i="18"/>
  <c r="C51" i="18"/>
  <c r="B51" i="18"/>
  <c r="D51" i="18"/>
  <c r="E51" i="18"/>
  <c r="AD51" i="18" l="1"/>
  <c r="AR51" i="18"/>
  <c r="AH51" i="18"/>
  <c r="AG51" i="18"/>
  <c r="AE51" i="18"/>
  <c r="AC51" i="18"/>
  <c r="AF51" i="18"/>
  <c r="C52" i="18"/>
  <c r="B52" i="18"/>
  <c r="D52" i="18"/>
  <c r="E52" i="18"/>
  <c r="AD52" i="18" l="1"/>
  <c r="AR52" i="18"/>
  <c r="AH52" i="18"/>
  <c r="AG52" i="18"/>
  <c r="AC52" i="18"/>
  <c r="AE52" i="18"/>
  <c r="AF52" i="18"/>
  <c r="C53" i="18"/>
  <c r="B53" i="18"/>
  <c r="D53" i="18"/>
  <c r="E53" i="18"/>
  <c r="AD53" i="18" l="1"/>
  <c r="AR53" i="18"/>
  <c r="AH53" i="18"/>
  <c r="AG53" i="18"/>
  <c r="AC53" i="18"/>
  <c r="AE53" i="18"/>
  <c r="AF53" i="18"/>
  <c r="B54" i="18"/>
  <c r="D54" i="18"/>
  <c r="C54" i="18"/>
  <c r="E54" i="18"/>
  <c r="AR54" i="18" l="1"/>
  <c r="AD54" i="18"/>
  <c r="AH54" i="18"/>
  <c r="AG54" i="18"/>
  <c r="AC54" i="18"/>
  <c r="AE54" i="18"/>
  <c r="AF54" i="18"/>
  <c r="B55" i="18"/>
  <c r="D55" i="18"/>
  <c r="C55" i="18"/>
  <c r="E55" i="18"/>
  <c r="AR55" i="18" l="1"/>
  <c r="AD55" i="18"/>
  <c r="AH55" i="18"/>
  <c r="AG55" i="18"/>
  <c r="AC55" i="18"/>
  <c r="AE55" i="18"/>
  <c r="AF55" i="18"/>
  <c r="D56" i="18"/>
  <c r="E56" i="18"/>
  <c r="B56" i="18"/>
  <c r="C56" i="18"/>
  <c r="AR56" i="18" l="1"/>
  <c r="AD56" i="18"/>
  <c r="AH56" i="18"/>
  <c r="AG56" i="18"/>
  <c r="AE56" i="18"/>
  <c r="AC56" i="18"/>
  <c r="AF56" i="18"/>
  <c r="D57" i="18"/>
  <c r="E57" i="18"/>
  <c r="B57" i="18"/>
  <c r="C57" i="18"/>
  <c r="AD57" i="18" l="1"/>
  <c r="AR57" i="18"/>
  <c r="AG57" i="18"/>
  <c r="AH57" i="18"/>
  <c r="AC57" i="18"/>
  <c r="AE57" i="18"/>
  <c r="AF57" i="18"/>
  <c r="C58" i="18"/>
  <c r="B58" i="18"/>
  <c r="E58" i="18"/>
  <c r="D58" i="18"/>
  <c r="AD58" i="18" l="1"/>
  <c r="AR58" i="18"/>
  <c r="AH58" i="18"/>
  <c r="AG58" i="18"/>
  <c r="AC58" i="18"/>
  <c r="AE58" i="18"/>
  <c r="AF58" i="18"/>
  <c r="B59" i="18"/>
  <c r="C59" i="18"/>
  <c r="E59" i="18"/>
  <c r="D59" i="18"/>
  <c r="AD59" i="18" l="1"/>
  <c r="AR59" i="18"/>
  <c r="AH59" i="18"/>
  <c r="AG59" i="18"/>
  <c r="AE59" i="18"/>
  <c r="AC59" i="18"/>
  <c r="AF59" i="18"/>
  <c r="B60" i="18"/>
  <c r="C60" i="18"/>
  <c r="E60" i="18"/>
  <c r="D60" i="18"/>
  <c r="AD60" i="18" l="1"/>
  <c r="AR60" i="18"/>
  <c r="AH60" i="18"/>
  <c r="AG60" i="18"/>
  <c r="AC60" i="18"/>
  <c r="AE60" i="18"/>
  <c r="AF60" i="18"/>
  <c r="B61" i="18"/>
  <c r="C61" i="18"/>
  <c r="E61" i="18"/>
  <c r="D61" i="18"/>
  <c r="AD61" i="18" l="1"/>
  <c r="AR61" i="18"/>
  <c r="AH61" i="18"/>
  <c r="AG61" i="18"/>
  <c r="AC61" i="18"/>
  <c r="AE61" i="18"/>
  <c r="AF61" i="18"/>
  <c r="B62" i="18"/>
  <c r="C62" i="18"/>
  <c r="D62" i="18"/>
  <c r="E62" i="18"/>
  <c r="AD62" i="18" l="1"/>
  <c r="AR62" i="18"/>
  <c r="AH62" i="18"/>
  <c r="AG62" i="18"/>
  <c r="AC62" i="18"/>
  <c r="AE62" i="18"/>
  <c r="AF62" i="18"/>
  <c r="C63" i="18"/>
  <c r="B63" i="18"/>
  <c r="D63" i="18"/>
  <c r="E63" i="18"/>
  <c r="AD63" i="18" l="1"/>
  <c r="AR63" i="18"/>
  <c r="AH63" i="18"/>
  <c r="AG63" i="18"/>
  <c r="AC63" i="18"/>
  <c r="AE63" i="18"/>
  <c r="AF63" i="18"/>
  <c r="C64" i="18"/>
  <c r="B64" i="18"/>
  <c r="D64" i="18"/>
  <c r="E64" i="18"/>
  <c r="AD64" i="18" l="1"/>
  <c r="AR64" i="18"/>
  <c r="AH64" i="18"/>
  <c r="AG64" i="18"/>
  <c r="AC64" i="18"/>
  <c r="AE64" i="18"/>
  <c r="AF64" i="18"/>
  <c r="C65" i="18"/>
  <c r="B65" i="18"/>
  <c r="D65" i="18"/>
  <c r="E65" i="18"/>
  <c r="AD65" i="18" l="1"/>
  <c r="AR65" i="18"/>
  <c r="AH65" i="18"/>
  <c r="AG65" i="18"/>
  <c r="AE65" i="18"/>
  <c r="AC65" i="18"/>
  <c r="AF65" i="18"/>
  <c r="D66" i="18"/>
  <c r="B66" i="18"/>
  <c r="C66" i="18"/>
  <c r="E66" i="18"/>
  <c r="AD66" i="18" l="1"/>
  <c r="AR66" i="18"/>
  <c r="AH66" i="18"/>
  <c r="AG66" i="18"/>
  <c r="AE66" i="18"/>
  <c r="AF66" i="18"/>
  <c r="AC66" i="18"/>
  <c r="C67" i="18"/>
  <c r="D67" i="18"/>
  <c r="B67" i="18"/>
  <c r="E67" i="18"/>
  <c r="AR67" i="18" l="1"/>
  <c r="AD67" i="18"/>
  <c r="AH67" i="18"/>
  <c r="AG67" i="18"/>
  <c r="AE67" i="18"/>
  <c r="AF67" i="18"/>
  <c r="AC67" i="18"/>
  <c r="C68" i="18"/>
  <c r="D68" i="18"/>
  <c r="B68" i="18"/>
  <c r="E68" i="18"/>
  <c r="AR68" i="18" l="1"/>
  <c r="AD68" i="18"/>
  <c r="AH68" i="18"/>
  <c r="AG68" i="18"/>
  <c r="AE68" i="18"/>
  <c r="AC68" i="18"/>
  <c r="AF68" i="18"/>
  <c r="B69" i="18"/>
  <c r="C69" i="18"/>
  <c r="D69" i="18"/>
  <c r="E69" i="18"/>
  <c r="AD69" i="18" l="1"/>
  <c r="AR69" i="18"/>
  <c r="AH69" i="18"/>
  <c r="AG69" i="18"/>
  <c r="AE69" i="18"/>
  <c r="AC69" i="18"/>
  <c r="AF69" i="18"/>
  <c r="C70" i="18"/>
  <c r="D70" i="18"/>
  <c r="E70" i="18"/>
  <c r="B70" i="18"/>
  <c r="AD70" i="18" l="1"/>
  <c r="AR70" i="18"/>
  <c r="AH70" i="18"/>
  <c r="AG70" i="18"/>
  <c r="AE70" i="18"/>
  <c r="AC70" i="18"/>
  <c r="AF70" i="18"/>
  <c r="B71" i="18"/>
  <c r="C71" i="18"/>
  <c r="D71" i="18"/>
  <c r="E71" i="18"/>
  <c r="AD71" i="18" l="1"/>
  <c r="AR71" i="18"/>
  <c r="AH71" i="18"/>
  <c r="AG71" i="18"/>
  <c r="AE71" i="18"/>
  <c r="AF71" i="18"/>
  <c r="AC71" i="18"/>
  <c r="B72" i="18"/>
  <c r="D72" i="18"/>
  <c r="E72" i="18"/>
  <c r="C72" i="18"/>
  <c r="AD72" i="18" l="1"/>
  <c r="AR72" i="18"/>
  <c r="AH72" i="18"/>
  <c r="AG72" i="18"/>
  <c r="AE72" i="18"/>
  <c r="AC72" i="18"/>
  <c r="AF72" i="18"/>
  <c r="B73" i="18"/>
  <c r="C73" i="18"/>
  <c r="D73" i="18"/>
  <c r="E73" i="18"/>
  <c r="AD73" i="18" l="1"/>
  <c r="AR73" i="18"/>
  <c r="AH73" i="18"/>
  <c r="AG73" i="18"/>
  <c r="AE73" i="18"/>
  <c r="AF73" i="18"/>
  <c r="AC73" i="18"/>
  <c r="B74" i="18"/>
  <c r="C74" i="18"/>
  <c r="D74" i="18"/>
  <c r="E74" i="18"/>
  <c r="AD74" i="18" l="1"/>
  <c r="AR74" i="18"/>
  <c r="AH74" i="18"/>
  <c r="AG74" i="18"/>
  <c r="AE74" i="18"/>
  <c r="AC74" i="18"/>
  <c r="AF74" i="18"/>
  <c r="C75" i="18"/>
  <c r="D75" i="18"/>
  <c r="B75" i="18"/>
  <c r="E75" i="18"/>
  <c r="AD75" i="18" l="1"/>
  <c r="AR75" i="18"/>
  <c r="AH75" i="18"/>
  <c r="AG75" i="18"/>
  <c r="AE75" i="18"/>
  <c r="AC75" i="18"/>
  <c r="AF75" i="18"/>
  <c r="B76" i="18"/>
  <c r="C76" i="18"/>
  <c r="D76" i="18"/>
  <c r="E76" i="18"/>
  <c r="AD76" i="18" l="1"/>
  <c r="AR76" i="18"/>
  <c r="AH76" i="18"/>
  <c r="AG76" i="18"/>
  <c r="AE76" i="18"/>
  <c r="AF76" i="18"/>
  <c r="AC76" i="18"/>
  <c r="B77" i="18"/>
  <c r="C77" i="18"/>
  <c r="D77" i="18"/>
  <c r="E77" i="18"/>
  <c r="AD77" i="18" l="1"/>
  <c r="AR77" i="18"/>
  <c r="AH77" i="18"/>
  <c r="AG77" i="18"/>
  <c r="AE77" i="18"/>
  <c r="AF77" i="18"/>
  <c r="AC77" i="18"/>
  <c r="B78" i="18"/>
  <c r="D78" i="18"/>
  <c r="C78" i="18"/>
  <c r="E78" i="18"/>
  <c r="AD78" i="18" l="1"/>
  <c r="AR78" i="18"/>
  <c r="AH78" i="18"/>
  <c r="AG78" i="18"/>
  <c r="AE78" i="18"/>
  <c r="AC78" i="18"/>
  <c r="AF78" i="18"/>
  <c r="B79" i="18"/>
  <c r="D79" i="18"/>
  <c r="E79" i="18"/>
  <c r="C79" i="18"/>
  <c r="AR79" i="18" l="1"/>
  <c r="AD79" i="18"/>
  <c r="AH79" i="18"/>
  <c r="AG79" i="18"/>
  <c r="AE79" i="18"/>
  <c r="AF79" i="18"/>
  <c r="AC79" i="18"/>
  <c r="B80" i="18"/>
  <c r="D80" i="18"/>
  <c r="E80" i="18"/>
  <c r="C80" i="18"/>
  <c r="AR80" i="18" l="1"/>
  <c r="AD80" i="18"/>
  <c r="AH80" i="18"/>
  <c r="AG80" i="18"/>
  <c r="AE80" i="18"/>
  <c r="AF80" i="18"/>
  <c r="AC80" i="18"/>
  <c r="D81" i="18"/>
  <c r="B81" i="18"/>
  <c r="E81" i="18"/>
  <c r="C81" i="18"/>
  <c r="AD81" i="18" l="1"/>
  <c r="AR81" i="18"/>
  <c r="AH81" i="18"/>
  <c r="AG81" i="18"/>
  <c r="AE81" i="18"/>
  <c r="AF81" i="18"/>
  <c r="AC81" i="18"/>
  <c r="C82" i="18"/>
  <c r="E82" i="18"/>
  <c r="D82" i="18"/>
  <c r="B82" i="18"/>
  <c r="AD82" i="18" l="1"/>
  <c r="AR82" i="18"/>
  <c r="AH82" i="18"/>
  <c r="AG82" i="18"/>
  <c r="AE82" i="18"/>
  <c r="AC82" i="18"/>
  <c r="AF82" i="18"/>
  <c r="B83" i="18"/>
  <c r="C83" i="18"/>
  <c r="D83" i="18"/>
  <c r="E83" i="18"/>
  <c r="AD83" i="18" l="1"/>
  <c r="AR83" i="18"/>
  <c r="AH83" i="18"/>
  <c r="AG83" i="18"/>
  <c r="AE83" i="18"/>
  <c r="AF83" i="18"/>
  <c r="AC83" i="18"/>
  <c r="B84" i="18"/>
  <c r="C84" i="18"/>
  <c r="D84" i="18"/>
  <c r="E84" i="18"/>
  <c r="AD84" i="18" l="1"/>
  <c r="AR84" i="18"/>
  <c r="AH84" i="18"/>
  <c r="AG84" i="18"/>
  <c r="AE84" i="18"/>
  <c r="AF84" i="18"/>
  <c r="AC84" i="18"/>
  <c r="B85" i="18"/>
  <c r="D85" i="18"/>
  <c r="E85" i="18"/>
  <c r="C85" i="18"/>
  <c r="AD85" i="18" l="1"/>
  <c r="AR85" i="18"/>
  <c r="AH85" i="18"/>
  <c r="AG85" i="18"/>
  <c r="AE85" i="18"/>
  <c r="AC85" i="18"/>
  <c r="AF85" i="18"/>
  <c r="B86" i="18"/>
  <c r="C86" i="18"/>
  <c r="D86" i="18"/>
  <c r="E86" i="18"/>
  <c r="AD86" i="18" l="1"/>
  <c r="AR86" i="18"/>
  <c r="AH86" i="18"/>
  <c r="AG86" i="18"/>
  <c r="AE86" i="18"/>
  <c r="AF86" i="18"/>
  <c r="AC86" i="18"/>
  <c r="C87" i="18"/>
  <c r="B87" i="18"/>
  <c r="D87" i="18"/>
  <c r="E87" i="18"/>
  <c r="AD87" i="18" l="1"/>
  <c r="AR87" i="18"/>
  <c r="AH87" i="18"/>
  <c r="AG87" i="18"/>
  <c r="AE87" i="18"/>
  <c r="AF87" i="18"/>
  <c r="AC87" i="18"/>
  <c r="C88" i="18"/>
  <c r="B88" i="18"/>
  <c r="D88" i="18"/>
  <c r="E88" i="18"/>
  <c r="AD88" i="18" l="1"/>
  <c r="AR88" i="18"/>
  <c r="AH88" i="18"/>
  <c r="AG88" i="18"/>
  <c r="AE88" i="18"/>
  <c r="AC88" i="18"/>
  <c r="AF88" i="18"/>
  <c r="C89" i="18"/>
  <c r="D89" i="18"/>
  <c r="E89" i="18"/>
  <c r="B89" i="18"/>
  <c r="AD89" i="18" l="1"/>
  <c r="AR89" i="18"/>
  <c r="AH89" i="18"/>
  <c r="AG89" i="18"/>
  <c r="AE89" i="18"/>
  <c r="AC89" i="18"/>
  <c r="AF89" i="18"/>
  <c r="D90" i="18"/>
  <c r="C90" i="18"/>
  <c r="E90" i="18"/>
  <c r="B90" i="18"/>
  <c r="AR90" i="18" l="1"/>
  <c r="AD90" i="18"/>
  <c r="AH90" i="18"/>
  <c r="AG90" i="18"/>
  <c r="AE90" i="18"/>
  <c r="AF90" i="18"/>
  <c r="AC90" i="18"/>
  <c r="B91" i="18"/>
  <c r="C91" i="18"/>
  <c r="D91" i="18"/>
  <c r="E91" i="18"/>
  <c r="AR91" i="18" l="1"/>
  <c r="AD91" i="18"/>
  <c r="AH91" i="18"/>
  <c r="AG91" i="18"/>
  <c r="AE91" i="18"/>
  <c r="AC91" i="18"/>
  <c r="AF91" i="18"/>
  <c r="B92" i="18"/>
  <c r="C92" i="18"/>
  <c r="D92" i="18"/>
  <c r="E92" i="18"/>
  <c r="AR92" i="18" l="1"/>
  <c r="AD92" i="18"/>
  <c r="AH92" i="18"/>
  <c r="AG92" i="18"/>
  <c r="AE92" i="18"/>
  <c r="AF92" i="18"/>
  <c r="AC92" i="18"/>
  <c r="B93" i="18"/>
  <c r="C93" i="18"/>
  <c r="D93" i="18"/>
  <c r="E93" i="18"/>
  <c r="AD93" i="18" l="1"/>
  <c r="AR93" i="18"/>
  <c r="AH93" i="18"/>
  <c r="AG93" i="18"/>
  <c r="AE93" i="18"/>
  <c r="AC93" i="18"/>
  <c r="AF93" i="18"/>
  <c r="B94" i="18"/>
  <c r="C94" i="18"/>
  <c r="E94" i="18"/>
  <c r="D94" i="18"/>
  <c r="AD94" i="18" l="1"/>
  <c r="AR94" i="18"/>
  <c r="AH94" i="18"/>
  <c r="AG94" i="18"/>
  <c r="AE94" i="18"/>
  <c r="AC94" i="18"/>
  <c r="AF94" i="18"/>
  <c r="B95" i="18"/>
  <c r="C95" i="18"/>
  <c r="E95" i="18"/>
  <c r="D95" i="18"/>
  <c r="AD95" i="18" l="1"/>
  <c r="AR95" i="18"/>
  <c r="AH95" i="18"/>
  <c r="AG95" i="18"/>
  <c r="AE95" i="18"/>
  <c r="AF95" i="18"/>
  <c r="AC95" i="18"/>
  <c r="B96" i="18"/>
  <c r="C96" i="18"/>
  <c r="E96" i="18"/>
  <c r="D96" i="18"/>
  <c r="AD96" i="18" l="1"/>
  <c r="AR96" i="18"/>
  <c r="AH96" i="18"/>
  <c r="AG96" i="18"/>
  <c r="AC96" i="18"/>
  <c r="AE96" i="18"/>
  <c r="AF96" i="18"/>
  <c r="B97" i="18"/>
  <c r="C97" i="18"/>
  <c r="E97" i="18"/>
  <c r="D97" i="18"/>
  <c r="AD97" i="18" l="1"/>
  <c r="AR97" i="18"/>
  <c r="AH97" i="18"/>
  <c r="AG97" i="18"/>
  <c r="AC97" i="18"/>
  <c r="AE97" i="18"/>
  <c r="AF97" i="18"/>
  <c r="B98" i="18"/>
  <c r="C98" i="18"/>
  <c r="D98" i="18"/>
  <c r="E98" i="18"/>
  <c r="AD98" i="18" l="1"/>
  <c r="AR98" i="18"/>
  <c r="AH98" i="18"/>
  <c r="AG98" i="18"/>
  <c r="AC98" i="18"/>
  <c r="AE98" i="18"/>
  <c r="AF98" i="18"/>
  <c r="B99" i="18"/>
  <c r="C99" i="18"/>
  <c r="D99" i="18"/>
  <c r="E99" i="18"/>
  <c r="AD99" i="18" l="1"/>
  <c r="AR99" i="18"/>
  <c r="AH99" i="18"/>
  <c r="AG99" i="18"/>
  <c r="AC99" i="18"/>
  <c r="AE99" i="18"/>
  <c r="AF99" i="18"/>
  <c r="C100" i="18"/>
  <c r="B100" i="18"/>
  <c r="D100" i="18"/>
  <c r="E100" i="18"/>
  <c r="AD100" i="18" l="1"/>
  <c r="AR100" i="18"/>
  <c r="AH100" i="18"/>
  <c r="AG100" i="18"/>
  <c r="AC100" i="18"/>
  <c r="AE100" i="18"/>
  <c r="AF100" i="18"/>
  <c r="C101" i="18"/>
  <c r="B101" i="18"/>
  <c r="E101" i="18"/>
  <c r="D101" i="18"/>
  <c r="AD101" i="18" l="1"/>
  <c r="AR101" i="18"/>
  <c r="AH101" i="18"/>
  <c r="AG101" i="18"/>
  <c r="AC101" i="18"/>
  <c r="AE101" i="18"/>
  <c r="AF101" i="18"/>
  <c r="B102" i="18"/>
  <c r="D102" i="18"/>
  <c r="C102" i="18"/>
  <c r="E102" i="18"/>
  <c r="AD102" i="18" l="1"/>
  <c r="AR102" i="18"/>
  <c r="AH102" i="18"/>
  <c r="AG102" i="18"/>
  <c r="AC102" i="18"/>
  <c r="AE102" i="18"/>
  <c r="AF102" i="18"/>
  <c r="D103" i="18"/>
  <c r="B103" i="18"/>
  <c r="E103" i="18"/>
  <c r="C103" i="18"/>
  <c r="AR103" i="18" l="1"/>
  <c r="AD103" i="18"/>
  <c r="AH103" i="18"/>
  <c r="AG103" i="18"/>
  <c r="AC103" i="18"/>
  <c r="AE103" i="18"/>
  <c r="AF103" i="18"/>
  <c r="D104" i="18"/>
  <c r="B104" i="18"/>
  <c r="E104" i="18"/>
  <c r="C104" i="18"/>
  <c r="AR104" i="18" l="1"/>
  <c r="AD104" i="18"/>
  <c r="AH104" i="18"/>
  <c r="AG104" i="18"/>
  <c r="AE104" i="18"/>
  <c r="AC104" i="18"/>
  <c r="AF104" i="18"/>
  <c r="D105" i="18"/>
  <c r="B105" i="18"/>
  <c r="C105" i="18"/>
  <c r="E105" i="18"/>
  <c r="AD105" i="18" l="1"/>
  <c r="AR105" i="18"/>
  <c r="AG105" i="18"/>
  <c r="AH105" i="18"/>
  <c r="AC105" i="18"/>
  <c r="AE105" i="18"/>
  <c r="AF105" i="18"/>
  <c r="B106" i="18"/>
  <c r="C106" i="18"/>
  <c r="D106" i="18"/>
  <c r="E106" i="18"/>
  <c r="AD106" i="18" l="1"/>
  <c r="AR106" i="18"/>
  <c r="AH106" i="18"/>
  <c r="AG106" i="18"/>
  <c r="AC106" i="18"/>
  <c r="AE106" i="18"/>
  <c r="AF106" i="18"/>
  <c r="B107" i="18"/>
  <c r="C107" i="18"/>
  <c r="D107" i="18"/>
  <c r="E107" i="18"/>
  <c r="AD107" i="18" l="1"/>
  <c r="AR107" i="18"/>
  <c r="AH107" i="18"/>
  <c r="AG107" i="18"/>
  <c r="AC107" i="18"/>
  <c r="AE107" i="18"/>
  <c r="AF107" i="18"/>
  <c r="B108" i="18"/>
  <c r="D108" i="18"/>
  <c r="C108" i="18"/>
  <c r="E108" i="18"/>
  <c r="AD108" i="18" l="1"/>
  <c r="AR108" i="18"/>
  <c r="AH108" i="18"/>
  <c r="AG108" i="18"/>
  <c r="AC108" i="18"/>
  <c r="AE108" i="18"/>
  <c r="AF108" i="18"/>
  <c r="B109" i="18"/>
  <c r="C109" i="18"/>
  <c r="D109" i="18"/>
  <c r="E109" i="18"/>
  <c r="AD109" i="18" l="1"/>
  <c r="AR109" i="18"/>
  <c r="AH109" i="18"/>
  <c r="AG109" i="18"/>
  <c r="AC109" i="18"/>
  <c r="AE109" i="18"/>
  <c r="AF109" i="18"/>
  <c r="B110" i="18"/>
  <c r="C110" i="18"/>
  <c r="D110" i="18"/>
  <c r="E110" i="18"/>
  <c r="AD110" i="18" l="1"/>
  <c r="AR110" i="18"/>
  <c r="AH110" i="18"/>
  <c r="AG110" i="18"/>
  <c r="AC110" i="18"/>
  <c r="AE110" i="18"/>
  <c r="AF110" i="18"/>
  <c r="C111" i="18"/>
  <c r="B111" i="18"/>
  <c r="D111" i="18"/>
  <c r="E111" i="18"/>
  <c r="AD111" i="18" l="1"/>
  <c r="AR111" i="18"/>
  <c r="AH111" i="18"/>
  <c r="AG111" i="18"/>
  <c r="AC111" i="18"/>
  <c r="AE111" i="18"/>
  <c r="AF111" i="18"/>
  <c r="C112" i="18"/>
  <c r="B112" i="18"/>
  <c r="D112" i="18"/>
  <c r="E112" i="18"/>
  <c r="AD112" i="18" l="1"/>
  <c r="AR112" i="18"/>
  <c r="AH112" i="18"/>
  <c r="AG112" i="18"/>
  <c r="AC112" i="18"/>
  <c r="AE112" i="18"/>
  <c r="AF112" i="18"/>
  <c r="B113" i="18"/>
  <c r="C113" i="18"/>
  <c r="E113" i="18"/>
  <c r="D113" i="18"/>
  <c r="AD113" i="18" l="1"/>
  <c r="AR113" i="18"/>
  <c r="AH113" i="18"/>
  <c r="AG113" i="18"/>
  <c r="AC113" i="18"/>
  <c r="AE113" i="18"/>
  <c r="AF113" i="18"/>
  <c r="D114" i="18"/>
  <c r="C114" i="18"/>
  <c r="B114" i="18"/>
  <c r="E114" i="18"/>
  <c r="AR114" i="18" l="1"/>
  <c r="AD114" i="18"/>
  <c r="AH114" i="18"/>
  <c r="AG114" i="18"/>
  <c r="AE114" i="18"/>
  <c r="AC114" i="18"/>
  <c r="AF114" i="18"/>
  <c r="D115" i="18"/>
  <c r="C115" i="18"/>
  <c r="E115" i="18"/>
  <c r="B115" i="18"/>
  <c r="AR115" i="18" l="1"/>
  <c r="AD115" i="18"/>
  <c r="AH115" i="18"/>
  <c r="AG115" i="18"/>
  <c r="AC115" i="18"/>
  <c r="AE115" i="18"/>
  <c r="AF115" i="18"/>
  <c r="C116" i="18"/>
  <c r="D116" i="18"/>
  <c r="E116" i="18"/>
  <c r="B116" i="18"/>
  <c r="AR116" i="18" l="1"/>
  <c r="AD116" i="18"/>
  <c r="AH116" i="18"/>
  <c r="AG116" i="18"/>
  <c r="AC116" i="18"/>
  <c r="AE116" i="18"/>
  <c r="AF116" i="18"/>
  <c r="D117" i="18"/>
  <c r="E117" i="18"/>
  <c r="C117" i="18"/>
  <c r="B117" i="18"/>
  <c r="AD117" i="18" l="1"/>
  <c r="AR117" i="18"/>
  <c r="AH117" i="18"/>
  <c r="AG117" i="18"/>
  <c r="AC117" i="18"/>
  <c r="AE117" i="18"/>
  <c r="AF117" i="18"/>
  <c r="B118" i="18"/>
  <c r="C118" i="18"/>
  <c r="E118" i="18"/>
  <c r="D118" i="18"/>
  <c r="AD118" i="18" l="1"/>
  <c r="AR118" i="18"/>
  <c r="AH118" i="18"/>
  <c r="AG118" i="18"/>
  <c r="AC118" i="18"/>
  <c r="AE118" i="18"/>
  <c r="AF118" i="18"/>
  <c r="B119" i="18"/>
  <c r="D119" i="18"/>
  <c r="E119" i="18"/>
  <c r="C119" i="18"/>
  <c r="AD119" i="18" l="1"/>
  <c r="AR119" i="18"/>
  <c r="AH119" i="18"/>
  <c r="AG119" i="18"/>
  <c r="AC119" i="18"/>
  <c r="AE119" i="18"/>
  <c r="AF119" i="18"/>
  <c r="E120" i="18"/>
  <c r="B120" i="18"/>
  <c r="D120" i="18"/>
  <c r="C120" i="18"/>
  <c r="AD120" i="18" l="1"/>
  <c r="AR120" i="18"/>
  <c r="AH120" i="18"/>
  <c r="AG120" i="18"/>
  <c r="AC120" i="18"/>
  <c r="AE120" i="18"/>
  <c r="AF120" i="18"/>
  <c r="B121" i="18"/>
  <c r="C121" i="18"/>
  <c r="E121" i="18"/>
  <c r="D121" i="18"/>
  <c r="AD121" i="18" l="1"/>
  <c r="AR121" i="18"/>
  <c r="AH121" i="18"/>
  <c r="AG121" i="18"/>
  <c r="AC121" i="18"/>
  <c r="AE121" i="18"/>
  <c r="AF121" i="18"/>
  <c r="B122" i="18"/>
  <c r="C122" i="18"/>
  <c r="D122" i="18"/>
  <c r="E122" i="18"/>
  <c r="AD122" i="18" l="1"/>
  <c r="AR122" i="18"/>
  <c r="AH122" i="18"/>
  <c r="AG122" i="18"/>
  <c r="AC122" i="18"/>
  <c r="AE122" i="18"/>
  <c r="AF122" i="18"/>
  <c r="B123" i="18"/>
  <c r="C123" i="18"/>
  <c r="D123" i="18"/>
  <c r="E123" i="18"/>
  <c r="AD123" i="18" l="1"/>
  <c r="AR123" i="18"/>
  <c r="AH123" i="18"/>
  <c r="AG123" i="18"/>
  <c r="AC123" i="18"/>
  <c r="AE123" i="18"/>
  <c r="AF123" i="18"/>
  <c r="B124" i="18"/>
  <c r="C124" i="18"/>
  <c r="D124" i="18"/>
  <c r="E124" i="18"/>
  <c r="AD124" i="18" l="1"/>
  <c r="AR124" i="18"/>
  <c r="AH124" i="18"/>
  <c r="AG124" i="18"/>
  <c r="AC124" i="18"/>
  <c r="AE124" i="18"/>
  <c r="AF124" i="18"/>
  <c r="B125" i="18"/>
  <c r="C125" i="18"/>
  <c r="D125" i="18"/>
  <c r="E125" i="18"/>
  <c r="AD125" i="18" l="1"/>
  <c r="AR125" i="18"/>
  <c r="AH125" i="18"/>
  <c r="AG125" i="18"/>
  <c r="AC125" i="18"/>
  <c r="AE125" i="18"/>
  <c r="AF125" i="18"/>
  <c r="B126" i="18"/>
  <c r="D126" i="18"/>
  <c r="C126" i="18"/>
  <c r="E126" i="18"/>
  <c r="AR126" i="18" l="1"/>
  <c r="AD126" i="18"/>
  <c r="AH126" i="18"/>
  <c r="AG126" i="18"/>
  <c r="AE126" i="18"/>
  <c r="AC126" i="18"/>
  <c r="AF126" i="18"/>
  <c r="B127" i="18"/>
  <c r="C127" i="18"/>
  <c r="D127" i="18"/>
  <c r="E127" i="18"/>
  <c r="AR127" i="18" l="1"/>
  <c r="AD127" i="18"/>
  <c r="AH127" i="18"/>
  <c r="AG127" i="18"/>
  <c r="AC127" i="18"/>
  <c r="AE127" i="18"/>
  <c r="AF127" i="18"/>
  <c r="B128" i="18"/>
  <c r="C128" i="18"/>
  <c r="D128" i="18"/>
  <c r="E128" i="18"/>
  <c r="AR128" i="18" l="1"/>
  <c r="AD128" i="18"/>
  <c r="AH128" i="18"/>
  <c r="AG128" i="18"/>
  <c r="AC128" i="18"/>
  <c r="AE128" i="18"/>
  <c r="AF128" i="18"/>
  <c r="C129" i="18"/>
  <c r="D129" i="18"/>
  <c r="B129" i="18"/>
  <c r="E129" i="18"/>
  <c r="AD129" i="18" l="1"/>
  <c r="AR129" i="18"/>
  <c r="AH129" i="18"/>
  <c r="AG129" i="18"/>
  <c r="AC129" i="18"/>
  <c r="AE129" i="18"/>
  <c r="AF129" i="18"/>
  <c r="C130" i="18"/>
  <c r="B130" i="18"/>
  <c r="D130" i="18"/>
  <c r="E130" i="18"/>
  <c r="AD130" i="18" l="1"/>
  <c r="AR130" i="18"/>
  <c r="AH130" i="18"/>
  <c r="AG130" i="18"/>
  <c r="AC130" i="18"/>
  <c r="AE130" i="18"/>
  <c r="AF130" i="18"/>
  <c r="B131" i="18"/>
  <c r="C131" i="18"/>
  <c r="E131" i="18"/>
  <c r="D131" i="18"/>
  <c r="AD131" i="18" l="1"/>
  <c r="AR131" i="18"/>
  <c r="AH131" i="18"/>
  <c r="AG131" i="18"/>
  <c r="AC131" i="18"/>
  <c r="AE131" i="18"/>
  <c r="AF131" i="18"/>
  <c r="B132" i="18"/>
  <c r="D132" i="18"/>
  <c r="E132" i="18"/>
  <c r="C132" i="18"/>
  <c r="AD132" i="18" l="1"/>
  <c r="AR132" i="18"/>
  <c r="AH132" i="18"/>
  <c r="AG132" i="18"/>
  <c r="AC132" i="18"/>
  <c r="AE132" i="18"/>
  <c r="AF132" i="18"/>
  <c r="B133" i="18"/>
  <c r="C133" i="18"/>
  <c r="D133" i="18"/>
  <c r="E133" i="18"/>
  <c r="AD133" i="18" l="1"/>
  <c r="AR133" i="18"/>
  <c r="AH133" i="18"/>
  <c r="AG133" i="18"/>
  <c r="AC133" i="18"/>
  <c r="AE133" i="18"/>
  <c r="AF133" i="18"/>
  <c r="B134" i="18"/>
  <c r="D134" i="18"/>
  <c r="E134" i="18"/>
  <c r="C134" i="18"/>
  <c r="AD134" i="18" l="1"/>
  <c r="AR134" i="18"/>
  <c r="AH134" i="18"/>
  <c r="AG134" i="18"/>
  <c r="AC134" i="18"/>
  <c r="AE134" i="18"/>
  <c r="AF134" i="18"/>
  <c r="B135" i="18"/>
  <c r="D135" i="18"/>
  <c r="E135" i="18"/>
  <c r="C135" i="18"/>
  <c r="AD135" i="18" l="1"/>
  <c r="AR135" i="18"/>
  <c r="AH135" i="18"/>
  <c r="AG135" i="18"/>
  <c r="AE135" i="18"/>
  <c r="AC135" i="18"/>
  <c r="AF135" i="18"/>
  <c r="B136" i="18"/>
  <c r="D136" i="18"/>
  <c r="C136" i="18"/>
  <c r="E136" i="18"/>
  <c r="AD136" i="18" l="1"/>
  <c r="AR136" i="18"/>
  <c r="AH136" i="18"/>
  <c r="AG136" i="18"/>
  <c r="AC136" i="18"/>
  <c r="AE136" i="18"/>
  <c r="AF136" i="18"/>
  <c r="B137" i="18"/>
  <c r="D137" i="18"/>
  <c r="C137" i="18"/>
  <c r="E137" i="18"/>
  <c r="AD137" i="18" l="1"/>
  <c r="AR137" i="18"/>
  <c r="AH137" i="18"/>
  <c r="AG137" i="18"/>
  <c r="AE137" i="18"/>
  <c r="AC137" i="18"/>
  <c r="AF137" i="18"/>
  <c r="B138" i="18"/>
  <c r="D138" i="18"/>
  <c r="C138" i="18"/>
  <c r="E138" i="18"/>
  <c r="AD138" i="18" l="1"/>
  <c r="AR138" i="18"/>
  <c r="AH138" i="18"/>
  <c r="AG138" i="18"/>
  <c r="AC138" i="18"/>
  <c r="AE138" i="18"/>
  <c r="AF138" i="18"/>
  <c r="B139" i="18"/>
  <c r="D139" i="18"/>
  <c r="E139" i="18"/>
  <c r="C139" i="18"/>
  <c r="AR139" i="18" l="1"/>
  <c r="AD139" i="18"/>
  <c r="AH139" i="18"/>
  <c r="AG139" i="18"/>
  <c r="AE139" i="18"/>
  <c r="AC139" i="18"/>
  <c r="AF139" i="18"/>
  <c r="B140" i="18"/>
  <c r="C140" i="18"/>
  <c r="D140" i="18"/>
  <c r="E140" i="18"/>
  <c r="AR140" i="18" l="1"/>
  <c r="AD140" i="18"/>
  <c r="AH140" i="18"/>
  <c r="AG140" i="18"/>
  <c r="AC140" i="18"/>
  <c r="AE140" i="18"/>
  <c r="AF140" i="18"/>
  <c r="B141" i="18"/>
  <c r="D141" i="18"/>
  <c r="C141" i="18"/>
  <c r="E141" i="18"/>
  <c r="AD141" i="18" l="1"/>
  <c r="AR141" i="18"/>
  <c r="AH141" i="18"/>
  <c r="AG141" i="18"/>
  <c r="AC141" i="18"/>
  <c r="AE141" i="18"/>
  <c r="AF141" i="18"/>
  <c r="C142" i="18"/>
  <c r="D142" i="18"/>
  <c r="B142" i="18"/>
  <c r="E142" i="18"/>
  <c r="AD142" i="18" l="1"/>
  <c r="AR142" i="18"/>
  <c r="AH142" i="18"/>
  <c r="AG142" i="18"/>
  <c r="AC142" i="18"/>
  <c r="AE142" i="18"/>
  <c r="AF142" i="18"/>
  <c r="B143" i="18"/>
  <c r="C143" i="18"/>
  <c r="D143" i="18"/>
  <c r="E143" i="18"/>
  <c r="AD143" i="18" l="1"/>
  <c r="AR143" i="18"/>
  <c r="AH143" i="18"/>
  <c r="AG143" i="18"/>
  <c r="AC143" i="18"/>
  <c r="AE143" i="18"/>
  <c r="AF143" i="18"/>
  <c r="B144" i="18"/>
  <c r="C144" i="18"/>
  <c r="D144" i="18"/>
  <c r="E144" i="18"/>
  <c r="AD144" i="18" l="1"/>
  <c r="AR144" i="18"/>
  <c r="AH144" i="18"/>
  <c r="AG144" i="18"/>
  <c r="AE144" i="18"/>
  <c r="AC144" i="18"/>
  <c r="AF144" i="18"/>
  <c r="C145" i="18"/>
  <c r="B145" i="18"/>
  <c r="D145" i="18"/>
  <c r="E145" i="18"/>
  <c r="AD145" i="18" l="1"/>
  <c r="AR145" i="18"/>
  <c r="AH145" i="18"/>
  <c r="AG145" i="18"/>
  <c r="AC145" i="18"/>
  <c r="AE145" i="18"/>
  <c r="AF145" i="18"/>
  <c r="C146" i="18"/>
  <c r="B146" i="18"/>
  <c r="E146" i="18"/>
  <c r="D146" i="18"/>
  <c r="AD146" i="18" l="1"/>
  <c r="AR146" i="18"/>
  <c r="AH146" i="18"/>
  <c r="AG146" i="18"/>
  <c r="AC146" i="18"/>
  <c r="AE146" i="18"/>
  <c r="AF146" i="18"/>
  <c r="B147" i="18"/>
  <c r="C147" i="18"/>
  <c r="E147" i="18"/>
  <c r="D147" i="18"/>
  <c r="AD147" i="18" l="1"/>
  <c r="AR147" i="18"/>
  <c r="AH147" i="18"/>
  <c r="AG147" i="18"/>
  <c r="AC147" i="18"/>
  <c r="AE147" i="18"/>
  <c r="AF147" i="18"/>
  <c r="C148" i="18"/>
  <c r="B148" i="18"/>
  <c r="E148" i="18"/>
  <c r="D148" i="18"/>
  <c r="AD148" i="18" l="1"/>
  <c r="AR148" i="18"/>
  <c r="AH148" i="18"/>
  <c r="AG148" i="18"/>
  <c r="AC148" i="18"/>
  <c r="AE148" i="18"/>
  <c r="AF148" i="18"/>
  <c r="C149" i="18"/>
  <c r="B149" i="18"/>
  <c r="E149" i="18"/>
  <c r="D149" i="18"/>
  <c r="AD149" i="18" l="1"/>
  <c r="AR149" i="18"/>
  <c r="AH149" i="18"/>
  <c r="AG149" i="18"/>
  <c r="AC149" i="18"/>
  <c r="AE149" i="18"/>
  <c r="AF149" i="18"/>
  <c r="D150" i="18"/>
  <c r="B150" i="18"/>
  <c r="C150" i="18"/>
  <c r="E150" i="18"/>
  <c r="AR150" i="18" l="1"/>
  <c r="AD150" i="18"/>
  <c r="AH150" i="18"/>
  <c r="AG150" i="18"/>
  <c r="AC150" i="18"/>
  <c r="AE150" i="18"/>
  <c r="AF150" i="18"/>
  <c r="B151" i="18"/>
  <c r="D151" i="18"/>
  <c r="E151" i="18"/>
  <c r="C151" i="18"/>
  <c r="AR151" i="18" l="1"/>
  <c r="AD151" i="18"/>
  <c r="AH151" i="18"/>
  <c r="AG151" i="18"/>
  <c r="AC151" i="18"/>
  <c r="AE151" i="18"/>
  <c r="AF151" i="18"/>
  <c r="B152" i="18"/>
  <c r="C152" i="18"/>
  <c r="D152" i="18"/>
  <c r="E152" i="18"/>
  <c r="AR152" i="18" l="1"/>
  <c r="AD152" i="18"/>
  <c r="AH152" i="18"/>
  <c r="AG152" i="18"/>
  <c r="AC152" i="18"/>
  <c r="AE152" i="18"/>
  <c r="AF152" i="18"/>
  <c r="B153" i="18"/>
  <c r="D153" i="18"/>
  <c r="C153" i="18"/>
  <c r="E153" i="18"/>
  <c r="AD153" i="18" l="1"/>
  <c r="AR153" i="18"/>
  <c r="AG153" i="18"/>
  <c r="AH153" i="18"/>
  <c r="AC153" i="18"/>
  <c r="AE153" i="18"/>
  <c r="AF153" i="18"/>
  <c r="B154" i="18"/>
  <c r="C154" i="18"/>
  <c r="E154" i="18"/>
  <c r="D154" i="18"/>
  <c r="AD154" i="18" l="1"/>
  <c r="AR154" i="18"/>
  <c r="AH154" i="18"/>
  <c r="AG154" i="18"/>
  <c r="AC154" i="18"/>
  <c r="AE154" i="18"/>
  <c r="AF154" i="18"/>
  <c r="B155" i="18"/>
  <c r="D155" i="18"/>
  <c r="C155" i="18"/>
  <c r="E155" i="18"/>
  <c r="AD155" i="18" l="1"/>
  <c r="AR155" i="18"/>
  <c r="AH155" i="18"/>
  <c r="AG155" i="18"/>
  <c r="AC155" i="18"/>
  <c r="AE155" i="18"/>
  <c r="AF155" i="18"/>
  <c r="B156" i="18"/>
  <c r="C156" i="18"/>
  <c r="D156" i="18"/>
  <c r="E156" i="18"/>
  <c r="AD156" i="18" l="1"/>
  <c r="AR156" i="18"/>
  <c r="AH156" i="18"/>
  <c r="AG156" i="18"/>
  <c r="AC156" i="18"/>
  <c r="AE156" i="18"/>
  <c r="AF156" i="18"/>
  <c r="C157" i="18"/>
  <c r="B157" i="18"/>
  <c r="E157" i="18"/>
  <c r="D157" i="18"/>
  <c r="AD157" i="18" l="1"/>
  <c r="AR157" i="18"/>
  <c r="AH157" i="18"/>
  <c r="AG157" i="18"/>
  <c r="AC157" i="18"/>
  <c r="AE157" i="18"/>
  <c r="AF157" i="18"/>
  <c r="C158" i="18"/>
  <c r="D158" i="18"/>
  <c r="B158" i="18"/>
  <c r="E158" i="18"/>
  <c r="AD158" i="18" l="1"/>
  <c r="AR158" i="18"/>
  <c r="AH158" i="18"/>
  <c r="AG158" i="18"/>
  <c r="AE158" i="18"/>
  <c r="AC158" i="18"/>
  <c r="AF158" i="18"/>
  <c r="C159" i="18"/>
  <c r="D159" i="18"/>
  <c r="B159" i="18"/>
  <c r="E159" i="18"/>
  <c r="AD159" i="18" l="1"/>
  <c r="AR159" i="18"/>
  <c r="AH159" i="18"/>
  <c r="AG159" i="18"/>
  <c r="AC159" i="18"/>
  <c r="AE159" i="18"/>
  <c r="AF159" i="18"/>
  <c r="B160" i="18"/>
  <c r="C160" i="18"/>
  <c r="D160" i="18"/>
  <c r="E160" i="18"/>
  <c r="AD160" i="18" l="1"/>
  <c r="AR160" i="18"/>
  <c r="AH160" i="18"/>
  <c r="AG160" i="18"/>
  <c r="AE160" i="18"/>
  <c r="AC160" i="18"/>
  <c r="AF160" i="18"/>
  <c r="B161" i="18"/>
  <c r="D161" i="18"/>
  <c r="E161" i="18"/>
  <c r="C161" i="18"/>
  <c r="AD161" i="18" l="1"/>
  <c r="AR161" i="18"/>
  <c r="AH161" i="18"/>
  <c r="AG161" i="18"/>
  <c r="AC161" i="18"/>
  <c r="AE161" i="18"/>
  <c r="AF161" i="18"/>
  <c r="B162" i="18"/>
  <c r="D162" i="18"/>
  <c r="C162" i="18"/>
  <c r="E162" i="18"/>
  <c r="AD162" i="18" l="1"/>
  <c r="AR162" i="18"/>
  <c r="AH162" i="18"/>
  <c r="AG162" i="18"/>
  <c r="AC162" i="18"/>
  <c r="AE162" i="18"/>
  <c r="AF162" i="18"/>
  <c r="B163" i="18"/>
  <c r="D163" i="18"/>
  <c r="E163" i="18"/>
  <c r="C163" i="18"/>
  <c r="AR163" i="18" l="1"/>
  <c r="AD163" i="18"/>
  <c r="AH163" i="18"/>
  <c r="AG163" i="18"/>
  <c r="AE163" i="18"/>
  <c r="AC163" i="18"/>
  <c r="AF163" i="18"/>
  <c r="B164" i="18"/>
  <c r="C164" i="18"/>
  <c r="D164" i="18"/>
  <c r="E164" i="18"/>
  <c r="AR164" i="18" l="1"/>
  <c r="AD164" i="18"/>
  <c r="AH164" i="18"/>
  <c r="AG164" i="18"/>
  <c r="AC164" i="18"/>
  <c r="AE164" i="18"/>
  <c r="AF164" i="18"/>
  <c r="B165" i="18"/>
  <c r="D165" i="18"/>
  <c r="E165" i="18"/>
  <c r="C165" i="18"/>
  <c r="AD165" i="18" l="1"/>
  <c r="AR165" i="18"/>
  <c r="AH165" i="18"/>
  <c r="AG165" i="18"/>
  <c r="AC165" i="18"/>
  <c r="AE165" i="18"/>
  <c r="AF165" i="18"/>
  <c r="B166" i="18"/>
  <c r="C166" i="18"/>
  <c r="D166" i="18"/>
  <c r="E166" i="18"/>
  <c r="AD166" i="18" l="1"/>
  <c r="AR166" i="18"/>
  <c r="AH166" i="18"/>
  <c r="AG166" i="18"/>
  <c r="AE166" i="18"/>
  <c r="AC166" i="18"/>
  <c r="AF166" i="18"/>
  <c r="B167" i="18"/>
  <c r="C167" i="18"/>
  <c r="D167" i="18"/>
  <c r="E167" i="18"/>
  <c r="AD167" i="18" l="1"/>
  <c r="AR167" i="18"/>
  <c r="AH167" i="18"/>
  <c r="AG167" i="18"/>
  <c r="AC167" i="18"/>
  <c r="AE167" i="18"/>
  <c r="AF167" i="18"/>
  <c r="B168" i="18"/>
  <c r="C168" i="18"/>
  <c r="D168" i="18"/>
  <c r="E168" i="18"/>
  <c r="AD168" i="18" l="1"/>
  <c r="AR168" i="18"/>
  <c r="AH168" i="18"/>
  <c r="AG168" i="18"/>
  <c r="AE168" i="18"/>
  <c r="AC168" i="18"/>
  <c r="AF168" i="18"/>
  <c r="B169" i="18"/>
  <c r="C169" i="18"/>
  <c r="D169" i="18"/>
  <c r="E169" i="18"/>
  <c r="AD169" i="18" l="1"/>
  <c r="AR169" i="18"/>
  <c r="AH169" i="18"/>
  <c r="AG169" i="18"/>
  <c r="AC169" i="18"/>
  <c r="AE169" i="18"/>
  <c r="AF169" i="18"/>
  <c r="B170" i="18"/>
  <c r="C170" i="18"/>
  <c r="D170" i="18"/>
  <c r="E170" i="18"/>
  <c r="AD170" i="18" l="1"/>
  <c r="AR170" i="18"/>
  <c r="AH170" i="18"/>
  <c r="AG170" i="18"/>
  <c r="AE170" i="18"/>
  <c r="AC170" i="18"/>
  <c r="AF170" i="18"/>
  <c r="C171" i="18"/>
  <c r="B171" i="18"/>
  <c r="D171" i="18"/>
  <c r="E171" i="18"/>
  <c r="AD171" i="18" l="1"/>
  <c r="AR171" i="18"/>
  <c r="AH171" i="18"/>
  <c r="AG171" i="18"/>
  <c r="AC171" i="18"/>
  <c r="AE171" i="18"/>
  <c r="AF171" i="18"/>
  <c r="C172" i="18"/>
  <c r="B172" i="18"/>
  <c r="E172" i="18"/>
  <c r="D172" i="18"/>
  <c r="AD172" i="18" l="1"/>
  <c r="AR172" i="18"/>
  <c r="AH172" i="18"/>
  <c r="AG172" i="18"/>
  <c r="AC172" i="18"/>
  <c r="AE172" i="18"/>
  <c r="AF172" i="18"/>
  <c r="B173" i="18"/>
  <c r="C173" i="18"/>
  <c r="E173" i="18"/>
  <c r="D173" i="18"/>
  <c r="AD173" i="18" l="1"/>
  <c r="AR173" i="18"/>
  <c r="AH173" i="18"/>
  <c r="AG173" i="18"/>
  <c r="AC173" i="18"/>
  <c r="AE173" i="18"/>
  <c r="AF173" i="18"/>
  <c r="D174" i="18"/>
  <c r="C174" i="18"/>
  <c r="E174" i="18"/>
  <c r="B174" i="18"/>
  <c r="AD174" i="18" l="1"/>
  <c r="AR174" i="18"/>
  <c r="AH174" i="18"/>
  <c r="AG174" i="18"/>
  <c r="AC174" i="18"/>
  <c r="AE174" i="18"/>
  <c r="AF174" i="18"/>
  <c r="D175" i="18"/>
  <c r="E175" i="18"/>
  <c r="B175" i="18"/>
  <c r="C175" i="18"/>
  <c r="AR175" i="18" l="1"/>
  <c r="AD175" i="18"/>
  <c r="AH175" i="18"/>
  <c r="AG175" i="18"/>
  <c r="AC175" i="18"/>
  <c r="AE175" i="18"/>
  <c r="AF175" i="18"/>
  <c r="C176" i="18"/>
  <c r="D176" i="18"/>
  <c r="E176" i="18"/>
  <c r="B176" i="18"/>
  <c r="AR176" i="18" l="1"/>
  <c r="AD176" i="18"/>
  <c r="AH176" i="18"/>
  <c r="AG176" i="18"/>
  <c r="AE176" i="18"/>
  <c r="AC176" i="18"/>
  <c r="AF176" i="18"/>
  <c r="B177" i="18"/>
  <c r="D177" i="18"/>
  <c r="E177" i="18"/>
  <c r="C177" i="18"/>
  <c r="AD177" i="18" l="1"/>
  <c r="AR177" i="18"/>
  <c r="AH177" i="18"/>
  <c r="AG177" i="18"/>
  <c r="AC177" i="18"/>
  <c r="AE177" i="18"/>
  <c r="AF177" i="18"/>
  <c r="B178" i="18"/>
  <c r="D178" i="18"/>
  <c r="E178" i="18"/>
  <c r="C178" i="18"/>
  <c r="AD178" i="18" l="1"/>
  <c r="AR178" i="18"/>
  <c r="AH178" i="18"/>
  <c r="AG178" i="18"/>
  <c r="AE178" i="18"/>
  <c r="AC178" i="18"/>
  <c r="AF178" i="18"/>
  <c r="B179" i="18"/>
  <c r="D179" i="18"/>
  <c r="E179" i="18"/>
  <c r="C179" i="18"/>
  <c r="AD179" i="18" l="1"/>
  <c r="AR179" i="18"/>
  <c r="AH179" i="18"/>
  <c r="AG179" i="18"/>
  <c r="AC179" i="18"/>
  <c r="AE179" i="18"/>
  <c r="AF179" i="18"/>
  <c r="B180" i="18"/>
  <c r="D180" i="18"/>
  <c r="C180" i="18"/>
  <c r="E180" i="18"/>
  <c r="AD180" i="18" l="1"/>
  <c r="AR180" i="18"/>
  <c r="AH180" i="18"/>
  <c r="AG180" i="18"/>
  <c r="AE180" i="18"/>
  <c r="AC180" i="18"/>
  <c r="AF180" i="18"/>
  <c r="C181" i="18"/>
  <c r="D181" i="18"/>
  <c r="E181" i="18"/>
  <c r="B181" i="18"/>
  <c r="AD181" i="18" l="1"/>
  <c r="AR181" i="18"/>
  <c r="AH181" i="18"/>
  <c r="AG181" i="18"/>
  <c r="AC181" i="18"/>
  <c r="AE181" i="18"/>
  <c r="AF181" i="18"/>
  <c r="B182" i="18"/>
  <c r="C182" i="18"/>
  <c r="E182" i="18"/>
  <c r="D182" i="18"/>
  <c r="AD182" i="18" l="1"/>
  <c r="AR182" i="18"/>
  <c r="AH182" i="18"/>
  <c r="AG182" i="18"/>
  <c r="AC182" i="18"/>
  <c r="AE182" i="18"/>
  <c r="AF182" i="18"/>
  <c r="B183" i="18"/>
  <c r="C183" i="18"/>
  <c r="E183" i="18"/>
  <c r="D183" i="18"/>
  <c r="AD183" i="18" l="1"/>
  <c r="AR183" i="18"/>
  <c r="AH183" i="18"/>
  <c r="AG183" i="18"/>
  <c r="AC183" i="18"/>
  <c r="AE183" i="18"/>
  <c r="AF183" i="18"/>
  <c r="B184" i="18"/>
  <c r="C184" i="18"/>
  <c r="E184" i="18"/>
  <c r="D184" i="18"/>
  <c r="AD184" i="18" l="1"/>
  <c r="AR184" i="18"/>
  <c r="AH184" i="18"/>
  <c r="AG184" i="18"/>
  <c r="AC184" i="18"/>
  <c r="AE184" i="18"/>
  <c r="AF184" i="18"/>
  <c r="C185" i="18"/>
  <c r="B185" i="18"/>
  <c r="D185" i="18"/>
  <c r="E185" i="18"/>
  <c r="AD185" i="18" l="1"/>
  <c r="AR185" i="18"/>
  <c r="AH185" i="18"/>
  <c r="AG185" i="18"/>
  <c r="AC185" i="18"/>
  <c r="AE185" i="18"/>
  <c r="AF185" i="18"/>
  <c r="B186" i="18"/>
  <c r="D186" i="18"/>
  <c r="C186" i="18"/>
  <c r="E186" i="18"/>
  <c r="AR186" i="18" l="1"/>
  <c r="AD186" i="18"/>
  <c r="AH186" i="18"/>
  <c r="AG186" i="18"/>
  <c r="AC186" i="18"/>
  <c r="AE186" i="18"/>
  <c r="AF186" i="18"/>
  <c r="D187" i="18"/>
  <c r="C187" i="18"/>
  <c r="E187" i="18"/>
  <c r="B187" i="18"/>
  <c r="AR187" i="18" l="1"/>
  <c r="AD187" i="18"/>
  <c r="AH187" i="18"/>
  <c r="AG187" i="18"/>
  <c r="AE187" i="18"/>
  <c r="AC187" i="18"/>
  <c r="AF187" i="18"/>
  <c r="C188" i="18"/>
  <c r="E188" i="18"/>
  <c r="D188" i="18"/>
  <c r="B188" i="18"/>
  <c r="AR188" i="18" l="1"/>
  <c r="AD188" i="18"/>
  <c r="AH188" i="18"/>
  <c r="AG188" i="18"/>
  <c r="AC188" i="18"/>
  <c r="AE188" i="18"/>
  <c r="AF188" i="18"/>
  <c r="B189" i="18"/>
  <c r="C189" i="18"/>
  <c r="D189" i="18"/>
  <c r="E189" i="18"/>
  <c r="AD189" i="18" l="1"/>
  <c r="AR189" i="18"/>
  <c r="AH189" i="18"/>
  <c r="AG189" i="18"/>
  <c r="AE189" i="18"/>
  <c r="AC189" i="18"/>
  <c r="AF189" i="18"/>
  <c r="B190" i="18"/>
  <c r="D190" i="18"/>
  <c r="C190" i="18"/>
  <c r="E190" i="18"/>
  <c r="AD190" i="18" l="1"/>
  <c r="AR190" i="18"/>
  <c r="AH190" i="18"/>
  <c r="AG190" i="18"/>
  <c r="AC190" i="18"/>
  <c r="AE190" i="18"/>
  <c r="AF190" i="18"/>
  <c r="B191" i="18"/>
  <c r="C191" i="18"/>
  <c r="D191" i="18"/>
  <c r="E191" i="18"/>
  <c r="AD191" i="18" l="1"/>
  <c r="AR191" i="18"/>
  <c r="AH191" i="18"/>
  <c r="AG191" i="18"/>
  <c r="AC191" i="18"/>
  <c r="AE191" i="18"/>
  <c r="AF191" i="18"/>
  <c r="B192" i="18"/>
  <c r="C192" i="18"/>
  <c r="D192" i="18"/>
  <c r="E192" i="18"/>
  <c r="AD192" i="18" l="1"/>
  <c r="AR192" i="18"/>
  <c r="AH192" i="18"/>
  <c r="AG192" i="18"/>
  <c r="AC192" i="18"/>
  <c r="AE192" i="18"/>
  <c r="AF192" i="18"/>
  <c r="B193" i="18"/>
  <c r="C193" i="18"/>
  <c r="D193" i="18"/>
  <c r="E193" i="18"/>
  <c r="AD193" i="18" l="1"/>
  <c r="AR193" i="18"/>
  <c r="AH193" i="18"/>
  <c r="AG193" i="18"/>
  <c r="AE193" i="18"/>
  <c r="AC193" i="18"/>
  <c r="AF193" i="18"/>
  <c r="B194" i="18"/>
  <c r="D194" i="18"/>
  <c r="C194" i="18"/>
  <c r="E194" i="18"/>
  <c r="AD194" i="18" l="1"/>
  <c r="AR194" i="18"/>
  <c r="AH194" i="18"/>
  <c r="AG194" i="18"/>
  <c r="AC194" i="18"/>
  <c r="AE194" i="18"/>
  <c r="AF194" i="18"/>
  <c r="B195" i="18"/>
  <c r="D195" i="18"/>
  <c r="C195" i="18"/>
  <c r="E195" i="18"/>
  <c r="AD195" i="18" l="1"/>
  <c r="AR195" i="18"/>
  <c r="AH195" i="18"/>
  <c r="AG195" i="18"/>
  <c r="AC195" i="18"/>
  <c r="AE195" i="18"/>
  <c r="AF195" i="18"/>
  <c r="B196" i="18"/>
  <c r="D196" i="18"/>
  <c r="C196" i="18"/>
  <c r="E196" i="18"/>
  <c r="AD196" i="18" l="1"/>
  <c r="AR196" i="18"/>
  <c r="AH196" i="18"/>
  <c r="AG196" i="18"/>
  <c r="AC196" i="18"/>
  <c r="AE196" i="18"/>
  <c r="AF196" i="18"/>
  <c r="B197" i="18"/>
  <c r="D197" i="18"/>
  <c r="E197" i="18"/>
  <c r="C197" i="18"/>
  <c r="AD197" i="18" l="1"/>
  <c r="AR197" i="18"/>
  <c r="AH197" i="18"/>
  <c r="AG197" i="18"/>
  <c r="AC197" i="18"/>
  <c r="AE197" i="18"/>
  <c r="AF197" i="18"/>
  <c r="B198" i="18"/>
  <c r="D198" i="18"/>
  <c r="E198" i="18"/>
  <c r="C198" i="18"/>
  <c r="AD198" i="18" l="1"/>
  <c r="AR198" i="18"/>
  <c r="AH198" i="18"/>
  <c r="AG198" i="18"/>
  <c r="AE198" i="18"/>
  <c r="AC198" i="18"/>
  <c r="AF198" i="18"/>
  <c r="C199" i="18"/>
  <c r="D199" i="18"/>
  <c r="B199" i="18"/>
  <c r="E199" i="18"/>
  <c r="AR199" i="18" l="1"/>
  <c r="AD199" i="18"/>
  <c r="AH199" i="18"/>
  <c r="AG199" i="18"/>
  <c r="AC199" i="18"/>
  <c r="AE199" i="18"/>
  <c r="AF199" i="18"/>
  <c r="C200" i="18"/>
  <c r="B200" i="18"/>
  <c r="E200" i="18"/>
  <c r="D200" i="18"/>
  <c r="AR200" i="18" l="1"/>
  <c r="AD200" i="18"/>
  <c r="AH200" i="18"/>
  <c r="AG200" i="18"/>
  <c r="AC200" i="18"/>
  <c r="AE200" i="18"/>
  <c r="AF200" i="18"/>
  <c r="B201" i="18"/>
  <c r="C201" i="18"/>
  <c r="D201" i="18"/>
  <c r="E201" i="18"/>
  <c r="AD201" i="18" l="1"/>
  <c r="AR201" i="18"/>
  <c r="AH201" i="18"/>
  <c r="AG201" i="18"/>
  <c r="AC201" i="18"/>
  <c r="AE201" i="18"/>
  <c r="AF201" i="18"/>
  <c r="B202" i="18"/>
  <c r="C202" i="18"/>
  <c r="D202" i="18"/>
  <c r="E202" i="18"/>
  <c r="AD202" i="18" l="1"/>
  <c r="AR202" i="18"/>
  <c r="AH202" i="18"/>
  <c r="AG202" i="18"/>
  <c r="AC202" i="18"/>
  <c r="AE202" i="18"/>
  <c r="AF202" i="18"/>
  <c r="C203" i="18"/>
  <c r="B203" i="18"/>
  <c r="E203" i="18"/>
  <c r="D203" i="18"/>
  <c r="AD203" i="18" l="1"/>
  <c r="AR203" i="18"/>
  <c r="AH203" i="18"/>
  <c r="AG203" i="18"/>
  <c r="AC203" i="18"/>
  <c r="AE203" i="18"/>
  <c r="AF203" i="18"/>
  <c r="B204" i="18"/>
  <c r="D204" i="18"/>
  <c r="E204" i="18"/>
  <c r="C204" i="18"/>
  <c r="AD204" i="18" l="1"/>
  <c r="AR204" i="18"/>
  <c r="AH204" i="18"/>
  <c r="AG204" i="18"/>
  <c r="AE204" i="18"/>
  <c r="AC204" i="18"/>
  <c r="AF204" i="18"/>
  <c r="B205" i="18"/>
  <c r="C205" i="18"/>
  <c r="E205" i="18"/>
  <c r="D205" i="18"/>
  <c r="AD205" i="18" l="1"/>
  <c r="AR205" i="18"/>
  <c r="AH205" i="18"/>
  <c r="AG205" i="18"/>
  <c r="AC205" i="18"/>
  <c r="AE205" i="18"/>
  <c r="AF205" i="18"/>
  <c r="B206" i="18"/>
  <c r="C206" i="18"/>
  <c r="E206" i="18"/>
  <c r="D206" i="18"/>
  <c r="AD206" i="18" l="1"/>
  <c r="AR206" i="18"/>
  <c r="AH206" i="18"/>
  <c r="AG206" i="18"/>
  <c r="AC206" i="18"/>
  <c r="AE206" i="18"/>
  <c r="AF206" i="18"/>
  <c r="B207" i="18"/>
  <c r="D207" i="18"/>
  <c r="E207" i="18"/>
  <c r="C207" i="18"/>
  <c r="AD207" i="18" l="1"/>
  <c r="E11" i="10" s="1"/>
  <c r="I11" i="10" s="1"/>
  <c r="AR207" i="18"/>
  <c r="AH207" i="18"/>
  <c r="AG207" i="18"/>
  <c r="AC207" i="18"/>
  <c r="C11" i="10" s="1"/>
  <c r="AE207" i="18"/>
  <c r="C17" i="13" s="1"/>
  <c r="AF207" i="18"/>
  <c r="C16" i="13"/>
  <c r="G11" i="10" l="1"/>
  <c r="G5" i="1"/>
  <c r="A5" i="1" l="1"/>
  <c r="B5" i="1"/>
  <c r="G6" i="1"/>
  <c r="I2" i="18"/>
  <c r="G2" i="18"/>
  <c r="I3" i="18"/>
  <c r="G3" i="18"/>
  <c r="AA445" i="4"/>
  <c r="AA450" i="4"/>
  <c r="AA442" i="4"/>
  <c r="AA443" i="4"/>
  <c r="AA448" i="4"/>
  <c r="AA451" i="4"/>
  <c r="AA277" i="4"/>
  <c r="AA276" i="4"/>
  <c r="AA272" i="4"/>
  <c r="AA273" i="4"/>
  <c r="AA279" i="4"/>
  <c r="AA278" i="4"/>
  <c r="AA175" i="4"/>
  <c r="AA177" i="4"/>
  <c r="AA171" i="4"/>
  <c r="AA170" i="4"/>
  <c r="X13" i="4"/>
  <c r="I3" i="11"/>
  <c r="J3" i="11"/>
  <c r="W13" i="4"/>
  <c r="I27" i="4"/>
  <c r="I11" i="4"/>
  <c r="I4" i="4"/>
  <c r="J34" i="4"/>
  <c r="I33" i="4"/>
  <c r="J19" i="4"/>
  <c r="J30" i="4"/>
  <c r="I31" i="4"/>
  <c r="I34" i="4"/>
  <c r="I7" i="4"/>
  <c r="W16" i="4"/>
  <c r="J29" i="4"/>
  <c r="W31" i="4"/>
  <c r="I32" i="4"/>
  <c r="J8" i="4"/>
  <c r="J24" i="4"/>
  <c r="I30" i="4"/>
  <c r="I8" i="4"/>
  <c r="I44" i="4"/>
  <c r="J9" i="4"/>
  <c r="X14" i="4"/>
  <c r="I9" i="4"/>
  <c r="W29" i="4"/>
  <c r="X33" i="4"/>
  <c r="J32" i="4"/>
  <c r="J20" i="4"/>
  <c r="J4" i="4"/>
  <c r="W15" i="4"/>
  <c r="J46" i="4"/>
  <c r="J13" i="4"/>
  <c r="W45" i="4"/>
  <c r="W28" i="4"/>
  <c r="I26" i="4"/>
  <c r="AA51" i="4"/>
  <c r="W32" i="4"/>
  <c r="I36" i="4"/>
  <c r="X30" i="4"/>
  <c r="J18" i="4"/>
  <c r="AA26" i="4"/>
  <c r="I47" i="4"/>
  <c r="X18" i="4"/>
  <c r="X47" i="4"/>
  <c r="W14" i="4"/>
  <c r="J21" i="4"/>
  <c r="I5" i="4"/>
  <c r="J17" i="4"/>
  <c r="X45" i="4"/>
  <c r="I15" i="4"/>
  <c r="X31" i="4"/>
  <c r="W43" i="4"/>
  <c r="X32" i="4"/>
  <c r="J26" i="4"/>
  <c r="W33" i="4"/>
  <c r="J6" i="4"/>
  <c r="J42" i="4"/>
  <c r="I17" i="4"/>
  <c r="J7" i="4"/>
  <c r="I18" i="4"/>
  <c r="W30" i="4"/>
  <c r="AA22" i="4"/>
  <c r="I19" i="4"/>
  <c r="J36" i="4"/>
  <c r="W44" i="4"/>
  <c r="I12" i="4"/>
  <c r="J14" i="4"/>
  <c r="I45" i="4"/>
  <c r="I6" i="4"/>
  <c r="I21" i="4"/>
  <c r="J33" i="4"/>
  <c r="I14" i="4"/>
  <c r="AA56" i="4"/>
  <c r="J27" i="4"/>
  <c r="AA57" i="4"/>
  <c r="J15" i="4"/>
  <c r="X48" i="4"/>
  <c r="AA25" i="4"/>
  <c r="X16" i="4"/>
  <c r="I48" i="4"/>
  <c r="J10" i="4"/>
  <c r="J37" i="4"/>
  <c r="J41" i="4"/>
  <c r="I13" i="4"/>
  <c r="I41" i="4"/>
  <c r="I25" i="4"/>
  <c r="I46" i="4"/>
  <c r="J5" i="4"/>
  <c r="I22" i="4"/>
  <c r="J25" i="4"/>
  <c r="I24" i="4"/>
  <c r="J22" i="4"/>
  <c r="J23" i="4"/>
  <c r="J11" i="4"/>
  <c r="I10" i="4"/>
  <c r="W17" i="4"/>
  <c r="J38" i="4"/>
  <c r="X17" i="4"/>
  <c r="J48" i="4"/>
  <c r="X15" i="4"/>
  <c r="X29" i="4"/>
  <c r="J12" i="4"/>
  <c r="I29" i="4"/>
  <c r="I28" i="4"/>
  <c r="I23" i="4"/>
  <c r="J28" i="4"/>
  <c r="X44" i="4"/>
  <c r="J39" i="4"/>
  <c r="J44" i="4"/>
  <c r="W18" i="4"/>
  <c r="J16" i="4"/>
  <c r="I16" i="4"/>
  <c r="I43" i="4"/>
  <c r="W46" i="4"/>
  <c r="W48" i="4"/>
  <c r="I42" i="4"/>
  <c r="AA41" i="4"/>
  <c r="I40" i="4"/>
  <c r="I20" i="4"/>
  <c r="X46" i="4"/>
  <c r="X43" i="4"/>
  <c r="X28" i="4"/>
  <c r="J31" i="4"/>
  <c r="I38" i="4"/>
  <c r="F4" i="18"/>
  <c r="F3" i="18"/>
  <c r="F2" i="18"/>
  <c r="Y3" i="18"/>
  <c r="AB2" i="18"/>
  <c r="K2" i="18"/>
  <c r="K3" i="18"/>
  <c r="AA3" i="18"/>
  <c r="Z2" i="18"/>
  <c r="X4" i="18"/>
  <c r="K4" i="18"/>
  <c r="AB3" i="18"/>
  <c r="Y4" i="18"/>
  <c r="L2" i="18"/>
  <c r="AB4" i="18"/>
  <c r="M2" i="18"/>
  <c r="M3" i="18"/>
  <c r="Y2" i="18"/>
  <c r="X2" i="18"/>
  <c r="N3" i="18"/>
  <c r="Z4" i="18"/>
  <c r="AA2" i="18"/>
  <c r="L4" i="18"/>
  <c r="M4" i="18"/>
  <c r="X3" i="18"/>
  <c r="AA4" i="18"/>
  <c r="N4" i="18"/>
  <c r="Z3" i="18"/>
  <c r="N2" i="18"/>
  <c r="L3" i="18"/>
  <c r="I39" i="4" l="1"/>
  <c r="K39" i="4" s="1"/>
  <c r="J43" i="4"/>
  <c r="I37" i="4"/>
  <c r="K37" i="4" s="1"/>
  <c r="J47" i="4"/>
  <c r="K47" i="4" s="1"/>
  <c r="J40" i="4"/>
  <c r="K40" i="4" s="1"/>
  <c r="J35" i="4"/>
  <c r="I35" i="4"/>
  <c r="I4" i="18"/>
  <c r="U4" i="18" s="1"/>
  <c r="G4" i="18"/>
  <c r="W47" i="4"/>
  <c r="AA47" i="4" s="1"/>
  <c r="J45" i="4"/>
  <c r="K45" i="4" s="1"/>
  <c r="B6" i="1"/>
  <c r="A6" i="1"/>
  <c r="G7" i="1"/>
  <c r="K30" i="4"/>
  <c r="W3" i="18"/>
  <c r="U3" i="18"/>
  <c r="K27" i="4"/>
  <c r="W2" i="18"/>
  <c r="U2" i="18"/>
  <c r="W4" i="18"/>
  <c r="AC441" i="4"/>
  <c r="AB441" i="4"/>
  <c r="AD441" i="4"/>
  <c r="AI441" i="4" s="1"/>
  <c r="AD449" i="4"/>
  <c r="AI449" i="4" s="1"/>
  <c r="AC449" i="4"/>
  <c r="AB449" i="4"/>
  <c r="AD446" i="4"/>
  <c r="AI446" i="4" s="1"/>
  <c r="AC446" i="4"/>
  <c r="AB446" i="4"/>
  <c r="AB445" i="4"/>
  <c r="AC445" i="4"/>
  <c r="AD445" i="4"/>
  <c r="AI445" i="4" s="1"/>
  <c r="AC448" i="4"/>
  <c r="AB448" i="4"/>
  <c r="AD448" i="4"/>
  <c r="AI448" i="4" s="1"/>
  <c r="AA441" i="4"/>
  <c r="AB453" i="4"/>
  <c r="AC453" i="4"/>
  <c r="AD453" i="4"/>
  <c r="AI453" i="4" s="1"/>
  <c r="AD452" i="4"/>
  <c r="AI452" i="4" s="1"/>
  <c r="AC452" i="4"/>
  <c r="AB452" i="4"/>
  <c r="AD447" i="4"/>
  <c r="AI447" i="4" s="1"/>
  <c r="AC447" i="4"/>
  <c r="AB447" i="4"/>
  <c r="AD451" i="4"/>
  <c r="AI451" i="4" s="1"/>
  <c r="AC451" i="4"/>
  <c r="AB451" i="4"/>
  <c r="AD442" i="4"/>
  <c r="AI442" i="4" s="1"/>
  <c r="AC442" i="4"/>
  <c r="AB442" i="4"/>
  <c r="AA447" i="4"/>
  <c r="AA446" i="4"/>
  <c r="AB450" i="4"/>
  <c r="AC450" i="4"/>
  <c r="AD450" i="4"/>
  <c r="AI450" i="4" s="1"/>
  <c r="AA449" i="4"/>
  <c r="AA452" i="4"/>
  <c r="AA453" i="4"/>
  <c r="AD443" i="4"/>
  <c r="AI443" i="4" s="1"/>
  <c r="AB443" i="4"/>
  <c r="AC443" i="4"/>
  <c r="AC276" i="4"/>
  <c r="AB276" i="4"/>
  <c r="AD276" i="4"/>
  <c r="AI276" i="4" s="1"/>
  <c r="AC274" i="4"/>
  <c r="AD274" i="4"/>
  <c r="AI274" i="4" s="1"/>
  <c r="AB274" i="4"/>
  <c r="AA274" i="4"/>
  <c r="AD272" i="4"/>
  <c r="AI272" i="4" s="1"/>
  <c r="AB272" i="4"/>
  <c r="AC272" i="4"/>
  <c r="AD275" i="4"/>
  <c r="AI275" i="4" s="1"/>
  <c r="AC275" i="4"/>
  <c r="AB275" i="4"/>
  <c r="AD279" i="4"/>
  <c r="AI279" i="4" s="1"/>
  <c r="AC279" i="4"/>
  <c r="AB279" i="4"/>
  <c r="AA275" i="4"/>
  <c r="AD277" i="4"/>
  <c r="AI277" i="4" s="1"/>
  <c r="AC277" i="4"/>
  <c r="AB277" i="4"/>
  <c r="AC273" i="4"/>
  <c r="AB273" i="4"/>
  <c r="AD273" i="4"/>
  <c r="AI273" i="4" s="1"/>
  <c r="AC278" i="4"/>
  <c r="AD278" i="4"/>
  <c r="AI278" i="4" s="1"/>
  <c r="AB278" i="4"/>
  <c r="AA169" i="4"/>
  <c r="AA176" i="4"/>
  <c r="AA172" i="4"/>
  <c r="AD172" i="4"/>
  <c r="AI172" i="4" s="1"/>
  <c r="AC172" i="4"/>
  <c r="AB172" i="4"/>
  <c r="AD171" i="4"/>
  <c r="AI171" i="4" s="1"/>
  <c r="AB171" i="4"/>
  <c r="AC171" i="4"/>
  <c r="AD175" i="4"/>
  <c r="AI175" i="4" s="1"/>
  <c r="AB175" i="4"/>
  <c r="AC175" i="4"/>
  <c r="AC173" i="4"/>
  <c r="AB173" i="4"/>
  <c r="AD173" i="4"/>
  <c r="AI173" i="4" s="1"/>
  <c r="AA173" i="4"/>
  <c r="AD174" i="4"/>
  <c r="AI174" i="4" s="1"/>
  <c r="AB174" i="4"/>
  <c r="AC174" i="4"/>
  <c r="AC177" i="4"/>
  <c r="AB177" i="4"/>
  <c r="AD177" i="4"/>
  <c r="AI177" i="4" s="1"/>
  <c r="AD170" i="4"/>
  <c r="AI170" i="4" s="1"/>
  <c r="AC170" i="4"/>
  <c r="AB170" i="4"/>
  <c r="AD169" i="4"/>
  <c r="AI169" i="4" s="1"/>
  <c r="AB169" i="4"/>
  <c r="AC169" i="4"/>
  <c r="AB176" i="4"/>
  <c r="AD176" i="4"/>
  <c r="AI176" i="4" s="1"/>
  <c r="AC176" i="4"/>
  <c r="AA174" i="4"/>
  <c r="K44" i="4"/>
  <c r="K31" i="4"/>
  <c r="K11" i="4"/>
  <c r="K33" i="4"/>
  <c r="K7" i="4"/>
  <c r="AA16" i="4"/>
  <c r="AA31" i="4"/>
  <c r="K3" i="11"/>
  <c r="K36" i="4"/>
  <c r="AA12" i="4"/>
  <c r="AA19" i="4"/>
  <c r="AA11" i="4"/>
  <c r="AA6" i="4"/>
  <c r="K4" i="4"/>
  <c r="AA43" i="4"/>
  <c r="AA15" i="4"/>
  <c r="AA55" i="4"/>
  <c r="AA32" i="4"/>
  <c r="K6" i="4"/>
  <c r="AA23" i="4"/>
  <c r="K12" i="4"/>
  <c r="K5" i="4"/>
  <c r="AA45" i="4"/>
  <c r="K15" i="4"/>
  <c r="K25" i="4"/>
  <c r="AA21" i="4"/>
  <c r="AA28" i="4"/>
  <c r="AA13" i="4"/>
  <c r="K18" i="4"/>
  <c r="K14" i="4"/>
  <c r="AA35" i="4"/>
  <c r="K21" i="4"/>
  <c r="AA54" i="4"/>
  <c r="K38" i="4"/>
  <c r="K17" i="4"/>
  <c r="K41" i="4"/>
  <c r="K46" i="4"/>
  <c r="AA49" i="4"/>
  <c r="K16" i="4"/>
  <c r="AA50" i="4"/>
  <c r="K43" i="4"/>
  <c r="AA33" i="4"/>
  <c r="AA24" i="4"/>
  <c r="AA4" i="4"/>
  <c r="K13" i="4"/>
  <c r="AD40" i="4"/>
  <c r="AI40" i="4" s="1"/>
  <c r="AC40" i="4"/>
  <c r="AB40" i="4"/>
  <c r="AA44" i="4"/>
  <c r="AD50" i="4"/>
  <c r="AI50" i="4" s="1"/>
  <c r="AC50" i="4"/>
  <c r="AB50" i="4"/>
  <c r="AD29" i="4"/>
  <c r="AI29" i="4" s="1"/>
  <c r="AB29" i="4"/>
  <c r="AC29" i="4"/>
  <c r="K24" i="4"/>
  <c r="AB31" i="4"/>
  <c r="AD31" i="4"/>
  <c r="AI31" i="4" s="1"/>
  <c r="AC31" i="4"/>
  <c r="K28" i="4"/>
  <c r="AA29" i="4"/>
  <c r="AA17" i="4"/>
  <c r="AA27" i="4"/>
  <c r="K42" i="4"/>
  <c r="AD43" i="4"/>
  <c r="AI43" i="4" s="1"/>
  <c r="AC43" i="4"/>
  <c r="AB43" i="4"/>
  <c r="AB42" i="4"/>
  <c r="AD42" i="4"/>
  <c r="AI42" i="4" s="1"/>
  <c r="AC42" i="4"/>
  <c r="AD21" i="4"/>
  <c r="AI21" i="4" s="1"/>
  <c r="AB21" i="4"/>
  <c r="AC21" i="4"/>
  <c r="AD15" i="4"/>
  <c r="AB15" i="4"/>
  <c r="AC15" i="4"/>
  <c r="K32" i="4"/>
  <c r="AA8" i="4"/>
  <c r="AD26" i="4"/>
  <c r="AI26" i="4" s="1"/>
  <c r="AB26" i="4"/>
  <c r="AC26" i="4"/>
  <c r="K29" i="4"/>
  <c r="AD6" i="4"/>
  <c r="AC6" i="4"/>
  <c r="AB6" i="4"/>
  <c r="AD11" i="4"/>
  <c r="AC11" i="4"/>
  <c r="AB11" i="4"/>
  <c r="AA39" i="4"/>
  <c r="AB57" i="4"/>
  <c r="AC57" i="4"/>
  <c r="AD57" i="4"/>
  <c r="AI57" i="4" s="1"/>
  <c r="AD10" i="4"/>
  <c r="AC10" i="4"/>
  <c r="AB10" i="4"/>
  <c r="AD9" i="4"/>
  <c r="AB9" i="4"/>
  <c r="AC9" i="4"/>
  <c r="AD44" i="4"/>
  <c r="AI44" i="4" s="1"/>
  <c r="AC44" i="4"/>
  <c r="AB44" i="4"/>
  <c r="AD14" i="4"/>
  <c r="AC14" i="4"/>
  <c r="AB14" i="4"/>
  <c r="AD7" i="4"/>
  <c r="AC7" i="4"/>
  <c r="AB7" i="4"/>
  <c r="AB27" i="4"/>
  <c r="AD27" i="4"/>
  <c r="AI27" i="4" s="1"/>
  <c r="AC27" i="4"/>
  <c r="AD17" i="4"/>
  <c r="AI17" i="4" s="1"/>
  <c r="AC17" i="4"/>
  <c r="AB17" i="4"/>
  <c r="AD35" i="4"/>
  <c r="AI35" i="4" s="1"/>
  <c r="AB35" i="4"/>
  <c r="AC35" i="4"/>
  <c r="AD55" i="4"/>
  <c r="AI55" i="4" s="1"/>
  <c r="AC55" i="4"/>
  <c r="AB55" i="4"/>
  <c r="AD30" i="4"/>
  <c r="AI30" i="4" s="1"/>
  <c r="AC30" i="4"/>
  <c r="AB30" i="4"/>
  <c r="AD33" i="4"/>
  <c r="AI33" i="4" s="1"/>
  <c r="AB33" i="4"/>
  <c r="AC33" i="4"/>
  <c r="AA9" i="4"/>
  <c r="AD20" i="4"/>
  <c r="AI20" i="4" s="1"/>
  <c r="AC20" i="4"/>
  <c r="AB20" i="4"/>
  <c r="AB8" i="4"/>
  <c r="AC8" i="4"/>
  <c r="AD8" i="4"/>
  <c r="AA53" i="4"/>
  <c r="AD41" i="4"/>
  <c r="AI41" i="4" s="1"/>
  <c r="AC41" i="4"/>
  <c r="AB41" i="4"/>
  <c r="AA40" i="4"/>
  <c r="K8" i="4"/>
  <c r="AD56" i="4"/>
  <c r="AI56" i="4" s="1"/>
  <c r="AB56" i="4"/>
  <c r="AC56" i="4"/>
  <c r="AA5" i="4"/>
  <c r="AD48" i="4"/>
  <c r="AI48" i="4" s="1"/>
  <c r="AC48" i="4"/>
  <c r="AB48" i="4"/>
  <c r="AD18" i="4"/>
  <c r="AI18" i="4" s="1"/>
  <c r="AC18" i="4"/>
  <c r="AB18" i="4"/>
  <c r="K23" i="4"/>
  <c r="AD54" i="4"/>
  <c r="AI54" i="4" s="1"/>
  <c r="AC54" i="4"/>
  <c r="AB54" i="4"/>
  <c r="AA18" i="4"/>
  <c r="AA30" i="4"/>
  <c r="AB53" i="4"/>
  <c r="AD53" i="4"/>
  <c r="AI53" i="4" s="1"/>
  <c r="AC53" i="4"/>
  <c r="AD28" i="4"/>
  <c r="AI28" i="4" s="1"/>
  <c r="AB28" i="4"/>
  <c r="AC28" i="4"/>
  <c r="AA7" i="4"/>
  <c r="AA14" i="4"/>
  <c r="K9" i="4"/>
  <c r="AD25" i="4"/>
  <c r="AI25" i="4" s="1"/>
  <c r="AC25" i="4"/>
  <c r="AB25" i="4"/>
  <c r="AD51" i="4"/>
  <c r="AI51" i="4" s="1"/>
  <c r="AB51" i="4"/>
  <c r="AC51" i="4"/>
  <c r="AB4" i="4"/>
  <c r="AD4" i="4"/>
  <c r="AC4" i="4"/>
  <c r="AB46" i="4"/>
  <c r="AD46" i="4"/>
  <c r="AI46" i="4" s="1"/>
  <c r="AC46" i="4"/>
  <c r="AB38" i="4"/>
  <c r="AC38" i="4"/>
  <c r="AD38" i="4"/>
  <c r="AI38" i="4" s="1"/>
  <c r="AD24" i="4"/>
  <c r="AI24" i="4" s="1"/>
  <c r="AC24" i="4"/>
  <c r="AB24" i="4"/>
  <c r="AA52" i="4"/>
  <c r="AA20" i="4"/>
  <c r="AD45" i="4"/>
  <c r="AI45" i="4" s="1"/>
  <c r="AB45" i="4"/>
  <c r="AC45" i="4"/>
  <c r="AD39" i="4"/>
  <c r="AI39" i="4" s="1"/>
  <c r="AB39" i="4"/>
  <c r="AC39" i="4"/>
  <c r="AA34" i="4"/>
  <c r="AA10" i="4"/>
  <c r="AD13" i="4"/>
  <c r="AB13" i="4"/>
  <c r="AC13" i="4"/>
  <c r="AD37" i="4"/>
  <c r="AI37" i="4" s="1"/>
  <c r="AC37" i="4"/>
  <c r="AB37" i="4"/>
  <c r="AD36" i="4"/>
  <c r="AI36" i="4" s="1"/>
  <c r="AC36" i="4"/>
  <c r="AB36" i="4"/>
  <c r="AD52" i="4"/>
  <c r="AI52" i="4" s="1"/>
  <c r="AB52" i="4"/>
  <c r="AC52" i="4"/>
  <c r="K34" i="4"/>
  <c r="AA46" i="4"/>
  <c r="AA42" i="4"/>
  <c r="AB49" i="4"/>
  <c r="AC49" i="4"/>
  <c r="AD49" i="4"/>
  <c r="AI49" i="4" s="1"/>
  <c r="AA36" i="4"/>
  <c r="K48" i="4"/>
  <c r="K22" i="4"/>
  <c r="AA38" i="4"/>
  <c r="K10" i="4"/>
  <c r="AA48" i="4"/>
  <c r="AB12" i="4"/>
  <c r="AD12" i="4"/>
  <c r="AC12" i="4"/>
  <c r="K26" i="4"/>
  <c r="AD32" i="4"/>
  <c r="AI32" i="4" s="1"/>
  <c r="AB32" i="4"/>
  <c r="AC32" i="4"/>
  <c r="AB23" i="4"/>
  <c r="AC23" i="4"/>
  <c r="AD23" i="4"/>
  <c r="AI23" i="4" s="1"/>
  <c r="AB34" i="4"/>
  <c r="AC34" i="4"/>
  <c r="AD34" i="4"/>
  <c r="AI34" i="4" s="1"/>
  <c r="AB19" i="4"/>
  <c r="AD19" i="4"/>
  <c r="AI19" i="4" s="1"/>
  <c r="AC19" i="4"/>
  <c r="K20" i="4"/>
  <c r="AA37" i="4"/>
  <c r="AB16" i="4"/>
  <c r="AD16" i="4"/>
  <c r="AC16" i="4"/>
  <c r="AD5" i="4"/>
  <c r="AC5" i="4"/>
  <c r="AB5" i="4"/>
  <c r="K19" i="4"/>
  <c r="AD22" i="4"/>
  <c r="AI22" i="4" s="1"/>
  <c r="AB22" i="4"/>
  <c r="AC22" i="4"/>
  <c r="R2" i="18"/>
  <c r="O2" i="18"/>
  <c r="R3" i="18"/>
  <c r="O3" i="18"/>
  <c r="R4" i="18"/>
  <c r="O4" i="18"/>
  <c r="AI5" i="4" l="1"/>
  <c r="AI12" i="4"/>
  <c r="AI4" i="4"/>
  <c r="AI8" i="4"/>
  <c r="AI7" i="4"/>
  <c r="AI9" i="4"/>
  <c r="AI10" i="4"/>
  <c r="AI11" i="4"/>
  <c r="AI6" i="4"/>
  <c r="AI14" i="4"/>
  <c r="AI16" i="4"/>
  <c r="AI15" i="4"/>
  <c r="AI13" i="4"/>
  <c r="K35" i="4"/>
  <c r="AC47" i="4"/>
  <c r="AB47" i="4"/>
  <c r="AD47" i="4"/>
  <c r="AI47" i="4" s="1"/>
  <c r="T4" i="18" s="1"/>
  <c r="B7" i="1"/>
  <c r="A7" i="1"/>
  <c r="G8" i="1"/>
  <c r="G5" i="18"/>
  <c r="I5" i="18"/>
  <c r="I54" i="4"/>
  <c r="I63" i="4"/>
  <c r="AA5" i="18"/>
  <c r="I49" i="4"/>
  <c r="J51" i="4"/>
  <c r="J58" i="4"/>
  <c r="J61" i="4"/>
  <c r="L5" i="18"/>
  <c r="W59" i="4"/>
  <c r="W58" i="4"/>
  <c r="Y5" i="18"/>
  <c r="Z5" i="18"/>
  <c r="I55" i="4"/>
  <c r="X58" i="4"/>
  <c r="K5" i="18"/>
  <c r="F5" i="18"/>
  <c r="I59" i="4"/>
  <c r="J55" i="4"/>
  <c r="W60" i="4"/>
  <c r="W63" i="4"/>
  <c r="X62" i="4"/>
  <c r="J54" i="4"/>
  <c r="N5" i="18"/>
  <c r="W61" i="4"/>
  <c r="I60" i="4"/>
  <c r="W62" i="4"/>
  <c r="I62" i="4"/>
  <c r="I53" i="4"/>
  <c r="J50" i="4"/>
  <c r="J52" i="4"/>
  <c r="X60" i="4"/>
  <c r="J60" i="4"/>
  <c r="X63" i="4"/>
  <c r="X61" i="4"/>
  <c r="J59" i="4"/>
  <c r="J56" i="4"/>
  <c r="I52" i="4"/>
  <c r="I57" i="4"/>
  <c r="J53" i="4"/>
  <c r="AB5" i="18"/>
  <c r="I56" i="4"/>
  <c r="J63" i="4"/>
  <c r="X59" i="4"/>
  <c r="I51" i="4"/>
  <c r="I50" i="4"/>
  <c r="M5" i="18"/>
  <c r="I61" i="4"/>
  <c r="J62" i="4"/>
  <c r="I58" i="4"/>
  <c r="J49" i="4"/>
  <c r="X5" i="18"/>
  <c r="J57" i="4"/>
  <c r="T3" i="18"/>
  <c r="T2" i="18" l="1"/>
  <c r="F6" i="18"/>
  <c r="R6" i="18" s="1"/>
  <c r="J75" i="4"/>
  <c r="K6" i="18"/>
  <c r="W76" i="4"/>
  <c r="AB76" i="4" s="1"/>
  <c r="I77" i="4"/>
  <c r="L6" i="18"/>
  <c r="X77" i="4"/>
  <c r="Y6" i="18"/>
  <c r="W78" i="4"/>
  <c r="AC78" i="4" s="1"/>
  <c r="W74" i="4"/>
  <c r="AB74" i="4" s="1"/>
  <c r="J66" i="4"/>
  <c r="J72" i="4"/>
  <c r="G6" i="18"/>
  <c r="J65" i="4"/>
  <c r="N6" i="18"/>
  <c r="I71" i="4"/>
  <c r="I64" i="4"/>
  <c r="X73" i="4"/>
  <c r="M6" i="18"/>
  <c r="J71" i="4"/>
  <c r="I70" i="4"/>
  <c r="X74" i="4"/>
  <c r="J78" i="4"/>
  <c r="W77" i="4"/>
  <c r="AC77" i="4" s="1"/>
  <c r="X75" i="4"/>
  <c r="I66" i="4"/>
  <c r="I65" i="4"/>
  <c r="K59" i="4"/>
  <c r="K62" i="4"/>
  <c r="AA6" i="18"/>
  <c r="W6" i="18" s="1"/>
  <c r="I68" i="4"/>
  <c r="J70" i="4"/>
  <c r="I74" i="4"/>
  <c r="X76" i="4"/>
  <c r="J64" i="4"/>
  <c r="Z6" i="18"/>
  <c r="AB6" i="18"/>
  <c r="I72" i="4"/>
  <c r="J69" i="4"/>
  <c r="I76" i="4"/>
  <c r="J67" i="4"/>
  <c r="I78" i="4"/>
  <c r="X78" i="4"/>
  <c r="X6" i="18"/>
  <c r="J74" i="4"/>
  <c r="J77" i="4"/>
  <c r="W75" i="4"/>
  <c r="AD75" i="4" s="1"/>
  <c r="AI75" i="4" s="1"/>
  <c r="J76" i="4"/>
  <c r="W73" i="4"/>
  <c r="AD73" i="4" s="1"/>
  <c r="AI73" i="4" s="1"/>
  <c r="I69" i="4"/>
  <c r="J73" i="4"/>
  <c r="I67" i="4"/>
  <c r="J68" i="4"/>
  <c r="I73" i="4"/>
  <c r="I75" i="4"/>
  <c r="I6" i="18"/>
  <c r="AA58" i="4"/>
  <c r="K57" i="4"/>
  <c r="A8" i="1"/>
  <c r="B8" i="1"/>
  <c r="AA61" i="4"/>
  <c r="K53" i="4"/>
  <c r="K63" i="4"/>
  <c r="AA63" i="4"/>
  <c r="AA59" i="4"/>
  <c r="K60" i="4"/>
  <c r="AA60" i="4"/>
  <c r="K54" i="4"/>
  <c r="K49" i="4"/>
  <c r="AD63" i="4"/>
  <c r="AI63" i="4" s="1"/>
  <c r="AB63" i="4"/>
  <c r="AC63" i="4"/>
  <c r="AD62" i="4"/>
  <c r="AI62" i="4" s="1"/>
  <c r="AC62" i="4"/>
  <c r="AB62" i="4"/>
  <c r="K56" i="4"/>
  <c r="K52" i="4"/>
  <c r="AB61" i="4"/>
  <c r="AD61" i="4"/>
  <c r="AI61" i="4" s="1"/>
  <c r="AC61" i="4"/>
  <c r="W5" i="18"/>
  <c r="U5" i="18"/>
  <c r="K50" i="4"/>
  <c r="AA62" i="4"/>
  <c r="AD60" i="4"/>
  <c r="AI60" i="4" s="1"/>
  <c r="AB60" i="4"/>
  <c r="AC60" i="4"/>
  <c r="K51" i="4"/>
  <c r="K55" i="4"/>
  <c r="O5" i="18"/>
  <c r="R5" i="18"/>
  <c r="AD58" i="4"/>
  <c r="AI58" i="4" s="1"/>
  <c r="AB58" i="4"/>
  <c r="AC58" i="4"/>
  <c r="K61" i="4"/>
  <c r="AD59" i="4"/>
  <c r="AI59" i="4" s="1"/>
  <c r="AC59" i="4"/>
  <c r="AB59" i="4"/>
  <c r="K58" i="4"/>
  <c r="G9" i="1"/>
  <c r="O6" i="18" l="1"/>
  <c r="K77" i="4"/>
  <c r="K75" i="4"/>
  <c r="AC76" i="4"/>
  <c r="AD76" i="4"/>
  <c r="AI76" i="4" s="1"/>
  <c r="AA76" i="4"/>
  <c r="AD78" i="4"/>
  <c r="AI78" i="4" s="1"/>
  <c r="K66" i="4"/>
  <c r="AD74" i="4"/>
  <c r="AI74" i="4" s="1"/>
  <c r="AA74" i="4"/>
  <c r="AC74" i="4"/>
  <c r="K64" i="4"/>
  <c r="AD77" i="4"/>
  <c r="AI77" i="4" s="1"/>
  <c r="K71" i="4"/>
  <c r="AA77" i="4"/>
  <c r="AB77" i="4"/>
  <c r="K65" i="4"/>
  <c r="K78" i="4"/>
  <c r="K72" i="4"/>
  <c r="AB78" i="4"/>
  <c r="AA78" i="4"/>
  <c r="K70" i="4"/>
  <c r="K76" i="4"/>
  <c r="AA75" i="4"/>
  <c r="AC75" i="4"/>
  <c r="AB75" i="4"/>
  <c r="K69" i="4"/>
  <c r="K68" i="4"/>
  <c r="AA73" i="4"/>
  <c r="K74" i="4"/>
  <c r="K67" i="4"/>
  <c r="AB73" i="4"/>
  <c r="U6" i="18"/>
  <c r="AC73" i="4"/>
  <c r="K73" i="4"/>
  <c r="A9" i="1"/>
  <c r="B9" i="1"/>
  <c r="G10" i="1"/>
  <c r="G7" i="18"/>
  <c r="J88" i="4"/>
  <c r="J81" i="4"/>
  <c r="I7" i="18"/>
  <c r="J80" i="4"/>
  <c r="X90" i="4"/>
  <c r="I83" i="4"/>
  <c r="J91" i="4"/>
  <c r="J84" i="4"/>
  <c r="I93" i="4"/>
  <c r="J82" i="4"/>
  <c r="I91" i="4"/>
  <c r="J93" i="4"/>
  <c r="I88" i="4"/>
  <c r="W88" i="4"/>
  <c r="I81" i="4"/>
  <c r="X91" i="4"/>
  <c r="I85" i="4"/>
  <c r="J86" i="4"/>
  <c r="X88" i="4"/>
  <c r="I82" i="4"/>
  <c r="J79" i="4"/>
  <c r="X92" i="4"/>
  <c r="I89" i="4"/>
  <c r="W93" i="4"/>
  <c r="W92" i="4"/>
  <c r="J92" i="4"/>
  <c r="I79" i="4"/>
  <c r="X93" i="4"/>
  <c r="J83" i="4"/>
  <c r="I92" i="4"/>
  <c r="X89" i="4"/>
  <c r="I87" i="4"/>
  <c r="W89" i="4"/>
  <c r="W91" i="4"/>
  <c r="J85" i="4"/>
  <c r="AA7" i="18"/>
  <c r="I84" i="4"/>
  <c r="F7" i="18"/>
  <c r="I90" i="4"/>
  <c r="J89" i="4"/>
  <c r="N7" i="18"/>
  <c r="W90" i="4"/>
  <c r="I86" i="4"/>
  <c r="I80" i="4"/>
  <c r="J87" i="4"/>
  <c r="AB7" i="18"/>
  <c r="J90" i="4"/>
  <c r="Y7" i="18"/>
  <c r="Z7" i="18"/>
  <c r="X7" i="18"/>
  <c r="L7" i="18"/>
  <c r="K7" i="18"/>
  <c r="M7" i="18"/>
  <c r="T5" i="18"/>
  <c r="I105" i="4" l="1"/>
  <c r="T6" i="18"/>
  <c r="J106" i="4"/>
  <c r="I99" i="4"/>
  <c r="J97" i="4"/>
  <c r="W105" i="4"/>
  <c r="AC105" i="4" s="1"/>
  <c r="J95" i="4"/>
  <c r="J102" i="4"/>
  <c r="J105" i="4"/>
  <c r="L8" i="18"/>
  <c r="J104" i="4"/>
  <c r="X107" i="4"/>
  <c r="W108" i="4"/>
  <c r="AD108" i="4" s="1"/>
  <c r="AI108" i="4" s="1"/>
  <c r="I97" i="4"/>
  <c r="J100" i="4"/>
  <c r="J94" i="4"/>
  <c r="W107" i="4"/>
  <c r="AC107" i="4" s="1"/>
  <c r="J107" i="4"/>
  <c r="I101" i="4"/>
  <c r="I8" i="18"/>
  <c r="N8" i="18"/>
  <c r="Z8" i="18"/>
  <c r="F8" i="18"/>
  <c r="R8" i="18" s="1"/>
  <c r="AA8" i="18"/>
  <c r="I98" i="4"/>
  <c r="I100" i="4"/>
  <c r="W103" i="4"/>
  <c r="AD103" i="4" s="1"/>
  <c r="AI103" i="4" s="1"/>
  <c r="X103" i="4"/>
  <c r="G8" i="18"/>
  <c r="X8" i="18"/>
  <c r="X108" i="4"/>
  <c r="K8" i="18"/>
  <c r="M8" i="18"/>
  <c r="I102" i="4"/>
  <c r="Y8" i="18"/>
  <c r="J108" i="4"/>
  <c r="X105" i="4"/>
  <c r="I104" i="4"/>
  <c r="I103" i="4"/>
  <c r="AB8" i="18"/>
  <c r="I95" i="4"/>
  <c r="I106" i="4"/>
  <c r="X104" i="4"/>
  <c r="I94" i="4"/>
  <c r="J103" i="4"/>
  <c r="I96" i="4"/>
  <c r="J96" i="4"/>
  <c r="J98" i="4"/>
  <c r="J99" i="4"/>
  <c r="W106" i="4"/>
  <c r="AB106" i="4" s="1"/>
  <c r="X106" i="4"/>
  <c r="W104" i="4"/>
  <c r="AD104" i="4" s="1"/>
  <c r="AI104" i="4" s="1"/>
  <c r="J101" i="4"/>
  <c r="K83" i="4"/>
  <c r="K87" i="4"/>
  <c r="I108" i="4"/>
  <c r="I107" i="4"/>
  <c r="K91" i="4"/>
  <c r="AA92" i="4"/>
  <c r="A10" i="1"/>
  <c r="B10" i="1"/>
  <c r="AA93" i="4"/>
  <c r="K89" i="4"/>
  <c r="AA88" i="4"/>
  <c r="K90" i="4"/>
  <c r="K93" i="4"/>
  <c r="K85" i="4"/>
  <c r="AB90" i="4"/>
  <c r="AC90" i="4"/>
  <c r="AD90" i="4"/>
  <c r="AI90" i="4" s="1"/>
  <c r="O7" i="18"/>
  <c r="R7" i="18"/>
  <c r="AA89" i="4"/>
  <c r="AA91" i="4"/>
  <c r="K92" i="4"/>
  <c r="K86" i="4"/>
  <c r="W7" i="18"/>
  <c r="U7" i="18"/>
  <c r="K84" i="4"/>
  <c r="AD89" i="4"/>
  <c r="AI89" i="4" s="1"/>
  <c r="AB89" i="4"/>
  <c r="AC89" i="4"/>
  <c r="AD91" i="4"/>
  <c r="AI91" i="4" s="1"/>
  <c r="AC91" i="4"/>
  <c r="AB91" i="4"/>
  <c r="K88" i="4"/>
  <c r="AD93" i="4"/>
  <c r="AI93" i="4" s="1"/>
  <c r="AB93" i="4"/>
  <c r="AC93" i="4"/>
  <c r="K79" i="4"/>
  <c r="K82" i="4"/>
  <c r="G11" i="1"/>
  <c r="AC88" i="4"/>
  <c r="AB88" i="4"/>
  <c r="AD88" i="4"/>
  <c r="AI88" i="4" s="1"/>
  <c r="AA90" i="4"/>
  <c r="K80" i="4"/>
  <c r="AD92" i="4"/>
  <c r="AI92" i="4" s="1"/>
  <c r="AB92" i="4"/>
  <c r="AC92" i="4"/>
  <c r="K81" i="4"/>
  <c r="K105" i="4" l="1"/>
  <c r="K95" i="4"/>
  <c r="AD105" i="4"/>
  <c r="AI105" i="4" s="1"/>
  <c r="AB105" i="4"/>
  <c r="K99" i="4"/>
  <c r="K102" i="4"/>
  <c r="AC108" i="4"/>
  <c r="K106" i="4"/>
  <c r="AB103" i="4"/>
  <c r="AC103" i="4"/>
  <c r="AA105" i="4"/>
  <c r="K97" i="4"/>
  <c r="K104" i="4"/>
  <c r="AA103" i="4"/>
  <c r="AB107" i="4"/>
  <c r="U8" i="18"/>
  <c r="K100" i="4"/>
  <c r="K108" i="4"/>
  <c r="K98" i="4"/>
  <c r="AD107" i="4"/>
  <c r="AI107" i="4" s="1"/>
  <c r="AA107" i="4"/>
  <c r="K103" i="4"/>
  <c r="K94" i="4"/>
  <c r="AA108" i="4"/>
  <c r="W8" i="18"/>
  <c r="K101" i="4"/>
  <c r="O8" i="18"/>
  <c r="AB108" i="4"/>
  <c r="K107" i="4"/>
  <c r="T7" i="18"/>
  <c r="K96" i="4"/>
  <c r="AC106" i="4"/>
  <c r="AD106" i="4"/>
  <c r="AI106" i="4" s="1"/>
  <c r="AA106" i="4"/>
  <c r="AB104" i="4"/>
  <c r="AC104" i="4"/>
  <c r="AA104" i="4"/>
  <c r="I114" i="4"/>
  <c r="B11" i="1"/>
  <c r="A11" i="1"/>
  <c r="G12" i="1"/>
  <c r="J121" i="4"/>
  <c r="J119" i="4"/>
  <c r="I115" i="4"/>
  <c r="I117" i="4"/>
  <c r="W119" i="4"/>
  <c r="I121" i="4"/>
  <c r="X121" i="4"/>
  <c r="J123" i="4"/>
  <c r="X120" i="4"/>
  <c r="I119" i="4"/>
  <c r="J113" i="4"/>
  <c r="J109" i="4"/>
  <c r="I113" i="4"/>
  <c r="J112" i="4"/>
  <c r="J115" i="4"/>
  <c r="J116" i="4"/>
  <c r="W121" i="4"/>
  <c r="J117" i="4"/>
  <c r="W123" i="4"/>
  <c r="J110" i="4"/>
  <c r="J122" i="4"/>
  <c r="X123" i="4"/>
  <c r="W120" i="4"/>
  <c r="W118" i="4"/>
  <c r="X119" i="4"/>
  <c r="X122" i="4"/>
  <c r="N9" i="18"/>
  <c r="X118" i="4"/>
  <c r="I120" i="4"/>
  <c r="I112" i="4"/>
  <c r="W122" i="4"/>
  <c r="I116" i="4"/>
  <c r="I122" i="4"/>
  <c r="I9" i="18"/>
  <c r="J118" i="4"/>
  <c r="J111" i="4"/>
  <c r="G9" i="18"/>
  <c r="I109" i="4"/>
  <c r="I110" i="4"/>
  <c r="F9" i="18"/>
  <c r="K9" i="18"/>
  <c r="L9" i="18"/>
  <c r="AA9" i="18"/>
  <c r="Y9" i="18"/>
  <c r="I123" i="4"/>
  <c r="X9" i="18"/>
  <c r="J120" i="4"/>
  <c r="M9" i="18"/>
  <c r="I118" i="4"/>
  <c r="Z9" i="18"/>
  <c r="J114" i="4"/>
  <c r="I111" i="4"/>
  <c r="AB9" i="18"/>
  <c r="T8" i="18" l="1"/>
  <c r="I129" i="4"/>
  <c r="L10" i="18"/>
  <c r="X135" i="4"/>
  <c r="N10" i="18"/>
  <c r="X137" i="4"/>
  <c r="W138" i="4"/>
  <c r="AC138" i="4" s="1"/>
  <c r="AB10" i="18"/>
  <c r="J136" i="4"/>
  <c r="AA10" i="18"/>
  <c r="W10" i="18" s="1"/>
  <c r="J138" i="4"/>
  <c r="I125" i="4"/>
  <c r="K10" i="18"/>
  <c r="X10" i="18"/>
  <c r="I135" i="4"/>
  <c r="J128" i="4"/>
  <c r="J131" i="4"/>
  <c r="X136" i="4"/>
  <c r="F10" i="18"/>
  <c r="R10" i="18" s="1"/>
  <c r="J124" i="4"/>
  <c r="I131" i="4"/>
  <c r="J137" i="4"/>
  <c r="X133" i="4"/>
  <c r="I136" i="4"/>
  <c r="I124" i="4"/>
  <c r="I134" i="4"/>
  <c r="W133" i="4"/>
  <c r="AB133" i="4" s="1"/>
  <c r="J135" i="4"/>
  <c r="W137" i="4"/>
  <c r="I137" i="4"/>
  <c r="I128" i="4"/>
  <c r="Z10" i="18"/>
  <c r="J133" i="4"/>
  <c r="Y10" i="18"/>
  <c r="I10" i="18"/>
  <c r="I138" i="4"/>
  <c r="J130" i="4"/>
  <c r="J126" i="4"/>
  <c r="X134" i="4"/>
  <c r="I127" i="4"/>
  <c r="W136" i="4"/>
  <c r="AB136" i="4" s="1"/>
  <c r="J134" i="4"/>
  <c r="W135" i="4"/>
  <c r="I132" i="4"/>
  <c r="X138" i="4"/>
  <c r="K114" i="4"/>
  <c r="J127" i="4"/>
  <c r="J129" i="4"/>
  <c r="J132" i="4"/>
  <c r="I130" i="4"/>
  <c r="W134" i="4"/>
  <c r="J125" i="4"/>
  <c r="I126" i="4"/>
  <c r="M10" i="18"/>
  <c r="I133" i="4"/>
  <c r="G10" i="18"/>
  <c r="K115" i="4"/>
  <c r="A12" i="1"/>
  <c r="B12" i="1"/>
  <c r="K120" i="4"/>
  <c r="AA119" i="4"/>
  <c r="K117" i="4"/>
  <c r="K118" i="4"/>
  <c r="AA118" i="4"/>
  <c r="AA123" i="4"/>
  <c r="K116" i="4"/>
  <c r="AB120" i="4"/>
  <c r="AC120" i="4"/>
  <c r="AD120" i="4"/>
  <c r="AI120" i="4" s="1"/>
  <c r="W9" i="18"/>
  <c r="U9" i="18"/>
  <c r="AD122" i="4"/>
  <c r="AI122" i="4" s="1"/>
  <c r="AB122" i="4"/>
  <c r="AC122" i="4"/>
  <c r="K122" i="4"/>
  <c r="AD123" i="4"/>
  <c r="AI123" i="4" s="1"/>
  <c r="AC123" i="4"/>
  <c r="AB123" i="4"/>
  <c r="K112" i="4"/>
  <c r="O9" i="18"/>
  <c r="R9" i="18"/>
  <c r="K121" i="4"/>
  <c r="AD118" i="4"/>
  <c r="AI118" i="4" s="1"/>
  <c r="AC118" i="4"/>
  <c r="AB118" i="4"/>
  <c r="AA120" i="4"/>
  <c r="AA121" i="4"/>
  <c r="K109" i="4"/>
  <c r="K119" i="4"/>
  <c r="K123" i="4"/>
  <c r="AA122" i="4"/>
  <c r="AB121" i="4"/>
  <c r="AC121" i="4"/>
  <c r="AD121" i="4"/>
  <c r="AI121" i="4" s="1"/>
  <c r="G13" i="1"/>
  <c r="AD119" i="4"/>
  <c r="AI119" i="4" s="1"/>
  <c r="AC119" i="4"/>
  <c r="AB119" i="4"/>
  <c r="K111" i="4"/>
  <c r="K110" i="4"/>
  <c r="K113" i="4"/>
  <c r="J141" i="4" l="1"/>
  <c r="K129" i="4"/>
  <c r="AB138" i="4"/>
  <c r="U10" i="18"/>
  <c r="AD138" i="4"/>
  <c r="AI138" i="4" s="1"/>
  <c r="K134" i="4"/>
  <c r="AA138" i="4"/>
  <c r="K135" i="4"/>
  <c r="AA135" i="4"/>
  <c r="J145" i="4"/>
  <c r="AA137" i="4"/>
  <c r="O10" i="18"/>
  <c r="AD133" i="4"/>
  <c r="AI133" i="4" s="1"/>
  <c r="K125" i="4"/>
  <c r="K138" i="4"/>
  <c r="K136" i="4"/>
  <c r="K128" i="4"/>
  <c r="AC137" i="4"/>
  <c r="AB135" i="4"/>
  <c r="AD137" i="4"/>
  <c r="AI137" i="4" s="1"/>
  <c r="AC135" i="4"/>
  <c r="AA133" i="4"/>
  <c r="AC133" i="4"/>
  <c r="AD135" i="4"/>
  <c r="AI135" i="4" s="1"/>
  <c r="AB137" i="4"/>
  <c r="K127" i="4"/>
  <c r="K137" i="4"/>
  <c r="K132" i="4"/>
  <c r="K124" i="4"/>
  <c r="K126" i="4"/>
  <c r="AA134" i="4"/>
  <c r="K131" i="4"/>
  <c r="K133" i="4"/>
  <c r="AA136" i="4"/>
  <c r="AD136" i="4"/>
  <c r="AI136" i="4" s="1"/>
  <c r="AC136" i="4"/>
  <c r="K130" i="4"/>
  <c r="AC134" i="4"/>
  <c r="AB134" i="4"/>
  <c r="AD134" i="4"/>
  <c r="AI134" i="4" s="1"/>
  <c r="A13" i="1"/>
  <c r="B13" i="1"/>
  <c r="T9" i="18"/>
  <c r="G14" i="1"/>
  <c r="J154" i="4" s="1"/>
  <c r="X148" i="4"/>
  <c r="J142" i="4"/>
  <c r="J150" i="4"/>
  <c r="W150" i="4"/>
  <c r="Y11" i="18"/>
  <c r="F11" i="18"/>
  <c r="J143" i="4"/>
  <c r="I146" i="4"/>
  <c r="G11" i="18"/>
  <c r="X153" i="4"/>
  <c r="I141" i="4"/>
  <c r="J146" i="4"/>
  <c r="I140" i="4"/>
  <c r="I152" i="4"/>
  <c r="I148" i="4"/>
  <c r="X152" i="4"/>
  <c r="I11" i="18"/>
  <c r="I151" i="4"/>
  <c r="W148" i="4"/>
  <c r="X151" i="4"/>
  <c r="I147" i="4"/>
  <c r="W151" i="4"/>
  <c r="J153" i="4"/>
  <c r="Z11" i="18"/>
  <c r="I143" i="4"/>
  <c r="J151" i="4"/>
  <c r="I145" i="4"/>
  <c r="I139" i="4"/>
  <c r="I153" i="4"/>
  <c r="I142" i="4"/>
  <c r="J144" i="4"/>
  <c r="W153" i="4"/>
  <c r="AB11" i="18"/>
  <c r="I149" i="4"/>
  <c r="W149" i="4"/>
  <c r="I150" i="4"/>
  <c r="J140" i="4"/>
  <c r="J147" i="4"/>
  <c r="J149" i="4"/>
  <c r="X149" i="4"/>
  <c r="X150" i="4"/>
  <c r="J148" i="4"/>
  <c r="I144" i="4"/>
  <c r="L11" i="18"/>
  <c r="M11" i="18"/>
  <c r="X11" i="18"/>
  <c r="N11" i="18"/>
  <c r="W152" i="4"/>
  <c r="K11" i="18"/>
  <c r="AA11" i="18"/>
  <c r="J139" i="4"/>
  <c r="AA12" i="18" l="1"/>
  <c r="W12" i="18" s="1"/>
  <c r="X163" i="4"/>
  <c r="I167" i="4"/>
  <c r="I164" i="4"/>
  <c r="J165" i="4"/>
  <c r="K141" i="4"/>
  <c r="J163" i="4"/>
  <c r="F12" i="18"/>
  <c r="O12" i="18" s="1"/>
  <c r="M12" i="18"/>
  <c r="X165" i="4"/>
  <c r="I12" i="18"/>
  <c r="W167" i="4"/>
  <c r="AD167" i="4" s="1"/>
  <c r="AI167" i="4" s="1"/>
  <c r="W165" i="4"/>
  <c r="K12" i="18"/>
  <c r="I157" i="4"/>
  <c r="J158" i="4"/>
  <c r="I155" i="4"/>
  <c r="J155" i="4"/>
  <c r="I160" i="4"/>
  <c r="I162" i="4"/>
  <c r="L12" i="18"/>
  <c r="J168" i="4"/>
  <c r="I158" i="4"/>
  <c r="J166" i="4"/>
  <c r="J164" i="4"/>
  <c r="X12" i="18"/>
  <c r="W168" i="4"/>
  <c r="AB168" i="4" s="1"/>
  <c r="X164" i="4"/>
  <c r="W164" i="4"/>
  <c r="AC164" i="4" s="1"/>
  <c r="W166" i="4"/>
  <c r="AC166" i="4" s="1"/>
  <c r="J156" i="4"/>
  <c r="I154" i="4"/>
  <c r="K154" i="4" s="1"/>
  <c r="I156" i="4"/>
  <c r="I165" i="4"/>
  <c r="Y12" i="18"/>
  <c r="G12" i="18"/>
  <c r="I161" i="4"/>
  <c r="AB12" i="18"/>
  <c r="J167" i="4"/>
  <c r="I168" i="4"/>
  <c r="X168" i="4"/>
  <c r="Z12" i="18"/>
  <c r="J162" i="4"/>
  <c r="I166" i="4"/>
  <c r="I159" i="4"/>
  <c r="J159" i="4"/>
  <c r="X167" i="4"/>
  <c r="W163" i="4"/>
  <c r="N12" i="18"/>
  <c r="T10" i="18"/>
  <c r="J160" i="4"/>
  <c r="I163" i="4"/>
  <c r="K145" i="4"/>
  <c r="X166" i="4"/>
  <c r="K139" i="4"/>
  <c r="K151" i="4"/>
  <c r="K153" i="4"/>
  <c r="B14" i="1"/>
  <c r="A14" i="1"/>
  <c r="K149" i="4"/>
  <c r="AA150" i="4"/>
  <c r="K140" i="4"/>
  <c r="K146" i="4"/>
  <c r="K147" i="4"/>
  <c r="K148" i="4"/>
  <c r="AD152" i="4"/>
  <c r="AI152" i="4" s="1"/>
  <c r="AC152" i="4"/>
  <c r="AB152" i="4"/>
  <c r="W11" i="18"/>
  <c r="U11" i="18"/>
  <c r="AC148" i="4"/>
  <c r="AB148" i="4"/>
  <c r="AD148" i="4"/>
  <c r="AI148" i="4" s="1"/>
  <c r="K150" i="4"/>
  <c r="AD151" i="4"/>
  <c r="AI151" i="4" s="1"/>
  <c r="AB151" i="4"/>
  <c r="AC151" i="4"/>
  <c r="K143" i="4"/>
  <c r="AD153" i="4"/>
  <c r="AI153" i="4" s="1"/>
  <c r="AB153" i="4"/>
  <c r="AC153" i="4"/>
  <c r="AC149" i="4"/>
  <c r="AD149" i="4"/>
  <c r="AI149" i="4" s="1"/>
  <c r="AB149" i="4"/>
  <c r="O11" i="18"/>
  <c r="R11" i="18"/>
  <c r="G15" i="1"/>
  <c r="AA149" i="4"/>
  <c r="AA148" i="4"/>
  <c r="AA152" i="4"/>
  <c r="K142" i="4"/>
  <c r="AA151" i="4"/>
  <c r="K144" i="4"/>
  <c r="AD150" i="4"/>
  <c r="AI150" i="4" s="1"/>
  <c r="AB150" i="4"/>
  <c r="AC150" i="4"/>
  <c r="AA153" i="4"/>
  <c r="K165" i="4" l="1"/>
  <c r="K167" i="4"/>
  <c r="K164" i="4"/>
  <c r="AA163" i="4"/>
  <c r="R12" i="18"/>
  <c r="K163" i="4"/>
  <c r="AA165" i="4"/>
  <c r="AA166" i="4"/>
  <c r="K155" i="4"/>
  <c r="U12" i="18"/>
  <c r="AC165" i="4"/>
  <c r="K156" i="4"/>
  <c r="K162" i="4"/>
  <c r="AA168" i="4"/>
  <c r="AB166" i="4"/>
  <c r="AC168" i="4"/>
  <c r="AB165" i="4"/>
  <c r="AD168" i="4"/>
  <c r="AI168" i="4" s="1"/>
  <c r="K159" i="4"/>
  <c r="AD166" i="4"/>
  <c r="AI166" i="4" s="1"/>
  <c r="K168" i="4"/>
  <c r="AA164" i="4"/>
  <c r="AB164" i="4"/>
  <c r="AD165" i="4"/>
  <c r="AI165" i="4" s="1"/>
  <c r="AD164" i="4"/>
  <c r="AI164" i="4" s="1"/>
  <c r="K166" i="4"/>
  <c r="AA167" i="4"/>
  <c r="K158" i="4"/>
  <c r="AB163" i="4"/>
  <c r="AB167" i="4"/>
  <c r="AC167" i="4"/>
  <c r="K160" i="4"/>
  <c r="AD163" i="4"/>
  <c r="AI163" i="4" s="1"/>
  <c r="AC163" i="4"/>
  <c r="B15" i="1"/>
  <c r="A15" i="1"/>
  <c r="G16" i="1"/>
  <c r="I193" i="4" s="1"/>
  <c r="X179" i="4"/>
  <c r="J172" i="4"/>
  <c r="J174" i="4"/>
  <c r="I181" i="4"/>
  <c r="J4" i="11"/>
  <c r="J182" i="4"/>
  <c r="I4" i="11"/>
  <c r="K13" i="18"/>
  <c r="I183" i="4"/>
  <c r="J180" i="4"/>
  <c r="X183" i="4"/>
  <c r="W182" i="4"/>
  <c r="G13" i="18"/>
  <c r="I180" i="4"/>
  <c r="X181" i="4"/>
  <c r="J177" i="4"/>
  <c r="I169" i="4"/>
  <c r="W178" i="4"/>
  <c r="J175" i="4"/>
  <c r="J171" i="4"/>
  <c r="W181" i="4"/>
  <c r="AB13" i="18"/>
  <c r="J170" i="4"/>
  <c r="J183" i="4"/>
  <c r="I172" i="4"/>
  <c r="J179" i="4"/>
  <c r="I175" i="4"/>
  <c r="X182" i="4"/>
  <c r="J176" i="4"/>
  <c r="I171" i="4"/>
  <c r="I176" i="4"/>
  <c r="I179" i="4"/>
  <c r="Y13" i="18"/>
  <c r="J169" i="4"/>
  <c r="X178" i="4"/>
  <c r="J181" i="4"/>
  <c r="I173" i="4"/>
  <c r="I170" i="4"/>
  <c r="I174" i="4"/>
  <c r="M13" i="18"/>
  <c r="W180" i="4"/>
  <c r="L13" i="18"/>
  <c r="X180" i="4"/>
  <c r="I182" i="4"/>
  <c r="I178" i="4"/>
  <c r="N13" i="18"/>
  <c r="W179" i="4"/>
  <c r="F13" i="18"/>
  <c r="Z31" i="19"/>
  <c r="J173" i="4"/>
  <c r="I13" i="18"/>
  <c r="X13" i="18"/>
  <c r="Z13" i="18"/>
  <c r="AA13" i="18"/>
  <c r="W183" i="4"/>
  <c r="T11" i="18"/>
  <c r="T12" i="18" l="1"/>
  <c r="J192" i="4"/>
  <c r="M14" i="18"/>
  <c r="F14" i="18"/>
  <c r="R14" i="18" s="1"/>
  <c r="I198" i="4"/>
  <c r="J196" i="4"/>
  <c r="J190" i="4"/>
  <c r="I184" i="4"/>
  <c r="I187" i="4"/>
  <c r="J194" i="4"/>
  <c r="I192" i="4"/>
  <c r="X198" i="4"/>
  <c r="X194" i="4"/>
  <c r="X196" i="4"/>
  <c r="I185" i="4"/>
  <c r="J184" i="4"/>
  <c r="X14" i="18"/>
  <c r="J191" i="4"/>
  <c r="I188" i="4"/>
  <c r="I189" i="4"/>
  <c r="J188" i="4"/>
  <c r="I196" i="4"/>
  <c r="I6" i="11"/>
  <c r="X193" i="4"/>
  <c r="W197" i="4"/>
  <c r="AB197" i="4" s="1"/>
  <c r="I5" i="11"/>
  <c r="I14" i="18"/>
  <c r="W194" i="4"/>
  <c r="AB194" i="4" s="1"/>
  <c r="J189" i="4"/>
  <c r="J195" i="4"/>
  <c r="W198" i="4"/>
  <c r="AD198" i="4" s="1"/>
  <c r="AI198" i="4" s="1"/>
  <c r="I197" i="4"/>
  <c r="J186" i="4"/>
  <c r="W193" i="4"/>
  <c r="AB193" i="4" s="1"/>
  <c r="J193" i="4"/>
  <c r="K193" i="4" s="1"/>
  <c r="AA14" i="18"/>
  <c r="W14" i="18" s="1"/>
  <c r="W195" i="4"/>
  <c r="AC195" i="4" s="1"/>
  <c r="W196" i="4"/>
  <c r="AB196" i="4" s="1"/>
  <c r="J187" i="4"/>
  <c r="N14" i="18"/>
  <c r="I191" i="4"/>
  <c r="J5" i="11"/>
  <c r="J197" i="4"/>
  <c r="X197" i="4"/>
  <c r="K14" i="18"/>
  <c r="J185" i="4"/>
  <c r="G14" i="18"/>
  <c r="AB14" i="18"/>
  <c r="Y14" i="18"/>
  <c r="L14" i="18"/>
  <c r="I190" i="4"/>
  <c r="J6" i="11"/>
  <c r="I195" i="4"/>
  <c r="I186" i="4"/>
  <c r="AA182" i="4"/>
  <c r="K169" i="4"/>
  <c r="K173" i="4"/>
  <c r="G17" i="1"/>
  <c r="A16" i="1"/>
  <c r="B16" i="1"/>
  <c r="K179" i="4"/>
  <c r="AA178" i="4"/>
  <c r="K180" i="4"/>
  <c r="AA180" i="4"/>
  <c r="AA179" i="4"/>
  <c r="K175" i="4"/>
  <c r="K174" i="4"/>
  <c r="K172" i="4"/>
  <c r="Z23" i="19"/>
  <c r="Z32" i="19"/>
  <c r="Q33" i="19"/>
  <c r="Z25" i="19"/>
  <c r="Z15" i="19"/>
  <c r="K183" i="4"/>
  <c r="Q12" i="19"/>
  <c r="AA181" i="4"/>
  <c r="Q24" i="19"/>
  <c r="Z12" i="19"/>
  <c r="Z29" i="19"/>
  <c r="K171" i="4"/>
  <c r="Q30" i="19"/>
  <c r="Q11" i="19"/>
  <c r="Z34" i="19"/>
  <c r="Q22" i="19"/>
  <c r="Q29" i="19"/>
  <c r="Z3" i="19"/>
  <c r="Z7" i="19"/>
  <c r="Z13" i="19"/>
  <c r="Q10" i="19"/>
  <c r="Z24" i="19"/>
  <c r="Q15" i="19"/>
  <c r="Z36" i="19"/>
  <c r="Q3" i="19"/>
  <c r="R13" i="18"/>
  <c r="O13" i="18"/>
  <c r="AB181" i="4"/>
  <c r="AC181" i="4"/>
  <c r="AD181" i="4"/>
  <c r="AI181" i="4" s="1"/>
  <c r="AD182" i="4"/>
  <c r="AI182" i="4" s="1"/>
  <c r="AB182" i="4"/>
  <c r="AC182" i="4"/>
  <c r="AB183" i="4"/>
  <c r="AD183" i="4"/>
  <c r="AI183" i="4" s="1"/>
  <c r="AC183" i="4"/>
  <c r="Z30" i="19"/>
  <c r="Q5" i="19"/>
  <c r="AB179" i="4"/>
  <c r="AD179" i="4"/>
  <c r="AI179" i="4" s="1"/>
  <c r="AC179" i="4"/>
  <c r="Z5" i="19"/>
  <c r="Z26" i="19"/>
  <c r="Q18" i="19"/>
  <c r="Z14" i="19"/>
  <c r="Q37" i="19"/>
  <c r="W13" i="18"/>
  <c r="U13" i="18"/>
  <c r="Z10" i="19"/>
  <c r="Q27" i="19"/>
  <c r="Z33" i="19"/>
  <c r="Q21" i="19"/>
  <c r="Z6" i="19"/>
  <c r="Z11" i="19"/>
  <c r="Z8" i="19"/>
  <c r="AA183" i="4"/>
  <c r="Q17" i="19"/>
  <c r="Z19" i="19"/>
  <c r="Z37" i="19"/>
  <c r="Z4" i="19"/>
  <c r="K181" i="4"/>
  <c r="Q4" i="19"/>
  <c r="Q16" i="19"/>
  <c r="Z18" i="19"/>
  <c r="Z9" i="19"/>
  <c r="Q20" i="19"/>
  <c r="Q7" i="19"/>
  <c r="Q32" i="19"/>
  <c r="Q13" i="19"/>
  <c r="AC178" i="4"/>
  <c r="AB178" i="4"/>
  <c r="AD178" i="4"/>
  <c r="AI178" i="4" s="1"/>
  <c r="Z35" i="19"/>
  <c r="K176" i="4"/>
  <c r="Z28" i="19"/>
  <c r="K170" i="4"/>
  <c r="K4" i="11"/>
  <c r="Q19" i="19"/>
  <c r="Z16" i="19"/>
  <c r="AB180" i="4"/>
  <c r="AC180" i="4"/>
  <c r="AD180" i="4"/>
  <c r="AI180" i="4" s="1"/>
  <c r="Q14" i="19"/>
  <c r="K182" i="4"/>
  <c r="Q9" i="19"/>
  <c r="Q31" i="19"/>
  <c r="Q2" i="19"/>
  <c r="J152" i="4"/>
  <c r="K152" i="4" s="1"/>
  <c r="J157" i="4"/>
  <c r="K157" i="4" s="1"/>
  <c r="Q28" i="19"/>
  <c r="J178" i="4"/>
  <c r="K178" i="4" s="1"/>
  <c r="Z20" i="19"/>
  <c r="J161" i="4"/>
  <c r="K161" i="4" s="1"/>
  <c r="I194" i="4"/>
  <c r="Q34" i="19"/>
  <c r="Z22" i="19"/>
  <c r="I177" i="4"/>
  <c r="K177" i="4" s="1"/>
  <c r="Z14" i="18"/>
  <c r="Q23" i="19"/>
  <c r="Q6" i="19"/>
  <c r="Q35" i="19"/>
  <c r="Q36" i="19"/>
  <c r="Q25" i="19"/>
  <c r="X195" i="4"/>
  <c r="Z27" i="19"/>
  <c r="J198" i="4"/>
  <c r="Q8" i="19"/>
  <c r="Q26" i="19"/>
  <c r="Z21" i="19"/>
  <c r="O14" i="18" l="1"/>
  <c r="K196" i="4"/>
  <c r="K194" i="4"/>
  <c r="K192" i="4"/>
  <c r="K198" i="4"/>
  <c r="K184" i="4"/>
  <c r="K190" i="4"/>
  <c r="K187" i="4"/>
  <c r="K5" i="11"/>
  <c r="AD197" i="4"/>
  <c r="AI197" i="4" s="1"/>
  <c r="K6" i="11"/>
  <c r="AA195" i="4"/>
  <c r="AB198" i="4"/>
  <c r="AA198" i="4"/>
  <c r="K185" i="4"/>
  <c r="AC196" i="4"/>
  <c r="AC198" i="4"/>
  <c r="K189" i="4"/>
  <c r="AB195" i="4"/>
  <c r="U14" i="18"/>
  <c r="AD195" i="4"/>
  <c r="AI195" i="4" s="1"/>
  <c r="AD196" i="4"/>
  <c r="AI196" i="4" s="1"/>
  <c r="AA197" i="4"/>
  <c r="K191" i="4"/>
  <c r="AD194" i="4"/>
  <c r="AI194" i="4" s="1"/>
  <c r="AC194" i="4"/>
  <c r="AA196" i="4"/>
  <c r="AC197" i="4"/>
  <c r="K188" i="4"/>
  <c r="AA194" i="4"/>
  <c r="K197" i="4"/>
  <c r="K195" i="4"/>
  <c r="K186" i="4"/>
  <c r="AD193" i="4"/>
  <c r="AI193" i="4" s="1"/>
  <c r="AC193" i="4"/>
  <c r="AA193" i="4"/>
  <c r="G18" i="1"/>
  <c r="J219" i="4" s="1"/>
  <c r="A17" i="1"/>
  <c r="B17" i="1"/>
  <c r="I203" i="4"/>
  <c r="X212" i="4"/>
  <c r="J205" i="4"/>
  <c r="I211" i="4"/>
  <c r="X15" i="18"/>
  <c r="X210" i="4"/>
  <c r="W208" i="4"/>
  <c r="J203" i="4"/>
  <c r="X209" i="4"/>
  <c r="M15" i="18"/>
  <c r="W213" i="4"/>
  <c r="J206" i="4"/>
  <c r="Z15" i="18"/>
  <c r="I15" i="18"/>
  <c r="W210" i="4"/>
  <c r="I7" i="11"/>
  <c r="J213" i="4"/>
  <c r="F15" i="18"/>
  <c r="J208" i="4"/>
  <c r="Y15" i="18"/>
  <c r="I205" i="4"/>
  <c r="I206" i="4"/>
  <c r="I204" i="4"/>
  <c r="J211" i="4"/>
  <c r="I210" i="4"/>
  <c r="J199" i="4"/>
  <c r="G15" i="18"/>
  <c r="J200" i="4"/>
  <c r="J209" i="4"/>
  <c r="AA15" i="18"/>
  <c r="J204" i="4"/>
  <c r="W209" i="4"/>
  <c r="J210" i="4"/>
  <c r="X213" i="4"/>
  <c r="I208" i="4"/>
  <c r="J207" i="4"/>
  <c r="I207" i="4"/>
  <c r="W212" i="4"/>
  <c r="I200" i="4"/>
  <c r="L15" i="18"/>
  <c r="W211" i="4"/>
  <c r="J7" i="11"/>
  <c r="I199" i="4"/>
  <c r="I201" i="4"/>
  <c r="J201" i="4"/>
  <c r="J212" i="4"/>
  <c r="N15" i="18"/>
  <c r="I212" i="4"/>
  <c r="I209" i="4"/>
  <c r="I202" i="4"/>
  <c r="K15" i="18"/>
  <c r="AB15" i="18"/>
  <c r="X208" i="4"/>
  <c r="X211" i="4"/>
  <c r="I213" i="4"/>
  <c r="J202" i="4"/>
  <c r="T13" i="18"/>
  <c r="U26" i="19"/>
  <c r="R26" i="19"/>
  <c r="R6" i="19"/>
  <c r="U6" i="19"/>
  <c r="R35" i="19"/>
  <c r="U35" i="19"/>
  <c r="X35" i="19" s="1"/>
  <c r="U36" i="19"/>
  <c r="X36" i="19" s="1"/>
  <c r="R36" i="19"/>
  <c r="R34" i="19"/>
  <c r="U34" i="19"/>
  <c r="X34" i="19" s="1"/>
  <c r="U25" i="19"/>
  <c r="X25" i="19" s="1"/>
  <c r="R25" i="19"/>
  <c r="R23" i="19"/>
  <c r="U23" i="19"/>
  <c r="X23" i="19" s="1"/>
  <c r="R8" i="19"/>
  <c r="U8" i="19"/>
  <c r="X8" i="19" s="1"/>
  <c r="U28" i="19"/>
  <c r="X28" i="19" s="1"/>
  <c r="R28" i="19"/>
  <c r="U4" i="19"/>
  <c r="R4" i="19"/>
  <c r="S4" i="19" s="1"/>
  <c r="U29" i="19"/>
  <c r="X29" i="19" s="1"/>
  <c r="R29" i="19"/>
  <c r="U11" i="19"/>
  <c r="X11" i="19" s="1"/>
  <c r="R11" i="19"/>
  <c r="R24" i="19"/>
  <c r="U24" i="19"/>
  <c r="X24" i="19" s="1"/>
  <c r="AA30" i="19"/>
  <c r="AA31" i="19"/>
  <c r="AA33" i="19"/>
  <c r="AA32" i="19"/>
  <c r="AA26" i="19"/>
  <c r="AA34" i="19"/>
  <c r="AA27" i="19"/>
  <c r="AA35" i="19"/>
  <c r="AA28" i="19"/>
  <c r="AA36" i="19"/>
  <c r="AA29" i="19"/>
  <c r="AA37" i="19"/>
  <c r="R15" i="19"/>
  <c r="U15" i="19"/>
  <c r="X15" i="19" s="1"/>
  <c r="Z2" i="19"/>
  <c r="U21" i="19"/>
  <c r="X21" i="19" s="1"/>
  <c r="R21" i="19"/>
  <c r="R17" i="19"/>
  <c r="U17" i="19"/>
  <c r="X17" i="19" s="1"/>
  <c r="Z17" i="19"/>
  <c r="AA19" i="19" s="1"/>
  <c r="R30" i="19"/>
  <c r="U30" i="19"/>
  <c r="X30" i="19" s="1"/>
  <c r="U13" i="19"/>
  <c r="X13" i="19" s="1"/>
  <c r="R13" i="19"/>
  <c r="R32" i="19"/>
  <c r="U32" i="19"/>
  <c r="X32" i="19" s="1"/>
  <c r="R37" i="19"/>
  <c r="U37" i="19"/>
  <c r="X37" i="19" s="1"/>
  <c r="U3" i="19"/>
  <c r="X3" i="19" s="1"/>
  <c r="R3" i="19"/>
  <c r="U12" i="19"/>
  <c r="X12" i="19" s="1"/>
  <c r="R12" i="19"/>
  <c r="R2" i="19"/>
  <c r="U2" i="19"/>
  <c r="R14" i="19"/>
  <c r="U14" i="19"/>
  <c r="AA16" i="19"/>
  <c r="AA14" i="19"/>
  <c r="AA15" i="19"/>
  <c r="R18" i="19"/>
  <c r="U18" i="19"/>
  <c r="X18" i="19" s="1"/>
  <c r="U10" i="19"/>
  <c r="X10" i="19" s="1"/>
  <c r="R10" i="19"/>
  <c r="U19" i="19"/>
  <c r="X19" i="19" s="1"/>
  <c r="R19" i="19"/>
  <c r="U7" i="19"/>
  <c r="X7" i="19" s="1"/>
  <c r="R7" i="19"/>
  <c r="R16" i="19"/>
  <c r="U16" i="19"/>
  <c r="X16" i="19" s="1"/>
  <c r="R27" i="19"/>
  <c r="U27" i="19"/>
  <c r="X27" i="19" s="1"/>
  <c r="R5" i="19"/>
  <c r="S5" i="19" s="1"/>
  <c r="U5" i="19"/>
  <c r="U33" i="19"/>
  <c r="X33" i="19" s="1"/>
  <c r="R33" i="19"/>
  <c r="U31" i="19"/>
  <c r="X31" i="19" s="1"/>
  <c r="R31" i="19"/>
  <c r="R20" i="19"/>
  <c r="U20" i="19"/>
  <c r="X20" i="19" s="1"/>
  <c r="R9" i="19"/>
  <c r="U9" i="19"/>
  <c r="X9" i="19" s="1"/>
  <c r="U22" i="19"/>
  <c r="X22" i="19" s="1"/>
  <c r="R22" i="19"/>
  <c r="T14" i="18" l="1"/>
  <c r="M16" i="18"/>
  <c r="AA16" i="18"/>
  <c r="W16" i="18" s="1"/>
  <c r="J223" i="4"/>
  <c r="I218" i="4"/>
  <c r="W225" i="4"/>
  <c r="AD225" i="4" s="1"/>
  <c r="AI225" i="4" s="1"/>
  <c r="X224" i="4"/>
  <c r="I220" i="4"/>
  <c r="W228" i="4"/>
  <c r="AD228" i="4" s="1"/>
  <c r="AI228" i="4" s="1"/>
  <c r="J228" i="4"/>
  <c r="L16" i="18"/>
  <c r="I221" i="4"/>
  <c r="X227" i="4"/>
  <c r="I225" i="4"/>
  <c r="G16" i="18"/>
  <c r="J227" i="4"/>
  <c r="K16" i="18"/>
  <c r="J220" i="4"/>
  <c r="J217" i="4"/>
  <c r="W226" i="4"/>
  <c r="AB226" i="4" s="1"/>
  <c r="X16" i="18"/>
  <c r="W223" i="4"/>
  <c r="AD223" i="4" s="1"/>
  <c r="AI223" i="4" s="1"/>
  <c r="I226" i="4"/>
  <c r="AB16" i="18"/>
  <c r="J225" i="4"/>
  <c r="J215" i="4"/>
  <c r="X225" i="4"/>
  <c r="I217" i="4"/>
  <c r="J218" i="4"/>
  <c r="I222" i="4"/>
  <c r="J214" i="4"/>
  <c r="I214" i="4"/>
  <c r="I215" i="4"/>
  <c r="I224" i="4"/>
  <c r="I219" i="4"/>
  <c r="K219" i="4" s="1"/>
  <c r="N16" i="18"/>
  <c r="Y16" i="18"/>
  <c r="X223" i="4"/>
  <c r="W227" i="4"/>
  <c r="AC227" i="4" s="1"/>
  <c r="J216" i="4"/>
  <c r="W224" i="4"/>
  <c r="J226" i="4"/>
  <c r="Z16" i="18"/>
  <c r="I223" i="4"/>
  <c r="I227" i="4"/>
  <c r="J221" i="4"/>
  <c r="J224" i="4"/>
  <c r="I228" i="4"/>
  <c r="I216" i="4"/>
  <c r="F16" i="18"/>
  <c r="O16" i="18" s="1"/>
  <c r="AA24" i="19"/>
  <c r="K201" i="4"/>
  <c r="AA208" i="4"/>
  <c r="AA213" i="4"/>
  <c r="K203" i="4"/>
  <c r="K202" i="4"/>
  <c r="K211" i="4"/>
  <c r="AA211" i="4"/>
  <c r="K7" i="11"/>
  <c r="AA23" i="19"/>
  <c r="AC211" i="4"/>
  <c r="AD211" i="4"/>
  <c r="AI211" i="4" s="1"/>
  <c r="AB211" i="4"/>
  <c r="K212" i="4"/>
  <c r="AC209" i="4"/>
  <c r="AB209" i="4"/>
  <c r="AD209" i="4"/>
  <c r="AI209" i="4" s="1"/>
  <c r="K200" i="4"/>
  <c r="K207" i="4"/>
  <c r="K210" i="4"/>
  <c r="K204" i="4"/>
  <c r="U15" i="18"/>
  <c r="W15" i="18"/>
  <c r="K199" i="4"/>
  <c r="K209" i="4"/>
  <c r="AB212" i="4"/>
  <c r="AC212" i="4"/>
  <c r="AD212" i="4"/>
  <c r="AI212" i="4" s="1"/>
  <c r="O15" i="18"/>
  <c r="R15" i="18"/>
  <c r="K206" i="4"/>
  <c r="AB213" i="4"/>
  <c r="AD213" i="4"/>
  <c r="AI213" i="4" s="1"/>
  <c r="AC213" i="4"/>
  <c r="AB208" i="4"/>
  <c r="AC208" i="4"/>
  <c r="AD208" i="4"/>
  <c r="AI208" i="4" s="1"/>
  <c r="AA210" i="4"/>
  <c r="K208" i="4"/>
  <c r="K213" i="4"/>
  <c r="AA209" i="4"/>
  <c r="K205" i="4"/>
  <c r="AB210" i="4"/>
  <c r="AC210" i="4"/>
  <c r="AD210" i="4"/>
  <c r="AI210" i="4" s="1"/>
  <c r="AA212" i="4"/>
  <c r="G19" i="1"/>
  <c r="I234" i="4" s="1"/>
  <c r="B18" i="1"/>
  <c r="A18" i="1"/>
  <c r="I16" i="18"/>
  <c r="X228" i="4"/>
  <c r="J222" i="4"/>
  <c r="X226" i="4"/>
  <c r="AA21" i="19"/>
  <c r="AA18" i="19"/>
  <c r="AA25" i="19"/>
  <c r="AA17" i="19"/>
  <c r="AA22" i="19"/>
  <c r="AA20" i="19"/>
  <c r="X4" i="19"/>
  <c r="V4" i="19"/>
  <c r="Y4" i="19" s="1"/>
  <c r="X2" i="19"/>
  <c r="V2" i="19"/>
  <c r="Y2" i="19" s="1"/>
  <c r="V3" i="19"/>
  <c r="Y3" i="19" s="1"/>
  <c r="S2" i="19"/>
  <c r="S3" i="19"/>
  <c r="X6" i="19"/>
  <c r="V9" i="19"/>
  <c r="Y9" i="19" s="1"/>
  <c r="V8" i="19"/>
  <c r="Y8" i="19" s="1"/>
  <c r="V11" i="19"/>
  <c r="Y11" i="19" s="1"/>
  <c r="V7" i="19"/>
  <c r="Y7" i="19" s="1"/>
  <c r="V6" i="19"/>
  <c r="Y6" i="19" s="1"/>
  <c r="V10" i="19"/>
  <c r="Y10" i="19" s="1"/>
  <c r="V13" i="19"/>
  <c r="Y13" i="19" s="1"/>
  <c r="V12" i="19"/>
  <c r="Y12" i="19" s="1"/>
  <c r="X14" i="19"/>
  <c r="V17" i="19"/>
  <c r="Y17" i="19" s="1"/>
  <c r="V20" i="19"/>
  <c r="Y20" i="19" s="1"/>
  <c r="V19" i="19"/>
  <c r="Y19" i="19" s="1"/>
  <c r="V16" i="19"/>
  <c r="Y16" i="19" s="1"/>
  <c r="V23" i="19"/>
  <c r="Y23" i="19" s="1"/>
  <c r="V25" i="19"/>
  <c r="Y25" i="19" s="1"/>
  <c r="V22" i="19"/>
  <c r="Y22" i="19" s="1"/>
  <c r="V24" i="19"/>
  <c r="Y24" i="19" s="1"/>
  <c r="V15" i="19"/>
  <c r="Y15" i="19" s="1"/>
  <c r="V14" i="19"/>
  <c r="Y14" i="19" s="1"/>
  <c r="V18" i="19"/>
  <c r="Y18" i="19" s="1"/>
  <c r="V21" i="19"/>
  <c r="Y21" i="19" s="1"/>
  <c r="S6" i="19"/>
  <c r="S11" i="19"/>
  <c r="S8" i="19"/>
  <c r="S13" i="19"/>
  <c r="S7" i="19"/>
  <c r="S12" i="19"/>
  <c r="S9" i="19"/>
  <c r="S10" i="19"/>
  <c r="S18" i="19"/>
  <c r="S15" i="19"/>
  <c r="S22" i="19"/>
  <c r="S19" i="19"/>
  <c r="S21" i="19"/>
  <c r="S24" i="19"/>
  <c r="S17" i="19"/>
  <c r="S23" i="19"/>
  <c r="S25" i="19"/>
  <c r="S20" i="19"/>
  <c r="S14" i="19"/>
  <c r="S16" i="19"/>
  <c r="S33" i="19"/>
  <c r="S26" i="19"/>
  <c r="S34" i="19"/>
  <c r="S29" i="19"/>
  <c r="S30" i="19"/>
  <c r="S32" i="19"/>
  <c r="S35" i="19"/>
  <c r="S31" i="19"/>
  <c r="S37" i="19"/>
  <c r="S27" i="19"/>
  <c r="S36" i="19"/>
  <c r="S28" i="19"/>
  <c r="X5" i="19"/>
  <c r="V5" i="19"/>
  <c r="Y5" i="19" s="1"/>
  <c r="AA6" i="19"/>
  <c r="AA7" i="19"/>
  <c r="AA8" i="19"/>
  <c r="AA9" i="19"/>
  <c r="AA10" i="19"/>
  <c r="AA2" i="19"/>
  <c r="AA3" i="19"/>
  <c r="AA11" i="19"/>
  <c r="AA4" i="19"/>
  <c r="AA12" i="19"/>
  <c r="AA5" i="19"/>
  <c r="AA13" i="19"/>
  <c r="X26" i="19"/>
  <c r="V36" i="19"/>
  <c r="Y36" i="19" s="1"/>
  <c r="V27" i="19"/>
  <c r="Y27" i="19" s="1"/>
  <c r="V37" i="19"/>
  <c r="Y37" i="19" s="1"/>
  <c r="V29" i="19"/>
  <c r="Y29" i="19" s="1"/>
  <c r="V31" i="19"/>
  <c r="Y31" i="19" s="1"/>
  <c r="V35" i="19"/>
  <c r="Y35" i="19" s="1"/>
  <c r="V30" i="19"/>
  <c r="Y30" i="19" s="1"/>
  <c r="V26" i="19"/>
  <c r="Y26" i="19" s="1"/>
  <c r="V34" i="19"/>
  <c r="Y34" i="19" s="1"/>
  <c r="V33" i="19"/>
  <c r="Y33" i="19" s="1"/>
  <c r="V28" i="19"/>
  <c r="Y28" i="19" s="1"/>
  <c r="V32" i="19"/>
  <c r="Y32" i="19" s="1"/>
  <c r="AC228" i="4" l="1"/>
  <c r="K223" i="4"/>
  <c r="K218" i="4"/>
  <c r="AA228" i="4"/>
  <c r="R16" i="18"/>
  <c r="AB228" i="4"/>
  <c r="K228" i="4"/>
  <c r="K221" i="4"/>
  <c r="AB225" i="4"/>
  <c r="AC225" i="4"/>
  <c r="AA225" i="4"/>
  <c r="K226" i="4"/>
  <c r="K220" i="4"/>
  <c r="AA224" i="4"/>
  <c r="AB223" i="4"/>
  <c r="AC223" i="4"/>
  <c r="AA223" i="4"/>
  <c r="K225" i="4"/>
  <c r="K215" i="4"/>
  <c r="AC226" i="4"/>
  <c r="AD226" i="4"/>
  <c r="AI226" i="4" s="1"/>
  <c r="AA226" i="4"/>
  <c r="K227" i="4"/>
  <c r="K217" i="4"/>
  <c r="K224" i="4"/>
  <c r="K214" i="4"/>
  <c r="AB227" i="4"/>
  <c r="AA227" i="4"/>
  <c r="K222" i="4"/>
  <c r="AD227" i="4"/>
  <c r="AI227" i="4" s="1"/>
  <c r="K216" i="4"/>
  <c r="AD224" i="4"/>
  <c r="AI224" i="4" s="1"/>
  <c r="AB224" i="4"/>
  <c r="AC224" i="4"/>
  <c r="J236" i="4"/>
  <c r="T15" i="18"/>
  <c r="U16" i="18"/>
  <c r="G20" i="1"/>
  <c r="W254" i="4" s="1"/>
  <c r="B19" i="1"/>
  <c r="A19" i="1"/>
  <c r="F17" i="18"/>
  <c r="Y17" i="18"/>
  <c r="I238" i="4"/>
  <c r="J239" i="4"/>
  <c r="I232" i="4"/>
  <c r="I230" i="4"/>
  <c r="X239" i="4"/>
  <c r="W243" i="4"/>
  <c r="I231" i="4"/>
  <c r="M17" i="18"/>
  <c r="I237" i="4"/>
  <c r="J242" i="4"/>
  <c r="X240" i="4"/>
  <c r="J235" i="4"/>
  <c r="W241" i="4"/>
  <c r="AB17" i="18"/>
  <c r="L17" i="18"/>
  <c r="Z17" i="18"/>
  <c r="I229" i="4"/>
  <c r="I235" i="4"/>
  <c r="I243" i="4"/>
  <c r="J233" i="4"/>
  <c r="X238" i="4"/>
  <c r="X241" i="4"/>
  <c r="G17" i="18"/>
  <c r="J237" i="4"/>
  <c r="I240" i="4"/>
  <c r="J230" i="4"/>
  <c r="W238" i="4"/>
  <c r="J234" i="4"/>
  <c r="K234" i="4" s="1"/>
  <c r="N17" i="18"/>
  <c r="K17" i="18"/>
  <c r="I241" i="4"/>
  <c r="I233" i="4"/>
  <c r="J232" i="4"/>
  <c r="W240" i="4"/>
  <c r="J243" i="4"/>
  <c r="J231" i="4"/>
  <c r="I17" i="18"/>
  <c r="I236" i="4"/>
  <c r="I242" i="4"/>
  <c r="I239" i="4"/>
  <c r="X17" i="18"/>
  <c r="J238" i="4"/>
  <c r="J241" i="4"/>
  <c r="X242" i="4"/>
  <c r="X243" i="4"/>
  <c r="AA17" i="18"/>
  <c r="W242" i="4"/>
  <c r="W239" i="4"/>
  <c r="J229" i="4"/>
  <c r="J240" i="4"/>
  <c r="I252" i="4" l="1"/>
  <c r="W252" i="4"/>
  <c r="AC252" i="4" s="1"/>
  <c r="G18" i="18"/>
  <c r="AA18" i="18"/>
  <c r="W18" i="18" s="1"/>
  <c r="I250" i="4"/>
  <c r="J257" i="4"/>
  <c r="X18" i="18"/>
  <c r="Y18" i="18"/>
  <c r="N18" i="18"/>
  <c r="I18" i="18"/>
  <c r="I256" i="4"/>
  <c r="J254" i="4"/>
  <c r="W255" i="4"/>
  <c r="AC255" i="4" s="1"/>
  <c r="J256" i="4"/>
  <c r="K18" i="18"/>
  <c r="W253" i="4"/>
  <c r="AB253" i="4" s="1"/>
  <c r="T16" i="18"/>
  <c r="K236" i="4"/>
  <c r="I257" i="4"/>
  <c r="X252" i="4"/>
  <c r="I249" i="4"/>
  <c r="W256" i="4"/>
  <c r="AC256" i="4" s="1"/>
  <c r="X253" i="4"/>
  <c r="I246" i="4"/>
  <c r="I245" i="4"/>
  <c r="J249" i="4"/>
  <c r="AB18" i="18"/>
  <c r="X254" i="4"/>
  <c r="AA254" i="4" s="1"/>
  <c r="Z18" i="18"/>
  <c r="J246" i="4"/>
  <c r="X256" i="4"/>
  <c r="X255" i="4"/>
  <c r="I255" i="4"/>
  <c r="J251" i="4"/>
  <c r="M18" i="18"/>
  <c r="F18" i="18"/>
  <c r="O18" i="18" s="1"/>
  <c r="J247" i="4"/>
  <c r="J245" i="4"/>
  <c r="J253" i="4"/>
  <c r="J255" i="4"/>
  <c r="I247" i="4"/>
  <c r="I254" i="4"/>
  <c r="I244" i="4"/>
  <c r="X257" i="4"/>
  <c r="I253" i="4"/>
  <c r="W257" i="4"/>
  <c r="AD257" i="4" s="1"/>
  <c r="AI257" i="4" s="1"/>
  <c r="J244" i="4"/>
  <c r="J250" i="4"/>
  <c r="J252" i="4"/>
  <c r="L18" i="18"/>
  <c r="I248" i="4"/>
  <c r="K240" i="4"/>
  <c r="K229" i="4"/>
  <c r="K243" i="4"/>
  <c r="K241" i="4"/>
  <c r="K232" i="4"/>
  <c r="K237" i="4"/>
  <c r="K230" i="4"/>
  <c r="K238" i="4"/>
  <c r="AA241" i="4"/>
  <c r="AA243" i="4"/>
  <c r="K231" i="4"/>
  <c r="AD240" i="4"/>
  <c r="AI240" i="4" s="1"/>
  <c r="AC240" i="4"/>
  <c r="AB240" i="4"/>
  <c r="AB238" i="4"/>
  <c r="AC238" i="4"/>
  <c r="AD238" i="4"/>
  <c r="AI238" i="4" s="1"/>
  <c r="K239" i="4"/>
  <c r="K233" i="4"/>
  <c r="AA242" i="4"/>
  <c r="AA239" i="4"/>
  <c r="AD242" i="4"/>
  <c r="AI242" i="4" s="1"/>
  <c r="AC242" i="4"/>
  <c r="AB242" i="4"/>
  <c r="AC239" i="4"/>
  <c r="AD239" i="4"/>
  <c r="AI239" i="4" s="1"/>
  <c r="AB239" i="4"/>
  <c r="U17" i="18"/>
  <c r="W17" i="18"/>
  <c r="AA238" i="4"/>
  <c r="AB241" i="4"/>
  <c r="AD241" i="4"/>
  <c r="AI241" i="4" s="1"/>
  <c r="AC241" i="4"/>
  <c r="K242" i="4"/>
  <c r="AA240" i="4"/>
  <c r="AC254" i="4"/>
  <c r="AD254" i="4"/>
  <c r="AI254" i="4" s="1"/>
  <c r="AB254" i="4"/>
  <c r="AB243" i="4"/>
  <c r="AC243" i="4"/>
  <c r="AD243" i="4"/>
  <c r="AI243" i="4" s="1"/>
  <c r="O17" i="18"/>
  <c r="R17" i="18"/>
  <c r="G21" i="1"/>
  <c r="AB19" i="18" s="1"/>
  <c r="A20" i="1"/>
  <c r="B20" i="1"/>
  <c r="J248" i="4"/>
  <c r="I251" i="4"/>
  <c r="K235" i="4"/>
  <c r="K252" i="4" l="1"/>
  <c r="AD252" i="4"/>
  <c r="AI252" i="4" s="1"/>
  <c r="AA252" i="4"/>
  <c r="AB252" i="4"/>
  <c r="K257" i="4"/>
  <c r="K250" i="4"/>
  <c r="R18" i="18"/>
  <c r="AB255" i="4"/>
  <c r="K254" i="4"/>
  <c r="AD255" i="4"/>
  <c r="AI255" i="4" s="1"/>
  <c r="U18" i="18"/>
  <c r="AD253" i="4"/>
  <c r="AI253" i="4" s="1"/>
  <c r="AC253" i="4"/>
  <c r="AA253" i="4"/>
  <c r="K256" i="4"/>
  <c r="AA255" i="4"/>
  <c r="AA257" i="4"/>
  <c r="K249" i="4"/>
  <c r="AC257" i="4"/>
  <c r="AD256" i="4"/>
  <c r="AI256" i="4" s="1"/>
  <c r="AB257" i="4"/>
  <c r="AB256" i="4"/>
  <c r="K244" i="4"/>
  <c r="K253" i="4"/>
  <c r="AA256" i="4"/>
  <c r="K247" i="4"/>
  <c r="K245" i="4"/>
  <c r="K255" i="4"/>
  <c r="K246" i="4"/>
  <c r="K251" i="4"/>
  <c r="K248" i="4"/>
  <c r="T17" i="18"/>
  <c r="X270" i="4"/>
  <c r="J271" i="4"/>
  <c r="I261" i="4"/>
  <c r="G22" i="1"/>
  <c r="J279" i="4" s="1"/>
  <c r="A21" i="1"/>
  <c r="B21" i="1"/>
  <c r="J261" i="4"/>
  <c r="J265" i="4"/>
  <c r="W270" i="4"/>
  <c r="F19" i="18"/>
  <c r="J263" i="4"/>
  <c r="M19" i="18"/>
  <c r="I262" i="4"/>
  <c r="J269" i="4"/>
  <c r="X267" i="4"/>
  <c r="J267" i="4"/>
  <c r="J262" i="4"/>
  <c r="I258" i="4"/>
  <c r="J258" i="4"/>
  <c r="AA19" i="18"/>
  <c r="X269" i="4"/>
  <c r="I267" i="4"/>
  <c r="W271" i="4"/>
  <c r="J259" i="4"/>
  <c r="N19" i="18"/>
  <c r="K19" i="18"/>
  <c r="I259" i="4"/>
  <c r="I271" i="4"/>
  <c r="J268" i="4"/>
  <c r="Y19" i="18"/>
  <c r="W267" i="4"/>
  <c r="I264" i="4"/>
  <c r="W268" i="4"/>
  <c r="J266" i="4"/>
  <c r="W269" i="4"/>
  <c r="I266" i="4"/>
  <c r="J270" i="4"/>
  <c r="G19" i="18"/>
  <c r="I265" i="4"/>
  <c r="W266" i="4"/>
  <c r="I270" i="4"/>
  <c r="I260" i="4"/>
  <c r="J260" i="4"/>
  <c r="X271" i="4"/>
  <c r="L19" i="18"/>
  <c r="J264" i="4"/>
  <c r="Z19" i="18"/>
  <c r="I19" i="18"/>
  <c r="I263" i="4"/>
  <c r="X19" i="18"/>
  <c r="I269" i="4"/>
  <c r="I268" i="4"/>
  <c r="X268" i="4"/>
  <c r="X266" i="4"/>
  <c r="H4" i="6"/>
  <c r="C3" i="6"/>
  <c r="A4" i="6" l="1"/>
  <c r="B4" i="6"/>
  <c r="T18" i="18"/>
  <c r="AB20" i="18"/>
  <c r="J275" i="4"/>
  <c r="AA20" i="18"/>
  <c r="W20" i="18" s="1"/>
  <c r="X283" i="4"/>
  <c r="X285" i="4"/>
  <c r="Y20" i="18"/>
  <c r="I277" i="4"/>
  <c r="W281" i="4"/>
  <c r="AB281" i="4" s="1"/>
  <c r="I282" i="4"/>
  <c r="J277" i="4"/>
  <c r="K20" i="18"/>
  <c r="I274" i="4"/>
  <c r="I279" i="4"/>
  <c r="K279" i="4" s="1"/>
  <c r="I283" i="4"/>
  <c r="J282" i="4"/>
  <c r="I273" i="4"/>
  <c r="W284" i="4"/>
  <c r="AC284" i="4" s="1"/>
  <c r="X284" i="4"/>
  <c r="J276" i="4"/>
  <c r="I284" i="4"/>
  <c r="W285" i="4"/>
  <c r="AD285" i="4" s="1"/>
  <c r="AI285" i="4" s="1"/>
  <c r="L20" i="18"/>
  <c r="I278" i="4"/>
  <c r="W280" i="4"/>
  <c r="AD280" i="4" s="1"/>
  <c r="AI280" i="4" s="1"/>
  <c r="F20" i="18"/>
  <c r="O20" i="18" s="1"/>
  <c r="I275" i="4"/>
  <c r="I276" i="4"/>
  <c r="M20" i="18"/>
  <c r="J278" i="4"/>
  <c r="J281" i="4"/>
  <c r="X20" i="18"/>
  <c r="J273" i="4"/>
  <c r="G20" i="18"/>
  <c r="X282" i="4"/>
  <c r="J272" i="4"/>
  <c r="I280" i="4"/>
  <c r="N20" i="18"/>
  <c r="I272" i="4"/>
  <c r="J280" i="4"/>
  <c r="I281" i="4"/>
  <c r="I20" i="18"/>
  <c r="J274" i="4"/>
  <c r="X280" i="4"/>
  <c r="X281" i="4"/>
  <c r="Z20" i="18"/>
  <c r="J284" i="4"/>
  <c r="I285" i="4"/>
  <c r="W282" i="4"/>
  <c r="AD282" i="4" s="1"/>
  <c r="AI282" i="4" s="1"/>
  <c r="J283" i="4"/>
  <c r="J285" i="4"/>
  <c r="K271" i="4"/>
  <c r="K261" i="4"/>
  <c r="AA270" i="4"/>
  <c r="AA271" i="4"/>
  <c r="AA268" i="4"/>
  <c r="AA266" i="4"/>
  <c r="K262" i="4"/>
  <c r="K264" i="4"/>
  <c r="K270" i="4"/>
  <c r="K260" i="4"/>
  <c r="AA269" i="4"/>
  <c r="AB266" i="4"/>
  <c r="AC266" i="4"/>
  <c r="AD266" i="4"/>
  <c r="AI266" i="4" s="1"/>
  <c r="K269" i="4"/>
  <c r="K266" i="4"/>
  <c r="AB269" i="4"/>
  <c r="AD269" i="4"/>
  <c r="AI269" i="4" s="1"/>
  <c r="AC269" i="4"/>
  <c r="W19" i="18"/>
  <c r="U19" i="18"/>
  <c r="K259" i="4"/>
  <c r="AD270" i="4"/>
  <c r="AI270" i="4" s="1"/>
  <c r="AB270" i="4"/>
  <c r="AC270" i="4"/>
  <c r="G23" i="1"/>
  <c r="B22" i="1"/>
  <c r="A22" i="1"/>
  <c r="W283" i="4"/>
  <c r="K268" i="4"/>
  <c r="K258" i="4"/>
  <c r="AA267" i="4"/>
  <c r="AC271" i="4"/>
  <c r="AB271" i="4"/>
  <c r="AD271" i="4"/>
  <c r="AI271" i="4" s="1"/>
  <c r="O19" i="18"/>
  <c r="R19" i="18"/>
  <c r="AD268" i="4"/>
  <c r="AI268" i="4" s="1"/>
  <c r="AC268" i="4"/>
  <c r="AB268" i="4"/>
  <c r="AB267" i="4"/>
  <c r="AC267" i="4"/>
  <c r="AD267" i="4"/>
  <c r="AI267" i="4" s="1"/>
  <c r="K267" i="4"/>
  <c r="K263" i="4"/>
  <c r="K265" i="4"/>
  <c r="H4" i="14"/>
  <c r="H5" i="6"/>
  <c r="C4" i="6"/>
  <c r="B5" i="6" l="1"/>
  <c r="A5" i="6"/>
  <c r="K275" i="4"/>
  <c r="U20" i="18"/>
  <c r="K276" i="4"/>
  <c r="K277" i="4"/>
  <c r="K274" i="4"/>
  <c r="AC281" i="4"/>
  <c r="AD281" i="4"/>
  <c r="AI281" i="4" s="1"/>
  <c r="AA281" i="4"/>
  <c r="K282" i="4"/>
  <c r="AB280" i="4"/>
  <c r="AA280" i="4"/>
  <c r="AC280" i="4"/>
  <c r="K283" i="4"/>
  <c r="AA284" i="4"/>
  <c r="AB285" i="4"/>
  <c r="AD284" i="4"/>
  <c r="AI284" i="4" s="1"/>
  <c r="AB284" i="4"/>
  <c r="R20" i="18"/>
  <c r="AC285" i="4"/>
  <c r="AA285" i="4"/>
  <c r="K284" i="4"/>
  <c r="K278" i="4"/>
  <c r="K273" i="4"/>
  <c r="K281" i="4"/>
  <c r="AA282" i="4"/>
  <c r="AB282" i="4"/>
  <c r="K285" i="4"/>
  <c r="K280" i="4"/>
  <c r="K272" i="4"/>
  <c r="T19" i="18"/>
  <c r="AC282" i="4"/>
  <c r="AA283" i="4"/>
  <c r="AC283" i="4"/>
  <c r="AD283" i="4"/>
  <c r="AI283" i="4" s="1"/>
  <c r="AB283" i="4"/>
  <c r="W298" i="4"/>
  <c r="J286" i="4"/>
  <c r="G24" i="1"/>
  <c r="J312" i="4" s="1"/>
  <c r="B23" i="1"/>
  <c r="A23" i="1"/>
  <c r="J287" i="4"/>
  <c r="X297" i="4"/>
  <c r="I296" i="4"/>
  <c r="J298" i="4"/>
  <c r="J288" i="4"/>
  <c r="J295" i="4"/>
  <c r="W297" i="4"/>
  <c r="G21" i="18"/>
  <c r="J293" i="4"/>
  <c r="K21" i="18"/>
  <c r="J299" i="4"/>
  <c r="X299" i="4"/>
  <c r="I294" i="4"/>
  <c r="W295" i="4"/>
  <c r="J292" i="4"/>
  <c r="I293" i="4"/>
  <c r="X295" i="4"/>
  <c r="J289" i="4"/>
  <c r="I297" i="4"/>
  <c r="Z21" i="18"/>
  <c r="X21" i="18"/>
  <c r="I292" i="4"/>
  <c r="X294" i="4"/>
  <c r="J290" i="4"/>
  <c r="I287" i="4"/>
  <c r="J297" i="4"/>
  <c r="I295" i="4"/>
  <c r="Y21" i="18"/>
  <c r="W294" i="4"/>
  <c r="I290" i="4"/>
  <c r="I288" i="4"/>
  <c r="N21" i="18"/>
  <c r="I289" i="4"/>
  <c r="J294" i="4"/>
  <c r="I291" i="4"/>
  <c r="M21" i="18"/>
  <c r="J291" i="4"/>
  <c r="I298" i="4"/>
  <c r="X296" i="4"/>
  <c r="I299" i="4"/>
  <c r="F21" i="18"/>
  <c r="X298" i="4"/>
  <c r="W296" i="4"/>
  <c r="W299" i="4"/>
  <c r="AB21" i="18"/>
  <c r="L21" i="18"/>
  <c r="I21" i="18"/>
  <c r="I286" i="4"/>
  <c r="AA21" i="18"/>
  <c r="J296" i="4"/>
  <c r="H5" i="14"/>
  <c r="C5" i="6"/>
  <c r="H6" i="6"/>
  <c r="A6" i="6" l="1"/>
  <c r="B6" i="6"/>
  <c r="T20" i="18"/>
  <c r="F22" i="18"/>
  <c r="R22" i="18" s="1"/>
  <c r="K22" i="18"/>
  <c r="J309" i="4"/>
  <c r="X22" i="18"/>
  <c r="W313" i="4"/>
  <c r="AB313" i="4" s="1"/>
  <c r="I302" i="4"/>
  <c r="Y22" i="18"/>
  <c r="I309" i="4"/>
  <c r="X312" i="4"/>
  <c r="N22" i="18"/>
  <c r="I304" i="4"/>
  <c r="I22" i="18"/>
  <c r="X309" i="4"/>
  <c r="J308" i="4"/>
  <c r="W310" i="4"/>
  <c r="AC310" i="4" s="1"/>
  <c r="J303" i="4"/>
  <c r="K296" i="4"/>
  <c r="I307" i="4"/>
  <c r="J307" i="4"/>
  <c r="X311" i="4"/>
  <c r="I313" i="4"/>
  <c r="I305" i="4"/>
  <c r="X310" i="4"/>
  <c r="W309" i="4"/>
  <c r="AB309" i="4" s="1"/>
  <c r="L22" i="18"/>
  <c r="Z22" i="18"/>
  <c r="AA22" i="18"/>
  <c r="W22" i="18" s="1"/>
  <c r="W308" i="4"/>
  <c r="AD308" i="4" s="1"/>
  <c r="AI308" i="4" s="1"/>
  <c r="I303" i="4"/>
  <c r="J305" i="4"/>
  <c r="G22" i="18"/>
  <c r="I306" i="4"/>
  <c r="J306" i="4"/>
  <c r="I301" i="4"/>
  <c r="I308" i="4"/>
  <c r="I310" i="4"/>
  <c r="J311" i="4"/>
  <c r="J302" i="4"/>
  <c r="J300" i="4"/>
  <c r="J310" i="4"/>
  <c r="M22" i="18"/>
  <c r="W311" i="4"/>
  <c r="AC311" i="4" s="1"/>
  <c r="J304" i="4"/>
  <c r="X313" i="4"/>
  <c r="X308" i="4"/>
  <c r="AB22" i="18"/>
  <c r="J301" i="4"/>
  <c r="W312" i="4"/>
  <c r="AC312" i="4" s="1"/>
  <c r="I300" i="4"/>
  <c r="I312" i="4"/>
  <c r="K312" i="4" s="1"/>
  <c r="J313" i="4"/>
  <c r="K297" i="4"/>
  <c r="I311" i="4"/>
  <c r="AA295" i="4"/>
  <c r="K291" i="4"/>
  <c r="K294" i="4"/>
  <c r="AB296" i="4"/>
  <c r="AC296" i="4"/>
  <c r="AD296" i="4"/>
  <c r="AI296" i="4" s="1"/>
  <c r="AD294" i="4"/>
  <c r="AI294" i="4" s="1"/>
  <c r="AC294" i="4"/>
  <c r="AB294" i="4"/>
  <c r="AA296" i="4"/>
  <c r="AA294" i="4"/>
  <c r="U21" i="18"/>
  <c r="W21" i="18"/>
  <c r="O21" i="18"/>
  <c r="R21" i="18"/>
  <c r="AD299" i="4"/>
  <c r="AI299" i="4" s="1"/>
  <c r="AB299" i="4"/>
  <c r="AC299" i="4"/>
  <c r="K288" i="4"/>
  <c r="K298" i="4"/>
  <c r="G25" i="1"/>
  <c r="G23" i="18" s="1"/>
  <c r="A24" i="1"/>
  <c r="B24" i="1"/>
  <c r="K293" i="4"/>
  <c r="K290" i="4"/>
  <c r="K292" i="4"/>
  <c r="K299" i="4"/>
  <c r="AB297" i="4"/>
  <c r="AD297" i="4"/>
  <c r="AI297" i="4" s="1"/>
  <c r="AC297" i="4"/>
  <c r="K287" i="4"/>
  <c r="AA297" i="4"/>
  <c r="K286" i="4"/>
  <c r="AA298" i="4"/>
  <c r="AD298" i="4"/>
  <c r="AI298" i="4" s="1"/>
  <c r="AB298" i="4"/>
  <c r="AC298" i="4"/>
  <c r="K295" i="4"/>
  <c r="K289" i="4"/>
  <c r="AD295" i="4"/>
  <c r="AI295" i="4" s="1"/>
  <c r="AB295" i="4"/>
  <c r="AC295" i="4"/>
  <c r="AA299" i="4"/>
  <c r="H6" i="14"/>
  <c r="H7" i="6"/>
  <c r="C6" i="6"/>
  <c r="K304" i="4" l="1"/>
  <c r="A7" i="6"/>
  <c r="B7" i="6"/>
  <c r="K305" i="4"/>
  <c r="O22" i="18"/>
  <c r="K302" i="4"/>
  <c r="AD310" i="4"/>
  <c r="AI310" i="4" s="1"/>
  <c r="AD313" i="4"/>
  <c r="AI313" i="4" s="1"/>
  <c r="K309" i="4"/>
  <c r="K311" i="4"/>
  <c r="AA313" i="4"/>
  <c r="U22" i="18"/>
  <c r="K308" i="4"/>
  <c r="AB310" i="4"/>
  <c r="AC308" i="4"/>
  <c r="AB311" i="4"/>
  <c r="K307" i="4"/>
  <c r="K303" i="4"/>
  <c r="AD311" i="4"/>
  <c r="AI311" i="4" s="1"/>
  <c r="T21" i="18"/>
  <c r="AC313" i="4"/>
  <c r="K310" i="4"/>
  <c r="K306" i="4"/>
  <c r="AA310" i="4"/>
  <c r="AB308" i="4"/>
  <c r="K300" i="4"/>
  <c r="AA308" i="4"/>
  <c r="AA311" i="4"/>
  <c r="K301" i="4"/>
  <c r="K313" i="4"/>
  <c r="AB312" i="4"/>
  <c r="AD312" i="4"/>
  <c r="AI312" i="4" s="1"/>
  <c r="AC309" i="4"/>
  <c r="AA312" i="4"/>
  <c r="AD309" i="4"/>
  <c r="AI309" i="4" s="1"/>
  <c r="AA309" i="4"/>
  <c r="G26" i="1"/>
  <c r="I329" i="4" s="1"/>
  <c r="A25" i="1"/>
  <c r="B25" i="1"/>
  <c r="W322" i="4"/>
  <c r="X322" i="4"/>
  <c r="I326" i="4"/>
  <c r="J320" i="4"/>
  <c r="I316" i="4"/>
  <c r="J323" i="4"/>
  <c r="J315" i="4"/>
  <c r="N23" i="18"/>
  <c r="I318" i="4"/>
  <c r="M23" i="18"/>
  <c r="Y23" i="18"/>
  <c r="W324" i="4"/>
  <c r="AB23" i="18"/>
  <c r="I322" i="4"/>
  <c r="J321" i="4"/>
  <c r="J317" i="4"/>
  <c r="I314" i="4"/>
  <c r="J326" i="4"/>
  <c r="X327" i="4"/>
  <c r="X323" i="4"/>
  <c r="L23" i="18"/>
  <c r="W326" i="4"/>
  <c r="K23" i="18"/>
  <c r="J325" i="4"/>
  <c r="Z23" i="18"/>
  <c r="I320" i="4"/>
  <c r="I319" i="4"/>
  <c r="AA23" i="18"/>
  <c r="I23" i="18"/>
  <c r="J324" i="4"/>
  <c r="X23" i="18"/>
  <c r="W323" i="4"/>
  <c r="X326" i="4"/>
  <c r="I317" i="4"/>
  <c r="J327" i="4"/>
  <c r="I323" i="4"/>
  <c r="J318" i="4"/>
  <c r="W327" i="4"/>
  <c r="J322" i="4"/>
  <c r="J319" i="4"/>
  <c r="X325" i="4"/>
  <c r="J314" i="4"/>
  <c r="X324" i="4"/>
  <c r="J316" i="4"/>
  <c r="I321" i="4"/>
  <c r="I315" i="4"/>
  <c r="I325" i="4"/>
  <c r="F23" i="18"/>
  <c r="I327" i="4"/>
  <c r="W325" i="4"/>
  <c r="I324" i="4"/>
  <c r="H7" i="14"/>
  <c r="C7" i="6"/>
  <c r="H8" i="6"/>
  <c r="A8" i="6" l="1"/>
  <c r="B8" i="6"/>
  <c r="X24" i="18"/>
  <c r="Y24" i="18"/>
  <c r="I334" i="4"/>
  <c r="J328" i="4"/>
  <c r="T22" i="18"/>
  <c r="W338" i="4"/>
  <c r="AB338" i="4" s="1"/>
  <c r="K24" i="18"/>
  <c r="J334" i="4"/>
  <c r="W336" i="4"/>
  <c r="AD336" i="4" s="1"/>
  <c r="AI336" i="4" s="1"/>
  <c r="M24" i="18"/>
  <c r="X340" i="4"/>
  <c r="J340" i="4"/>
  <c r="J329" i="4"/>
  <c r="K329" i="4" s="1"/>
  <c r="Z24" i="18"/>
  <c r="J341" i="4"/>
  <c r="J332" i="4"/>
  <c r="X337" i="4"/>
  <c r="AA24" i="18"/>
  <c r="W24" i="18" s="1"/>
  <c r="J333" i="4"/>
  <c r="X338" i="4"/>
  <c r="J338" i="4"/>
  <c r="L24" i="18"/>
  <c r="I336" i="4"/>
  <c r="AB24" i="18"/>
  <c r="J336" i="4"/>
  <c r="X336" i="4"/>
  <c r="J335" i="4"/>
  <c r="J339" i="4"/>
  <c r="I341" i="4"/>
  <c r="I332" i="4"/>
  <c r="W337" i="4"/>
  <c r="AC337" i="4" s="1"/>
  <c r="X339" i="4"/>
  <c r="I338" i="4"/>
  <c r="I337" i="4"/>
  <c r="I24" i="18"/>
  <c r="I333" i="4"/>
  <c r="I340" i="4"/>
  <c r="I335" i="4"/>
  <c r="J331" i="4"/>
  <c r="I328" i="4"/>
  <c r="X341" i="4"/>
  <c r="W341" i="4"/>
  <c r="AC341" i="4" s="1"/>
  <c r="W339" i="4"/>
  <c r="AC339" i="4" s="1"/>
  <c r="G24" i="18"/>
  <c r="W340" i="4"/>
  <c r="J330" i="4"/>
  <c r="N24" i="18"/>
  <c r="I331" i="4"/>
  <c r="I339" i="4"/>
  <c r="J337" i="4"/>
  <c r="I330" i="4"/>
  <c r="F24" i="18"/>
  <c r="R24" i="18" s="1"/>
  <c r="K319" i="4"/>
  <c r="K318" i="4"/>
  <c r="K314" i="4"/>
  <c r="K322" i="4"/>
  <c r="AA326" i="4"/>
  <c r="AA324" i="4"/>
  <c r="K316" i="4"/>
  <c r="AA322" i="4"/>
  <c r="K326" i="4"/>
  <c r="AC325" i="4"/>
  <c r="AD325" i="4"/>
  <c r="AI325" i="4" s="1"/>
  <c r="AB325" i="4"/>
  <c r="R23" i="18"/>
  <c r="O23" i="18"/>
  <c r="K325" i="4"/>
  <c r="AA325" i="4"/>
  <c r="U23" i="18"/>
  <c r="W23" i="18"/>
  <c r="K321" i="4"/>
  <c r="AA323" i="4"/>
  <c r="K315" i="4"/>
  <c r="AD323" i="4"/>
  <c r="AI323" i="4" s="1"/>
  <c r="AC323" i="4"/>
  <c r="AB323" i="4"/>
  <c r="AB322" i="4"/>
  <c r="AD322" i="4"/>
  <c r="AI322" i="4" s="1"/>
  <c r="AC322" i="4"/>
  <c r="AD327" i="4"/>
  <c r="AI327" i="4" s="1"/>
  <c r="AB327" i="4"/>
  <c r="AC327" i="4"/>
  <c r="K323" i="4"/>
  <c r="K320" i="4"/>
  <c r="AA327" i="4"/>
  <c r="G27" i="1"/>
  <c r="X355" i="4" s="1"/>
  <c r="A26" i="1"/>
  <c r="B26" i="1"/>
  <c r="K327" i="4"/>
  <c r="K324" i="4"/>
  <c r="AB326" i="4"/>
  <c r="AD326" i="4"/>
  <c r="AI326" i="4" s="1"/>
  <c r="AC326" i="4"/>
  <c r="K317" i="4"/>
  <c r="AD324" i="4"/>
  <c r="AI324" i="4" s="1"/>
  <c r="AB324" i="4"/>
  <c r="AC324" i="4"/>
  <c r="H8" i="14"/>
  <c r="H9" i="6"/>
  <c r="C8" i="6"/>
  <c r="A9" i="6" l="1"/>
  <c r="B9" i="6"/>
  <c r="K337" i="4"/>
  <c r="U24" i="18"/>
  <c r="K328" i="4"/>
  <c r="K334" i="4"/>
  <c r="AD338" i="4"/>
  <c r="AI338" i="4" s="1"/>
  <c r="AA336" i="4"/>
  <c r="O24" i="18"/>
  <c r="K335" i="4"/>
  <c r="AA340" i="4"/>
  <c r="K333" i="4"/>
  <c r="AA338" i="4"/>
  <c r="AD339" i="4"/>
  <c r="AI339" i="4" s="1"/>
  <c r="AC338" i="4"/>
  <c r="AB339" i="4"/>
  <c r="AD340" i="4"/>
  <c r="AI340" i="4" s="1"/>
  <c r="AD341" i="4"/>
  <c r="AI341" i="4" s="1"/>
  <c r="AC336" i="4"/>
  <c r="K331" i="4"/>
  <c r="AA339" i="4"/>
  <c r="K336" i="4"/>
  <c r="AB341" i="4"/>
  <c r="AA341" i="4"/>
  <c r="K330" i="4"/>
  <c r="K339" i="4"/>
  <c r="AB340" i="4"/>
  <c r="K341" i="4"/>
  <c r="AC340" i="4"/>
  <c r="K340" i="4"/>
  <c r="AB337" i="4"/>
  <c r="AD337" i="4"/>
  <c r="AI337" i="4" s="1"/>
  <c r="K338" i="4"/>
  <c r="AA337" i="4"/>
  <c r="K332" i="4"/>
  <c r="AB336" i="4"/>
  <c r="T23" i="18"/>
  <c r="G28" i="1"/>
  <c r="B27" i="1"/>
  <c r="A27" i="1"/>
  <c r="H9" i="14"/>
  <c r="C9" i="6"/>
  <c r="H10" i="6"/>
  <c r="A10" i="6" l="1"/>
  <c r="B10" i="6"/>
  <c r="T24" i="18"/>
  <c r="G29" i="1"/>
  <c r="A28" i="1"/>
  <c r="B28" i="1"/>
  <c r="H10" i="14"/>
  <c r="C10" i="6"/>
  <c r="H11" i="6"/>
  <c r="A11" i="6" l="1"/>
  <c r="B11" i="6"/>
  <c r="G30" i="1"/>
  <c r="A29" i="1"/>
  <c r="B29" i="1"/>
  <c r="H11" i="14"/>
  <c r="H12" i="6"/>
  <c r="C11" i="6"/>
  <c r="A12" i="6" l="1"/>
  <c r="B12" i="6"/>
  <c r="G31" i="1"/>
  <c r="B30" i="1"/>
  <c r="A30" i="1"/>
  <c r="H12" i="14"/>
  <c r="H13" i="6"/>
  <c r="C12" i="6"/>
  <c r="A13" i="6" l="1"/>
  <c r="B13" i="6"/>
  <c r="G32" i="1"/>
  <c r="B31" i="1"/>
  <c r="A31" i="1"/>
  <c r="H13" i="14"/>
  <c r="C13" i="6"/>
  <c r="H14" i="6"/>
  <c r="A14" i="6" l="1"/>
  <c r="B14" i="6"/>
  <c r="G33" i="1"/>
  <c r="A32" i="1"/>
  <c r="B32" i="1"/>
  <c r="H14" i="14"/>
  <c r="H15" i="6"/>
  <c r="C14" i="6"/>
  <c r="A15" i="6" l="1"/>
  <c r="B15" i="6"/>
  <c r="G34" i="1"/>
  <c r="A33" i="1"/>
  <c r="B33" i="1"/>
  <c r="C15" i="6"/>
  <c r="H16" i="6"/>
  <c r="H15" i="14"/>
  <c r="A16" i="6" l="1"/>
  <c r="B16" i="6"/>
  <c r="G35" i="1"/>
  <c r="B34" i="1"/>
  <c r="A34" i="1"/>
  <c r="H17" i="6"/>
  <c r="C16" i="6"/>
  <c r="H16" i="14"/>
  <c r="A17" i="6" l="1"/>
  <c r="B17" i="6"/>
  <c r="G36" i="1"/>
  <c r="B35" i="1"/>
  <c r="A35" i="1"/>
  <c r="H17" i="14"/>
  <c r="H18" i="6"/>
  <c r="C17" i="6"/>
  <c r="A18" i="6" l="1"/>
  <c r="B18" i="6"/>
  <c r="G37" i="1"/>
  <c r="A36" i="1"/>
  <c r="B36" i="1"/>
  <c r="H18" i="14"/>
  <c r="C18" i="6"/>
  <c r="H19" i="6"/>
  <c r="A19" i="6" l="1"/>
  <c r="B19" i="6"/>
  <c r="G38" i="1"/>
  <c r="A37" i="1"/>
  <c r="B37" i="1"/>
  <c r="H19" i="14"/>
  <c r="C19" i="6"/>
  <c r="H20" i="6"/>
  <c r="A20" i="6" l="1"/>
  <c r="B20" i="6"/>
  <c r="G39" i="1"/>
  <c r="B38" i="1"/>
  <c r="A38" i="1"/>
  <c r="H20" i="14"/>
  <c r="C20" i="6"/>
  <c r="H21" i="6"/>
  <c r="A21" i="6" l="1"/>
  <c r="B21" i="6"/>
  <c r="G40" i="1"/>
  <c r="B39" i="1"/>
  <c r="A39" i="1"/>
  <c r="H21" i="14"/>
  <c r="H22" i="6"/>
  <c r="C21" i="6"/>
  <c r="A22" i="6" l="1"/>
  <c r="B22" i="6"/>
  <c r="G41" i="1"/>
  <c r="A40" i="1"/>
  <c r="B40" i="1"/>
  <c r="H22" i="14"/>
  <c r="C22" i="6"/>
  <c r="H23" i="6"/>
  <c r="A23" i="6" l="1"/>
  <c r="B23" i="6"/>
  <c r="G42" i="1"/>
  <c r="A41" i="1"/>
  <c r="B41" i="1"/>
  <c r="H23" i="14"/>
  <c r="C23" i="6"/>
  <c r="H24" i="6"/>
  <c r="A24" i="6" l="1"/>
  <c r="B24" i="6"/>
  <c r="G43" i="1"/>
  <c r="G44" i="1" s="1"/>
  <c r="G45" i="1" s="1"/>
  <c r="G46" i="1" s="1"/>
  <c r="G47" i="1" s="1"/>
  <c r="G48" i="1" s="1"/>
  <c r="G49" i="1" s="1"/>
  <c r="G50" i="1" s="1"/>
  <c r="G51" i="1" s="1"/>
  <c r="G52" i="1" s="1"/>
  <c r="A42" i="1"/>
  <c r="B42" i="1"/>
  <c r="H24" i="14"/>
  <c r="H25" i="6"/>
  <c r="C24" i="6"/>
  <c r="A25" i="6" l="1"/>
  <c r="B25" i="6"/>
  <c r="B52" i="1"/>
  <c r="G53" i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A52" i="1"/>
  <c r="A51" i="1"/>
  <c r="B51" i="1"/>
  <c r="I688" i="4"/>
  <c r="I681" i="4"/>
  <c r="I689" i="4"/>
  <c r="J687" i="4"/>
  <c r="J688" i="4"/>
  <c r="X689" i="4"/>
  <c r="I676" i="4"/>
  <c r="W689" i="4"/>
  <c r="J678" i="4"/>
  <c r="J684" i="4"/>
  <c r="J681" i="4"/>
  <c r="I679" i="4"/>
  <c r="I685" i="4"/>
  <c r="I680" i="4"/>
  <c r="J686" i="4"/>
  <c r="I684" i="4"/>
  <c r="J689" i="4"/>
  <c r="J680" i="4"/>
  <c r="I683" i="4"/>
  <c r="W679" i="4"/>
  <c r="J677" i="4"/>
  <c r="I682" i="4"/>
  <c r="J679" i="4"/>
  <c r="X679" i="4"/>
  <c r="I687" i="4"/>
  <c r="I677" i="4"/>
  <c r="J676" i="4"/>
  <c r="J683" i="4"/>
  <c r="I678" i="4"/>
  <c r="J685" i="4"/>
  <c r="J682" i="4"/>
  <c r="I686" i="4"/>
  <c r="A50" i="1"/>
  <c r="B50" i="1"/>
  <c r="J670" i="4"/>
  <c r="I675" i="4"/>
  <c r="I672" i="4"/>
  <c r="I673" i="4"/>
  <c r="I667" i="4"/>
  <c r="W665" i="4"/>
  <c r="J667" i="4"/>
  <c r="J662" i="4"/>
  <c r="J669" i="4"/>
  <c r="J664" i="4"/>
  <c r="J668" i="4"/>
  <c r="J672" i="4"/>
  <c r="J673" i="4"/>
  <c r="I662" i="4"/>
  <c r="I18" i="11"/>
  <c r="I674" i="4"/>
  <c r="I671" i="4"/>
  <c r="J675" i="4"/>
  <c r="K675" i="4" s="1"/>
  <c r="J18" i="11"/>
  <c r="W675" i="4"/>
  <c r="J666" i="4"/>
  <c r="X665" i="4"/>
  <c r="I668" i="4"/>
  <c r="J665" i="4"/>
  <c r="J671" i="4"/>
  <c r="X675" i="4"/>
  <c r="I664" i="4"/>
  <c r="J674" i="4"/>
  <c r="J663" i="4"/>
  <c r="I663" i="4"/>
  <c r="I670" i="4"/>
  <c r="I669" i="4"/>
  <c r="I665" i="4"/>
  <c r="I666" i="4"/>
  <c r="A49" i="1"/>
  <c r="B49" i="1"/>
  <c r="I651" i="4"/>
  <c r="J657" i="4"/>
  <c r="I659" i="4"/>
  <c r="J661" i="4"/>
  <c r="I658" i="4"/>
  <c r="I654" i="4"/>
  <c r="J650" i="4"/>
  <c r="I652" i="4"/>
  <c r="I648" i="4"/>
  <c r="I650" i="4"/>
  <c r="J655" i="4"/>
  <c r="J653" i="4"/>
  <c r="J652" i="4"/>
  <c r="I655" i="4"/>
  <c r="J659" i="4"/>
  <c r="I656" i="4"/>
  <c r="J648" i="4"/>
  <c r="I657" i="4"/>
  <c r="X651" i="4"/>
  <c r="I649" i="4"/>
  <c r="W661" i="4"/>
  <c r="J651" i="4"/>
  <c r="J649" i="4"/>
  <c r="X661" i="4"/>
  <c r="W651" i="4"/>
  <c r="I653" i="4"/>
  <c r="J658" i="4"/>
  <c r="I661" i="4"/>
  <c r="I660" i="4"/>
  <c r="J654" i="4"/>
  <c r="K654" i="4" s="1"/>
  <c r="J656" i="4"/>
  <c r="J660" i="4"/>
  <c r="A48" i="1"/>
  <c r="B48" i="1"/>
  <c r="I643" i="4"/>
  <c r="I645" i="4"/>
  <c r="J641" i="4"/>
  <c r="X637" i="4"/>
  <c r="I635" i="4"/>
  <c r="I639" i="4"/>
  <c r="J637" i="4"/>
  <c r="I646" i="4"/>
  <c r="J646" i="4"/>
  <c r="J644" i="4"/>
  <c r="J643" i="4"/>
  <c r="W637" i="4"/>
  <c r="J640" i="4"/>
  <c r="I636" i="4"/>
  <c r="I638" i="4"/>
  <c r="I634" i="4"/>
  <c r="J638" i="4"/>
  <c r="I644" i="4"/>
  <c r="J639" i="4"/>
  <c r="J634" i="4"/>
  <c r="X647" i="4"/>
  <c r="I647" i="4"/>
  <c r="J645" i="4"/>
  <c r="J635" i="4"/>
  <c r="J636" i="4"/>
  <c r="W647" i="4"/>
  <c r="I642" i="4"/>
  <c r="I640" i="4"/>
  <c r="I641" i="4"/>
  <c r="J642" i="4"/>
  <c r="J647" i="4"/>
  <c r="I637" i="4"/>
  <c r="A47" i="1"/>
  <c r="B47" i="1"/>
  <c r="J633" i="4"/>
  <c r="J628" i="4"/>
  <c r="I623" i="4"/>
  <c r="I629" i="4"/>
  <c r="I633" i="4"/>
  <c r="J620" i="4"/>
  <c r="I621" i="4"/>
  <c r="J627" i="4"/>
  <c r="I632" i="4"/>
  <c r="I625" i="4"/>
  <c r="J631" i="4"/>
  <c r="I622" i="4"/>
  <c r="I628" i="4"/>
  <c r="J625" i="4"/>
  <c r="W623" i="4"/>
  <c r="I626" i="4"/>
  <c r="X633" i="4"/>
  <c r="W633" i="4"/>
  <c r="I627" i="4"/>
  <c r="J622" i="4"/>
  <c r="J629" i="4"/>
  <c r="J632" i="4"/>
  <c r="J630" i="4"/>
  <c r="J626" i="4"/>
  <c r="K626" i="4" s="1"/>
  <c r="I631" i="4"/>
  <c r="J623" i="4"/>
  <c r="X623" i="4"/>
  <c r="J624" i="4"/>
  <c r="I624" i="4"/>
  <c r="J621" i="4"/>
  <c r="I620" i="4"/>
  <c r="I630" i="4"/>
  <c r="A46" i="1"/>
  <c r="B46" i="1"/>
  <c r="I616" i="4"/>
  <c r="J606" i="4"/>
  <c r="J608" i="4"/>
  <c r="W609" i="4"/>
  <c r="J610" i="4"/>
  <c r="J614" i="4"/>
  <c r="J616" i="4"/>
  <c r="I614" i="4"/>
  <c r="I612" i="4"/>
  <c r="W619" i="4"/>
  <c r="I608" i="4"/>
  <c r="X619" i="4"/>
  <c r="J17" i="11"/>
  <c r="J607" i="4"/>
  <c r="J619" i="4"/>
  <c r="I611" i="4"/>
  <c r="J613" i="4"/>
  <c r="J618" i="4"/>
  <c r="I609" i="4"/>
  <c r="J615" i="4"/>
  <c r="I606" i="4"/>
  <c r="X609" i="4"/>
  <c r="I618" i="4"/>
  <c r="I610" i="4"/>
  <c r="J617" i="4"/>
  <c r="I613" i="4"/>
  <c r="J612" i="4"/>
  <c r="J611" i="4"/>
  <c r="I615" i="4"/>
  <c r="J609" i="4"/>
  <c r="I17" i="11"/>
  <c r="I619" i="4"/>
  <c r="I617" i="4"/>
  <c r="I607" i="4"/>
  <c r="A45" i="1"/>
  <c r="B45" i="1"/>
  <c r="J605" i="4"/>
  <c r="X605" i="4"/>
  <c r="W595" i="4"/>
  <c r="J596" i="4"/>
  <c r="J602" i="4"/>
  <c r="J594" i="4"/>
  <c r="J597" i="4"/>
  <c r="I600" i="4"/>
  <c r="J595" i="4"/>
  <c r="I601" i="4"/>
  <c r="J592" i="4"/>
  <c r="I593" i="4"/>
  <c r="I596" i="4"/>
  <c r="J600" i="4"/>
  <c r="I595" i="4"/>
  <c r="J593" i="4"/>
  <c r="J598" i="4"/>
  <c r="I602" i="4"/>
  <c r="I597" i="4"/>
  <c r="I598" i="4"/>
  <c r="J601" i="4"/>
  <c r="I592" i="4"/>
  <c r="I594" i="4"/>
  <c r="W605" i="4"/>
  <c r="J599" i="4"/>
  <c r="J604" i="4"/>
  <c r="I599" i="4"/>
  <c r="J603" i="4"/>
  <c r="I603" i="4"/>
  <c r="X595" i="4"/>
  <c r="I604" i="4"/>
  <c r="I605" i="4"/>
  <c r="A44" i="1"/>
  <c r="B44" i="1"/>
  <c r="J579" i="4"/>
  <c r="I579" i="4"/>
  <c r="X581" i="4"/>
  <c r="I586" i="4"/>
  <c r="J591" i="4"/>
  <c r="I589" i="4"/>
  <c r="I590" i="4"/>
  <c r="I581" i="4"/>
  <c r="J585" i="4"/>
  <c r="J589" i="4"/>
  <c r="I588" i="4"/>
  <c r="J587" i="4"/>
  <c r="I578" i="4"/>
  <c r="X591" i="4"/>
  <c r="J590" i="4"/>
  <c r="J588" i="4"/>
  <c r="I591" i="4"/>
  <c r="I580" i="4"/>
  <c r="W581" i="4"/>
  <c r="J586" i="4"/>
  <c r="I582" i="4"/>
  <c r="J583" i="4"/>
  <c r="I583" i="4"/>
  <c r="I587" i="4"/>
  <c r="I585" i="4"/>
  <c r="K585" i="4" s="1"/>
  <c r="J582" i="4"/>
  <c r="W591" i="4"/>
  <c r="I584" i="4"/>
  <c r="J581" i="4"/>
  <c r="J580" i="4"/>
  <c r="J584" i="4"/>
  <c r="J578" i="4"/>
  <c r="A43" i="1"/>
  <c r="B43" i="1"/>
  <c r="J519" i="4"/>
  <c r="G52" i="18"/>
  <c r="I462" i="4"/>
  <c r="G38" i="18"/>
  <c r="I388" i="4"/>
  <c r="J441" i="4"/>
  <c r="J5" i="3"/>
  <c r="J16" i="11"/>
  <c r="J556" i="4"/>
  <c r="I559" i="4"/>
  <c r="I411" i="4"/>
  <c r="G29" i="18"/>
  <c r="I392" i="4"/>
  <c r="I576" i="4"/>
  <c r="G56" i="18"/>
  <c r="J563" i="4"/>
  <c r="I44" i="18"/>
  <c r="W541" i="4"/>
  <c r="I453" i="4"/>
  <c r="L63" i="18"/>
  <c r="I525" i="4"/>
  <c r="J573" i="4"/>
  <c r="I547" i="4"/>
  <c r="I394" i="4"/>
  <c r="G48" i="18"/>
  <c r="J432" i="4"/>
  <c r="K50" i="18"/>
  <c r="I33" i="18"/>
  <c r="Z62" i="18"/>
  <c r="K31" i="18"/>
  <c r="I526" i="4"/>
  <c r="Y34" i="18"/>
  <c r="F29" i="18"/>
  <c r="I467" i="4"/>
  <c r="F62" i="18"/>
  <c r="L58" i="18"/>
  <c r="I564" i="4"/>
  <c r="J388" i="4"/>
  <c r="J392" i="4"/>
  <c r="I503" i="4"/>
  <c r="L56" i="18"/>
  <c r="I437" i="4"/>
  <c r="M46" i="18"/>
  <c r="J507" i="4"/>
  <c r="I43" i="18"/>
  <c r="J443" i="4"/>
  <c r="W373" i="4"/>
  <c r="Z50" i="18"/>
  <c r="Z38" i="18"/>
  <c r="I345" i="4"/>
  <c r="N59" i="18"/>
  <c r="AB28" i="18"/>
  <c r="N63" i="18"/>
  <c r="J486" i="4"/>
  <c r="J514" i="4"/>
  <c r="Y37" i="18"/>
  <c r="G41" i="18"/>
  <c r="F68" i="18"/>
  <c r="AB30" i="18"/>
  <c r="K47" i="18"/>
  <c r="W548" i="4"/>
  <c r="I364" i="4"/>
  <c r="X32" i="18"/>
  <c r="K51" i="18"/>
  <c r="I445" i="4"/>
  <c r="W474" i="4"/>
  <c r="I387" i="4"/>
  <c r="I468" i="4"/>
  <c r="J437" i="4"/>
  <c r="I539" i="4"/>
  <c r="J399" i="4"/>
  <c r="K36" i="18"/>
  <c r="F35" i="18"/>
  <c r="J533" i="4"/>
  <c r="N69" i="18"/>
  <c r="I542" i="4"/>
  <c r="X46" i="18"/>
  <c r="Y49" i="18"/>
  <c r="Y44" i="18"/>
  <c r="I60" i="18"/>
  <c r="N48" i="18"/>
  <c r="Y55" i="18"/>
  <c r="I509" i="4"/>
  <c r="F46" i="18"/>
  <c r="I25" i="18"/>
  <c r="J484" i="4"/>
  <c r="Z52" i="18"/>
  <c r="N50" i="18"/>
  <c r="I36" i="18"/>
  <c r="I56" i="18"/>
  <c r="I370" i="4"/>
  <c r="W484" i="4"/>
  <c r="J11" i="11"/>
  <c r="J382" i="4"/>
  <c r="J483" i="4"/>
  <c r="L32" i="18"/>
  <c r="AB29" i="18"/>
  <c r="J520" i="4"/>
  <c r="L50" i="18"/>
  <c r="I479" i="4"/>
  <c r="I423" i="4"/>
  <c r="AA48" i="18"/>
  <c r="X484" i="4"/>
  <c r="I531" i="4"/>
  <c r="N28" i="18"/>
  <c r="Y60" i="18"/>
  <c r="I477" i="4"/>
  <c r="X401" i="4"/>
  <c r="J550" i="4"/>
  <c r="I389" i="4"/>
  <c r="G31" i="18"/>
  <c r="J421" i="4"/>
  <c r="X58" i="18"/>
  <c r="J570" i="4"/>
  <c r="M45" i="18"/>
  <c r="J350" i="4"/>
  <c r="N56" i="18"/>
  <c r="I55" i="18"/>
  <c r="J523" i="4"/>
  <c r="I498" i="4"/>
  <c r="X546" i="4"/>
  <c r="Y58" i="18"/>
  <c r="J11" i="3"/>
  <c r="I480" i="4"/>
  <c r="Y51" i="18"/>
  <c r="I555" i="4"/>
  <c r="I472" i="4"/>
  <c r="L37" i="18"/>
  <c r="I473" i="4"/>
  <c r="AB37" i="18"/>
  <c r="J543" i="4"/>
  <c r="AA39" i="18"/>
  <c r="L36" i="18"/>
  <c r="I422" i="4"/>
  <c r="I519" i="4"/>
  <c r="X440" i="4"/>
  <c r="AB50" i="18"/>
  <c r="N33" i="18"/>
  <c r="Z49" i="18"/>
  <c r="X64" i="18"/>
  <c r="J342" i="4"/>
  <c r="F41" i="18"/>
  <c r="N53" i="18"/>
  <c r="M49" i="18"/>
  <c r="I420" i="4"/>
  <c r="I543" i="4"/>
  <c r="I454" i="4"/>
  <c r="N46" i="18"/>
  <c r="J575" i="4"/>
  <c r="N65" i="18"/>
  <c r="I499" i="4"/>
  <c r="I557" i="4"/>
  <c r="I408" i="4"/>
  <c r="W527" i="4"/>
  <c r="K56" i="18"/>
  <c r="I351" i="4"/>
  <c r="AB63" i="18"/>
  <c r="X68" i="18"/>
  <c r="J438" i="4"/>
  <c r="AA51" i="18"/>
  <c r="X50" i="18"/>
  <c r="I373" i="4"/>
  <c r="I385" i="4"/>
  <c r="Y46" i="18"/>
  <c r="X44" i="18"/>
  <c r="Z56" i="18"/>
  <c r="I441" i="4"/>
  <c r="Z69" i="18"/>
  <c r="AA27" i="18"/>
  <c r="J502" i="4"/>
  <c r="J362" i="4"/>
  <c r="L40" i="18"/>
  <c r="I372" i="4"/>
  <c r="J398" i="4"/>
  <c r="X547" i="4"/>
  <c r="J464" i="4"/>
  <c r="F36" i="18"/>
  <c r="K33" i="18"/>
  <c r="L48" i="18"/>
  <c r="Y63" i="18"/>
  <c r="L69" i="18"/>
  <c r="F59" i="18"/>
  <c r="M50" i="18"/>
  <c r="X27" i="18"/>
  <c r="W503" i="4"/>
  <c r="K67" i="18"/>
  <c r="I393" i="4"/>
  <c r="M59" i="18"/>
  <c r="I383" i="4"/>
  <c r="N35" i="18"/>
  <c r="K41" i="18"/>
  <c r="J429" i="4"/>
  <c r="X30" i="18"/>
  <c r="I475" i="4"/>
  <c r="K37" i="18"/>
  <c r="AA64" i="18"/>
  <c r="N62" i="18"/>
  <c r="W444" i="4"/>
  <c r="I565" i="4"/>
  <c r="G58" i="18"/>
  <c r="J506" i="4"/>
  <c r="I505" i="4"/>
  <c r="K34" i="18"/>
  <c r="W455" i="4"/>
  <c r="J347" i="4"/>
  <c r="N49" i="18"/>
  <c r="X48" i="18"/>
  <c r="M43" i="18"/>
  <c r="AB36" i="18"/>
  <c r="K46" i="18"/>
  <c r="L44" i="18"/>
  <c r="J453" i="4"/>
  <c r="I494" i="4"/>
  <c r="J529" i="4"/>
  <c r="Y62" i="18"/>
  <c r="AB53" i="18"/>
  <c r="I513" i="4"/>
  <c r="J481" i="4"/>
  <c r="I560" i="4"/>
  <c r="I459" i="4"/>
  <c r="I558" i="4"/>
  <c r="I32" i="18"/>
  <c r="N55" i="18"/>
  <c r="Y39" i="18"/>
  <c r="L51" i="18"/>
  <c r="I24" i="11"/>
  <c r="X429" i="4"/>
  <c r="J574" i="4"/>
  <c r="I354" i="4"/>
  <c r="I537" i="4"/>
  <c r="J462" i="4"/>
  <c r="AB65" i="18"/>
  <c r="J415" i="4"/>
  <c r="Y66" i="18"/>
  <c r="K68" i="18"/>
  <c r="J363" i="4"/>
  <c r="K64" i="18"/>
  <c r="J468" i="4"/>
  <c r="M27" i="18"/>
  <c r="I426" i="4"/>
  <c r="Y59" i="18"/>
  <c r="W543" i="4"/>
  <c r="J489" i="4"/>
  <c r="L33" i="18"/>
  <c r="F60" i="18"/>
  <c r="Y28" i="18"/>
  <c r="I45" i="18"/>
  <c r="J377" i="4"/>
  <c r="N34" i="18"/>
  <c r="I450" i="4"/>
  <c r="K35" i="18"/>
  <c r="Z25" i="18"/>
  <c r="I495" i="4"/>
  <c r="I538" i="4"/>
  <c r="J413" i="4"/>
  <c r="I34" i="18"/>
  <c r="J447" i="4"/>
  <c r="I419" i="4"/>
  <c r="F51" i="18"/>
  <c r="I550" i="4"/>
  <c r="I493" i="4"/>
  <c r="I535" i="4"/>
  <c r="J374" i="4"/>
  <c r="J548" i="4"/>
  <c r="I551" i="4"/>
  <c r="M32" i="18"/>
  <c r="W345" i="4"/>
  <c r="J364" i="4"/>
  <c r="I435" i="4"/>
  <c r="I474" i="4"/>
  <c r="W549" i="4"/>
  <c r="G57" i="18"/>
  <c r="I571" i="4"/>
  <c r="G67" i="18"/>
  <c r="W489" i="4"/>
  <c r="J435" i="4"/>
  <c r="K45" i="18"/>
  <c r="M56" i="18"/>
  <c r="Y67" i="18"/>
  <c r="I400" i="4"/>
  <c r="J572" i="4"/>
  <c r="I452" i="4"/>
  <c r="N41" i="18"/>
  <c r="J452" i="4"/>
  <c r="I350" i="4"/>
  <c r="J383" i="4"/>
  <c r="AA30" i="18"/>
  <c r="I358" i="4"/>
  <c r="F65" i="18"/>
  <c r="AB57" i="18"/>
  <c r="I496" i="4"/>
  <c r="J555" i="4"/>
  <c r="L60" i="18"/>
  <c r="Y42" i="18"/>
  <c r="X345" i="4"/>
  <c r="X53" i="18"/>
  <c r="J366" i="4"/>
  <c r="J449" i="4"/>
  <c r="X37" i="18"/>
  <c r="X553" i="4"/>
  <c r="F37" i="18"/>
  <c r="I62" i="18"/>
  <c r="X41" i="18"/>
  <c r="AA41" i="18"/>
  <c r="I54" i="18"/>
  <c r="J525" i="4"/>
  <c r="J509" i="4"/>
  <c r="I39" i="18"/>
  <c r="I8" i="11"/>
  <c r="W425" i="4"/>
  <c r="J482" i="4"/>
  <c r="J365" i="4"/>
  <c r="J416" i="4"/>
  <c r="F57" i="18"/>
  <c r="J15" i="11"/>
  <c r="X455" i="4"/>
  <c r="I554" i="4"/>
  <c r="AA69" i="18"/>
  <c r="I455" i="4"/>
  <c r="J13" i="11"/>
  <c r="I356" i="4"/>
  <c r="J10" i="11"/>
  <c r="AB66" i="18"/>
  <c r="F63" i="18"/>
  <c r="I367" i="4"/>
  <c r="X513" i="4"/>
  <c r="J466" i="4"/>
  <c r="Y41" i="18"/>
  <c r="W542" i="4"/>
  <c r="L53" i="18"/>
  <c r="Y29" i="18"/>
  <c r="M36" i="18"/>
  <c r="K52" i="18"/>
  <c r="M25" i="18"/>
  <c r="J425" i="4"/>
  <c r="I59" i="18"/>
  <c r="I570" i="4"/>
  <c r="X499" i="4"/>
  <c r="Y43" i="18"/>
  <c r="K61" i="18"/>
  <c r="Z34" i="18"/>
  <c r="N36" i="18"/>
  <c r="I444" i="4"/>
  <c r="AB35" i="18"/>
  <c r="I511" i="4"/>
  <c r="K38" i="18"/>
  <c r="M29" i="18"/>
  <c r="L59" i="18"/>
  <c r="L66" i="18"/>
  <c r="AA57" i="18"/>
  <c r="M39" i="18"/>
  <c r="X55" i="18"/>
  <c r="M69" i="18"/>
  <c r="M64" i="18"/>
  <c r="AB44" i="18"/>
  <c r="K39" i="18"/>
  <c r="I391" i="4"/>
  <c r="N25" i="18"/>
  <c r="J478" i="4"/>
  <c r="I53" i="18"/>
  <c r="X61" i="18"/>
  <c r="I425" i="4"/>
  <c r="Z27" i="18"/>
  <c r="N39" i="18"/>
  <c r="L29" i="18"/>
  <c r="J566" i="4"/>
  <c r="J376" i="4"/>
  <c r="J567" i="4"/>
  <c r="X62" i="18"/>
  <c r="J344" i="4"/>
  <c r="G68" i="18"/>
  <c r="X36" i="18"/>
  <c r="J471" i="4"/>
  <c r="F48" i="18"/>
  <c r="M55" i="18"/>
  <c r="J420" i="4"/>
  <c r="G64" i="18"/>
  <c r="Z64" i="18"/>
  <c r="J389" i="4"/>
  <c r="J423" i="4"/>
  <c r="I61" i="18"/>
  <c r="I390" i="4"/>
  <c r="G25" i="18"/>
  <c r="AA62" i="18"/>
  <c r="I548" i="4"/>
  <c r="I446" i="4"/>
  <c r="I489" i="4"/>
  <c r="K48" i="18"/>
  <c r="I421" i="4"/>
  <c r="L26" i="18"/>
  <c r="M40" i="18"/>
  <c r="Z59" i="18"/>
  <c r="AA61" i="18"/>
  <c r="F47" i="18"/>
  <c r="I530" i="4"/>
  <c r="I527" i="4"/>
  <c r="I49" i="18"/>
  <c r="I382" i="4"/>
  <c r="I396" i="4"/>
  <c r="W415" i="4"/>
  <c r="J361" i="4"/>
  <c r="X415" i="4"/>
  <c r="J414" i="4"/>
  <c r="F45" i="18"/>
  <c r="I58" i="18"/>
  <c r="K66" i="18"/>
  <c r="J394" i="4"/>
  <c r="G27" i="18"/>
  <c r="I13" i="11"/>
  <c r="I471" i="4"/>
  <c r="X67" i="18"/>
  <c r="G45" i="18"/>
  <c r="J433" i="4"/>
  <c r="J9" i="11"/>
  <c r="X383" i="4"/>
  <c r="X39" i="18"/>
  <c r="I431" i="4"/>
  <c r="L38" i="18"/>
  <c r="J359" i="4"/>
  <c r="X26" i="18"/>
  <c r="J375" i="4"/>
  <c r="N26" i="18"/>
  <c r="I434" i="4"/>
  <c r="F26" i="18"/>
  <c r="AB31" i="18"/>
  <c r="I518" i="4"/>
  <c r="I424" i="4"/>
  <c r="AB47" i="18"/>
  <c r="M42" i="18"/>
  <c r="X474" i="4"/>
  <c r="I378" i="4"/>
  <c r="J497" i="4"/>
  <c r="W439" i="4"/>
  <c r="F32" i="18"/>
  <c r="AA67" i="18"/>
  <c r="J355" i="4"/>
  <c r="J501" i="4"/>
  <c r="I384" i="4"/>
  <c r="I497" i="4"/>
  <c r="AA29" i="18"/>
  <c r="J461" i="4"/>
  <c r="G40" i="18"/>
  <c r="N58" i="18"/>
  <c r="Y36" i="18"/>
  <c r="J356" i="4"/>
  <c r="J498" i="4"/>
  <c r="K44" i="18"/>
  <c r="J469" i="4"/>
  <c r="X425" i="4"/>
  <c r="G28" i="18"/>
  <c r="AB45" i="18"/>
  <c r="J551" i="4"/>
  <c r="AB27" i="18"/>
  <c r="Z42" i="18"/>
  <c r="I40" i="18"/>
  <c r="J431" i="4"/>
  <c r="J12" i="3"/>
  <c r="I352" i="4"/>
  <c r="Z41" i="18"/>
  <c r="Y52" i="18"/>
  <c r="J378" i="4"/>
  <c r="I429" i="4"/>
  <c r="AA33" i="18"/>
  <c r="J526" i="4"/>
  <c r="F53" i="18"/>
  <c r="G43" i="18"/>
  <c r="I409" i="4"/>
  <c r="J384" i="4"/>
  <c r="N47" i="18"/>
  <c r="J13" i="3"/>
  <c r="I532" i="4"/>
  <c r="AA38" i="18"/>
  <c r="J400" i="4"/>
  <c r="J504" i="4"/>
  <c r="I443" i="4"/>
  <c r="I469" i="4"/>
  <c r="W469" i="4"/>
  <c r="J408" i="4"/>
  <c r="G50" i="18"/>
  <c r="Y64" i="18"/>
  <c r="I65" i="18"/>
  <c r="J571" i="4"/>
  <c r="I536" i="4"/>
  <c r="X52" i="18"/>
  <c r="Y32" i="18"/>
  <c r="AB46" i="18"/>
  <c r="L55" i="18"/>
  <c r="W553" i="4"/>
  <c r="J491" i="4"/>
  <c r="I35" i="18"/>
  <c r="J554" i="4"/>
  <c r="Y27" i="18"/>
  <c r="J499" i="4"/>
  <c r="I456" i="4"/>
  <c r="J508" i="4"/>
  <c r="I512" i="4"/>
  <c r="J386" i="4"/>
  <c r="J369" i="4"/>
  <c r="I416" i="4"/>
  <c r="Y25" i="18"/>
  <c r="I522" i="4"/>
  <c r="M53" i="18"/>
  <c r="L46" i="18"/>
  <c r="K58" i="18"/>
  <c r="L65" i="18"/>
  <c r="K26" i="18"/>
  <c r="J505" i="4"/>
  <c r="L30" i="18"/>
  <c r="I11" i="11"/>
  <c r="J343" i="4"/>
  <c r="J500" i="4"/>
  <c r="N61" i="18"/>
  <c r="J558" i="4"/>
  <c r="I68" i="18"/>
  <c r="X369" i="4"/>
  <c r="J531" i="4"/>
  <c r="I556" i="4"/>
  <c r="J539" i="4"/>
  <c r="J387" i="4"/>
  <c r="I566" i="4"/>
  <c r="M62" i="18"/>
  <c r="M60" i="18"/>
  <c r="I577" i="4"/>
  <c r="J479" i="4"/>
  <c r="I432" i="4"/>
  <c r="G37" i="18"/>
  <c r="J403" i="4"/>
  <c r="I404" i="4"/>
  <c r="J495" i="4"/>
  <c r="I546" i="4"/>
  <c r="F69" i="18"/>
  <c r="J451" i="4"/>
  <c r="M54" i="18"/>
  <c r="AA60" i="18"/>
  <c r="X60" i="18"/>
  <c r="F28" i="18"/>
  <c r="I343" i="4"/>
  <c r="J409" i="4"/>
  <c r="M44" i="18"/>
  <c r="L68" i="18"/>
  <c r="K29" i="18"/>
  <c r="I520" i="4"/>
  <c r="L47" i="18"/>
  <c r="J412" i="4"/>
  <c r="I552" i="4"/>
  <c r="G62" i="18"/>
  <c r="J426" i="4"/>
  <c r="M51" i="18"/>
  <c r="K42" i="18"/>
  <c r="AB56" i="18"/>
  <c r="J440" i="4"/>
  <c r="L49" i="18"/>
  <c r="J372" i="4"/>
  <c r="I504" i="4"/>
  <c r="Z63" i="18"/>
  <c r="AA54" i="18"/>
  <c r="J564" i="4"/>
  <c r="J422" i="4"/>
  <c r="G26" i="18"/>
  <c r="I377" i="4"/>
  <c r="X25" i="18"/>
  <c r="L57" i="18"/>
  <c r="J513" i="4"/>
  <c r="K69" i="18"/>
  <c r="J540" i="4"/>
  <c r="J522" i="4"/>
  <c r="Y38" i="18"/>
  <c r="W513" i="4"/>
  <c r="I448" i="4"/>
  <c r="G55" i="18"/>
  <c r="I361" i="4"/>
  <c r="J467" i="4"/>
  <c r="M58" i="18"/>
  <c r="J493" i="4"/>
  <c r="J565" i="4"/>
  <c r="X43" i="18"/>
  <c r="I436" i="4"/>
  <c r="I562" i="4"/>
  <c r="Z26" i="18"/>
  <c r="I528" i="4"/>
  <c r="X439" i="4"/>
  <c r="I30" i="18"/>
  <c r="I368" i="4"/>
  <c r="W454" i="4"/>
  <c r="N31" i="18"/>
  <c r="F52" i="18"/>
  <c r="J542" i="4"/>
  <c r="J417" i="4"/>
  <c r="M65" i="18"/>
  <c r="J24" i="11"/>
  <c r="M67" i="18"/>
  <c r="I415" i="4"/>
  <c r="I521" i="4"/>
  <c r="J559" i="4"/>
  <c r="X542" i="4"/>
  <c r="AA26" i="18"/>
  <c r="I67" i="18"/>
  <c r="N45" i="18"/>
  <c r="X69" i="18"/>
  <c r="N43" i="18"/>
  <c r="AB52" i="18"/>
  <c r="I524" i="4"/>
  <c r="W369" i="4"/>
  <c r="F27" i="18"/>
  <c r="J411" i="4"/>
  <c r="I344" i="4"/>
  <c r="AB59" i="18"/>
  <c r="I488" i="4"/>
  <c r="AB58" i="18"/>
  <c r="G51" i="18"/>
  <c r="AA37" i="18"/>
  <c r="W37" i="18" s="1"/>
  <c r="X531" i="4"/>
  <c r="J457" i="4"/>
  <c r="I418" i="4"/>
  <c r="AA59" i="18"/>
  <c r="Z29" i="18"/>
  <c r="J370" i="4"/>
  <c r="G30" i="18"/>
  <c r="J516" i="4"/>
  <c r="I405" i="4"/>
  <c r="G49" i="18"/>
  <c r="W517" i="4"/>
  <c r="I38" i="18"/>
  <c r="G32" i="18"/>
  <c r="I515" i="4"/>
  <c r="I438" i="4"/>
  <c r="G46" i="18"/>
  <c r="I460" i="4"/>
  <c r="AA49" i="18"/>
  <c r="I574" i="4"/>
  <c r="N29" i="18"/>
  <c r="I514" i="4"/>
  <c r="F31" i="18"/>
  <c r="I357" i="4"/>
  <c r="J465" i="4"/>
  <c r="L41" i="18"/>
  <c r="G60" i="18"/>
  <c r="J490" i="4"/>
  <c r="AA35" i="18"/>
  <c r="I569" i="4"/>
  <c r="J404" i="4"/>
  <c r="I399" i="4"/>
  <c r="L39" i="18"/>
  <c r="X65" i="18"/>
  <c r="J511" i="4"/>
  <c r="J454" i="4"/>
  <c r="J470" i="4"/>
  <c r="J352" i="4"/>
  <c r="I442" i="4"/>
  <c r="AB40" i="18"/>
  <c r="Z47" i="18"/>
  <c r="I485" i="4"/>
  <c r="I464" i="4"/>
  <c r="F34" i="18"/>
  <c r="J545" i="4"/>
  <c r="J358" i="4"/>
  <c r="I466" i="4"/>
  <c r="G35" i="18"/>
  <c r="X40" i="18"/>
  <c r="M61" i="18"/>
  <c r="J428" i="4"/>
  <c r="I433" i="4"/>
  <c r="N60" i="18"/>
  <c r="W531" i="4"/>
  <c r="J472" i="4"/>
  <c r="K62" i="18"/>
  <c r="X549" i="4"/>
  <c r="J474" i="4"/>
  <c r="I15" i="11"/>
  <c r="Y45" i="18"/>
  <c r="I540" i="4"/>
  <c r="W383" i="4"/>
  <c r="Y69" i="18"/>
  <c r="I439" i="4"/>
  <c r="J445" i="4"/>
  <c r="I50" i="18"/>
  <c r="AB51" i="18"/>
  <c r="X38" i="18"/>
  <c r="N52" i="18"/>
  <c r="J536" i="4"/>
  <c r="J427" i="4"/>
  <c r="I449" i="4"/>
  <c r="J527" i="4"/>
  <c r="J538" i="4"/>
  <c r="J503" i="4"/>
  <c r="J528" i="4"/>
  <c r="I13" i="3"/>
  <c r="J480" i="4"/>
  <c r="K40" i="18"/>
  <c r="N40" i="18"/>
  <c r="AB25" i="18"/>
  <c r="J393" i="4"/>
  <c r="L34" i="18"/>
  <c r="I414" i="4"/>
  <c r="J463" i="4"/>
  <c r="N51" i="18"/>
  <c r="W567" i="4"/>
  <c r="G47" i="18"/>
  <c r="I63" i="18"/>
  <c r="I510" i="4"/>
  <c r="L25" i="18"/>
  <c r="I346" i="4"/>
  <c r="Z65" i="18"/>
  <c r="J549" i="4"/>
  <c r="J8" i="3"/>
  <c r="W544" i="4"/>
  <c r="I428" i="4"/>
  <c r="N44" i="18"/>
  <c r="AA58" i="18"/>
  <c r="J562" i="4"/>
  <c r="K63" i="18"/>
  <c r="J456" i="4"/>
  <c r="J391" i="4"/>
  <c r="M68" i="18"/>
  <c r="I402" i="4"/>
  <c r="M30" i="18"/>
  <c r="J367" i="4"/>
  <c r="X29" i="18"/>
  <c r="I529" i="4"/>
  <c r="Z57" i="18"/>
  <c r="K32" i="18"/>
  <c r="L35" i="18"/>
  <c r="I362" i="4"/>
  <c r="I5" i="3"/>
  <c r="I342" i="4"/>
  <c r="Z30" i="18"/>
  <c r="AA34" i="18"/>
  <c r="I397" i="4"/>
  <c r="X544" i="4"/>
  <c r="I430" i="4"/>
  <c r="I348" i="4"/>
  <c r="J475" i="4"/>
  <c r="J439" i="4"/>
  <c r="J510" i="4"/>
  <c r="I46" i="18"/>
  <c r="J368" i="4"/>
  <c r="Y30" i="18"/>
  <c r="I51" i="18"/>
  <c r="J419" i="4"/>
  <c r="AB32" i="18"/>
  <c r="J357" i="4"/>
  <c r="J535" i="4"/>
  <c r="W459" i="4"/>
  <c r="W397" i="4"/>
  <c r="I360" i="4"/>
  <c r="M28" i="18"/>
  <c r="W429" i="4"/>
  <c r="I369" i="4"/>
  <c r="X63" i="18"/>
  <c r="J390" i="4"/>
  <c r="I349" i="4"/>
  <c r="K28" i="18"/>
  <c r="I69" i="18"/>
  <c r="I16" i="11"/>
  <c r="I64" i="18"/>
  <c r="X397" i="4"/>
  <c r="X59" i="18"/>
  <c r="J371" i="4"/>
  <c r="M48" i="18"/>
  <c r="F64" i="18"/>
  <c r="Z48" i="18"/>
  <c r="K54" i="18"/>
  <c r="M31" i="18"/>
  <c r="X470" i="4"/>
  <c r="AB41" i="18"/>
  <c r="Y54" i="18"/>
  <c r="Z68" i="18"/>
  <c r="I501" i="4"/>
  <c r="J568" i="4"/>
  <c r="L28" i="18"/>
  <c r="I28" i="18"/>
  <c r="J450" i="4"/>
  <c r="Y57" i="18"/>
  <c r="I573" i="4"/>
  <c r="I9" i="11"/>
  <c r="J553" i="4"/>
  <c r="N27" i="18"/>
  <c r="I31" i="18"/>
  <c r="I440" i="4"/>
  <c r="Y50" i="18"/>
  <c r="I492" i="4"/>
  <c r="G44" i="18"/>
  <c r="I478" i="4"/>
  <c r="J444" i="4"/>
  <c r="J385" i="4"/>
  <c r="I371" i="4"/>
  <c r="G61" i="18"/>
  <c r="I14" i="11"/>
  <c r="G42" i="18"/>
  <c r="I47" i="18"/>
  <c r="I355" i="4"/>
  <c r="I57" i="18"/>
  <c r="I366" i="4"/>
  <c r="AA28" i="18"/>
  <c r="X35" i="18"/>
  <c r="J532" i="4"/>
  <c r="I482" i="4"/>
  <c r="I380" i="4"/>
  <c r="I375" i="4"/>
  <c r="AB33" i="18"/>
  <c r="I347" i="4"/>
  <c r="AA66" i="18"/>
  <c r="I516" i="4"/>
  <c r="N37" i="18"/>
  <c r="AB67" i="18"/>
  <c r="M34" i="18"/>
  <c r="AA25" i="18"/>
  <c r="J477" i="4"/>
  <c r="M66" i="18"/>
  <c r="AA46" i="18"/>
  <c r="Y40" i="18"/>
  <c r="I567" i="4"/>
  <c r="J546" i="4"/>
  <c r="K27" i="18"/>
  <c r="G34" i="18"/>
  <c r="AA65" i="18"/>
  <c r="W65" i="18" s="1"/>
  <c r="I66" i="18"/>
  <c r="I417" i="4"/>
  <c r="I413" i="4"/>
  <c r="J561" i="4"/>
  <c r="X444" i="4"/>
  <c r="K65" i="18"/>
  <c r="I11" i="3"/>
  <c r="J12" i="11"/>
  <c r="I451" i="4"/>
  <c r="J405" i="4"/>
  <c r="I506" i="4"/>
  <c r="AA68" i="18"/>
  <c r="I458" i="4"/>
  <c r="J496" i="4"/>
  <c r="F39" i="18"/>
  <c r="AB69" i="18"/>
  <c r="W499" i="4"/>
  <c r="I365" i="4"/>
  <c r="J348" i="4"/>
  <c r="Z44" i="18"/>
  <c r="J410" i="4"/>
  <c r="J434" i="4"/>
  <c r="M52" i="18"/>
  <c r="J576" i="4"/>
  <c r="X66" i="18"/>
  <c r="F66" i="18"/>
  <c r="J448" i="4"/>
  <c r="I507" i="4"/>
  <c r="X503" i="4"/>
  <c r="AA43" i="18"/>
  <c r="N64" i="18"/>
  <c r="G65" i="18"/>
  <c r="L61" i="18"/>
  <c r="F40" i="18"/>
  <c r="J460" i="4"/>
  <c r="I52" i="18"/>
  <c r="I484" i="4"/>
  <c r="Y26" i="18"/>
  <c r="I470" i="4"/>
  <c r="X567" i="4"/>
  <c r="Z35" i="18"/>
  <c r="Z33" i="18"/>
  <c r="Y31" i="18"/>
  <c r="I476" i="4"/>
  <c r="K60" i="18"/>
  <c r="J8" i="11"/>
  <c r="AA55" i="18"/>
  <c r="I575" i="4"/>
  <c r="J395" i="4"/>
  <c r="I534" i="4"/>
  <c r="K30" i="18"/>
  <c r="X373" i="4"/>
  <c r="G69" i="18"/>
  <c r="J349" i="4"/>
  <c r="Z43" i="18"/>
  <c r="W546" i="4"/>
  <c r="F55" i="18"/>
  <c r="J14" i="11"/>
  <c r="N38" i="18"/>
  <c r="X51" i="18"/>
  <c r="G66" i="18"/>
  <c r="F25" i="18"/>
  <c r="J517" i="4"/>
  <c r="J373" i="4"/>
  <c r="Z51" i="18"/>
  <c r="J560" i="4"/>
  <c r="G36" i="18"/>
  <c r="Y56" i="18"/>
  <c r="X33" i="18"/>
  <c r="X469" i="4"/>
  <c r="I410" i="4"/>
  <c r="I508" i="4"/>
  <c r="I490" i="4"/>
  <c r="M63" i="18"/>
  <c r="W401" i="4"/>
  <c r="F42" i="18"/>
  <c r="I10" i="11"/>
  <c r="K59" i="18"/>
  <c r="F49" i="18"/>
  <c r="I353" i="4"/>
  <c r="J396" i="4"/>
  <c r="Y65" i="18"/>
  <c r="G33" i="18"/>
  <c r="L52" i="18"/>
  <c r="I447" i="4"/>
  <c r="I359" i="4"/>
  <c r="J518" i="4"/>
  <c r="I398" i="4"/>
  <c r="K57" i="18"/>
  <c r="AB64" i="18"/>
  <c r="X543" i="4"/>
  <c r="X548" i="4"/>
  <c r="I26" i="18"/>
  <c r="F44" i="18"/>
  <c r="L67" i="18"/>
  <c r="I395" i="4"/>
  <c r="I41" i="18"/>
  <c r="I465" i="4"/>
  <c r="X517" i="4"/>
  <c r="X489" i="4"/>
  <c r="AB48" i="18"/>
  <c r="Z40" i="18"/>
  <c r="J515" i="4"/>
  <c r="AA44" i="18"/>
  <c r="W44" i="18" s="1"/>
  <c r="AA31" i="18"/>
  <c r="Z55" i="18"/>
  <c r="Z67" i="18"/>
  <c r="J494" i="4"/>
  <c r="I523" i="4"/>
  <c r="AB62" i="18"/>
  <c r="Z45" i="18"/>
  <c r="X31" i="18"/>
  <c r="L62" i="18"/>
  <c r="J488" i="4"/>
  <c r="X545" i="4"/>
  <c r="J406" i="4"/>
  <c r="W470" i="4"/>
  <c r="J397" i="4"/>
  <c r="F50" i="18"/>
  <c r="J552" i="4"/>
  <c r="J346" i="4"/>
  <c r="AB43" i="18"/>
  <c r="Z54" i="18"/>
  <c r="J345" i="4"/>
  <c r="M57" i="18"/>
  <c r="W485" i="4"/>
  <c r="J534" i="4"/>
  <c r="J458" i="4"/>
  <c r="K25" i="18"/>
  <c r="X34" i="18"/>
  <c r="I48" i="18"/>
  <c r="J402" i="4"/>
  <c r="J418" i="4"/>
  <c r="W547" i="4"/>
  <c r="AB34" i="18"/>
  <c r="I544" i="4"/>
  <c r="J430" i="4"/>
  <c r="I517" i="4"/>
  <c r="J455" i="4"/>
  <c r="J530" i="4"/>
  <c r="W440" i="4"/>
  <c r="J360" i="4"/>
  <c r="J541" i="4"/>
  <c r="X42" i="18"/>
  <c r="X387" i="4"/>
  <c r="AB26" i="18"/>
  <c r="F56" i="18"/>
  <c r="X359" i="4"/>
  <c r="X459" i="4"/>
  <c r="J381" i="4"/>
  <c r="N32" i="18"/>
  <c r="AA50" i="18"/>
  <c r="J424" i="4"/>
  <c r="M41" i="18"/>
  <c r="W359" i="4"/>
  <c r="I486" i="4"/>
  <c r="Y48" i="18"/>
  <c r="N67" i="18"/>
  <c r="J524" i="4"/>
  <c r="AA45" i="18"/>
  <c r="Z46" i="18"/>
  <c r="W577" i="4"/>
  <c r="F30" i="18"/>
  <c r="J351" i="4"/>
  <c r="M47" i="18"/>
  <c r="AB61" i="18"/>
  <c r="Y53" i="18"/>
  <c r="I427" i="4"/>
  <c r="AA42" i="18"/>
  <c r="J459" i="4"/>
  <c r="J401" i="4"/>
  <c r="I386" i="4"/>
  <c r="G59" i="18"/>
  <c r="M35" i="18"/>
  <c r="N68" i="18"/>
  <c r="AA56" i="18"/>
  <c r="L31" i="18"/>
  <c r="G53" i="18"/>
  <c r="AB39" i="18"/>
  <c r="Y35" i="18"/>
  <c r="I457" i="4"/>
  <c r="I363" i="4"/>
  <c r="J379" i="4"/>
  <c r="I8" i="3"/>
  <c r="I568" i="4"/>
  <c r="X577" i="4"/>
  <c r="I401" i="4"/>
  <c r="I491" i="4"/>
  <c r="F67" i="18"/>
  <c r="I12" i="11"/>
  <c r="I549" i="4"/>
  <c r="AB68" i="18"/>
  <c r="W411" i="4"/>
  <c r="F58" i="18"/>
  <c r="J492" i="4"/>
  <c r="Z60" i="18"/>
  <c r="Y33" i="18"/>
  <c r="K43" i="18"/>
  <c r="AB49" i="18"/>
  <c r="X454" i="4"/>
  <c r="Z66" i="18"/>
  <c r="J577" i="4"/>
  <c r="I407" i="4"/>
  <c r="I545" i="4"/>
  <c r="J547" i="4"/>
  <c r="X49" i="18"/>
  <c r="G63" i="18"/>
  <c r="L27" i="18"/>
  <c r="I42" i="18"/>
  <c r="Z31" i="18"/>
  <c r="G54" i="18"/>
  <c r="N54" i="18"/>
  <c r="I379" i="4"/>
  <c r="AA47" i="18"/>
  <c r="I461" i="4"/>
  <c r="Z32" i="18"/>
  <c r="N66" i="18"/>
  <c r="L54" i="18"/>
  <c r="F61" i="18"/>
  <c r="AA36" i="18"/>
  <c r="I533" i="4"/>
  <c r="AB55" i="18"/>
  <c r="J521" i="4"/>
  <c r="J544" i="4"/>
  <c r="J476" i="4"/>
  <c r="I500" i="4"/>
  <c r="W545" i="4"/>
  <c r="Y61" i="18"/>
  <c r="I563" i="4"/>
  <c r="F33" i="18"/>
  <c r="F54" i="18"/>
  <c r="M38" i="18"/>
  <c r="J353" i="4"/>
  <c r="J380" i="4"/>
  <c r="I412" i="4"/>
  <c r="AA32" i="18"/>
  <c r="J485" i="4"/>
  <c r="J354" i="4"/>
  <c r="J407" i="4"/>
  <c r="Z28" i="18"/>
  <c r="Z53" i="18"/>
  <c r="X527" i="4"/>
  <c r="I483" i="4"/>
  <c r="W387" i="4"/>
  <c r="I487" i="4"/>
  <c r="I27" i="18"/>
  <c r="J512" i="4"/>
  <c r="J557" i="4"/>
  <c r="X47" i="18"/>
  <c r="AA53" i="18"/>
  <c r="N57" i="18"/>
  <c r="L45" i="18"/>
  <c r="L42" i="18"/>
  <c r="I12" i="3"/>
  <c r="N42" i="18"/>
  <c r="I376" i="4"/>
  <c r="W355" i="4"/>
  <c r="AA40" i="18"/>
  <c r="X411" i="4"/>
  <c r="J446" i="4"/>
  <c r="I553" i="4"/>
  <c r="AA63" i="18"/>
  <c r="M37" i="18"/>
  <c r="G39" i="18"/>
  <c r="K49" i="18"/>
  <c r="AB38" i="18"/>
  <c r="Z58" i="18"/>
  <c r="Y68" i="18"/>
  <c r="X57" i="18"/>
  <c r="X45" i="18"/>
  <c r="J473" i="4"/>
  <c r="Z36" i="18"/>
  <c r="X28" i="18"/>
  <c r="I502" i="4"/>
  <c r="N30" i="18"/>
  <c r="Y47" i="18"/>
  <c r="L64" i="18"/>
  <c r="X54" i="18"/>
  <c r="F38" i="18"/>
  <c r="I403" i="4"/>
  <c r="K55" i="18"/>
  <c r="X541" i="4"/>
  <c r="L43" i="18"/>
  <c r="Z61" i="18"/>
  <c r="J487" i="4"/>
  <c r="I29" i="18"/>
  <c r="J442" i="4"/>
  <c r="I374" i="4"/>
  <c r="AB54" i="18"/>
  <c r="AB60" i="18"/>
  <c r="Z39" i="18"/>
  <c r="Z37" i="18"/>
  <c r="J537" i="4"/>
  <c r="K53" i="18"/>
  <c r="M26" i="18"/>
  <c r="J436" i="4"/>
  <c r="AA52" i="18"/>
  <c r="I381" i="4"/>
  <c r="X485" i="4"/>
  <c r="AB42" i="18"/>
  <c r="I463" i="4"/>
  <c r="M33" i="18"/>
  <c r="I406" i="4"/>
  <c r="X56" i="18"/>
  <c r="F43" i="18"/>
  <c r="I572" i="4"/>
  <c r="I37" i="18"/>
  <c r="I541" i="4"/>
  <c r="I481" i="4"/>
  <c r="I561" i="4"/>
  <c r="J569" i="4"/>
  <c r="H25" i="14"/>
  <c r="C25" i="6"/>
  <c r="H26" i="6"/>
  <c r="K590" i="4" l="1"/>
  <c r="K648" i="4"/>
  <c r="G72" i="1"/>
  <c r="B71" i="1"/>
  <c r="A71" i="1"/>
  <c r="A70" i="1"/>
  <c r="B70" i="1"/>
  <c r="I950" i="4"/>
  <c r="J22" i="3"/>
  <c r="J948" i="4"/>
  <c r="X957" i="4"/>
  <c r="I957" i="4"/>
  <c r="I948" i="4"/>
  <c r="I954" i="4"/>
  <c r="I956" i="4"/>
  <c r="X947" i="4"/>
  <c r="J946" i="4"/>
  <c r="J29" i="11"/>
  <c r="J954" i="4"/>
  <c r="J947" i="4"/>
  <c r="J955" i="4"/>
  <c r="J945" i="4"/>
  <c r="I949" i="4"/>
  <c r="J952" i="4"/>
  <c r="I22" i="3"/>
  <c r="W947" i="4"/>
  <c r="J953" i="4"/>
  <c r="J957" i="4"/>
  <c r="K957" i="4" s="1"/>
  <c r="J949" i="4"/>
  <c r="J951" i="4"/>
  <c r="I953" i="4"/>
  <c r="I29" i="11"/>
  <c r="J956" i="4"/>
  <c r="I946" i="4"/>
  <c r="I947" i="4"/>
  <c r="W957" i="4"/>
  <c r="I951" i="4"/>
  <c r="J950" i="4"/>
  <c r="I955" i="4"/>
  <c r="I945" i="4"/>
  <c r="I952" i="4"/>
  <c r="A69" i="1"/>
  <c r="B69" i="1"/>
  <c r="J944" i="4"/>
  <c r="W944" i="4"/>
  <c r="I937" i="4"/>
  <c r="J941" i="4"/>
  <c r="J933" i="4"/>
  <c r="I944" i="4"/>
  <c r="J934" i="4"/>
  <c r="I934" i="4"/>
  <c r="I936" i="4"/>
  <c r="I935" i="4"/>
  <c r="J935" i="4"/>
  <c r="J937" i="4"/>
  <c r="J940" i="4"/>
  <c r="I938" i="4"/>
  <c r="X934" i="4"/>
  <c r="I942" i="4"/>
  <c r="I939" i="4"/>
  <c r="J939" i="4"/>
  <c r="W934" i="4"/>
  <c r="I940" i="4"/>
  <c r="J943" i="4"/>
  <c r="I933" i="4"/>
  <c r="J936" i="4"/>
  <c r="X944" i="4"/>
  <c r="I941" i="4"/>
  <c r="I943" i="4"/>
  <c r="J932" i="4"/>
  <c r="J942" i="4"/>
  <c r="J938" i="4"/>
  <c r="I932" i="4"/>
  <c r="B68" i="1"/>
  <c r="A68" i="1"/>
  <c r="I931" i="4"/>
  <c r="I924" i="4"/>
  <c r="I923" i="4"/>
  <c r="J927" i="4"/>
  <c r="I928" i="4"/>
  <c r="I930" i="4"/>
  <c r="J929" i="4"/>
  <c r="I925" i="4"/>
  <c r="I929" i="4"/>
  <c r="W931" i="4"/>
  <c r="J921" i="4"/>
  <c r="J919" i="4"/>
  <c r="J923" i="4"/>
  <c r="I922" i="4"/>
  <c r="X931" i="4"/>
  <c r="I927" i="4"/>
  <c r="I919" i="4"/>
  <c r="J926" i="4"/>
  <c r="J920" i="4"/>
  <c r="J928" i="4"/>
  <c r="J924" i="4"/>
  <c r="I926" i="4"/>
  <c r="J930" i="4"/>
  <c r="W921" i="4"/>
  <c r="X921" i="4"/>
  <c r="I921" i="4"/>
  <c r="J931" i="4"/>
  <c r="J922" i="4"/>
  <c r="J925" i="4"/>
  <c r="I920" i="4"/>
  <c r="A67" i="1"/>
  <c r="B67" i="1"/>
  <c r="J908" i="4"/>
  <c r="I17" i="3"/>
  <c r="J916" i="4"/>
  <c r="I912" i="4"/>
  <c r="I14" i="3"/>
  <c r="I914" i="4"/>
  <c r="I917" i="4"/>
  <c r="I18" i="3"/>
  <c r="X908" i="4"/>
  <c r="J19" i="3"/>
  <c r="J20" i="3"/>
  <c r="W908" i="4"/>
  <c r="I918" i="4"/>
  <c r="J906" i="4"/>
  <c r="J910" i="4"/>
  <c r="I913" i="4"/>
  <c r="I19" i="3"/>
  <c r="I916" i="4"/>
  <c r="I15" i="3"/>
  <c r="J918" i="4"/>
  <c r="J911" i="4"/>
  <c r="I28" i="11"/>
  <c r="I16" i="3"/>
  <c r="I20" i="3"/>
  <c r="J14" i="3"/>
  <c r="I906" i="4"/>
  <c r="J915" i="4"/>
  <c r="I909" i="4"/>
  <c r="X918" i="4"/>
  <c r="I21" i="3"/>
  <c r="J16" i="3"/>
  <c r="J28" i="11"/>
  <c r="J909" i="4"/>
  <c r="I910" i="4"/>
  <c r="J912" i="4"/>
  <c r="J914" i="4"/>
  <c r="J907" i="4"/>
  <c r="I915" i="4"/>
  <c r="J18" i="3"/>
  <c r="J917" i="4"/>
  <c r="W918" i="4"/>
  <c r="J17" i="3"/>
  <c r="K17" i="3" s="1"/>
  <c r="I907" i="4"/>
  <c r="J913" i="4"/>
  <c r="J15" i="3"/>
  <c r="I908" i="4"/>
  <c r="I911" i="4"/>
  <c r="J21" i="3"/>
  <c r="AA665" i="4"/>
  <c r="A66" i="1"/>
  <c r="B66" i="1"/>
  <c r="I905" i="4"/>
  <c r="I904" i="4"/>
  <c r="X895" i="4"/>
  <c r="J904" i="4"/>
  <c r="I897" i="4"/>
  <c r="W905" i="4"/>
  <c r="I901" i="4"/>
  <c r="I894" i="4"/>
  <c r="J896" i="4"/>
  <c r="J900" i="4"/>
  <c r="J895" i="4"/>
  <c r="I896" i="4"/>
  <c r="I895" i="4"/>
  <c r="I902" i="4"/>
  <c r="J898" i="4"/>
  <c r="J894" i="4"/>
  <c r="X905" i="4"/>
  <c r="I903" i="4"/>
  <c r="J899" i="4"/>
  <c r="J893" i="4"/>
  <c r="I893" i="4"/>
  <c r="W895" i="4"/>
  <c r="J902" i="4"/>
  <c r="J897" i="4"/>
  <c r="J903" i="4"/>
  <c r="I900" i="4"/>
  <c r="J905" i="4"/>
  <c r="I899" i="4"/>
  <c r="I898" i="4"/>
  <c r="J901" i="4"/>
  <c r="A65" i="1"/>
  <c r="B65" i="1"/>
  <c r="I27" i="11"/>
  <c r="J888" i="4"/>
  <c r="I884" i="4"/>
  <c r="I891" i="4"/>
  <c r="J886" i="4"/>
  <c r="I889" i="4"/>
  <c r="J889" i="4"/>
  <c r="I888" i="4"/>
  <c r="J890" i="4"/>
  <c r="I881" i="4"/>
  <c r="I892" i="4"/>
  <c r="J885" i="4"/>
  <c r="J884" i="4"/>
  <c r="I886" i="4"/>
  <c r="J881" i="4"/>
  <c r="J883" i="4"/>
  <c r="J882" i="4"/>
  <c r="W892" i="4"/>
  <c r="X882" i="4"/>
  <c r="J892" i="4"/>
  <c r="I882" i="4"/>
  <c r="I890" i="4"/>
  <c r="X892" i="4"/>
  <c r="J880" i="4"/>
  <c r="I885" i="4"/>
  <c r="I883" i="4"/>
  <c r="J891" i="4"/>
  <c r="J887" i="4"/>
  <c r="J27" i="11"/>
  <c r="I887" i="4"/>
  <c r="W882" i="4"/>
  <c r="I880" i="4"/>
  <c r="A64" i="1"/>
  <c r="B64" i="1"/>
  <c r="J875" i="4"/>
  <c r="J868" i="4"/>
  <c r="X879" i="4"/>
  <c r="I867" i="4"/>
  <c r="J879" i="4"/>
  <c r="J867" i="4"/>
  <c r="I871" i="4"/>
  <c r="I872" i="4"/>
  <c r="W869" i="4"/>
  <c r="I873" i="4"/>
  <c r="X869" i="4"/>
  <c r="J877" i="4"/>
  <c r="I870" i="4"/>
  <c r="J870" i="4"/>
  <c r="I874" i="4"/>
  <c r="J26" i="11"/>
  <c r="J874" i="4"/>
  <c r="I879" i="4"/>
  <c r="I868" i="4"/>
  <c r="I878" i="4"/>
  <c r="I869" i="4"/>
  <c r="J871" i="4"/>
  <c r="I26" i="11"/>
  <c r="W879" i="4"/>
  <c r="I876" i="4"/>
  <c r="J876" i="4"/>
  <c r="J878" i="4"/>
  <c r="I877" i="4"/>
  <c r="J873" i="4"/>
  <c r="I875" i="4"/>
  <c r="J869" i="4"/>
  <c r="J872" i="4"/>
  <c r="A63" i="1"/>
  <c r="B63" i="1"/>
  <c r="J863" i="4"/>
  <c r="J857" i="4"/>
  <c r="W866" i="4"/>
  <c r="I857" i="4"/>
  <c r="I859" i="4"/>
  <c r="I866" i="4"/>
  <c r="J860" i="4"/>
  <c r="J854" i="4"/>
  <c r="X856" i="4"/>
  <c r="I855" i="4"/>
  <c r="I860" i="4"/>
  <c r="J861" i="4"/>
  <c r="I864" i="4"/>
  <c r="W856" i="4"/>
  <c r="I858" i="4"/>
  <c r="I863" i="4"/>
  <c r="J856" i="4"/>
  <c r="J855" i="4"/>
  <c r="J864" i="4"/>
  <c r="I862" i="4"/>
  <c r="I861" i="4"/>
  <c r="J25" i="11"/>
  <c r="I854" i="4"/>
  <c r="J858" i="4"/>
  <c r="I856" i="4"/>
  <c r="X866" i="4"/>
  <c r="J865" i="4"/>
  <c r="J859" i="4"/>
  <c r="J866" i="4"/>
  <c r="I25" i="11"/>
  <c r="J853" i="4"/>
  <c r="J862" i="4"/>
  <c r="I853" i="4"/>
  <c r="I865" i="4"/>
  <c r="A26" i="6"/>
  <c r="B26" i="6"/>
  <c r="A62" i="1"/>
  <c r="B62" i="1"/>
  <c r="I852" i="4"/>
  <c r="J848" i="4"/>
  <c r="I849" i="4"/>
  <c r="J845" i="4"/>
  <c r="W842" i="4"/>
  <c r="J849" i="4"/>
  <c r="X852" i="4"/>
  <c r="J840" i="4"/>
  <c r="J851" i="4"/>
  <c r="J852" i="4"/>
  <c r="I841" i="4"/>
  <c r="I850" i="4"/>
  <c r="I848" i="4"/>
  <c r="I851" i="4"/>
  <c r="J841" i="4"/>
  <c r="I840" i="4"/>
  <c r="W852" i="4"/>
  <c r="I847" i="4"/>
  <c r="I842" i="4"/>
  <c r="J847" i="4"/>
  <c r="J839" i="4"/>
  <c r="J850" i="4"/>
  <c r="I846" i="4"/>
  <c r="J842" i="4"/>
  <c r="J846" i="4"/>
  <c r="I839" i="4"/>
  <c r="I845" i="4"/>
  <c r="I844" i="4"/>
  <c r="X842" i="4"/>
  <c r="AA842" i="4" s="1"/>
  <c r="J844" i="4"/>
  <c r="J843" i="4"/>
  <c r="I843" i="4"/>
  <c r="A61" i="1"/>
  <c r="B61" i="1"/>
  <c r="I825" i="4"/>
  <c r="I835" i="4"/>
  <c r="J830" i="4"/>
  <c r="J836" i="4"/>
  <c r="J828" i="4"/>
  <c r="J827" i="4"/>
  <c r="J837" i="4"/>
  <c r="J834" i="4"/>
  <c r="I837" i="4"/>
  <c r="I826" i="4"/>
  <c r="I832" i="4"/>
  <c r="X838" i="4"/>
  <c r="X828" i="4"/>
  <c r="I838" i="4"/>
  <c r="I830" i="4"/>
  <c r="J832" i="4"/>
  <c r="J829" i="4"/>
  <c r="I833" i="4"/>
  <c r="J831" i="4"/>
  <c r="I828" i="4"/>
  <c r="I831" i="4"/>
  <c r="J825" i="4"/>
  <c r="J835" i="4"/>
  <c r="W838" i="4"/>
  <c r="J833" i="4"/>
  <c r="J826" i="4"/>
  <c r="K826" i="4" s="1"/>
  <c r="I827" i="4"/>
  <c r="J838" i="4"/>
  <c r="I834" i="4"/>
  <c r="I836" i="4"/>
  <c r="W828" i="4"/>
  <c r="I829" i="4"/>
  <c r="A60" i="1"/>
  <c r="B60" i="1"/>
  <c r="A59" i="1"/>
  <c r="B59" i="1"/>
  <c r="J819" i="4"/>
  <c r="W823" i="4"/>
  <c r="W824" i="4"/>
  <c r="X823" i="4"/>
  <c r="W798" i="4"/>
  <c r="I824" i="4"/>
  <c r="J809" i="4"/>
  <c r="J823" i="4"/>
  <c r="I803" i="4"/>
  <c r="I796" i="4"/>
  <c r="J810" i="4"/>
  <c r="I812" i="4"/>
  <c r="I807" i="4"/>
  <c r="J797" i="4"/>
  <c r="J818" i="4"/>
  <c r="J800" i="4"/>
  <c r="J808" i="4"/>
  <c r="I817" i="4"/>
  <c r="J813" i="4"/>
  <c r="I809" i="4"/>
  <c r="I814" i="4"/>
  <c r="I10" i="3"/>
  <c r="J799" i="4"/>
  <c r="J812" i="4"/>
  <c r="W809" i="4"/>
  <c r="X798" i="4"/>
  <c r="I810" i="4"/>
  <c r="J817" i="4"/>
  <c r="I805" i="4"/>
  <c r="J821" i="4"/>
  <c r="I801" i="4"/>
  <c r="J822" i="4"/>
  <c r="I799" i="4"/>
  <c r="I813" i="4"/>
  <c r="J804" i="4"/>
  <c r="I798" i="4"/>
  <c r="I806" i="4"/>
  <c r="I819" i="4"/>
  <c r="J795" i="4"/>
  <c r="I821" i="4"/>
  <c r="I802" i="4"/>
  <c r="J815" i="4"/>
  <c r="J820" i="4"/>
  <c r="J811" i="4"/>
  <c r="AA820" i="4"/>
  <c r="I823" i="4"/>
  <c r="I808" i="4"/>
  <c r="AA816" i="4"/>
  <c r="I815" i="4"/>
  <c r="I816" i="4"/>
  <c r="W808" i="4"/>
  <c r="J807" i="4"/>
  <c r="J824" i="4"/>
  <c r="J806" i="4"/>
  <c r="I797" i="4"/>
  <c r="J796" i="4"/>
  <c r="I820" i="4"/>
  <c r="X809" i="4"/>
  <c r="I795" i="4"/>
  <c r="X808" i="4"/>
  <c r="J805" i="4"/>
  <c r="I800" i="4"/>
  <c r="I804" i="4"/>
  <c r="I822" i="4"/>
  <c r="X824" i="4"/>
  <c r="J801" i="4"/>
  <c r="J814" i="4"/>
  <c r="J802" i="4"/>
  <c r="J9" i="3"/>
  <c r="X813" i="4"/>
  <c r="W813" i="4"/>
  <c r="J10" i="3"/>
  <c r="J803" i="4"/>
  <c r="I9" i="3"/>
  <c r="I811" i="4"/>
  <c r="AA819" i="4"/>
  <c r="J798" i="4"/>
  <c r="J816" i="4"/>
  <c r="I818" i="4"/>
  <c r="AA811" i="4"/>
  <c r="A58" i="1"/>
  <c r="B58" i="1"/>
  <c r="I789" i="4"/>
  <c r="I23" i="11"/>
  <c r="I6" i="3"/>
  <c r="I790" i="4"/>
  <c r="J783" i="4"/>
  <c r="J791" i="4"/>
  <c r="J781" i="4"/>
  <c r="W794" i="4"/>
  <c r="I780" i="4"/>
  <c r="J784" i="4"/>
  <c r="J780" i="4"/>
  <c r="J790" i="4"/>
  <c r="J788" i="4"/>
  <c r="J785" i="4"/>
  <c r="I22" i="11"/>
  <c r="X793" i="4"/>
  <c r="I794" i="4"/>
  <c r="I779" i="4"/>
  <c r="J787" i="4"/>
  <c r="X782" i="4"/>
  <c r="I793" i="4"/>
  <c r="I785" i="4"/>
  <c r="I792" i="4"/>
  <c r="W782" i="4"/>
  <c r="I786" i="4"/>
  <c r="I781" i="4"/>
  <c r="J794" i="4"/>
  <c r="I783" i="4"/>
  <c r="J23" i="11"/>
  <c r="X794" i="4"/>
  <c r="W793" i="4"/>
  <c r="J22" i="11"/>
  <c r="J792" i="4"/>
  <c r="I7" i="3"/>
  <c r="I782" i="4"/>
  <c r="J793" i="4"/>
  <c r="J779" i="4"/>
  <c r="J786" i="4"/>
  <c r="I791" i="4"/>
  <c r="I787" i="4"/>
  <c r="J782" i="4"/>
  <c r="J789" i="4"/>
  <c r="I784" i="4"/>
  <c r="J7" i="3"/>
  <c r="J6" i="3"/>
  <c r="I788" i="4"/>
  <c r="K562" i="4"/>
  <c r="K671" i="4"/>
  <c r="A57" i="1"/>
  <c r="B57" i="1"/>
  <c r="X766" i="4"/>
  <c r="J765" i="4"/>
  <c r="I776" i="4"/>
  <c r="I774" i="4"/>
  <c r="I773" i="4"/>
  <c r="I766" i="4"/>
  <c r="J774" i="4"/>
  <c r="I770" i="4"/>
  <c r="J769" i="4"/>
  <c r="I763" i="4"/>
  <c r="J763" i="4"/>
  <c r="I778" i="4"/>
  <c r="W766" i="4"/>
  <c r="J770" i="4"/>
  <c r="I765" i="4"/>
  <c r="J776" i="4"/>
  <c r="I777" i="4"/>
  <c r="I771" i="4"/>
  <c r="X776" i="4"/>
  <c r="I764" i="4"/>
  <c r="W778" i="4"/>
  <c r="J778" i="4"/>
  <c r="X778" i="4"/>
  <c r="I769" i="4"/>
  <c r="J766" i="4"/>
  <c r="J768" i="4"/>
  <c r="J773" i="4"/>
  <c r="W776" i="4"/>
  <c r="W777" i="4"/>
  <c r="J777" i="4"/>
  <c r="J775" i="4"/>
  <c r="I768" i="4"/>
  <c r="J771" i="4"/>
  <c r="J764" i="4"/>
  <c r="I772" i="4"/>
  <c r="I775" i="4"/>
  <c r="J767" i="4"/>
  <c r="I767" i="4"/>
  <c r="X777" i="4"/>
  <c r="J772" i="4"/>
  <c r="A56" i="1"/>
  <c r="B56" i="1"/>
  <c r="J758" i="4"/>
  <c r="J752" i="4"/>
  <c r="I761" i="4"/>
  <c r="W760" i="4"/>
  <c r="X760" i="4"/>
  <c r="I21" i="11"/>
  <c r="J750" i="4"/>
  <c r="I748" i="4"/>
  <c r="J746" i="4"/>
  <c r="J756" i="4"/>
  <c r="X761" i="4"/>
  <c r="I755" i="4"/>
  <c r="J749" i="4"/>
  <c r="J754" i="4"/>
  <c r="I749" i="4"/>
  <c r="I756" i="4"/>
  <c r="I760" i="4"/>
  <c r="I746" i="4"/>
  <c r="J748" i="4"/>
  <c r="W762" i="4"/>
  <c r="J760" i="4"/>
  <c r="X749" i="4"/>
  <c r="I752" i="4"/>
  <c r="I747" i="4"/>
  <c r="J755" i="4"/>
  <c r="J753" i="4"/>
  <c r="W749" i="4"/>
  <c r="J759" i="4"/>
  <c r="W759" i="4"/>
  <c r="X759" i="4"/>
  <c r="I759" i="4"/>
  <c r="I753" i="4"/>
  <c r="I751" i="4"/>
  <c r="J761" i="4"/>
  <c r="I758" i="4"/>
  <c r="J762" i="4"/>
  <c r="J751" i="4"/>
  <c r="I754" i="4"/>
  <c r="J747" i="4"/>
  <c r="X762" i="4"/>
  <c r="I750" i="4"/>
  <c r="I762" i="4"/>
  <c r="J21" i="11"/>
  <c r="I757" i="4"/>
  <c r="W761" i="4"/>
  <c r="J757" i="4"/>
  <c r="A55" i="1"/>
  <c r="B55" i="1"/>
  <c r="I732" i="4"/>
  <c r="J739" i="4"/>
  <c r="I743" i="4"/>
  <c r="J732" i="4"/>
  <c r="J741" i="4"/>
  <c r="J740" i="4"/>
  <c r="I737" i="4"/>
  <c r="I744" i="4"/>
  <c r="I742" i="4"/>
  <c r="I739" i="4"/>
  <c r="W745" i="4"/>
  <c r="X735" i="4"/>
  <c r="I733" i="4"/>
  <c r="J743" i="4"/>
  <c r="I745" i="4"/>
  <c r="J738" i="4"/>
  <c r="I741" i="4"/>
  <c r="J735" i="4"/>
  <c r="I735" i="4"/>
  <c r="J734" i="4"/>
  <c r="I736" i="4"/>
  <c r="J742" i="4"/>
  <c r="J737" i="4"/>
  <c r="K737" i="4" s="1"/>
  <c r="J744" i="4"/>
  <c r="K744" i="4" s="1"/>
  <c r="I740" i="4"/>
  <c r="X745" i="4"/>
  <c r="I738" i="4"/>
  <c r="J733" i="4"/>
  <c r="J736" i="4"/>
  <c r="W735" i="4"/>
  <c r="J745" i="4"/>
  <c r="K745" i="4" s="1"/>
  <c r="I734" i="4"/>
  <c r="A54" i="1"/>
  <c r="B54" i="1"/>
  <c r="J724" i="4"/>
  <c r="J731" i="4"/>
  <c r="J723" i="4"/>
  <c r="I20" i="11"/>
  <c r="X721" i="4"/>
  <c r="J727" i="4"/>
  <c r="J725" i="4"/>
  <c r="J721" i="4"/>
  <c r="I727" i="4"/>
  <c r="I726" i="4"/>
  <c r="I729" i="4"/>
  <c r="J718" i="4"/>
  <c r="I724" i="4"/>
  <c r="J20" i="11"/>
  <c r="W731" i="4"/>
  <c r="I719" i="4"/>
  <c r="I730" i="4"/>
  <c r="J726" i="4"/>
  <c r="I721" i="4"/>
  <c r="I718" i="4"/>
  <c r="J728" i="4"/>
  <c r="J722" i="4"/>
  <c r="I731" i="4"/>
  <c r="J730" i="4"/>
  <c r="I722" i="4"/>
  <c r="X731" i="4"/>
  <c r="W721" i="4"/>
  <c r="I728" i="4"/>
  <c r="I720" i="4"/>
  <c r="J720" i="4"/>
  <c r="I725" i="4"/>
  <c r="J729" i="4"/>
  <c r="J719" i="4"/>
  <c r="I723" i="4"/>
  <c r="AA411" i="4"/>
  <c r="AA485" i="4"/>
  <c r="K513" i="4"/>
  <c r="K558" i="4"/>
  <c r="A53" i="1"/>
  <c r="B53" i="1"/>
  <c r="X707" i="4"/>
  <c r="I708" i="4"/>
  <c r="J695" i="4"/>
  <c r="J705" i="4"/>
  <c r="I19" i="11"/>
  <c r="I710" i="4"/>
  <c r="J699" i="4"/>
  <c r="I698" i="4"/>
  <c r="I690" i="4"/>
  <c r="I699" i="4"/>
  <c r="W703" i="4"/>
  <c r="I696" i="4"/>
  <c r="I713" i="4"/>
  <c r="W717" i="4"/>
  <c r="I693" i="4"/>
  <c r="J710" i="4"/>
  <c r="I717" i="4"/>
  <c r="J694" i="4"/>
  <c r="J704" i="4"/>
  <c r="X693" i="4"/>
  <c r="I700" i="4"/>
  <c r="J692" i="4"/>
  <c r="J691" i="4"/>
  <c r="J696" i="4"/>
  <c r="J700" i="4"/>
  <c r="J714" i="4"/>
  <c r="J708" i="4"/>
  <c r="I706" i="4"/>
  <c r="I692" i="4"/>
  <c r="J702" i="4"/>
  <c r="W707" i="4"/>
  <c r="I712" i="4"/>
  <c r="I709" i="4"/>
  <c r="I695" i="4"/>
  <c r="X703" i="4"/>
  <c r="J698" i="4"/>
  <c r="I702" i="4"/>
  <c r="J707" i="4"/>
  <c r="J19" i="11"/>
  <c r="J713" i="4"/>
  <c r="J693" i="4"/>
  <c r="I705" i="4"/>
  <c r="X717" i="4"/>
  <c r="I707" i="4"/>
  <c r="J706" i="4"/>
  <c r="I704" i="4"/>
  <c r="J715" i="4"/>
  <c r="J717" i="4"/>
  <c r="J690" i="4"/>
  <c r="I714" i="4"/>
  <c r="J697" i="4"/>
  <c r="I715" i="4"/>
  <c r="J703" i="4"/>
  <c r="J701" i="4"/>
  <c r="I716" i="4"/>
  <c r="J716" i="4"/>
  <c r="W693" i="4"/>
  <c r="I697" i="4"/>
  <c r="I694" i="4"/>
  <c r="J711" i="4"/>
  <c r="J709" i="4"/>
  <c r="I711" i="4"/>
  <c r="I703" i="4"/>
  <c r="I701" i="4"/>
  <c r="J712" i="4"/>
  <c r="I691" i="4"/>
  <c r="K353" i="4"/>
  <c r="K431" i="4"/>
  <c r="K676" i="4"/>
  <c r="K680" i="4"/>
  <c r="K684" i="4"/>
  <c r="K685" i="4"/>
  <c r="AA689" i="4"/>
  <c r="K682" i="4"/>
  <c r="K681" i="4"/>
  <c r="K683" i="4"/>
  <c r="K678" i="4"/>
  <c r="AD679" i="4"/>
  <c r="AI679" i="4" s="1"/>
  <c r="AC679" i="4"/>
  <c r="AB679" i="4"/>
  <c r="K679" i="4"/>
  <c r="K687" i="4"/>
  <c r="K669" i="4"/>
  <c r="K677" i="4"/>
  <c r="K658" i="4"/>
  <c r="K670" i="4"/>
  <c r="K689" i="4"/>
  <c r="K688" i="4"/>
  <c r="AA679" i="4"/>
  <c r="AD689" i="4"/>
  <c r="AI689" i="4" s="1"/>
  <c r="AC689" i="4"/>
  <c r="AB689" i="4"/>
  <c r="K686" i="4"/>
  <c r="K663" i="4"/>
  <c r="K8" i="11"/>
  <c r="K454" i="4"/>
  <c r="K473" i="4"/>
  <c r="K352" i="4"/>
  <c r="K672" i="4"/>
  <c r="K662" i="4"/>
  <c r="K444" i="4"/>
  <c r="K393" i="4"/>
  <c r="K666" i="4"/>
  <c r="AA675" i="4"/>
  <c r="K667" i="4"/>
  <c r="K396" i="4"/>
  <c r="AD665" i="4"/>
  <c r="AI665" i="4" s="1"/>
  <c r="AC665" i="4"/>
  <c r="AB665" i="4"/>
  <c r="K385" i="4"/>
  <c r="K673" i="4"/>
  <c r="K674" i="4"/>
  <c r="AD675" i="4"/>
  <c r="AI675" i="4" s="1"/>
  <c r="AB675" i="4"/>
  <c r="AC675" i="4"/>
  <c r="K656" i="4"/>
  <c r="K659" i="4"/>
  <c r="K664" i="4"/>
  <c r="K18" i="11"/>
  <c r="K668" i="4"/>
  <c r="K665" i="4"/>
  <c r="AA549" i="4"/>
  <c r="K24" i="11"/>
  <c r="K660" i="4"/>
  <c r="AA651" i="4"/>
  <c r="K655" i="4"/>
  <c r="AA661" i="4"/>
  <c r="K652" i="4"/>
  <c r="AA647" i="4"/>
  <c r="AD661" i="4"/>
  <c r="AI661" i="4" s="1"/>
  <c r="AB661" i="4"/>
  <c r="AC661" i="4"/>
  <c r="K649" i="4"/>
  <c r="K653" i="4"/>
  <c r="K661" i="4"/>
  <c r="K657" i="4"/>
  <c r="AD651" i="4"/>
  <c r="AI651" i="4" s="1"/>
  <c r="AC651" i="4"/>
  <c r="AB651" i="4"/>
  <c r="K651" i="4"/>
  <c r="K650" i="4"/>
  <c r="K645" i="4"/>
  <c r="K634" i="4"/>
  <c r="K638" i="4"/>
  <c r="K639" i="4"/>
  <c r="K636" i="4"/>
  <c r="K629" i="4"/>
  <c r="K647" i="4"/>
  <c r="K640" i="4"/>
  <c r="K646" i="4"/>
  <c r="K637" i="4"/>
  <c r="K642" i="4"/>
  <c r="AD637" i="4"/>
  <c r="AI637" i="4" s="1"/>
  <c r="AB637" i="4"/>
  <c r="AC637" i="4"/>
  <c r="AA637" i="4"/>
  <c r="K643" i="4"/>
  <c r="K641" i="4"/>
  <c r="AD647" i="4"/>
  <c r="AI647" i="4" s="1"/>
  <c r="AB647" i="4"/>
  <c r="AC647" i="4"/>
  <c r="K644" i="4"/>
  <c r="K635" i="4"/>
  <c r="K621" i="4"/>
  <c r="AA623" i="4"/>
  <c r="K624" i="4"/>
  <c r="K628" i="4"/>
  <c r="AA633" i="4"/>
  <c r="K623" i="4"/>
  <c r="K633" i="4"/>
  <c r="K632" i="4"/>
  <c r="K620" i="4"/>
  <c r="K622" i="4"/>
  <c r="K631" i="4"/>
  <c r="AD633" i="4"/>
  <c r="AI633" i="4" s="1"/>
  <c r="AB633" i="4"/>
  <c r="AC633" i="4"/>
  <c r="K625" i="4"/>
  <c r="K627" i="4"/>
  <c r="K630" i="4"/>
  <c r="AD623" i="4"/>
  <c r="AI623" i="4" s="1"/>
  <c r="AC623" i="4"/>
  <c r="AB623" i="4"/>
  <c r="K462" i="4"/>
  <c r="K611" i="4"/>
  <c r="K612" i="4"/>
  <c r="K613" i="4"/>
  <c r="AA619" i="4"/>
  <c r="K576" i="4"/>
  <c r="K601" i="4"/>
  <c r="K615" i="4"/>
  <c r="K477" i="4"/>
  <c r="K616" i="4"/>
  <c r="K609" i="4"/>
  <c r="AA609" i="4"/>
  <c r="K607" i="4"/>
  <c r="K614" i="4"/>
  <c r="K17" i="11"/>
  <c r="K610" i="4"/>
  <c r="K509" i="4"/>
  <c r="AB609" i="4"/>
  <c r="AC609" i="4"/>
  <c r="AD609" i="4"/>
  <c r="AI609" i="4" s="1"/>
  <c r="K608" i="4"/>
  <c r="AA595" i="4"/>
  <c r="K618" i="4"/>
  <c r="AD619" i="4"/>
  <c r="AI619" i="4" s="1"/>
  <c r="AC619" i="4"/>
  <c r="AB619" i="4"/>
  <c r="K606" i="4"/>
  <c r="K617" i="4"/>
  <c r="K619" i="4"/>
  <c r="K600" i="4"/>
  <c r="K604" i="4"/>
  <c r="K602" i="4"/>
  <c r="AA605" i="4"/>
  <c r="K597" i="4"/>
  <c r="K594" i="4"/>
  <c r="K603" i="4"/>
  <c r="K596" i="4"/>
  <c r="K592" i="4"/>
  <c r="AD595" i="4"/>
  <c r="AI595" i="4" s="1"/>
  <c r="AC595" i="4"/>
  <c r="AB595" i="4"/>
  <c r="K599" i="4"/>
  <c r="K598" i="4"/>
  <c r="K595" i="4"/>
  <c r="K605" i="4"/>
  <c r="AC605" i="4"/>
  <c r="AB605" i="4"/>
  <c r="AD605" i="4"/>
  <c r="AI605" i="4" s="1"/>
  <c r="K593" i="4"/>
  <c r="K526" i="4"/>
  <c r="K588" i="4"/>
  <c r="K580" i="4"/>
  <c r="K589" i="4"/>
  <c r="K582" i="4"/>
  <c r="K591" i="4"/>
  <c r="AA444" i="4"/>
  <c r="K572" i="4"/>
  <c r="K584" i="4"/>
  <c r="K583" i="4"/>
  <c r="AA591" i="4"/>
  <c r="K587" i="4"/>
  <c r="K586" i="4"/>
  <c r="AD591" i="4"/>
  <c r="AI591" i="4" s="1"/>
  <c r="AB591" i="4"/>
  <c r="AC591" i="4"/>
  <c r="AD581" i="4"/>
  <c r="AI581" i="4" s="1"/>
  <c r="AC581" i="4"/>
  <c r="AB581" i="4"/>
  <c r="AA581" i="4"/>
  <c r="K345" i="4"/>
  <c r="K579" i="4"/>
  <c r="K407" i="4"/>
  <c r="K456" i="4"/>
  <c r="K578" i="4"/>
  <c r="K581" i="4"/>
  <c r="AA545" i="4"/>
  <c r="K528" i="4"/>
  <c r="K387" i="4"/>
  <c r="K356" i="4"/>
  <c r="K364" i="4"/>
  <c r="K380" i="4"/>
  <c r="K521" i="4"/>
  <c r="K488" i="4"/>
  <c r="K425" i="4"/>
  <c r="AA547" i="4"/>
  <c r="K437" i="4"/>
  <c r="K442" i="4"/>
  <c r="K459" i="4"/>
  <c r="AA548" i="4"/>
  <c r="K518" i="4"/>
  <c r="K405" i="4"/>
  <c r="K551" i="4"/>
  <c r="AA383" i="4"/>
  <c r="K415" i="4"/>
  <c r="AA359" i="4"/>
  <c r="K346" i="4"/>
  <c r="K499" i="4"/>
  <c r="AA345" i="4"/>
  <c r="K418" i="4"/>
  <c r="K460" i="4"/>
  <c r="K496" i="4"/>
  <c r="K358" i="4"/>
  <c r="K565" i="4"/>
  <c r="K524" i="4"/>
  <c r="K424" i="4"/>
  <c r="K559" i="4"/>
  <c r="K467" i="4"/>
  <c r="K458" i="4"/>
  <c r="AA517" i="4"/>
  <c r="K527" i="4"/>
  <c r="K409" i="4"/>
  <c r="AA527" i="4"/>
  <c r="K354" i="4"/>
  <c r="K351" i="4"/>
  <c r="AA503" i="4"/>
  <c r="K450" i="4"/>
  <c r="K390" i="4"/>
  <c r="K472" i="4"/>
  <c r="K490" i="4"/>
  <c r="K370" i="4"/>
  <c r="K386" i="4"/>
  <c r="K375" i="4"/>
  <c r="K359" i="4"/>
  <c r="K537" i="4"/>
  <c r="K557" i="4"/>
  <c r="K485" i="4"/>
  <c r="AA397" i="4"/>
  <c r="K439" i="4"/>
  <c r="K369" i="4"/>
  <c r="K423" i="4"/>
  <c r="K482" i="4"/>
  <c r="K555" i="4"/>
  <c r="K360" i="4"/>
  <c r="AA470" i="4"/>
  <c r="K404" i="4"/>
  <c r="K531" i="4"/>
  <c r="K491" i="4"/>
  <c r="K384" i="4"/>
  <c r="K461" i="4"/>
  <c r="AA553" i="4"/>
  <c r="K413" i="4"/>
  <c r="K553" i="4"/>
  <c r="K451" i="4"/>
  <c r="K575" i="4"/>
  <c r="K11" i="3"/>
  <c r="K507" i="4"/>
  <c r="K541" i="4"/>
  <c r="K455" i="4"/>
  <c r="AA373" i="4"/>
  <c r="K494" i="4"/>
  <c r="K560" i="4"/>
  <c r="AA469" i="4"/>
  <c r="K569" i="4"/>
  <c r="K517" i="4"/>
  <c r="K549" i="4"/>
  <c r="K512" i="4"/>
  <c r="K402" i="4"/>
  <c r="K534" i="4"/>
  <c r="K515" i="4"/>
  <c r="K573" i="4"/>
  <c r="K543" i="4"/>
  <c r="K382" i="4"/>
  <c r="K395" i="4"/>
  <c r="K448" i="4"/>
  <c r="K434" i="4"/>
  <c r="K348" i="4"/>
  <c r="K371" i="4"/>
  <c r="K510" i="4"/>
  <c r="K391" i="4"/>
  <c r="K480" i="4"/>
  <c r="K503" i="4"/>
  <c r="AA439" i="4"/>
  <c r="K372" i="4"/>
  <c r="K426" i="4"/>
  <c r="K495" i="4"/>
  <c r="K400" i="4"/>
  <c r="K498" i="4"/>
  <c r="K497" i="4"/>
  <c r="K13" i="11"/>
  <c r="K548" i="4"/>
  <c r="K489" i="4"/>
  <c r="K523" i="4"/>
  <c r="K350" i="4"/>
  <c r="AA401" i="4"/>
  <c r="AA484" i="4"/>
  <c r="W63" i="18"/>
  <c r="U63" i="18"/>
  <c r="U25" i="18"/>
  <c r="W25" i="18"/>
  <c r="O64" i="18"/>
  <c r="R64" i="18"/>
  <c r="AC429" i="4"/>
  <c r="AB429" i="4"/>
  <c r="AD429" i="4"/>
  <c r="AI429" i="4" s="1"/>
  <c r="K428" i="4"/>
  <c r="R48" i="18"/>
  <c r="O48" i="18"/>
  <c r="W42" i="18"/>
  <c r="U42" i="18"/>
  <c r="Z38" i="19"/>
  <c r="K381" i="4"/>
  <c r="AA387" i="4"/>
  <c r="AB440" i="4"/>
  <c r="AD440" i="4"/>
  <c r="AI440" i="4" s="1"/>
  <c r="AC440" i="4"/>
  <c r="K530" i="4"/>
  <c r="K552" i="4"/>
  <c r="W31" i="18"/>
  <c r="U31" i="18"/>
  <c r="K546" i="4"/>
  <c r="W66" i="18"/>
  <c r="U66" i="18"/>
  <c r="W28" i="18"/>
  <c r="U28" i="18"/>
  <c r="W58" i="18"/>
  <c r="U58" i="18"/>
  <c r="AB567" i="4"/>
  <c r="AD567" i="4"/>
  <c r="AI567" i="4" s="1"/>
  <c r="AC567" i="4"/>
  <c r="K470" i="4"/>
  <c r="U26" i="18"/>
  <c r="W26" i="18"/>
  <c r="K493" i="4"/>
  <c r="AB553" i="4"/>
  <c r="AD553" i="4"/>
  <c r="AI553" i="4" s="1"/>
  <c r="AC553" i="4"/>
  <c r="AB469" i="4"/>
  <c r="AC469" i="4"/>
  <c r="AD469" i="4"/>
  <c r="AI469" i="4" s="1"/>
  <c r="K13" i="3"/>
  <c r="AA425" i="4"/>
  <c r="K414" i="4"/>
  <c r="K420" i="4"/>
  <c r="K478" i="4"/>
  <c r="Z39" i="19"/>
  <c r="K15" i="11"/>
  <c r="K438" i="4"/>
  <c r="K550" i="4"/>
  <c r="K11" i="11"/>
  <c r="O46" i="18"/>
  <c r="R46" i="18"/>
  <c r="K399" i="4"/>
  <c r="AB373" i="4"/>
  <c r="AD373" i="4"/>
  <c r="AI373" i="4" s="1"/>
  <c r="AC373" i="4"/>
  <c r="K392" i="4"/>
  <c r="K547" i="4"/>
  <c r="U44" i="18"/>
  <c r="O44" i="18"/>
  <c r="R44" i="18"/>
  <c r="AD369" i="4"/>
  <c r="AI369" i="4" s="1"/>
  <c r="AB369" i="4"/>
  <c r="AC369" i="4"/>
  <c r="R69" i="18"/>
  <c r="O69" i="18"/>
  <c r="AB542" i="4"/>
  <c r="AC542" i="4"/>
  <c r="AD542" i="4"/>
  <c r="AI542" i="4" s="1"/>
  <c r="O38" i="18"/>
  <c r="R38" i="18"/>
  <c r="W40" i="18"/>
  <c r="U40" i="18"/>
  <c r="O58" i="18"/>
  <c r="R58" i="18"/>
  <c r="R67" i="18"/>
  <c r="O67" i="18"/>
  <c r="O30" i="18"/>
  <c r="R30" i="18"/>
  <c r="AB485" i="4"/>
  <c r="AD485" i="4"/>
  <c r="AI485" i="4" s="1"/>
  <c r="AC485" i="4"/>
  <c r="K397" i="4"/>
  <c r="AA543" i="4"/>
  <c r="D10" i="12"/>
  <c r="AD401" i="4"/>
  <c r="AI401" i="4" s="1"/>
  <c r="AC401" i="4"/>
  <c r="AB401" i="4"/>
  <c r="R25" i="18"/>
  <c r="O25" i="18"/>
  <c r="W55" i="18"/>
  <c r="U55" i="18"/>
  <c r="K410" i="4"/>
  <c r="AA544" i="4"/>
  <c r="K463" i="4"/>
  <c r="K427" i="4"/>
  <c r="K545" i="4"/>
  <c r="U59" i="18"/>
  <c r="W59" i="18"/>
  <c r="K457" i="4"/>
  <c r="W60" i="18"/>
  <c r="U60" i="18"/>
  <c r="K403" i="4"/>
  <c r="K539" i="4"/>
  <c r="K500" i="4"/>
  <c r="K554" i="4"/>
  <c r="U38" i="18"/>
  <c r="W38" i="18"/>
  <c r="R32" i="18"/>
  <c r="O32" i="18"/>
  <c r="U61" i="18"/>
  <c r="W61" i="18"/>
  <c r="W62" i="18"/>
  <c r="U62" i="18"/>
  <c r="K344" i="4"/>
  <c r="K567" i="4"/>
  <c r="K10" i="11"/>
  <c r="R57" i="18"/>
  <c r="O57" i="18"/>
  <c r="R65" i="18"/>
  <c r="O65" i="18"/>
  <c r="Q39" i="19"/>
  <c r="R59" i="18"/>
  <c r="O59" i="18"/>
  <c r="AA440" i="4"/>
  <c r="K570" i="4"/>
  <c r="W48" i="18"/>
  <c r="U48" i="18"/>
  <c r="AB484" i="4"/>
  <c r="AC484" i="4"/>
  <c r="AD484" i="4"/>
  <c r="AI484" i="4" s="1"/>
  <c r="K533" i="4"/>
  <c r="Q38" i="19"/>
  <c r="K564" i="4"/>
  <c r="R29" i="18"/>
  <c r="O29" i="18"/>
  <c r="K563" i="4"/>
  <c r="K556" i="4"/>
  <c r="K441" i="4"/>
  <c r="K481" i="4"/>
  <c r="K436" i="4"/>
  <c r="K446" i="4"/>
  <c r="AC545" i="4"/>
  <c r="AD545" i="4"/>
  <c r="AI545" i="4" s="1"/>
  <c r="AB545" i="4"/>
  <c r="W45" i="18"/>
  <c r="U45" i="18"/>
  <c r="AB359" i="4"/>
  <c r="AD359" i="4"/>
  <c r="AI359" i="4" s="1"/>
  <c r="AC359" i="4"/>
  <c r="AA459" i="4"/>
  <c r="AD547" i="4"/>
  <c r="AI547" i="4" s="1"/>
  <c r="AB547" i="4"/>
  <c r="AC547" i="4"/>
  <c r="K14" i="11"/>
  <c r="AA567" i="4"/>
  <c r="W68" i="18"/>
  <c r="U68" i="18"/>
  <c r="K561" i="4"/>
  <c r="K535" i="4"/>
  <c r="K419" i="4"/>
  <c r="K367" i="4"/>
  <c r="K8" i="3"/>
  <c r="AC383" i="4"/>
  <c r="AD383" i="4"/>
  <c r="AI383" i="4" s="1"/>
  <c r="AB383" i="4"/>
  <c r="U49" i="18"/>
  <c r="W49" i="18"/>
  <c r="AA542" i="4"/>
  <c r="K542" i="4"/>
  <c r="K422" i="4"/>
  <c r="R28" i="18"/>
  <c r="O28" i="18"/>
  <c r="K343" i="4"/>
  <c r="K505" i="4"/>
  <c r="K571" i="4"/>
  <c r="O53" i="18"/>
  <c r="R53" i="18"/>
  <c r="W33" i="18"/>
  <c r="U33" i="18"/>
  <c r="K378" i="4"/>
  <c r="K12" i="3"/>
  <c r="K501" i="4"/>
  <c r="AC439" i="4"/>
  <c r="AD439" i="4"/>
  <c r="AI439" i="4" s="1"/>
  <c r="AB439" i="4"/>
  <c r="R26" i="18"/>
  <c r="O26" i="18"/>
  <c r="AA415" i="4"/>
  <c r="K389" i="4"/>
  <c r="K471" i="4"/>
  <c r="W69" i="18"/>
  <c r="U69" i="18"/>
  <c r="AA455" i="4"/>
  <c r="K365" i="4"/>
  <c r="R37" i="18"/>
  <c r="O37" i="18"/>
  <c r="K366" i="4"/>
  <c r="K452" i="4"/>
  <c r="K435" i="4"/>
  <c r="AB345" i="4"/>
  <c r="AD345" i="4"/>
  <c r="AI345" i="4" s="1"/>
  <c r="AC345" i="4"/>
  <c r="O51" i="18"/>
  <c r="R51" i="18"/>
  <c r="K377" i="4"/>
  <c r="K363" i="4"/>
  <c r="W64" i="18"/>
  <c r="U64" i="18"/>
  <c r="K429" i="4"/>
  <c r="K464" i="4"/>
  <c r="K398" i="4"/>
  <c r="K502" i="4"/>
  <c r="K486" i="4"/>
  <c r="R62" i="18"/>
  <c r="O62" i="18"/>
  <c r="K525" i="4"/>
  <c r="K388" i="4"/>
  <c r="U52" i="18"/>
  <c r="W52" i="18"/>
  <c r="K544" i="4"/>
  <c r="U54" i="18"/>
  <c r="W54" i="18"/>
  <c r="K487" i="4"/>
  <c r="AB387" i="4"/>
  <c r="AC387" i="4"/>
  <c r="AD387" i="4"/>
  <c r="AI387" i="4" s="1"/>
  <c r="AC411" i="4"/>
  <c r="AD411" i="4"/>
  <c r="AI411" i="4" s="1"/>
  <c r="AB411" i="4"/>
  <c r="K379" i="4"/>
  <c r="K401" i="4"/>
  <c r="AC577" i="4"/>
  <c r="AB577" i="4"/>
  <c r="AD577" i="4"/>
  <c r="AI577" i="4" s="1"/>
  <c r="W50" i="18"/>
  <c r="U50" i="18"/>
  <c r="R50" i="18"/>
  <c r="O50" i="18"/>
  <c r="K373" i="4"/>
  <c r="K349" i="4"/>
  <c r="R66" i="18"/>
  <c r="O66" i="18"/>
  <c r="K368" i="4"/>
  <c r="K536" i="4"/>
  <c r="K540" i="4"/>
  <c r="K440" i="4"/>
  <c r="U65" i="18"/>
  <c r="AA474" i="4"/>
  <c r="AC415" i="4"/>
  <c r="AB415" i="4"/>
  <c r="AD415" i="4"/>
  <c r="AI415" i="4" s="1"/>
  <c r="R47" i="18"/>
  <c r="O47" i="18"/>
  <c r="K416" i="4"/>
  <c r="K449" i="4"/>
  <c r="F10" i="12"/>
  <c r="W30" i="18"/>
  <c r="U30" i="18"/>
  <c r="AD489" i="4"/>
  <c r="AI489" i="4" s="1"/>
  <c r="AC489" i="4"/>
  <c r="AB489" i="4"/>
  <c r="K374" i="4"/>
  <c r="K347" i="4"/>
  <c r="W27" i="18"/>
  <c r="U27" i="18"/>
  <c r="O41" i="18"/>
  <c r="R41" i="18"/>
  <c r="W39" i="18"/>
  <c r="U39" i="18"/>
  <c r="U37" i="18"/>
  <c r="W53" i="18"/>
  <c r="U53" i="18"/>
  <c r="R33" i="18"/>
  <c r="O33" i="18"/>
  <c r="K476" i="4"/>
  <c r="K577" i="4"/>
  <c r="K492" i="4"/>
  <c r="AA577" i="4"/>
  <c r="U56" i="18"/>
  <c r="W56" i="18"/>
  <c r="K430" i="4"/>
  <c r="AB470" i="4"/>
  <c r="AD470" i="4"/>
  <c r="AI470" i="4" s="1"/>
  <c r="AC470" i="4"/>
  <c r="AC499" i="4"/>
  <c r="AD499" i="4"/>
  <c r="AI499" i="4" s="1"/>
  <c r="AB499" i="4"/>
  <c r="O39" i="18"/>
  <c r="R39" i="18"/>
  <c r="K12" i="11"/>
  <c r="U46" i="18"/>
  <c r="W46" i="18"/>
  <c r="AD397" i="4"/>
  <c r="AI397" i="4" s="1"/>
  <c r="AB397" i="4"/>
  <c r="AC397" i="4"/>
  <c r="K357" i="4"/>
  <c r="K475" i="4"/>
  <c r="U34" i="18"/>
  <c r="W34" i="18"/>
  <c r="K538" i="4"/>
  <c r="K445" i="4"/>
  <c r="K474" i="4"/>
  <c r="AD531" i="4"/>
  <c r="AI531" i="4" s="1"/>
  <c r="AC531" i="4"/>
  <c r="AB531" i="4"/>
  <c r="AA531" i="4"/>
  <c r="AA513" i="4"/>
  <c r="AD513" i="4"/>
  <c r="AI513" i="4" s="1"/>
  <c r="AC513" i="4"/>
  <c r="AB513" i="4"/>
  <c r="K522" i="4"/>
  <c r="K479" i="4"/>
  <c r="AA369" i="4"/>
  <c r="K508" i="4"/>
  <c r="D11" i="12"/>
  <c r="K408" i="4"/>
  <c r="K469" i="4"/>
  <c r="K355" i="4"/>
  <c r="K9" i="11"/>
  <c r="R45" i="18"/>
  <c r="O45" i="18"/>
  <c r="K466" i="4"/>
  <c r="O63" i="18"/>
  <c r="R63" i="18"/>
  <c r="K574" i="4"/>
  <c r="AD455" i="4"/>
  <c r="AI455" i="4" s="1"/>
  <c r="AC455" i="4"/>
  <c r="AB455" i="4"/>
  <c r="K506" i="4"/>
  <c r="AB503" i="4"/>
  <c r="AC503" i="4"/>
  <c r="AD503" i="4"/>
  <c r="AI503" i="4" s="1"/>
  <c r="AB527" i="4"/>
  <c r="AC527" i="4"/>
  <c r="AD527" i="4"/>
  <c r="AI527" i="4" s="1"/>
  <c r="K483" i="4"/>
  <c r="K484" i="4"/>
  <c r="O35" i="18"/>
  <c r="R35" i="18"/>
  <c r="AC548" i="4"/>
  <c r="AB548" i="4"/>
  <c r="AD548" i="4"/>
  <c r="AI548" i="4" s="1"/>
  <c r="R68" i="18"/>
  <c r="O68" i="18"/>
  <c r="K514" i="4"/>
  <c r="K432" i="4"/>
  <c r="K453" i="4"/>
  <c r="K16" i="11"/>
  <c r="K519" i="4"/>
  <c r="R54" i="18"/>
  <c r="O54" i="18"/>
  <c r="K406" i="4"/>
  <c r="O49" i="18"/>
  <c r="R49" i="18"/>
  <c r="R55" i="18"/>
  <c r="O55" i="18"/>
  <c r="F11" i="12"/>
  <c r="J11" i="12" s="1"/>
  <c r="W35" i="18"/>
  <c r="U35" i="18"/>
  <c r="K516" i="4"/>
  <c r="O27" i="18"/>
  <c r="R27" i="18"/>
  <c r="AD454" i="4"/>
  <c r="AI454" i="4" s="1"/>
  <c r="AC454" i="4"/>
  <c r="AB454" i="4"/>
  <c r="K433" i="4"/>
  <c r="AB425" i="4"/>
  <c r="AD425" i="4"/>
  <c r="AI425" i="4" s="1"/>
  <c r="AC425" i="4"/>
  <c r="U41" i="18"/>
  <c r="W41" i="18"/>
  <c r="AC549" i="4"/>
  <c r="AD549" i="4"/>
  <c r="AI549" i="4" s="1"/>
  <c r="AB549" i="4"/>
  <c r="K447" i="4"/>
  <c r="AB543" i="4"/>
  <c r="AD543" i="4"/>
  <c r="AI543" i="4" s="1"/>
  <c r="AC543" i="4"/>
  <c r="K468" i="4"/>
  <c r="W51" i="18"/>
  <c r="U51" i="18"/>
  <c r="K520" i="4"/>
  <c r="AD474" i="4"/>
  <c r="AI474" i="4" s="1"/>
  <c r="AB474" i="4"/>
  <c r="AC474" i="4"/>
  <c r="AA541" i="4"/>
  <c r="AD541" i="4"/>
  <c r="AI541" i="4" s="1"/>
  <c r="AB541" i="4"/>
  <c r="AC541" i="4"/>
  <c r="O43" i="18"/>
  <c r="R43" i="18"/>
  <c r="AD355" i="4"/>
  <c r="AI355" i="4" s="1"/>
  <c r="AC355" i="4"/>
  <c r="AB355" i="4"/>
  <c r="AA355" i="4"/>
  <c r="U36" i="18"/>
  <c r="W36" i="18"/>
  <c r="AA454" i="4"/>
  <c r="R56" i="18"/>
  <c r="O56" i="18"/>
  <c r="AA489" i="4"/>
  <c r="R42" i="18"/>
  <c r="O42" i="18"/>
  <c r="AC546" i="4"/>
  <c r="AD546" i="4"/>
  <c r="AI546" i="4" s="1"/>
  <c r="AB546" i="4"/>
  <c r="R40" i="18"/>
  <c r="O40" i="18"/>
  <c r="W43" i="18"/>
  <c r="U43" i="18"/>
  <c r="K532" i="4"/>
  <c r="K568" i="4"/>
  <c r="AC459" i="4"/>
  <c r="AD459" i="4"/>
  <c r="AI459" i="4" s="1"/>
  <c r="AB459" i="4"/>
  <c r="O34" i="18"/>
  <c r="R34" i="18"/>
  <c r="K511" i="4"/>
  <c r="K465" i="4"/>
  <c r="O31" i="18"/>
  <c r="R31" i="18"/>
  <c r="AC517" i="4"/>
  <c r="AB517" i="4"/>
  <c r="AD517" i="4"/>
  <c r="AI517" i="4" s="1"/>
  <c r="K417" i="4"/>
  <c r="R52" i="18"/>
  <c r="O52" i="18"/>
  <c r="K412" i="4"/>
  <c r="K566" i="4"/>
  <c r="K504" i="4"/>
  <c r="U29" i="18"/>
  <c r="W29" i="18"/>
  <c r="W67" i="18"/>
  <c r="U67" i="18"/>
  <c r="K361" i="4"/>
  <c r="K376" i="4"/>
  <c r="W57" i="18"/>
  <c r="U57" i="18"/>
  <c r="AA499" i="4"/>
  <c r="K383" i="4"/>
  <c r="R60" i="18"/>
  <c r="O60" i="18"/>
  <c r="AA429" i="4"/>
  <c r="K529" i="4"/>
  <c r="AB444" i="4"/>
  <c r="AD444" i="4"/>
  <c r="AI444" i="4" s="1"/>
  <c r="AC444" i="4"/>
  <c r="O36" i="18"/>
  <c r="R36" i="18"/>
  <c r="K362" i="4"/>
  <c r="K342" i="4"/>
  <c r="AA546" i="4"/>
  <c r="K421" i="4"/>
  <c r="K443" i="4"/>
  <c r="K394" i="4"/>
  <c r="K411" i="4"/>
  <c r="K5" i="3"/>
  <c r="U47" i="18"/>
  <c r="W47" i="18"/>
  <c r="U32" i="18"/>
  <c r="W32" i="18"/>
  <c r="O61" i="18"/>
  <c r="R61" i="18"/>
  <c r="AC544" i="4"/>
  <c r="AB544" i="4"/>
  <c r="AD544" i="4"/>
  <c r="AI544" i="4" s="1"/>
  <c r="H26" i="14"/>
  <c r="H27" i="6"/>
  <c r="C26" i="6"/>
  <c r="K803" i="4" l="1"/>
  <c r="K894" i="4"/>
  <c r="K880" i="4"/>
  <c r="K840" i="4"/>
  <c r="AA703" i="4"/>
  <c r="K16" i="3"/>
  <c r="A72" i="1"/>
  <c r="G73" i="1"/>
  <c r="M71" i="18" s="1"/>
  <c r="B72" i="1"/>
  <c r="L70" i="18"/>
  <c r="X70" i="18"/>
  <c r="Y70" i="18"/>
  <c r="I70" i="18"/>
  <c r="N70" i="18"/>
  <c r="F70" i="18"/>
  <c r="AA71" i="18"/>
  <c r="AA70" i="18"/>
  <c r="M70" i="18"/>
  <c r="Z70" i="18"/>
  <c r="AB70" i="18"/>
  <c r="K70" i="18"/>
  <c r="G70" i="18"/>
  <c r="K690" i="4"/>
  <c r="K945" i="4"/>
  <c r="K956" i="4"/>
  <c r="K939" i="4"/>
  <c r="AA944" i="4"/>
  <c r="K954" i="4"/>
  <c r="K953" i="4"/>
  <c r="K948" i="4"/>
  <c r="K946" i="4"/>
  <c r="K955" i="4"/>
  <c r="AD957" i="4"/>
  <c r="AI957" i="4" s="1"/>
  <c r="AB957" i="4"/>
  <c r="AC957" i="4"/>
  <c r="K947" i="4"/>
  <c r="AA957" i="4"/>
  <c r="AB947" i="4"/>
  <c r="AC947" i="4"/>
  <c r="AD947" i="4"/>
  <c r="AI947" i="4" s="1"/>
  <c r="K29" i="11"/>
  <c r="K22" i="3"/>
  <c r="K952" i="4"/>
  <c r="AA947" i="4"/>
  <c r="K950" i="4"/>
  <c r="K949" i="4"/>
  <c r="K951" i="4"/>
  <c r="K937" i="4"/>
  <c r="K925" i="4"/>
  <c r="K942" i="4"/>
  <c r="K935" i="4"/>
  <c r="K923" i="4"/>
  <c r="K920" i="4"/>
  <c r="K921" i="4"/>
  <c r="K917" i="4"/>
  <c r="K944" i="4"/>
  <c r="K938" i="4"/>
  <c r="K932" i="4"/>
  <c r="K14" i="3"/>
  <c r="K18" i="3"/>
  <c r="K943" i="4"/>
  <c r="K940" i="4"/>
  <c r="K933" i="4"/>
  <c r="K941" i="4"/>
  <c r="AB934" i="4"/>
  <c r="AD934" i="4"/>
  <c r="AI934" i="4" s="1"/>
  <c r="AC934" i="4"/>
  <c r="AD944" i="4"/>
  <c r="AI944" i="4" s="1"/>
  <c r="AB944" i="4"/>
  <c r="AC944" i="4"/>
  <c r="K936" i="4"/>
  <c r="K934" i="4"/>
  <c r="AA934" i="4"/>
  <c r="K926" i="4"/>
  <c r="K931" i="4"/>
  <c r="K726" i="4"/>
  <c r="K21" i="3"/>
  <c r="K892" i="4"/>
  <c r="K919" i="4"/>
  <c r="K899" i="4"/>
  <c r="K924" i="4"/>
  <c r="K922" i="4"/>
  <c r="K927" i="4"/>
  <c r="K28" i="11"/>
  <c r="K930" i="4"/>
  <c r="K912" i="4"/>
  <c r="K928" i="4"/>
  <c r="AD931" i="4"/>
  <c r="AI931" i="4" s="1"/>
  <c r="AC931" i="4"/>
  <c r="AB931" i="4"/>
  <c r="AA921" i="4"/>
  <c r="AB921" i="4"/>
  <c r="AC921" i="4"/>
  <c r="AD921" i="4"/>
  <c r="AI921" i="4" s="1"/>
  <c r="AA931" i="4"/>
  <c r="K929" i="4"/>
  <c r="K918" i="4"/>
  <c r="K909" i="4"/>
  <c r="AA908" i="4"/>
  <c r="K15" i="3"/>
  <c r="K913" i="4"/>
  <c r="K906" i="4"/>
  <c r="K914" i="4"/>
  <c r="K907" i="4"/>
  <c r="AA918" i="4"/>
  <c r="K911" i="4"/>
  <c r="AB908" i="4"/>
  <c r="AD908" i="4"/>
  <c r="AI908" i="4" s="1"/>
  <c r="AC908" i="4"/>
  <c r="K915" i="4"/>
  <c r="K20" i="3"/>
  <c r="K916" i="4"/>
  <c r="K19" i="3"/>
  <c r="AD918" i="4"/>
  <c r="AI918" i="4" s="1"/>
  <c r="AB918" i="4"/>
  <c r="AC918" i="4"/>
  <c r="K908" i="4"/>
  <c r="K910" i="4"/>
  <c r="K905" i="4"/>
  <c r="K901" i="4"/>
  <c r="K898" i="4"/>
  <c r="K904" i="4"/>
  <c r="K903" i="4"/>
  <c r="AA905" i="4"/>
  <c r="K902" i="4"/>
  <c r="K897" i="4"/>
  <c r="K893" i="4"/>
  <c r="AB895" i="4"/>
  <c r="AD895" i="4"/>
  <c r="AI895" i="4" s="1"/>
  <c r="AC895" i="4"/>
  <c r="AD905" i="4"/>
  <c r="AI905" i="4" s="1"/>
  <c r="AC905" i="4"/>
  <c r="AB905" i="4"/>
  <c r="K895" i="4"/>
  <c r="AA895" i="4"/>
  <c r="K900" i="4"/>
  <c r="K896" i="4"/>
  <c r="K887" i="4"/>
  <c r="K889" i="4"/>
  <c r="K891" i="4"/>
  <c r="K27" i="11"/>
  <c r="K884" i="4"/>
  <c r="K883" i="4"/>
  <c r="AA892" i="4"/>
  <c r="K881" i="4"/>
  <c r="AA869" i="4"/>
  <c r="K886" i="4"/>
  <c r="AA882" i="4"/>
  <c r="K888" i="4"/>
  <c r="K885" i="4"/>
  <c r="K882" i="4"/>
  <c r="K890" i="4"/>
  <c r="AB882" i="4"/>
  <c r="AC882" i="4"/>
  <c r="AD882" i="4"/>
  <c r="AI882" i="4" s="1"/>
  <c r="AD892" i="4"/>
  <c r="AI892" i="4" s="1"/>
  <c r="AB892" i="4"/>
  <c r="AC892" i="4"/>
  <c r="K871" i="4"/>
  <c r="K873" i="4"/>
  <c r="K874" i="4"/>
  <c r="K869" i="4"/>
  <c r="K867" i="4"/>
  <c r="K26" i="11"/>
  <c r="K870" i="4"/>
  <c r="K879" i="4"/>
  <c r="K877" i="4"/>
  <c r="K878" i="4"/>
  <c r="AA879" i="4"/>
  <c r="K876" i="4"/>
  <c r="K868" i="4"/>
  <c r="AB869" i="4"/>
  <c r="AC869" i="4"/>
  <c r="AD869" i="4"/>
  <c r="AI869" i="4" s="1"/>
  <c r="K875" i="4"/>
  <c r="AD879" i="4"/>
  <c r="AI879" i="4" s="1"/>
  <c r="AC879" i="4"/>
  <c r="AB879" i="4"/>
  <c r="K872" i="4"/>
  <c r="K844" i="4"/>
  <c r="K857" i="4"/>
  <c r="AA866" i="4"/>
  <c r="K859" i="4"/>
  <c r="K864" i="4"/>
  <c r="K858" i="4"/>
  <c r="K853" i="4"/>
  <c r="K860" i="4"/>
  <c r="K866" i="4"/>
  <c r="K862" i="4"/>
  <c r="K861" i="4"/>
  <c r="K865" i="4"/>
  <c r="AD866" i="4"/>
  <c r="AI866" i="4" s="1"/>
  <c r="AB866" i="4"/>
  <c r="AC866" i="4"/>
  <c r="K855" i="4"/>
  <c r="K856" i="4"/>
  <c r="AA856" i="4"/>
  <c r="K863" i="4"/>
  <c r="K854" i="4"/>
  <c r="K25" i="11"/>
  <c r="AD856" i="4"/>
  <c r="AI856" i="4" s="1"/>
  <c r="AC856" i="4"/>
  <c r="AB856" i="4"/>
  <c r="K842" i="4"/>
  <c r="K841" i="4"/>
  <c r="A27" i="6"/>
  <c r="B27" i="6"/>
  <c r="K846" i="4"/>
  <c r="K839" i="4"/>
  <c r="K850" i="4"/>
  <c r="K849" i="4"/>
  <c r="K852" i="4"/>
  <c r="K843" i="4"/>
  <c r="AD842" i="4"/>
  <c r="AI842" i="4" s="1"/>
  <c r="AC842" i="4"/>
  <c r="AB842" i="4"/>
  <c r="K847" i="4"/>
  <c r="K845" i="4"/>
  <c r="K848" i="4"/>
  <c r="AD852" i="4"/>
  <c r="AI852" i="4" s="1"/>
  <c r="AB852" i="4"/>
  <c r="AC852" i="4"/>
  <c r="K851" i="4"/>
  <c r="AA852" i="4"/>
  <c r="K830" i="4"/>
  <c r="K829" i="4"/>
  <c r="K825" i="4"/>
  <c r="K827" i="4"/>
  <c r="AA828" i="4"/>
  <c r="AA838" i="4"/>
  <c r="K835" i="4"/>
  <c r="K828" i="4"/>
  <c r="K838" i="4"/>
  <c r="K836" i="4"/>
  <c r="K831" i="4"/>
  <c r="K832" i="4"/>
  <c r="K833" i="4"/>
  <c r="AD838" i="4"/>
  <c r="AI838" i="4" s="1"/>
  <c r="AB838" i="4"/>
  <c r="AC838" i="4"/>
  <c r="K834" i="4"/>
  <c r="AD828" i="4"/>
  <c r="AI828" i="4" s="1"/>
  <c r="AC828" i="4"/>
  <c r="AB828" i="4"/>
  <c r="K837" i="4"/>
  <c r="K807" i="4"/>
  <c r="K796" i="4"/>
  <c r="K816" i="4"/>
  <c r="K821" i="4"/>
  <c r="K22" i="11"/>
  <c r="AA808" i="4"/>
  <c r="K801" i="4"/>
  <c r="AA809" i="4"/>
  <c r="K812" i="4"/>
  <c r="K799" i="4"/>
  <c r="K6" i="3"/>
  <c r="K815" i="4"/>
  <c r="K802" i="4"/>
  <c r="K808" i="4"/>
  <c r="K9" i="3"/>
  <c r="K824" i="4"/>
  <c r="K779" i="4"/>
  <c r="K23" i="11"/>
  <c r="AA817" i="4"/>
  <c r="K795" i="4"/>
  <c r="K817" i="4"/>
  <c r="AA823" i="4"/>
  <c r="AA818" i="4"/>
  <c r="K810" i="4"/>
  <c r="AC821" i="4"/>
  <c r="AD821" i="4"/>
  <c r="AI821" i="4" s="1"/>
  <c r="AB821" i="4"/>
  <c r="AC822" i="4"/>
  <c r="AB822" i="4"/>
  <c r="AD822" i="4"/>
  <c r="AI822" i="4" s="1"/>
  <c r="K800" i="4"/>
  <c r="AD798" i="4"/>
  <c r="AI798" i="4" s="1"/>
  <c r="AB798" i="4"/>
  <c r="AC798" i="4"/>
  <c r="T47" i="18"/>
  <c r="K804" i="4"/>
  <c r="AD816" i="4"/>
  <c r="AI816" i="4" s="1"/>
  <c r="AC816" i="4"/>
  <c r="AB816" i="4"/>
  <c r="K818" i="4"/>
  <c r="AD811" i="4"/>
  <c r="AI811" i="4" s="1"/>
  <c r="AC811" i="4"/>
  <c r="AB811" i="4"/>
  <c r="AD812" i="4"/>
  <c r="AI812" i="4" s="1"/>
  <c r="AB812" i="4"/>
  <c r="AC812" i="4"/>
  <c r="K806" i="4"/>
  <c r="AD810" i="4"/>
  <c r="AI810" i="4" s="1"/>
  <c r="AC810" i="4"/>
  <c r="AB810" i="4"/>
  <c r="AD815" i="4"/>
  <c r="AI815" i="4" s="1"/>
  <c r="AC815" i="4"/>
  <c r="AB815" i="4"/>
  <c r="AD824" i="4"/>
  <c r="AI824" i="4" s="1"/>
  <c r="AB824" i="4"/>
  <c r="AC824" i="4"/>
  <c r="AC817" i="4"/>
  <c r="AD817" i="4"/>
  <c r="AI817" i="4" s="1"/>
  <c r="AB817" i="4"/>
  <c r="K10" i="3"/>
  <c r="AA815" i="4"/>
  <c r="K805" i="4"/>
  <c r="AA821" i="4"/>
  <c r="AA798" i="4"/>
  <c r="K814" i="4"/>
  <c r="AD820" i="4"/>
  <c r="AI820" i="4" s="1"/>
  <c r="AC820" i="4"/>
  <c r="AB820" i="4"/>
  <c r="AD823" i="4"/>
  <c r="AI823" i="4" s="1"/>
  <c r="AB823" i="4"/>
  <c r="AC823" i="4"/>
  <c r="AD813" i="4"/>
  <c r="AI813" i="4" s="1"/>
  <c r="AC813" i="4"/>
  <c r="AB813" i="4"/>
  <c r="K811" i="4"/>
  <c r="AA814" i="4"/>
  <c r="AA822" i="4"/>
  <c r="AA810" i="4"/>
  <c r="K797" i="4"/>
  <c r="K823" i="4"/>
  <c r="K819" i="4"/>
  <c r="AB814" i="4"/>
  <c r="AC814" i="4"/>
  <c r="AD814" i="4"/>
  <c r="AI814" i="4" s="1"/>
  <c r="AA824" i="4"/>
  <c r="AC808" i="4"/>
  <c r="AD808" i="4"/>
  <c r="AI808" i="4" s="1"/>
  <c r="AB808" i="4"/>
  <c r="K820" i="4"/>
  <c r="AA812" i="4"/>
  <c r="K822" i="4"/>
  <c r="AD809" i="4"/>
  <c r="AI809" i="4" s="1"/>
  <c r="AB809" i="4"/>
  <c r="AC809" i="4"/>
  <c r="K813" i="4"/>
  <c r="K809" i="4"/>
  <c r="K798" i="4"/>
  <c r="AA813" i="4"/>
  <c r="AD818" i="4"/>
  <c r="AI818" i="4" s="1"/>
  <c r="AB818" i="4"/>
  <c r="AC818" i="4"/>
  <c r="AD819" i="4"/>
  <c r="AI819" i="4" s="1"/>
  <c r="AC819" i="4"/>
  <c r="AB819" i="4"/>
  <c r="K789" i="4"/>
  <c r="K790" i="4"/>
  <c r="AA794" i="4"/>
  <c r="K786" i="4"/>
  <c r="K792" i="4"/>
  <c r="K7" i="3"/>
  <c r="K793" i="4"/>
  <c r="AA782" i="4"/>
  <c r="K794" i="4"/>
  <c r="K780" i="4"/>
  <c r="K785" i="4"/>
  <c r="K791" i="4"/>
  <c r="K788" i="4"/>
  <c r="K783" i="4"/>
  <c r="K787" i="4"/>
  <c r="K784" i="4"/>
  <c r="K782" i="4"/>
  <c r="AD782" i="4"/>
  <c r="AI782" i="4" s="1"/>
  <c r="AC782" i="4"/>
  <c r="AB782" i="4"/>
  <c r="AA793" i="4"/>
  <c r="AD794" i="4"/>
  <c r="AI794" i="4" s="1"/>
  <c r="AB794" i="4"/>
  <c r="AC794" i="4"/>
  <c r="AD793" i="4"/>
  <c r="AI793" i="4" s="1"/>
  <c r="AC793" i="4"/>
  <c r="AB793" i="4"/>
  <c r="K781" i="4"/>
  <c r="K776" i="4"/>
  <c r="K774" i="4"/>
  <c r="K766" i="4"/>
  <c r="K775" i="4"/>
  <c r="K767" i="4"/>
  <c r="K773" i="4"/>
  <c r="AA777" i="4"/>
  <c r="AA778" i="4"/>
  <c r="K763" i="4"/>
  <c r="AA766" i="4"/>
  <c r="K765" i="4"/>
  <c r="K778" i="4"/>
  <c r="K770" i="4"/>
  <c r="AA776" i="4"/>
  <c r="K764" i="4"/>
  <c r="K768" i="4"/>
  <c r="K769" i="4"/>
  <c r="K777" i="4"/>
  <c r="AD777" i="4"/>
  <c r="AI777" i="4" s="1"/>
  <c r="AC777" i="4"/>
  <c r="AB777" i="4"/>
  <c r="AD778" i="4"/>
  <c r="AI778" i="4" s="1"/>
  <c r="AC778" i="4"/>
  <c r="AB778" i="4"/>
  <c r="AD766" i="4"/>
  <c r="AI766" i="4" s="1"/>
  <c r="AB766" i="4"/>
  <c r="AC766" i="4"/>
  <c r="AD776" i="4"/>
  <c r="AI776" i="4" s="1"/>
  <c r="AC776" i="4"/>
  <c r="AB776" i="4"/>
  <c r="K771" i="4"/>
  <c r="K772" i="4"/>
  <c r="K747" i="4"/>
  <c r="K21" i="11"/>
  <c r="AA745" i="4"/>
  <c r="K755" i="4"/>
  <c r="AA762" i="4"/>
  <c r="K757" i="4"/>
  <c r="AA759" i="4"/>
  <c r="AA760" i="4"/>
  <c r="AA761" i="4"/>
  <c r="K749" i="4"/>
  <c r="K750" i="4"/>
  <c r="AD749" i="4"/>
  <c r="AI749" i="4" s="1"/>
  <c r="AC749" i="4"/>
  <c r="AB749" i="4"/>
  <c r="K761" i="4"/>
  <c r="K753" i="4"/>
  <c r="K756" i="4"/>
  <c r="K752" i="4"/>
  <c r="K746" i="4"/>
  <c r="K758" i="4"/>
  <c r="K748" i="4"/>
  <c r="AA749" i="4"/>
  <c r="K754" i="4"/>
  <c r="AC761" i="4"/>
  <c r="AB761" i="4"/>
  <c r="AD761" i="4"/>
  <c r="AI761" i="4" s="1"/>
  <c r="K751" i="4"/>
  <c r="AD759" i="4"/>
  <c r="AI759" i="4" s="1"/>
  <c r="AC759" i="4"/>
  <c r="AB759" i="4"/>
  <c r="K760" i="4"/>
  <c r="K762" i="4"/>
  <c r="K759" i="4"/>
  <c r="AC762" i="4"/>
  <c r="AB762" i="4"/>
  <c r="AD762" i="4"/>
  <c r="AI762" i="4" s="1"/>
  <c r="AC760" i="4"/>
  <c r="AD760" i="4"/>
  <c r="AI760" i="4" s="1"/>
  <c r="AB760" i="4"/>
  <c r="T46" i="18"/>
  <c r="K698" i="4"/>
  <c r="K729" i="4"/>
  <c r="K732" i="4"/>
  <c r="K742" i="4"/>
  <c r="K743" i="4"/>
  <c r="AD735" i="4"/>
  <c r="AI735" i="4" s="1"/>
  <c r="AC735" i="4"/>
  <c r="AB735" i="4"/>
  <c r="K736" i="4"/>
  <c r="K733" i="4"/>
  <c r="K741" i="4"/>
  <c r="K734" i="4"/>
  <c r="AA735" i="4"/>
  <c r="K719" i="4"/>
  <c r="K738" i="4"/>
  <c r="K735" i="4"/>
  <c r="AC745" i="4"/>
  <c r="AD745" i="4"/>
  <c r="AI745" i="4" s="1"/>
  <c r="AB745" i="4"/>
  <c r="K739" i="4"/>
  <c r="K740" i="4"/>
  <c r="K712" i="4"/>
  <c r="AA717" i="4"/>
  <c r="K722" i="4"/>
  <c r="K20" i="11"/>
  <c r="K728" i="4"/>
  <c r="AA731" i="4"/>
  <c r="K730" i="4"/>
  <c r="K720" i="4"/>
  <c r="K727" i="4"/>
  <c r="AA721" i="4"/>
  <c r="K718" i="4"/>
  <c r="AD721" i="4"/>
  <c r="AI721" i="4" s="1"/>
  <c r="AB721" i="4"/>
  <c r="AC721" i="4"/>
  <c r="K723" i="4"/>
  <c r="K731" i="4"/>
  <c r="K724" i="4"/>
  <c r="K721" i="4"/>
  <c r="AD731" i="4"/>
  <c r="AI731" i="4" s="1"/>
  <c r="AC731" i="4"/>
  <c r="AB731" i="4"/>
  <c r="K725" i="4"/>
  <c r="K19" i="11"/>
  <c r="K711" i="4"/>
  <c r="K693" i="4"/>
  <c r="K717" i="4"/>
  <c r="K713" i="4"/>
  <c r="K697" i="4"/>
  <c r="K708" i="4"/>
  <c r="K704" i="4"/>
  <c r="K700" i="4"/>
  <c r="K696" i="4"/>
  <c r="K710" i="4"/>
  <c r="K715" i="4"/>
  <c r="K699" i="4"/>
  <c r="K701" i="4"/>
  <c r="K707" i="4"/>
  <c r="K702" i="4"/>
  <c r="K692" i="4"/>
  <c r="AD717" i="4"/>
  <c r="AI717" i="4" s="1"/>
  <c r="AB717" i="4"/>
  <c r="AC717" i="4"/>
  <c r="K709" i="4"/>
  <c r="K703" i="4"/>
  <c r="K706" i="4"/>
  <c r="AA693" i="4"/>
  <c r="K705" i="4"/>
  <c r="AD703" i="4"/>
  <c r="AI703" i="4" s="1"/>
  <c r="AB703" i="4"/>
  <c r="AC703" i="4"/>
  <c r="K695" i="4"/>
  <c r="K714" i="4"/>
  <c r="K694" i="4"/>
  <c r="AD693" i="4"/>
  <c r="AI693" i="4" s="1"/>
  <c r="AB693" i="4"/>
  <c r="AC693" i="4"/>
  <c r="AA707" i="4"/>
  <c r="K716" i="4"/>
  <c r="AD707" i="4"/>
  <c r="AI707" i="4" s="1"/>
  <c r="AB707" i="4"/>
  <c r="AC707" i="4"/>
  <c r="K691" i="4"/>
  <c r="T48" i="18"/>
  <c r="T45" i="18"/>
  <c r="T38" i="18"/>
  <c r="T44" i="18"/>
  <c r="T43" i="18"/>
  <c r="T42" i="18"/>
  <c r="T34" i="18"/>
  <c r="T27" i="18"/>
  <c r="T41" i="18"/>
  <c r="T26" i="18"/>
  <c r="T37" i="18"/>
  <c r="T33" i="18"/>
  <c r="T30" i="18"/>
  <c r="T36" i="18"/>
  <c r="T25" i="18"/>
  <c r="T32" i="18"/>
  <c r="T28" i="18"/>
  <c r="T35" i="18"/>
  <c r="N11" i="12"/>
  <c r="T39" i="18"/>
  <c r="R39" i="19"/>
  <c r="U39" i="19"/>
  <c r="J10" i="12"/>
  <c r="H10" i="12"/>
  <c r="U38" i="19"/>
  <c r="R38" i="19"/>
  <c r="N10" i="12"/>
  <c r="H11" i="12"/>
  <c r="T40" i="18"/>
  <c r="AA38" i="19"/>
  <c r="AA39" i="19"/>
  <c r="L10" i="12"/>
  <c r="T29" i="18"/>
  <c r="T31" i="18"/>
  <c r="L11" i="12"/>
  <c r="H27" i="14"/>
  <c r="H28" i="6"/>
  <c r="C27" i="6"/>
  <c r="G71" i="18" l="1"/>
  <c r="L71" i="18"/>
  <c r="J31" i="11"/>
  <c r="K71" i="18"/>
  <c r="N71" i="18"/>
  <c r="I71" i="18"/>
  <c r="Z71" i="18"/>
  <c r="F71" i="18"/>
  <c r="R71" i="18" s="1"/>
  <c r="AB71" i="18"/>
  <c r="Y71" i="18"/>
  <c r="X71" i="18"/>
  <c r="I31" i="11"/>
  <c r="W70" i="18"/>
  <c r="U70" i="18"/>
  <c r="W71" i="18"/>
  <c r="R70" i="18"/>
  <c r="O70" i="18"/>
  <c r="G74" i="1"/>
  <c r="B73" i="1"/>
  <c r="A73" i="1"/>
  <c r="T67" i="18"/>
  <c r="T66" i="18"/>
  <c r="T65" i="18"/>
  <c r="T64" i="18"/>
  <c r="T63" i="18"/>
  <c r="T62" i="18"/>
  <c r="T61" i="18"/>
  <c r="T60" i="18"/>
  <c r="A28" i="6"/>
  <c r="B28" i="6"/>
  <c r="T59" i="18"/>
  <c r="T58" i="18"/>
  <c r="T56" i="18"/>
  <c r="T57" i="18"/>
  <c r="T55" i="18"/>
  <c r="T54" i="18"/>
  <c r="T53" i="18"/>
  <c r="T52" i="18"/>
  <c r="T51" i="18"/>
  <c r="T50" i="18"/>
  <c r="T49" i="18"/>
  <c r="S39" i="19"/>
  <c r="S38" i="19"/>
  <c r="C10" i="12" s="1"/>
  <c r="X38" i="19"/>
  <c r="V38" i="19"/>
  <c r="V39" i="19"/>
  <c r="P10" i="12"/>
  <c r="X39" i="19"/>
  <c r="H28" i="14"/>
  <c r="H29" i="6"/>
  <c r="C28" i="6"/>
  <c r="K31" i="11" l="1"/>
  <c r="U71" i="18"/>
  <c r="O71" i="18"/>
  <c r="A74" i="1"/>
  <c r="G75" i="1"/>
  <c r="Z73" i="18" s="1"/>
  <c r="B74" i="1"/>
  <c r="F72" i="18"/>
  <c r="I72" i="18"/>
  <c r="L72" i="18"/>
  <c r="K72" i="18"/>
  <c r="M72" i="18"/>
  <c r="AA72" i="18"/>
  <c r="AB72" i="18"/>
  <c r="Y72" i="18"/>
  <c r="J32" i="11"/>
  <c r="Z72" i="18"/>
  <c r="G72" i="18"/>
  <c r="N72" i="18"/>
  <c r="I32" i="11"/>
  <c r="X72" i="18"/>
  <c r="A29" i="6"/>
  <c r="B29" i="6"/>
  <c r="P11" i="12"/>
  <c r="C11" i="12"/>
  <c r="E11" i="12"/>
  <c r="Y39" i="19"/>
  <c r="E10" i="12"/>
  <c r="Y38" i="19"/>
  <c r="H29" i="14"/>
  <c r="H30" i="6"/>
  <c r="C29" i="6"/>
  <c r="G73" i="18" l="1"/>
  <c r="K73" i="18"/>
  <c r="M73" i="18"/>
  <c r="AA73" i="18"/>
  <c r="W73" i="18" s="1"/>
  <c r="X73" i="18"/>
  <c r="N73" i="18"/>
  <c r="L73" i="18"/>
  <c r="Y73" i="18"/>
  <c r="F73" i="18"/>
  <c r="O73" i="18" s="1"/>
  <c r="I73" i="18"/>
  <c r="AB73" i="18"/>
  <c r="K32" i="11"/>
  <c r="W72" i="18"/>
  <c r="U72" i="18"/>
  <c r="O72" i="18"/>
  <c r="R72" i="18"/>
  <c r="G76" i="1"/>
  <c r="A75" i="1"/>
  <c r="B75" i="1"/>
  <c r="A30" i="6"/>
  <c r="B30" i="6"/>
  <c r="G11" i="12"/>
  <c r="I11" i="12"/>
  <c r="I10" i="12"/>
  <c r="G10" i="12"/>
  <c r="C30" i="6"/>
  <c r="H31" i="6"/>
  <c r="H30" i="14"/>
  <c r="U73" i="18" l="1"/>
  <c r="R73" i="18"/>
  <c r="A76" i="1"/>
  <c r="B76" i="1"/>
  <c r="G77" i="1"/>
  <c r="Z75" i="18" s="1"/>
  <c r="G74" i="18"/>
  <c r="AA74" i="18"/>
  <c r="Z74" i="18"/>
  <c r="L74" i="18"/>
  <c r="K74" i="18"/>
  <c r="Y74" i="18"/>
  <c r="N74" i="18"/>
  <c r="AB74" i="18"/>
  <c r="X74" i="18"/>
  <c r="M74" i="18"/>
  <c r="F74" i="18"/>
  <c r="I74" i="18"/>
  <c r="A31" i="6"/>
  <c r="B31" i="6"/>
  <c r="H32" i="6"/>
  <c r="C31" i="6"/>
  <c r="H31" i="14"/>
  <c r="I75" i="18" l="1"/>
  <c r="X75" i="18"/>
  <c r="K75" i="18"/>
  <c r="N75" i="18"/>
  <c r="G75" i="18"/>
  <c r="AB75" i="18"/>
  <c r="M75" i="18"/>
  <c r="Y75" i="18"/>
  <c r="F75" i="18"/>
  <c r="O75" i="18" s="1"/>
  <c r="L75" i="18"/>
  <c r="AA75" i="18"/>
  <c r="W75" i="18" s="1"/>
  <c r="R74" i="18"/>
  <c r="O74" i="18"/>
  <c r="U74" i="18"/>
  <c r="W74" i="18"/>
  <c r="A77" i="1"/>
  <c r="G78" i="1"/>
  <c r="B77" i="1"/>
  <c r="A32" i="6"/>
  <c r="B32" i="6"/>
  <c r="H32" i="14"/>
  <c r="C32" i="6"/>
  <c r="H33" i="6"/>
  <c r="U75" i="18" l="1"/>
  <c r="R75" i="18"/>
  <c r="B78" i="1"/>
  <c r="G79" i="1"/>
  <c r="L77" i="18" s="1"/>
  <c r="A78" i="1"/>
  <c r="I33" i="11"/>
  <c r="Y76" i="18"/>
  <c r="J33" i="11"/>
  <c r="G76" i="18"/>
  <c r="N76" i="18"/>
  <c r="AA76" i="18"/>
  <c r="AB76" i="18"/>
  <c r="Z76" i="18"/>
  <c r="X76" i="18"/>
  <c r="I76" i="18"/>
  <c r="F76" i="18"/>
  <c r="M76" i="18"/>
  <c r="K76" i="18"/>
  <c r="L76" i="18"/>
  <c r="A33" i="6"/>
  <c r="B33" i="6"/>
  <c r="H33" i="14"/>
  <c r="H34" i="6"/>
  <c r="C33" i="6"/>
  <c r="G77" i="18" l="1"/>
  <c r="J34" i="11"/>
  <c r="N77" i="18"/>
  <c r="I77" i="18"/>
  <c r="M77" i="18"/>
  <c r="X77" i="18"/>
  <c r="I34" i="11"/>
  <c r="K77" i="18"/>
  <c r="Z77" i="18"/>
  <c r="AB77" i="18"/>
  <c r="Y77" i="18"/>
  <c r="F77" i="18"/>
  <c r="R77" i="18" s="1"/>
  <c r="AA77" i="18"/>
  <c r="W77" i="18" s="1"/>
  <c r="K33" i="11"/>
  <c r="R76" i="18"/>
  <c r="O76" i="18"/>
  <c r="W76" i="18"/>
  <c r="U76" i="18"/>
  <c r="A79" i="1"/>
  <c r="B79" i="1"/>
  <c r="G80" i="1"/>
  <c r="A34" i="6"/>
  <c r="B34" i="6"/>
  <c r="H34" i="14"/>
  <c r="C34" i="6"/>
  <c r="H35" i="6"/>
  <c r="K34" i="11" l="1"/>
  <c r="U77" i="18"/>
  <c r="O77" i="18"/>
  <c r="B80" i="1"/>
  <c r="G81" i="1"/>
  <c r="Y79" i="18" s="1"/>
  <c r="A80" i="1"/>
  <c r="I78" i="18"/>
  <c r="X78" i="18"/>
  <c r="AB78" i="18"/>
  <c r="Y78" i="18"/>
  <c r="L78" i="18"/>
  <c r="F78" i="18"/>
  <c r="G78" i="18"/>
  <c r="K78" i="18"/>
  <c r="M78" i="18"/>
  <c r="I35" i="11"/>
  <c r="AA78" i="18"/>
  <c r="J35" i="11"/>
  <c r="Z78" i="18"/>
  <c r="N78" i="18"/>
  <c r="A35" i="6"/>
  <c r="B35" i="6"/>
  <c r="H35" i="14"/>
  <c r="C35" i="6"/>
  <c r="H36" i="6"/>
  <c r="K79" i="18" l="1"/>
  <c r="G79" i="18"/>
  <c r="N79" i="18"/>
  <c r="X79" i="18"/>
  <c r="Z79" i="18"/>
  <c r="AB79" i="18"/>
  <c r="G82" i="1"/>
  <c r="L79" i="18"/>
  <c r="AA79" i="18"/>
  <c r="M79" i="18"/>
  <c r="I79" i="18"/>
  <c r="U78" i="18"/>
  <c r="W78" i="18"/>
  <c r="K35" i="11"/>
  <c r="R78" i="18"/>
  <c r="O78" i="18"/>
  <c r="A81" i="1"/>
  <c r="B81" i="1"/>
  <c r="W960" i="4"/>
  <c r="I1113" i="4"/>
  <c r="J1041" i="4"/>
  <c r="I999" i="4"/>
  <c r="J1110" i="4"/>
  <c r="X1025" i="4"/>
  <c r="I1100" i="4"/>
  <c r="J1035" i="4"/>
  <c r="I1086" i="4"/>
  <c r="I971" i="4"/>
  <c r="J30" i="11"/>
  <c r="W970" i="4"/>
  <c r="I980" i="4"/>
  <c r="J1010" i="4"/>
  <c r="I1006" i="4"/>
  <c r="J1078" i="4"/>
  <c r="J1064" i="4"/>
  <c r="J1084" i="4"/>
  <c r="I1073" i="4"/>
  <c r="J1070" i="4"/>
  <c r="J1107" i="4"/>
  <c r="I1047" i="4"/>
  <c r="I1003" i="4"/>
  <c r="X970" i="4"/>
  <c r="I1098" i="4"/>
  <c r="I1088" i="4"/>
  <c r="I998" i="4"/>
  <c r="J1034" i="4"/>
  <c r="W1048" i="4"/>
  <c r="I992" i="4"/>
  <c r="J1002" i="4"/>
  <c r="I1020" i="4"/>
  <c r="I1061" i="4"/>
  <c r="I1096" i="4"/>
  <c r="X973" i="4"/>
  <c r="I1059" i="4"/>
  <c r="J1043" i="4"/>
  <c r="W1009" i="4"/>
  <c r="J990" i="4"/>
  <c r="I1035" i="4"/>
  <c r="I1067" i="4"/>
  <c r="I1040" i="4"/>
  <c r="J1045" i="4"/>
  <c r="J1108" i="4"/>
  <c r="I1055" i="4"/>
  <c r="J1005" i="4"/>
  <c r="J1055" i="4"/>
  <c r="X996" i="4"/>
  <c r="W1038" i="4"/>
  <c r="J1093" i="4"/>
  <c r="J1080" i="4"/>
  <c r="I988" i="4"/>
  <c r="I1079" i="4"/>
  <c r="J1008" i="4"/>
  <c r="I1070" i="4"/>
  <c r="I1103" i="4"/>
  <c r="J991" i="4"/>
  <c r="J993" i="4"/>
  <c r="I1027" i="4"/>
  <c r="J1025" i="4"/>
  <c r="I1029" i="4"/>
  <c r="J1054" i="4"/>
  <c r="AA1071" i="4"/>
  <c r="W1100" i="4"/>
  <c r="J1007" i="4"/>
  <c r="X1074" i="4"/>
  <c r="AA1018" i="4"/>
  <c r="J972" i="4"/>
  <c r="I1001" i="4"/>
  <c r="J1079" i="4"/>
  <c r="I1037" i="4"/>
  <c r="J1077" i="4"/>
  <c r="I978" i="4"/>
  <c r="X1064" i="4"/>
  <c r="J1019" i="4"/>
  <c r="J998" i="4"/>
  <c r="I1042" i="4"/>
  <c r="J1113" i="4"/>
  <c r="J1082" i="4"/>
  <c r="J1017" i="4"/>
  <c r="W1061" i="4"/>
  <c r="I1048" i="4"/>
  <c r="J1039" i="4"/>
  <c r="J1081" i="4"/>
  <c r="X1022" i="4"/>
  <c r="X1090" i="4"/>
  <c r="I1018" i="4"/>
  <c r="X1113" i="4"/>
  <c r="I1026" i="4"/>
  <c r="J1092" i="4"/>
  <c r="I1053" i="4"/>
  <c r="I1093" i="4"/>
  <c r="I972" i="4"/>
  <c r="J1063" i="4"/>
  <c r="J975" i="4"/>
  <c r="I984" i="4"/>
  <c r="I1056" i="4"/>
  <c r="J1083" i="4"/>
  <c r="X1048" i="4"/>
  <c r="X1077" i="4"/>
  <c r="J1069" i="4"/>
  <c r="J1058" i="4"/>
  <c r="J1046" i="4"/>
  <c r="J1015" i="4"/>
  <c r="J1072" i="4"/>
  <c r="I1083" i="4"/>
  <c r="I1011" i="4"/>
  <c r="I989" i="4"/>
  <c r="I1057" i="4"/>
  <c r="J1062" i="4"/>
  <c r="I963" i="4"/>
  <c r="I1110" i="4"/>
  <c r="J1028" i="4"/>
  <c r="I993" i="4"/>
  <c r="J967" i="4"/>
  <c r="J1103" i="4"/>
  <c r="I958" i="4"/>
  <c r="J1001" i="4"/>
  <c r="I965" i="4"/>
  <c r="I1089" i="4"/>
  <c r="AA1066" i="4"/>
  <c r="I1012" i="4"/>
  <c r="J1087" i="4"/>
  <c r="J1049" i="4"/>
  <c r="W1022" i="4"/>
  <c r="I1085" i="4"/>
  <c r="I1065" i="4"/>
  <c r="J1090" i="4"/>
  <c r="I1021" i="4"/>
  <c r="I1034" i="4"/>
  <c r="I1016" i="4"/>
  <c r="J1059" i="4"/>
  <c r="I1050" i="4"/>
  <c r="J983" i="4"/>
  <c r="J1021" i="4"/>
  <c r="X1038" i="4"/>
  <c r="X999" i="4"/>
  <c r="J1040" i="4"/>
  <c r="I1036" i="4"/>
  <c r="J1030" i="4"/>
  <c r="J977" i="4"/>
  <c r="I1049" i="4"/>
  <c r="I1112" i="4"/>
  <c r="I1087" i="4"/>
  <c r="I1094" i="4"/>
  <c r="I1054" i="4"/>
  <c r="I1077" i="4"/>
  <c r="I1105" i="4"/>
  <c r="J1088" i="4"/>
  <c r="I1017" i="4"/>
  <c r="W1090" i="4"/>
  <c r="W1025" i="4"/>
  <c r="J1102" i="4"/>
  <c r="X1103" i="4"/>
  <c r="J1067" i="4"/>
  <c r="J1052" i="4"/>
  <c r="J1089" i="4"/>
  <c r="J1013" i="4"/>
  <c r="J1036" i="4"/>
  <c r="I1023" i="4"/>
  <c r="I1091" i="4"/>
  <c r="J1016" i="4"/>
  <c r="J1047" i="4"/>
  <c r="I990" i="4"/>
  <c r="I976" i="4"/>
  <c r="J963" i="4"/>
  <c r="I986" i="4"/>
  <c r="J989" i="4"/>
  <c r="I1052" i="4"/>
  <c r="I1082" i="4"/>
  <c r="J1023" i="4"/>
  <c r="I997" i="4"/>
  <c r="X1100" i="4"/>
  <c r="J1112" i="4"/>
  <c r="I975" i="4"/>
  <c r="I981" i="4"/>
  <c r="J964" i="4"/>
  <c r="J1074" i="4"/>
  <c r="I1010" i="4"/>
  <c r="I977" i="4"/>
  <c r="J987" i="4"/>
  <c r="J1101" i="4"/>
  <c r="J1024" i="4"/>
  <c r="J979" i="4"/>
  <c r="I1095" i="4"/>
  <c r="I1106" i="4"/>
  <c r="I1022" i="4"/>
  <c r="J969" i="4"/>
  <c r="J980" i="4"/>
  <c r="K980" i="4" s="1"/>
  <c r="I1084" i="4"/>
  <c r="J1037" i="4"/>
  <c r="J1009" i="4"/>
  <c r="X1051" i="4"/>
  <c r="I1044" i="4"/>
  <c r="J1022" i="4"/>
  <c r="J1050" i="4"/>
  <c r="J992" i="4"/>
  <c r="J1032" i="4"/>
  <c r="J1096" i="4"/>
  <c r="J1066" i="4"/>
  <c r="J1085" i="4"/>
  <c r="I1099" i="4"/>
  <c r="I1028" i="4"/>
  <c r="J1027" i="4"/>
  <c r="I1109" i="4"/>
  <c r="W983" i="4"/>
  <c r="J1057" i="4"/>
  <c r="X983" i="4"/>
  <c r="I1032" i="4"/>
  <c r="I1075" i="4"/>
  <c r="J999" i="4"/>
  <c r="I1097" i="4"/>
  <c r="W1064" i="4"/>
  <c r="J984" i="4"/>
  <c r="J1091" i="4"/>
  <c r="W1051" i="4"/>
  <c r="J961" i="4"/>
  <c r="J1020" i="4"/>
  <c r="J1106" i="4"/>
  <c r="I1076" i="4"/>
  <c r="X1087" i="4"/>
  <c r="I1108" i="4"/>
  <c r="I1064" i="4"/>
  <c r="J1099" i="4"/>
  <c r="I1104" i="4"/>
  <c r="J973" i="4"/>
  <c r="I1038" i="4"/>
  <c r="X1009" i="4"/>
  <c r="J1006" i="4"/>
  <c r="W1074" i="4"/>
  <c r="J1105" i="4"/>
  <c r="I1015" i="4"/>
  <c r="I1069" i="4"/>
  <c r="I1107" i="4"/>
  <c r="J960" i="4"/>
  <c r="J1097" i="4"/>
  <c r="J966" i="4"/>
  <c r="I1045" i="4"/>
  <c r="J1029" i="4"/>
  <c r="W1012" i="4"/>
  <c r="J1086" i="4"/>
  <c r="I30" i="11"/>
  <c r="J1003" i="4"/>
  <c r="J1076" i="4"/>
  <c r="W999" i="4"/>
  <c r="W986" i="4"/>
  <c r="I996" i="4"/>
  <c r="J994" i="4"/>
  <c r="J1060" i="4"/>
  <c r="J971" i="4"/>
  <c r="K971" i="4" s="1"/>
  <c r="W973" i="4"/>
  <c r="J1071" i="4"/>
  <c r="J988" i="4"/>
  <c r="J1111" i="4"/>
  <c r="I1066" i="4"/>
  <c r="X1035" i="4"/>
  <c r="I973" i="4"/>
  <c r="I1046" i="4"/>
  <c r="I1039" i="4"/>
  <c r="I991" i="4"/>
  <c r="I1014" i="4"/>
  <c r="I1025" i="4"/>
  <c r="I1071" i="4"/>
  <c r="I983" i="4"/>
  <c r="J1004" i="4"/>
  <c r="I1060" i="4"/>
  <c r="I1080" i="4"/>
  <c r="I1005" i="4"/>
  <c r="I1031" i="4"/>
  <c r="I995" i="4"/>
  <c r="W1103" i="4"/>
  <c r="J985" i="4"/>
  <c r="X1012" i="4"/>
  <c r="I966" i="4"/>
  <c r="J1061" i="4"/>
  <c r="W996" i="4"/>
  <c r="J997" i="4"/>
  <c r="J976" i="4"/>
  <c r="I1058" i="4"/>
  <c r="W1113" i="4"/>
  <c r="I982" i="4"/>
  <c r="I1007" i="4"/>
  <c r="I1019" i="4"/>
  <c r="I1102" i="4"/>
  <c r="I994" i="4"/>
  <c r="J959" i="4"/>
  <c r="J978" i="4"/>
  <c r="I974" i="4"/>
  <c r="J1044" i="4"/>
  <c r="J1042" i="4"/>
  <c r="I1074" i="4"/>
  <c r="J965" i="4"/>
  <c r="I1111" i="4"/>
  <c r="I979" i="4"/>
  <c r="X1061" i="4"/>
  <c r="J996" i="4"/>
  <c r="I987" i="4"/>
  <c r="W1087" i="4"/>
  <c r="I959" i="4"/>
  <c r="J1048" i="4"/>
  <c r="J1065" i="4"/>
  <c r="J1053" i="4"/>
  <c r="AA1004" i="4"/>
  <c r="I1068" i="4"/>
  <c r="J974" i="4"/>
  <c r="X986" i="4"/>
  <c r="I1030" i="4"/>
  <c r="I1033" i="4"/>
  <c r="AA1015" i="4"/>
  <c r="J970" i="4"/>
  <c r="J962" i="4"/>
  <c r="J958" i="4"/>
  <c r="I1063" i="4"/>
  <c r="I1009" i="4"/>
  <c r="I968" i="4"/>
  <c r="J1000" i="4"/>
  <c r="I1004" i="4"/>
  <c r="I967" i="4"/>
  <c r="J981" i="4"/>
  <c r="I1000" i="4"/>
  <c r="J1033" i="4"/>
  <c r="I1081" i="4"/>
  <c r="I1090" i="4"/>
  <c r="I1008" i="4"/>
  <c r="I961" i="4"/>
  <c r="J1098" i="4"/>
  <c r="I970" i="4"/>
  <c r="J982" i="4"/>
  <c r="I1062" i="4"/>
  <c r="W1077" i="4"/>
  <c r="J1056" i="4"/>
  <c r="J1104" i="4"/>
  <c r="I1051" i="4"/>
  <c r="J1038" i="4"/>
  <c r="J1095" i="4"/>
  <c r="J968" i="4"/>
  <c r="I1101" i="4"/>
  <c r="J1100" i="4"/>
  <c r="J1011" i="4"/>
  <c r="J1031" i="4"/>
  <c r="I985" i="4"/>
  <c r="J1051" i="4"/>
  <c r="I1043" i="4"/>
  <c r="I1024" i="4"/>
  <c r="J1018" i="4"/>
  <c r="X960" i="4"/>
  <c r="AA1027" i="4"/>
  <c r="AA1017" i="4"/>
  <c r="J986" i="4"/>
  <c r="J1012" i="4"/>
  <c r="W1035" i="4"/>
  <c r="J1075" i="4"/>
  <c r="J1109" i="4"/>
  <c r="I960" i="4"/>
  <c r="I1013" i="4"/>
  <c r="J1094" i="4"/>
  <c r="J1073" i="4"/>
  <c r="I1092" i="4"/>
  <c r="J995" i="4"/>
  <c r="J1014" i="4"/>
  <c r="I962" i="4"/>
  <c r="J1026" i="4"/>
  <c r="I1078" i="4"/>
  <c r="I1041" i="4"/>
  <c r="J1068" i="4"/>
  <c r="AA972" i="4"/>
  <c r="I964" i="4"/>
  <c r="I1072" i="4"/>
  <c r="AA1085" i="4"/>
  <c r="I1002" i="4"/>
  <c r="I969" i="4"/>
  <c r="F79" i="18"/>
  <c r="AB80" i="18"/>
  <c r="A36" i="6"/>
  <c r="B36" i="6"/>
  <c r="H36" i="14"/>
  <c r="C36" i="6"/>
  <c r="H37" i="6"/>
  <c r="G83" i="1" l="1"/>
  <c r="G81" i="18" s="1"/>
  <c r="W79" i="18"/>
  <c r="U79" i="18"/>
  <c r="A82" i="1"/>
  <c r="B82" i="1"/>
  <c r="K1020" i="4"/>
  <c r="I1121" i="4"/>
  <c r="I1117" i="4"/>
  <c r="J1114" i="4"/>
  <c r="J1119" i="4"/>
  <c r="I1115" i="4"/>
  <c r="I1118" i="4"/>
  <c r="J1116" i="4"/>
  <c r="I1114" i="4"/>
  <c r="J1120" i="4"/>
  <c r="J1118" i="4"/>
  <c r="I1119" i="4"/>
  <c r="J1115" i="4"/>
  <c r="J1117" i="4"/>
  <c r="J1121" i="4"/>
  <c r="AA1119" i="4"/>
  <c r="I1116" i="4"/>
  <c r="I1120" i="4"/>
  <c r="F80" i="18"/>
  <c r="AA81" i="18"/>
  <c r="J36" i="11"/>
  <c r="AA80" i="18"/>
  <c r="L80" i="18"/>
  <c r="Z80" i="18"/>
  <c r="N80" i="18"/>
  <c r="K80" i="18"/>
  <c r="G80" i="18"/>
  <c r="Y80" i="18"/>
  <c r="I80" i="18"/>
  <c r="I36" i="11"/>
  <c r="M80" i="18"/>
  <c r="X80" i="18"/>
  <c r="K1091" i="4"/>
  <c r="K1026" i="4"/>
  <c r="K1014" i="4"/>
  <c r="AA1038" i="4"/>
  <c r="K1053" i="4"/>
  <c r="K1001" i="4"/>
  <c r="AA1104" i="4"/>
  <c r="K1073" i="4"/>
  <c r="AA1079" i="4"/>
  <c r="K1003" i="4"/>
  <c r="AA1070" i="4"/>
  <c r="K965" i="4"/>
  <c r="AA987" i="4"/>
  <c r="AA1031" i="4"/>
  <c r="AA1044" i="4"/>
  <c r="K1067" i="4"/>
  <c r="AA1037" i="4"/>
  <c r="K1096" i="4"/>
  <c r="AA1086" i="4"/>
  <c r="K1105" i="4"/>
  <c r="K1051" i="4"/>
  <c r="AA988" i="4"/>
  <c r="K988" i="4"/>
  <c r="K1055" i="4"/>
  <c r="AA982" i="4"/>
  <c r="AA983" i="4"/>
  <c r="AA1105" i="4"/>
  <c r="K964" i="4"/>
  <c r="AA1060" i="4"/>
  <c r="AA1092" i="4"/>
  <c r="AA960" i="4"/>
  <c r="AA1097" i="4"/>
  <c r="AA994" i="4"/>
  <c r="K960" i="4"/>
  <c r="AA1051" i="4"/>
  <c r="K979" i="4"/>
  <c r="AA1036" i="4"/>
  <c r="AA1078" i="4"/>
  <c r="AA1074" i="4"/>
  <c r="AA1032" i="4"/>
  <c r="AA971" i="4"/>
  <c r="K30" i="11"/>
  <c r="K1113" i="4"/>
  <c r="AA1047" i="4"/>
  <c r="AA1061" i="4"/>
  <c r="AA1049" i="4"/>
  <c r="K1098" i="4"/>
  <c r="K1104" i="4"/>
  <c r="K981" i="4"/>
  <c r="AA1010" i="4"/>
  <c r="AA1042" i="4"/>
  <c r="K1089" i="4"/>
  <c r="AA1048" i="4"/>
  <c r="AA984" i="4"/>
  <c r="AA986" i="4"/>
  <c r="AA1109" i="4"/>
  <c r="AA989" i="4"/>
  <c r="K1006" i="4"/>
  <c r="K1085" i="4"/>
  <c r="AA1100" i="4"/>
  <c r="K977" i="4"/>
  <c r="AA1033" i="4"/>
  <c r="K1082" i="4"/>
  <c r="AA1091" i="4"/>
  <c r="K1076" i="4"/>
  <c r="K1097" i="4"/>
  <c r="AA978" i="4"/>
  <c r="K1066" i="4"/>
  <c r="K1023" i="4"/>
  <c r="AA1008" i="4"/>
  <c r="AA1057" i="4"/>
  <c r="K1057" i="4"/>
  <c r="K1016" i="4"/>
  <c r="AA1005" i="4"/>
  <c r="AA998" i="4"/>
  <c r="AA1102" i="4"/>
  <c r="K1074" i="4"/>
  <c r="AA1099" i="4"/>
  <c r="AA1014" i="4"/>
  <c r="K983" i="4"/>
  <c r="AA1019" i="4"/>
  <c r="K1062" i="4"/>
  <c r="AA1000" i="4"/>
  <c r="AA1113" i="4"/>
  <c r="K1039" i="4"/>
  <c r="K1079" i="4"/>
  <c r="K991" i="4"/>
  <c r="AA1069" i="4"/>
  <c r="AA996" i="4"/>
  <c r="AA1006" i="4"/>
  <c r="K1070" i="4"/>
  <c r="K1041" i="4"/>
  <c r="K1036" i="4"/>
  <c r="K1046" i="4"/>
  <c r="K998" i="4"/>
  <c r="K996" i="4"/>
  <c r="K1068" i="4"/>
  <c r="K1095" i="4"/>
  <c r="K982" i="4"/>
  <c r="K1044" i="4"/>
  <c r="K961" i="4"/>
  <c r="K1037" i="4"/>
  <c r="K1102" i="4"/>
  <c r="AA1058" i="4"/>
  <c r="AA999" i="4"/>
  <c r="AA1011" i="4"/>
  <c r="AA1088" i="4"/>
  <c r="K1007" i="4"/>
  <c r="K1080" i="4"/>
  <c r="AA1030" i="4"/>
  <c r="K1043" i="4"/>
  <c r="AA1041" i="4"/>
  <c r="AA1046" i="4"/>
  <c r="K1110" i="4"/>
  <c r="K1031" i="4"/>
  <c r="K1038" i="4"/>
  <c r="K985" i="4"/>
  <c r="K1004" i="4"/>
  <c r="K999" i="4"/>
  <c r="K1109" i="4"/>
  <c r="K989" i="4"/>
  <c r="AA1081" i="4"/>
  <c r="K1072" i="4"/>
  <c r="K1063" i="4"/>
  <c r="AA1089" i="4"/>
  <c r="AA1106" i="4"/>
  <c r="K1010" i="4"/>
  <c r="K1075" i="4"/>
  <c r="K974" i="4"/>
  <c r="K1061" i="4"/>
  <c r="K966" i="4"/>
  <c r="AA1009" i="4"/>
  <c r="AA977" i="4"/>
  <c r="K1049" i="4"/>
  <c r="AA1053" i="4"/>
  <c r="AA1024" i="4"/>
  <c r="AA1068" i="4"/>
  <c r="K1108" i="4"/>
  <c r="AA1054" i="4"/>
  <c r="K1084" i="4"/>
  <c r="AA1040" i="4"/>
  <c r="AD1062" i="4"/>
  <c r="AI1062" i="4" s="1"/>
  <c r="AC1062" i="4"/>
  <c r="AB1062" i="4"/>
  <c r="AD1028" i="4"/>
  <c r="AI1028" i="4" s="1"/>
  <c r="AC1028" i="4"/>
  <c r="AB1028" i="4"/>
  <c r="AD985" i="4"/>
  <c r="AI985" i="4" s="1"/>
  <c r="AB985" i="4"/>
  <c r="AC985" i="4"/>
  <c r="AD1013" i="4"/>
  <c r="AI1013" i="4" s="1"/>
  <c r="AC1013" i="4"/>
  <c r="AB1013" i="4"/>
  <c r="AD1052" i="4"/>
  <c r="AI1052" i="4" s="1"/>
  <c r="AB1052" i="4"/>
  <c r="AC1052" i="4"/>
  <c r="AD1113" i="4"/>
  <c r="AI1113" i="4" s="1"/>
  <c r="AC1113" i="4"/>
  <c r="AB1113" i="4"/>
  <c r="AA1035" i="4"/>
  <c r="AB973" i="4"/>
  <c r="AC973" i="4"/>
  <c r="AD973" i="4"/>
  <c r="AI973" i="4" s="1"/>
  <c r="K973" i="4"/>
  <c r="K969" i="4"/>
  <c r="AA990" i="4"/>
  <c r="AD1066" i="4"/>
  <c r="AI1066" i="4" s="1"/>
  <c r="AB1066" i="4"/>
  <c r="AC1066" i="4"/>
  <c r="AD1095" i="4"/>
  <c r="AI1095" i="4" s="1"/>
  <c r="AC1095" i="4"/>
  <c r="AB1095" i="4"/>
  <c r="AC980" i="4"/>
  <c r="AB980" i="4"/>
  <c r="AD980" i="4"/>
  <c r="AI980" i="4" s="1"/>
  <c r="K995" i="4"/>
  <c r="K1094" i="4"/>
  <c r="K1012" i="4"/>
  <c r="AA1013" i="4"/>
  <c r="K968" i="4"/>
  <c r="AD1030" i="4"/>
  <c r="AI1030" i="4" s="1"/>
  <c r="AB1030" i="4"/>
  <c r="AC1030" i="4"/>
  <c r="AD1106" i="4"/>
  <c r="AI1106" i="4" s="1"/>
  <c r="AB1106" i="4"/>
  <c r="AC1106" i="4"/>
  <c r="K1042" i="4"/>
  <c r="AA976" i="4"/>
  <c r="AD1049" i="4"/>
  <c r="AI1049" i="4" s="1"/>
  <c r="AC1049" i="4"/>
  <c r="AB1049" i="4"/>
  <c r="AA1073" i="4"/>
  <c r="AA1056" i="4"/>
  <c r="AD1019" i="4"/>
  <c r="AI1019" i="4" s="1"/>
  <c r="AB1019" i="4"/>
  <c r="AC1019" i="4"/>
  <c r="AA1021" i="4"/>
  <c r="AD1074" i="4"/>
  <c r="AI1074" i="4" s="1"/>
  <c r="AB1074" i="4"/>
  <c r="AC1074" i="4"/>
  <c r="AD1091" i="4"/>
  <c r="AI1091" i="4" s="1"/>
  <c r="AB1091" i="4"/>
  <c r="AC1091" i="4"/>
  <c r="AD979" i="4"/>
  <c r="AI979" i="4" s="1"/>
  <c r="AB979" i="4"/>
  <c r="AC979" i="4"/>
  <c r="K1027" i="4"/>
  <c r="K1032" i="4"/>
  <c r="K1009" i="4"/>
  <c r="AD992" i="4"/>
  <c r="AI992" i="4" s="1"/>
  <c r="AB992" i="4"/>
  <c r="AC992" i="4"/>
  <c r="K1024" i="4"/>
  <c r="K1047" i="4"/>
  <c r="K1013" i="4"/>
  <c r="AA1103" i="4"/>
  <c r="K1088" i="4"/>
  <c r="AA1028" i="4"/>
  <c r="K1040" i="4"/>
  <c r="K1059" i="4"/>
  <c r="K1090" i="4"/>
  <c r="AD1002" i="4"/>
  <c r="AI1002" i="4" s="1"/>
  <c r="AB1002" i="4"/>
  <c r="AC1002" i="4"/>
  <c r="AA1101" i="4"/>
  <c r="AD1033" i="4"/>
  <c r="AI1033" i="4" s="1"/>
  <c r="AC1033" i="4"/>
  <c r="AB1033" i="4"/>
  <c r="K1058" i="4"/>
  <c r="AA1002" i="4"/>
  <c r="AA1090" i="4"/>
  <c r="AD1061" i="4"/>
  <c r="AI1061" i="4" s="1"/>
  <c r="AB1061" i="4"/>
  <c r="AC1061" i="4"/>
  <c r="K1019" i="4"/>
  <c r="AD1047" i="4"/>
  <c r="AI1047" i="4" s="1"/>
  <c r="AC1047" i="4"/>
  <c r="AB1047" i="4"/>
  <c r="AA1112" i="4"/>
  <c r="AA1094" i="4"/>
  <c r="AD1010" i="4"/>
  <c r="AI1010" i="4" s="1"/>
  <c r="AC1010" i="4"/>
  <c r="AB1010" i="4"/>
  <c r="AA1001" i="4"/>
  <c r="K1005" i="4"/>
  <c r="AA1075" i="4"/>
  <c r="AD988" i="4"/>
  <c r="AI988" i="4" s="1"/>
  <c r="AB988" i="4"/>
  <c r="AC988" i="4"/>
  <c r="AA1093" i="4"/>
  <c r="K1002" i="4"/>
  <c r="AA992" i="4"/>
  <c r="K1078" i="4"/>
  <c r="AD1097" i="4"/>
  <c r="AI1097" i="4" s="1"/>
  <c r="AB1097" i="4"/>
  <c r="AC1097" i="4"/>
  <c r="AA1025" i="4"/>
  <c r="AB960" i="4"/>
  <c r="AD960" i="4"/>
  <c r="AI960" i="4" s="1"/>
  <c r="AC960" i="4"/>
  <c r="AD1080" i="4"/>
  <c r="AI1080" i="4" s="1"/>
  <c r="AB1080" i="4"/>
  <c r="AC1080" i="4"/>
  <c r="AD972" i="4"/>
  <c r="AI972" i="4" s="1"/>
  <c r="AC972" i="4"/>
  <c r="AB972" i="4"/>
  <c r="AD1098" i="4"/>
  <c r="AI1098" i="4" s="1"/>
  <c r="AB1098" i="4"/>
  <c r="AC1098" i="4"/>
  <c r="AD993" i="4"/>
  <c r="AI993" i="4" s="1"/>
  <c r="AB993" i="4"/>
  <c r="AC993" i="4"/>
  <c r="AD1075" i="4"/>
  <c r="AI1075" i="4" s="1"/>
  <c r="AC1075" i="4"/>
  <c r="AB1075" i="4"/>
  <c r="AD1018" i="4"/>
  <c r="AI1018" i="4" s="1"/>
  <c r="AC1018" i="4"/>
  <c r="AB1018" i="4"/>
  <c r="AD1063" i="4"/>
  <c r="AI1063" i="4" s="1"/>
  <c r="AC1063" i="4"/>
  <c r="AB1063" i="4"/>
  <c r="AD1006" i="4"/>
  <c r="AI1006" i="4" s="1"/>
  <c r="AC1006" i="4"/>
  <c r="AB1006" i="4"/>
  <c r="K962" i="4"/>
  <c r="AD997" i="4"/>
  <c r="AI997" i="4" s="1"/>
  <c r="AB997" i="4"/>
  <c r="AC997" i="4"/>
  <c r="AA997" i="4"/>
  <c r="AD1012" i="4"/>
  <c r="AI1012" i="4" s="1"/>
  <c r="AC1012" i="4"/>
  <c r="AB1012" i="4"/>
  <c r="AD1004" i="4"/>
  <c r="AI1004" i="4" s="1"/>
  <c r="AB1004" i="4"/>
  <c r="AC1004" i="4"/>
  <c r="AD1026" i="4"/>
  <c r="AI1026" i="4" s="1"/>
  <c r="AB1026" i="4"/>
  <c r="AC1026" i="4"/>
  <c r="AD1000" i="4"/>
  <c r="AI1000" i="4" s="1"/>
  <c r="AC1000" i="4"/>
  <c r="AB1000" i="4"/>
  <c r="AD1076" i="4"/>
  <c r="AI1076" i="4" s="1"/>
  <c r="AC1076" i="4"/>
  <c r="AB1076" i="4"/>
  <c r="AD1003" i="4"/>
  <c r="AI1003" i="4" s="1"/>
  <c r="AB1003" i="4"/>
  <c r="AC1003" i="4"/>
  <c r="AD1039" i="4"/>
  <c r="AI1039" i="4" s="1"/>
  <c r="AC1039" i="4"/>
  <c r="AB1039" i="4"/>
  <c r="AD1059" i="4"/>
  <c r="AI1059" i="4" s="1"/>
  <c r="AB1059" i="4"/>
  <c r="AC1059" i="4"/>
  <c r="AD1111" i="4"/>
  <c r="AI1111" i="4" s="1"/>
  <c r="AC1111" i="4"/>
  <c r="AB1111" i="4"/>
  <c r="K976" i="4"/>
  <c r="AD971" i="4"/>
  <c r="AI971" i="4" s="1"/>
  <c r="AC971" i="4"/>
  <c r="AB971" i="4"/>
  <c r="AD1065" i="4"/>
  <c r="AI1065" i="4" s="1"/>
  <c r="AC1065" i="4"/>
  <c r="AB1065" i="4"/>
  <c r="K1029" i="4"/>
  <c r="AD1060" i="4"/>
  <c r="AI1060" i="4" s="1"/>
  <c r="AB1060" i="4"/>
  <c r="AC1060" i="4"/>
  <c r="AA1087" i="4"/>
  <c r="AD1086" i="4"/>
  <c r="AI1086" i="4" s="1"/>
  <c r="AC1086" i="4"/>
  <c r="AB1086" i="4"/>
  <c r="K1101" i="4"/>
  <c r="AA1003" i="4"/>
  <c r="AA974" i="4"/>
  <c r="AD995" i="4"/>
  <c r="AI995" i="4" s="1"/>
  <c r="AC995" i="4"/>
  <c r="AB995" i="4"/>
  <c r="AD1037" i="4"/>
  <c r="AI1037" i="4" s="1"/>
  <c r="AC1037" i="4"/>
  <c r="AB1037" i="4"/>
  <c r="K1017" i="4"/>
  <c r="AD1108" i="4"/>
  <c r="AI1108" i="4" s="1"/>
  <c r="AB1108" i="4"/>
  <c r="AC1108" i="4"/>
  <c r="AD1085" i="4"/>
  <c r="AI1085" i="4" s="1"/>
  <c r="AC1085" i="4"/>
  <c r="AB1085" i="4"/>
  <c r="K1025" i="4"/>
  <c r="AD1044" i="4"/>
  <c r="AI1044" i="4" s="1"/>
  <c r="AB1044" i="4"/>
  <c r="AC1044" i="4"/>
  <c r="AD1094" i="4"/>
  <c r="AI1094" i="4" s="1"/>
  <c r="AC1094" i="4"/>
  <c r="AB1094" i="4"/>
  <c r="R79" i="18"/>
  <c r="O79" i="18"/>
  <c r="AA985" i="4"/>
  <c r="K986" i="4"/>
  <c r="K1018" i="4"/>
  <c r="K1033" i="4"/>
  <c r="K1000" i="4"/>
  <c r="K970" i="4"/>
  <c r="AA1026" i="4"/>
  <c r="K1065" i="4"/>
  <c r="K997" i="4"/>
  <c r="AD994" i="4"/>
  <c r="AI994" i="4" s="1"/>
  <c r="AB994" i="4"/>
  <c r="AC994" i="4"/>
  <c r="AD1032" i="4"/>
  <c r="AI1032" i="4" s="1"/>
  <c r="AB1032" i="4"/>
  <c r="AC1032" i="4"/>
  <c r="AD986" i="4"/>
  <c r="AI986" i="4" s="1"/>
  <c r="AB986" i="4"/>
  <c r="AC986" i="4"/>
  <c r="K1086" i="4"/>
  <c r="AD989" i="4"/>
  <c r="AI989" i="4" s="1"/>
  <c r="AB989" i="4"/>
  <c r="AC989" i="4"/>
  <c r="AA1023" i="4"/>
  <c r="AD1096" i="4"/>
  <c r="AI1096" i="4" s="1"/>
  <c r="AB1096" i="4"/>
  <c r="AC1096" i="4"/>
  <c r="AD1011" i="4"/>
  <c r="AI1011" i="4" s="1"/>
  <c r="AB1011" i="4"/>
  <c r="AC1011" i="4"/>
  <c r="AD1051" i="4"/>
  <c r="AI1051" i="4" s="1"/>
  <c r="AC1051" i="4"/>
  <c r="AB1051" i="4"/>
  <c r="AA1111" i="4"/>
  <c r="K992" i="4"/>
  <c r="AD1024" i="4"/>
  <c r="AI1024" i="4" s="1"/>
  <c r="AB1024" i="4"/>
  <c r="AC1024" i="4"/>
  <c r="K987" i="4"/>
  <c r="AA1082" i="4"/>
  <c r="AD1068" i="4"/>
  <c r="AI1068" i="4" s="1"/>
  <c r="AB1068" i="4"/>
  <c r="AC1068" i="4"/>
  <c r="AD1053" i="4"/>
  <c r="AI1053" i="4" s="1"/>
  <c r="AC1053" i="4"/>
  <c r="AB1053" i="4"/>
  <c r="AD1042" i="4"/>
  <c r="AI1042" i="4" s="1"/>
  <c r="AB1042" i="4"/>
  <c r="AC1042" i="4"/>
  <c r="AD982" i="4"/>
  <c r="AI982" i="4" s="1"/>
  <c r="AB982" i="4"/>
  <c r="AC982" i="4"/>
  <c r="AA1065" i="4"/>
  <c r="AA1016" i="4"/>
  <c r="AA1077" i="4"/>
  <c r="K975" i="4"/>
  <c r="K1092" i="4"/>
  <c r="AA1022" i="4"/>
  <c r="AD1008" i="4"/>
  <c r="AI1008" i="4" s="1"/>
  <c r="AC1008" i="4"/>
  <c r="AB1008" i="4"/>
  <c r="AA979" i="4"/>
  <c r="K1077" i="4"/>
  <c r="AD1100" i="4"/>
  <c r="AI1100" i="4" s="1"/>
  <c r="AC1100" i="4"/>
  <c r="AB1100" i="4"/>
  <c r="AA1039" i="4"/>
  <c r="K1008" i="4"/>
  <c r="K1093" i="4"/>
  <c r="AA1084" i="4"/>
  <c r="AD1040" i="4"/>
  <c r="AI1040" i="4" s="1"/>
  <c r="AC1040" i="4"/>
  <c r="AB1040" i="4"/>
  <c r="AD1048" i="4"/>
  <c r="AI1048" i="4" s="1"/>
  <c r="AC1048" i="4"/>
  <c r="AB1048" i="4"/>
  <c r="AA970" i="4"/>
  <c r="AD1078" i="4"/>
  <c r="AI1078" i="4" s="1"/>
  <c r="AB1078" i="4"/>
  <c r="AC1078" i="4"/>
  <c r="AA1083" i="4"/>
  <c r="AD1093" i="4"/>
  <c r="AI1093" i="4" s="1"/>
  <c r="AB1093" i="4"/>
  <c r="AC1093" i="4"/>
  <c r="AD1035" i="4"/>
  <c r="AI1035" i="4" s="1"/>
  <c r="AC1035" i="4"/>
  <c r="AB1035" i="4"/>
  <c r="AD1073" i="4"/>
  <c r="AI1073" i="4" s="1"/>
  <c r="AB1073" i="4"/>
  <c r="AC1073" i="4"/>
  <c r="AB974" i="4"/>
  <c r="AC974" i="4"/>
  <c r="AD974" i="4"/>
  <c r="AI974" i="4" s="1"/>
  <c r="AD1055" i="4"/>
  <c r="AI1055" i="4" s="1"/>
  <c r="AB1055" i="4"/>
  <c r="AC1055" i="4"/>
  <c r="AD991" i="4"/>
  <c r="AI991" i="4" s="1"/>
  <c r="AB991" i="4"/>
  <c r="AC991" i="4"/>
  <c r="AA1080" i="4"/>
  <c r="AD1007" i="4"/>
  <c r="AI1007" i="4" s="1"/>
  <c r="AB1007" i="4"/>
  <c r="AC1007" i="4"/>
  <c r="AD1077" i="4"/>
  <c r="AI1077" i="4" s="1"/>
  <c r="AC1077" i="4"/>
  <c r="AB1077" i="4"/>
  <c r="AD1112" i="4"/>
  <c r="AI1112" i="4" s="1"/>
  <c r="AC1112" i="4"/>
  <c r="AB1112" i="4"/>
  <c r="AD1034" i="4"/>
  <c r="AI1034" i="4" s="1"/>
  <c r="AC1034" i="4"/>
  <c r="AB1034" i="4"/>
  <c r="AD1099" i="4"/>
  <c r="AI1099" i="4" s="1"/>
  <c r="AB1099" i="4"/>
  <c r="AC1099" i="4"/>
  <c r="AA1012" i="4"/>
  <c r="AD981" i="4"/>
  <c r="AI981" i="4" s="1"/>
  <c r="AC981" i="4"/>
  <c r="AB981" i="4"/>
  <c r="AD976" i="4"/>
  <c r="AI976" i="4" s="1"/>
  <c r="AC976" i="4"/>
  <c r="AB976" i="4"/>
  <c r="K1069" i="4"/>
  <c r="AD1023" i="4"/>
  <c r="AI1023" i="4" s="1"/>
  <c r="AC1023" i="4"/>
  <c r="AB1023" i="4"/>
  <c r="AD1072" i="4"/>
  <c r="AI1072" i="4" s="1"/>
  <c r="AC1072" i="4"/>
  <c r="AB1072" i="4"/>
  <c r="AD1001" i="4"/>
  <c r="AI1001" i="4" s="1"/>
  <c r="AB1001" i="4"/>
  <c r="AC1001" i="4"/>
  <c r="AD1020" i="4"/>
  <c r="AI1020" i="4" s="1"/>
  <c r="AC1020" i="4"/>
  <c r="AB1020" i="4"/>
  <c r="AD1058" i="4"/>
  <c r="AI1058" i="4" s="1"/>
  <c r="AB1058" i="4"/>
  <c r="AC1058" i="4"/>
  <c r="K1048" i="4"/>
  <c r="K978" i="4"/>
  <c r="AD996" i="4"/>
  <c r="AI996" i="4" s="1"/>
  <c r="AC996" i="4"/>
  <c r="AB996" i="4"/>
  <c r="AD1103" i="4"/>
  <c r="AI1103" i="4" s="1"/>
  <c r="AC1103" i="4"/>
  <c r="AB1103" i="4"/>
  <c r="AD1046" i="4"/>
  <c r="AI1046" i="4" s="1"/>
  <c r="AC1046" i="4"/>
  <c r="AB1046" i="4"/>
  <c r="K1060" i="4"/>
  <c r="AD1016" i="4"/>
  <c r="AI1016" i="4" s="1"/>
  <c r="AB1016" i="4"/>
  <c r="AC1016" i="4"/>
  <c r="AA1095" i="4"/>
  <c r="AD1104" i="4"/>
  <c r="AI1104" i="4" s="1"/>
  <c r="AC1104" i="4"/>
  <c r="AB1104" i="4"/>
  <c r="AD1101" i="4"/>
  <c r="AI1101" i="4" s="1"/>
  <c r="AC1101" i="4"/>
  <c r="AB1101" i="4"/>
  <c r="AD1070" i="4"/>
  <c r="AI1070" i="4" s="1"/>
  <c r="AC1070" i="4"/>
  <c r="AB1070" i="4"/>
  <c r="AA991" i="4"/>
  <c r="K1050" i="4"/>
  <c r="AD1092" i="4"/>
  <c r="AI1092" i="4" s="1"/>
  <c r="AC1092" i="4"/>
  <c r="AB1092" i="4"/>
  <c r="AA1020" i="4"/>
  <c r="AA1052" i="4"/>
  <c r="AD1025" i="4"/>
  <c r="AI1025" i="4" s="1"/>
  <c r="AC1025" i="4"/>
  <c r="AB1025" i="4"/>
  <c r="AD1045" i="4"/>
  <c r="AI1045" i="4" s="1"/>
  <c r="AC1045" i="4"/>
  <c r="AB1045" i="4"/>
  <c r="AD1022" i="4"/>
  <c r="AI1022" i="4" s="1"/>
  <c r="AC1022" i="4"/>
  <c r="AB1022" i="4"/>
  <c r="K958" i="4"/>
  <c r="K1028" i="4"/>
  <c r="AD1014" i="4"/>
  <c r="AI1014" i="4" s="1"/>
  <c r="AC1014" i="4"/>
  <c r="AB1014" i="4"/>
  <c r="AA1045" i="4"/>
  <c r="AD1031" i="4"/>
  <c r="AI1031" i="4" s="1"/>
  <c r="AC1031" i="4"/>
  <c r="AB1031" i="4"/>
  <c r="AD1017" i="4"/>
  <c r="AI1017" i="4" s="1"/>
  <c r="AB1017" i="4"/>
  <c r="AC1017" i="4"/>
  <c r="AD987" i="4"/>
  <c r="AI987" i="4" s="1"/>
  <c r="AC987" i="4"/>
  <c r="AB987" i="4"/>
  <c r="AD1038" i="4"/>
  <c r="AI1038" i="4" s="1"/>
  <c r="AB1038" i="4"/>
  <c r="AC1038" i="4"/>
  <c r="AD1041" i="4"/>
  <c r="AI1041" i="4" s="1"/>
  <c r="AC1041" i="4"/>
  <c r="AB1041" i="4"/>
  <c r="AD1071" i="4"/>
  <c r="AI1071" i="4" s="1"/>
  <c r="AC1071" i="4"/>
  <c r="AB1071" i="4"/>
  <c r="AD1079" i="4"/>
  <c r="AI1079" i="4" s="1"/>
  <c r="AB1079" i="4"/>
  <c r="AC1079" i="4"/>
  <c r="K1034" i="4"/>
  <c r="AD975" i="4"/>
  <c r="AI975" i="4" s="1"/>
  <c r="AB975" i="4"/>
  <c r="AC975" i="4"/>
  <c r="AA1029" i="4"/>
  <c r="AD1109" i="4"/>
  <c r="AI1109" i="4" s="1"/>
  <c r="AC1109" i="4"/>
  <c r="AB1109" i="4"/>
  <c r="AD1036" i="4"/>
  <c r="AI1036" i="4" s="1"/>
  <c r="AB1036" i="4"/>
  <c r="AC1036" i="4"/>
  <c r="K1011" i="4"/>
  <c r="AD1088" i="4"/>
  <c r="AI1088" i="4" s="1"/>
  <c r="AB1088" i="4"/>
  <c r="AC1088" i="4"/>
  <c r="K1111" i="4"/>
  <c r="AA981" i="4"/>
  <c r="AD1089" i="4"/>
  <c r="AI1089" i="4" s="1"/>
  <c r="AB1089" i="4"/>
  <c r="AC1089" i="4"/>
  <c r="AD1056" i="4"/>
  <c r="AI1056" i="4" s="1"/>
  <c r="AC1056" i="4"/>
  <c r="AB1056" i="4"/>
  <c r="K994" i="4"/>
  <c r="AD999" i="4"/>
  <c r="AI999" i="4" s="1"/>
  <c r="AB999" i="4"/>
  <c r="AC999" i="4"/>
  <c r="AD1069" i="4"/>
  <c r="AI1069" i="4" s="1"/>
  <c r="AC1069" i="4"/>
  <c r="AB1069" i="4"/>
  <c r="AA1067" i="4"/>
  <c r="AD1057" i="4"/>
  <c r="AI1057" i="4" s="1"/>
  <c r="AC1057" i="4"/>
  <c r="AB1057" i="4"/>
  <c r="K984" i="4"/>
  <c r="AD984" i="4"/>
  <c r="AI984" i="4" s="1"/>
  <c r="AB984" i="4"/>
  <c r="AC984" i="4"/>
  <c r="AD983" i="4"/>
  <c r="AI983" i="4" s="1"/>
  <c r="AB983" i="4"/>
  <c r="AC983" i="4"/>
  <c r="K1022" i="4"/>
  <c r="AD1107" i="4"/>
  <c r="AI1107" i="4" s="1"/>
  <c r="AB1107" i="4"/>
  <c r="AC1107" i="4"/>
  <c r="AD1105" i="4"/>
  <c r="AI1105" i="4" s="1"/>
  <c r="AC1105" i="4"/>
  <c r="AB1105" i="4"/>
  <c r="AD1027" i="4"/>
  <c r="AI1027" i="4" s="1"/>
  <c r="AC1027" i="4"/>
  <c r="AB1027" i="4"/>
  <c r="K1030" i="4"/>
  <c r="AD1015" i="4"/>
  <c r="AI1015" i="4" s="1"/>
  <c r="AC1015" i="4"/>
  <c r="AB1015" i="4"/>
  <c r="AA1055" i="4"/>
  <c r="K1103" i="4"/>
  <c r="AA1108" i="4"/>
  <c r="AA1107" i="4"/>
  <c r="K1081" i="4"/>
  <c r="AA975" i="4"/>
  <c r="AA995" i="4"/>
  <c r="K972" i="4"/>
  <c r="AD978" i="4"/>
  <c r="AI978" i="4" s="1"/>
  <c r="AB978" i="4"/>
  <c r="AC978" i="4"/>
  <c r="AA993" i="4"/>
  <c r="K990" i="4"/>
  <c r="AD1005" i="4"/>
  <c r="AI1005" i="4" s="1"/>
  <c r="AC1005" i="4"/>
  <c r="AB1005" i="4"/>
  <c r="AD1021" i="4"/>
  <c r="AI1021" i="4" s="1"/>
  <c r="AB1021" i="4"/>
  <c r="AC1021" i="4"/>
  <c r="AD1110" i="4"/>
  <c r="AI1110" i="4" s="1"/>
  <c r="AC1110" i="4"/>
  <c r="AB1110" i="4"/>
  <c r="AA1076" i="4"/>
  <c r="AD1043" i="4"/>
  <c r="AI1043" i="4" s="1"/>
  <c r="AC1043" i="4"/>
  <c r="AB1043" i="4"/>
  <c r="AD1081" i="4"/>
  <c r="AI1081" i="4" s="1"/>
  <c r="AB1081" i="4"/>
  <c r="AC1081" i="4"/>
  <c r="AA1096" i="4"/>
  <c r="K1100" i="4"/>
  <c r="K1056" i="4"/>
  <c r="AD1083" i="4"/>
  <c r="AI1083" i="4" s="1"/>
  <c r="AC1083" i="4"/>
  <c r="AB1083" i="4"/>
  <c r="AD1054" i="4"/>
  <c r="AI1054" i="4" s="1"/>
  <c r="AC1054" i="4"/>
  <c r="AB1054" i="4"/>
  <c r="AA1063" i="4"/>
  <c r="AD998" i="4"/>
  <c r="AI998" i="4" s="1"/>
  <c r="AC998" i="4"/>
  <c r="AB998" i="4"/>
  <c r="K959" i="4"/>
  <c r="K1071" i="4"/>
  <c r="AD1084" i="4"/>
  <c r="AI1084" i="4" s="1"/>
  <c r="AC1084" i="4"/>
  <c r="AB1084" i="4"/>
  <c r="AA1072" i="4"/>
  <c r="AA1034" i="4"/>
  <c r="K1099" i="4"/>
  <c r="K1106" i="4"/>
  <c r="AD1064" i="4"/>
  <c r="AI1064" i="4" s="1"/>
  <c r="AC1064" i="4"/>
  <c r="AB1064" i="4"/>
  <c r="AD1050" i="4"/>
  <c r="AI1050" i="4" s="1"/>
  <c r="AB1050" i="4"/>
  <c r="AC1050" i="4"/>
  <c r="AA1007" i="4"/>
  <c r="AA1059" i="4"/>
  <c r="K1052" i="4"/>
  <c r="AD1090" i="4"/>
  <c r="AI1090" i="4" s="1"/>
  <c r="AB1090" i="4"/>
  <c r="AC1090" i="4"/>
  <c r="AA1050" i="4"/>
  <c r="K1112" i="4"/>
  <c r="K1021" i="4"/>
  <c r="AA1043" i="4"/>
  <c r="K1087" i="4"/>
  <c r="K967" i="4"/>
  <c r="K963" i="4"/>
  <c r="K1015" i="4"/>
  <c r="K1083" i="4"/>
  <c r="AA1098" i="4"/>
  <c r="AA1110" i="4"/>
  <c r="AD1102" i="4"/>
  <c r="AI1102" i="4" s="1"/>
  <c r="AC1102" i="4"/>
  <c r="AB1102" i="4"/>
  <c r="AA1064" i="4"/>
  <c r="AA980" i="4"/>
  <c r="K1054" i="4"/>
  <c r="K993" i="4"/>
  <c r="AC977" i="4"/>
  <c r="AD977" i="4"/>
  <c r="AI977" i="4" s="1"/>
  <c r="AB977" i="4"/>
  <c r="AA1062" i="4"/>
  <c r="K1045" i="4"/>
  <c r="AD1009" i="4"/>
  <c r="AI1009" i="4" s="1"/>
  <c r="AB1009" i="4"/>
  <c r="AC1009" i="4"/>
  <c r="AA973" i="4"/>
  <c r="K1107" i="4"/>
  <c r="K1064" i="4"/>
  <c r="K1035" i="4"/>
  <c r="AD990" i="4"/>
  <c r="AI990" i="4" s="1"/>
  <c r="AB990" i="4"/>
  <c r="AC990" i="4"/>
  <c r="AD1087" i="4"/>
  <c r="AI1087" i="4" s="1"/>
  <c r="AB1087" i="4"/>
  <c r="AC1087" i="4"/>
  <c r="AD1029" i="4"/>
  <c r="AI1029" i="4" s="1"/>
  <c r="AC1029" i="4"/>
  <c r="AB1029" i="4"/>
  <c r="AD1067" i="4"/>
  <c r="AI1067" i="4" s="1"/>
  <c r="AB1067" i="4"/>
  <c r="AC1067" i="4"/>
  <c r="AD1082" i="4"/>
  <c r="AI1082" i="4" s="1"/>
  <c r="AC1082" i="4"/>
  <c r="AB1082" i="4"/>
  <c r="AD970" i="4"/>
  <c r="AI970" i="4" s="1"/>
  <c r="AB970" i="4"/>
  <c r="AC970" i="4"/>
  <c r="A37" i="6"/>
  <c r="B37" i="6"/>
  <c r="H37" i="14"/>
  <c r="C37" i="6"/>
  <c r="H38" i="6"/>
  <c r="L81" i="18" l="1"/>
  <c r="K81" i="18"/>
  <c r="I81" i="18"/>
  <c r="F81" i="18"/>
  <c r="R81" i="18" s="1"/>
  <c r="Z81" i="18"/>
  <c r="Y81" i="18"/>
  <c r="AB81" i="18"/>
  <c r="X81" i="18"/>
  <c r="M81" i="18"/>
  <c r="G84" i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U80" i="18"/>
  <c r="A83" i="1"/>
  <c r="B83" i="1"/>
  <c r="J1126" i="4"/>
  <c r="J1129" i="4"/>
  <c r="I1129" i="4"/>
  <c r="J1123" i="4"/>
  <c r="I1131" i="4"/>
  <c r="J1132" i="4"/>
  <c r="J1128" i="4"/>
  <c r="X1134" i="4"/>
  <c r="I1122" i="4"/>
  <c r="W1124" i="4"/>
  <c r="I1125" i="4"/>
  <c r="I1126" i="4"/>
  <c r="J1124" i="4"/>
  <c r="J1122" i="4"/>
  <c r="I1128" i="4"/>
  <c r="I1133" i="4"/>
  <c r="J1125" i="4"/>
  <c r="I1124" i="4"/>
  <c r="W1134" i="4"/>
  <c r="X1124" i="4"/>
  <c r="I1130" i="4"/>
  <c r="J1130" i="4"/>
  <c r="J1131" i="4"/>
  <c r="I1134" i="4"/>
  <c r="J1133" i="4"/>
  <c r="I1123" i="4"/>
  <c r="J1134" i="4"/>
  <c r="I1132" i="4"/>
  <c r="I1127" i="4"/>
  <c r="J1127" i="4"/>
  <c r="N81" i="18"/>
  <c r="W80" i="18"/>
  <c r="K1117" i="4"/>
  <c r="K1121" i="4"/>
  <c r="AA1121" i="4"/>
  <c r="AA1114" i="4"/>
  <c r="AA1116" i="4"/>
  <c r="AA1118" i="4"/>
  <c r="K1115" i="4"/>
  <c r="K1119" i="4"/>
  <c r="K1118" i="4"/>
  <c r="AD1117" i="4"/>
  <c r="AI1117" i="4" s="1"/>
  <c r="AB1117" i="4"/>
  <c r="AC1117" i="4"/>
  <c r="AA1117" i="4"/>
  <c r="AC1114" i="4"/>
  <c r="AB1114" i="4"/>
  <c r="AD1114" i="4"/>
  <c r="AI1114" i="4" s="1"/>
  <c r="K1120" i="4"/>
  <c r="W81" i="18"/>
  <c r="AD1120" i="4"/>
  <c r="AI1120" i="4" s="1"/>
  <c r="AB1120" i="4"/>
  <c r="AC1120" i="4"/>
  <c r="AC1115" i="4"/>
  <c r="AB1115" i="4"/>
  <c r="AD1115" i="4"/>
  <c r="AI1115" i="4" s="1"/>
  <c r="AC1118" i="4"/>
  <c r="AD1118" i="4"/>
  <c r="AI1118" i="4" s="1"/>
  <c r="AB1118" i="4"/>
  <c r="K1116" i="4"/>
  <c r="AD1121" i="4"/>
  <c r="AI1121" i="4" s="1"/>
  <c r="AB1121" i="4"/>
  <c r="AC1121" i="4"/>
  <c r="AD1119" i="4"/>
  <c r="AI1119" i="4" s="1"/>
  <c r="AC1119" i="4"/>
  <c r="AB1119" i="4"/>
  <c r="R80" i="18"/>
  <c r="O80" i="18"/>
  <c r="AB1116" i="4"/>
  <c r="AC1116" i="4"/>
  <c r="AD1116" i="4"/>
  <c r="AI1116" i="4" s="1"/>
  <c r="AA1120" i="4"/>
  <c r="AA1115" i="4"/>
  <c r="K36" i="11"/>
  <c r="K1114" i="4"/>
  <c r="T78" i="18"/>
  <c r="T70" i="18"/>
  <c r="T68" i="18"/>
  <c r="T76" i="18"/>
  <c r="T77" i="18"/>
  <c r="T72" i="18"/>
  <c r="T74" i="18"/>
  <c r="T69" i="18"/>
  <c r="T71" i="18"/>
  <c r="T73" i="18"/>
  <c r="T75" i="18"/>
  <c r="A38" i="6"/>
  <c r="B38" i="6"/>
  <c r="H38" i="14"/>
  <c r="C38" i="6"/>
  <c r="H39" i="6"/>
  <c r="A114" i="1" l="1"/>
  <c r="B114" i="1"/>
  <c r="J1536" i="4"/>
  <c r="I1529" i="4"/>
  <c r="I1535" i="4"/>
  <c r="I1533" i="4"/>
  <c r="I1528" i="4"/>
  <c r="J1531" i="4"/>
  <c r="J1525" i="4"/>
  <c r="I1530" i="4"/>
  <c r="J1530" i="4"/>
  <c r="J1528" i="4"/>
  <c r="J1535" i="4"/>
  <c r="K1535" i="4" s="1"/>
  <c r="J1526" i="4"/>
  <c r="I1525" i="4"/>
  <c r="J1537" i="4"/>
  <c r="J1534" i="4"/>
  <c r="X1527" i="4"/>
  <c r="I1536" i="4"/>
  <c r="J1529" i="4"/>
  <c r="K1529" i="4" s="1"/>
  <c r="J1527" i="4"/>
  <c r="J1533" i="4"/>
  <c r="K1533" i="4" s="1"/>
  <c r="I1526" i="4"/>
  <c r="W1537" i="4"/>
  <c r="J1532" i="4"/>
  <c r="W1527" i="4"/>
  <c r="I1534" i="4"/>
  <c r="I1531" i="4"/>
  <c r="I1527" i="4"/>
  <c r="I1537" i="4"/>
  <c r="I1532" i="4"/>
  <c r="X1537" i="4"/>
  <c r="AA1537" i="4" s="1"/>
  <c r="A113" i="1"/>
  <c r="B113" i="1"/>
  <c r="I1521" i="4"/>
  <c r="J1524" i="4"/>
  <c r="I1514" i="4"/>
  <c r="I1515" i="4"/>
  <c r="I1522" i="4"/>
  <c r="I1523" i="4"/>
  <c r="J1519" i="4"/>
  <c r="I1518" i="4"/>
  <c r="J1522" i="4"/>
  <c r="J1513" i="4"/>
  <c r="X1514" i="4"/>
  <c r="I1520" i="4"/>
  <c r="J1516" i="4"/>
  <c r="X1524" i="4"/>
  <c r="J1515" i="4"/>
  <c r="J1520" i="4"/>
  <c r="J44" i="11"/>
  <c r="I1519" i="4"/>
  <c r="J1523" i="4"/>
  <c r="J1517" i="4"/>
  <c r="I1513" i="4"/>
  <c r="I1524" i="4"/>
  <c r="I44" i="11"/>
  <c r="W1524" i="4"/>
  <c r="J1512" i="4"/>
  <c r="I1516" i="4"/>
  <c r="I1517" i="4"/>
  <c r="J1521" i="4"/>
  <c r="I1512" i="4"/>
  <c r="J1518" i="4"/>
  <c r="W1514" i="4"/>
  <c r="J1514" i="4"/>
  <c r="A112" i="1"/>
  <c r="B112" i="1"/>
  <c r="W1501" i="4"/>
  <c r="I1510" i="4"/>
  <c r="I1511" i="4"/>
  <c r="J1505" i="4"/>
  <c r="I1499" i="4"/>
  <c r="J1506" i="4"/>
  <c r="J1501" i="4"/>
  <c r="I1506" i="4"/>
  <c r="I1509" i="4"/>
  <c r="I1504" i="4"/>
  <c r="J1510" i="4"/>
  <c r="J1499" i="4"/>
  <c r="J1504" i="4"/>
  <c r="J1509" i="4"/>
  <c r="J1508" i="4"/>
  <c r="W1511" i="4"/>
  <c r="I1505" i="4"/>
  <c r="J1503" i="4"/>
  <c r="I1500" i="4"/>
  <c r="J1502" i="4"/>
  <c r="J1507" i="4"/>
  <c r="J1500" i="4"/>
  <c r="I1501" i="4"/>
  <c r="I1508" i="4"/>
  <c r="I1502" i="4"/>
  <c r="J1511" i="4"/>
  <c r="I1503" i="4"/>
  <c r="X1511" i="4"/>
  <c r="I1507" i="4"/>
  <c r="X1501" i="4"/>
  <c r="A111" i="1"/>
  <c r="B111" i="1"/>
  <c r="J1497" i="4"/>
  <c r="I1492" i="4"/>
  <c r="J1496" i="4"/>
  <c r="I1486" i="4"/>
  <c r="I1498" i="4"/>
  <c r="J1490" i="4"/>
  <c r="X1498" i="4"/>
  <c r="I1489" i="4"/>
  <c r="J1487" i="4"/>
  <c r="I1494" i="4"/>
  <c r="J1491" i="4"/>
  <c r="I1488" i="4"/>
  <c r="I1496" i="4"/>
  <c r="I1490" i="4"/>
  <c r="I1487" i="4"/>
  <c r="J1488" i="4"/>
  <c r="J1489" i="4"/>
  <c r="J1495" i="4"/>
  <c r="X1488" i="4"/>
  <c r="J1494" i="4"/>
  <c r="I1491" i="4"/>
  <c r="J1493" i="4"/>
  <c r="W1498" i="4"/>
  <c r="I1493" i="4"/>
  <c r="I1495" i="4"/>
  <c r="I1497" i="4"/>
  <c r="J1486" i="4"/>
  <c r="J1492" i="4"/>
  <c r="J1498" i="4"/>
  <c r="K1498" i="4" s="1"/>
  <c r="W1488" i="4"/>
  <c r="A110" i="1"/>
  <c r="B110" i="1"/>
  <c r="I1477" i="4"/>
  <c r="I1482" i="4"/>
  <c r="J1473" i="4"/>
  <c r="J1480" i="4"/>
  <c r="X1475" i="4"/>
  <c r="I1473" i="4"/>
  <c r="I1481" i="4"/>
  <c r="I1484" i="4"/>
  <c r="J1474" i="4"/>
  <c r="J1477" i="4"/>
  <c r="J1481" i="4"/>
  <c r="J1482" i="4"/>
  <c r="I1480" i="4"/>
  <c r="W1475" i="4"/>
  <c r="J1475" i="4"/>
  <c r="I1476" i="4"/>
  <c r="J1484" i="4"/>
  <c r="J1476" i="4"/>
  <c r="I1483" i="4"/>
  <c r="I1474" i="4"/>
  <c r="J1478" i="4"/>
  <c r="J1479" i="4"/>
  <c r="W1485" i="4"/>
  <c r="I1478" i="4"/>
  <c r="I1485" i="4"/>
  <c r="X1485" i="4"/>
  <c r="I1475" i="4"/>
  <c r="J1483" i="4"/>
  <c r="I1479" i="4"/>
  <c r="J1485" i="4"/>
  <c r="A109" i="1"/>
  <c r="B109" i="1"/>
  <c r="I1465" i="4"/>
  <c r="I1462" i="4"/>
  <c r="J1467" i="4"/>
  <c r="J1472" i="4"/>
  <c r="W1472" i="4"/>
  <c r="J1464" i="4"/>
  <c r="I1470" i="4"/>
  <c r="I1472" i="4"/>
  <c r="W1462" i="4"/>
  <c r="J1461" i="4"/>
  <c r="J1465" i="4"/>
  <c r="I1464" i="4"/>
  <c r="I1461" i="4"/>
  <c r="J1469" i="4"/>
  <c r="I1467" i="4"/>
  <c r="J1471" i="4"/>
  <c r="J1462" i="4"/>
  <c r="J1463" i="4"/>
  <c r="X1472" i="4"/>
  <c r="I1468" i="4"/>
  <c r="I1471" i="4"/>
  <c r="I1466" i="4"/>
  <c r="I1469" i="4"/>
  <c r="I1463" i="4"/>
  <c r="J1460" i="4"/>
  <c r="J1470" i="4"/>
  <c r="I1460" i="4"/>
  <c r="J1466" i="4"/>
  <c r="J1468" i="4"/>
  <c r="X1462" i="4"/>
  <c r="A108" i="1"/>
  <c r="B108" i="1"/>
  <c r="X1459" i="4"/>
  <c r="J1458" i="4"/>
  <c r="J1456" i="4"/>
  <c r="I1450" i="4"/>
  <c r="I1448" i="4"/>
  <c r="J1450" i="4"/>
  <c r="J1452" i="4"/>
  <c r="J1451" i="4"/>
  <c r="I1453" i="4"/>
  <c r="J1449" i="4"/>
  <c r="X1449" i="4"/>
  <c r="J1459" i="4"/>
  <c r="J1454" i="4"/>
  <c r="J1453" i="4"/>
  <c r="I1452" i="4"/>
  <c r="I1457" i="4"/>
  <c r="I1459" i="4"/>
  <c r="I1449" i="4"/>
  <c r="I1458" i="4"/>
  <c r="W1459" i="4"/>
  <c r="J1448" i="4"/>
  <c r="K1448" i="4" s="1"/>
  <c r="I1456" i="4"/>
  <c r="I1451" i="4"/>
  <c r="J1447" i="4"/>
  <c r="W1449" i="4"/>
  <c r="I1447" i="4"/>
  <c r="I1455" i="4"/>
  <c r="J1455" i="4"/>
  <c r="J1457" i="4"/>
  <c r="I1454" i="4"/>
  <c r="A107" i="1"/>
  <c r="B107" i="1"/>
  <c r="X1446" i="4"/>
  <c r="J1434" i="4"/>
  <c r="J1436" i="4"/>
  <c r="I1439" i="4"/>
  <c r="I1434" i="4"/>
  <c r="X1436" i="4"/>
  <c r="I1442" i="4"/>
  <c r="W1436" i="4"/>
  <c r="J1446" i="4"/>
  <c r="I1445" i="4"/>
  <c r="I1443" i="4"/>
  <c r="I1437" i="4"/>
  <c r="I1446" i="4"/>
  <c r="W1446" i="4"/>
  <c r="I1435" i="4"/>
  <c r="I1438" i="4"/>
  <c r="J1443" i="4"/>
  <c r="I1444" i="4"/>
  <c r="I1436" i="4"/>
  <c r="K1436" i="4" s="1"/>
  <c r="J1445" i="4"/>
  <c r="J1435" i="4"/>
  <c r="I1441" i="4"/>
  <c r="J1442" i="4"/>
  <c r="K1442" i="4" s="1"/>
  <c r="J1437" i="4"/>
  <c r="J1444" i="4"/>
  <c r="J1438" i="4"/>
  <c r="I1440" i="4"/>
  <c r="J1440" i="4"/>
  <c r="J1439" i="4"/>
  <c r="J1441" i="4"/>
  <c r="A106" i="1"/>
  <c r="B106" i="1"/>
  <c r="I1430" i="4"/>
  <c r="J1427" i="4"/>
  <c r="X1423" i="4"/>
  <c r="I1431" i="4"/>
  <c r="J1426" i="4"/>
  <c r="I1425" i="4"/>
  <c r="W1423" i="4"/>
  <c r="I1421" i="4"/>
  <c r="J1425" i="4"/>
  <c r="J1433" i="4"/>
  <c r="I1424" i="4"/>
  <c r="J1431" i="4"/>
  <c r="I1422" i="4"/>
  <c r="J1421" i="4"/>
  <c r="J1428" i="4"/>
  <c r="J1423" i="4"/>
  <c r="J1430" i="4"/>
  <c r="K1430" i="4" s="1"/>
  <c r="J1424" i="4"/>
  <c r="I1432" i="4"/>
  <c r="I1429" i="4"/>
  <c r="I1433" i="4"/>
  <c r="X1433" i="4"/>
  <c r="W1433" i="4"/>
  <c r="I1426" i="4"/>
  <c r="J1429" i="4"/>
  <c r="I1423" i="4"/>
  <c r="J1422" i="4"/>
  <c r="I1428" i="4"/>
  <c r="J1432" i="4"/>
  <c r="I1427" i="4"/>
  <c r="A105" i="1"/>
  <c r="B105" i="1"/>
  <c r="I1408" i="4"/>
  <c r="J1419" i="4"/>
  <c r="I1414" i="4"/>
  <c r="I1420" i="4"/>
  <c r="J1414" i="4"/>
  <c r="J1415" i="4"/>
  <c r="J1417" i="4"/>
  <c r="J1418" i="4"/>
  <c r="I1416" i="4"/>
  <c r="I1411" i="4"/>
  <c r="I1418" i="4"/>
  <c r="I1413" i="4"/>
  <c r="J1412" i="4"/>
  <c r="I1410" i="4"/>
  <c r="I1409" i="4"/>
  <c r="J1409" i="4"/>
  <c r="I1415" i="4"/>
  <c r="W1410" i="4"/>
  <c r="J1410" i="4"/>
  <c r="W1420" i="4"/>
  <c r="J1411" i="4"/>
  <c r="J1413" i="4"/>
  <c r="J1416" i="4"/>
  <c r="J1420" i="4"/>
  <c r="X1420" i="4"/>
  <c r="I1419" i="4"/>
  <c r="I1412" i="4"/>
  <c r="X1410" i="4"/>
  <c r="J1408" i="4"/>
  <c r="I1417" i="4"/>
  <c r="A104" i="1"/>
  <c r="B104" i="1"/>
  <c r="I1399" i="4"/>
  <c r="I1398" i="4"/>
  <c r="J1396" i="4"/>
  <c r="J1405" i="4"/>
  <c r="I1406" i="4"/>
  <c r="I1402" i="4"/>
  <c r="J1398" i="4"/>
  <c r="I1403" i="4"/>
  <c r="I1397" i="4"/>
  <c r="J1407" i="4"/>
  <c r="W1397" i="4"/>
  <c r="I1405" i="4"/>
  <c r="X1397" i="4"/>
  <c r="J1402" i="4"/>
  <c r="K1402" i="4" s="1"/>
  <c r="I1404" i="4"/>
  <c r="J1404" i="4"/>
  <c r="J1395" i="4"/>
  <c r="I1401" i="4"/>
  <c r="J1400" i="4"/>
  <c r="J1397" i="4"/>
  <c r="I1396" i="4"/>
  <c r="J1403" i="4"/>
  <c r="W1407" i="4"/>
  <c r="J1406" i="4"/>
  <c r="X1407" i="4"/>
  <c r="I1407" i="4"/>
  <c r="I1400" i="4"/>
  <c r="I1395" i="4"/>
  <c r="J1401" i="4"/>
  <c r="J1399" i="4"/>
  <c r="A103" i="1"/>
  <c r="B103" i="1"/>
  <c r="X1384" i="4"/>
  <c r="I1392" i="4"/>
  <c r="I1391" i="4"/>
  <c r="I1388" i="4"/>
  <c r="I1385" i="4"/>
  <c r="J1386" i="4"/>
  <c r="I1384" i="4"/>
  <c r="J1392" i="4"/>
  <c r="I1394" i="4"/>
  <c r="W1394" i="4"/>
  <c r="I1389" i="4"/>
  <c r="J1388" i="4"/>
  <c r="K1388" i="4" s="1"/>
  <c r="I1386" i="4"/>
  <c r="I1383" i="4"/>
  <c r="J1383" i="4"/>
  <c r="I1390" i="4"/>
  <c r="J1391" i="4"/>
  <c r="J1390" i="4"/>
  <c r="J1387" i="4"/>
  <c r="X1394" i="4"/>
  <c r="I1387" i="4"/>
  <c r="W1384" i="4"/>
  <c r="J1394" i="4"/>
  <c r="J1382" i="4"/>
  <c r="I1393" i="4"/>
  <c r="J1384" i="4"/>
  <c r="I1382" i="4"/>
  <c r="J1385" i="4"/>
  <c r="J1393" i="4"/>
  <c r="J1389" i="4"/>
  <c r="A102" i="1"/>
  <c r="B102" i="1"/>
  <c r="J1370" i="4"/>
  <c r="J1374" i="4"/>
  <c r="J1379" i="4"/>
  <c r="J1380" i="4"/>
  <c r="I1378" i="4"/>
  <c r="J1377" i="4"/>
  <c r="J1373" i="4"/>
  <c r="W1371" i="4"/>
  <c r="J1375" i="4"/>
  <c r="I1371" i="4"/>
  <c r="I1374" i="4"/>
  <c r="I1375" i="4"/>
  <c r="J1371" i="4"/>
  <c r="I1372" i="4"/>
  <c r="J1369" i="4"/>
  <c r="J1376" i="4"/>
  <c r="I1379" i="4"/>
  <c r="X1381" i="4"/>
  <c r="I1369" i="4"/>
  <c r="J1378" i="4"/>
  <c r="I1376" i="4"/>
  <c r="I1380" i="4"/>
  <c r="I1377" i="4"/>
  <c r="J1372" i="4"/>
  <c r="I1381" i="4"/>
  <c r="J1381" i="4"/>
  <c r="I1373" i="4"/>
  <c r="X1371" i="4"/>
  <c r="W1381" i="4"/>
  <c r="I1370" i="4"/>
  <c r="A101" i="1"/>
  <c r="B101" i="1"/>
  <c r="I1363" i="4"/>
  <c r="I1368" i="4"/>
  <c r="W1358" i="4"/>
  <c r="I1356" i="4"/>
  <c r="J1357" i="4"/>
  <c r="J1365" i="4"/>
  <c r="I1364" i="4"/>
  <c r="I1362" i="4"/>
  <c r="I1365" i="4"/>
  <c r="J1361" i="4"/>
  <c r="I1361" i="4"/>
  <c r="J1363" i="4"/>
  <c r="J1356" i="4"/>
  <c r="I1360" i="4"/>
  <c r="I1358" i="4"/>
  <c r="J1359" i="4"/>
  <c r="J1368" i="4"/>
  <c r="W1368" i="4"/>
  <c r="X1358" i="4"/>
  <c r="AA1358" i="4" s="1"/>
  <c r="J1362" i="4"/>
  <c r="J1364" i="4"/>
  <c r="J1360" i="4"/>
  <c r="J1367" i="4"/>
  <c r="J1358" i="4"/>
  <c r="I1366" i="4"/>
  <c r="X1368" i="4"/>
  <c r="I1367" i="4"/>
  <c r="I1359" i="4"/>
  <c r="J1366" i="4"/>
  <c r="I1357" i="4"/>
  <c r="A100" i="1"/>
  <c r="B100" i="1"/>
  <c r="X1344" i="4"/>
  <c r="X1351" i="4"/>
  <c r="W1348" i="4"/>
  <c r="W1351" i="4"/>
  <c r="X1350" i="4"/>
  <c r="X1355" i="4"/>
  <c r="W1345" i="4"/>
  <c r="W1344" i="4"/>
  <c r="I1345" i="4"/>
  <c r="I1346" i="4"/>
  <c r="I1347" i="4"/>
  <c r="J1347" i="4"/>
  <c r="J1351" i="4"/>
  <c r="W1349" i="4"/>
  <c r="I1349" i="4"/>
  <c r="J1352" i="4"/>
  <c r="J1349" i="4"/>
  <c r="X1347" i="4"/>
  <c r="X1345" i="4"/>
  <c r="J1353" i="4"/>
  <c r="J1344" i="4"/>
  <c r="I1348" i="4"/>
  <c r="I1354" i="4"/>
  <c r="J1350" i="4"/>
  <c r="X1346" i="4"/>
  <c r="I1351" i="4"/>
  <c r="J1345" i="4"/>
  <c r="X1348" i="4"/>
  <c r="I1343" i="4"/>
  <c r="W1343" i="4"/>
  <c r="W1355" i="4"/>
  <c r="I1344" i="4"/>
  <c r="X1349" i="4"/>
  <c r="I1353" i="4"/>
  <c r="I1355" i="4"/>
  <c r="W1350" i="4"/>
  <c r="W1353" i="4"/>
  <c r="W1346" i="4"/>
  <c r="X1354" i="4"/>
  <c r="X1352" i="4"/>
  <c r="I1350" i="4"/>
  <c r="W1352" i="4"/>
  <c r="J1355" i="4"/>
  <c r="K1355" i="4" s="1"/>
  <c r="X1353" i="4"/>
  <c r="W1347" i="4"/>
  <c r="J1346" i="4"/>
  <c r="J1354" i="4"/>
  <c r="K1354" i="4" s="1"/>
  <c r="I1352" i="4"/>
  <c r="J1343" i="4"/>
  <c r="X1343" i="4"/>
  <c r="W1354" i="4"/>
  <c r="J1348" i="4"/>
  <c r="A99" i="1"/>
  <c r="B99" i="1"/>
  <c r="J1335" i="4"/>
  <c r="W1342" i="4"/>
  <c r="I1336" i="4"/>
  <c r="J1342" i="4"/>
  <c r="J1333" i="4"/>
  <c r="J1336" i="4"/>
  <c r="I1339" i="4"/>
  <c r="J1330" i="4"/>
  <c r="I1335" i="4"/>
  <c r="I1341" i="4"/>
  <c r="J1340" i="4"/>
  <c r="I1340" i="4"/>
  <c r="I1332" i="4"/>
  <c r="J1334" i="4"/>
  <c r="J1337" i="4"/>
  <c r="I1330" i="4"/>
  <c r="X1342" i="4"/>
  <c r="W1332" i="4"/>
  <c r="I1337" i="4"/>
  <c r="I1338" i="4"/>
  <c r="I1331" i="4"/>
  <c r="J1339" i="4"/>
  <c r="J1338" i="4"/>
  <c r="J1331" i="4"/>
  <c r="I1334" i="4"/>
  <c r="I43" i="11"/>
  <c r="I1342" i="4"/>
  <c r="J43" i="11"/>
  <c r="X1332" i="4"/>
  <c r="I1333" i="4"/>
  <c r="J1332" i="4"/>
  <c r="J1341" i="4"/>
  <c r="A98" i="1"/>
  <c r="B98" i="1"/>
  <c r="W1319" i="4"/>
  <c r="X1329" i="4"/>
  <c r="I1318" i="4"/>
  <c r="I1323" i="4"/>
  <c r="J1324" i="4"/>
  <c r="I1317" i="4"/>
  <c r="I1329" i="4"/>
  <c r="J1320" i="4"/>
  <c r="J1321" i="4"/>
  <c r="J1328" i="4"/>
  <c r="J1327" i="4"/>
  <c r="I1324" i="4"/>
  <c r="W1329" i="4"/>
  <c r="I1325" i="4"/>
  <c r="J1329" i="4"/>
  <c r="K1329" i="4" s="1"/>
  <c r="X1319" i="4"/>
  <c r="I1321" i="4"/>
  <c r="I1328" i="4"/>
  <c r="J1325" i="4"/>
  <c r="I1327" i="4"/>
  <c r="J1317" i="4"/>
  <c r="J1319" i="4"/>
  <c r="I1326" i="4"/>
  <c r="I1322" i="4"/>
  <c r="I1320" i="4"/>
  <c r="J1326" i="4"/>
  <c r="J1318" i="4"/>
  <c r="K1318" i="4" s="1"/>
  <c r="I1319" i="4"/>
  <c r="J1322" i="4"/>
  <c r="J1323" i="4"/>
  <c r="A97" i="1"/>
  <c r="B97" i="1"/>
  <c r="J1304" i="4"/>
  <c r="J1314" i="4"/>
  <c r="I1305" i="4"/>
  <c r="J1313" i="4"/>
  <c r="I1308" i="4"/>
  <c r="J1311" i="4"/>
  <c r="X1306" i="4"/>
  <c r="I1311" i="4"/>
  <c r="J1308" i="4"/>
  <c r="J1307" i="4"/>
  <c r="I1306" i="4"/>
  <c r="I1304" i="4"/>
  <c r="I1313" i="4"/>
  <c r="W1316" i="4"/>
  <c r="I1312" i="4"/>
  <c r="J1309" i="4"/>
  <c r="W1306" i="4"/>
  <c r="J1310" i="4"/>
  <c r="J1316" i="4"/>
  <c r="X1316" i="4"/>
  <c r="I1314" i="4"/>
  <c r="J1312" i="4"/>
  <c r="I1316" i="4"/>
  <c r="I1307" i="4"/>
  <c r="I1309" i="4"/>
  <c r="J1305" i="4"/>
  <c r="I1310" i="4"/>
  <c r="I1315" i="4"/>
  <c r="J1315" i="4"/>
  <c r="J1306" i="4"/>
  <c r="A96" i="1"/>
  <c r="B96" i="1"/>
  <c r="J1294" i="4"/>
  <c r="J1296" i="4"/>
  <c r="J1298" i="4"/>
  <c r="I1301" i="4"/>
  <c r="J1293" i="4"/>
  <c r="I1295" i="4"/>
  <c r="J1300" i="4"/>
  <c r="J1292" i="4"/>
  <c r="I1296" i="4"/>
  <c r="I1292" i="4"/>
  <c r="I1300" i="4"/>
  <c r="I1294" i="4"/>
  <c r="X1303" i="4"/>
  <c r="J1299" i="4"/>
  <c r="X1293" i="4"/>
  <c r="J1297" i="4"/>
  <c r="I1297" i="4"/>
  <c r="W1293" i="4"/>
  <c r="I1303" i="4"/>
  <c r="J1295" i="4"/>
  <c r="I1298" i="4"/>
  <c r="J1291" i="4"/>
  <c r="J1301" i="4"/>
  <c r="I1291" i="4"/>
  <c r="J1302" i="4"/>
  <c r="I1302" i="4"/>
  <c r="W1303" i="4"/>
  <c r="I1299" i="4"/>
  <c r="I1293" i="4"/>
  <c r="J1303" i="4"/>
  <c r="M358" i="18"/>
  <c r="A95" i="1"/>
  <c r="B95" i="1"/>
  <c r="I1278" i="4"/>
  <c r="J1278" i="4"/>
  <c r="W1290" i="4"/>
  <c r="I1286" i="4"/>
  <c r="J1286" i="4"/>
  <c r="I1289" i="4"/>
  <c r="I1288" i="4"/>
  <c r="J1289" i="4"/>
  <c r="J1287" i="4"/>
  <c r="J1283" i="4"/>
  <c r="I1287" i="4"/>
  <c r="I1280" i="4"/>
  <c r="J1290" i="4"/>
  <c r="I1282" i="4"/>
  <c r="J1280" i="4"/>
  <c r="W1280" i="4"/>
  <c r="J1288" i="4"/>
  <c r="I1283" i="4"/>
  <c r="I1284" i="4"/>
  <c r="X1280" i="4"/>
  <c r="X1290" i="4"/>
  <c r="J1281" i="4"/>
  <c r="J1279" i="4"/>
  <c r="J1285" i="4"/>
  <c r="I1290" i="4"/>
  <c r="J1282" i="4"/>
  <c r="I1281" i="4"/>
  <c r="I1285" i="4"/>
  <c r="J1284" i="4"/>
  <c r="I1279" i="4"/>
  <c r="A94" i="1"/>
  <c r="B94" i="1"/>
  <c r="J1273" i="4"/>
  <c r="I1277" i="4"/>
  <c r="W1277" i="4"/>
  <c r="J1269" i="4"/>
  <c r="I1271" i="4"/>
  <c r="I1275" i="4"/>
  <c r="I1266" i="4"/>
  <c r="J1270" i="4"/>
  <c r="I1267" i="4"/>
  <c r="X1277" i="4"/>
  <c r="J1266" i="4"/>
  <c r="I1270" i="4"/>
  <c r="I1265" i="4"/>
  <c r="I1273" i="4"/>
  <c r="I1268" i="4"/>
  <c r="X1267" i="4"/>
  <c r="J1274" i="4"/>
  <c r="I1274" i="4"/>
  <c r="J1271" i="4"/>
  <c r="J1276" i="4"/>
  <c r="I1272" i="4"/>
  <c r="J1275" i="4"/>
  <c r="J1265" i="4"/>
  <c r="J1277" i="4"/>
  <c r="I1269" i="4"/>
  <c r="J1268" i="4"/>
  <c r="I1276" i="4"/>
  <c r="J1272" i="4"/>
  <c r="J1267" i="4"/>
  <c r="W1267" i="4"/>
  <c r="O81" i="18"/>
  <c r="A93" i="1"/>
  <c r="B93" i="1"/>
  <c r="I1256" i="4"/>
  <c r="W1264" i="4"/>
  <c r="I1254" i="4"/>
  <c r="I1260" i="4"/>
  <c r="I1259" i="4"/>
  <c r="X1254" i="4"/>
  <c r="I1264" i="4"/>
  <c r="I1258" i="4"/>
  <c r="J1264" i="4"/>
  <c r="W1254" i="4"/>
  <c r="J1259" i="4"/>
  <c r="J1261" i="4"/>
  <c r="I1252" i="4"/>
  <c r="I1263" i="4"/>
  <c r="I1262" i="4"/>
  <c r="I1253" i="4"/>
  <c r="J1258" i="4"/>
  <c r="X1264" i="4"/>
  <c r="J1263" i="4"/>
  <c r="J1255" i="4"/>
  <c r="I1257" i="4"/>
  <c r="J1256" i="4"/>
  <c r="J1253" i="4"/>
  <c r="I1261" i="4"/>
  <c r="J1257" i="4"/>
  <c r="J1252" i="4"/>
  <c r="J1262" i="4"/>
  <c r="J1254" i="4"/>
  <c r="J1260" i="4"/>
  <c r="I1255" i="4"/>
  <c r="A92" i="1"/>
  <c r="B92" i="1"/>
  <c r="I1243" i="4"/>
  <c r="J1243" i="4"/>
  <c r="X1251" i="4"/>
  <c r="J1239" i="4"/>
  <c r="I1249" i="4"/>
  <c r="J1247" i="4"/>
  <c r="J1248" i="4"/>
  <c r="J1241" i="4"/>
  <c r="I1242" i="4"/>
  <c r="I1244" i="4"/>
  <c r="J1240" i="4"/>
  <c r="J1245" i="4"/>
  <c r="I1250" i="4"/>
  <c r="J1244" i="4"/>
  <c r="I1251" i="4"/>
  <c r="J1246" i="4"/>
  <c r="I1248" i="4"/>
  <c r="I1246" i="4"/>
  <c r="I1241" i="4"/>
  <c r="X1241" i="4"/>
  <c r="I1240" i="4"/>
  <c r="J1250" i="4"/>
  <c r="J1251" i="4"/>
  <c r="K1251" i="4" s="1"/>
  <c r="I1245" i="4"/>
  <c r="J1249" i="4"/>
  <c r="I1247" i="4"/>
  <c r="W1251" i="4"/>
  <c r="W1241" i="4"/>
  <c r="I1239" i="4"/>
  <c r="J1242" i="4"/>
  <c r="U81" i="18"/>
  <c r="A91" i="1"/>
  <c r="B91" i="1"/>
  <c r="J1235" i="4"/>
  <c r="J1227" i="4"/>
  <c r="J1230" i="4"/>
  <c r="J1231" i="4"/>
  <c r="I1228" i="4"/>
  <c r="J1238" i="4"/>
  <c r="I1233" i="4"/>
  <c r="X1228" i="4"/>
  <c r="W1228" i="4"/>
  <c r="I1231" i="4"/>
  <c r="I1234" i="4"/>
  <c r="J1234" i="4"/>
  <c r="J1236" i="4"/>
  <c r="J1232" i="4"/>
  <c r="I1229" i="4"/>
  <c r="I1236" i="4"/>
  <c r="X1238" i="4"/>
  <c r="I1232" i="4"/>
  <c r="I1227" i="4"/>
  <c r="J1237" i="4"/>
  <c r="I1237" i="4"/>
  <c r="J1228" i="4"/>
  <c r="I1230" i="4"/>
  <c r="I1226" i="4"/>
  <c r="I1235" i="4"/>
  <c r="I1238" i="4"/>
  <c r="J1229" i="4"/>
  <c r="W1238" i="4"/>
  <c r="J1226" i="4"/>
  <c r="J1233" i="4"/>
  <c r="Z245" i="18"/>
  <c r="J362" i="3"/>
  <c r="M359" i="18"/>
  <c r="A90" i="1"/>
  <c r="B90" i="1"/>
  <c r="X1215" i="4"/>
  <c r="J1224" i="4"/>
  <c r="I1214" i="4"/>
  <c r="I1219" i="4"/>
  <c r="J1214" i="4"/>
  <c r="J1218" i="4"/>
  <c r="J1219" i="4"/>
  <c r="J1221" i="4"/>
  <c r="X1225" i="4"/>
  <c r="I1216" i="4"/>
  <c r="I1217" i="4"/>
  <c r="J1222" i="4"/>
  <c r="J1220" i="4"/>
  <c r="I1222" i="4"/>
  <c r="I1225" i="4"/>
  <c r="J1217" i="4"/>
  <c r="I1213" i="4"/>
  <c r="W1215" i="4"/>
  <c r="J25" i="3"/>
  <c r="I25" i="3"/>
  <c r="J1215" i="4"/>
  <c r="I1215" i="4"/>
  <c r="I1220" i="4"/>
  <c r="J1213" i="4"/>
  <c r="J1216" i="4"/>
  <c r="W1225" i="4"/>
  <c r="J1225" i="4"/>
  <c r="I1224" i="4"/>
  <c r="I1218" i="4"/>
  <c r="J1223" i="4"/>
  <c r="I1223" i="4"/>
  <c r="I1221" i="4"/>
  <c r="F108" i="18"/>
  <c r="R108" i="18" s="1"/>
  <c r="F351" i="18"/>
  <c r="T351" i="18" s="1"/>
  <c r="I260" i="3"/>
  <c r="A89" i="1"/>
  <c r="B89" i="1"/>
  <c r="J1205" i="4"/>
  <c r="J1206" i="4"/>
  <c r="I1209" i="4"/>
  <c r="J1202" i="4"/>
  <c r="W1202" i="4"/>
  <c r="X1202" i="4"/>
  <c r="I1205" i="4"/>
  <c r="J1203" i="4"/>
  <c r="I1207" i="4"/>
  <c r="J1211" i="4"/>
  <c r="J1200" i="4"/>
  <c r="I1206" i="4"/>
  <c r="I1211" i="4"/>
  <c r="J1209" i="4"/>
  <c r="I1202" i="4"/>
  <c r="J1212" i="4"/>
  <c r="J1208" i="4"/>
  <c r="I1203" i="4"/>
  <c r="I1204" i="4"/>
  <c r="I1200" i="4"/>
  <c r="J1207" i="4"/>
  <c r="I1212" i="4"/>
  <c r="I1210" i="4"/>
  <c r="J1210" i="4"/>
  <c r="J1204" i="4"/>
  <c r="I1208" i="4"/>
  <c r="J1201" i="4"/>
  <c r="W1212" i="4"/>
  <c r="I1201" i="4"/>
  <c r="X1212" i="4"/>
  <c r="A88" i="1"/>
  <c r="B88" i="1"/>
  <c r="J24" i="3"/>
  <c r="J1196" i="4"/>
  <c r="I1194" i="4"/>
  <c r="I1187" i="4"/>
  <c r="I1198" i="4"/>
  <c r="I1195" i="4"/>
  <c r="J1197" i="4"/>
  <c r="W1189" i="4"/>
  <c r="J1198" i="4"/>
  <c r="I1196" i="4"/>
  <c r="X1189" i="4"/>
  <c r="I1192" i="4"/>
  <c r="J1190" i="4"/>
  <c r="J1191" i="4"/>
  <c r="J1195" i="4"/>
  <c r="J1189" i="4"/>
  <c r="J1193" i="4"/>
  <c r="J1188" i="4"/>
  <c r="J1187" i="4"/>
  <c r="I1188" i="4"/>
  <c r="I1191" i="4"/>
  <c r="I1197" i="4"/>
  <c r="I1193" i="4"/>
  <c r="I1190" i="4"/>
  <c r="J1199" i="4"/>
  <c r="W1199" i="4"/>
  <c r="I1199" i="4"/>
  <c r="J1194" i="4"/>
  <c r="I1189" i="4"/>
  <c r="X1199" i="4"/>
  <c r="I24" i="3"/>
  <c r="J1192" i="4"/>
  <c r="I196" i="18"/>
  <c r="AA343" i="18"/>
  <c r="W343" i="18" s="1"/>
  <c r="J85" i="11"/>
  <c r="I333" i="3"/>
  <c r="G154" i="18"/>
  <c r="I172" i="3"/>
  <c r="M162" i="18"/>
  <c r="I162" i="18"/>
  <c r="I284" i="3"/>
  <c r="I367" i="18"/>
  <c r="N362" i="18"/>
  <c r="J312" i="3"/>
  <c r="I44" i="3"/>
  <c r="K247" i="18"/>
  <c r="F299" i="18"/>
  <c r="T299" i="18" s="1"/>
  <c r="J291" i="3"/>
  <c r="G328" i="18"/>
  <c r="I328" i="18"/>
  <c r="I315" i="11"/>
  <c r="J133" i="11"/>
  <c r="G342" i="18"/>
  <c r="AA314" i="18"/>
  <c r="W314" i="18" s="1"/>
  <c r="M159" i="18"/>
  <c r="G234" i="18"/>
  <c r="Z126" i="18"/>
  <c r="I336" i="18"/>
  <c r="L136" i="18"/>
  <c r="G235" i="18"/>
  <c r="I202" i="18"/>
  <c r="N124" i="18"/>
  <c r="J47" i="11"/>
  <c r="AA98" i="18"/>
  <c r="W98" i="18" s="1"/>
  <c r="F313" i="18"/>
  <c r="R313" i="18" s="1"/>
  <c r="J132" i="3"/>
  <c r="I451" i="3"/>
  <c r="J170" i="11"/>
  <c r="I175" i="3"/>
  <c r="J374" i="11"/>
  <c r="J227" i="3"/>
  <c r="F133" i="18"/>
  <c r="R133" i="18" s="1"/>
  <c r="I334" i="3"/>
  <c r="N369" i="18"/>
  <c r="M122" i="18"/>
  <c r="N153" i="18"/>
  <c r="I250" i="18"/>
  <c r="AA85" i="18"/>
  <c r="W85" i="18" s="1"/>
  <c r="F203" i="18"/>
  <c r="O203" i="18" s="1"/>
  <c r="M125" i="18"/>
  <c r="J190" i="11"/>
  <c r="AA316" i="18"/>
  <c r="W316" i="18" s="1"/>
  <c r="AB268" i="18"/>
  <c r="Y148" i="18"/>
  <c r="Z175" i="18"/>
  <c r="J123" i="11"/>
  <c r="AA90" i="18"/>
  <c r="W90" i="18" s="1"/>
  <c r="A87" i="1"/>
  <c r="B87" i="1"/>
  <c r="J1184" i="4"/>
  <c r="X1186" i="4"/>
  <c r="W1186" i="4"/>
  <c r="I1174" i="4"/>
  <c r="I1183" i="4"/>
  <c r="J1180" i="4"/>
  <c r="W1176" i="4"/>
  <c r="I1180" i="4"/>
  <c r="I1177" i="4"/>
  <c r="J1175" i="4"/>
  <c r="J1186" i="4"/>
  <c r="J1174" i="4"/>
  <c r="J41" i="11"/>
  <c r="J1179" i="4"/>
  <c r="I1182" i="4"/>
  <c r="X1176" i="4"/>
  <c r="J1181" i="4"/>
  <c r="J1185" i="4"/>
  <c r="J1178" i="4"/>
  <c r="I1175" i="4"/>
  <c r="J1182" i="4"/>
  <c r="J1176" i="4"/>
  <c r="I1179" i="4"/>
  <c r="J1183" i="4"/>
  <c r="J1177" i="4"/>
  <c r="I1185" i="4"/>
  <c r="I41" i="11"/>
  <c r="I1186" i="4"/>
  <c r="I1181" i="4"/>
  <c r="I1176" i="4"/>
  <c r="I1178" i="4"/>
  <c r="I1184" i="4"/>
  <c r="A86" i="1"/>
  <c r="B86" i="1"/>
  <c r="J1170" i="4"/>
  <c r="J38" i="11"/>
  <c r="I1171" i="4"/>
  <c r="I1168" i="4"/>
  <c r="W1173" i="4"/>
  <c r="J1167" i="4"/>
  <c r="J1162" i="4"/>
  <c r="I1164" i="4"/>
  <c r="J1164" i="4"/>
  <c r="J1169" i="4"/>
  <c r="I1165" i="4"/>
  <c r="I1162" i="4"/>
  <c r="J40" i="11"/>
  <c r="I1173" i="4"/>
  <c r="X1163" i="4"/>
  <c r="I1170" i="4"/>
  <c r="J1171" i="4"/>
  <c r="I1172" i="4"/>
  <c r="J1165" i="4"/>
  <c r="J1161" i="4"/>
  <c r="X1173" i="4"/>
  <c r="I38" i="11"/>
  <c r="J1163" i="4"/>
  <c r="J39" i="11"/>
  <c r="I1161" i="4"/>
  <c r="I39" i="11"/>
  <c r="J1173" i="4"/>
  <c r="J1172" i="4"/>
  <c r="W1163" i="4"/>
  <c r="I1167" i="4"/>
  <c r="I1166" i="4"/>
  <c r="I1163" i="4"/>
  <c r="I40" i="11"/>
  <c r="J1166" i="4"/>
  <c r="J1168" i="4"/>
  <c r="I1169" i="4"/>
  <c r="A85" i="1"/>
  <c r="B85" i="1"/>
  <c r="I1149" i="4"/>
  <c r="J1155" i="4"/>
  <c r="I1153" i="4"/>
  <c r="I1151" i="4"/>
  <c r="I1158" i="4"/>
  <c r="I1156" i="4"/>
  <c r="I1154" i="4"/>
  <c r="X1150" i="4"/>
  <c r="J1151" i="4"/>
  <c r="J1160" i="4"/>
  <c r="J1154" i="4"/>
  <c r="J1156" i="4"/>
  <c r="J1158" i="4"/>
  <c r="I1150" i="4"/>
  <c r="J1150" i="4"/>
  <c r="J1159" i="4"/>
  <c r="I1157" i="4"/>
  <c r="J1149" i="4"/>
  <c r="I1155" i="4"/>
  <c r="I1148" i="4"/>
  <c r="I1152" i="4"/>
  <c r="I1160" i="4"/>
  <c r="W1160" i="4"/>
  <c r="W1150" i="4"/>
  <c r="J1153" i="4"/>
  <c r="J1157" i="4"/>
  <c r="J1148" i="4"/>
  <c r="X1160" i="4"/>
  <c r="J1152" i="4"/>
  <c r="K1152" i="4" s="1"/>
  <c r="I1159" i="4"/>
  <c r="K1133" i="4"/>
  <c r="A84" i="1"/>
  <c r="B84" i="1"/>
  <c r="I1141" i="4"/>
  <c r="J1147" i="4"/>
  <c r="X1137" i="4"/>
  <c r="I1147" i="4"/>
  <c r="J1144" i="4"/>
  <c r="J1139" i="4"/>
  <c r="I1142" i="4"/>
  <c r="J37" i="11"/>
  <c r="J1142" i="4"/>
  <c r="J1140" i="4"/>
  <c r="J1145" i="4"/>
  <c r="I1143" i="4"/>
  <c r="J1146" i="4"/>
  <c r="J1135" i="4"/>
  <c r="I37" i="11"/>
  <c r="I1137" i="4"/>
  <c r="W1137" i="4"/>
  <c r="J1137" i="4"/>
  <c r="I1138" i="4"/>
  <c r="I1146" i="4"/>
  <c r="X1147" i="4"/>
  <c r="I1135" i="4"/>
  <c r="I1145" i="4"/>
  <c r="I1136" i="4"/>
  <c r="W1147" i="4"/>
  <c r="J1143" i="4"/>
  <c r="I1140" i="4"/>
  <c r="J1138" i="4"/>
  <c r="J1136" i="4"/>
  <c r="J1141" i="4"/>
  <c r="I1144" i="4"/>
  <c r="I1139" i="4"/>
  <c r="J85" i="3"/>
  <c r="M178" i="18"/>
  <c r="X184" i="18"/>
  <c r="J387" i="3"/>
  <c r="I375" i="3"/>
  <c r="L190" i="18"/>
  <c r="J318" i="11"/>
  <c r="F86" i="18"/>
  <c r="Z87" i="18"/>
  <c r="I215" i="18"/>
  <c r="J55" i="11"/>
  <c r="I256" i="3"/>
  <c r="L114" i="18"/>
  <c r="AB164" i="18"/>
  <c r="I121" i="18"/>
  <c r="J63" i="3"/>
  <c r="I476" i="3"/>
  <c r="I123" i="11"/>
  <c r="Y126" i="18"/>
  <c r="J396" i="11"/>
  <c r="Z178" i="18"/>
  <c r="J417" i="11"/>
  <c r="M293" i="18"/>
  <c r="X290" i="18"/>
  <c r="J101" i="11"/>
  <c r="J432" i="3"/>
  <c r="K192" i="18"/>
  <c r="F155" i="18"/>
  <c r="J415" i="11"/>
  <c r="I174" i="18"/>
  <c r="AA317" i="18"/>
  <c r="K112" i="18"/>
  <c r="J70" i="3"/>
  <c r="J455" i="3"/>
  <c r="Z152" i="18"/>
  <c r="Z301" i="18"/>
  <c r="K88" i="18"/>
  <c r="L320" i="18"/>
  <c r="J385" i="3"/>
  <c r="I178" i="11"/>
  <c r="J74" i="11"/>
  <c r="I118" i="11"/>
  <c r="L198" i="18"/>
  <c r="Y291" i="18"/>
  <c r="J513" i="3"/>
  <c r="J295" i="11"/>
  <c r="I147" i="18"/>
  <c r="L301" i="18"/>
  <c r="AB324" i="18"/>
  <c r="N218" i="18"/>
  <c r="L345" i="18"/>
  <c r="I443" i="3"/>
  <c r="I170" i="18"/>
  <c r="Y118" i="18"/>
  <c r="I233" i="3"/>
  <c r="M170" i="18"/>
  <c r="K143" i="18"/>
  <c r="I317" i="11"/>
  <c r="Y100" i="18"/>
  <c r="K196" i="18"/>
  <c r="Z206" i="18"/>
  <c r="X358" i="18"/>
  <c r="L232" i="18"/>
  <c r="I106" i="11"/>
  <c r="I389" i="3"/>
  <c r="I354" i="18"/>
  <c r="J357" i="3"/>
  <c r="J276" i="11"/>
  <c r="I71" i="3"/>
  <c r="M308" i="18"/>
  <c r="M150" i="18"/>
  <c r="I345" i="3"/>
  <c r="Y198" i="18"/>
  <c r="Y354" i="18"/>
  <c r="Y96" i="18"/>
  <c r="Z212" i="18"/>
  <c r="X296" i="18"/>
  <c r="I202" i="3"/>
  <c r="J253" i="11"/>
  <c r="K106" i="18"/>
  <c r="I153" i="3"/>
  <c r="AB100" i="18"/>
  <c r="N224" i="18"/>
  <c r="M192" i="18"/>
  <c r="K230" i="18"/>
  <c r="J64" i="11"/>
  <c r="L203" i="18"/>
  <c r="J440" i="11"/>
  <c r="AB233" i="18"/>
  <c r="J509" i="3"/>
  <c r="X108" i="18"/>
  <c r="N144" i="18"/>
  <c r="K135" i="18"/>
  <c r="G202" i="18"/>
  <c r="I273" i="18"/>
  <c r="F244" i="18"/>
  <c r="I351" i="3"/>
  <c r="Z226" i="18"/>
  <c r="N175" i="18"/>
  <c r="F193" i="18"/>
  <c r="G150" i="18"/>
  <c r="AA269" i="18"/>
  <c r="X146" i="18"/>
  <c r="J347" i="11"/>
  <c r="J480" i="3"/>
  <c r="I252" i="18"/>
  <c r="Y97" i="18"/>
  <c r="J223" i="3"/>
  <c r="F236" i="18"/>
  <c r="AB115" i="18"/>
  <c r="N212" i="18"/>
  <c r="I167" i="3"/>
  <c r="L315" i="18"/>
  <c r="M157" i="18"/>
  <c r="N341" i="18"/>
  <c r="M262" i="18"/>
  <c r="I218" i="11"/>
  <c r="L295" i="18"/>
  <c r="AB219" i="18"/>
  <c r="I98" i="18"/>
  <c r="I244" i="11"/>
  <c r="AB192" i="18"/>
  <c r="AA219" i="18"/>
  <c r="X190" i="18"/>
  <c r="K179" i="18"/>
  <c r="Y328" i="18"/>
  <c r="J466" i="3"/>
  <c r="I48" i="3"/>
  <c r="N231" i="18"/>
  <c r="Z186" i="18"/>
  <c r="AB221" i="18"/>
  <c r="I272" i="3"/>
  <c r="I43" i="3"/>
  <c r="AB293" i="18"/>
  <c r="J184" i="11"/>
  <c r="F233" i="18"/>
  <c r="J517" i="3"/>
  <c r="Y302" i="18"/>
  <c r="J355" i="11"/>
  <c r="I344" i="11"/>
  <c r="Z169" i="18"/>
  <c r="I28" i="3"/>
  <c r="G212" i="18"/>
  <c r="AA186" i="18"/>
  <c r="I427" i="3"/>
  <c r="I231" i="11"/>
  <c r="K223" i="18"/>
  <c r="I205" i="3"/>
  <c r="AB271" i="18"/>
  <c r="I345" i="18"/>
  <c r="L263" i="18"/>
  <c r="I416" i="11"/>
  <c r="AA244" i="18"/>
  <c r="I309" i="18"/>
  <c r="F352" i="18"/>
  <c r="M341" i="18"/>
  <c r="M202" i="18"/>
  <c r="I284" i="18"/>
  <c r="I245" i="3"/>
  <c r="M251" i="18"/>
  <c r="Y259" i="18"/>
  <c r="J491" i="11"/>
  <c r="M208" i="18"/>
  <c r="J342" i="11"/>
  <c r="L178" i="18"/>
  <c r="J516" i="3"/>
  <c r="AB170" i="18"/>
  <c r="Y238" i="18"/>
  <c r="N318" i="18"/>
  <c r="J299" i="11"/>
  <c r="I343" i="18"/>
  <c r="J502" i="3"/>
  <c r="AB165" i="18"/>
  <c r="M351" i="18"/>
  <c r="AA262" i="18"/>
  <c r="I430" i="11"/>
  <c r="F90" i="18"/>
  <c r="Z271" i="18"/>
  <c r="Y305" i="18"/>
  <c r="K125" i="18"/>
  <c r="N254" i="18"/>
  <c r="J407" i="11"/>
  <c r="I49" i="3"/>
  <c r="J436" i="11"/>
  <c r="F317" i="18"/>
  <c r="I253" i="11"/>
  <c r="G205" i="18"/>
  <c r="G367" i="18"/>
  <c r="AA169" i="18"/>
  <c r="K310" i="18"/>
  <c r="I420" i="3"/>
  <c r="G233" i="18"/>
  <c r="AB295" i="18"/>
  <c r="J184" i="3"/>
  <c r="G126" i="18"/>
  <c r="I53" i="3"/>
  <c r="I161" i="18"/>
  <c r="K250" i="18"/>
  <c r="Z366" i="18"/>
  <c r="K114" i="18"/>
  <c r="L180" i="18"/>
  <c r="I535" i="3"/>
  <c r="J231" i="11"/>
  <c r="G192" i="18"/>
  <c r="Y330" i="18"/>
  <c r="G84" i="18"/>
  <c r="I181" i="18"/>
  <c r="Z184" i="18"/>
  <c r="AA327" i="18"/>
  <c r="K319" i="18"/>
  <c r="Y130" i="18"/>
  <c r="J430" i="3"/>
  <c r="G177" i="18"/>
  <c r="J56" i="11"/>
  <c r="X160" i="18"/>
  <c r="AB91" i="18"/>
  <c r="N366" i="18"/>
  <c r="J505" i="11"/>
  <c r="Y308" i="18"/>
  <c r="I356" i="18"/>
  <c r="F258" i="18"/>
  <c r="J32" i="3"/>
  <c r="I435" i="3"/>
  <c r="I311" i="3"/>
  <c r="AB128" i="18"/>
  <c r="N245" i="18"/>
  <c r="I321" i="11"/>
  <c r="M92" i="18"/>
  <c r="F329" i="18"/>
  <c r="M85" i="18"/>
  <c r="J159" i="11"/>
  <c r="AA137" i="18"/>
  <c r="F180" i="18"/>
  <c r="I466" i="11"/>
  <c r="Z345" i="18"/>
  <c r="AA142" i="18"/>
  <c r="AA366" i="18"/>
  <c r="N338" i="18"/>
  <c r="I336" i="11"/>
  <c r="X135" i="18"/>
  <c r="L333" i="18"/>
  <c r="M137" i="18"/>
  <c r="I102" i="18"/>
  <c r="I440" i="3"/>
  <c r="X152" i="18"/>
  <c r="AB116" i="18"/>
  <c r="I94" i="18"/>
  <c r="AB354" i="18"/>
  <c r="J361" i="3"/>
  <c r="N260" i="18"/>
  <c r="I350" i="18"/>
  <c r="AB273" i="18"/>
  <c r="J158" i="3"/>
  <c r="F120" i="18"/>
  <c r="AB188" i="18"/>
  <c r="J131" i="3"/>
  <c r="G97" i="18"/>
  <c r="G204" i="18"/>
  <c r="F344" i="18"/>
  <c r="G101" i="18"/>
  <c r="I341" i="3"/>
  <c r="N274" i="18"/>
  <c r="L227" i="18"/>
  <c r="M245" i="18"/>
  <c r="J397" i="11"/>
  <c r="I120" i="18"/>
  <c r="J546" i="3"/>
  <c r="F124" i="18"/>
  <c r="N96" i="18"/>
  <c r="L279" i="18"/>
  <c r="J510" i="11"/>
  <c r="N321" i="18"/>
  <c r="Z236" i="18"/>
  <c r="L218" i="18"/>
  <c r="N313" i="18"/>
  <c r="Y215" i="18"/>
  <c r="AB101" i="18"/>
  <c r="F294" i="18"/>
  <c r="I222" i="11"/>
  <c r="Y108" i="18"/>
  <c r="AA146" i="18"/>
  <c r="Y325" i="18"/>
  <c r="J294" i="11"/>
  <c r="F350" i="18"/>
  <c r="M313" i="18"/>
  <c r="Y221" i="18"/>
  <c r="J174" i="11"/>
  <c r="J354" i="3"/>
  <c r="M229" i="18"/>
  <c r="G224" i="18"/>
  <c r="AA162" i="18"/>
  <c r="W162" i="18" s="1"/>
  <c r="Y239" i="18"/>
  <c r="M342" i="18"/>
  <c r="J446" i="11"/>
  <c r="I202" i="11"/>
  <c r="J177" i="11"/>
  <c r="F286" i="18"/>
  <c r="AA365" i="18"/>
  <c r="J66" i="11"/>
  <c r="I147" i="3"/>
  <c r="X352" i="18"/>
  <c r="AB155" i="18"/>
  <c r="I240" i="11"/>
  <c r="Y90" i="18"/>
  <c r="J474" i="3"/>
  <c r="AA213" i="18"/>
  <c r="M126" i="18"/>
  <c r="I277" i="18"/>
  <c r="F177" i="18"/>
  <c r="Y211" i="18"/>
  <c r="I506" i="3"/>
  <c r="X355" i="18"/>
  <c r="I423" i="11"/>
  <c r="Z150" i="18"/>
  <c r="L121" i="18"/>
  <c r="K198" i="18"/>
  <c r="I184" i="3"/>
  <c r="K171" i="18"/>
  <c r="AA361" i="18"/>
  <c r="J137" i="3"/>
  <c r="Z225" i="18"/>
  <c r="J284" i="11"/>
  <c r="J44" i="3"/>
  <c r="N361" i="18"/>
  <c r="N298" i="18"/>
  <c r="Y362" i="18"/>
  <c r="Z187" i="18"/>
  <c r="I508" i="3"/>
  <c r="G142" i="18"/>
  <c r="G285" i="18"/>
  <c r="F273" i="18"/>
  <c r="X115" i="18"/>
  <c r="I148" i="18"/>
  <c r="I464" i="11"/>
  <c r="Y298" i="18"/>
  <c r="J382" i="3"/>
  <c r="G266" i="18"/>
  <c r="J340" i="11"/>
  <c r="J112" i="3"/>
  <c r="J476" i="3"/>
  <c r="I45" i="11"/>
  <c r="Z163" i="18"/>
  <c r="J205" i="11"/>
  <c r="Y134" i="18"/>
  <c r="N355" i="18"/>
  <c r="N179" i="18"/>
  <c r="L276" i="18"/>
  <c r="AA266" i="18"/>
  <c r="L91" i="18"/>
  <c r="I137" i="11"/>
  <c r="AB210" i="18"/>
  <c r="N140" i="18"/>
  <c r="I153" i="18"/>
  <c r="Y131" i="18"/>
  <c r="M88" i="18"/>
  <c r="Y210" i="18"/>
  <c r="J147" i="3"/>
  <c r="N211" i="18"/>
  <c r="N185" i="18"/>
  <c r="AB214" i="18"/>
  <c r="AB190" i="18"/>
  <c r="Z353" i="18"/>
  <c r="J54" i="11"/>
  <c r="AA97" i="18"/>
  <c r="J427" i="11"/>
  <c r="I373" i="11"/>
  <c r="G239" i="18"/>
  <c r="AA109" i="18"/>
  <c r="M176" i="18"/>
  <c r="L105" i="18"/>
  <c r="I145" i="3"/>
  <c r="Y183" i="18"/>
  <c r="N284" i="18"/>
  <c r="I131" i="18"/>
  <c r="AB89" i="18"/>
  <c r="X224" i="18"/>
  <c r="M253" i="18"/>
  <c r="J124" i="3"/>
  <c r="J259" i="3"/>
  <c r="AB336" i="18"/>
  <c r="AB237" i="18"/>
  <c r="I70" i="3"/>
  <c r="AB154" i="18"/>
  <c r="L103" i="18"/>
  <c r="X369" i="18"/>
  <c r="AA348" i="18"/>
  <c r="M273" i="18"/>
  <c r="F211" i="18"/>
  <c r="M173" i="18"/>
  <c r="N272" i="18"/>
  <c r="X205" i="18"/>
  <c r="I213" i="3"/>
  <c r="I293" i="18"/>
  <c r="X341" i="18"/>
  <c r="L261" i="18"/>
  <c r="J235" i="11"/>
  <c r="M333" i="18"/>
  <c r="AA280" i="18"/>
  <c r="I442" i="11"/>
  <c r="J361" i="11"/>
  <c r="N289" i="18"/>
  <c r="I302" i="3"/>
  <c r="N332" i="18"/>
  <c r="J107" i="3"/>
  <c r="J389" i="11"/>
  <c r="I102" i="11"/>
  <c r="I489" i="11"/>
  <c r="L265" i="18"/>
  <c r="I546" i="3"/>
  <c r="N103" i="18"/>
  <c r="Z244" i="18"/>
  <c r="I512" i="11"/>
  <c r="Z157" i="18"/>
  <c r="J171" i="11"/>
  <c r="Y282" i="18"/>
  <c r="F174" i="18"/>
  <c r="L310" i="18"/>
  <c r="I517" i="3"/>
  <c r="K254" i="18"/>
  <c r="M89" i="18"/>
  <c r="I224" i="3"/>
  <c r="F87" i="18"/>
  <c r="I62" i="3"/>
  <c r="I455" i="11"/>
  <c r="K102" i="18"/>
  <c r="AB127" i="18"/>
  <c r="G214" i="18"/>
  <c r="X353" i="18"/>
  <c r="Z290" i="18"/>
  <c r="Z346" i="18"/>
  <c r="M116" i="18"/>
  <c r="Y349" i="18"/>
  <c r="M240" i="18"/>
  <c r="X125" i="18"/>
  <c r="X112" i="18"/>
  <c r="J182" i="3"/>
  <c r="I340" i="3"/>
  <c r="F219" i="18"/>
  <c r="J343" i="3"/>
  <c r="AB131" i="18"/>
  <c r="N293" i="18"/>
  <c r="M167" i="18"/>
  <c r="Z343" i="18"/>
  <c r="Z220" i="18"/>
  <c r="K161" i="18"/>
  <c r="I100" i="3"/>
  <c r="I455" i="3"/>
  <c r="F290" i="18"/>
  <c r="K248" i="18"/>
  <c r="AB259" i="18"/>
  <c r="AB209" i="18"/>
  <c r="I386" i="3"/>
  <c r="F284" i="18"/>
  <c r="I311" i="18"/>
  <c r="J91" i="3"/>
  <c r="AA223" i="18"/>
  <c r="L158" i="18"/>
  <c r="K216" i="18"/>
  <c r="J247" i="11"/>
  <c r="X332" i="18"/>
  <c r="M284" i="18"/>
  <c r="I324" i="11"/>
  <c r="K201" i="18"/>
  <c r="J62" i="11"/>
  <c r="AB358" i="18"/>
  <c r="N251" i="18"/>
  <c r="J347" i="3"/>
  <c r="Y319" i="18"/>
  <c r="J461" i="11"/>
  <c r="J273" i="3"/>
  <c r="N131" i="18"/>
  <c r="N275" i="18"/>
  <c r="J456" i="3"/>
  <c r="J109" i="3"/>
  <c r="AB218" i="18"/>
  <c r="AB241" i="18"/>
  <c r="J493" i="3"/>
  <c r="G304" i="18"/>
  <c r="G199" i="18"/>
  <c r="AA206" i="18"/>
  <c r="AA359" i="18"/>
  <c r="I242" i="3"/>
  <c r="G137" i="18"/>
  <c r="J341" i="3"/>
  <c r="I90" i="18"/>
  <c r="I167" i="11"/>
  <c r="K157" i="18"/>
  <c r="J86" i="3"/>
  <c r="F123" i="18"/>
  <c r="AB365" i="18"/>
  <c r="AB120" i="18"/>
  <c r="AB239" i="18"/>
  <c r="Z292" i="18"/>
  <c r="I27" i="3"/>
  <c r="I158" i="11"/>
  <c r="G368" i="18"/>
  <c r="G172" i="18"/>
  <c r="I290" i="3"/>
  <c r="I178" i="18"/>
  <c r="AA93" i="18"/>
  <c r="AB294" i="18"/>
  <c r="N270" i="18"/>
  <c r="N300" i="18"/>
  <c r="J330" i="3"/>
  <c r="X270" i="18"/>
  <c r="G294" i="18"/>
  <c r="N328" i="18"/>
  <c r="I204" i="3"/>
  <c r="Z306" i="18"/>
  <c r="I95" i="11"/>
  <c r="F175" i="18"/>
  <c r="Y311" i="18"/>
  <c r="I271" i="3"/>
  <c r="AA261" i="18"/>
  <c r="G152" i="18"/>
  <c r="K365" i="18"/>
  <c r="F289" i="18"/>
  <c r="I92" i="3"/>
  <c r="Y285" i="18"/>
  <c r="Z160" i="18"/>
  <c r="G110" i="18"/>
  <c r="I239" i="18"/>
  <c r="K261" i="18"/>
  <c r="AA247" i="18"/>
  <c r="F95" i="18"/>
  <c r="I57" i="3"/>
  <c r="Z317" i="18"/>
  <c r="AB350" i="18"/>
  <c r="AA272" i="18"/>
  <c r="I56" i="3"/>
  <c r="Y103" i="18"/>
  <c r="J263" i="11"/>
  <c r="I187" i="3"/>
  <c r="X302" i="18"/>
  <c r="N331" i="18"/>
  <c r="I399" i="3"/>
  <c r="I361" i="3"/>
  <c r="I97" i="18"/>
  <c r="M204" i="18"/>
  <c r="Z218" i="18"/>
  <c r="N128" i="18"/>
  <c r="X347" i="18"/>
  <c r="I156" i="11"/>
  <c r="I111" i="18"/>
  <c r="Z134" i="18"/>
  <c r="I243" i="18"/>
  <c r="X291" i="18"/>
  <c r="M292" i="18"/>
  <c r="G305" i="18"/>
  <c r="L296" i="18"/>
  <c r="AA292" i="18"/>
  <c r="M120" i="18"/>
  <c r="I249" i="18"/>
  <c r="I368" i="11"/>
  <c r="M299" i="18"/>
  <c r="J222" i="3"/>
  <c r="J384" i="3"/>
  <c r="I122" i="18"/>
  <c r="J187" i="11"/>
  <c r="I206" i="3"/>
  <c r="I288" i="18"/>
  <c r="G277" i="18"/>
  <c r="L340" i="18"/>
  <c r="X196" i="18"/>
  <c r="J435" i="3"/>
  <c r="AB228" i="18"/>
  <c r="I184" i="11"/>
  <c r="K351" i="18"/>
  <c r="F282" i="18"/>
  <c r="X247" i="18"/>
  <c r="K335" i="18"/>
  <c r="X93" i="18"/>
  <c r="I145" i="18"/>
  <c r="J316" i="3"/>
  <c r="J465" i="11"/>
  <c r="G179" i="18"/>
  <c r="AA202" i="18"/>
  <c r="W202" i="18" s="1"/>
  <c r="L233" i="18"/>
  <c r="J364" i="3"/>
  <c r="J222" i="11"/>
  <c r="X363" i="18"/>
  <c r="G348" i="18"/>
  <c r="J399" i="3"/>
  <c r="I161" i="11"/>
  <c r="Z196" i="18"/>
  <c r="I335" i="3"/>
  <c r="I76" i="11"/>
  <c r="AB82" i="18"/>
  <c r="Y89" i="18"/>
  <c r="AA285" i="18"/>
  <c r="M278" i="18"/>
  <c r="J246" i="3"/>
  <c r="L237" i="18"/>
  <c r="K107" i="18"/>
  <c r="I374" i="11"/>
  <c r="J228" i="11"/>
  <c r="I432" i="3"/>
  <c r="I445" i="11"/>
  <c r="J220" i="3"/>
  <c r="J511" i="3"/>
  <c r="J300" i="11"/>
  <c r="K204" i="18"/>
  <c r="Y332" i="18"/>
  <c r="F224" i="18"/>
  <c r="Z151" i="18"/>
  <c r="J317" i="3"/>
  <c r="J405" i="3"/>
  <c r="I197" i="3"/>
  <c r="J202" i="11"/>
  <c r="I359" i="18"/>
  <c r="Y358" i="18"/>
  <c r="M148" i="18"/>
  <c r="AA291" i="18"/>
  <c r="G258" i="18"/>
  <c r="G220" i="18"/>
  <c r="L151" i="18"/>
  <c r="F147" i="18"/>
  <c r="K228" i="18"/>
  <c r="I85" i="18"/>
  <c r="AA306" i="18"/>
  <c r="J283" i="3"/>
  <c r="J371" i="3"/>
  <c r="I109" i="11"/>
  <c r="L93" i="18"/>
  <c r="G361" i="18"/>
  <c r="F96" i="18"/>
  <c r="AB335" i="18"/>
  <c r="L169" i="18"/>
  <c r="L240" i="18"/>
  <c r="K194" i="18"/>
  <c r="G268" i="18"/>
  <c r="X273" i="18"/>
  <c r="F213" i="18"/>
  <c r="K333" i="18"/>
  <c r="I531" i="3"/>
  <c r="J55" i="3"/>
  <c r="J90" i="3"/>
  <c r="F342" i="18"/>
  <c r="I206" i="18"/>
  <c r="J219" i="11"/>
  <c r="N178" i="18"/>
  <c r="N97" i="18"/>
  <c r="N241" i="18"/>
  <c r="J328" i="11"/>
  <c r="X156" i="18"/>
  <c r="G144" i="18"/>
  <c r="J181" i="11"/>
  <c r="I340" i="11"/>
  <c r="Y207" i="18"/>
  <c r="F184" i="18"/>
  <c r="X91" i="18"/>
  <c r="M119" i="18"/>
  <c r="X94" i="18"/>
  <c r="L189" i="18"/>
  <c r="I469" i="3"/>
  <c r="L361" i="18"/>
  <c r="N308" i="18"/>
  <c r="G347" i="18"/>
  <c r="AA358" i="18"/>
  <c r="K86" i="18"/>
  <c r="Z99" i="18"/>
  <c r="AA238" i="18"/>
  <c r="Y87" i="18"/>
  <c r="I123" i="3"/>
  <c r="X187" i="18"/>
  <c r="N301" i="18"/>
  <c r="L338" i="18"/>
  <c r="AA282" i="18"/>
  <c r="Y242" i="18"/>
  <c r="F239" i="18"/>
  <c r="Z326" i="18"/>
  <c r="AA171" i="18"/>
  <c r="AB129" i="18"/>
  <c r="N181" i="18"/>
  <c r="M353" i="18"/>
  <c r="K186" i="18"/>
  <c r="I280" i="18"/>
  <c r="G300" i="18"/>
  <c r="I547" i="3"/>
  <c r="I187" i="18"/>
  <c r="M296" i="18"/>
  <c r="F293" i="18"/>
  <c r="J245" i="11"/>
  <c r="I188" i="3"/>
  <c r="I276" i="18"/>
  <c r="I83" i="3"/>
  <c r="AA120" i="18"/>
  <c r="AB261" i="18"/>
  <c r="I343" i="3"/>
  <c r="M282" i="18"/>
  <c r="G166" i="18"/>
  <c r="I177" i="3"/>
  <c r="L125" i="18"/>
  <c r="N88" i="18"/>
  <c r="N163" i="18"/>
  <c r="I295" i="3"/>
  <c r="J52" i="3"/>
  <c r="J140" i="11"/>
  <c r="F191" i="18"/>
  <c r="Y175" i="18"/>
  <c r="X225" i="18"/>
  <c r="J74" i="3"/>
  <c r="AA260" i="18"/>
  <c r="K244" i="18"/>
  <c r="Y244" i="18"/>
  <c r="M345" i="18"/>
  <c r="I137" i="18"/>
  <c r="AA101" i="18"/>
  <c r="J443" i="3"/>
  <c r="G191" i="18"/>
  <c r="N265" i="18"/>
  <c r="L176" i="18"/>
  <c r="L92" i="18"/>
  <c r="L143" i="18"/>
  <c r="M232" i="18"/>
  <c r="AB345" i="18"/>
  <c r="Z158" i="18"/>
  <c r="I181" i="11"/>
  <c r="I190" i="11"/>
  <c r="G240" i="18"/>
  <c r="M233" i="18"/>
  <c r="J254" i="11"/>
  <c r="I295" i="11"/>
  <c r="Z199" i="18"/>
  <c r="J152" i="3"/>
  <c r="F307" i="18"/>
  <c r="I461" i="3"/>
  <c r="J209" i="11"/>
  <c r="I134" i="11"/>
  <c r="AA105" i="18"/>
  <c r="AA252" i="18"/>
  <c r="Z90" i="18"/>
  <c r="N350" i="18"/>
  <c r="K283" i="18"/>
  <c r="X212" i="18"/>
  <c r="M252" i="18"/>
  <c r="J187" i="3"/>
  <c r="M274" i="18"/>
  <c r="Y258" i="18"/>
  <c r="AA333" i="18"/>
  <c r="J458" i="11"/>
  <c r="L360" i="18"/>
  <c r="X308" i="18"/>
  <c r="N359" i="18"/>
  <c r="Y257" i="18"/>
  <c r="I126" i="18"/>
  <c r="N365" i="18"/>
  <c r="N134" i="18"/>
  <c r="F358" i="18"/>
  <c r="J42" i="3"/>
  <c r="M181" i="18"/>
  <c r="F185" i="18"/>
  <c r="Y348" i="18"/>
  <c r="K293" i="18"/>
  <c r="I228" i="3"/>
  <c r="J160" i="11"/>
  <c r="I218" i="18"/>
  <c r="J183" i="11"/>
  <c r="I391" i="3"/>
  <c r="K224" i="18"/>
  <c r="I402" i="3"/>
  <c r="I89" i="3"/>
  <c r="I210" i="3"/>
  <c r="I264" i="18"/>
  <c r="K117" i="18"/>
  <c r="AB130" i="18"/>
  <c r="L306" i="18"/>
  <c r="J344" i="3"/>
  <c r="L277" i="18"/>
  <c r="F181" i="18"/>
  <c r="K195" i="18"/>
  <c r="N189" i="18"/>
  <c r="J314" i="11"/>
  <c r="I225" i="3"/>
  <c r="L215" i="18"/>
  <c r="AA283" i="18"/>
  <c r="I293" i="3"/>
  <c r="I230" i="18"/>
  <c r="AA270" i="18"/>
  <c r="K83" i="18"/>
  <c r="N115" i="18"/>
  <c r="I493" i="3"/>
  <c r="I305" i="18"/>
  <c r="F266" i="18"/>
  <c r="I491" i="3"/>
  <c r="Y252" i="18"/>
  <c r="L152" i="18"/>
  <c r="X129" i="18"/>
  <c r="I107" i="3"/>
  <c r="K336" i="18"/>
  <c r="J145" i="3"/>
  <c r="L352" i="18"/>
  <c r="AA344" i="18"/>
  <c r="AA165" i="18"/>
  <c r="AA243" i="18"/>
  <c r="F196" i="18"/>
  <c r="L293" i="18"/>
  <c r="I365" i="18"/>
  <c r="J421" i="3"/>
  <c r="J26" i="3"/>
  <c r="K350" i="18"/>
  <c r="J185" i="3"/>
  <c r="N87" i="18"/>
  <c r="I121" i="3"/>
  <c r="I327" i="3"/>
  <c r="G346" i="18"/>
  <c r="AB217" i="18"/>
  <c r="K148" i="18"/>
  <c r="N173" i="18"/>
  <c r="AA126" i="18"/>
  <c r="N233" i="18"/>
  <c r="L347" i="18"/>
  <c r="I285" i="11"/>
  <c r="J324" i="11"/>
  <c r="J94" i="3"/>
  <c r="J475" i="3"/>
  <c r="J402" i="3"/>
  <c r="N337" i="18"/>
  <c r="X133" i="18"/>
  <c r="I297" i="18"/>
  <c r="J395" i="3"/>
  <c r="AB274" i="18"/>
  <c r="X271" i="18"/>
  <c r="Y249" i="18"/>
  <c r="I477" i="3"/>
  <c r="N86" i="18"/>
  <c r="X147" i="18"/>
  <c r="I355" i="3"/>
  <c r="Y194" i="18"/>
  <c r="K206" i="18"/>
  <c r="I300" i="18"/>
  <c r="J385" i="11"/>
  <c r="J269" i="11"/>
  <c r="J549" i="3"/>
  <c r="AA176" i="18"/>
  <c r="J417" i="3"/>
  <c r="M312" i="18"/>
  <c r="L128" i="18"/>
  <c r="I52" i="11"/>
  <c r="X148" i="18"/>
  <c r="Z349" i="18"/>
  <c r="J276" i="3"/>
  <c r="L292" i="18"/>
  <c r="J307" i="11"/>
  <c r="I521" i="3"/>
  <c r="J304" i="3"/>
  <c r="M132" i="18"/>
  <c r="I350" i="11"/>
  <c r="K315" i="18"/>
  <c r="L246" i="18"/>
  <c r="Y359" i="18"/>
  <c r="Z217" i="18"/>
  <c r="L298" i="18"/>
  <c r="K316" i="18"/>
  <c r="I155" i="3"/>
  <c r="I110" i="3"/>
  <c r="J103" i="11"/>
  <c r="AA233" i="18"/>
  <c r="I246" i="11"/>
  <c r="M161" i="18"/>
  <c r="I65" i="11"/>
  <c r="K361" i="18"/>
  <c r="AA196" i="18"/>
  <c r="W196" i="18" s="1"/>
  <c r="Y200" i="18"/>
  <c r="AB105" i="18"/>
  <c r="X304" i="18"/>
  <c r="X122" i="18"/>
  <c r="AA271" i="18"/>
  <c r="I251" i="11"/>
  <c r="N165" i="18"/>
  <c r="Z309" i="18"/>
  <c r="I243" i="3"/>
  <c r="Y245" i="18"/>
  <c r="Z194" i="18"/>
  <c r="J550" i="3"/>
  <c r="J292" i="3"/>
  <c r="I333" i="11"/>
  <c r="F237" i="18"/>
  <c r="L179" i="18"/>
  <c r="I281" i="11"/>
  <c r="J208" i="11"/>
  <c r="Z140" i="18"/>
  <c r="J408" i="11"/>
  <c r="J216" i="11"/>
  <c r="I198" i="18"/>
  <c r="L160" i="18"/>
  <c r="I496" i="11"/>
  <c r="J176" i="11"/>
  <c r="F97" i="18"/>
  <c r="Z231" i="18"/>
  <c r="I234" i="11"/>
  <c r="L341" i="18"/>
  <c r="I289" i="18"/>
  <c r="L95" i="18"/>
  <c r="AA204" i="18"/>
  <c r="Y195" i="18"/>
  <c r="J169" i="11"/>
  <c r="F132" i="18"/>
  <c r="F280" i="18"/>
  <c r="J42" i="11"/>
  <c r="J121" i="11"/>
  <c r="AA172" i="18"/>
  <c r="N351" i="18"/>
  <c r="F240" i="18"/>
  <c r="X245" i="18"/>
  <c r="I402" i="11"/>
  <c r="F227" i="18"/>
  <c r="K267" i="18"/>
  <c r="Z172" i="18"/>
  <c r="F359" i="18"/>
  <c r="AA183" i="18"/>
  <c r="N171" i="18"/>
  <c r="AA276" i="18"/>
  <c r="J390" i="11"/>
  <c r="AB316" i="18"/>
  <c r="F109" i="18"/>
  <c r="X236" i="18"/>
  <c r="Y268" i="18"/>
  <c r="Z181" i="18"/>
  <c r="X99" i="18"/>
  <c r="K251" i="18"/>
  <c r="Z230" i="18"/>
  <c r="L355" i="18"/>
  <c r="I211" i="3"/>
  <c r="AA355" i="18"/>
  <c r="J244" i="3"/>
  <c r="I307" i="18"/>
  <c r="X354" i="18"/>
  <c r="Y159" i="18"/>
  <c r="I413" i="11"/>
  <c r="AA139" i="18"/>
  <c r="Y98" i="18"/>
  <c r="J266" i="3"/>
  <c r="I506" i="11"/>
  <c r="K292" i="18"/>
  <c r="AB290" i="18"/>
  <c r="AB196" i="18"/>
  <c r="AA208" i="18"/>
  <c r="I420" i="11"/>
  <c r="AA153" i="18"/>
  <c r="K122" i="18"/>
  <c r="L219" i="18"/>
  <c r="N159" i="18"/>
  <c r="K221" i="18"/>
  <c r="I210" i="11"/>
  <c r="J114" i="3"/>
  <c r="AB205" i="18"/>
  <c r="J108" i="11"/>
  <c r="L357" i="18"/>
  <c r="N287" i="18"/>
  <c r="Z302" i="18"/>
  <c r="Z321" i="18"/>
  <c r="N340" i="18"/>
  <c r="N177" i="18"/>
  <c r="F212" i="18"/>
  <c r="X119" i="18"/>
  <c r="J257" i="11"/>
  <c r="K300" i="18"/>
  <c r="G261" i="18"/>
  <c r="J505" i="3"/>
  <c r="G303" i="18"/>
  <c r="I268" i="3"/>
  <c r="J500" i="11"/>
  <c r="AA351" i="18"/>
  <c r="J159" i="3"/>
  <c r="Y165" i="18"/>
  <c r="J290" i="3"/>
  <c r="I176" i="18"/>
  <c r="I91" i="3"/>
  <c r="F291" i="18"/>
  <c r="N139" i="18"/>
  <c r="I357" i="18"/>
  <c r="M327" i="18"/>
  <c r="AA296" i="18"/>
  <c r="F311" i="18"/>
  <c r="AA328" i="18"/>
  <c r="W328" i="18" s="1"/>
  <c r="I311" i="11"/>
  <c r="I60" i="11"/>
  <c r="I493" i="11"/>
  <c r="L108" i="18"/>
  <c r="AA350" i="18"/>
  <c r="X197" i="18"/>
  <c r="Y363" i="18"/>
  <c r="I379" i="11"/>
  <c r="J102" i="3"/>
  <c r="I127" i="11"/>
  <c r="I273" i="11"/>
  <c r="I411" i="11"/>
  <c r="AA353" i="18"/>
  <c r="AB283" i="18"/>
  <c r="AA111" i="18"/>
  <c r="I36" i="3"/>
  <c r="I111" i="3"/>
  <c r="I116" i="11"/>
  <c r="K144" i="18"/>
  <c r="G186" i="18"/>
  <c r="J504" i="11"/>
  <c r="Y115" i="18"/>
  <c r="X172" i="18"/>
  <c r="J460" i="3"/>
  <c r="J343" i="11"/>
  <c r="X199" i="18"/>
  <c r="I421" i="11"/>
  <c r="K278" i="18"/>
  <c r="F241" i="18"/>
  <c r="K360" i="18"/>
  <c r="I92" i="11"/>
  <c r="L236" i="18"/>
  <c r="Y209" i="18"/>
  <c r="AA211" i="18"/>
  <c r="M354" i="18"/>
  <c r="AB182" i="18"/>
  <c r="F274" i="18"/>
  <c r="J209" i="3"/>
  <c r="AA298" i="18"/>
  <c r="AB279" i="18"/>
  <c r="G129" i="18"/>
  <c r="AB186" i="18"/>
  <c r="J393" i="3"/>
  <c r="X206" i="18"/>
  <c r="I285" i="3"/>
  <c r="Y310" i="18"/>
  <c r="J383" i="3"/>
  <c r="L156" i="18"/>
  <c r="G272" i="18"/>
  <c r="X222" i="18"/>
  <c r="K100" i="18"/>
  <c r="M105" i="18"/>
  <c r="N174" i="18"/>
  <c r="I439" i="3"/>
  <c r="I120" i="3"/>
  <c r="I437" i="11"/>
  <c r="L362" i="18"/>
  <c r="AA112" i="18"/>
  <c r="F206" i="18"/>
  <c r="J332" i="11"/>
  <c r="Z210" i="18"/>
  <c r="M211" i="18"/>
  <c r="J431" i="3"/>
  <c r="G98" i="18"/>
  <c r="G158" i="18"/>
  <c r="AA193" i="18"/>
  <c r="N136" i="18"/>
  <c r="G253" i="18"/>
  <c r="Z356" i="18"/>
  <c r="L327" i="18"/>
  <c r="K303" i="18"/>
  <c r="F295" i="18"/>
  <c r="J392" i="11"/>
  <c r="Y356" i="18"/>
  <c r="Z265" i="18"/>
  <c r="G301" i="18"/>
  <c r="L343" i="18"/>
  <c r="N229" i="18"/>
  <c r="I233" i="18"/>
  <c r="AA254" i="18"/>
  <c r="I479" i="11"/>
  <c r="L313" i="18"/>
  <c r="J132" i="11"/>
  <c r="K111" i="18"/>
  <c r="J230" i="3"/>
  <c r="L369" i="18"/>
  <c r="Z183" i="18"/>
  <c r="J97" i="11"/>
  <c r="AB142" i="18"/>
  <c r="I249" i="11"/>
  <c r="J271" i="11"/>
  <c r="Z313" i="18"/>
  <c r="J426" i="11"/>
  <c r="Z272" i="18"/>
  <c r="K362" i="18"/>
  <c r="I23" i="3"/>
  <c r="J37" i="3"/>
  <c r="I377" i="11"/>
  <c r="I366" i="11"/>
  <c r="I463" i="11"/>
  <c r="I486" i="3"/>
  <c r="AB122" i="18"/>
  <c r="AB331" i="18"/>
  <c r="G282" i="18"/>
  <c r="N291" i="18"/>
  <c r="Y202" i="18"/>
  <c r="M189" i="18"/>
  <c r="M83" i="18"/>
  <c r="G339" i="18"/>
  <c r="AA225" i="18"/>
  <c r="F369" i="18"/>
  <c r="I282" i="3"/>
  <c r="I180" i="18"/>
  <c r="AA199" i="18"/>
  <c r="Y158" i="18"/>
  <c r="M133" i="18"/>
  <c r="I90" i="11"/>
  <c r="M337" i="18"/>
  <c r="AB298" i="18"/>
  <c r="J56" i="3"/>
  <c r="Z283" i="18"/>
  <c r="I322" i="3"/>
  <c r="L85" i="18"/>
  <c r="K331" i="18"/>
  <c r="L200" i="18"/>
  <c r="J306" i="3"/>
  <c r="J49" i="3"/>
  <c r="N217" i="18"/>
  <c r="F337" i="18"/>
  <c r="I338" i="3"/>
  <c r="AA293" i="18"/>
  <c r="Z282" i="18"/>
  <c r="J281" i="3"/>
  <c r="I276" i="11"/>
  <c r="X182" i="18"/>
  <c r="K134" i="18"/>
  <c r="X275" i="18"/>
  <c r="X292" i="18"/>
  <c r="M363" i="18"/>
  <c r="G267" i="18"/>
  <c r="K229" i="18"/>
  <c r="K255" i="18"/>
  <c r="I179" i="3"/>
  <c r="X136" i="18"/>
  <c r="AA210" i="18"/>
  <c r="F269" i="18"/>
  <c r="AB141" i="18"/>
  <c r="K152" i="18"/>
  <c r="I78" i="3"/>
  <c r="Y290" i="18"/>
  <c r="X111" i="18"/>
  <c r="I432" i="11"/>
  <c r="L142" i="18"/>
  <c r="J142" i="3"/>
  <c r="G288" i="18"/>
  <c r="J226" i="11"/>
  <c r="K133" i="18"/>
  <c r="I539" i="3"/>
  <c r="Z127" i="18"/>
  <c r="J199" i="3"/>
  <c r="N344" i="18"/>
  <c r="J336" i="11"/>
  <c r="I109" i="3"/>
  <c r="G323" i="18"/>
  <c r="Y125" i="18"/>
  <c r="K274" i="18"/>
  <c r="N110" i="18"/>
  <c r="J192" i="11"/>
  <c r="L197" i="18"/>
  <c r="I270" i="3"/>
  <c r="I326" i="11"/>
  <c r="I527" i="3"/>
  <c r="F103" i="18"/>
  <c r="L346" i="18"/>
  <c r="F332" i="18"/>
  <c r="M138" i="18"/>
  <c r="F321" i="18"/>
  <c r="Y110" i="18"/>
  <c r="Y107" i="18"/>
  <c r="L111" i="18"/>
  <c r="L262" i="18"/>
  <c r="I265" i="18"/>
  <c r="AA336" i="18"/>
  <c r="W336" i="18" s="1"/>
  <c r="Z242" i="18"/>
  <c r="I132" i="11"/>
  <c r="F199" i="18"/>
  <c r="L119" i="18"/>
  <c r="X321" i="18"/>
  <c r="X110" i="18"/>
  <c r="M222" i="18"/>
  <c r="I150" i="3"/>
  <c r="M231" i="18"/>
  <c r="AA141" i="18"/>
  <c r="AA295" i="18"/>
  <c r="L245" i="18"/>
  <c r="I64" i="11"/>
  <c r="J507" i="11"/>
  <c r="G319" i="18"/>
  <c r="X126" i="18"/>
  <c r="J195" i="3"/>
  <c r="Z182" i="18"/>
  <c r="X232" i="18"/>
  <c r="G180" i="18"/>
  <c r="I110" i="18"/>
  <c r="J191" i="3"/>
  <c r="AB172" i="18"/>
  <c r="G108" i="18"/>
  <c r="Z84" i="18"/>
  <c r="AB300" i="18"/>
  <c r="Y355" i="18"/>
  <c r="M188" i="18"/>
  <c r="I221" i="3"/>
  <c r="AA220" i="18"/>
  <c r="AB254" i="18"/>
  <c r="I406" i="3"/>
  <c r="I188" i="18"/>
  <c r="Z174" i="18"/>
  <c r="AB207" i="18"/>
  <c r="I152" i="11"/>
  <c r="J65" i="11"/>
  <c r="I86" i="3"/>
  <c r="AB161" i="18"/>
  <c r="K126" i="18"/>
  <c r="X104" i="18"/>
  <c r="L199" i="18"/>
  <c r="J247" i="3"/>
  <c r="L139" i="18"/>
  <c r="AB343" i="18"/>
  <c r="J477" i="3"/>
  <c r="Y340" i="18"/>
  <c r="I416" i="3"/>
  <c r="X307" i="18"/>
  <c r="I84" i="3"/>
  <c r="J431" i="11"/>
  <c r="Z166" i="18"/>
  <c r="X194" i="18"/>
  <c r="I156" i="18"/>
  <c r="J335" i="11"/>
  <c r="I191" i="11"/>
  <c r="Y235" i="18"/>
  <c r="N116" i="18"/>
  <c r="F308" i="18"/>
  <c r="J386" i="11"/>
  <c r="I66" i="11"/>
  <c r="G289" i="18"/>
  <c r="G109" i="18"/>
  <c r="J532" i="3"/>
  <c r="F247" i="18"/>
  <c r="I222" i="3"/>
  <c r="J61" i="11"/>
  <c r="X242" i="18"/>
  <c r="I446" i="3"/>
  <c r="M288" i="18"/>
  <c r="F229" i="18"/>
  <c r="Y218" i="18"/>
  <c r="J542" i="3"/>
  <c r="Z130" i="18"/>
  <c r="I68" i="11"/>
  <c r="AB278" i="18"/>
  <c r="I106" i="18"/>
  <c r="M326" i="18"/>
  <c r="I412" i="11"/>
  <c r="G273" i="18"/>
  <c r="I319" i="18"/>
  <c r="I487" i="3"/>
  <c r="Y322" i="18"/>
  <c r="Z247" i="18"/>
  <c r="F301" i="18"/>
  <c r="I141" i="18"/>
  <c r="AB211" i="18"/>
  <c r="I445" i="3"/>
  <c r="Z276" i="18"/>
  <c r="G115" i="18"/>
  <c r="L165" i="18"/>
  <c r="J231" i="3"/>
  <c r="AA125" i="18"/>
  <c r="AB288" i="18"/>
  <c r="M335" i="18"/>
  <c r="J240" i="3"/>
  <c r="X294" i="18"/>
  <c r="I429" i="3"/>
  <c r="AB206" i="18"/>
  <c r="F113" i="18"/>
  <c r="I120" i="11"/>
  <c r="L145" i="18"/>
  <c r="X201" i="18"/>
  <c r="AB319" i="18"/>
  <c r="Z161" i="18"/>
  <c r="J373" i="3"/>
  <c r="L129" i="18"/>
  <c r="AB144" i="18"/>
  <c r="AB166" i="18"/>
  <c r="J88" i="11"/>
  <c r="F334" i="18"/>
  <c r="F119" i="18"/>
  <c r="I298" i="3"/>
  <c r="G91" i="18"/>
  <c r="I534" i="3"/>
  <c r="X278" i="18"/>
  <c r="Y112" i="18"/>
  <c r="G155" i="18"/>
  <c r="L187" i="18"/>
  <c r="L234" i="18"/>
  <c r="G161" i="18"/>
  <c r="L188" i="18"/>
  <c r="M328" i="18"/>
  <c r="J406" i="3"/>
  <c r="L267" i="18"/>
  <c r="I553" i="3"/>
  <c r="I436" i="3"/>
  <c r="M325" i="18"/>
  <c r="K177" i="18"/>
  <c r="AA143" i="18"/>
  <c r="I212" i="18"/>
  <c r="J175" i="3"/>
  <c r="M163" i="18"/>
  <c r="L148" i="18"/>
  <c r="Y243" i="18"/>
  <c r="I192" i="3"/>
  <c r="N102" i="18"/>
  <c r="Z335" i="18"/>
  <c r="X181" i="18"/>
  <c r="L328" i="18"/>
  <c r="Z222" i="18"/>
  <c r="K311" i="18"/>
  <c r="AA86" i="18"/>
  <c r="I104" i="18"/>
  <c r="AB344" i="18"/>
  <c r="Z96" i="18"/>
  <c r="K354" i="18"/>
  <c r="G167" i="18"/>
  <c r="G344" i="18"/>
  <c r="X137" i="18"/>
  <c r="Z287" i="18"/>
  <c r="F160" i="18"/>
  <c r="AB312" i="18"/>
  <c r="AA200" i="18"/>
  <c r="G140" i="18"/>
  <c r="M164" i="18"/>
  <c r="J265" i="3"/>
  <c r="I222" i="18"/>
  <c r="F89" i="18"/>
  <c r="K304" i="18"/>
  <c r="J125" i="3"/>
  <c r="J140" i="3"/>
  <c r="I169" i="11"/>
  <c r="K132" i="18"/>
  <c r="N323" i="18"/>
  <c r="X165" i="18"/>
  <c r="X295" i="18"/>
  <c r="K352" i="18"/>
  <c r="F173" i="18"/>
  <c r="L241" i="18"/>
  <c r="I123" i="18"/>
  <c r="I286" i="18"/>
  <c r="AB137" i="18"/>
  <c r="AA273" i="18"/>
  <c r="AA330" i="18"/>
  <c r="Z281" i="18"/>
  <c r="I388" i="11"/>
  <c r="I339" i="18"/>
  <c r="I363" i="11"/>
  <c r="Z146" i="18"/>
  <c r="I236" i="3"/>
  <c r="I215" i="11"/>
  <c r="I279" i="18"/>
  <c r="I348" i="11"/>
  <c r="K277" i="18"/>
  <c r="AA116" i="18"/>
  <c r="J527" i="3"/>
  <c r="I509" i="11"/>
  <c r="AB307" i="18"/>
  <c r="AB175" i="18"/>
  <c r="I503" i="3"/>
  <c r="F363" i="18"/>
  <c r="X105" i="18"/>
  <c r="I201" i="18"/>
  <c r="AA264" i="18"/>
  <c r="AB286" i="18"/>
  <c r="AA187" i="18"/>
  <c r="X98" i="18"/>
  <c r="M238" i="18"/>
  <c r="Y316" i="18"/>
  <c r="F152" i="18"/>
  <c r="F298" i="18"/>
  <c r="Y303" i="18"/>
  <c r="J282" i="11"/>
  <c r="K120" i="18"/>
  <c r="J339" i="11"/>
  <c r="Z192" i="18"/>
  <c r="I252" i="11"/>
  <c r="AA127" i="18"/>
  <c r="J98" i="11"/>
  <c r="F121" i="18"/>
  <c r="J138" i="11"/>
  <c r="AB108" i="18"/>
  <c r="J320" i="11"/>
  <c r="J269" i="3"/>
  <c r="K85" i="18"/>
  <c r="F336" i="18"/>
  <c r="L115" i="18"/>
  <c r="J211" i="3"/>
  <c r="AA246" i="18"/>
  <c r="Z315" i="18"/>
  <c r="X254" i="18"/>
  <c r="AA226" i="18"/>
  <c r="N192" i="18"/>
  <c r="Z113" i="18"/>
  <c r="G357" i="18"/>
  <c r="F214" i="18"/>
  <c r="F145" i="18"/>
  <c r="I280" i="11"/>
  <c r="K281" i="18"/>
  <c r="J418" i="3"/>
  <c r="N122" i="18"/>
  <c r="J131" i="11"/>
  <c r="L168" i="18"/>
  <c r="L131" i="18"/>
  <c r="AB110" i="18"/>
  <c r="M196" i="18"/>
  <c r="J322" i="11"/>
  <c r="J145" i="11"/>
  <c r="G265" i="18"/>
  <c r="Z241" i="18"/>
  <c r="I54" i="11"/>
  <c r="J447" i="11"/>
  <c r="G175" i="18"/>
  <c r="F281" i="18"/>
  <c r="J395" i="11"/>
  <c r="G286" i="18"/>
  <c r="L183" i="18"/>
  <c r="F345" i="18"/>
  <c r="Z207" i="18"/>
  <c r="Z240" i="18"/>
  <c r="M336" i="18"/>
  <c r="G201" i="18"/>
  <c r="I294" i="11"/>
  <c r="F149" i="18"/>
  <c r="I406" i="11"/>
  <c r="L83" i="18"/>
  <c r="J452" i="11"/>
  <c r="N219" i="18"/>
  <c r="L207" i="18"/>
  <c r="F130" i="18"/>
  <c r="I342" i="18"/>
  <c r="I302" i="11"/>
  <c r="J238" i="3"/>
  <c r="K238" i="18"/>
  <c r="L118" i="18"/>
  <c r="N150" i="18"/>
  <c r="J442" i="3"/>
  <c r="L302" i="18"/>
  <c r="L172" i="18"/>
  <c r="I235" i="3"/>
  <c r="I148" i="11"/>
  <c r="AA301" i="18"/>
  <c r="K258" i="18"/>
  <c r="K94" i="18"/>
  <c r="AA205" i="18"/>
  <c r="X348" i="18"/>
  <c r="Y144" i="18"/>
  <c r="Y113" i="18"/>
  <c r="J453" i="11"/>
  <c r="I296" i="3"/>
  <c r="X320" i="18"/>
  <c r="J297" i="11"/>
  <c r="L116" i="18"/>
  <c r="N135" i="18"/>
  <c r="AB94" i="18"/>
  <c r="X297" i="18"/>
  <c r="Z295" i="18"/>
  <c r="I533" i="3"/>
  <c r="X360" i="18"/>
  <c r="I54" i="3"/>
  <c r="I122" i="3"/>
  <c r="I438" i="11"/>
  <c r="L164" i="18"/>
  <c r="Y91" i="18"/>
  <c r="Z179" i="18"/>
  <c r="J322" i="3"/>
  <c r="J481" i="3"/>
  <c r="I254" i="18"/>
  <c r="K205" i="18"/>
  <c r="J150" i="3"/>
  <c r="L133" i="18"/>
  <c r="I355" i="18"/>
  <c r="M99" i="18"/>
  <c r="AA161" i="18"/>
  <c r="K312" i="18"/>
  <c r="F218" i="18"/>
  <c r="J440" i="3"/>
  <c r="G312" i="18"/>
  <c r="Y164" i="18"/>
  <c r="G352" i="18"/>
  <c r="J211" i="11"/>
  <c r="Y122" i="18"/>
  <c r="Y157" i="18"/>
  <c r="N225" i="18"/>
  <c r="I215" i="3"/>
  <c r="I196" i="3"/>
  <c r="J45" i="3"/>
  <c r="I99" i="11"/>
  <c r="I29" i="3"/>
  <c r="J472" i="11"/>
  <c r="G138" i="18"/>
  <c r="G359" i="18"/>
  <c r="AA184" i="18"/>
  <c r="F170" i="18"/>
  <c r="Z328" i="18"/>
  <c r="L126" i="18"/>
  <c r="I132" i="18"/>
  <c r="I292" i="11"/>
  <c r="F297" i="18"/>
  <c r="I377" i="3"/>
  <c r="J81" i="11"/>
  <c r="AA253" i="18"/>
  <c r="J377" i="11"/>
  <c r="J433" i="11"/>
  <c r="AB117" i="18"/>
  <c r="Y232" i="18"/>
  <c r="F192" i="18"/>
  <c r="Y365" i="18"/>
  <c r="Z117" i="18"/>
  <c r="AA177" i="18"/>
  <c r="Z128" i="18"/>
  <c r="K356" i="18"/>
  <c r="L107" i="18"/>
  <c r="I256" i="11"/>
  <c r="I62" i="11"/>
  <c r="J408" i="3"/>
  <c r="X153" i="18"/>
  <c r="J411" i="11"/>
  <c r="K411" i="11" s="1"/>
  <c r="I310" i="3"/>
  <c r="I84" i="18"/>
  <c r="AB359" i="18"/>
  <c r="K200" i="18"/>
  <c r="Y321" i="18"/>
  <c r="AA265" i="18"/>
  <c r="AA362" i="18"/>
  <c r="N316" i="18"/>
  <c r="F243" i="18"/>
  <c r="J144" i="3"/>
  <c r="K256" i="18"/>
  <c r="N152" i="18"/>
  <c r="I164" i="11"/>
  <c r="G279" i="18"/>
  <c r="I319" i="3"/>
  <c r="J334" i="11"/>
  <c r="J305" i="3"/>
  <c r="L157" i="18"/>
  <c r="J400" i="11"/>
  <c r="J232" i="3"/>
  <c r="Y338" i="18"/>
  <c r="F270" i="18"/>
  <c r="I502" i="11"/>
  <c r="F91" i="18"/>
  <c r="I125" i="11"/>
  <c r="F126" i="18"/>
  <c r="AB159" i="18"/>
  <c r="J400" i="3"/>
  <c r="X83" i="18"/>
  <c r="Z329" i="18"/>
  <c r="J155" i="3"/>
  <c r="G119" i="18"/>
  <c r="Y188" i="18"/>
  <c r="I65" i="3"/>
  <c r="I257" i="3"/>
  <c r="J116" i="3"/>
  <c r="I151" i="11"/>
  <c r="I306" i="3"/>
  <c r="Y201" i="18"/>
  <c r="N176" i="18"/>
  <c r="N319" i="18"/>
  <c r="Z338" i="18"/>
  <c r="I114" i="11"/>
  <c r="G264" i="18"/>
  <c r="I53" i="11"/>
  <c r="L135" i="18"/>
  <c r="F166" i="18"/>
  <c r="J81" i="3"/>
  <c r="M362" i="18"/>
  <c r="AB285" i="18"/>
  <c r="I313" i="11"/>
  <c r="X174" i="18"/>
  <c r="L162" i="18"/>
  <c r="Y307" i="18"/>
  <c r="X162" i="18"/>
  <c r="J28" i="3"/>
  <c r="K340" i="18"/>
  <c r="X143" i="18"/>
  <c r="I189" i="11"/>
  <c r="I256" i="18"/>
  <c r="AB280" i="18"/>
  <c r="N329" i="18"/>
  <c r="I216" i="18"/>
  <c r="J518" i="3"/>
  <c r="I316" i="11"/>
  <c r="I182" i="3"/>
  <c r="I169" i="3"/>
  <c r="M114" i="18"/>
  <c r="M244" i="18"/>
  <c r="J197" i="3"/>
  <c r="N314" i="18"/>
  <c r="I381" i="3"/>
  <c r="L331" i="18"/>
  <c r="J366" i="3"/>
  <c r="M271" i="18"/>
  <c r="AB267" i="18"/>
  <c r="J279" i="11"/>
  <c r="Y174" i="18"/>
  <c r="M174" i="18"/>
  <c r="AA319" i="18"/>
  <c r="G181" i="18"/>
  <c r="J353" i="11"/>
  <c r="I208" i="3"/>
  <c r="Z251" i="18"/>
  <c r="I318" i="3"/>
  <c r="L88" i="18"/>
  <c r="F220" i="18"/>
  <c r="X349" i="18"/>
  <c r="AB304" i="18"/>
  <c r="F288" i="18"/>
  <c r="F322" i="18"/>
  <c r="J148" i="3"/>
  <c r="F100" i="18"/>
  <c r="I175" i="18"/>
  <c r="I361" i="18"/>
  <c r="X127" i="18"/>
  <c r="K231" i="18"/>
  <c r="F165" i="18"/>
  <c r="I227" i="3"/>
  <c r="M142" i="18"/>
  <c r="G134" i="18"/>
  <c r="AA132" i="18"/>
  <c r="AA91" i="18"/>
  <c r="G219" i="18"/>
  <c r="I185" i="3"/>
  <c r="AB296" i="18"/>
  <c r="Z320" i="18"/>
  <c r="N186" i="18"/>
  <c r="Z170" i="18"/>
  <c r="N82" i="18"/>
  <c r="I480" i="3"/>
  <c r="M309" i="18"/>
  <c r="M146" i="18"/>
  <c r="M94" i="18"/>
  <c r="K153" i="18"/>
  <c r="I86" i="11"/>
  <c r="G200" i="18"/>
  <c r="G103" i="18"/>
  <c r="I241" i="18"/>
  <c r="F138" i="18"/>
  <c r="I279" i="3"/>
  <c r="N106" i="18"/>
  <c r="G284" i="18"/>
  <c r="Z97" i="18"/>
  <c r="F331" i="18"/>
  <c r="AA304" i="18"/>
  <c r="AB146" i="18"/>
  <c r="J137" i="11"/>
  <c r="Y212" i="18"/>
  <c r="I321" i="18"/>
  <c r="I254" i="3"/>
  <c r="I213" i="11"/>
  <c r="K346" i="18"/>
  <c r="M197" i="18"/>
  <c r="N292" i="18"/>
  <c r="L130" i="18"/>
  <c r="I299" i="11"/>
  <c r="F339" i="18"/>
  <c r="Z164" i="18"/>
  <c r="I490" i="11"/>
  <c r="AA157" i="18"/>
  <c r="I304" i="3"/>
  <c r="J88" i="3"/>
  <c r="Z115" i="18"/>
  <c r="I477" i="11"/>
  <c r="I484" i="11"/>
  <c r="K249" i="18"/>
  <c r="I129" i="18"/>
  <c r="K243" i="18"/>
  <c r="I282" i="11"/>
  <c r="X338" i="18"/>
  <c r="I183" i="3"/>
  <c r="I457" i="11"/>
  <c r="G111" i="18"/>
  <c r="AA318" i="18"/>
  <c r="I207" i="11"/>
  <c r="Z367" i="18"/>
  <c r="Y276" i="18"/>
  <c r="J273" i="11"/>
  <c r="K239" i="18"/>
  <c r="Z141" i="18"/>
  <c r="I141" i="11"/>
  <c r="J33" i="3"/>
  <c r="J98" i="3"/>
  <c r="M130" i="18"/>
  <c r="AB277" i="18"/>
  <c r="M259" i="18"/>
  <c r="I456" i="3"/>
  <c r="F252" i="18"/>
  <c r="I164" i="3"/>
  <c r="F157" i="18"/>
  <c r="N327" i="18"/>
  <c r="J130" i="11"/>
  <c r="I359" i="11"/>
  <c r="Y341" i="18"/>
  <c r="AB264" i="18"/>
  <c r="G104" i="18"/>
  <c r="I352" i="18"/>
  <c r="J256" i="11"/>
  <c r="AA95" i="18"/>
  <c r="N164" i="18"/>
  <c r="F189" i="18"/>
  <c r="J346" i="3"/>
  <c r="N232" i="18"/>
  <c r="G315" i="18"/>
  <c r="J240" i="11"/>
  <c r="K366" i="18"/>
  <c r="I190" i="3"/>
  <c r="L251" i="18"/>
  <c r="J233" i="3"/>
  <c r="X230" i="18"/>
  <c r="AB356" i="18"/>
  <c r="F116" i="18"/>
  <c r="J294" i="3"/>
  <c r="J27" i="3"/>
  <c r="M102" i="18"/>
  <c r="Y226" i="18"/>
  <c r="J64" i="3"/>
  <c r="I544" i="3"/>
  <c r="I483" i="3"/>
  <c r="X288" i="18"/>
  <c r="N170" i="18"/>
  <c r="G148" i="18"/>
  <c r="G139" i="18"/>
  <c r="F367" i="18"/>
  <c r="J324" i="3"/>
  <c r="Z352" i="18"/>
  <c r="F118" i="18"/>
  <c r="I51" i="11"/>
  <c r="AA340" i="18"/>
  <c r="Z106" i="18"/>
  <c r="I101" i="11"/>
  <c r="AB238" i="18"/>
  <c r="X334" i="18"/>
  <c r="I88" i="3"/>
  <c r="I105" i="18"/>
  <c r="X95" i="18"/>
  <c r="I408" i="3"/>
  <c r="I299" i="3"/>
  <c r="J271" i="3"/>
  <c r="AA232" i="18"/>
  <c r="L102" i="18"/>
  <c r="Z147" i="18"/>
  <c r="G198" i="18"/>
  <c r="F249" i="18"/>
  <c r="I483" i="11"/>
  <c r="K237" i="18"/>
  <c r="L363" i="18"/>
  <c r="Y99" i="18"/>
  <c r="I162" i="11"/>
  <c r="Z216" i="18"/>
  <c r="L297" i="18"/>
  <c r="J354" i="11"/>
  <c r="X325" i="18"/>
  <c r="Z316" i="18"/>
  <c r="I198" i="3"/>
  <c r="I195" i="18"/>
  <c r="I360" i="11"/>
  <c r="X139" i="18"/>
  <c r="N342" i="18"/>
  <c r="X279" i="18"/>
  <c r="Y284" i="18"/>
  <c r="G293" i="18"/>
  <c r="Z109" i="18"/>
  <c r="I529" i="3"/>
  <c r="Z314" i="18"/>
  <c r="J422" i="3"/>
  <c r="J350" i="11"/>
  <c r="I346" i="18"/>
  <c r="I496" i="3"/>
  <c r="I541" i="3"/>
  <c r="J462" i="3"/>
  <c r="K291" i="18"/>
  <c r="G96" i="18"/>
  <c r="AA159" i="18"/>
  <c r="M185" i="18"/>
  <c r="AB265" i="18"/>
  <c r="K175" i="18"/>
  <c r="K355" i="18"/>
  <c r="J45" i="11"/>
  <c r="X365" i="18"/>
  <c r="K211" i="18"/>
  <c r="L257" i="18"/>
  <c r="I267" i="11"/>
  <c r="G314" i="18"/>
  <c r="M285" i="18"/>
  <c r="G184" i="18"/>
  <c r="J111" i="11"/>
  <c r="I112" i="11"/>
  <c r="N238" i="18"/>
  <c r="F248" i="18"/>
  <c r="I133" i="11"/>
  <c r="L134" i="18"/>
  <c r="AB240" i="18"/>
  <c r="M323" i="18"/>
  <c r="Y256" i="18"/>
  <c r="I312" i="3"/>
  <c r="J451" i="3"/>
  <c r="Z227" i="18"/>
  <c r="J352" i="11"/>
  <c r="Y278" i="18"/>
  <c r="K279" i="18"/>
  <c r="J355" i="3"/>
  <c r="M195" i="18"/>
  <c r="I142" i="18"/>
  <c r="M303" i="18"/>
  <c r="G113" i="18"/>
  <c r="J455" i="11"/>
  <c r="M369" i="18"/>
  <c r="Z250" i="18"/>
  <c r="K110" i="18"/>
  <c r="K330" i="18"/>
  <c r="I224" i="11"/>
  <c r="Y353" i="18"/>
  <c r="X198" i="18"/>
  <c r="I494" i="11"/>
  <c r="I338" i="18"/>
  <c r="AB152" i="18"/>
  <c r="J189" i="11"/>
  <c r="I177" i="11"/>
  <c r="Z278" i="18"/>
  <c r="I364" i="18"/>
  <c r="J401" i="3"/>
  <c r="I190" i="18"/>
  <c r="Z101" i="18"/>
  <c r="AB284" i="18"/>
  <c r="AB306" i="18"/>
  <c r="N111" i="18"/>
  <c r="X191" i="18"/>
  <c r="Y350" i="18"/>
  <c r="K359" i="18"/>
  <c r="I146" i="18"/>
  <c r="J406" i="11"/>
  <c r="N244" i="18"/>
  <c r="G88" i="18"/>
  <c r="Y323" i="18"/>
  <c r="AA180" i="18"/>
  <c r="Z269" i="18"/>
  <c r="L221" i="18"/>
  <c r="Z139" i="18"/>
  <c r="AB97" i="18"/>
  <c r="N155" i="18"/>
  <c r="F143" i="18"/>
  <c r="J394" i="3"/>
  <c r="I250" i="11"/>
  <c r="J305" i="11"/>
  <c r="I388" i="3"/>
  <c r="K121" i="18"/>
  <c r="K349" i="18"/>
  <c r="K286" i="18"/>
  <c r="G190" i="18"/>
  <c r="J120" i="11"/>
  <c r="I208" i="18"/>
  <c r="AA156" i="18"/>
  <c r="J72" i="3"/>
  <c r="L222" i="18"/>
  <c r="J179" i="11"/>
  <c r="J77" i="11"/>
  <c r="Z95" i="18"/>
  <c r="I237" i="18"/>
  <c r="X336" i="18"/>
  <c r="Z102" i="18"/>
  <c r="F98" i="18"/>
  <c r="J117" i="3"/>
  <c r="I500" i="11"/>
  <c r="Y138" i="18"/>
  <c r="I332" i="11"/>
  <c r="Y121" i="18"/>
  <c r="AB203" i="18"/>
  <c r="J547" i="3"/>
  <c r="J84" i="11"/>
  <c r="X208" i="18"/>
  <c r="AA300" i="18"/>
  <c r="I97" i="11"/>
  <c r="AB329" i="18"/>
  <c r="I554" i="3"/>
  <c r="Y270" i="18"/>
  <c r="I226" i="18"/>
  <c r="AA164" i="18"/>
  <c r="X179" i="18"/>
  <c r="N200" i="18"/>
  <c r="Z348" i="18"/>
  <c r="K320" i="18"/>
  <c r="Y156" i="18"/>
  <c r="I291" i="3"/>
  <c r="X173" i="18"/>
  <c r="X171" i="18"/>
  <c r="J163" i="3"/>
  <c r="I339" i="11"/>
  <c r="G107" i="18"/>
  <c r="G230" i="18"/>
  <c r="AA147" i="18"/>
  <c r="L101" i="18"/>
  <c r="N306" i="18"/>
  <c r="AB242" i="18"/>
  <c r="L270" i="18"/>
  <c r="F254" i="18"/>
  <c r="K345" i="18"/>
  <c r="J369" i="11"/>
  <c r="G162" i="18"/>
  <c r="I159" i="18"/>
  <c r="K158" i="18"/>
  <c r="I183" i="18"/>
  <c r="I59" i="3"/>
  <c r="Y287" i="18"/>
  <c r="I325" i="3"/>
  <c r="F357" i="18"/>
  <c r="J62" i="3"/>
  <c r="I348" i="3"/>
  <c r="M305" i="18"/>
  <c r="Y288" i="18"/>
  <c r="L290" i="18"/>
  <c r="G343" i="18"/>
  <c r="I505" i="11"/>
  <c r="L192" i="18"/>
  <c r="Y143" i="18"/>
  <c r="F356" i="18"/>
  <c r="X293" i="18"/>
  <c r="AB281" i="18"/>
  <c r="I261" i="3"/>
  <c r="M168" i="18"/>
  <c r="Z258" i="18"/>
  <c r="AB255" i="18"/>
  <c r="X221" i="18"/>
  <c r="I430" i="3"/>
  <c r="J475" i="11"/>
  <c r="AB349" i="18"/>
  <c r="J460" i="11"/>
  <c r="AA338" i="18"/>
  <c r="I91" i="11"/>
  <c r="I107" i="18"/>
  <c r="J489" i="3"/>
  <c r="I50" i="3"/>
  <c r="AA117" i="18"/>
  <c r="AB135" i="18"/>
  <c r="I237" i="3"/>
  <c r="Z104" i="18"/>
  <c r="Z201" i="18"/>
  <c r="M317" i="18"/>
  <c r="AA121" i="18"/>
  <c r="G95" i="18"/>
  <c r="Y193" i="18"/>
  <c r="AB341" i="18"/>
  <c r="K270" i="18"/>
  <c r="X113" i="18"/>
  <c r="Y309" i="18"/>
  <c r="I259" i="3"/>
  <c r="G153" i="18"/>
  <c r="F287" i="18"/>
  <c r="X124" i="18"/>
  <c r="I325" i="18"/>
  <c r="L344" i="18"/>
  <c r="J428" i="11"/>
  <c r="I290" i="11"/>
  <c r="J95" i="11"/>
  <c r="Y120" i="18"/>
  <c r="AB220" i="18"/>
  <c r="J136" i="11"/>
  <c r="I142" i="3"/>
  <c r="I389" i="11"/>
  <c r="AB189" i="18"/>
  <c r="Z83" i="18"/>
  <c r="M349" i="18"/>
  <c r="I520" i="3"/>
  <c r="J555" i="3"/>
  <c r="J142" i="11"/>
  <c r="J122" i="3"/>
  <c r="I251" i="18"/>
  <c r="J348" i="11"/>
  <c r="Y124" i="18"/>
  <c r="L196" i="18"/>
  <c r="I262" i="11"/>
  <c r="J83" i="3"/>
  <c r="L294" i="18"/>
  <c r="M172" i="18"/>
  <c r="J331" i="11"/>
  <c r="M227" i="18"/>
  <c r="I337" i="11"/>
  <c r="G83" i="18"/>
  <c r="J242" i="3"/>
  <c r="I113" i="11"/>
  <c r="F205" i="18"/>
  <c r="L300" i="18"/>
  <c r="AA334" i="18"/>
  <c r="F200" i="18"/>
  <c r="F364" i="18"/>
  <c r="Z249" i="18"/>
  <c r="AB334" i="18"/>
  <c r="I286" i="11"/>
  <c r="X157" i="18"/>
  <c r="N180" i="18"/>
  <c r="X243" i="18"/>
  <c r="Z334" i="18"/>
  <c r="X89" i="18"/>
  <c r="L324" i="18"/>
  <c r="K227" i="18"/>
  <c r="L351" i="18"/>
  <c r="I107" i="11"/>
  <c r="Y133" i="18"/>
  <c r="K103" i="18"/>
  <c r="J255" i="3"/>
  <c r="N213" i="18"/>
  <c r="J402" i="11"/>
  <c r="L325" i="18"/>
  <c r="X154" i="18"/>
  <c r="Z369" i="18"/>
  <c r="I46" i="3"/>
  <c r="N90" i="18"/>
  <c r="K240" i="18"/>
  <c r="J509" i="11"/>
  <c r="Z173" i="18"/>
  <c r="G324" i="18"/>
  <c r="I495" i="3"/>
  <c r="I194" i="3"/>
  <c r="X84" i="18"/>
  <c r="M87" i="18"/>
  <c r="L243" i="18"/>
  <c r="G241" i="18"/>
  <c r="J266" i="11"/>
  <c r="X315" i="18"/>
  <c r="F151" i="18"/>
  <c r="N269" i="18"/>
  <c r="K343" i="18"/>
  <c r="X168" i="18"/>
  <c r="J340" i="3"/>
  <c r="Z197" i="18"/>
  <c r="I371" i="3"/>
  <c r="AA188" i="18"/>
  <c r="J185" i="11"/>
  <c r="I45" i="3"/>
  <c r="J545" i="3"/>
  <c r="M258" i="18"/>
  <c r="F292" i="18"/>
  <c r="I189" i="3"/>
  <c r="M301" i="18"/>
  <c r="I341" i="11"/>
  <c r="I352" i="11"/>
  <c r="I161" i="3"/>
  <c r="I176" i="11"/>
  <c r="X186" i="18"/>
  <c r="AA198" i="18"/>
  <c r="Z311" i="18"/>
  <c r="I385" i="3"/>
  <c r="AB287" i="18"/>
  <c r="I545" i="3"/>
  <c r="J410" i="11"/>
  <c r="J284" i="3"/>
  <c r="J260" i="11"/>
  <c r="N335" i="18"/>
  <c r="I435" i="11"/>
  <c r="I451" i="11"/>
  <c r="AA315" i="18"/>
  <c r="Y105" i="18"/>
  <c r="I149" i="18"/>
  <c r="Y216" i="18"/>
  <c r="I391" i="11"/>
  <c r="F92" i="18"/>
  <c r="I223" i="11"/>
  <c r="K180" i="18"/>
  <c r="I97" i="3"/>
  <c r="N118" i="18"/>
  <c r="G116" i="18"/>
  <c r="I135" i="3"/>
  <c r="J521" i="3"/>
  <c r="J407" i="3"/>
  <c r="I358" i="3"/>
  <c r="AB93" i="18"/>
  <c r="I411" i="3"/>
  <c r="M329" i="18"/>
  <c r="F135" i="18"/>
  <c r="AA268" i="18"/>
  <c r="Z155" i="18"/>
  <c r="M129" i="18"/>
  <c r="G296" i="18"/>
  <c r="I426" i="3"/>
  <c r="X361" i="18"/>
  <c r="Y140" i="18"/>
  <c r="G86" i="18"/>
  <c r="G185" i="18"/>
  <c r="AA324" i="18"/>
  <c r="M191" i="18"/>
  <c r="AB368" i="18"/>
  <c r="N160" i="18"/>
  <c r="M223" i="18"/>
  <c r="I163" i="18"/>
  <c r="K162" i="18"/>
  <c r="Z267" i="18"/>
  <c r="J401" i="11"/>
  <c r="N221" i="18"/>
  <c r="M199" i="18"/>
  <c r="J356" i="3"/>
  <c r="K296" i="18"/>
  <c r="M356" i="18"/>
  <c r="AB123" i="18"/>
  <c r="Z185" i="18"/>
  <c r="N99" i="18"/>
  <c r="J198" i="3"/>
  <c r="G151" i="18"/>
  <c r="J252" i="11"/>
  <c r="N191" i="18"/>
  <c r="I307" i="3"/>
  <c r="M184" i="18"/>
  <c r="I152" i="18"/>
  <c r="I87" i="3"/>
  <c r="AB301" i="18"/>
  <c r="Y313" i="18"/>
  <c r="Y347" i="18"/>
  <c r="AA170" i="18"/>
  <c r="I96" i="18"/>
  <c r="L98" i="18"/>
  <c r="I246" i="3"/>
  <c r="J363" i="3"/>
  <c r="I468" i="3"/>
  <c r="G256" i="18"/>
  <c r="N158" i="18"/>
  <c r="J96" i="3"/>
  <c r="M203" i="18"/>
  <c r="AA191" i="18"/>
  <c r="J157" i="3"/>
  <c r="Y277" i="18"/>
  <c r="N202" i="18"/>
  <c r="Z145" i="18"/>
  <c r="I265" i="11"/>
  <c r="Z203" i="18"/>
  <c r="Z289" i="18"/>
  <c r="M242" i="18"/>
  <c r="K364" i="18"/>
  <c r="K329" i="18"/>
  <c r="N357" i="18"/>
  <c r="J531" i="3"/>
  <c r="L195" i="18"/>
  <c r="J48" i="3"/>
  <c r="I491" i="11"/>
  <c r="I118" i="18"/>
  <c r="G322" i="18"/>
  <c r="F172" i="18"/>
  <c r="AA167" i="18"/>
  <c r="G170" i="18"/>
  <c r="J203" i="3"/>
  <c r="J111" i="3"/>
  <c r="G216" i="18"/>
  <c r="J358" i="11"/>
  <c r="X367" i="18"/>
  <c r="J437" i="3"/>
  <c r="L283" i="18"/>
  <c r="I70" i="11"/>
  <c r="I419" i="3"/>
  <c r="K220" i="18"/>
  <c r="AB185" i="18"/>
  <c r="N193" i="18"/>
  <c r="M156" i="18"/>
  <c r="M348" i="18"/>
  <c r="Z121" i="18"/>
  <c r="AA209" i="18"/>
  <c r="F347" i="18"/>
  <c r="I144" i="18"/>
  <c r="AB366" i="18"/>
  <c r="Y127" i="18"/>
  <c r="Y190" i="18"/>
  <c r="I235" i="18"/>
  <c r="G211" i="18"/>
  <c r="AA278" i="18"/>
  <c r="L144" i="18"/>
  <c r="Y184" i="18"/>
  <c r="I303" i="18"/>
  <c r="K308" i="18"/>
  <c r="X256" i="18"/>
  <c r="I48" i="11"/>
  <c r="K185" i="18"/>
  <c r="K215" i="18"/>
  <c r="N346" i="18"/>
  <c r="K193" i="18"/>
  <c r="AA339" i="18"/>
  <c r="J144" i="11"/>
  <c r="J438" i="3"/>
  <c r="AA356" i="18"/>
  <c r="J298" i="3"/>
  <c r="I101" i="18"/>
  <c r="I346" i="3"/>
  <c r="I35" i="3"/>
  <c r="K325" i="18"/>
  <c r="J166" i="3"/>
  <c r="I488" i="11"/>
  <c r="G245" i="18"/>
  <c r="Z327" i="18"/>
  <c r="J213" i="3"/>
  <c r="F217" i="18"/>
  <c r="X274" i="18"/>
  <c r="F262" i="18"/>
  <c r="I453" i="3"/>
  <c r="J214" i="3"/>
  <c r="X313" i="18"/>
  <c r="M139" i="18"/>
  <c r="Y173" i="18"/>
  <c r="I404" i="11"/>
  <c r="F179" i="18"/>
  <c r="Y315" i="18"/>
  <c r="Y117" i="18"/>
  <c r="J70" i="11"/>
  <c r="AA103" i="18"/>
  <c r="J293" i="3"/>
  <c r="AB333" i="18"/>
  <c r="Y274" i="18"/>
  <c r="AB361" i="18"/>
  <c r="I470" i="11"/>
  <c r="I192" i="18"/>
  <c r="G106" i="18"/>
  <c r="J339" i="3"/>
  <c r="J467" i="3"/>
  <c r="L159" i="18"/>
  <c r="Z273" i="18"/>
  <c r="Y280" i="18"/>
  <c r="I324" i="3"/>
  <c r="J165" i="11"/>
  <c r="I456" i="11"/>
  <c r="AA288" i="18"/>
  <c r="K82" i="18"/>
  <c r="X282" i="18"/>
  <c r="G332" i="18"/>
  <c r="Z332" i="18"/>
  <c r="I372" i="11"/>
  <c r="M365" i="18"/>
  <c r="I335" i="18"/>
  <c r="X219" i="18"/>
  <c r="AA310" i="18"/>
  <c r="J519" i="3"/>
  <c r="F222" i="18"/>
  <c r="J541" i="3"/>
  <c r="AB266" i="18"/>
  <c r="AB299" i="18"/>
  <c r="X120" i="18"/>
  <c r="F169" i="18"/>
  <c r="N123" i="18"/>
  <c r="J548" i="3"/>
  <c r="X331" i="18"/>
  <c r="J207" i="11"/>
  <c r="G281" i="18"/>
  <c r="J167" i="3"/>
  <c r="J278" i="11"/>
  <c r="G236" i="18"/>
  <c r="J165" i="3"/>
  <c r="AB342" i="18"/>
  <c r="N104" i="18"/>
  <c r="I362" i="18"/>
  <c r="L99" i="18"/>
  <c r="J296" i="11"/>
  <c r="F210" i="18"/>
  <c r="X330" i="18"/>
  <c r="AB260" i="18"/>
  <c r="X106" i="18"/>
  <c r="F216" i="18"/>
  <c r="I63" i="3"/>
  <c r="K357" i="18"/>
  <c r="I116" i="18"/>
  <c r="L256" i="18"/>
  <c r="M141" i="18"/>
  <c r="X257" i="18"/>
  <c r="I192" i="11"/>
  <c r="N143" i="18"/>
  <c r="AB311" i="18"/>
  <c r="I458" i="3"/>
  <c r="J326" i="11"/>
  <c r="J50" i="3"/>
  <c r="J308" i="11"/>
  <c r="I359" i="3"/>
  <c r="I400" i="3"/>
  <c r="J416" i="11"/>
  <c r="I233" i="11"/>
  <c r="L210" i="18"/>
  <c r="Z136" i="18"/>
  <c r="G306" i="18"/>
  <c r="K233" i="18"/>
  <c r="F107" i="18"/>
  <c r="I270" i="11"/>
  <c r="I223" i="18"/>
  <c r="J126" i="3"/>
  <c r="N142" i="18"/>
  <c r="M316" i="18"/>
  <c r="G196" i="18"/>
  <c r="J119" i="11"/>
  <c r="X327" i="18"/>
  <c r="I166" i="11"/>
  <c r="Z142" i="18"/>
  <c r="I528" i="3"/>
  <c r="I125" i="3"/>
  <c r="M234" i="18"/>
  <c r="I297" i="11"/>
  <c r="J301" i="3"/>
  <c r="J113" i="11"/>
  <c r="J449" i="3"/>
  <c r="I99" i="3"/>
  <c r="N294" i="18"/>
  <c r="AB183" i="18"/>
  <c r="Y241" i="18"/>
  <c r="Y128" i="18"/>
  <c r="Z277" i="18"/>
  <c r="G187" i="18"/>
  <c r="I365" i="11"/>
  <c r="M96" i="18"/>
  <c r="I238" i="3"/>
  <c r="Z284" i="18"/>
  <c r="I283" i="18"/>
  <c r="Z362" i="18"/>
  <c r="I82" i="11"/>
  <c r="AB256" i="18"/>
  <c r="L353" i="18"/>
  <c r="I200" i="18"/>
  <c r="X235" i="18"/>
  <c r="K164" i="18"/>
  <c r="I542" i="3"/>
  <c r="K168" i="18"/>
  <c r="I384" i="3"/>
  <c r="N266" i="18"/>
  <c r="J307" i="3"/>
  <c r="I168" i="11"/>
  <c r="M254" i="18"/>
  <c r="F302" i="18"/>
  <c r="J551" i="3"/>
  <c r="AA128" i="18"/>
  <c r="M123" i="18"/>
  <c r="X252" i="18"/>
  <c r="Y170" i="18"/>
  <c r="AA349" i="18"/>
  <c r="I337" i="18"/>
  <c r="J508" i="11"/>
  <c r="J249" i="3"/>
  <c r="I353" i="18"/>
  <c r="L209" i="18"/>
  <c r="J83" i="11"/>
  <c r="J394" i="11"/>
  <c r="J77" i="3"/>
  <c r="M331" i="18"/>
  <c r="J275" i="11"/>
  <c r="I113" i="18"/>
  <c r="J61" i="3"/>
  <c r="I351" i="11"/>
  <c r="J356" i="11"/>
  <c r="AB156" i="18"/>
  <c r="J206" i="3"/>
  <c r="I374" i="3"/>
  <c r="I515" i="3"/>
  <c r="I349" i="18"/>
  <c r="I512" i="3"/>
  <c r="Y225" i="18"/>
  <c r="I474" i="3"/>
  <c r="J51" i="3"/>
  <c r="X239" i="18"/>
  <c r="J412" i="3"/>
  <c r="I369" i="18"/>
  <c r="Y283" i="18"/>
  <c r="G128" i="18"/>
  <c r="I291" i="11"/>
  <c r="M151" i="18"/>
  <c r="X241" i="18"/>
  <c r="J380" i="3"/>
  <c r="J482" i="11"/>
  <c r="J104" i="11"/>
  <c r="I247" i="11"/>
  <c r="N214" i="18"/>
  <c r="J420" i="11"/>
  <c r="Y246" i="18"/>
  <c r="I460" i="11"/>
  <c r="I510" i="11"/>
  <c r="J397" i="3"/>
  <c r="Y179" i="18"/>
  <c r="I497" i="11"/>
  <c r="N302" i="18"/>
  <c r="K276" i="18"/>
  <c r="I292" i="18"/>
  <c r="N297" i="18"/>
  <c r="J120" i="3"/>
  <c r="AA194" i="18"/>
  <c r="L282" i="18"/>
  <c r="G232" i="18"/>
  <c r="K96" i="18"/>
  <c r="Z103" i="18"/>
  <c r="M249" i="18"/>
  <c r="F163" i="18"/>
  <c r="I244" i="18"/>
  <c r="Y236" i="18"/>
  <c r="I257" i="18"/>
  <c r="Y254" i="18"/>
  <c r="I354" i="11"/>
  <c r="J23" i="3"/>
  <c r="M108" i="18"/>
  <c r="J277" i="3"/>
  <c r="Z310" i="18"/>
  <c r="Z288" i="18"/>
  <c r="I91" i="18"/>
  <c r="J143" i="11"/>
  <c r="J370" i="3"/>
  <c r="F264" i="18"/>
  <c r="J421" i="11"/>
  <c r="G157" i="18"/>
  <c r="I193" i="3"/>
  <c r="I100" i="18"/>
  <c r="N203" i="18"/>
  <c r="I436" i="11"/>
  <c r="J534" i="3"/>
  <c r="AB147" i="18"/>
  <c r="I327" i="11"/>
  <c r="J161" i="3"/>
  <c r="G133" i="18"/>
  <c r="Y214" i="18"/>
  <c r="J425" i="11"/>
  <c r="I184" i="18"/>
  <c r="J188" i="3"/>
  <c r="L206" i="18"/>
  <c r="AA294" i="18"/>
  <c r="F82" i="18"/>
  <c r="I407" i="11"/>
  <c r="AB87" i="18"/>
  <c r="L356" i="18"/>
  <c r="M300" i="18"/>
  <c r="G82" i="18"/>
  <c r="J446" i="3"/>
  <c r="J79" i="3"/>
  <c r="L303" i="18"/>
  <c r="I438" i="3"/>
  <c r="I500" i="3"/>
  <c r="K241" i="18"/>
  <c r="AB223" i="18"/>
  <c r="J195" i="11"/>
  <c r="L155" i="18"/>
  <c r="I401" i="3"/>
  <c r="L317" i="18"/>
  <c r="L171" i="18"/>
  <c r="I393" i="11"/>
  <c r="I452" i="3"/>
  <c r="J99" i="3"/>
  <c r="AA237" i="18"/>
  <c r="AA325" i="18"/>
  <c r="X350" i="18"/>
  <c r="J66" i="3"/>
  <c r="Z202" i="18"/>
  <c r="L150" i="18"/>
  <c r="J162" i="11"/>
  <c r="M228" i="18"/>
  <c r="K225" i="18"/>
  <c r="J265" i="11"/>
  <c r="I245" i="11"/>
  <c r="X301" i="18"/>
  <c r="Y237" i="18"/>
  <c r="I346" i="11"/>
  <c r="I221" i="18"/>
  <c r="I147" i="11"/>
  <c r="I225" i="11"/>
  <c r="Z82" i="18"/>
  <c r="J499" i="3"/>
  <c r="AB84" i="18"/>
  <c r="AB353" i="18"/>
  <c r="F146" i="18"/>
  <c r="J291" i="11"/>
  <c r="Z112" i="18"/>
  <c r="AA82" i="18"/>
  <c r="J134" i="11"/>
  <c r="I85" i="3"/>
  <c r="I275" i="11"/>
  <c r="Y344" i="18"/>
  <c r="L285" i="18"/>
  <c r="I489" i="3"/>
  <c r="AA134" i="18"/>
  <c r="M128" i="18"/>
  <c r="AB157" i="18"/>
  <c r="J50" i="11"/>
  <c r="AB357" i="18"/>
  <c r="X195" i="18"/>
  <c r="I198" i="11"/>
  <c r="J270" i="3"/>
  <c r="I314" i="3"/>
  <c r="AB103" i="18"/>
  <c r="J529" i="3"/>
  <c r="J302" i="11"/>
  <c r="AA100" i="18"/>
  <c r="AA195" i="18"/>
  <c r="I310" i="18"/>
  <c r="M198" i="18"/>
  <c r="Z223" i="18"/>
  <c r="X344" i="18"/>
  <c r="Y132" i="18"/>
  <c r="G168" i="18"/>
  <c r="AB173" i="18"/>
  <c r="G117" i="18"/>
  <c r="X305" i="18"/>
  <c r="N182" i="18"/>
  <c r="AB253" i="18"/>
  <c r="Z339" i="18"/>
  <c r="X264" i="18"/>
  <c r="X163" i="18"/>
  <c r="J182" i="11"/>
  <c r="I312" i="11"/>
  <c r="X118" i="18"/>
  <c r="Z214" i="18"/>
  <c r="L185" i="18"/>
  <c r="X150" i="18"/>
  <c r="M186" i="18"/>
  <c r="I473" i="11"/>
  <c r="L272" i="18"/>
  <c r="I258" i="11"/>
  <c r="I300" i="3"/>
  <c r="I242" i="11"/>
  <c r="J203" i="11"/>
  <c r="I209" i="18"/>
  <c r="J308" i="3"/>
  <c r="I159" i="11"/>
  <c r="M219" i="18"/>
  <c r="Y116" i="18"/>
  <c r="I325" i="11"/>
  <c r="X149" i="18"/>
  <c r="J391" i="3"/>
  <c r="I186" i="11"/>
  <c r="AA178" i="18"/>
  <c r="G87" i="18"/>
  <c r="G364" i="18"/>
  <c r="J220" i="11"/>
  <c r="J472" i="3"/>
  <c r="I186" i="3"/>
  <c r="M214" i="18"/>
  <c r="N109" i="18"/>
  <c r="I228" i="11"/>
  <c r="AB107" i="18"/>
  <c r="Z252" i="18"/>
  <c r="Y228" i="18"/>
  <c r="N276" i="18"/>
  <c r="N324" i="18"/>
  <c r="AA207" i="18"/>
  <c r="G195" i="18"/>
  <c r="AA185" i="18"/>
  <c r="M206" i="18"/>
  <c r="I136" i="18"/>
  <c r="J71" i="3"/>
  <c r="Z235" i="18"/>
  <c r="Y139" i="18"/>
  <c r="X312" i="18"/>
  <c r="Z297" i="18"/>
  <c r="M364" i="18"/>
  <c r="J274" i="11"/>
  <c r="L258" i="18"/>
  <c r="F366" i="18"/>
  <c r="J244" i="11"/>
  <c r="Y343" i="18"/>
  <c r="J173" i="3"/>
  <c r="I134" i="3"/>
  <c r="I369" i="3"/>
  <c r="K213" i="18"/>
  <c r="N263" i="18"/>
  <c r="I511" i="11"/>
  <c r="AA256" i="18"/>
  <c r="J109" i="11"/>
  <c r="K324" i="18"/>
  <c r="I90" i="3"/>
  <c r="G259" i="18"/>
  <c r="J503" i="11"/>
  <c r="I423" i="3"/>
  <c r="L204" i="18"/>
  <c r="K91" i="18"/>
  <c r="I39" i="3"/>
  <c r="M241" i="18"/>
  <c r="K297" i="18"/>
  <c r="L193" i="18"/>
  <c r="X114" i="18"/>
  <c r="J387" i="11"/>
  <c r="AB213" i="18"/>
  <c r="K358" i="18"/>
  <c r="I173" i="11"/>
  <c r="L326" i="18"/>
  <c r="F164" i="18"/>
  <c r="AA321" i="18"/>
  <c r="N93" i="18"/>
  <c r="N83" i="18"/>
  <c r="AA94" i="18"/>
  <c r="I349" i="3"/>
  <c r="K260" i="18"/>
  <c r="I317" i="18"/>
  <c r="L288" i="18"/>
  <c r="N268" i="18"/>
  <c r="AA214" i="18"/>
  <c r="Z286" i="18"/>
  <c r="I88" i="18"/>
  <c r="I210" i="18"/>
  <c r="F315" i="18"/>
  <c r="J379" i="11"/>
  <c r="I143" i="3"/>
  <c r="G238" i="18"/>
  <c r="X97" i="18"/>
  <c r="J482" i="3"/>
  <c r="I452" i="11"/>
  <c r="Y294" i="18"/>
  <c r="I264" i="3"/>
  <c r="J73" i="3"/>
  <c r="J194" i="11"/>
  <c r="J520" i="3"/>
  <c r="F272" i="18"/>
  <c r="J125" i="11"/>
  <c r="I88" i="11"/>
  <c r="M124" i="18"/>
  <c r="G329" i="18"/>
  <c r="Z131" i="18"/>
  <c r="J341" i="11"/>
  <c r="J436" i="3"/>
  <c r="X286" i="18"/>
  <c r="I442" i="3"/>
  <c r="Z239" i="18"/>
  <c r="AA326" i="18"/>
  <c r="K119" i="18"/>
  <c r="I301" i="11"/>
  <c r="Y265" i="18"/>
  <c r="F278" i="18"/>
  <c r="X346" i="18"/>
  <c r="Y119" i="18"/>
  <c r="N220" i="18"/>
  <c r="J423" i="3"/>
  <c r="AB96" i="18"/>
  <c r="I73" i="11"/>
  <c r="I92" i="18"/>
  <c r="J350" i="3"/>
  <c r="AB145" i="18"/>
  <c r="J467" i="11"/>
  <c r="I164" i="18"/>
  <c r="I158" i="3"/>
  <c r="I382" i="3"/>
  <c r="I118" i="3"/>
  <c r="N129" i="18"/>
  <c r="M276" i="18"/>
  <c r="F162" i="18"/>
  <c r="X311" i="18"/>
  <c r="I490" i="3"/>
  <c r="K156" i="18"/>
  <c r="G254" i="18"/>
  <c r="I47" i="11"/>
  <c r="Y275" i="18"/>
  <c r="J508" i="3"/>
  <c r="K318" i="18"/>
  <c r="J259" i="11"/>
  <c r="I516" i="3"/>
  <c r="K141" i="18"/>
  <c r="J376" i="3"/>
  <c r="G127" i="18"/>
  <c r="N101" i="18"/>
  <c r="K369" i="18"/>
  <c r="K298" i="18"/>
  <c r="J342" i="3"/>
  <c r="F275" i="18"/>
  <c r="Y94" i="18"/>
  <c r="J186" i="3"/>
  <c r="K186" i="3" s="1"/>
  <c r="F106" i="18"/>
  <c r="Y366" i="18"/>
  <c r="I460" i="3"/>
  <c r="I393" i="3"/>
  <c r="Z333" i="18"/>
  <c r="I138" i="18"/>
  <c r="L337" i="18"/>
  <c r="J486" i="11"/>
  <c r="X281" i="18"/>
  <c r="J264" i="11"/>
  <c r="J29" i="3"/>
  <c r="I125" i="18"/>
  <c r="I131" i="11"/>
  <c r="Z205" i="18"/>
  <c r="X316" i="18"/>
  <c r="I176" i="3"/>
  <c r="N247" i="18"/>
  <c r="I499" i="11"/>
  <c r="L289" i="18"/>
  <c r="M275" i="18"/>
  <c r="I243" i="11"/>
  <c r="G307" i="18"/>
  <c r="X351" i="18"/>
  <c r="J403" i="3"/>
  <c r="AA369" i="18"/>
  <c r="AA224" i="18"/>
  <c r="J412" i="11"/>
  <c r="Z232" i="18"/>
  <c r="L167" i="18"/>
  <c r="Z189" i="18"/>
  <c r="X176" i="18"/>
  <c r="N228" i="18"/>
  <c r="Y189" i="18"/>
  <c r="AB272" i="18"/>
  <c r="N261" i="18"/>
  <c r="J338" i="11"/>
  <c r="AA331" i="18"/>
  <c r="J359" i="3"/>
  <c r="I390" i="3"/>
  <c r="Y293" i="18"/>
  <c r="I400" i="11"/>
  <c r="Y206" i="18"/>
  <c r="X272" i="18"/>
  <c r="J100" i="3"/>
  <c r="I272" i="11"/>
  <c r="G89" i="18"/>
  <c r="J411" i="3"/>
  <c r="Z219" i="18"/>
  <c r="I259" i="11"/>
  <c r="Y329" i="18"/>
  <c r="G189" i="18"/>
  <c r="I454" i="3"/>
  <c r="F283" i="18"/>
  <c r="L137" i="18"/>
  <c r="L329" i="18"/>
  <c r="F114" i="18"/>
  <c r="I124" i="3"/>
  <c r="I501" i="3"/>
  <c r="J268" i="11"/>
  <c r="I275" i="3"/>
  <c r="AA240" i="18"/>
  <c r="AB227" i="18"/>
  <c r="M115" i="18"/>
  <c r="I151" i="18"/>
  <c r="K203" i="18"/>
  <c r="I151" i="3"/>
  <c r="L305" i="18"/>
  <c r="Y152" i="18"/>
  <c r="J506" i="11"/>
  <c r="J110" i="11"/>
  <c r="F353" i="18"/>
  <c r="AA234" i="18"/>
  <c r="K176" i="18"/>
  <c r="I376" i="3"/>
  <c r="J179" i="3"/>
  <c r="I167" i="18"/>
  <c r="I308" i="18"/>
  <c r="Z361" i="18"/>
  <c r="J201" i="11"/>
  <c r="J141" i="11"/>
  <c r="X342" i="18"/>
  <c r="F156" i="18"/>
  <c r="M169" i="18"/>
  <c r="K123" i="18"/>
  <c r="I405" i="11"/>
  <c r="J237" i="3"/>
  <c r="I136" i="3"/>
  <c r="J202" i="3"/>
  <c r="K137" i="18"/>
  <c r="AA229" i="18"/>
  <c r="X265" i="18"/>
  <c r="M213" i="18"/>
  <c r="F195" i="18"/>
  <c r="G147" i="18"/>
  <c r="I204" i="18"/>
  <c r="J469" i="3"/>
  <c r="I465" i="11"/>
  <c r="AA131" i="18"/>
  <c r="G105" i="18"/>
  <c r="Z159" i="18"/>
  <c r="AB140" i="18"/>
  <c r="F343" i="18"/>
  <c r="G120" i="18"/>
  <c r="N299" i="18"/>
  <c r="X220" i="18"/>
  <c r="F234" i="18"/>
  <c r="I524" i="3"/>
  <c r="F125" i="18"/>
  <c r="X177" i="18"/>
  <c r="G333" i="18"/>
  <c r="I228" i="18"/>
  <c r="J386" i="3"/>
  <c r="L211" i="18"/>
  <c r="K165" i="18"/>
  <c r="I172" i="11"/>
  <c r="Z122" i="18"/>
  <c r="N209" i="18"/>
  <c r="J261" i="3"/>
  <c r="I434" i="11"/>
  <c r="Y234" i="18"/>
  <c r="J228" i="3"/>
  <c r="G351" i="18"/>
  <c r="I368" i="3"/>
  <c r="J180" i="3"/>
  <c r="AB229" i="18"/>
  <c r="L275" i="18"/>
  <c r="L202" i="18"/>
  <c r="L318" i="18"/>
  <c r="J327" i="3"/>
  <c r="G251" i="18"/>
  <c r="J53" i="11"/>
  <c r="J429" i="11"/>
  <c r="N237" i="18"/>
  <c r="K131" i="18"/>
  <c r="AB352" i="18"/>
  <c r="I337" i="3"/>
  <c r="Y135" i="18"/>
  <c r="J46" i="3"/>
  <c r="G217" i="18"/>
  <c r="I199" i="3"/>
  <c r="I143" i="11"/>
  <c r="F148" i="18"/>
  <c r="J221" i="11"/>
  <c r="Y289" i="18"/>
  <c r="Z89" i="18"/>
  <c r="M152" i="18"/>
  <c r="J272" i="11"/>
  <c r="AB197" i="18"/>
  <c r="M158" i="18"/>
  <c r="J321" i="11"/>
  <c r="Z308" i="18"/>
  <c r="K84" i="18"/>
  <c r="X237" i="18"/>
  <c r="I268" i="18"/>
  <c r="F122" i="18"/>
  <c r="K151" i="18"/>
  <c r="X214" i="18"/>
  <c r="M357" i="18"/>
  <c r="L106" i="18"/>
  <c r="Y326" i="18"/>
  <c r="I140" i="11"/>
  <c r="I153" i="11"/>
  <c r="J210" i="3"/>
  <c r="J486" i="3"/>
  <c r="I380" i="3"/>
  <c r="F303" i="18"/>
  <c r="X306" i="18"/>
  <c r="G255" i="18"/>
  <c r="Z360" i="18"/>
  <c r="N257" i="18"/>
  <c r="J468" i="3"/>
  <c r="Z325" i="18"/>
  <c r="F314" i="18"/>
  <c r="I101" i="3"/>
  <c r="J335" i="3"/>
  <c r="I109" i="18"/>
  <c r="AA275" i="18"/>
  <c r="M318" i="18"/>
  <c r="G292" i="18"/>
  <c r="Z123" i="18"/>
  <c r="J130" i="3"/>
  <c r="I180" i="11"/>
  <c r="J428" i="3"/>
  <c r="I67" i="3"/>
  <c r="G337" i="18"/>
  <c r="Y129" i="18"/>
  <c r="J51" i="11"/>
  <c r="X262" i="18"/>
  <c r="G221" i="18"/>
  <c r="J117" i="11"/>
  <c r="N138" i="18"/>
  <c r="J522" i="3"/>
  <c r="J90" i="11"/>
  <c r="I199" i="18"/>
  <c r="Z264" i="18"/>
  <c r="I316" i="18"/>
  <c r="X314" i="18"/>
  <c r="M109" i="18"/>
  <c r="AB187" i="18"/>
  <c r="I200" i="11"/>
  <c r="M290" i="18"/>
  <c r="F265" i="18"/>
  <c r="K301" i="18"/>
  <c r="L223" i="18"/>
  <c r="L205" i="18"/>
  <c r="I424" i="11"/>
  <c r="L271" i="18"/>
  <c r="J497" i="3"/>
  <c r="G160" i="18"/>
  <c r="L367" i="18"/>
  <c r="X362" i="18"/>
  <c r="I249" i="3"/>
  <c r="L311" i="18"/>
  <c r="Z299" i="18"/>
  <c r="AB179" i="18"/>
  <c r="I187" i="11"/>
  <c r="I267" i="18"/>
  <c r="I409" i="11"/>
  <c r="I395" i="3"/>
  <c r="I160" i="11"/>
  <c r="I342" i="3"/>
  <c r="G218" i="18"/>
  <c r="J59" i="3"/>
  <c r="Z350" i="18"/>
  <c r="J135" i="3"/>
  <c r="J34" i="3"/>
  <c r="I298" i="18"/>
  <c r="J314" i="3"/>
  <c r="I499" i="3"/>
  <c r="G93" i="18"/>
  <c r="X141" i="18"/>
  <c r="I364" i="3"/>
  <c r="I250" i="3"/>
  <c r="Y167" i="18"/>
  <c r="J237" i="11"/>
  <c r="AA230" i="18"/>
  <c r="AA368" i="18"/>
  <c r="M217" i="18"/>
  <c r="I282" i="18"/>
  <c r="N363" i="18"/>
  <c r="G130" i="18"/>
  <c r="M84" i="18"/>
  <c r="J261" i="11"/>
  <c r="L342" i="18"/>
  <c r="I57" i="11"/>
  <c r="I509" i="3"/>
  <c r="J413" i="11"/>
  <c r="K222" i="18"/>
  <c r="I252" i="3"/>
  <c r="X255" i="18"/>
  <c r="G334" i="18"/>
  <c r="Z324" i="18"/>
  <c r="I140" i="3"/>
  <c r="Z261" i="18"/>
  <c r="G274" i="18"/>
  <c r="N84" i="18"/>
  <c r="AB118" i="18"/>
  <c r="I271" i="11"/>
  <c r="J290" i="11"/>
  <c r="N226" i="18"/>
  <c r="X268" i="18"/>
  <c r="G283" i="18"/>
  <c r="I203" i="11"/>
  <c r="I498" i="3"/>
  <c r="J65" i="3"/>
  <c r="L174" i="18"/>
  <c r="I157" i="18"/>
  <c r="I422" i="11"/>
  <c r="AB363" i="18"/>
  <c r="J156" i="3"/>
  <c r="F348" i="18"/>
  <c r="L89" i="18"/>
  <c r="M291" i="18"/>
  <c r="X215" i="18"/>
  <c r="I358" i="11"/>
  <c r="F104" i="18"/>
  <c r="J309" i="3"/>
  <c r="K92" i="18"/>
  <c r="Y334" i="18"/>
  <c r="AA150" i="18"/>
  <c r="I220" i="18"/>
  <c r="M334" i="18"/>
  <c r="M82" i="18"/>
  <c r="I526" i="3"/>
  <c r="Z132" i="18"/>
  <c r="J337" i="3"/>
  <c r="J418" i="11"/>
  <c r="J366" i="11"/>
  <c r="G297" i="18"/>
  <c r="Z148" i="18"/>
  <c r="Z162" i="18"/>
  <c r="G121" i="18"/>
  <c r="I87" i="18"/>
  <c r="J419" i="3"/>
  <c r="K97" i="18"/>
  <c r="J108" i="3"/>
  <c r="Y318" i="18"/>
  <c r="J533" i="3"/>
  <c r="I104" i="3"/>
  <c r="I462" i="3"/>
  <c r="I269" i="11"/>
  <c r="I439" i="11"/>
  <c r="I383" i="11"/>
  <c r="L109" i="18"/>
  <c r="AB151" i="18"/>
  <c r="I504" i="11"/>
  <c r="J384" i="11"/>
  <c r="J364" i="11"/>
  <c r="I140" i="18"/>
  <c r="K236" i="18"/>
  <c r="AA277" i="18"/>
  <c r="Z296" i="18"/>
  <c r="J403" i="11"/>
  <c r="J286" i="3"/>
  <c r="M144" i="18"/>
  <c r="X203" i="18"/>
  <c r="I428" i="3"/>
  <c r="G299" i="18"/>
  <c r="Y106" i="18"/>
  <c r="J346" i="11"/>
  <c r="L113" i="18"/>
  <c r="I313" i="3"/>
  <c r="J93" i="11"/>
  <c r="AB88" i="18"/>
  <c r="I170" i="11"/>
  <c r="AA92" i="18"/>
  <c r="J205" i="3"/>
  <c r="G222" i="18"/>
  <c r="Y360" i="18"/>
  <c r="I283" i="11"/>
  <c r="G146" i="18"/>
  <c r="J444" i="11"/>
  <c r="I408" i="11"/>
  <c r="G90" i="18"/>
  <c r="I552" i="3"/>
  <c r="J264" i="3"/>
  <c r="N326" i="18"/>
  <c r="X263" i="18"/>
  <c r="Z98" i="18"/>
  <c r="L323" i="18"/>
  <c r="I349" i="11"/>
  <c r="Y172" i="18"/>
  <c r="I274" i="18"/>
  <c r="Z256" i="18"/>
  <c r="M100" i="18"/>
  <c r="I264" i="11"/>
  <c r="J495" i="3"/>
  <c r="Y273" i="18"/>
  <c r="Y260" i="18"/>
  <c r="J489" i="11"/>
  <c r="M366" i="18"/>
  <c r="K113" i="18"/>
  <c r="X228" i="18"/>
  <c r="M166" i="18"/>
  <c r="I72" i="11"/>
  <c r="I126" i="11"/>
  <c r="F242" i="18"/>
  <c r="J297" i="3"/>
  <c r="K245" i="18"/>
  <c r="X319" i="18"/>
  <c r="I129" i="11"/>
  <c r="N248" i="18"/>
  <c r="I347" i="3"/>
  <c r="AB262" i="18"/>
  <c r="I362" i="3"/>
  <c r="K362" i="3" s="1"/>
  <c r="F232" i="18"/>
  <c r="L82" i="18"/>
  <c r="F215" i="18"/>
  <c r="I357" i="3"/>
  <c r="K184" i="18"/>
  <c r="J454" i="11"/>
  <c r="K271" i="18"/>
  <c r="J186" i="11"/>
  <c r="I145" i="11"/>
  <c r="I216" i="3"/>
  <c r="J289" i="11"/>
  <c r="G143" i="18"/>
  <c r="K235" i="18"/>
  <c r="J68" i="11"/>
  <c r="Z246" i="18"/>
  <c r="I83" i="18"/>
  <c r="Y114" i="18"/>
  <c r="AB85" i="18"/>
  <c r="X337" i="18"/>
  <c r="N315" i="18"/>
  <c r="X260" i="18"/>
  <c r="J279" i="3"/>
  <c r="N167" i="18"/>
  <c r="L132" i="18"/>
  <c r="J168" i="3"/>
  <c r="I344" i="3"/>
  <c r="K317" i="18"/>
  <c r="Y240" i="18"/>
  <c r="G182" i="18"/>
  <c r="J146" i="3"/>
  <c r="I334" i="18"/>
  <c r="F285" i="18"/>
  <c r="J75" i="11"/>
  <c r="AA242" i="18"/>
  <c r="AA203" i="18"/>
  <c r="I310" i="11"/>
  <c r="AA144" i="18"/>
  <c r="J69" i="3"/>
  <c r="Z300" i="18"/>
  <c r="K353" i="18"/>
  <c r="AB308" i="18"/>
  <c r="J416" i="3"/>
  <c r="I248" i="11"/>
  <c r="N285" i="18"/>
  <c r="K146" i="18"/>
  <c r="I232" i="11"/>
  <c r="G176" i="18"/>
  <c r="N368" i="18"/>
  <c r="J178" i="11"/>
  <c r="Y83" i="18"/>
  <c r="L138" i="18"/>
  <c r="Z238" i="18"/>
  <c r="L84" i="18"/>
  <c r="I275" i="18"/>
  <c r="X343" i="18"/>
  <c r="K210" i="18"/>
  <c r="AA123" i="18"/>
  <c r="Z135" i="18"/>
  <c r="M131" i="18"/>
  <c r="L312" i="18"/>
  <c r="I195" i="11"/>
  <c r="I459" i="11"/>
  <c r="AB317" i="18"/>
  <c r="AA354" i="18"/>
  <c r="I503" i="11"/>
  <c r="J437" i="11"/>
  <c r="I418" i="3"/>
  <c r="F208" i="18"/>
  <c r="K295" i="18"/>
  <c r="M294" i="18"/>
  <c r="F327" i="18"/>
  <c r="J234" i="11"/>
  <c r="Y230" i="18"/>
  <c r="Y250" i="18"/>
  <c r="J208" i="3"/>
  <c r="K167" i="18"/>
  <c r="I384" i="11"/>
  <c r="I130" i="18"/>
  <c r="I288" i="3"/>
  <c r="Y191" i="18"/>
  <c r="K188" i="18"/>
  <c r="AA347" i="18"/>
  <c r="I294" i="3"/>
  <c r="I482" i="11"/>
  <c r="F277" i="18"/>
  <c r="L94" i="18"/>
  <c r="G243" i="18"/>
  <c r="J116" i="11"/>
  <c r="Y352" i="18"/>
  <c r="J226" i="3"/>
  <c r="G362" i="18"/>
  <c r="Y264" i="18"/>
  <c r="AB194" i="18"/>
  <c r="AA297" i="18"/>
  <c r="J376" i="11"/>
  <c r="AA357" i="18"/>
  <c r="M243" i="18"/>
  <c r="Y223" i="18"/>
  <c r="J363" i="11"/>
  <c r="AB292" i="18"/>
  <c r="G341" i="18"/>
  <c r="G203" i="18"/>
  <c r="AA136" i="18"/>
  <c r="I287" i="18"/>
  <c r="N92" i="18"/>
  <c r="AA221" i="18"/>
  <c r="Y88" i="18"/>
  <c r="Z195" i="18"/>
  <c r="J39" i="3"/>
  <c r="G262" i="18"/>
  <c r="I93" i="11"/>
  <c r="J212" i="3"/>
  <c r="J201" i="3"/>
  <c r="I351" i="18"/>
  <c r="J127" i="3"/>
  <c r="Z100" i="18"/>
  <c r="I89" i="18"/>
  <c r="M193" i="18"/>
  <c r="AB326" i="18"/>
  <c r="N240" i="18"/>
  <c r="I254" i="11"/>
  <c r="I390" i="11"/>
  <c r="J232" i="11"/>
  <c r="X250" i="18"/>
  <c r="L250" i="18"/>
  <c r="J210" i="11"/>
  <c r="M343" i="18"/>
  <c r="J204" i="3"/>
  <c r="I69" i="11"/>
  <c r="L260" i="18"/>
  <c r="J438" i="11"/>
  <c r="G316" i="18"/>
  <c r="K322" i="18"/>
  <c r="I262" i="18"/>
  <c r="I266" i="18"/>
  <c r="I78" i="11"/>
  <c r="N282" i="18"/>
  <c r="M355" i="18"/>
  <c r="J154" i="3"/>
  <c r="F362" i="18"/>
  <c r="J229" i="3"/>
  <c r="F341" i="18"/>
  <c r="Y145" i="18"/>
  <c r="G225" i="18"/>
  <c r="J277" i="11"/>
  <c r="I350" i="3"/>
  <c r="J196" i="11"/>
  <c r="AB337" i="18"/>
  <c r="J553" i="3"/>
  <c r="J526" i="3"/>
  <c r="I131" i="3"/>
  <c r="AB113" i="18"/>
  <c r="F325" i="18"/>
  <c r="AB178" i="18"/>
  <c r="J450" i="11"/>
  <c r="J318" i="3"/>
  <c r="I175" i="11"/>
  <c r="X96" i="18"/>
  <c r="I220" i="11"/>
  <c r="J404" i="3"/>
  <c r="M277" i="18"/>
  <c r="J217" i="11"/>
  <c r="AB346" i="18"/>
  <c r="I112" i="3"/>
  <c r="G215" i="18"/>
  <c r="K266" i="18"/>
  <c r="Y182" i="18"/>
  <c r="I30" i="3"/>
  <c r="N311" i="18"/>
  <c r="J146" i="11"/>
  <c r="F257" i="18"/>
  <c r="L217" i="18"/>
  <c r="I429" i="11"/>
  <c r="I157" i="11"/>
  <c r="I485" i="3"/>
  <c r="I366" i="3"/>
  <c r="X155" i="18"/>
  <c r="Y342" i="18"/>
  <c r="J218" i="3"/>
  <c r="J80" i="11"/>
  <c r="I306" i="11"/>
  <c r="J288" i="11"/>
  <c r="I367" i="11"/>
  <c r="N130" i="18"/>
  <c r="J217" i="3"/>
  <c r="F259" i="18"/>
  <c r="J58" i="3"/>
  <c r="I437" i="3"/>
  <c r="N147" i="18"/>
  <c r="I193" i="18"/>
  <c r="I77" i="3"/>
  <c r="I381" i="11"/>
  <c r="I149" i="11"/>
  <c r="I481" i="3"/>
  <c r="F333" i="18"/>
  <c r="N253" i="18"/>
  <c r="K99" i="18"/>
  <c r="I459" i="3"/>
  <c r="AB119" i="18"/>
  <c r="L264" i="18"/>
  <c r="M117" i="18"/>
  <c r="F328" i="18"/>
  <c r="N349" i="18"/>
  <c r="AB132" i="18"/>
  <c r="I444" i="11"/>
  <c r="J41" i="3"/>
  <c r="I122" i="11"/>
  <c r="M250" i="18"/>
  <c r="J409" i="11"/>
  <c r="I115" i="3"/>
  <c r="I124" i="11"/>
  <c r="I79" i="3"/>
  <c r="AA87" i="18"/>
  <c r="AB204" i="18"/>
  <c r="J289" i="3"/>
  <c r="J239" i="11"/>
  <c r="J251" i="11"/>
  <c r="X121" i="18"/>
  <c r="G291" i="18"/>
  <c r="X202" i="18"/>
  <c r="X132" i="18"/>
  <c r="I98" i="3"/>
  <c r="I269" i="18"/>
  <c r="J292" i="11"/>
  <c r="AA305" i="18"/>
  <c r="N199" i="18"/>
  <c r="L244" i="18"/>
  <c r="I154" i="11"/>
  <c r="J325" i="11"/>
  <c r="F346" i="18"/>
  <c r="G320" i="18"/>
  <c r="J63" i="11"/>
  <c r="K139" i="18"/>
  <c r="I234" i="18"/>
  <c r="I549" i="3"/>
  <c r="M297" i="18"/>
  <c r="M264" i="18"/>
  <c r="AA335" i="18"/>
  <c r="K173" i="18"/>
  <c r="G369" i="18"/>
  <c r="Y320" i="18"/>
  <c r="L166" i="18"/>
  <c r="I81" i="3"/>
  <c r="I248" i="3"/>
  <c r="L216" i="18"/>
  <c r="I514" i="3"/>
  <c r="Y296" i="18"/>
  <c r="I209" i="3"/>
  <c r="J452" i="3"/>
  <c r="K326" i="18"/>
  <c r="AA251" i="18"/>
  <c r="J432" i="11"/>
  <c r="I422" i="3"/>
  <c r="I205" i="11"/>
  <c r="K147" i="18"/>
  <c r="J171" i="3"/>
  <c r="G276" i="18"/>
  <c r="G227" i="18"/>
  <c r="I466" i="3"/>
  <c r="I115" i="11"/>
  <c r="Z355" i="18"/>
  <c r="F235" i="18"/>
  <c r="M368" i="18"/>
  <c r="J198" i="11"/>
  <c r="Z85" i="18"/>
  <c r="M237" i="18"/>
  <c r="N95" i="18"/>
  <c r="G354" i="18"/>
  <c r="J303" i="3"/>
  <c r="I4" i="3"/>
  <c r="AA155" i="18"/>
  <c r="Z171" i="18"/>
  <c r="J497" i="11"/>
  <c r="X333" i="18"/>
  <c r="I532" i="3"/>
  <c r="I214" i="18"/>
  <c r="J104" i="3"/>
  <c r="Z108" i="18"/>
  <c r="N271" i="18"/>
  <c r="N206" i="18"/>
  <c r="F268" i="18"/>
  <c r="I441" i="11"/>
  <c r="I194" i="11"/>
  <c r="Z119" i="18"/>
  <c r="J272" i="3"/>
  <c r="X366" i="18"/>
  <c r="J164" i="11"/>
  <c r="F310" i="18"/>
  <c r="I197" i="18"/>
  <c r="N190" i="18"/>
  <c r="I146" i="3"/>
  <c r="K118" i="18"/>
  <c r="M360" i="18"/>
  <c r="N259" i="18"/>
  <c r="I263" i="11"/>
  <c r="I278" i="11"/>
  <c r="I387" i="11"/>
  <c r="Z312" i="18"/>
  <c r="X185" i="18"/>
  <c r="J221" i="3"/>
  <c r="Y267" i="18"/>
  <c r="F183" i="18"/>
  <c r="J453" i="3"/>
  <c r="AB225" i="18"/>
  <c r="J248" i="11"/>
  <c r="I475" i="11"/>
  <c r="J162" i="3"/>
  <c r="G338" i="18"/>
  <c r="J235" i="3"/>
  <c r="J512" i="3"/>
  <c r="F127" i="18"/>
  <c r="J370" i="11"/>
  <c r="I279" i="11"/>
  <c r="I548" i="3"/>
  <c r="Z105" i="18"/>
  <c r="G141" i="18"/>
  <c r="J174" i="3"/>
  <c r="Y161" i="18"/>
  <c r="AB236" i="18"/>
  <c r="K327" i="18"/>
  <c r="J143" i="3"/>
  <c r="K341" i="18"/>
  <c r="I154" i="18"/>
  <c r="AB136" i="18"/>
  <c r="J156" i="11"/>
  <c r="L140" i="18"/>
  <c r="G321" i="18"/>
  <c r="X335" i="18"/>
  <c r="AB362" i="18"/>
  <c r="Z255" i="18"/>
  <c r="Y180" i="18"/>
  <c r="K197" i="18"/>
  <c r="AA168" i="18"/>
  <c r="J434" i="11"/>
  <c r="N249" i="18"/>
  <c r="I232" i="18"/>
  <c r="N358" i="18"/>
  <c r="J89" i="11"/>
  <c r="AA345" i="18"/>
  <c r="Y178" i="18"/>
  <c r="M160" i="18"/>
  <c r="J280" i="11"/>
  <c r="G174" i="18"/>
  <c r="I281" i="18"/>
  <c r="AB109" i="18"/>
  <c r="L334" i="18"/>
  <c r="I71" i="11"/>
  <c r="M207" i="18"/>
  <c r="I272" i="18"/>
  <c r="I173" i="3"/>
  <c r="J447" i="3"/>
  <c r="I209" i="11"/>
  <c r="J106" i="11"/>
  <c r="J466" i="11"/>
  <c r="M339" i="18"/>
  <c r="J441" i="11"/>
  <c r="I169" i="18"/>
  <c r="I204" i="11"/>
  <c r="F110" i="18"/>
  <c r="I354" i="3"/>
  <c r="I396" i="3"/>
  <c r="G260" i="18"/>
  <c r="J513" i="11"/>
  <c r="J325" i="3"/>
  <c r="G244" i="18"/>
  <c r="AB310" i="18"/>
  <c r="Y92" i="18"/>
  <c r="G92" i="18"/>
  <c r="G271" i="18"/>
  <c r="M98" i="18"/>
  <c r="J138" i="3"/>
  <c r="Y104" i="18"/>
  <c r="G302" i="18"/>
  <c r="N204" i="18"/>
  <c r="X134" i="18"/>
  <c r="J390" i="3"/>
  <c r="F368" i="18"/>
  <c r="I382" i="11"/>
  <c r="G313" i="18"/>
  <c r="X298" i="18"/>
  <c r="I508" i="11"/>
  <c r="I469" i="11"/>
  <c r="I263" i="3"/>
  <c r="L235" i="18"/>
  <c r="L226" i="18"/>
  <c r="I168" i="3"/>
  <c r="J306" i="11"/>
  <c r="G263" i="18"/>
  <c r="M321" i="18"/>
  <c r="I314" i="11"/>
  <c r="Z234" i="18"/>
  <c r="F171" i="18"/>
  <c r="N195" i="18"/>
  <c r="I219" i="3"/>
  <c r="I183" i="11"/>
  <c r="X356" i="18"/>
  <c r="J500" i="3"/>
  <c r="F300" i="18"/>
  <c r="AB198" i="18"/>
  <c r="AB322" i="18"/>
  <c r="AB340" i="18"/>
  <c r="I370" i="3"/>
  <c r="J172" i="11"/>
  <c r="AA166" i="18"/>
  <c r="J153" i="11"/>
  <c r="K153" i="11" s="1"/>
  <c r="J133" i="3"/>
  <c r="L268" i="18"/>
  <c r="I318" i="18"/>
  <c r="AB121" i="18"/>
  <c r="J373" i="11"/>
  <c r="J67" i="11"/>
  <c r="AA106" i="18"/>
  <c r="AA84" i="18"/>
  <c r="AA149" i="18"/>
  <c r="G295" i="18"/>
  <c r="I457" i="3"/>
  <c r="M295" i="18"/>
  <c r="I379" i="3"/>
  <c r="G208" i="18"/>
  <c r="AA174" i="18"/>
  <c r="Y177" i="18"/>
  <c r="J113" i="3"/>
  <c r="L104" i="18"/>
  <c r="F194" i="18"/>
  <c r="I392" i="11"/>
  <c r="AB230" i="18"/>
  <c r="G171" i="18"/>
  <c r="I371" i="11"/>
  <c r="I227" i="11"/>
  <c r="F136" i="18"/>
  <c r="N354" i="18"/>
  <c r="K174" i="18"/>
  <c r="Z211" i="18"/>
  <c r="M175" i="18"/>
  <c r="J377" i="3"/>
  <c r="Z88" i="18"/>
  <c r="Y208" i="18"/>
  <c r="G149" i="18"/>
  <c r="I148" i="3"/>
  <c r="G136" i="18"/>
  <c r="N166" i="18"/>
  <c r="N339" i="18"/>
  <c r="X267" i="18"/>
  <c r="N113" i="18"/>
  <c r="F279" i="18"/>
  <c r="AA308" i="18"/>
  <c r="I51" i="3"/>
  <c r="J459" i="3"/>
  <c r="J423" i="11"/>
  <c r="I290" i="18"/>
  <c r="I370" i="11"/>
  <c r="I484" i="3"/>
  <c r="I301" i="18"/>
  <c r="J368" i="3"/>
  <c r="K368" i="3" s="1"/>
  <c r="J287" i="3"/>
  <c r="L127" i="18"/>
  <c r="X229" i="18"/>
  <c r="I305" i="11"/>
  <c r="F223" i="18"/>
  <c r="Y295" i="18"/>
  <c r="J161" i="11"/>
  <c r="G360" i="18"/>
  <c r="X345" i="18"/>
  <c r="G165" i="18"/>
  <c r="I238" i="11"/>
  <c r="M281" i="18"/>
  <c r="Z248" i="18"/>
  <c r="N162" i="18"/>
  <c r="G331" i="18"/>
  <c r="L122" i="18"/>
  <c r="J126" i="11"/>
  <c r="K126" i="11" s="1"/>
  <c r="AA212" i="18"/>
  <c r="L321" i="18"/>
  <c r="Z359" i="18"/>
  <c r="J457" i="3"/>
  <c r="I121" i="11"/>
  <c r="I96" i="11"/>
  <c r="J367" i="11"/>
  <c r="J224" i="11"/>
  <c r="Y351" i="18"/>
  <c r="J285" i="11"/>
  <c r="I226" i="11"/>
  <c r="N187" i="18"/>
  <c r="Y163" i="18"/>
  <c r="N264" i="18"/>
  <c r="L273" i="18"/>
  <c r="K209" i="18"/>
  <c r="I230" i="3"/>
  <c r="I238" i="18"/>
  <c r="K136" i="18"/>
  <c r="M200" i="18"/>
  <c r="AA287" i="18"/>
  <c r="I471" i="11"/>
  <c r="K314" i="18"/>
  <c r="K128" i="18"/>
  <c r="J372" i="3"/>
  <c r="I306" i="18"/>
  <c r="M218" i="18"/>
  <c r="X180" i="18"/>
  <c r="M90" i="18"/>
  <c r="J160" i="3"/>
  <c r="J487" i="3"/>
  <c r="Y204" i="18"/>
  <c r="L153" i="18"/>
  <c r="M121" i="18"/>
  <c r="I492" i="11"/>
  <c r="M268" i="18"/>
  <c r="AA289" i="18"/>
  <c r="L124" i="18"/>
  <c r="I32" i="3"/>
  <c r="J139" i="3"/>
  <c r="I158" i="18"/>
  <c r="L266" i="18"/>
  <c r="AA250" i="18"/>
  <c r="W250" i="18" s="1"/>
  <c r="I112" i="18"/>
  <c r="Z253" i="18"/>
  <c r="I74" i="3"/>
  <c r="L175" i="18"/>
  <c r="AA367" i="18"/>
  <c r="W367" i="18" s="1"/>
  <c r="I522" i="3"/>
  <c r="M314" i="18"/>
  <c r="N194" i="18"/>
  <c r="J285" i="3"/>
  <c r="F176" i="18"/>
  <c r="J302" i="3"/>
  <c r="K172" i="18"/>
  <c r="J492" i="3"/>
  <c r="K218" i="18"/>
  <c r="J337" i="11"/>
  <c r="J79" i="11"/>
  <c r="Z260" i="18"/>
  <c r="I235" i="11"/>
  <c r="I180" i="3"/>
  <c r="K90" i="18"/>
  <c r="M145" i="18"/>
  <c r="AB139" i="18"/>
  <c r="X161" i="18"/>
  <c r="J492" i="11"/>
  <c r="J323" i="3"/>
  <c r="I251" i="3"/>
  <c r="J249" i="11"/>
  <c r="N333" i="18"/>
  <c r="X210" i="18"/>
  <c r="AB327" i="18"/>
  <c r="K189" i="18"/>
  <c r="F261" i="18"/>
  <c r="J487" i="11"/>
  <c r="L212" i="18"/>
  <c r="I38" i="3"/>
  <c r="Y176" i="18"/>
  <c r="I214" i="11"/>
  <c r="J310" i="3"/>
  <c r="M260" i="18"/>
  <c r="K163" i="18"/>
  <c r="I338" i="11"/>
  <c r="I356" i="11"/>
  <c r="G270" i="18"/>
  <c r="X217" i="18"/>
  <c r="I237" i="11"/>
  <c r="AA352" i="18"/>
  <c r="I55" i="3"/>
  <c r="J224" i="3"/>
  <c r="K129" i="18"/>
  <c r="X368" i="18"/>
  <c r="L322" i="18"/>
  <c r="F296" i="18"/>
  <c r="J299" i="3"/>
  <c r="J267" i="3"/>
  <c r="N117" i="18"/>
  <c r="G349" i="18"/>
  <c r="M155" i="18"/>
  <c r="K284" i="18"/>
  <c r="K265" i="18"/>
  <c r="M367" i="18"/>
  <c r="J399" i="11"/>
  <c r="J227" i="11"/>
  <c r="K299" i="18"/>
  <c r="K212" i="18"/>
  <c r="AA309" i="18"/>
  <c r="I162" i="3"/>
  <c r="G242" i="18"/>
  <c r="I409" i="3"/>
  <c r="J199" i="11"/>
  <c r="X144" i="18"/>
  <c r="M261" i="18"/>
  <c r="I165" i="11"/>
  <c r="M209" i="18"/>
  <c r="I76" i="3"/>
  <c r="L238" i="18"/>
  <c r="I495" i="11"/>
  <c r="L358" i="18"/>
  <c r="J246" i="11"/>
  <c r="I93" i="18"/>
  <c r="M324" i="18"/>
  <c r="X86" i="18"/>
  <c r="J331" i="3"/>
  <c r="L231" i="18"/>
  <c r="AA284" i="18"/>
  <c r="I551" i="3"/>
  <c r="L354" i="18"/>
  <c r="AA102" i="18"/>
  <c r="F140" i="18"/>
  <c r="L230" i="18"/>
  <c r="I266" i="3"/>
  <c r="J218" i="11"/>
  <c r="I74" i="11"/>
  <c r="Y297" i="18"/>
  <c r="I450" i="3"/>
  <c r="AB160" i="18"/>
  <c r="AA248" i="18"/>
  <c r="I283" i="3"/>
  <c r="M147" i="18"/>
  <c r="J494" i="3"/>
  <c r="I412" i="3"/>
  <c r="I59" i="11"/>
  <c r="G112" i="18"/>
  <c r="AB244" i="18"/>
  <c r="Z86" i="18"/>
  <c r="X246" i="18"/>
  <c r="N222" i="18"/>
  <c r="I181" i="3"/>
  <c r="I386" i="11"/>
  <c r="F178" i="18"/>
  <c r="J243" i="11"/>
  <c r="F338" i="18"/>
  <c r="G183" i="18"/>
  <c r="I165" i="3"/>
  <c r="J439" i="3"/>
  <c r="I174" i="11"/>
  <c r="I185" i="11"/>
  <c r="J313" i="11"/>
  <c r="AB314" i="18"/>
  <c r="J89" i="3"/>
  <c r="J378" i="11"/>
  <c r="AA259" i="18"/>
  <c r="G309" i="18"/>
  <c r="J236" i="11"/>
  <c r="I193" i="11"/>
  <c r="M304" i="18"/>
  <c r="J283" i="11"/>
  <c r="F316" i="18"/>
  <c r="Z138" i="18"/>
  <c r="Z107" i="18"/>
  <c r="G335" i="18"/>
  <c r="Z259" i="18"/>
  <c r="I478" i="11"/>
  <c r="AA173" i="18"/>
  <c r="J330" i="11"/>
  <c r="J319" i="11"/>
  <c r="I358" i="18"/>
  <c r="K124" i="18"/>
  <c r="I126" i="3"/>
  <c r="I113" i="3"/>
  <c r="AB174" i="18"/>
  <c r="N137" i="18"/>
  <c r="I330" i="11"/>
  <c r="AB167" i="18"/>
  <c r="J315" i="11"/>
  <c r="Z307" i="18"/>
  <c r="N267" i="18"/>
  <c r="J230" i="11"/>
  <c r="I267" i="3"/>
  <c r="L248" i="18"/>
  <c r="G327" i="18"/>
  <c r="K199" i="18"/>
  <c r="Y192" i="18"/>
  <c r="J122" i="11"/>
  <c r="I383" i="3"/>
  <c r="G290" i="18"/>
  <c r="X261" i="18"/>
  <c r="Y168" i="18"/>
  <c r="J320" i="3"/>
  <c r="G278" i="18"/>
  <c r="N309" i="18"/>
  <c r="I46" i="11"/>
  <c r="K154" i="18"/>
  <c r="I182" i="11"/>
  <c r="M267" i="18"/>
  <c r="I556" i="3"/>
  <c r="I453" i="11"/>
  <c r="AB351" i="18"/>
  <c r="I47" i="3"/>
  <c r="N133" i="18"/>
  <c r="Y272" i="18"/>
  <c r="I277" i="11"/>
  <c r="AB282" i="18"/>
  <c r="I428" i="11"/>
  <c r="X85" i="18"/>
  <c r="I135" i="18"/>
  <c r="I425" i="3"/>
  <c r="Y261" i="18"/>
  <c r="N172" i="18"/>
  <c r="I293" i="11"/>
  <c r="J175" i="11"/>
  <c r="I66" i="3"/>
  <c r="J170" i="3"/>
  <c r="I232" i="3"/>
  <c r="I395" i="11"/>
  <c r="I242" i="18"/>
  <c r="F102" i="18"/>
  <c r="X323" i="18"/>
  <c r="L299" i="18"/>
  <c r="X90" i="18"/>
  <c r="X88" i="18"/>
  <c r="I363" i="3"/>
  <c r="N91" i="18"/>
  <c r="Z177" i="18"/>
  <c r="J470" i="3"/>
  <c r="J463" i="11"/>
  <c r="Z337" i="18"/>
  <c r="AA329" i="18"/>
  <c r="J80" i="3"/>
  <c r="X140" i="18"/>
  <c r="I73" i="3"/>
  <c r="I262" i="3"/>
  <c r="K142" i="18"/>
  <c r="AB171" i="18"/>
  <c r="K145" i="18"/>
  <c r="F117" i="18"/>
  <c r="L177" i="18"/>
  <c r="J462" i="11"/>
  <c r="L281" i="18"/>
  <c r="I398" i="3"/>
  <c r="N151" i="18"/>
  <c r="F306" i="18"/>
  <c r="J46" i="11"/>
  <c r="Y85" i="18"/>
  <c r="J150" i="11"/>
  <c r="M319" i="18"/>
  <c r="Z204" i="18"/>
  <c r="Z118" i="18"/>
  <c r="I64" i="3"/>
  <c r="X87" i="18"/>
  <c r="I154" i="3"/>
  <c r="J336" i="3"/>
  <c r="I203" i="3"/>
  <c r="L278" i="18"/>
  <c r="J409" i="3"/>
  <c r="N290" i="18"/>
  <c r="M286" i="18"/>
  <c r="K289" i="18"/>
  <c r="L259" i="18"/>
  <c r="Z340" i="18"/>
  <c r="I77" i="11"/>
  <c r="I221" i="11"/>
  <c r="J121" i="3"/>
  <c r="N283" i="18"/>
  <c r="L308" i="18"/>
  <c r="F105" i="18"/>
  <c r="I139" i="3"/>
  <c r="X248" i="18"/>
  <c r="AB181" i="18"/>
  <c r="J479" i="3"/>
  <c r="AB231" i="18"/>
  <c r="M235" i="18"/>
  <c r="N132" i="18"/>
  <c r="M165" i="18"/>
  <c r="Z319" i="18"/>
  <c r="J476" i="11"/>
  <c r="AA364" i="18"/>
  <c r="J288" i="3"/>
  <c r="Y86" i="18"/>
  <c r="M194" i="18"/>
  <c r="Z209" i="18"/>
  <c r="I518" i="3"/>
  <c r="AB360" i="18"/>
  <c r="Y220" i="18"/>
  <c r="I219" i="18"/>
  <c r="I60" i="3"/>
  <c r="I378" i="3"/>
  <c r="G298" i="18"/>
  <c r="K138" i="18"/>
  <c r="Z275" i="18"/>
  <c r="AB247" i="18"/>
  <c r="J357" i="11"/>
  <c r="I206" i="11"/>
  <c r="J115" i="3"/>
  <c r="Z294" i="18"/>
  <c r="J448" i="11"/>
  <c r="Y255" i="18"/>
  <c r="N325" i="18"/>
  <c r="X167" i="18"/>
  <c r="AA201" i="18"/>
  <c r="AA279" i="18"/>
  <c r="N230" i="18"/>
  <c r="Z347" i="18"/>
  <c r="L110" i="18"/>
  <c r="AB126" i="18"/>
  <c r="Z94" i="18"/>
  <c r="X285" i="18"/>
  <c r="J488" i="11"/>
  <c r="F354" i="18"/>
  <c r="N242" i="18"/>
  <c r="F159" i="18"/>
  <c r="I327" i="18"/>
  <c r="K334" i="18"/>
  <c r="Y331" i="18"/>
  <c r="J368" i="11"/>
  <c r="Z357" i="18"/>
  <c r="J47" i="3"/>
  <c r="I353" i="3"/>
  <c r="K191" i="18"/>
  <c r="I396" i="11"/>
  <c r="I365" i="3"/>
  <c r="J94" i="11"/>
  <c r="Z143" i="18"/>
  <c r="J329" i="11"/>
  <c r="F158" i="18"/>
  <c r="I42" i="3"/>
  <c r="AB321" i="18"/>
  <c r="F255" i="18"/>
  <c r="I399" i="11"/>
  <c r="F168" i="18"/>
  <c r="J78" i="11"/>
  <c r="G197" i="18"/>
  <c r="Z165" i="18"/>
  <c r="G345" i="18"/>
  <c r="I75" i="3"/>
  <c r="M187" i="18"/>
  <c r="G336" i="18"/>
  <c r="I82" i="18"/>
  <c r="X238" i="18"/>
  <c r="F161" i="18"/>
  <c r="I56" i="11"/>
  <c r="J495" i="11"/>
  <c r="N107" i="18"/>
  <c r="F238" i="18"/>
  <c r="AB303" i="18"/>
  <c r="G310" i="18"/>
  <c r="AB168" i="18"/>
  <c r="Z263" i="18"/>
  <c r="G311" i="18"/>
  <c r="M86" i="18"/>
  <c r="Z243" i="18"/>
  <c r="M153" i="18"/>
  <c r="Z193" i="18"/>
  <c r="X117" i="18"/>
  <c r="F99" i="18"/>
  <c r="AB199" i="18"/>
  <c r="I352" i="3"/>
  <c r="I214" i="3"/>
  <c r="I472" i="11"/>
  <c r="I218" i="3"/>
  <c r="N161" i="18"/>
  <c r="F230" i="18"/>
  <c r="F204" i="18"/>
  <c r="AA290" i="18"/>
  <c r="J166" i="11"/>
  <c r="M310" i="18"/>
  <c r="J530" i="3"/>
  <c r="AA122" i="18"/>
  <c r="AA118" i="18"/>
  <c r="J114" i="11"/>
  <c r="M330" i="18"/>
  <c r="M361" i="18"/>
  <c r="AA236" i="18"/>
  <c r="Y367" i="18"/>
  <c r="M269" i="18"/>
  <c r="AA151" i="18"/>
  <c r="I277" i="3"/>
  <c r="J393" i="11"/>
  <c r="I83" i="11"/>
  <c r="L291" i="18"/>
  <c r="L330" i="18"/>
  <c r="L112" i="18"/>
  <c r="I241" i="3"/>
  <c r="J552" i="3"/>
  <c r="AA235" i="18"/>
  <c r="I323" i="3"/>
  <c r="J216" i="3"/>
  <c r="I511" i="3"/>
  <c r="J181" i="3"/>
  <c r="I61" i="11"/>
  <c r="I301" i="3"/>
  <c r="F365" i="18"/>
  <c r="M106" i="18"/>
  <c r="AA89" i="18"/>
  <c r="X211" i="18"/>
  <c r="I61" i="3"/>
  <c r="I160" i="3"/>
  <c r="J236" i="3"/>
  <c r="AB149" i="18"/>
  <c r="J316" i="11"/>
  <c r="I255" i="18"/>
  <c r="Y346" i="18"/>
  <c r="G114" i="18"/>
  <c r="I119" i="18"/>
  <c r="J72" i="11"/>
  <c r="AB143" i="18"/>
  <c r="F129" i="18"/>
  <c r="F112" i="18"/>
  <c r="AB138" i="18"/>
  <c r="I166" i="18"/>
  <c r="M127" i="18"/>
  <c r="F324" i="18"/>
  <c r="I94" i="3"/>
  <c r="X309" i="18"/>
  <c r="X284" i="18"/>
  <c r="AB200" i="18"/>
  <c r="I168" i="18"/>
  <c r="N198" i="18"/>
  <c r="X103" i="18"/>
  <c r="Y166" i="18"/>
  <c r="I98" i="11"/>
  <c r="AA332" i="18"/>
  <c r="K262" i="18"/>
  <c r="F260" i="18"/>
  <c r="I397" i="11"/>
  <c r="X277" i="18"/>
  <c r="J311" i="3"/>
  <c r="Y169" i="18"/>
  <c r="I401" i="11"/>
  <c r="L304" i="18"/>
  <c r="AA145" i="18"/>
  <c r="G173" i="18"/>
  <c r="I324" i="18"/>
  <c r="N146" i="18"/>
  <c r="J480" i="11"/>
  <c r="L314" i="18"/>
  <c r="I81" i="11"/>
  <c r="I268" i="11"/>
  <c r="I343" i="11"/>
  <c r="AA99" i="18"/>
  <c r="J118" i="11"/>
  <c r="J477" i="11"/>
  <c r="Y205" i="18"/>
  <c r="J87" i="3"/>
  <c r="G249" i="18"/>
  <c r="M97" i="18"/>
  <c r="M113" i="18"/>
  <c r="G330" i="18"/>
  <c r="J490" i="11"/>
  <c r="I208" i="11"/>
  <c r="J458" i="3"/>
  <c r="K363" i="18"/>
  <c r="K338" i="18"/>
  <c r="I510" i="3"/>
  <c r="AA113" i="18"/>
  <c r="AB338" i="18"/>
  <c r="I236" i="18"/>
  <c r="I530" i="3"/>
  <c r="L350" i="18"/>
  <c r="Y324" i="18"/>
  <c r="I364" i="11"/>
  <c r="Z208" i="18"/>
  <c r="K259" i="18"/>
  <c r="G252" i="18"/>
  <c r="J391" i="11"/>
  <c r="J498" i="3"/>
  <c r="L141" i="18"/>
  <c r="I296" i="18"/>
  <c r="J110" i="3"/>
  <c r="I507" i="3"/>
  <c r="I129" i="3"/>
  <c r="AB95" i="18"/>
  <c r="I513" i="3"/>
  <c r="F144" i="18"/>
  <c r="I95" i="18"/>
  <c r="K285" i="18"/>
  <c r="M183" i="18"/>
  <c r="F115" i="18"/>
  <c r="F256" i="18"/>
  <c r="Y84" i="18"/>
  <c r="AA320" i="18"/>
  <c r="I433" i="11"/>
  <c r="J274" i="3"/>
  <c r="I174" i="3"/>
  <c r="I132" i="3"/>
  <c r="I492" i="3"/>
  <c r="J71" i="11"/>
  <c r="J225" i="3"/>
  <c r="N281" i="18"/>
  <c r="F326" i="18"/>
  <c r="G169" i="18"/>
  <c r="X159" i="18"/>
  <c r="AB99" i="18"/>
  <c r="I410" i="11"/>
  <c r="I171" i="3"/>
  <c r="AA154" i="18"/>
  <c r="I302" i="18"/>
  <c r="AB369" i="18"/>
  <c r="J153" i="3"/>
  <c r="I157" i="3"/>
  <c r="AA363" i="18"/>
  <c r="I114" i="3"/>
  <c r="Y317" i="18"/>
  <c r="G194" i="18"/>
  <c r="G164" i="18"/>
  <c r="I494" i="3"/>
  <c r="I155" i="11"/>
  <c r="M298" i="18"/>
  <c r="J556" i="3"/>
  <c r="I225" i="18"/>
  <c r="I410" i="3"/>
  <c r="K313" i="18"/>
  <c r="I69" i="3"/>
  <c r="X164" i="18"/>
  <c r="AB235" i="18"/>
  <c r="X145" i="18"/>
  <c r="I128" i="3"/>
  <c r="G178" i="18"/>
  <c r="I330" i="18"/>
  <c r="J381" i="3"/>
  <c r="I240" i="18"/>
  <c r="Z285" i="18"/>
  <c r="F209" i="18"/>
  <c r="K115" i="18"/>
  <c r="AB232" i="18"/>
  <c r="AB158" i="18"/>
  <c r="X329" i="18"/>
  <c r="I507" i="11"/>
  <c r="J470" i="11"/>
  <c r="I94" i="11"/>
  <c r="K108" i="18"/>
  <c r="AB134" i="18"/>
  <c r="J286" i="11"/>
  <c r="I419" i="11"/>
  <c r="M279" i="18"/>
  <c r="N360" i="18"/>
  <c r="J490" i="3"/>
  <c r="J344" i="11"/>
  <c r="J38" i="3"/>
  <c r="L287" i="18"/>
  <c r="J191" i="11"/>
  <c r="L309" i="18"/>
  <c r="I229" i="11"/>
  <c r="Y111" i="18"/>
  <c r="J457" i="11"/>
  <c r="G210" i="18"/>
  <c r="I362" i="11"/>
  <c r="K294" i="18"/>
  <c r="Z114" i="18"/>
  <c r="Y299" i="18"/>
  <c r="J430" i="11"/>
  <c r="J345" i="3"/>
  <c r="J301" i="11"/>
  <c r="Y199" i="18"/>
  <c r="I178" i="3"/>
  <c r="Z358" i="18"/>
  <c r="F323" i="18"/>
  <c r="I68" i="3"/>
  <c r="J134" i="3"/>
  <c r="L269" i="18"/>
  <c r="G100" i="18"/>
  <c r="AB177" i="18"/>
  <c r="X178" i="18"/>
  <c r="I289" i="3"/>
  <c r="N334" i="18"/>
  <c r="I372" i="3"/>
  <c r="AA341" i="18"/>
  <c r="L359" i="18"/>
  <c r="I321" i="3"/>
  <c r="AA158" i="18"/>
  <c r="AB250" i="18"/>
  <c r="I292" i="3"/>
  <c r="I353" i="11"/>
  <c r="J557" i="3"/>
  <c r="I318" i="11"/>
  <c r="M182" i="18"/>
  <c r="I191" i="3"/>
  <c r="J256" i="3"/>
  <c r="Z156" i="18"/>
  <c r="M263" i="18"/>
  <c r="Z228" i="18"/>
  <c r="AA245" i="18"/>
  <c r="J57" i="11"/>
  <c r="I114" i="18"/>
  <c r="J141" i="3"/>
  <c r="J101" i="3"/>
  <c r="F142" i="18"/>
  <c r="X142" i="18"/>
  <c r="L96" i="18"/>
  <c r="I443" i="11"/>
  <c r="K252" i="18"/>
  <c r="I342" i="11"/>
  <c r="J502" i="11"/>
  <c r="I341" i="18"/>
  <c r="Y219" i="18"/>
  <c r="Y217" i="18"/>
  <c r="J422" i="11"/>
  <c r="I448" i="3"/>
  <c r="F111" i="18"/>
  <c r="J398" i="3"/>
  <c r="J258" i="3"/>
  <c r="X266" i="18"/>
  <c r="X359" i="18"/>
  <c r="J281" i="11"/>
  <c r="M350" i="18"/>
  <c r="Y147" i="18"/>
  <c r="N210" i="18"/>
  <c r="F139" i="18"/>
  <c r="M257" i="18"/>
  <c r="K208" i="18"/>
  <c r="F263" i="18"/>
  <c r="I474" i="11"/>
  <c r="J194" i="3"/>
  <c r="J375" i="11"/>
  <c r="J157" i="11"/>
  <c r="J76" i="3"/>
  <c r="I144" i="3"/>
  <c r="I276" i="3"/>
  <c r="M320" i="18"/>
  <c r="AB153" i="18"/>
  <c r="AB251" i="18"/>
  <c r="F94" i="18"/>
  <c r="J496" i="3"/>
  <c r="I329" i="18"/>
  <c r="Z298" i="18"/>
  <c r="K234" i="18"/>
  <c r="J84" i="3"/>
  <c r="G102" i="18"/>
  <c r="J92" i="3"/>
  <c r="J304" i="11"/>
  <c r="N215" i="18"/>
  <c r="J135" i="11"/>
  <c r="X170" i="18"/>
  <c r="I404" i="3"/>
  <c r="I450" i="11"/>
  <c r="I336" i="3"/>
  <c r="AB111" i="18"/>
  <c r="F131" i="18"/>
  <c r="J360" i="11"/>
  <c r="M134" i="18"/>
  <c r="X326" i="18"/>
  <c r="G355" i="18"/>
  <c r="G365" i="18"/>
  <c r="M104" i="18"/>
  <c r="J448" i="3"/>
  <c r="M190" i="18"/>
  <c r="Z137" i="18"/>
  <c r="X218" i="18"/>
  <c r="N352" i="18"/>
  <c r="I211" i="11"/>
  <c r="I259" i="18"/>
  <c r="J57" i="3"/>
  <c r="Z257" i="18"/>
  <c r="I357" i="11"/>
  <c r="N348" i="18"/>
  <c r="J43" i="3"/>
  <c r="L191" i="18"/>
  <c r="I376" i="11"/>
  <c r="G326" i="18"/>
  <c r="J415" i="3"/>
  <c r="J270" i="11"/>
  <c r="N303" i="18"/>
  <c r="K268" i="18"/>
  <c r="I519" i="3"/>
  <c r="AB318" i="18"/>
  <c r="Z270" i="18"/>
  <c r="J464" i="11"/>
  <c r="K272" i="18"/>
  <c r="Y345" i="18"/>
  <c r="I335" i="11"/>
  <c r="AA323" i="18"/>
  <c r="J129" i="11"/>
  <c r="J538" i="3"/>
  <c r="J309" i="11"/>
  <c r="I33" i="3"/>
  <c r="Y203" i="18"/>
  <c r="M101" i="18"/>
  <c r="G159" i="18"/>
  <c r="I189" i="18"/>
  <c r="M171" i="18"/>
  <c r="AA299" i="18"/>
  <c r="I280" i="3"/>
  <c r="M225" i="18"/>
  <c r="K95" i="18"/>
  <c r="J398" i="11"/>
  <c r="J388" i="3"/>
  <c r="J351" i="3"/>
  <c r="J52" i="11"/>
  <c r="Y227" i="18"/>
  <c r="J349" i="11"/>
  <c r="I89" i="11"/>
  <c r="I130" i="3"/>
  <c r="L161" i="18"/>
  <c r="L316" i="18"/>
  <c r="I240" i="3"/>
  <c r="I139" i="11"/>
  <c r="J392" i="3"/>
  <c r="J461" i="3"/>
  <c r="Y286" i="18"/>
  <c r="I431" i="11"/>
  <c r="I37" i="3"/>
  <c r="I79" i="11"/>
  <c r="J327" i="11"/>
  <c r="G280" i="18"/>
  <c r="AA302" i="18"/>
  <c r="L201" i="18"/>
  <c r="Z323" i="18"/>
  <c r="Y146" i="18"/>
  <c r="Y171" i="18"/>
  <c r="J238" i="11"/>
  <c r="N343" i="18"/>
  <c r="AA216" i="18"/>
  <c r="J239" i="3"/>
  <c r="X322" i="18"/>
  <c r="M236" i="18"/>
  <c r="J118" i="3"/>
  <c r="G248" i="18"/>
  <c r="M307" i="18"/>
  <c r="Z229" i="18"/>
  <c r="J445" i="11"/>
  <c r="N236" i="18"/>
  <c r="I487" i="11"/>
  <c r="L307" i="18"/>
  <c r="Y160" i="18"/>
  <c r="I266" i="11"/>
  <c r="K232" i="18"/>
  <c r="G193" i="18"/>
  <c r="K305" i="18"/>
  <c r="AB305" i="18"/>
  <c r="J193" i="3"/>
  <c r="M143" i="18"/>
  <c r="K160" i="18"/>
  <c r="F361" i="18"/>
  <c r="I288" i="11"/>
  <c r="I31" i="3"/>
  <c r="Y253" i="18"/>
  <c r="I229" i="18"/>
  <c r="G366" i="18"/>
  <c r="M272" i="18"/>
  <c r="I220" i="3"/>
  <c r="J293" i="11"/>
  <c r="J435" i="11"/>
  <c r="G340" i="18"/>
  <c r="J381" i="11"/>
  <c r="X151" i="18"/>
  <c r="AB323" i="18"/>
  <c r="G131" i="18"/>
  <c r="I281" i="3"/>
  <c r="N310" i="18"/>
  <c r="I80" i="11"/>
  <c r="Y213" i="18"/>
  <c r="I488" i="3"/>
  <c r="G125" i="18"/>
  <c r="AB289" i="18"/>
  <c r="N149" i="18"/>
  <c r="I299" i="18"/>
  <c r="J255" i="11"/>
  <c r="Z365" i="18"/>
  <c r="I331" i="18"/>
  <c r="J405" i="11"/>
  <c r="AA192" i="18"/>
  <c r="I482" i="3"/>
  <c r="J352" i="3"/>
  <c r="J434" i="3"/>
  <c r="I415" i="11"/>
  <c r="J128" i="11"/>
  <c r="I150" i="18"/>
  <c r="I245" i="18"/>
  <c r="J250" i="3"/>
  <c r="M265" i="18"/>
  <c r="Y369" i="18"/>
  <c r="X310" i="18"/>
  <c r="J176" i="3"/>
  <c r="I431" i="3"/>
  <c r="N196" i="18"/>
  <c r="J511" i="11"/>
  <c r="I297" i="3"/>
  <c r="I363" i="18"/>
  <c r="L336" i="18"/>
  <c r="F141" i="18"/>
  <c r="I424" i="3"/>
  <c r="I473" i="3"/>
  <c r="N262" i="18"/>
  <c r="N216" i="18"/>
  <c r="L242" i="18"/>
  <c r="J444" i="3"/>
  <c r="I308" i="11"/>
  <c r="AB86" i="18"/>
  <c r="I271" i="18"/>
  <c r="J287" i="11"/>
  <c r="N197" i="18"/>
  <c r="I50" i="11"/>
  <c r="I480" i="11"/>
  <c r="N119" i="18"/>
  <c r="J351" i="11"/>
  <c r="N125" i="18"/>
  <c r="I538" i="3"/>
  <c r="G317" i="18"/>
  <c r="K150" i="18"/>
  <c r="F83" i="18"/>
  <c r="J450" i="3"/>
  <c r="N296" i="18"/>
  <c r="Y222" i="18"/>
  <c r="I323" i="18"/>
  <c r="I99" i="18"/>
  <c r="AA107" i="18"/>
  <c r="AB106" i="18"/>
  <c r="AB325" i="18"/>
  <c r="I142" i="11"/>
  <c r="AB212" i="18"/>
  <c r="AB222" i="18"/>
  <c r="N330" i="18"/>
  <c r="J315" i="3"/>
  <c r="Z342" i="18"/>
  <c r="I106" i="3"/>
  <c r="J67" i="3"/>
  <c r="J441" i="3"/>
  <c r="I127" i="18"/>
  <c r="J215" i="11"/>
  <c r="J498" i="11"/>
  <c r="M149" i="18"/>
  <c r="J413" i="3"/>
  <c r="J250" i="11"/>
  <c r="X324" i="18"/>
  <c r="AA342" i="18"/>
  <c r="M93" i="18"/>
  <c r="N121" i="18"/>
  <c r="F134" i="18"/>
  <c r="I387" i="3"/>
  <c r="M256" i="18"/>
  <c r="L97" i="18"/>
  <c r="J445" i="3"/>
  <c r="J168" i="11"/>
  <c r="J31" i="3"/>
  <c r="I255" i="3"/>
  <c r="L286" i="18"/>
  <c r="J295" i="3"/>
  <c r="G122" i="18"/>
  <c r="J75" i="3"/>
  <c r="J319" i="3"/>
  <c r="J173" i="11"/>
  <c r="M315" i="18"/>
  <c r="AB215" i="18"/>
  <c r="AA218" i="18"/>
  <c r="J501" i="11"/>
  <c r="K93" i="18"/>
  <c r="AA104" i="18"/>
  <c r="M248" i="18"/>
  <c r="I294" i="18"/>
  <c r="N304" i="18"/>
  <c r="N288" i="18"/>
  <c r="J200" i="3"/>
  <c r="K109" i="18"/>
  <c r="Y186" i="18"/>
  <c r="I307" i="11"/>
  <c r="K344" i="18"/>
  <c r="J207" i="3"/>
  <c r="M154" i="18"/>
  <c r="Y263" i="18"/>
  <c r="J312" i="11"/>
  <c r="K190" i="18"/>
  <c r="AB104" i="18"/>
  <c r="Z318" i="18"/>
  <c r="J196" i="3"/>
  <c r="M180" i="18"/>
  <c r="G275" i="18"/>
  <c r="Z266" i="18"/>
  <c r="X227" i="18"/>
  <c r="Z351" i="18"/>
  <c r="I263" i="18"/>
  <c r="N295" i="18"/>
  <c r="J245" i="3"/>
  <c r="AB248" i="18"/>
  <c r="N255" i="18"/>
  <c r="J112" i="11"/>
  <c r="N305" i="18"/>
  <c r="AB348" i="18"/>
  <c r="I447" i="11"/>
  <c r="X101" i="18"/>
  <c r="M212" i="18"/>
  <c r="K104" i="18"/>
  <c r="M111" i="18"/>
  <c r="N239" i="18"/>
  <c r="L348" i="18"/>
  <c r="I413" i="3"/>
  <c r="I476" i="11"/>
  <c r="Z180" i="18"/>
  <c r="J506" i="3"/>
  <c r="N227" i="18"/>
  <c r="J389" i="3"/>
  <c r="X158" i="18"/>
  <c r="J40" i="3"/>
  <c r="X188" i="18"/>
  <c r="AB193" i="18"/>
  <c r="J189" i="3"/>
  <c r="I84" i="11"/>
  <c r="K347" i="18"/>
  <c r="L349" i="18"/>
  <c r="J383" i="11"/>
  <c r="J523" i="3"/>
  <c r="J263" i="3"/>
  <c r="Y187" i="18"/>
  <c r="AA124" i="18"/>
  <c r="J154" i="11"/>
  <c r="J371" i="11"/>
  <c r="AB276" i="18"/>
  <c r="I418" i="11"/>
  <c r="Y271" i="18"/>
  <c r="F231" i="18"/>
  <c r="L87" i="18"/>
  <c r="Z336" i="18"/>
  <c r="AA179" i="18"/>
  <c r="AB125" i="18"/>
  <c r="I317" i="3"/>
  <c r="K217" i="18"/>
  <c r="I186" i="18"/>
  <c r="I328" i="3"/>
  <c r="L319" i="18"/>
  <c r="I138" i="11"/>
  <c r="AA228" i="18"/>
  <c r="M110" i="18"/>
  <c r="N183" i="18"/>
  <c r="Y300" i="18"/>
  <c r="J365" i="11"/>
  <c r="Y137" i="18"/>
  <c r="G132" i="18"/>
  <c r="I261" i="11"/>
  <c r="Z368" i="18"/>
  <c r="Y335" i="18"/>
  <c r="J233" i="11"/>
  <c r="F340" i="18"/>
  <c r="K323" i="18"/>
  <c r="J474" i="11"/>
  <c r="I135" i="11"/>
  <c r="AA217" i="18"/>
  <c r="I108" i="18"/>
  <c r="J151" i="11"/>
  <c r="I247" i="3"/>
  <c r="J396" i="3"/>
  <c r="AA163" i="18"/>
  <c r="AA175" i="18"/>
  <c r="Y266" i="18"/>
  <c r="N205" i="18"/>
  <c r="J193" i="11"/>
  <c r="I194" i="18"/>
  <c r="G85" i="18"/>
  <c r="Z191" i="18"/>
  <c r="Y109" i="18"/>
  <c r="Y196" i="18"/>
  <c r="X169" i="18"/>
  <c r="J317" i="11"/>
  <c r="J454" i="3"/>
  <c r="J443" i="11"/>
  <c r="J369" i="3"/>
  <c r="Z120" i="18"/>
  <c r="J213" i="11"/>
  <c r="M347" i="18"/>
  <c r="I320" i="11"/>
  <c r="I223" i="3"/>
  <c r="K287" i="18"/>
  <c r="L249" i="18"/>
  <c r="M230" i="18"/>
  <c r="J514" i="3"/>
  <c r="I55" i="11"/>
  <c r="F128" i="18"/>
  <c r="I331" i="11"/>
  <c r="M266" i="18"/>
  <c r="J451" i="11"/>
  <c r="I323" i="11"/>
  <c r="I117" i="18"/>
  <c r="N157" i="18"/>
  <c r="I366" i="18"/>
  <c r="X189" i="18"/>
  <c r="N286" i="18"/>
  <c r="Z331" i="18"/>
  <c r="I58" i="11"/>
  <c r="M283" i="18"/>
  <c r="M103" i="18"/>
  <c r="I241" i="11"/>
  <c r="AB320" i="18"/>
  <c r="I497" i="3"/>
  <c r="N243" i="18"/>
  <c r="Z363" i="18"/>
  <c r="J493" i="11"/>
  <c r="F201" i="18"/>
  <c r="J87" i="11"/>
  <c r="G287" i="18"/>
  <c r="I229" i="3"/>
  <c r="I41" i="3"/>
  <c r="I217" i="11"/>
  <c r="M255" i="18"/>
  <c r="N145" i="18"/>
  <c r="I303" i="11"/>
  <c r="M112" i="18"/>
  <c r="K116" i="18"/>
  <c r="N100" i="18"/>
  <c r="Z354" i="18"/>
  <c r="X193" i="18"/>
  <c r="Y123" i="18"/>
  <c r="F187" i="18"/>
  <c r="J382" i="11"/>
  <c r="N356" i="18"/>
  <c r="J483" i="11"/>
  <c r="I173" i="18"/>
  <c r="I258" i="3"/>
  <c r="I458" i="11"/>
  <c r="J471" i="11"/>
  <c r="N312" i="18"/>
  <c r="F221" i="18"/>
  <c r="AA360" i="18"/>
  <c r="J100" i="11"/>
  <c r="AA274" i="18"/>
  <c r="X109" i="18"/>
  <c r="J313" i="3"/>
  <c r="I304" i="11"/>
  <c r="Y150" i="18"/>
  <c r="J424" i="3"/>
  <c r="AA311" i="18"/>
  <c r="J58" i="11"/>
  <c r="X340" i="18"/>
  <c r="Y181" i="18"/>
  <c r="AB184" i="18"/>
  <c r="N108" i="18"/>
  <c r="Y233" i="18"/>
  <c r="F207" i="18"/>
  <c r="I498" i="11"/>
  <c r="Z262" i="18"/>
  <c r="I536" i="3"/>
  <c r="AB309" i="18"/>
  <c r="I108" i="11"/>
  <c r="J268" i="3"/>
  <c r="I298" i="11"/>
  <c r="X364" i="18"/>
  <c r="L100" i="18"/>
  <c r="I196" i="11"/>
  <c r="K159" i="18"/>
  <c r="K214" i="18"/>
  <c r="AA197" i="18"/>
  <c r="AA129" i="18"/>
  <c r="J543" i="3"/>
  <c r="I95" i="3"/>
  <c r="J380" i="11"/>
  <c r="G308" i="18"/>
  <c r="Y155" i="18"/>
  <c r="J36" i="3"/>
  <c r="AA313" i="18"/>
  <c r="F190" i="18"/>
  <c r="F85" i="18"/>
  <c r="AA312" i="18"/>
  <c r="L365" i="18"/>
  <c r="F246" i="18"/>
  <c r="J478" i="11"/>
  <c r="F271" i="18"/>
  <c r="N250" i="18"/>
  <c r="G325" i="18"/>
  <c r="F202" i="18"/>
  <c r="I287" i="3"/>
  <c r="F349" i="18"/>
  <c r="I217" i="18"/>
  <c r="I119" i="3"/>
  <c r="M247" i="18"/>
  <c r="I171" i="18"/>
  <c r="G363" i="18"/>
  <c r="Y247" i="18"/>
  <c r="I265" i="3"/>
  <c r="L154" i="18"/>
  <c r="AA263" i="18"/>
  <c r="J82" i="3"/>
  <c r="AB208" i="18"/>
  <c r="J300" i="3"/>
  <c r="Y361" i="18"/>
  <c r="I468" i="11"/>
  <c r="Z274" i="18"/>
  <c r="I347" i="11"/>
  <c r="L339" i="18"/>
  <c r="Y142" i="18"/>
  <c r="J253" i="3"/>
  <c r="L224" i="18"/>
  <c r="M302" i="18"/>
  <c r="I137" i="3"/>
  <c r="X123" i="18"/>
  <c r="N279" i="18"/>
  <c r="Z153" i="18"/>
  <c r="I434" i="3"/>
  <c r="L117" i="18"/>
  <c r="Z233" i="18"/>
  <c r="I427" i="11"/>
  <c r="I501" i="11"/>
  <c r="I403" i="11"/>
  <c r="AA133" i="18"/>
  <c r="J262" i="3"/>
  <c r="J536" i="3"/>
  <c r="K536" i="3" s="1"/>
  <c r="I444" i="3"/>
  <c r="G124" i="18"/>
  <c r="G223" i="18"/>
  <c r="I471" i="3"/>
  <c r="AA140" i="18"/>
  <c r="J540" i="3"/>
  <c r="J528" i="3"/>
  <c r="I63" i="11"/>
  <c r="I100" i="11"/>
  <c r="N148" i="18"/>
  <c r="I103" i="18"/>
  <c r="I239" i="3"/>
  <c r="K275" i="18"/>
  <c r="J267" i="11"/>
  <c r="L220" i="18"/>
  <c r="I537" i="3"/>
  <c r="I449" i="3"/>
  <c r="AB102" i="18"/>
  <c r="I332" i="3"/>
  <c r="I485" i="11"/>
  <c r="G99" i="18"/>
  <c r="M239" i="18"/>
  <c r="AA138" i="18"/>
  <c r="Y224" i="18"/>
  <c r="J372" i="11"/>
  <c r="J93" i="3"/>
  <c r="J229" i="11"/>
  <c r="J468" i="11"/>
  <c r="K468" i="11" s="1"/>
  <c r="AB313" i="18"/>
  <c r="Y269" i="18"/>
  <c r="I258" i="18"/>
  <c r="K101" i="18"/>
  <c r="AA281" i="18"/>
  <c r="X269" i="18"/>
  <c r="N156" i="18"/>
  <c r="AA160" i="18"/>
  <c r="J375" i="3"/>
  <c r="J404" i="11"/>
  <c r="I103" i="11"/>
  <c r="X82" i="18"/>
  <c r="AB245" i="18"/>
  <c r="I117" i="3"/>
  <c r="J544" i="3"/>
  <c r="I159" i="3"/>
  <c r="AB92" i="18"/>
  <c r="J525" i="3"/>
  <c r="X166" i="18"/>
  <c r="I211" i="18"/>
  <c r="F197" i="18"/>
  <c r="L239" i="18"/>
  <c r="G269" i="18"/>
  <c r="X280" i="18"/>
  <c r="X175" i="18"/>
  <c r="J68" i="3"/>
  <c r="AA227" i="18"/>
  <c r="L332" i="18"/>
  <c r="I188" i="11"/>
  <c r="L280" i="18"/>
  <c r="L366" i="18"/>
  <c r="K130" i="18"/>
  <c r="I42" i="11"/>
  <c r="J53" i="3"/>
  <c r="AB269" i="18"/>
  <c r="I160" i="18"/>
  <c r="I454" i="11"/>
  <c r="I472" i="3"/>
  <c r="X249" i="18"/>
  <c r="I105" i="3"/>
  <c r="F304" i="18"/>
  <c r="I309" i="3"/>
  <c r="J349" i="3"/>
  <c r="F305" i="18"/>
  <c r="Z237" i="18"/>
  <c r="AA249" i="18"/>
  <c r="L213" i="18"/>
  <c r="J326" i="3"/>
  <c r="K337" i="18"/>
  <c r="I397" i="3"/>
  <c r="M338" i="18"/>
  <c r="AB355" i="18"/>
  <c r="J484" i="11"/>
  <c r="I185" i="18"/>
  <c r="Z190" i="18"/>
  <c r="Z91" i="18"/>
  <c r="J95" i="3"/>
  <c r="K95" i="3" s="1"/>
  <c r="Z110" i="18"/>
  <c r="AB328" i="18"/>
  <c r="F167" i="18"/>
  <c r="G94" i="18"/>
  <c r="Y339" i="18"/>
  <c r="L228" i="18"/>
  <c r="M246" i="18"/>
  <c r="X258" i="18"/>
  <c r="J483" i="3"/>
  <c r="J456" i="11"/>
  <c r="J60" i="3"/>
  <c r="L149" i="18"/>
  <c r="J158" i="11"/>
  <c r="J275" i="3"/>
  <c r="X200" i="18"/>
  <c r="Z168" i="18"/>
  <c r="I230" i="11"/>
  <c r="Z125" i="18"/>
  <c r="J4" i="3"/>
  <c r="AB163" i="18"/>
  <c r="J367" i="3"/>
  <c r="M135" i="18"/>
  <c r="M289" i="18"/>
  <c r="F360" i="18"/>
  <c r="N258" i="18"/>
  <c r="Y154" i="18"/>
  <c r="I502" i="3"/>
  <c r="AA96" i="18"/>
  <c r="K181" i="18"/>
  <c r="Y301" i="18"/>
  <c r="I128" i="11"/>
  <c r="Y251" i="18"/>
  <c r="I313" i="18"/>
  <c r="I329" i="3"/>
  <c r="J60" i="11"/>
  <c r="G213" i="18"/>
  <c r="I448" i="11"/>
  <c r="Y281" i="18"/>
  <c r="K306" i="18"/>
  <c r="K302" i="18"/>
  <c r="K187" i="18"/>
  <c r="G231" i="18"/>
  <c r="J439" i="11"/>
  <c r="J225" i="11"/>
  <c r="I425" i="11"/>
  <c r="I356" i="3"/>
  <c r="N169" i="18"/>
  <c r="K207" i="18"/>
  <c r="M306" i="18"/>
  <c r="I470" i="3"/>
  <c r="I322" i="11"/>
  <c r="K140" i="18"/>
  <c r="J35" i="3"/>
  <c r="F225" i="18"/>
  <c r="N317" i="18"/>
  <c r="K170" i="18"/>
  <c r="J178" i="3"/>
  <c r="J515" i="3"/>
  <c r="I414" i="3"/>
  <c r="AB83" i="18"/>
  <c r="X92" i="18"/>
  <c r="Z364" i="18"/>
  <c r="I273" i="3"/>
  <c r="I421" i="3"/>
  <c r="J54" i="3"/>
  <c r="J223" i="11"/>
  <c r="N89" i="18"/>
  <c r="Y149" i="18"/>
  <c r="I291" i="18"/>
  <c r="AA108" i="18"/>
  <c r="I141" i="3"/>
  <c r="I231" i="3"/>
  <c r="J459" i="11"/>
  <c r="AA181" i="18"/>
  <c r="J358" i="3"/>
  <c r="J414" i="11"/>
  <c r="L364" i="18"/>
  <c r="K290" i="18"/>
  <c r="J119" i="3"/>
  <c r="I201" i="3"/>
  <c r="N207" i="18"/>
  <c r="J262" i="11"/>
  <c r="X300" i="18"/>
  <c r="I244" i="3"/>
  <c r="M352" i="18"/>
  <c r="M287" i="18"/>
  <c r="AA337" i="18"/>
  <c r="X100" i="18"/>
  <c r="Y185" i="18"/>
  <c r="J164" i="3"/>
  <c r="G350" i="18"/>
  <c r="I253" i="18"/>
  <c r="N188" i="18"/>
  <c r="K264" i="18"/>
  <c r="J491" i="3"/>
  <c r="I105" i="11"/>
  <c r="N168" i="18"/>
  <c r="AB302" i="18"/>
  <c r="J359" i="11"/>
  <c r="Z221" i="18"/>
  <c r="I110" i="11"/>
  <c r="J155" i="11"/>
  <c r="N85" i="18"/>
  <c r="I200" i="3"/>
  <c r="M107" i="18"/>
  <c r="F253" i="18"/>
  <c r="Z280" i="18"/>
  <c r="N112" i="18"/>
  <c r="F251" i="18"/>
  <c r="X107" i="18"/>
  <c r="I207" i="3"/>
  <c r="I274" i="11"/>
  <c r="AB257" i="18"/>
  <c r="I270" i="18"/>
  <c r="I75" i="11"/>
  <c r="G209" i="18"/>
  <c r="M346" i="18"/>
  <c r="I239" i="11"/>
  <c r="K273" i="18"/>
  <c r="K219" i="18"/>
  <c r="K87" i="18"/>
  <c r="G246" i="18"/>
  <c r="Z213" i="18"/>
  <c r="Y141" i="18"/>
  <c r="I128" i="18"/>
  <c r="J427" i="3"/>
  <c r="Z215" i="18"/>
  <c r="J149" i="11"/>
  <c r="Y93" i="18"/>
  <c r="J103" i="3"/>
  <c r="AB249" i="18"/>
  <c r="I550" i="3"/>
  <c r="J485" i="3"/>
  <c r="X207" i="18"/>
  <c r="I465" i="3"/>
  <c r="X318" i="18"/>
  <c r="J414" i="3"/>
  <c r="M311" i="18"/>
  <c r="J107" i="11"/>
  <c r="J48" i="11"/>
  <c r="Z330" i="18"/>
  <c r="I257" i="11"/>
  <c r="J204" i="11"/>
  <c r="X223" i="18"/>
  <c r="I414" i="11"/>
  <c r="F276" i="18"/>
  <c r="J102" i="11"/>
  <c r="M270" i="18"/>
  <c r="I328" i="11"/>
  <c r="Z149" i="18"/>
  <c r="J78" i="3"/>
  <c r="L247" i="18"/>
  <c r="Y162" i="18"/>
  <c r="J469" i="11"/>
  <c r="J69" i="11"/>
  <c r="Y312" i="18"/>
  <c r="F318" i="18"/>
  <c r="J512" i="11"/>
  <c r="I339" i="3"/>
  <c r="F267" i="18"/>
  <c r="K253" i="18"/>
  <c r="Y101" i="18"/>
  <c r="K182" i="18"/>
  <c r="X240" i="18"/>
  <c r="M140" i="18"/>
  <c r="Y327" i="18"/>
  <c r="N278" i="18"/>
  <c r="J303" i="11"/>
  <c r="K303" i="11" s="1"/>
  <c r="I347" i="18"/>
  <c r="I449" i="11"/>
  <c r="F188" i="18"/>
  <c r="I278" i="18"/>
  <c r="J449" i="11"/>
  <c r="J501" i="3"/>
  <c r="I149" i="3"/>
  <c r="J152" i="11"/>
  <c r="I446" i="11"/>
  <c r="J243" i="3"/>
  <c r="I555" i="3"/>
  <c r="J481" i="11"/>
  <c r="AB201" i="18"/>
  <c r="J260" i="3"/>
  <c r="K348" i="18"/>
  <c r="I378" i="11"/>
  <c r="J425" i="3"/>
  <c r="Y279" i="18"/>
  <c r="J30" i="3"/>
  <c r="L147" i="18"/>
  <c r="I152" i="3"/>
  <c r="F154" i="18"/>
  <c r="K105" i="18"/>
  <c r="K280" i="18"/>
  <c r="N184" i="18"/>
  <c r="J298" i="11"/>
  <c r="Z291" i="18"/>
  <c r="N235" i="18"/>
  <c r="Y136" i="18"/>
  <c r="J464" i="3"/>
  <c r="I117" i="11"/>
  <c r="X130" i="18"/>
  <c r="I199" i="11"/>
  <c r="N273" i="18"/>
  <c r="I102" i="3"/>
  <c r="I295" i="18"/>
  <c r="I138" i="3"/>
  <c r="I104" i="11"/>
  <c r="I231" i="18"/>
  <c r="N336" i="18"/>
  <c r="I171" i="11"/>
  <c r="N114" i="18"/>
  <c r="AA307" i="18"/>
  <c r="I316" i="3"/>
  <c r="L186" i="18"/>
  <c r="AA135" i="18"/>
  <c r="Y292" i="18"/>
  <c r="K339" i="18"/>
  <c r="I115" i="18"/>
  <c r="F226" i="18"/>
  <c r="J123" i="3"/>
  <c r="AA148" i="18"/>
  <c r="J49" i="11"/>
  <c r="J463" i="3"/>
  <c r="I505" i="3"/>
  <c r="AB258" i="18"/>
  <c r="M136" i="18"/>
  <c r="I133" i="18"/>
  <c r="I355" i="11"/>
  <c r="F245" i="18"/>
  <c r="Z305" i="18"/>
  <c r="K263" i="18"/>
  <c r="I344" i="18"/>
  <c r="J510" i="3"/>
  <c r="J323" i="11"/>
  <c r="Y357" i="18"/>
  <c r="I463" i="3"/>
  <c r="J151" i="3"/>
  <c r="I155" i="18"/>
  <c r="I478" i="3"/>
  <c r="I72" i="3"/>
  <c r="M322" i="18"/>
  <c r="J183" i="3"/>
  <c r="AB226" i="18"/>
  <c r="J96" i="11"/>
  <c r="I213" i="18"/>
  <c r="L252" i="18"/>
  <c r="L214" i="18"/>
  <c r="I144" i="11"/>
  <c r="I557" i="3"/>
  <c r="I296" i="11"/>
  <c r="I340" i="18"/>
  <c r="I234" i="3"/>
  <c r="J254" i="3"/>
  <c r="J257" i="3"/>
  <c r="J147" i="11"/>
  <c r="K257" i="18"/>
  <c r="F88" i="18"/>
  <c r="AB234" i="18"/>
  <c r="L284" i="18"/>
  <c r="I103" i="3"/>
  <c r="I246" i="18"/>
  <c r="J329" i="3"/>
  <c r="M210" i="18"/>
  <c r="K242" i="18"/>
  <c r="J241" i="11"/>
  <c r="I219" i="11"/>
  <c r="J127" i="11"/>
  <c r="I150" i="11"/>
  <c r="M221" i="18"/>
  <c r="L208" i="18"/>
  <c r="Y314" i="18"/>
  <c r="L120" i="18"/>
  <c r="Y333" i="18"/>
  <c r="AB114" i="18"/>
  <c r="J471" i="3"/>
  <c r="J280" i="3"/>
  <c r="I224" i="18"/>
  <c r="J334" i="3"/>
  <c r="J129" i="3"/>
  <c r="I124" i="18"/>
  <c r="AA346" i="18"/>
  <c r="I85" i="11"/>
  <c r="J106" i="3"/>
  <c r="F312" i="18"/>
  <c r="J332" i="3"/>
  <c r="Z200" i="18"/>
  <c r="I304" i="18"/>
  <c r="AA130" i="18"/>
  <c r="I300" i="11"/>
  <c r="X244" i="18"/>
  <c r="J59" i="11"/>
  <c r="J535" i="3"/>
  <c r="X226" i="18"/>
  <c r="Z268" i="18"/>
  <c r="J242" i="11"/>
  <c r="AA190" i="18"/>
  <c r="M224" i="18"/>
  <c r="I286" i="3"/>
  <c r="X357" i="18"/>
  <c r="J539" i="3"/>
  <c r="J365" i="3"/>
  <c r="AB112" i="18"/>
  <c r="I315" i="18"/>
  <c r="I433" i="3"/>
  <c r="J212" i="11"/>
  <c r="J379" i="3"/>
  <c r="N252" i="18"/>
  <c r="I146" i="11"/>
  <c r="I467" i="11"/>
  <c r="I360" i="3"/>
  <c r="AB263" i="18"/>
  <c r="M215" i="18"/>
  <c r="J485" i="11"/>
  <c r="I303" i="3"/>
  <c r="Y151" i="18"/>
  <c r="Z254" i="18"/>
  <c r="I34" i="3"/>
  <c r="Z92" i="18"/>
  <c r="J248" i="3"/>
  <c r="AA215" i="18"/>
  <c r="J473" i="3"/>
  <c r="J360" i="3"/>
  <c r="M216" i="18"/>
  <c r="L163" i="18"/>
  <c r="AA182" i="18"/>
  <c r="I330" i="3"/>
  <c r="I255" i="11"/>
  <c r="N322" i="18"/>
  <c r="I543" i="3"/>
  <c r="J115" i="11"/>
  <c r="Z167" i="18"/>
  <c r="K367" i="18"/>
  <c r="J278" i="3"/>
  <c r="AB246" i="18"/>
  <c r="X339" i="18"/>
  <c r="X276" i="18"/>
  <c r="M344" i="18"/>
  <c r="F198" i="18"/>
  <c r="L253" i="18"/>
  <c r="I315" i="3"/>
  <c r="I119" i="11"/>
  <c r="J504" i="3"/>
  <c r="AB191" i="18"/>
  <c r="AA255" i="18"/>
  <c r="M226" i="18"/>
  <c r="AB124" i="18"/>
  <c r="J496" i="11"/>
  <c r="I440" i="11"/>
  <c r="AA114" i="18"/>
  <c r="AB90" i="18"/>
  <c r="G257" i="18"/>
  <c r="K178" i="18"/>
  <c r="I314" i="18"/>
  <c r="I464" i="3"/>
  <c r="Y336" i="18"/>
  <c r="X216" i="18"/>
  <c r="I334" i="11"/>
  <c r="I368" i="18"/>
  <c r="I96" i="3"/>
  <c r="I108" i="3"/>
  <c r="I312" i="18"/>
  <c r="X231" i="18"/>
  <c r="I247" i="18"/>
  <c r="X328" i="18"/>
  <c r="J139" i="11"/>
  <c r="AB270" i="18"/>
  <c r="AA189" i="18"/>
  <c r="I481" i="11"/>
  <c r="I367" i="3"/>
  <c r="AB224" i="18"/>
  <c r="M220" i="18"/>
  <c r="AA83" i="18"/>
  <c r="G156" i="18"/>
  <c r="I86" i="18"/>
  <c r="I136" i="11"/>
  <c r="I216" i="11"/>
  <c r="J252" i="3"/>
  <c r="L184" i="18"/>
  <c r="J311" i="11"/>
  <c r="I385" i="11"/>
  <c r="Z341" i="18"/>
  <c r="I417" i="11"/>
  <c r="K269" i="18"/>
  <c r="K342" i="18"/>
  <c r="M332" i="18"/>
  <c r="AB347" i="18"/>
  <c r="X138" i="18"/>
  <c r="L123" i="18"/>
  <c r="J214" i="11"/>
  <c r="L225" i="18"/>
  <c r="I320" i="18"/>
  <c r="J177" i="3"/>
  <c r="AB243" i="18"/>
  <c r="N120" i="18"/>
  <c r="X317" i="18"/>
  <c r="N320" i="18"/>
  <c r="I479" i="3"/>
  <c r="J169" i="3"/>
  <c r="K202" i="18"/>
  <c r="X128" i="18"/>
  <c r="X303" i="18"/>
  <c r="G145" i="18"/>
  <c r="I461" i="11"/>
  <c r="AB195" i="18"/>
  <c r="Y102" i="18"/>
  <c r="Z93" i="18"/>
  <c r="J99" i="11"/>
  <c r="J128" i="3"/>
  <c r="I236" i="11"/>
  <c r="Y304" i="18"/>
  <c r="J282" i="3"/>
  <c r="X183" i="18"/>
  <c r="Z133" i="18"/>
  <c r="L368" i="18"/>
  <c r="J345" i="11"/>
  <c r="X204" i="18"/>
  <c r="N201" i="18"/>
  <c r="I205" i="18"/>
  <c r="I172" i="18"/>
  <c r="I360" i="18"/>
  <c r="AB291" i="18"/>
  <c r="AB148" i="18"/>
  <c r="Z293" i="18"/>
  <c r="F228" i="18"/>
  <c r="J478" i="3"/>
  <c r="Z344" i="18"/>
  <c r="M118" i="18"/>
  <c r="J433" i="3"/>
  <c r="AB297" i="18"/>
  <c r="N105" i="18"/>
  <c r="I278" i="3"/>
  <c r="AB169" i="18"/>
  <c r="I163" i="3"/>
  <c r="L274" i="18"/>
  <c r="AB367" i="18"/>
  <c r="AB330" i="18"/>
  <c r="J378" i="3"/>
  <c r="G206" i="18"/>
  <c r="M177" i="18"/>
  <c r="I403" i="3"/>
  <c r="G237" i="18"/>
  <c r="X209" i="18"/>
  <c r="J554" i="3"/>
  <c r="J172" i="3"/>
  <c r="K172" i="3" s="1"/>
  <c r="I179" i="18"/>
  <c r="K169" i="18"/>
  <c r="J258" i="11"/>
  <c r="AB339" i="18"/>
  <c r="J488" i="3"/>
  <c r="Z144" i="18"/>
  <c r="J442" i="11"/>
  <c r="I139" i="18"/>
  <c r="AA257" i="18"/>
  <c r="F355" i="18"/>
  <c r="K307" i="18"/>
  <c r="I253" i="3"/>
  <c r="F150" i="18"/>
  <c r="Y306" i="18"/>
  <c r="X131" i="18"/>
  <c r="N246" i="18"/>
  <c r="I212" i="3"/>
  <c r="I305" i="3"/>
  <c r="I201" i="11"/>
  <c r="I415" i="3"/>
  <c r="Y368" i="18"/>
  <c r="Y95" i="18"/>
  <c r="Y82" i="18"/>
  <c r="I462" i="11"/>
  <c r="N277" i="18"/>
  <c r="N127" i="18"/>
  <c r="X251" i="18"/>
  <c r="AB315" i="18"/>
  <c r="Z279" i="18"/>
  <c r="G188" i="18"/>
  <c r="F319" i="18"/>
  <c r="M179" i="18"/>
  <c r="J167" i="11"/>
  <c r="J338" i="3"/>
  <c r="L181" i="18"/>
  <c r="I52" i="3"/>
  <c r="M205" i="18"/>
  <c r="Y248" i="18"/>
  <c r="L173" i="18"/>
  <c r="J82" i="11"/>
  <c r="J410" i="3"/>
  <c r="Z129" i="18"/>
  <c r="X289" i="18"/>
  <c r="J388" i="11"/>
  <c r="I156" i="3"/>
  <c r="G228" i="18"/>
  <c r="J484" i="3"/>
  <c r="X192" i="18"/>
  <c r="F320" i="18"/>
  <c r="Y262" i="18"/>
  <c r="I165" i="18"/>
  <c r="J200" i="11"/>
  <c r="F330" i="18"/>
  <c r="K368" i="18"/>
  <c r="I287" i="11"/>
  <c r="J503" i="3"/>
  <c r="G163" i="18"/>
  <c r="G358" i="18"/>
  <c r="I260" i="18"/>
  <c r="N126" i="18"/>
  <c r="I197" i="11"/>
  <c r="AA119" i="18"/>
  <c r="K246" i="18"/>
  <c r="J494" i="11"/>
  <c r="J136" i="3"/>
  <c r="AA286" i="18"/>
  <c r="I127" i="3"/>
  <c r="I308" i="3"/>
  <c r="F182" i="18"/>
  <c r="J241" i="3"/>
  <c r="AB332" i="18"/>
  <c r="N364" i="18"/>
  <c r="X234" i="18"/>
  <c r="I166" i="3"/>
  <c r="I207" i="18"/>
  <c r="I331" i="3"/>
  <c r="I375" i="11"/>
  <c r="AB216" i="18"/>
  <c r="I130" i="11"/>
  <c r="X233" i="18"/>
  <c r="Z322" i="18"/>
  <c r="I40" i="3"/>
  <c r="I289" i="11"/>
  <c r="J86" i="11"/>
  <c r="N307" i="18"/>
  <c r="J419" i="11"/>
  <c r="G118" i="18"/>
  <c r="AB180" i="18"/>
  <c r="L229" i="18"/>
  <c r="I441" i="3"/>
  <c r="Z124" i="18"/>
  <c r="I191" i="18"/>
  <c r="I361" i="11"/>
  <c r="K127" i="18"/>
  <c r="I309" i="11"/>
  <c r="N223" i="18"/>
  <c r="M280" i="18"/>
  <c r="Y337" i="18"/>
  <c r="Y364" i="18"/>
  <c r="AB364" i="18"/>
  <c r="AA322" i="18"/>
  <c r="J374" i="3"/>
  <c r="I217" i="3"/>
  <c r="N256" i="18"/>
  <c r="I80" i="3"/>
  <c r="I348" i="18"/>
  <c r="N345" i="18"/>
  <c r="F101" i="18"/>
  <c r="Z303" i="18"/>
  <c r="J424" i="11"/>
  <c r="F250" i="18"/>
  <c r="I49" i="11"/>
  <c r="Y229" i="18"/>
  <c r="I87" i="11"/>
  <c r="J465" i="3"/>
  <c r="K321" i="18"/>
  <c r="N353" i="18"/>
  <c r="J251" i="3"/>
  <c r="Z154" i="18"/>
  <c r="I182" i="18"/>
  <c r="I405" i="3"/>
  <c r="AB150" i="18"/>
  <c r="I163" i="11"/>
  <c r="AA239" i="18"/>
  <c r="J149" i="3"/>
  <c r="AA258" i="18"/>
  <c r="M201" i="18"/>
  <c r="L194" i="18"/>
  <c r="I394" i="11"/>
  <c r="I426" i="11"/>
  <c r="J188" i="11"/>
  <c r="AB252" i="18"/>
  <c r="Z198" i="18"/>
  <c r="AA152" i="18"/>
  <c r="I143" i="18"/>
  <c r="J92" i="11"/>
  <c r="F137" i="18"/>
  <c r="J91" i="11"/>
  <c r="N367" i="18"/>
  <c r="J105" i="3"/>
  <c r="G226" i="18"/>
  <c r="I260" i="11"/>
  <c r="J353" i="3"/>
  <c r="Z224" i="18"/>
  <c r="M95" i="18"/>
  <c r="X116" i="18"/>
  <c r="AA231" i="18"/>
  <c r="I369" i="11"/>
  <c r="Y231" i="18"/>
  <c r="I93" i="3"/>
  <c r="N347" i="18"/>
  <c r="K98" i="18"/>
  <c r="J105" i="11"/>
  <c r="AA88" i="18"/>
  <c r="I525" i="3"/>
  <c r="I333" i="18"/>
  <c r="AA222" i="18"/>
  <c r="J310" i="11"/>
  <c r="M340" i="18"/>
  <c r="L86" i="18"/>
  <c r="I320" i="3"/>
  <c r="J197" i="11"/>
  <c r="I540" i="3"/>
  <c r="L182" i="18"/>
  <c r="J163" i="11"/>
  <c r="I261" i="18"/>
  <c r="K166" i="18"/>
  <c r="Z188" i="18"/>
  <c r="I274" i="3"/>
  <c r="I504" i="3"/>
  <c r="N141" i="18"/>
  <c r="I392" i="3"/>
  <c r="I203" i="18"/>
  <c r="I179" i="11"/>
  <c r="I322" i="18"/>
  <c r="I284" i="11"/>
  <c r="J76" i="11"/>
  <c r="K89" i="18"/>
  <c r="AA267" i="18"/>
  <c r="J479" i="11"/>
  <c r="K332" i="18"/>
  <c r="G123" i="18"/>
  <c r="I467" i="3"/>
  <c r="AA115" i="18"/>
  <c r="J148" i="11"/>
  <c r="I475" i="3"/>
  <c r="I111" i="11"/>
  <c r="F93" i="18"/>
  <c r="N154" i="18"/>
  <c r="L335" i="18"/>
  <c r="J426" i="3"/>
  <c r="I513" i="11"/>
  <c r="J328" i="3"/>
  <c r="J321" i="3"/>
  <c r="I134" i="18"/>
  <c r="G356" i="18"/>
  <c r="I226" i="3"/>
  <c r="G247" i="18"/>
  <c r="N94" i="18"/>
  <c r="I133" i="3"/>
  <c r="J473" i="11"/>
  <c r="X287" i="18"/>
  <c r="I170" i="3"/>
  <c r="J348" i="3"/>
  <c r="I326" i="18"/>
  <c r="N98" i="18"/>
  <c r="J219" i="3"/>
  <c r="I345" i="11"/>
  <c r="I319" i="11"/>
  <c r="J192" i="3"/>
  <c r="L146" i="18"/>
  <c r="I212" i="11"/>
  <c r="AB275" i="18"/>
  <c r="X213" i="18"/>
  <c r="I26" i="3"/>
  <c r="AB162" i="18"/>
  <c r="I269" i="3"/>
  <c r="F309" i="18"/>
  <c r="J215" i="3"/>
  <c r="AB133" i="18"/>
  <c r="G207" i="18"/>
  <c r="I394" i="3"/>
  <c r="K288" i="18"/>
  <c r="I407" i="3"/>
  <c r="G135" i="18"/>
  <c r="L254" i="18"/>
  <c r="J499" i="11"/>
  <c r="J507" i="3"/>
  <c r="Y197" i="18"/>
  <c r="M91" i="18"/>
  <c r="F153" i="18"/>
  <c r="I195" i="3"/>
  <c r="G353" i="18"/>
  <c r="J124" i="11"/>
  <c r="AA303" i="18"/>
  <c r="K309" i="18"/>
  <c r="N234" i="18"/>
  <c r="L170" i="18"/>
  <c r="K282" i="18"/>
  <c r="K149" i="18"/>
  <c r="AA241" i="18"/>
  <c r="F84" i="18"/>
  <c r="K183" i="18"/>
  <c r="K328" i="18"/>
  <c r="AB176" i="18"/>
  <c r="I380" i="11"/>
  <c r="I486" i="11"/>
  <c r="I398" i="11"/>
  <c r="AB98" i="18"/>
  <c r="X102" i="18"/>
  <c r="J429" i="3"/>
  <c r="I332" i="18"/>
  <c r="Z176" i="18"/>
  <c r="L255" i="18"/>
  <c r="I329" i="11"/>
  <c r="N280" i="18"/>
  <c r="J420" i="3"/>
  <c r="J190" i="3"/>
  <c r="J362" i="11"/>
  <c r="N208" i="18"/>
  <c r="X253" i="18"/>
  <c r="J73" i="11"/>
  <c r="AB202" i="18"/>
  <c r="L90" i="18"/>
  <c r="J180" i="11"/>
  <c r="Z116" i="18"/>
  <c r="X259" i="18"/>
  <c r="J524" i="3"/>
  <c r="G250" i="18"/>
  <c r="J206" i="11"/>
  <c r="J537" i="3"/>
  <c r="I248" i="18"/>
  <c r="K226" i="18"/>
  <c r="I116" i="3"/>
  <c r="I373" i="3"/>
  <c r="I58" i="3"/>
  <c r="I67" i="11"/>
  <c r="X299" i="18"/>
  <c r="I523" i="3"/>
  <c r="X283" i="18"/>
  <c r="F186" i="18"/>
  <c r="I417" i="3"/>
  <c r="Z304" i="18"/>
  <c r="G229" i="18"/>
  <c r="F335" i="18"/>
  <c r="J333" i="11"/>
  <c r="I326" i="3"/>
  <c r="J234" i="3"/>
  <c r="I285" i="18"/>
  <c r="I447" i="3"/>
  <c r="Y153" i="18"/>
  <c r="K155" i="18"/>
  <c r="AA110" i="18"/>
  <c r="J97" i="3"/>
  <c r="I82" i="3"/>
  <c r="I177" i="18"/>
  <c r="I227" i="18"/>
  <c r="J333" i="3"/>
  <c r="J296" i="3"/>
  <c r="Z111" i="18"/>
  <c r="G318" i="18"/>
  <c r="K1134" i="4"/>
  <c r="K1130" i="4"/>
  <c r="K1131" i="4"/>
  <c r="K1132" i="4"/>
  <c r="K1129" i="4"/>
  <c r="K1128" i="4"/>
  <c r="K1127" i="4"/>
  <c r="K1124" i="4"/>
  <c r="AA1124" i="4"/>
  <c r="K1123" i="4"/>
  <c r="AD1134" i="4"/>
  <c r="AI1134" i="4" s="1"/>
  <c r="AC1134" i="4"/>
  <c r="AB1134" i="4"/>
  <c r="AB1124" i="4"/>
  <c r="AD1124" i="4"/>
  <c r="AI1124" i="4" s="1"/>
  <c r="AC1124" i="4"/>
  <c r="K1125" i="4"/>
  <c r="K1122" i="4"/>
  <c r="K1126" i="4"/>
  <c r="AA1134" i="4"/>
  <c r="T79" i="18"/>
  <c r="A39" i="6"/>
  <c r="B39" i="6"/>
  <c r="H39" i="14"/>
  <c r="H40" i="6"/>
  <c r="C39" i="6"/>
  <c r="K1530" i="4" l="1"/>
  <c r="K1537" i="4"/>
  <c r="K1531" i="4"/>
  <c r="AA1368" i="4"/>
  <c r="AD1537" i="4"/>
  <c r="AI1537" i="4" s="1"/>
  <c r="AC1537" i="4"/>
  <c r="AB1537" i="4"/>
  <c r="K1526" i="4"/>
  <c r="K1527" i="4"/>
  <c r="K1528" i="4"/>
  <c r="K1536" i="4"/>
  <c r="AC1527" i="4"/>
  <c r="AB1527" i="4"/>
  <c r="AD1527" i="4"/>
  <c r="AI1527" i="4" s="1"/>
  <c r="AA1527" i="4"/>
  <c r="K1532" i="4"/>
  <c r="K1534" i="4"/>
  <c r="K1525" i="4"/>
  <c r="K312" i="3"/>
  <c r="K1518" i="4"/>
  <c r="AA1524" i="4"/>
  <c r="K1504" i="4"/>
  <c r="K1515" i="4"/>
  <c r="K1511" i="4"/>
  <c r="K1512" i="4"/>
  <c r="K1522" i="4"/>
  <c r="K1500" i="4"/>
  <c r="K1521" i="4"/>
  <c r="AA1514" i="4"/>
  <c r="K1513" i="4"/>
  <c r="K1516" i="4"/>
  <c r="K1517" i="4"/>
  <c r="K1523" i="4"/>
  <c r="K1524" i="4"/>
  <c r="K44" i="11"/>
  <c r="K1514" i="4"/>
  <c r="AD1524" i="4"/>
  <c r="AI1524" i="4" s="1"/>
  <c r="AB1524" i="4"/>
  <c r="AC1524" i="4"/>
  <c r="K1520" i="4"/>
  <c r="AC1514" i="4"/>
  <c r="AB1514" i="4"/>
  <c r="AD1514" i="4"/>
  <c r="AI1514" i="4" s="1"/>
  <c r="K1519" i="4"/>
  <c r="AA1511" i="4"/>
  <c r="K341" i="3"/>
  <c r="AA1501" i="4"/>
  <c r="K1509" i="4"/>
  <c r="K1502" i="4"/>
  <c r="K1499" i="4"/>
  <c r="K1505" i="4"/>
  <c r="K1510" i="4"/>
  <c r="K1507" i="4"/>
  <c r="K1503" i="4"/>
  <c r="AB1501" i="4"/>
  <c r="AC1501" i="4"/>
  <c r="AD1501" i="4"/>
  <c r="AI1501" i="4" s="1"/>
  <c r="AD1511" i="4"/>
  <c r="AI1511" i="4" s="1"/>
  <c r="AB1511" i="4"/>
  <c r="AC1511" i="4"/>
  <c r="K1506" i="4"/>
  <c r="K1508" i="4"/>
  <c r="K1501" i="4"/>
  <c r="K1492" i="4"/>
  <c r="K1490" i="4"/>
  <c r="K1493" i="4"/>
  <c r="K1489" i="4"/>
  <c r="K1487" i="4"/>
  <c r="K1488" i="4"/>
  <c r="AB1488" i="4"/>
  <c r="AC1488" i="4"/>
  <c r="AD1488" i="4"/>
  <c r="AI1488" i="4" s="1"/>
  <c r="T108" i="18" s="1"/>
  <c r="K1482" i="4"/>
  <c r="K1486" i="4"/>
  <c r="K1473" i="4"/>
  <c r="AA1488" i="4"/>
  <c r="K1491" i="4"/>
  <c r="K1496" i="4"/>
  <c r="K1495" i="4"/>
  <c r="K1494" i="4"/>
  <c r="K1497" i="4"/>
  <c r="AD1498" i="4"/>
  <c r="AI1498" i="4" s="1"/>
  <c r="AB1498" i="4"/>
  <c r="AC1498" i="4"/>
  <c r="AA1498" i="4"/>
  <c r="K1480" i="4"/>
  <c r="K1475" i="4"/>
  <c r="K1484" i="4"/>
  <c r="K1479" i="4"/>
  <c r="AA1475" i="4"/>
  <c r="K1485" i="4"/>
  <c r="AB1475" i="4"/>
  <c r="AD1475" i="4"/>
  <c r="AI1475" i="4" s="1"/>
  <c r="AC1475" i="4"/>
  <c r="K1483" i="4"/>
  <c r="K1474" i="4"/>
  <c r="AA1485" i="4"/>
  <c r="K1477" i="4"/>
  <c r="K1478" i="4"/>
  <c r="K1476" i="4"/>
  <c r="AD1485" i="4"/>
  <c r="AI1485" i="4" s="1"/>
  <c r="AC1485" i="4"/>
  <c r="AB1485" i="4"/>
  <c r="K1481" i="4"/>
  <c r="K1466" i="4"/>
  <c r="K1464" i="4"/>
  <c r="K1472" i="4"/>
  <c r="K1453" i="4"/>
  <c r="AA1462" i="4"/>
  <c r="K1465" i="4"/>
  <c r="K1470" i="4"/>
  <c r="K1454" i="4"/>
  <c r="K189" i="11"/>
  <c r="AA1472" i="4"/>
  <c r="K1469" i="4"/>
  <c r="AD1472" i="4"/>
  <c r="AI1472" i="4" s="1"/>
  <c r="AC1472" i="4"/>
  <c r="AB1472" i="4"/>
  <c r="K1468" i="4"/>
  <c r="K1467" i="4"/>
  <c r="K1461" i="4"/>
  <c r="K1462" i="4"/>
  <c r="K1460" i="4"/>
  <c r="AB1462" i="4"/>
  <c r="AD1462" i="4"/>
  <c r="AI1462" i="4" s="1"/>
  <c r="AC1462" i="4"/>
  <c r="K1463" i="4"/>
  <c r="K1471" i="4"/>
  <c r="K402" i="3"/>
  <c r="K1450" i="4"/>
  <c r="AA1436" i="4"/>
  <c r="K1457" i="4"/>
  <c r="K1455" i="4"/>
  <c r="AD1459" i="4"/>
  <c r="AI1459" i="4" s="1"/>
  <c r="AB1459" i="4"/>
  <c r="AC1459" i="4"/>
  <c r="K1459" i="4"/>
  <c r="AA1449" i="4"/>
  <c r="K1456" i="4"/>
  <c r="K1449" i="4"/>
  <c r="K1458" i="4"/>
  <c r="AB1449" i="4"/>
  <c r="AC1449" i="4"/>
  <c r="AD1449" i="4"/>
  <c r="AI1449" i="4" s="1"/>
  <c r="AA1459" i="4"/>
  <c r="K1447" i="4"/>
  <c r="K1451" i="4"/>
  <c r="K1452" i="4"/>
  <c r="K1431" i="4"/>
  <c r="AA1264" i="4"/>
  <c r="K1360" i="4"/>
  <c r="K1445" i="4"/>
  <c r="K1444" i="4"/>
  <c r="K1429" i="4"/>
  <c r="K1420" i="4"/>
  <c r="K1443" i="4"/>
  <c r="K1440" i="4"/>
  <c r="K1434" i="4"/>
  <c r="K1446" i="4"/>
  <c r="K1441" i="4"/>
  <c r="AD1446" i="4"/>
  <c r="AI1446" i="4" s="1"/>
  <c r="AB1446" i="4"/>
  <c r="AC1446" i="4"/>
  <c r="K1432" i="4"/>
  <c r="K1437" i="4"/>
  <c r="K1439" i="4"/>
  <c r="K1438" i="4"/>
  <c r="AA1446" i="4"/>
  <c r="AB1436" i="4"/>
  <c r="AC1436" i="4"/>
  <c r="AD1436" i="4"/>
  <c r="AI1436" i="4" s="1"/>
  <c r="K1435" i="4"/>
  <c r="K1424" i="4"/>
  <c r="K1423" i="4"/>
  <c r="K1433" i="4"/>
  <c r="K1427" i="4"/>
  <c r="AA1433" i="4"/>
  <c r="K1421" i="4"/>
  <c r="K1425" i="4"/>
  <c r="K1401" i="4"/>
  <c r="K1411" i="4"/>
  <c r="K1422" i="4"/>
  <c r="K1426" i="4"/>
  <c r="K1428" i="4"/>
  <c r="AA1423" i="4"/>
  <c r="AD1433" i="4"/>
  <c r="AI1433" i="4" s="1"/>
  <c r="AB1433" i="4"/>
  <c r="AC1433" i="4"/>
  <c r="AB1423" i="4"/>
  <c r="AD1423" i="4"/>
  <c r="AI1423" i="4" s="1"/>
  <c r="AC1423" i="4"/>
  <c r="K1416" i="4"/>
  <c r="K1413" i="4"/>
  <c r="AA1410" i="4"/>
  <c r="AA1420" i="4"/>
  <c r="K1415" i="4"/>
  <c r="K1409" i="4"/>
  <c r="K1412" i="4"/>
  <c r="K1414" i="4"/>
  <c r="AD1420" i="4"/>
  <c r="AI1420" i="4" s="1"/>
  <c r="AC1420" i="4"/>
  <c r="AB1420" i="4"/>
  <c r="K1410" i="4"/>
  <c r="AB1410" i="4"/>
  <c r="AC1410" i="4"/>
  <c r="AD1410" i="4"/>
  <c r="AI1410" i="4" s="1"/>
  <c r="K1419" i="4"/>
  <c r="K1408" i="4"/>
  <c r="K1418" i="4"/>
  <c r="K1417" i="4"/>
  <c r="K1399" i="4"/>
  <c r="K1385" i="4"/>
  <c r="K1397" i="4"/>
  <c r="K1406" i="4"/>
  <c r="K1404" i="4"/>
  <c r="K1396" i="4"/>
  <c r="K1398" i="4"/>
  <c r="K1403" i="4"/>
  <c r="AA1397" i="4"/>
  <c r="K1405" i="4"/>
  <c r="K1400" i="4"/>
  <c r="AD1397" i="4"/>
  <c r="AI1397" i="4" s="1"/>
  <c r="AB1397" i="4"/>
  <c r="AC1397" i="4"/>
  <c r="K1407" i="4"/>
  <c r="AA1407" i="4"/>
  <c r="K1395" i="4"/>
  <c r="AD1407" i="4"/>
  <c r="AI1407" i="4" s="1"/>
  <c r="AB1407" i="4"/>
  <c r="AC1407" i="4"/>
  <c r="K273" i="11"/>
  <c r="AA1394" i="4"/>
  <c r="K1389" i="4"/>
  <c r="K1394" i="4"/>
  <c r="K1386" i="4"/>
  <c r="K1387" i="4"/>
  <c r="K1392" i="4"/>
  <c r="AB1384" i="4"/>
  <c r="AD1384" i="4"/>
  <c r="AI1384" i="4" s="1"/>
  <c r="AC1384" i="4"/>
  <c r="K1393" i="4"/>
  <c r="K1384" i="4"/>
  <c r="K1390" i="4"/>
  <c r="AD1394" i="4"/>
  <c r="AI1394" i="4" s="1"/>
  <c r="AB1394" i="4"/>
  <c r="AC1394" i="4"/>
  <c r="K1391" i="4"/>
  <c r="AA1384" i="4"/>
  <c r="K1382" i="4"/>
  <c r="K1383" i="4"/>
  <c r="AA1173" i="4"/>
  <c r="AA1371" i="4"/>
  <c r="K1378" i="4"/>
  <c r="K1381" i="4"/>
  <c r="K1372" i="4"/>
  <c r="K1377" i="4"/>
  <c r="AA1381" i="4"/>
  <c r="K1374" i="4"/>
  <c r="K1369" i="4"/>
  <c r="K1373" i="4"/>
  <c r="K1356" i="4"/>
  <c r="AD1381" i="4"/>
  <c r="AI1381" i="4" s="1"/>
  <c r="AB1381" i="4"/>
  <c r="AC1381" i="4"/>
  <c r="K1371" i="4"/>
  <c r="K1380" i="4"/>
  <c r="K1379" i="4"/>
  <c r="K1375" i="4"/>
  <c r="K1370" i="4"/>
  <c r="K1376" i="4"/>
  <c r="AB1371" i="4"/>
  <c r="AC1371" i="4"/>
  <c r="AD1371" i="4"/>
  <c r="AI1371" i="4" s="1"/>
  <c r="K1362" i="4"/>
  <c r="K1368" i="4"/>
  <c r="K1366" i="4"/>
  <c r="K1364" i="4"/>
  <c r="K1363" i="4"/>
  <c r="K1358" i="4"/>
  <c r="K1365" i="4"/>
  <c r="K1357" i="4"/>
  <c r="AB1358" i="4"/>
  <c r="AD1358" i="4"/>
  <c r="AI1358" i="4" s="1"/>
  <c r="AC1358" i="4"/>
  <c r="AD1368" i="4"/>
  <c r="AI1368" i="4" s="1"/>
  <c r="AC1368" i="4"/>
  <c r="AB1368" i="4"/>
  <c r="K1361" i="4"/>
  <c r="K1359" i="4"/>
  <c r="K1367" i="4"/>
  <c r="K1346" i="4"/>
  <c r="AA1344" i="4"/>
  <c r="K1345" i="4"/>
  <c r="AA1345" i="4"/>
  <c r="K1344" i="4"/>
  <c r="K1348" i="4"/>
  <c r="AA1348" i="4"/>
  <c r="AA1343" i="4"/>
  <c r="AA1349" i="4"/>
  <c r="K1349" i="4"/>
  <c r="AA1353" i="4"/>
  <c r="AD1346" i="4"/>
  <c r="AI1346" i="4" s="1"/>
  <c r="AC1346" i="4"/>
  <c r="AB1346" i="4"/>
  <c r="AB1343" i="4"/>
  <c r="AC1343" i="4"/>
  <c r="AD1343" i="4"/>
  <c r="AI1343" i="4" s="1"/>
  <c r="AC1349" i="4"/>
  <c r="AB1349" i="4"/>
  <c r="AD1349" i="4"/>
  <c r="AI1349" i="4" s="1"/>
  <c r="AA1355" i="4"/>
  <c r="AB1347" i="4"/>
  <c r="AC1347" i="4"/>
  <c r="AD1347" i="4"/>
  <c r="AI1347" i="4" s="1"/>
  <c r="AC1353" i="4"/>
  <c r="AD1353" i="4"/>
  <c r="AI1353" i="4" s="1"/>
  <c r="AB1353" i="4"/>
  <c r="K1343" i="4"/>
  <c r="K1351" i="4"/>
  <c r="AA1350" i="4"/>
  <c r="AD1350" i="4"/>
  <c r="AI1350" i="4" s="1"/>
  <c r="AB1350" i="4"/>
  <c r="AC1350" i="4"/>
  <c r="K1353" i="4"/>
  <c r="K1347" i="4"/>
  <c r="AC1351" i="4"/>
  <c r="AB1351" i="4"/>
  <c r="AD1351" i="4"/>
  <c r="AI1351" i="4" s="1"/>
  <c r="AC1354" i="4"/>
  <c r="AB1354" i="4"/>
  <c r="AD1354" i="4"/>
  <c r="AI1354" i="4" s="1"/>
  <c r="AD1348" i="4"/>
  <c r="AI1348" i="4" s="1"/>
  <c r="AC1348" i="4"/>
  <c r="AB1348" i="4"/>
  <c r="AC1352" i="4"/>
  <c r="AD1352" i="4"/>
  <c r="AI1352" i="4" s="1"/>
  <c r="AB1352" i="4"/>
  <c r="AA1347" i="4"/>
  <c r="AA1351" i="4"/>
  <c r="AA1346" i="4"/>
  <c r="AA1352" i="4"/>
  <c r="K1350" i="4"/>
  <c r="K1352" i="4"/>
  <c r="AC1344" i="4"/>
  <c r="AD1344" i="4"/>
  <c r="AI1344" i="4" s="1"/>
  <c r="AB1344" i="4"/>
  <c r="AA1354" i="4"/>
  <c r="AD1355" i="4"/>
  <c r="AI1355" i="4" s="1"/>
  <c r="AB1355" i="4"/>
  <c r="AC1355" i="4"/>
  <c r="AB1345" i="4"/>
  <c r="AC1345" i="4"/>
  <c r="AD1345" i="4"/>
  <c r="AI1345" i="4" s="1"/>
  <c r="AA1332" i="4"/>
  <c r="AA1342" i="4"/>
  <c r="K43" i="11"/>
  <c r="K1341" i="4"/>
  <c r="K1333" i="4"/>
  <c r="K1331" i="4"/>
  <c r="K1332" i="4"/>
  <c r="K1338" i="4"/>
  <c r="K1339" i="4"/>
  <c r="K1334" i="4"/>
  <c r="K1336" i="4"/>
  <c r="K1342" i="4"/>
  <c r="K1340" i="4"/>
  <c r="AD1332" i="4"/>
  <c r="AI1332" i="4" s="1"/>
  <c r="AC1332" i="4"/>
  <c r="AB1332" i="4"/>
  <c r="AC1342" i="4"/>
  <c r="AD1342" i="4"/>
  <c r="AI1342" i="4" s="1"/>
  <c r="AB1342" i="4"/>
  <c r="K1335" i="4"/>
  <c r="K1330" i="4"/>
  <c r="K1337" i="4"/>
  <c r="K1322" i="4"/>
  <c r="K1317" i="4"/>
  <c r="K1324" i="4"/>
  <c r="K1325" i="4"/>
  <c r="K1326" i="4"/>
  <c r="K1323" i="4"/>
  <c r="K1319" i="4"/>
  <c r="AB1329" i="4"/>
  <c r="AD1329" i="4"/>
  <c r="AI1329" i="4" s="1"/>
  <c r="AC1329" i="4"/>
  <c r="K1327" i="4"/>
  <c r="K1328" i="4"/>
  <c r="AA1329" i="4"/>
  <c r="K1321" i="4"/>
  <c r="AC1319" i="4"/>
  <c r="AD1319" i="4"/>
  <c r="AI1319" i="4" s="1"/>
  <c r="AB1319" i="4"/>
  <c r="AA1319" i="4"/>
  <c r="K1320" i="4"/>
  <c r="K1306" i="4"/>
  <c r="K1305" i="4"/>
  <c r="AA1316" i="4"/>
  <c r="K1301" i="4"/>
  <c r="K1310" i="4"/>
  <c r="K1314" i="4"/>
  <c r="K1308" i="4"/>
  <c r="K1304" i="4"/>
  <c r="K1309" i="4"/>
  <c r="K1312" i="4"/>
  <c r="AD1316" i="4"/>
  <c r="AI1316" i="4" s="1"/>
  <c r="AB1316" i="4"/>
  <c r="AC1316" i="4"/>
  <c r="K1311" i="4"/>
  <c r="K1315" i="4"/>
  <c r="K1313" i="4"/>
  <c r="K1316" i="4"/>
  <c r="K1307" i="4"/>
  <c r="AD1306" i="4"/>
  <c r="AI1306" i="4" s="1"/>
  <c r="T94" i="18" s="1"/>
  <c r="AB1306" i="4"/>
  <c r="AC1306" i="4"/>
  <c r="AA1306" i="4"/>
  <c r="AA1303" i="4"/>
  <c r="K1299" i="4"/>
  <c r="K1296" i="4"/>
  <c r="K1297" i="4"/>
  <c r="K1292" i="4"/>
  <c r="AA1293" i="4"/>
  <c r="K1303" i="4"/>
  <c r="K1291" i="4"/>
  <c r="K1293" i="4"/>
  <c r="K1295" i="4"/>
  <c r="AD1303" i="4"/>
  <c r="AI1303" i="4" s="1"/>
  <c r="AC1303" i="4"/>
  <c r="AB1303" i="4"/>
  <c r="K1298" i="4"/>
  <c r="AB1293" i="4"/>
  <c r="AC1293" i="4"/>
  <c r="AD1293" i="4"/>
  <c r="AI1293" i="4" s="1"/>
  <c r="K1302" i="4"/>
  <c r="K1294" i="4"/>
  <c r="K1300" i="4"/>
  <c r="AA1277" i="4"/>
  <c r="K1260" i="4"/>
  <c r="K1284" i="4"/>
  <c r="AA1290" i="4"/>
  <c r="K1288" i="4"/>
  <c r="K1277" i="4"/>
  <c r="AA1280" i="4"/>
  <c r="K1287" i="4"/>
  <c r="K1242" i="4"/>
  <c r="K1280" i="4"/>
  <c r="K1290" i="4"/>
  <c r="K1286" i="4"/>
  <c r="K1281" i="4"/>
  <c r="AD1290" i="4"/>
  <c r="AI1290" i="4" s="1"/>
  <c r="AC1290" i="4"/>
  <c r="AB1290" i="4"/>
  <c r="K1282" i="4"/>
  <c r="K1283" i="4"/>
  <c r="K1278" i="4"/>
  <c r="K1285" i="4"/>
  <c r="AB1280" i="4"/>
  <c r="AC1280" i="4"/>
  <c r="AD1280" i="4"/>
  <c r="AI1280" i="4" s="1"/>
  <c r="K1289" i="4"/>
  <c r="K1279" i="4"/>
  <c r="K1266" i="4"/>
  <c r="K1267" i="4"/>
  <c r="K1262" i="4"/>
  <c r="K1270" i="4"/>
  <c r="K1264" i="4"/>
  <c r="K1265" i="4"/>
  <c r="K1275" i="4"/>
  <c r="K1272" i="4"/>
  <c r="K1256" i="4"/>
  <c r="K1276" i="4"/>
  <c r="K1269" i="4"/>
  <c r="AB1267" i="4"/>
  <c r="AD1267" i="4"/>
  <c r="AI1267" i="4" s="1"/>
  <c r="AC1267" i="4"/>
  <c r="K1271" i="4"/>
  <c r="AD1277" i="4"/>
  <c r="AI1277" i="4" s="1"/>
  <c r="AB1277" i="4"/>
  <c r="AC1277" i="4"/>
  <c r="K1274" i="4"/>
  <c r="K1273" i="4"/>
  <c r="AA1267" i="4"/>
  <c r="K1268" i="4"/>
  <c r="K1254" i="4"/>
  <c r="AA1254" i="4"/>
  <c r="K1253" i="4"/>
  <c r="K1257" i="4"/>
  <c r="K1252" i="4"/>
  <c r="K1259" i="4"/>
  <c r="K1255" i="4"/>
  <c r="K1261" i="4"/>
  <c r="K1263" i="4"/>
  <c r="AB1254" i="4"/>
  <c r="AC1254" i="4"/>
  <c r="AD1254" i="4"/>
  <c r="AI1254" i="4" s="1"/>
  <c r="AD1264" i="4"/>
  <c r="AI1264" i="4" s="1"/>
  <c r="AC1264" i="4"/>
  <c r="AB1264" i="4"/>
  <c r="K1258" i="4"/>
  <c r="K1250" i="4"/>
  <c r="K1243" i="4"/>
  <c r="K1244" i="4"/>
  <c r="K1233" i="4"/>
  <c r="K1249" i="4"/>
  <c r="K1240" i="4"/>
  <c r="K1247" i="4"/>
  <c r="AB1241" i="4"/>
  <c r="AC1241" i="4"/>
  <c r="AD1241" i="4"/>
  <c r="AI1241" i="4" s="1"/>
  <c r="AA1241" i="4"/>
  <c r="K1245" i="4"/>
  <c r="K1239" i="4"/>
  <c r="AD1251" i="4"/>
  <c r="AI1251" i="4" s="1"/>
  <c r="AB1251" i="4"/>
  <c r="AC1251" i="4"/>
  <c r="AA1251" i="4"/>
  <c r="K1246" i="4"/>
  <c r="K1241" i="4"/>
  <c r="K1248" i="4"/>
  <c r="K492" i="11"/>
  <c r="K1165" i="4"/>
  <c r="K1229" i="4"/>
  <c r="K1174" i="4"/>
  <c r="K1237" i="4"/>
  <c r="K1234" i="4"/>
  <c r="K1228" i="4"/>
  <c r="K1236" i="4"/>
  <c r="AD1238" i="4"/>
  <c r="AI1238" i="4" s="1"/>
  <c r="AB1238" i="4"/>
  <c r="AC1238" i="4"/>
  <c r="K1231" i="4"/>
  <c r="K1227" i="4"/>
  <c r="K1230" i="4"/>
  <c r="AA1238" i="4"/>
  <c r="AB1228" i="4"/>
  <c r="AC1228" i="4"/>
  <c r="AD1228" i="4"/>
  <c r="AI1228" i="4" s="1"/>
  <c r="K1235" i="4"/>
  <c r="K1226" i="4"/>
  <c r="AA1228" i="4"/>
  <c r="K1232" i="4"/>
  <c r="K1238" i="4"/>
  <c r="K260" i="3"/>
  <c r="K1216" i="4"/>
  <c r="K1214" i="4"/>
  <c r="K1217" i="4"/>
  <c r="K1223" i="4"/>
  <c r="K1215" i="4"/>
  <c r="K1218" i="4"/>
  <c r="K1225" i="4"/>
  <c r="K25" i="3"/>
  <c r="AD1225" i="4"/>
  <c r="AI1225" i="4" s="1"/>
  <c r="AB1225" i="4"/>
  <c r="AC1225" i="4"/>
  <c r="AB1215" i="4"/>
  <c r="AC1215" i="4"/>
  <c r="AD1215" i="4"/>
  <c r="AI1215" i="4" s="1"/>
  <c r="K1224" i="4"/>
  <c r="AA1225" i="4"/>
  <c r="AA1215" i="4"/>
  <c r="K1222" i="4"/>
  <c r="K1213" i="4"/>
  <c r="K1221" i="4"/>
  <c r="K1220" i="4"/>
  <c r="K1219" i="4"/>
  <c r="K196" i="3"/>
  <c r="K43" i="3"/>
  <c r="K1207" i="4"/>
  <c r="K1210" i="4"/>
  <c r="K123" i="11"/>
  <c r="K170" i="11"/>
  <c r="K1200" i="4"/>
  <c r="O108" i="18"/>
  <c r="K85" i="11"/>
  <c r="AA1212" i="4"/>
  <c r="K1201" i="4"/>
  <c r="K1211" i="4"/>
  <c r="K1206" i="4"/>
  <c r="K1204" i="4"/>
  <c r="K1208" i="4"/>
  <c r="K1205" i="4"/>
  <c r="K1212" i="4"/>
  <c r="K1203" i="4"/>
  <c r="O313" i="18"/>
  <c r="O351" i="18"/>
  <c r="K315" i="11"/>
  <c r="R351" i="18"/>
  <c r="K334" i="3"/>
  <c r="K451" i="3"/>
  <c r="K44" i="3"/>
  <c r="K1209" i="4"/>
  <c r="AA1202" i="4"/>
  <c r="AD1202" i="4"/>
  <c r="AI1202" i="4" s="1"/>
  <c r="AB1202" i="4"/>
  <c r="AC1202" i="4"/>
  <c r="T203" i="18"/>
  <c r="U316" i="18"/>
  <c r="K1194" i="4"/>
  <c r="AD1212" i="4"/>
  <c r="AI1212" i="4" s="1"/>
  <c r="AC1212" i="4"/>
  <c r="AB1212" i="4"/>
  <c r="K1202" i="4"/>
  <c r="K132" i="3"/>
  <c r="K310" i="3"/>
  <c r="K237" i="3"/>
  <c r="K291" i="3"/>
  <c r="K383" i="11"/>
  <c r="K190" i="11"/>
  <c r="AA1199" i="4"/>
  <c r="AA1189" i="4"/>
  <c r="O299" i="18"/>
  <c r="K227" i="3"/>
  <c r="R299" i="18"/>
  <c r="R203" i="18"/>
  <c r="K60" i="3"/>
  <c r="K47" i="11"/>
  <c r="K512" i="11"/>
  <c r="K284" i="3"/>
  <c r="K175" i="3"/>
  <c r="T313" i="18"/>
  <c r="K1191" i="4"/>
  <c r="K1198" i="4"/>
  <c r="K1199" i="4"/>
  <c r="K1190" i="4"/>
  <c r="K133" i="11"/>
  <c r="O133" i="18"/>
  <c r="AA1186" i="4"/>
  <c r="K1187" i="4"/>
  <c r="K333" i="3"/>
  <c r="K374" i="11"/>
  <c r="T133" i="18"/>
  <c r="AC1199" i="4"/>
  <c r="AD1199" i="4"/>
  <c r="AI1199" i="4" s="1"/>
  <c r="AB1199" i="4"/>
  <c r="K1188" i="4"/>
  <c r="K1196" i="4"/>
  <c r="K1193" i="4"/>
  <c r="K24" i="3"/>
  <c r="K1192" i="4"/>
  <c r="K1189" i="4"/>
  <c r="AD1189" i="4"/>
  <c r="AI1189" i="4" s="1"/>
  <c r="T85" i="18" s="1"/>
  <c r="AB1189" i="4"/>
  <c r="AC1189" i="4"/>
  <c r="K488" i="11"/>
  <c r="K1195" i="4"/>
  <c r="K1197" i="4"/>
  <c r="K233" i="3"/>
  <c r="K223" i="11"/>
  <c r="K1182" i="4"/>
  <c r="AA1176" i="4"/>
  <c r="K313" i="3"/>
  <c r="K416" i="3"/>
  <c r="K469" i="3"/>
  <c r="K109" i="11"/>
  <c r="K167" i="3"/>
  <c r="K1175" i="4"/>
  <c r="K191" i="11"/>
  <c r="K106" i="11"/>
  <c r="K178" i="11"/>
  <c r="K489" i="11"/>
  <c r="K358" i="3"/>
  <c r="K1183" i="4"/>
  <c r="K496" i="11"/>
  <c r="K1176" i="4"/>
  <c r="K1179" i="4"/>
  <c r="K1180" i="4"/>
  <c r="K41" i="11"/>
  <c r="K1178" i="4"/>
  <c r="K1186" i="4"/>
  <c r="AD1186" i="4"/>
  <c r="AI1186" i="4" s="1"/>
  <c r="AC1186" i="4"/>
  <c r="AB1186" i="4"/>
  <c r="K1185" i="4"/>
  <c r="K1181" i="4"/>
  <c r="K1177" i="4"/>
  <c r="K1184" i="4"/>
  <c r="AB1176" i="4"/>
  <c r="AC1176" i="4"/>
  <c r="AD1176" i="4"/>
  <c r="AI1176" i="4" s="1"/>
  <c r="K1168" i="4"/>
  <c r="K241" i="3"/>
  <c r="K521" i="3"/>
  <c r="K28" i="3"/>
  <c r="K1149" i="4"/>
  <c r="K1171" i="4"/>
  <c r="K1164" i="4"/>
  <c r="K458" i="3"/>
  <c r="K352" i="3"/>
  <c r="K272" i="3"/>
  <c r="K544" i="3"/>
  <c r="K210" i="3"/>
  <c r="K1166" i="4"/>
  <c r="K535" i="3"/>
  <c r="K113" i="11"/>
  <c r="K405" i="11"/>
  <c r="K265" i="11"/>
  <c r="K318" i="3"/>
  <c r="K134" i="3"/>
  <c r="K435" i="3"/>
  <c r="K310" i="11"/>
  <c r="K251" i="3"/>
  <c r="K484" i="3"/>
  <c r="K151" i="3"/>
  <c r="K225" i="11"/>
  <c r="K1172" i="4"/>
  <c r="K97" i="3"/>
  <c r="K298" i="3"/>
  <c r="K198" i="3"/>
  <c r="K275" i="3"/>
  <c r="K341" i="11"/>
  <c r="K327" i="11"/>
  <c r="K379" i="11"/>
  <c r="K123" i="3"/>
  <c r="K213" i="11"/>
  <c r="K1167" i="4"/>
  <c r="K78" i="11"/>
  <c r="K161" i="3"/>
  <c r="AC1163" i="4"/>
  <c r="AB1163" i="4"/>
  <c r="AD1163" i="4"/>
  <c r="AI1163" i="4" s="1"/>
  <c r="K40" i="11"/>
  <c r="AD1173" i="4"/>
  <c r="AI1173" i="4" s="1"/>
  <c r="AB1173" i="4"/>
  <c r="AC1173" i="4"/>
  <c r="K258" i="11"/>
  <c r="U314" i="18"/>
  <c r="K450" i="3"/>
  <c r="K349" i="11"/>
  <c r="K242" i="3"/>
  <c r="K1161" i="4"/>
  <c r="K249" i="11"/>
  <c r="K1173" i="4"/>
  <c r="K1169" i="4"/>
  <c r="K38" i="11"/>
  <c r="K360" i="11"/>
  <c r="K1170" i="4"/>
  <c r="K39" i="11"/>
  <c r="K47" i="3"/>
  <c r="K1163" i="4"/>
  <c r="AA1163" i="4"/>
  <c r="K1162" i="4"/>
  <c r="K1153" i="4"/>
  <c r="K375" i="3"/>
  <c r="K1158" i="4"/>
  <c r="K256" i="3"/>
  <c r="K443" i="3"/>
  <c r="K221" i="3"/>
  <c r="K121" i="3"/>
  <c r="K1157" i="4"/>
  <c r="K494" i="11"/>
  <c r="K214" i="11"/>
  <c r="K470" i="11"/>
  <c r="K367" i="11"/>
  <c r="K280" i="11"/>
  <c r="K526" i="3"/>
  <c r="K307" i="3"/>
  <c r="K485" i="3"/>
  <c r="K381" i="3"/>
  <c r="K463" i="11"/>
  <c r="K46" i="3"/>
  <c r="K446" i="3"/>
  <c r="K211" i="3"/>
  <c r="K527" i="3"/>
  <c r="K263" i="3"/>
  <c r="K149" i="3"/>
  <c r="K422" i="11"/>
  <c r="K236" i="3"/>
  <c r="K288" i="3"/>
  <c r="K122" i="11"/>
  <c r="K438" i="11"/>
  <c r="K99" i="3"/>
  <c r="K188" i="3"/>
  <c r="K120" i="11"/>
  <c r="K135" i="3"/>
  <c r="K105" i="3"/>
  <c r="K488" i="3"/>
  <c r="K59" i="11"/>
  <c r="K471" i="3"/>
  <c r="K298" i="11"/>
  <c r="K556" i="3"/>
  <c r="K224" i="3"/>
  <c r="K202" i="3"/>
  <c r="K355" i="3"/>
  <c r="K177" i="3"/>
  <c r="K183" i="3"/>
  <c r="K483" i="3"/>
  <c r="K267" i="11"/>
  <c r="K233" i="11"/>
  <c r="K464" i="11"/>
  <c r="K340" i="3"/>
  <c r="K321" i="3"/>
  <c r="K485" i="11"/>
  <c r="K168" i="11"/>
  <c r="K193" i="3"/>
  <c r="K243" i="11"/>
  <c r="K204" i="3"/>
  <c r="K100" i="3"/>
  <c r="K333" i="11"/>
  <c r="K90" i="11"/>
  <c r="K327" i="3"/>
  <c r="K202" i="11"/>
  <c r="K316" i="11"/>
  <c r="K102" i="11"/>
  <c r="K285" i="3"/>
  <c r="K1154" i="4"/>
  <c r="K336" i="11"/>
  <c r="K215" i="11"/>
  <c r="K373" i="11"/>
  <c r="K49" i="3"/>
  <c r="K57" i="11"/>
  <c r="K553" i="3"/>
  <c r="K285" i="11"/>
  <c r="K251" i="11"/>
  <c r="K240" i="11"/>
  <c r="K324" i="11"/>
  <c r="K420" i="3"/>
  <c r="K78" i="3"/>
  <c r="K506" i="3"/>
  <c r="K245" i="3"/>
  <c r="K486" i="3"/>
  <c r="K137" i="11"/>
  <c r="K222" i="11"/>
  <c r="K35" i="3"/>
  <c r="K365" i="3"/>
  <c r="K388" i="3"/>
  <c r="K228" i="3"/>
  <c r="K420" i="11"/>
  <c r="K531" i="3"/>
  <c r="AA1160" i="4"/>
  <c r="K107" i="11"/>
  <c r="K4" i="3"/>
  <c r="K478" i="11"/>
  <c r="K365" i="11"/>
  <c r="K194" i="3"/>
  <c r="K495" i="11"/>
  <c r="K172" i="11"/>
  <c r="K366" i="11"/>
  <c r="K386" i="3"/>
  <c r="K45" i="11"/>
  <c r="K157" i="11"/>
  <c r="K218" i="11"/>
  <c r="K104" i="3"/>
  <c r="K524" i="3"/>
  <c r="K106" i="3"/>
  <c r="K469" i="11"/>
  <c r="K514" i="3"/>
  <c r="K72" i="11"/>
  <c r="K166" i="11"/>
  <c r="K509" i="11"/>
  <c r="K139" i="11"/>
  <c r="K215" i="3"/>
  <c r="K465" i="3"/>
  <c r="K459" i="11"/>
  <c r="K326" i="11"/>
  <c r="K421" i="11"/>
  <c r="K473" i="3"/>
  <c r="K152" i="11"/>
  <c r="K38" i="3"/>
  <c r="K368" i="11"/>
  <c r="K283" i="11"/>
  <c r="K246" i="11"/>
  <c r="K116" i="11"/>
  <c r="K234" i="11"/>
  <c r="K71" i="3"/>
  <c r="K473" i="11"/>
  <c r="K76" i="11"/>
  <c r="K204" i="11"/>
  <c r="K493" i="11"/>
  <c r="K454" i="3"/>
  <c r="K193" i="11"/>
  <c r="K319" i="3"/>
  <c r="K502" i="11"/>
  <c r="K122" i="3"/>
  <c r="K128" i="3"/>
  <c r="K379" i="3"/>
  <c r="K425" i="3"/>
  <c r="K389" i="3"/>
  <c r="K87" i="3"/>
  <c r="K337" i="11"/>
  <c r="K423" i="11"/>
  <c r="K497" i="11"/>
  <c r="K452" i="3"/>
  <c r="K244" i="11"/>
  <c r="K348" i="11"/>
  <c r="K241" i="11"/>
  <c r="Q49" i="19"/>
  <c r="R49" i="19" s="1"/>
  <c r="K382" i="11"/>
  <c r="K173" i="11"/>
  <c r="K461" i="3"/>
  <c r="K153" i="3"/>
  <c r="K216" i="3"/>
  <c r="K227" i="11"/>
  <c r="K406" i="11"/>
  <c r="K1156" i="4"/>
  <c r="K91" i="11"/>
  <c r="U336" i="18"/>
  <c r="K148" i="11"/>
  <c r="K169" i="3"/>
  <c r="K445" i="3"/>
  <c r="K114" i="11"/>
  <c r="D18" i="13"/>
  <c r="D11" i="10"/>
  <c r="D4" i="12"/>
  <c r="D20" i="13" s="1"/>
  <c r="K313" i="11"/>
  <c r="K299" i="3"/>
  <c r="K120" i="3"/>
  <c r="K541" i="3"/>
  <c r="K455" i="11"/>
  <c r="K150" i="3"/>
  <c r="K1141" i="4"/>
  <c r="K1148" i="4"/>
  <c r="K192" i="3"/>
  <c r="U250" i="18"/>
  <c r="K92" i="11"/>
  <c r="K242" i="11"/>
  <c r="K427" i="3"/>
  <c r="K189" i="3"/>
  <c r="K52" i="11"/>
  <c r="K434" i="11"/>
  <c r="K290" i="11"/>
  <c r="K85" i="3"/>
  <c r="K155" i="3"/>
  <c r="K1160" i="4"/>
  <c r="K1155" i="4"/>
  <c r="K158" i="11"/>
  <c r="K435" i="11"/>
  <c r="K351" i="3"/>
  <c r="K552" i="3"/>
  <c r="K156" i="11"/>
  <c r="K39" i="3"/>
  <c r="K179" i="3"/>
  <c r="K29" i="3"/>
  <c r="K252" i="11"/>
  <c r="K547" i="3"/>
  <c r="K476" i="3"/>
  <c r="K1151" i="4"/>
  <c r="K257" i="3"/>
  <c r="K206" i="11"/>
  <c r="K254" i="3"/>
  <c r="K48" i="11"/>
  <c r="K474" i="11"/>
  <c r="K176" i="3"/>
  <c r="K325" i="3"/>
  <c r="D9" i="13"/>
  <c r="F11" i="10"/>
  <c r="K213" i="3"/>
  <c r="U343" i="18"/>
  <c r="AD1150" i="4"/>
  <c r="AI1150" i="4" s="1"/>
  <c r="AC1150" i="4"/>
  <c r="AB1150" i="4"/>
  <c r="K1159" i="4"/>
  <c r="AA1150" i="4"/>
  <c r="K219" i="3"/>
  <c r="K329" i="3"/>
  <c r="K115" i="3"/>
  <c r="K208" i="3"/>
  <c r="K264" i="3"/>
  <c r="K391" i="3"/>
  <c r="AD1160" i="4"/>
  <c r="AI1160" i="4" s="1"/>
  <c r="AB1160" i="4"/>
  <c r="AC1160" i="4"/>
  <c r="K1150" i="4"/>
  <c r="K426" i="3"/>
  <c r="K82" i="11"/>
  <c r="K302" i="3"/>
  <c r="K520" i="3"/>
  <c r="K529" i="3"/>
  <c r="K134" i="11"/>
  <c r="K311" i="11"/>
  <c r="K448" i="3"/>
  <c r="K293" i="3"/>
  <c r="K271" i="3"/>
  <c r="K479" i="11"/>
  <c r="K262" i="11"/>
  <c r="K112" i="11"/>
  <c r="K351" i="11"/>
  <c r="K291" i="11"/>
  <c r="K429" i="3"/>
  <c r="K499" i="11"/>
  <c r="K188" i="11"/>
  <c r="K252" i="3"/>
  <c r="K115" i="11"/>
  <c r="K84" i="3"/>
  <c r="K143" i="3"/>
  <c r="K321" i="11"/>
  <c r="K424" i="3"/>
  <c r="K443" i="11"/>
  <c r="K151" i="11"/>
  <c r="K371" i="11"/>
  <c r="K250" i="3"/>
  <c r="K186" i="11"/>
  <c r="K359" i="3"/>
  <c r="K477" i="3"/>
  <c r="K491" i="3"/>
  <c r="K154" i="11"/>
  <c r="K224" i="11"/>
  <c r="K164" i="11"/>
  <c r="K328" i="3"/>
  <c r="K410" i="3"/>
  <c r="K378" i="3"/>
  <c r="K248" i="3"/>
  <c r="K129" i="3"/>
  <c r="K501" i="3"/>
  <c r="K229" i="11"/>
  <c r="K75" i="3"/>
  <c r="K250" i="11"/>
  <c r="K129" i="11"/>
  <c r="K76" i="3"/>
  <c r="K398" i="3"/>
  <c r="K487" i="3"/>
  <c r="K210" i="11"/>
  <c r="K53" i="11"/>
  <c r="K111" i="3"/>
  <c r="K374" i="3"/>
  <c r="K372" i="11"/>
  <c r="K293" i="11"/>
  <c r="K30" i="3"/>
  <c r="K359" i="11"/>
  <c r="K60" i="11"/>
  <c r="K312" i="11"/>
  <c r="K270" i="11"/>
  <c r="K377" i="3"/>
  <c r="K306" i="11"/>
  <c r="K363" i="11"/>
  <c r="K534" i="3"/>
  <c r="K402" i="11"/>
  <c r="K322" i="3"/>
  <c r="K56" i="3"/>
  <c r="K280" i="3"/>
  <c r="K96" i="11"/>
  <c r="K348" i="3"/>
  <c r="K127" i="11"/>
  <c r="K528" i="3"/>
  <c r="K286" i="11"/>
  <c r="K181" i="3"/>
  <c r="K205" i="3"/>
  <c r="K413" i="11"/>
  <c r="K59" i="3"/>
  <c r="K335" i="3"/>
  <c r="K270" i="3"/>
  <c r="K162" i="11"/>
  <c r="K50" i="3"/>
  <c r="K290" i="3"/>
  <c r="K145" i="3"/>
  <c r="K362" i="11"/>
  <c r="K323" i="11"/>
  <c r="K54" i="3"/>
  <c r="K178" i="3"/>
  <c r="K53" i="3"/>
  <c r="K404" i="11"/>
  <c r="K369" i="3"/>
  <c r="K89" i="3"/>
  <c r="K409" i="11"/>
  <c r="K419" i="3"/>
  <c r="K261" i="3"/>
  <c r="K411" i="3"/>
  <c r="K377" i="11"/>
  <c r="K105" i="11"/>
  <c r="K338" i="3"/>
  <c r="K511" i="11"/>
  <c r="K381" i="11"/>
  <c r="K344" i="11"/>
  <c r="K477" i="11"/>
  <c r="K453" i="3"/>
  <c r="K125" i="11"/>
  <c r="K155" i="11"/>
  <c r="K268" i="3"/>
  <c r="K471" i="11"/>
  <c r="K457" i="11"/>
  <c r="K490" i="3"/>
  <c r="K391" i="11"/>
  <c r="K175" i="11"/>
  <c r="K279" i="3"/>
  <c r="K68" i="11"/>
  <c r="K495" i="3"/>
  <c r="K51" i="11"/>
  <c r="K440" i="3"/>
  <c r="K147" i="11"/>
  <c r="K537" i="3"/>
  <c r="K353" i="3"/>
  <c r="K433" i="3"/>
  <c r="K413" i="3"/>
  <c r="K161" i="11"/>
  <c r="K533" i="3"/>
  <c r="K197" i="3"/>
  <c r="K296" i="3"/>
  <c r="K73" i="11"/>
  <c r="K419" i="11"/>
  <c r="K554" i="3"/>
  <c r="K282" i="3"/>
  <c r="K36" i="3"/>
  <c r="K295" i="3"/>
  <c r="K71" i="11"/>
  <c r="K432" i="11"/>
  <c r="K23" i="3"/>
  <c r="K507" i="3"/>
  <c r="K86" i="11"/>
  <c r="K243" i="3"/>
  <c r="K262" i="3"/>
  <c r="K58" i="11"/>
  <c r="K100" i="11"/>
  <c r="K118" i="3"/>
  <c r="K281" i="11"/>
  <c r="K110" i="3"/>
  <c r="K466" i="11"/>
  <c r="K437" i="11"/>
  <c r="K256" i="11"/>
  <c r="K200" i="11"/>
  <c r="K388" i="11"/>
  <c r="K68" i="3"/>
  <c r="K248" i="11"/>
  <c r="D16" i="12"/>
  <c r="K337" i="3"/>
  <c r="K124" i="11"/>
  <c r="K510" i="3"/>
  <c r="K459" i="3"/>
  <c r="K292" i="11"/>
  <c r="K451" i="11"/>
  <c r="K67" i="3"/>
  <c r="K498" i="3"/>
  <c r="K314" i="3"/>
  <c r="K206" i="3"/>
  <c r="K207" i="11"/>
  <c r="K491" i="11"/>
  <c r="K350" i="11"/>
  <c r="K190" i="3"/>
  <c r="K234" i="3"/>
  <c r="K317" i="11"/>
  <c r="K301" i="11"/>
  <c r="K490" i="11"/>
  <c r="K118" i="11"/>
  <c r="K512" i="3"/>
  <c r="K468" i="3"/>
  <c r="K300" i="3"/>
  <c r="K496" i="3"/>
  <c r="K345" i="3"/>
  <c r="K225" i="3"/>
  <c r="K500" i="3"/>
  <c r="K235" i="3"/>
  <c r="K325" i="11"/>
  <c r="K412" i="11"/>
  <c r="K508" i="3"/>
  <c r="K436" i="3"/>
  <c r="K83" i="3"/>
  <c r="K503" i="3"/>
  <c r="K424" i="11"/>
  <c r="K442" i="11"/>
  <c r="K332" i="3"/>
  <c r="K484" i="11"/>
  <c r="K238" i="11"/>
  <c r="K430" i="11"/>
  <c r="K439" i="3"/>
  <c r="K65" i="3"/>
  <c r="K62" i="3"/>
  <c r="K69" i="11"/>
  <c r="K439" i="11"/>
  <c r="K498" i="11"/>
  <c r="K92" i="3"/>
  <c r="K232" i="11"/>
  <c r="K346" i="11"/>
  <c r="K95" i="11"/>
  <c r="K163" i="11"/>
  <c r="K539" i="3"/>
  <c r="K478" i="3"/>
  <c r="K164" i="3"/>
  <c r="K515" i="3"/>
  <c r="K456" i="11"/>
  <c r="K349" i="3"/>
  <c r="K483" i="11"/>
  <c r="K396" i="3"/>
  <c r="K57" i="3"/>
  <c r="K141" i="11"/>
  <c r="K27" i="3"/>
  <c r="K399" i="3"/>
  <c r="K99" i="11"/>
  <c r="K149" i="11"/>
  <c r="K101" i="3"/>
  <c r="K311" i="3"/>
  <c r="K390" i="3"/>
  <c r="K198" i="11"/>
  <c r="D21" i="12"/>
  <c r="K180" i="11"/>
  <c r="K136" i="3"/>
  <c r="K393" i="11"/>
  <c r="K506" i="11"/>
  <c r="K167" i="11"/>
  <c r="K445" i="11"/>
  <c r="K302" i="11"/>
  <c r="K416" i="11"/>
  <c r="K48" i="3"/>
  <c r="K1143" i="4"/>
  <c r="K409" i="3"/>
  <c r="D18" i="12"/>
  <c r="K1140" i="4"/>
  <c r="K376" i="3"/>
  <c r="K1139" i="4"/>
  <c r="K197" i="11"/>
  <c r="K345" i="11"/>
  <c r="K212" i="11"/>
  <c r="K267" i="3"/>
  <c r="K370" i="11"/>
  <c r="D20" i="12"/>
  <c r="K119" i="3"/>
  <c r="K46" i="11"/>
  <c r="K65" i="11"/>
  <c r="K406" i="3"/>
  <c r="AA1147" i="4"/>
  <c r="Q47" i="19"/>
  <c r="T267" i="18"/>
  <c r="O267" i="18"/>
  <c r="R267" i="18"/>
  <c r="Q45" i="19"/>
  <c r="T360" i="18"/>
  <c r="O360" i="18"/>
  <c r="R360" i="18"/>
  <c r="R304" i="18"/>
  <c r="T304" i="18"/>
  <c r="O304" i="18"/>
  <c r="U140" i="18"/>
  <c r="W140" i="18"/>
  <c r="W312" i="18"/>
  <c r="U312" i="18"/>
  <c r="O207" i="18"/>
  <c r="R207" i="18"/>
  <c r="T207" i="18"/>
  <c r="R221" i="18"/>
  <c r="T221" i="18"/>
  <c r="O221" i="18"/>
  <c r="R201" i="18"/>
  <c r="O201" i="18"/>
  <c r="T201" i="18"/>
  <c r="K207" i="3"/>
  <c r="W342" i="18"/>
  <c r="U342" i="18"/>
  <c r="K441" i="3"/>
  <c r="U192" i="18"/>
  <c r="W192" i="18"/>
  <c r="K309" i="11"/>
  <c r="F15" i="12"/>
  <c r="W158" i="18"/>
  <c r="U158" i="18"/>
  <c r="R209" i="18"/>
  <c r="T209" i="18"/>
  <c r="O209" i="18"/>
  <c r="K274" i="3"/>
  <c r="K480" i="11"/>
  <c r="T204" i="18"/>
  <c r="R204" i="18"/>
  <c r="O204" i="18"/>
  <c r="O99" i="18"/>
  <c r="R99" i="18"/>
  <c r="K336" i="3"/>
  <c r="O117" i="18"/>
  <c r="R117" i="18"/>
  <c r="T117" i="18"/>
  <c r="K80" i="3"/>
  <c r="K170" i="3"/>
  <c r="K320" i="3"/>
  <c r="K330" i="11"/>
  <c r="W352" i="18"/>
  <c r="U352" i="18"/>
  <c r="D15" i="12"/>
  <c r="K372" i="3"/>
  <c r="U212" i="18"/>
  <c r="W212" i="18"/>
  <c r="R194" i="18"/>
  <c r="O194" i="18"/>
  <c r="T194" i="18"/>
  <c r="T171" i="18"/>
  <c r="O171" i="18"/>
  <c r="R171" i="18"/>
  <c r="T310" i="18"/>
  <c r="O310" i="18"/>
  <c r="R310" i="18"/>
  <c r="K171" i="3"/>
  <c r="K63" i="11"/>
  <c r="K239" i="11"/>
  <c r="K404" i="3"/>
  <c r="K212" i="3"/>
  <c r="U357" i="18"/>
  <c r="W357" i="18"/>
  <c r="U354" i="18"/>
  <c r="W354" i="18"/>
  <c r="R285" i="18"/>
  <c r="T285" i="18"/>
  <c r="O285" i="18"/>
  <c r="T242" i="18"/>
  <c r="R242" i="18"/>
  <c r="O242" i="18"/>
  <c r="K309" i="3"/>
  <c r="U368" i="18"/>
  <c r="W368" i="18"/>
  <c r="K130" i="3"/>
  <c r="O314" i="18"/>
  <c r="T314" i="18"/>
  <c r="R314" i="18"/>
  <c r="K110" i="11"/>
  <c r="O275" i="18"/>
  <c r="R275" i="18"/>
  <c r="T275" i="18"/>
  <c r="U94" i="18"/>
  <c r="W94" i="18"/>
  <c r="R366" i="18"/>
  <c r="T366" i="18"/>
  <c r="O366" i="18"/>
  <c r="K220" i="11"/>
  <c r="U195" i="18"/>
  <c r="W195" i="18"/>
  <c r="U194" i="18"/>
  <c r="W194" i="18"/>
  <c r="K397" i="3"/>
  <c r="K482" i="11"/>
  <c r="K412" i="3"/>
  <c r="K165" i="11"/>
  <c r="K166" i="3"/>
  <c r="K144" i="11"/>
  <c r="K358" i="11"/>
  <c r="W191" i="18"/>
  <c r="U191" i="18"/>
  <c r="U268" i="18"/>
  <c r="W268" i="18"/>
  <c r="K260" i="11"/>
  <c r="U334" i="18"/>
  <c r="W334" i="18"/>
  <c r="K331" i="11"/>
  <c r="K460" i="11"/>
  <c r="O254" i="18"/>
  <c r="T254" i="18"/>
  <c r="R254" i="18"/>
  <c r="U300" i="18"/>
  <c r="W300" i="18"/>
  <c r="K179" i="11"/>
  <c r="K354" i="11"/>
  <c r="O249" i="18"/>
  <c r="T249" i="18"/>
  <c r="R249" i="18"/>
  <c r="O116" i="18"/>
  <c r="T116" i="18"/>
  <c r="R116" i="18"/>
  <c r="T252" i="18"/>
  <c r="O252" i="18"/>
  <c r="R252" i="18"/>
  <c r="K305" i="3"/>
  <c r="R243" i="18"/>
  <c r="O243" i="18"/>
  <c r="T243" i="18"/>
  <c r="K45" i="3"/>
  <c r="K395" i="11"/>
  <c r="K322" i="11"/>
  <c r="K320" i="11"/>
  <c r="K339" i="11"/>
  <c r="W273" i="18"/>
  <c r="U273" i="18"/>
  <c r="Q48" i="19"/>
  <c r="K88" i="11"/>
  <c r="U220" i="18"/>
  <c r="W220" i="18"/>
  <c r="K191" i="3"/>
  <c r="K507" i="11"/>
  <c r="O103" i="18"/>
  <c r="R103" i="18"/>
  <c r="K281" i="3"/>
  <c r="K426" i="11"/>
  <c r="K230" i="3"/>
  <c r="O274" i="18"/>
  <c r="R274" i="18"/>
  <c r="T274" i="18"/>
  <c r="O241" i="18"/>
  <c r="R241" i="18"/>
  <c r="T241" i="18"/>
  <c r="K504" i="11"/>
  <c r="U353" i="18"/>
  <c r="W353" i="18"/>
  <c r="U350" i="18"/>
  <c r="W350" i="18"/>
  <c r="K159" i="3"/>
  <c r="K257" i="11"/>
  <c r="K266" i="3"/>
  <c r="U355" i="18"/>
  <c r="W355" i="18"/>
  <c r="K121" i="11"/>
  <c r="K395" i="3"/>
  <c r="K314" i="11"/>
  <c r="O358" i="18"/>
  <c r="T358" i="18"/>
  <c r="R358" i="18"/>
  <c r="K458" i="11"/>
  <c r="K152" i="3"/>
  <c r="D19" i="12"/>
  <c r="K90" i="3"/>
  <c r="K283" i="3"/>
  <c r="U291" i="18"/>
  <c r="W291" i="18"/>
  <c r="K384" i="3"/>
  <c r="R95" i="18"/>
  <c r="O95" i="18"/>
  <c r="T289" i="18"/>
  <c r="R289" i="18"/>
  <c r="O289" i="18"/>
  <c r="U90" i="18"/>
  <c r="K273" i="3"/>
  <c r="R219" i="18"/>
  <c r="O219" i="18"/>
  <c r="T219" i="18"/>
  <c r="R87" i="18"/>
  <c r="O87" i="18"/>
  <c r="K171" i="11"/>
  <c r="W280" i="18"/>
  <c r="U280" i="18"/>
  <c r="F19" i="12"/>
  <c r="K205" i="11"/>
  <c r="W361" i="18"/>
  <c r="U361" i="18"/>
  <c r="K174" i="11"/>
  <c r="K510" i="11"/>
  <c r="Z44" i="19"/>
  <c r="K159" i="11"/>
  <c r="W262" i="18"/>
  <c r="U262" i="18"/>
  <c r="K184" i="11"/>
  <c r="K466" i="3"/>
  <c r="Z45" i="19"/>
  <c r="K253" i="11"/>
  <c r="K385" i="3"/>
  <c r="U317" i="18"/>
  <c r="W317" i="18"/>
  <c r="K318" i="11"/>
  <c r="R309" i="18"/>
  <c r="T309" i="18"/>
  <c r="O309" i="18"/>
  <c r="W346" i="18"/>
  <c r="U346" i="18"/>
  <c r="O88" i="18"/>
  <c r="R88" i="18"/>
  <c r="R186" i="18"/>
  <c r="T186" i="18"/>
  <c r="O186" i="18"/>
  <c r="W241" i="18"/>
  <c r="U241" i="18"/>
  <c r="T137" i="18"/>
  <c r="O137" i="18"/>
  <c r="R137" i="18"/>
  <c r="O355" i="18"/>
  <c r="T355" i="18"/>
  <c r="R355" i="18"/>
  <c r="U255" i="18"/>
  <c r="W255" i="18"/>
  <c r="W215" i="18"/>
  <c r="U215" i="18"/>
  <c r="U190" i="18"/>
  <c r="W190" i="18"/>
  <c r="U130" i="18"/>
  <c r="W130" i="18"/>
  <c r="W337" i="18"/>
  <c r="U337" i="18"/>
  <c r="K326" i="3"/>
  <c r="W160" i="18"/>
  <c r="U160" i="18"/>
  <c r="O202" i="18"/>
  <c r="R202" i="18"/>
  <c r="T202" i="18"/>
  <c r="O85" i="18"/>
  <c r="R85" i="18"/>
  <c r="K543" i="3"/>
  <c r="R187" i="18"/>
  <c r="O187" i="18"/>
  <c r="T187" i="18"/>
  <c r="U228" i="18"/>
  <c r="W228" i="18"/>
  <c r="U179" i="18"/>
  <c r="W179" i="18"/>
  <c r="R83" i="18"/>
  <c r="O83" i="18"/>
  <c r="K239" i="3"/>
  <c r="W302" i="18"/>
  <c r="U302" i="18"/>
  <c r="K392" i="3"/>
  <c r="U299" i="18"/>
  <c r="W299" i="18"/>
  <c r="K538" i="3"/>
  <c r="K258" i="3"/>
  <c r="K141" i="3"/>
  <c r="O326" i="18"/>
  <c r="R326" i="18"/>
  <c r="T326" i="18"/>
  <c r="O144" i="18"/>
  <c r="R144" i="18"/>
  <c r="T144" i="18"/>
  <c r="U89" i="18"/>
  <c r="W89" i="18"/>
  <c r="R230" i="18"/>
  <c r="T230" i="18"/>
  <c r="O230" i="18"/>
  <c r="D4" i="10"/>
  <c r="D19" i="13" s="1"/>
  <c r="D12" i="12"/>
  <c r="R168" i="18"/>
  <c r="O168" i="18"/>
  <c r="T168" i="18"/>
  <c r="K94" i="11"/>
  <c r="R105" i="18"/>
  <c r="O105" i="18"/>
  <c r="U329" i="18"/>
  <c r="W329" i="18"/>
  <c r="W173" i="18"/>
  <c r="U173" i="18"/>
  <c r="O178" i="18"/>
  <c r="T178" i="18"/>
  <c r="R178" i="18"/>
  <c r="K199" i="11"/>
  <c r="K399" i="11"/>
  <c r="K492" i="3"/>
  <c r="K139" i="3"/>
  <c r="K287" i="3"/>
  <c r="R110" i="18"/>
  <c r="T110" i="18"/>
  <c r="O110" i="18"/>
  <c r="K447" i="3"/>
  <c r="T127" i="18"/>
  <c r="R127" i="18"/>
  <c r="O127" i="18"/>
  <c r="U155" i="18"/>
  <c r="W155" i="18"/>
  <c r="K289" i="3"/>
  <c r="W136" i="18"/>
  <c r="U136" i="18"/>
  <c r="K376" i="11"/>
  <c r="R327" i="18"/>
  <c r="O327" i="18"/>
  <c r="T327" i="18"/>
  <c r="K444" i="11"/>
  <c r="K364" i="11"/>
  <c r="R104" i="18"/>
  <c r="O104" i="18"/>
  <c r="U230" i="18"/>
  <c r="W230" i="18"/>
  <c r="K429" i="11"/>
  <c r="K180" i="3"/>
  <c r="T125" i="18"/>
  <c r="R125" i="18"/>
  <c r="O125" i="18"/>
  <c r="T195" i="18"/>
  <c r="R195" i="18"/>
  <c r="O195" i="18"/>
  <c r="W240" i="18"/>
  <c r="U240" i="18"/>
  <c r="T283" i="18"/>
  <c r="O283" i="18"/>
  <c r="R283" i="18"/>
  <c r="U331" i="18"/>
  <c r="W331" i="18"/>
  <c r="K342" i="3"/>
  <c r="K259" i="11"/>
  <c r="K467" i="11"/>
  <c r="K482" i="3"/>
  <c r="K387" i="11"/>
  <c r="K182" i="11"/>
  <c r="W100" i="18"/>
  <c r="U100" i="18"/>
  <c r="K66" i="3"/>
  <c r="K380" i="3"/>
  <c r="K77" i="3"/>
  <c r="W349" i="18"/>
  <c r="U349" i="18"/>
  <c r="K126" i="3"/>
  <c r="Z48" i="19"/>
  <c r="T262" i="18"/>
  <c r="R262" i="18"/>
  <c r="O262" i="18"/>
  <c r="U339" i="18"/>
  <c r="W339" i="18"/>
  <c r="F21" i="12"/>
  <c r="J21" i="12" s="1"/>
  <c r="D13" i="12"/>
  <c r="T135" i="18"/>
  <c r="R135" i="18"/>
  <c r="O135" i="18"/>
  <c r="K545" i="3"/>
  <c r="K163" i="3"/>
  <c r="K117" i="3"/>
  <c r="K352" i="11"/>
  <c r="R118" i="18"/>
  <c r="T118" i="18"/>
  <c r="O118" i="18"/>
  <c r="R138" i="18"/>
  <c r="T138" i="18"/>
  <c r="O138" i="18"/>
  <c r="W319" i="18"/>
  <c r="U319" i="18"/>
  <c r="K518" i="3"/>
  <c r="K81" i="3"/>
  <c r="O91" i="18"/>
  <c r="R91" i="18"/>
  <c r="K334" i="11"/>
  <c r="W177" i="18"/>
  <c r="U177" i="18"/>
  <c r="W253" i="18"/>
  <c r="U253" i="18"/>
  <c r="T170" i="18"/>
  <c r="O170" i="18"/>
  <c r="R170" i="18"/>
  <c r="O130" i="18"/>
  <c r="T130" i="18"/>
  <c r="R130" i="18"/>
  <c r="O281" i="18"/>
  <c r="T281" i="18"/>
  <c r="R281" i="18"/>
  <c r="W187" i="18"/>
  <c r="U187" i="18"/>
  <c r="K265" i="3"/>
  <c r="W125" i="18"/>
  <c r="U125" i="18"/>
  <c r="T301" i="18"/>
  <c r="R301" i="18"/>
  <c r="O301" i="18"/>
  <c r="K226" i="11"/>
  <c r="K332" i="11"/>
  <c r="U351" i="18"/>
  <c r="W351" i="18"/>
  <c r="K108" i="11"/>
  <c r="W153" i="18"/>
  <c r="U153" i="18"/>
  <c r="O109" i="18"/>
  <c r="R109" i="18"/>
  <c r="K42" i="11"/>
  <c r="K216" i="11"/>
  <c r="K292" i="3"/>
  <c r="W271" i="18"/>
  <c r="U271" i="18"/>
  <c r="K307" i="11"/>
  <c r="K417" i="3"/>
  <c r="O196" i="18"/>
  <c r="R196" i="18"/>
  <c r="T196" i="18"/>
  <c r="K160" i="11"/>
  <c r="U333" i="18"/>
  <c r="W333" i="18"/>
  <c r="W101" i="18"/>
  <c r="U101" i="18"/>
  <c r="U282" i="18"/>
  <c r="W282" i="18"/>
  <c r="K328" i="11"/>
  <c r="K55" i="3"/>
  <c r="U306" i="18"/>
  <c r="W306" i="18"/>
  <c r="T224" i="18"/>
  <c r="R224" i="18"/>
  <c r="O224" i="18"/>
  <c r="K228" i="11"/>
  <c r="Z40" i="19"/>
  <c r="K222" i="3"/>
  <c r="K263" i="11"/>
  <c r="W247" i="18"/>
  <c r="U247" i="18"/>
  <c r="W93" i="18"/>
  <c r="U93" i="18"/>
  <c r="K493" i="3"/>
  <c r="K461" i="11"/>
  <c r="O284" i="18"/>
  <c r="R284" i="18"/>
  <c r="T284" i="18"/>
  <c r="K389" i="11"/>
  <c r="K427" i="11"/>
  <c r="K147" i="3"/>
  <c r="K446" i="11"/>
  <c r="O294" i="18"/>
  <c r="T294" i="18"/>
  <c r="R294" i="18"/>
  <c r="T120" i="18"/>
  <c r="O120" i="18"/>
  <c r="R120" i="18"/>
  <c r="K32" i="3"/>
  <c r="K56" i="11"/>
  <c r="K407" i="11"/>
  <c r="K516" i="3"/>
  <c r="W269" i="18"/>
  <c r="U269" i="18"/>
  <c r="K64" i="11"/>
  <c r="K295" i="11"/>
  <c r="K417" i="11"/>
  <c r="K1135" i="4"/>
  <c r="U162" i="18"/>
  <c r="W115" i="18"/>
  <c r="U115" i="18"/>
  <c r="R320" i="18"/>
  <c r="O320" i="18"/>
  <c r="T320" i="18"/>
  <c r="W257" i="18"/>
  <c r="U257" i="18"/>
  <c r="W189" i="18"/>
  <c r="U189" i="18"/>
  <c r="K463" i="3"/>
  <c r="W135" i="18"/>
  <c r="U135" i="18"/>
  <c r="K464" i="3"/>
  <c r="O154" i="18"/>
  <c r="R154" i="18"/>
  <c r="T154" i="18"/>
  <c r="U108" i="18"/>
  <c r="W108" i="18"/>
  <c r="T225" i="18"/>
  <c r="O225" i="18"/>
  <c r="R225" i="18"/>
  <c r="O190" i="18"/>
  <c r="R190" i="18"/>
  <c r="T190" i="18"/>
  <c r="W129" i="18"/>
  <c r="U129" i="18"/>
  <c r="W217" i="18"/>
  <c r="U217" i="18"/>
  <c r="W124" i="18"/>
  <c r="U124" i="18"/>
  <c r="U104" i="18"/>
  <c r="W104" i="18"/>
  <c r="W216" i="18"/>
  <c r="U216" i="18"/>
  <c r="K135" i="11"/>
  <c r="R139" i="18"/>
  <c r="T139" i="18"/>
  <c r="O139" i="18"/>
  <c r="U320" i="18"/>
  <c r="W320" i="18"/>
  <c r="U235" i="18"/>
  <c r="W235" i="18"/>
  <c r="U118" i="18"/>
  <c r="W118" i="18"/>
  <c r="O306" i="18"/>
  <c r="T306" i="18"/>
  <c r="R306" i="18"/>
  <c r="U284" i="18"/>
  <c r="W284" i="18"/>
  <c r="R296" i="18"/>
  <c r="O296" i="18"/>
  <c r="T296" i="18"/>
  <c r="W308" i="18"/>
  <c r="U308" i="18"/>
  <c r="T136" i="18"/>
  <c r="O136" i="18"/>
  <c r="R136" i="18"/>
  <c r="K113" i="3"/>
  <c r="U149" i="18"/>
  <c r="W149" i="18"/>
  <c r="K133" i="3"/>
  <c r="R300" i="18"/>
  <c r="O300" i="18"/>
  <c r="T300" i="18"/>
  <c r="R183" i="18"/>
  <c r="T183" i="18"/>
  <c r="O183" i="18"/>
  <c r="R235" i="18"/>
  <c r="O235" i="18"/>
  <c r="T235" i="18"/>
  <c r="W335" i="18"/>
  <c r="U335" i="18"/>
  <c r="T346" i="18"/>
  <c r="R346" i="18"/>
  <c r="O346" i="18"/>
  <c r="K41" i="3"/>
  <c r="K288" i="11"/>
  <c r="O341" i="18"/>
  <c r="T341" i="18"/>
  <c r="R341" i="18"/>
  <c r="U297" i="18"/>
  <c r="W297" i="18"/>
  <c r="K69" i="3"/>
  <c r="K146" i="3"/>
  <c r="K454" i="11"/>
  <c r="K93" i="11"/>
  <c r="K384" i="11"/>
  <c r="K261" i="11"/>
  <c r="K237" i="11"/>
  <c r="O122" i="18"/>
  <c r="R122" i="18"/>
  <c r="T122" i="18"/>
  <c r="K272" i="11"/>
  <c r="K338" i="11"/>
  <c r="R162" i="18"/>
  <c r="T162" i="18"/>
  <c r="O162" i="18"/>
  <c r="R272" i="18"/>
  <c r="T272" i="18"/>
  <c r="O272" i="18"/>
  <c r="W214" i="18"/>
  <c r="U214" i="18"/>
  <c r="K503" i="11"/>
  <c r="K274" i="11"/>
  <c r="K50" i="11"/>
  <c r="K499" i="3"/>
  <c r="K79" i="3"/>
  <c r="O82" i="18"/>
  <c r="R82" i="18"/>
  <c r="K277" i="3"/>
  <c r="O163" i="18"/>
  <c r="T163" i="18"/>
  <c r="R163" i="18"/>
  <c r="K51" i="3"/>
  <c r="K394" i="11"/>
  <c r="K449" i="3"/>
  <c r="T216" i="18"/>
  <c r="O216" i="18"/>
  <c r="R216" i="18"/>
  <c r="T222" i="18"/>
  <c r="R222" i="18"/>
  <c r="O222" i="18"/>
  <c r="R179" i="18"/>
  <c r="O179" i="18"/>
  <c r="T179" i="18"/>
  <c r="K96" i="3"/>
  <c r="W170" i="18"/>
  <c r="U170" i="18"/>
  <c r="K410" i="11"/>
  <c r="O205" i="18"/>
  <c r="T205" i="18"/>
  <c r="R205" i="18"/>
  <c r="K142" i="11"/>
  <c r="K136" i="11"/>
  <c r="U117" i="18"/>
  <c r="W117" i="18"/>
  <c r="K475" i="11"/>
  <c r="W164" i="18"/>
  <c r="U164" i="18"/>
  <c r="K84" i="11"/>
  <c r="R98" i="18"/>
  <c r="O98" i="18"/>
  <c r="K72" i="3"/>
  <c r="K401" i="3"/>
  <c r="R248" i="18"/>
  <c r="T248" i="18"/>
  <c r="O248" i="18"/>
  <c r="W159" i="18"/>
  <c r="U159" i="18"/>
  <c r="K422" i="3"/>
  <c r="K346" i="3"/>
  <c r="K88" i="3"/>
  <c r="U91" i="18"/>
  <c r="W91" i="18"/>
  <c r="O220" i="18"/>
  <c r="T220" i="18"/>
  <c r="R220" i="18"/>
  <c r="R166" i="18"/>
  <c r="O166" i="18"/>
  <c r="T166" i="18"/>
  <c r="W362" i="18"/>
  <c r="U362" i="18"/>
  <c r="K81" i="11"/>
  <c r="U184" i="18"/>
  <c r="W184" i="18"/>
  <c r="U205" i="18"/>
  <c r="W205" i="18"/>
  <c r="K442" i="3"/>
  <c r="O145" i="18"/>
  <c r="R145" i="18"/>
  <c r="T145" i="18"/>
  <c r="W246" i="18"/>
  <c r="U246" i="18"/>
  <c r="K138" i="11"/>
  <c r="K282" i="11"/>
  <c r="O113" i="18"/>
  <c r="T113" i="18"/>
  <c r="R113" i="18"/>
  <c r="K231" i="3"/>
  <c r="K386" i="11"/>
  <c r="W293" i="18"/>
  <c r="U293" i="18"/>
  <c r="K271" i="11"/>
  <c r="K132" i="11"/>
  <c r="T206" i="18"/>
  <c r="O206" i="18"/>
  <c r="R206" i="18"/>
  <c r="K393" i="3"/>
  <c r="K500" i="11"/>
  <c r="R212" i="18"/>
  <c r="T212" i="18"/>
  <c r="O212" i="18"/>
  <c r="W139" i="18"/>
  <c r="U139" i="18"/>
  <c r="T227" i="18"/>
  <c r="R227" i="18"/>
  <c r="O227" i="18"/>
  <c r="O280" i="18"/>
  <c r="T280" i="18"/>
  <c r="R280" i="18"/>
  <c r="K408" i="11"/>
  <c r="K550" i="3"/>
  <c r="U176" i="18"/>
  <c r="W176" i="18"/>
  <c r="W243" i="18"/>
  <c r="U243" i="18"/>
  <c r="W270" i="18"/>
  <c r="U270" i="18"/>
  <c r="U252" i="18"/>
  <c r="W252" i="18"/>
  <c r="R191" i="18"/>
  <c r="T191" i="18"/>
  <c r="O191" i="18"/>
  <c r="K245" i="11"/>
  <c r="W358" i="18"/>
  <c r="U358" i="18"/>
  <c r="U85" i="18"/>
  <c r="K364" i="3"/>
  <c r="K182" i="3"/>
  <c r="K107" i="3"/>
  <c r="K235" i="11"/>
  <c r="O211" i="18"/>
  <c r="T211" i="18"/>
  <c r="R211" i="18"/>
  <c r="U97" i="18"/>
  <c r="W97" i="18"/>
  <c r="W266" i="18"/>
  <c r="U266" i="18"/>
  <c r="R177" i="18"/>
  <c r="T177" i="18"/>
  <c r="O177" i="18"/>
  <c r="K158" i="3"/>
  <c r="W366" i="18"/>
  <c r="U366" i="18"/>
  <c r="T329" i="18"/>
  <c r="O329" i="18"/>
  <c r="R329" i="18"/>
  <c r="O258" i="18"/>
  <c r="R258" i="18"/>
  <c r="T258" i="18"/>
  <c r="U169" i="18"/>
  <c r="W169" i="18"/>
  <c r="R236" i="18"/>
  <c r="O236" i="18"/>
  <c r="T236" i="18"/>
  <c r="K513" i="3"/>
  <c r="K415" i="11"/>
  <c r="K1136" i="4"/>
  <c r="K1146" i="4"/>
  <c r="K1144" i="4"/>
  <c r="U202" i="18"/>
  <c r="U286" i="18"/>
  <c r="W286" i="18"/>
  <c r="O153" i="18"/>
  <c r="R153" i="18"/>
  <c r="T153" i="18"/>
  <c r="O250" i="18"/>
  <c r="T250" i="18"/>
  <c r="R250" i="18"/>
  <c r="K504" i="3"/>
  <c r="K49" i="11"/>
  <c r="K449" i="11"/>
  <c r="O318" i="18"/>
  <c r="T318" i="18"/>
  <c r="R318" i="18"/>
  <c r="R251" i="18"/>
  <c r="O251" i="18"/>
  <c r="T251" i="18"/>
  <c r="K367" i="3"/>
  <c r="F18" i="12"/>
  <c r="U249" i="18"/>
  <c r="W249" i="18"/>
  <c r="K93" i="3"/>
  <c r="U313" i="18"/>
  <c r="W313" i="18"/>
  <c r="W197" i="18"/>
  <c r="U197" i="18"/>
  <c r="U107" i="18"/>
  <c r="W107" i="18"/>
  <c r="K287" i="11"/>
  <c r="K128" i="11"/>
  <c r="U323" i="18"/>
  <c r="W323" i="18"/>
  <c r="T111" i="18"/>
  <c r="R111" i="18"/>
  <c r="O111" i="18"/>
  <c r="U341" i="18"/>
  <c r="W341" i="18"/>
  <c r="U154" i="18"/>
  <c r="W154" i="18"/>
  <c r="W99" i="18"/>
  <c r="U99" i="18"/>
  <c r="R260" i="18"/>
  <c r="T260" i="18"/>
  <c r="O260" i="18"/>
  <c r="T112" i="18"/>
  <c r="O112" i="18"/>
  <c r="R112" i="18"/>
  <c r="T365" i="18"/>
  <c r="R365" i="18"/>
  <c r="O365" i="18"/>
  <c r="W151" i="18"/>
  <c r="U151" i="18"/>
  <c r="W122" i="18"/>
  <c r="U122" i="18"/>
  <c r="O238" i="18"/>
  <c r="T238" i="18"/>
  <c r="R238" i="18"/>
  <c r="T255" i="18"/>
  <c r="O255" i="18"/>
  <c r="R255" i="18"/>
  <c r="K448" i="11"/>
  <c r="K230" i="11"/>
  <c r="K236" i="11"/>
  <c r="K494" i="3"/>
  <c r="K160" i="3"/>
  <c r="O279" i="18"/>
  <c r="R279" i="18"/>
  <c r="T279" i="18"/>
  <c r="U84" i="18"/>
  <c r="W84" i="18"/>
  <c r="W168" i="18"/>
  <c r="U168" i="18"/>
  <c r="K174" i="3"/>
  <c r="K303" i="3"/>
  <c r="W87" i="18"/>
  <c r="U87" i="18"/>
  <c r="K229" i="3"/>
  <c r="O277" i="18"/>
  <c r="R277" i="18"/>
  <c r="T277" i="18"/>
  <c r="U144" i="18"/>
  <c r="W144" i="18"/>
  <c r="K286" i="3"/>
  <c r="K34" i="3"/>
  <c r="R265" i="18"/>
  <c r="T265" i="18"/>
  <c r="O265" i="18"/>
  <c r="O234" i="18"/>
  <c r="R234" i="18"/>
  <c r="T234" i="18"/>
  <c r="K268" i="11"/>
  <c r="K350" i="3"/>
  <c r="O278" i="18"/>
  <c r="R278" i="18"/>
  <c r="T278" i="18"/>
  <c r="U321" i="18"/>
  <c r="W321" i="18"/>
  <c r="W185" i="18"/>
  <c r="U185" i="18"/>
  <c r="U178" i="18"/>
  <c r="W178" i="18"/>
  <c r="K308" i="3"/>
  <c r="U325" i="18"/>
  <c r="W325" i="18"/>
  <c r="W294" i="18"/>
  <c r="U294" i="18"/>
  <c r="K356" i="11"/>
  <c r="K83" i="11"/>
  <c r="K548" i="3"/>
  <c r="K519" i="3"/>
  <c r="T217" i="18"/>
  <c r="O217" i="18"/>
  <c r="R217" i="18"/>
  <c r="O347" i="18"/>
  <c r="T347" i="18"/>
  <c r="R347" i="18"/>
  <c r="K203" i="3"/>
  <c r="K356" i="3"/>
  <c r="K185" i="11"/>
  <c r="T151" i="18"/>
  <c r="R151" i="18"/>
  <c r="O151" i="18"/>
  <c r="K555" i="3"/>
  <c r="O287" i="18"/>
  <c r="T287" i="18"/>
  <c r="R287" i="18"/>
  <c r="R356" i="18"/>
  <c r="T356" i="18"/>
  <c r="O356" i="18"/>
  <c r="Q43" i="19"/>
  <c r="U156" i="18"/>
  <c r="W156" i="18"/>
  <c r="K305" i="11"/>
  <c r="K324" i="3"/>
  <c r="K64" i="3"/>
  <c r="T189" i="18"/>
  <c r="O189" i="18"/>
  <c r="R189" i="18"/>
  <c r="U304" i="18"/>
  <c r="W304" i="18"/>
  <c r="U132" i="18"/>
  <c r="W132" i="18"/>
  <c r="T270" i="18"/>
  <c r="R270" i="18"/>
  <c r="O270" i="18"/>
  <c r="U265" i="18"/>
  <c r="W265" i="18"/>
  <c r="K408" i="3"/>
  <c r="O218" i="18"/>
  <c r="T218" i="18"/>
  <c r="R218" i="18"/>
  <c r="K297" i="11"/>
  <c r="K447" i="11"/>
  <c r="O214" i="18"/>
  <c r="R214" i="18"/>
  <c r="T214" i="18"/>
  <c r="O121" i="18"/>
  <c r="T121" i="18"/>
  <c r="R121" i="18"/>
  <c r="W264" i="18"/>
  <c r="U264" i="18"/>
  <c r="K61" i="11"/>
  <c r="T308" i="18"/>
  <c r="O308" i="18"/>
  <c r="R308" i="18"/>
  <c r="K431" i="11"/>
  <c r="K247" i="3"/>
  <c r="W295" i="18"/>
  <c r="U295" i="18"/>
  <c r="T199" i="18"/>
  <c r="R199" i="18"/>
  <c r="O199" i="18"/>
  <c r="K142" i="3"/>
  <c r="T269" i="18"/>
  <c r="O269" i="18"/>
  <c r="R269" i="18"/>
  <c r="W199" i="18"/>
  <c r="U199" i="18"/>
  <c r="U193" i="18"/>
  <c r="W193" i="18"/>
  <c r="U112" i="18"/>
  <c r="W112" i="18"/>
  <c r="U211" i="18"/>
  <c r="W211" i="18"/>
  <c r="R291" i="18"/>
  <c r="T291" i="18"/>
  <c r="O291" i="18"/>
  <c r="K114" i="3"/>
  <c r="U208" i="18"/>
  <c r="W208" i="18"/>
  <c r="K390" i="11"/>
  <c r="O132" i="18"/>
  <c r="T132" i="18"/>
  <c r="R132" i="18"/>
  <c r="U233" i="18"/>
  <c r="W233" i="18"/>
  <c r="K276" i="3"/>
  <c r="K549" i="3"/>
  <c r="W126" i="18"/>
  <c r="U126" i="18"/>
  <c r="K185" i="3"/>
  <c r="W165" i="18"/>
  <c r="U165" i="18"/>
  <c r="T181" i="18"/>
  <c r="O181" i="18"/>
  <c r="R181" i="18"/>
  <c r="W105" i="18"/>
  <c r="U105" i="18"/>
  <c r="K254" i="11"/>
  <c r="K140" i="11"/>
  <c r="R293" i="18"/>
  <c r="T293" i="18"/>
  <c r="O293" i="18"/>
  <c r="R184" i="18"/>
  <c r="T184" i="18"/>
  <c r="O184" i="18"/>
  <c r="O96" i="18"/>
  <c r="R96" i="18"/>
  <c r="U261" i="18"/>
  <c r="W261" i="18"/>
  <c r="K347" i="3"/>
  <c r="K247" i="11"/>
  <c r="K259" i="3"/>
  <c r="K54" i="11"/>
  <c r="R350" i="18"/>
  <c r="O350" i="18"/>
  <c r="T350" i="18"/>
  <c r="O124" i="18"/>
  <c r="T124" i="18"/>
  <c r="R124" i="18"/>
  <c r="W142" i="18"/>
  <c r="U142" i="18"/>
  <c r="K430" i="3"/>
  <c r="K502" i="3"/>
  <c r="K342" i="11"/>
  <c r="K223" i="3"/>
  <c r="R193" i="18"/>
  <c r="T193" i="18"/>
  <c r="O193" i="18"/>
  <c r="K276" i="11"/>
  <c r="O155" i="18"/>
  <c r="R155" i="18"/>
  <c r="T155" i="18"/>
  <c r="K396" i="11"/>
  <c r="K387" i="3"/>
  <c r="R84" i="18"/>
  <c r="O84" i="18"/>
  <c r="U88" i="18"/>
  <c r="W88" i="18"/>
  <c r="W152" i="18"/>
  <c r="U152" i="18"/>
  <c r="W258" i="18"/>
  <c r="U258" i="18"/>
  <c r="Q42" i="19"/>
  <c r="W119" i="18"/>
  <c r="U119" i="18"/>
  <c r="O319" i="18"/>
  <c r="R319" i="18"/>
  <c r="T319" i="18"/>
  <c r="W83" i="18"/>
  <c r="U83" i="18"/>
  <c r="W114" i="18"/>
  <c r="U114" i="18"/>
  <c r="K278" i="3"/>
  <c r="U182" i="18"/>
  <c r="W182" i="18"/>
  <c r="O245" i="18"/>
  <c r="T245" i="18"/>
  <c r="R245" i="18"/>
  <c r="U148" i="18"/>
  <c r="W148" i="18"/>
  <c r="K481" i="11"/>
  <c r="K414" i="11"/>
  <c r="F13" i="12"/>
  <c r="U96" i="18"/>
  <c r="W96" i="18"/>
  <c r="R197" i="18"/>
  <c r="O197" i="18"/>
  <c r="T197" i="18"/>
  <c r="W281" i="18"/>
  <c r="U281" i="18"/>
  <c r="K253" i="3"/>
  <c r="T271" i="18"/>
  <c r="O271" i="18"/>
  <c r="R271" i="18"/>
  <c r="O128" i="18"/>
  <c r="R128" i="18"/>
  <c r="T128" i="18"/>
  <c r="W175" i="18"/>
  <c r="U175" i="18"/>
  <c r="T231" i="18"/>
  <c r="R231" i="18"/>
  <c r="O231" i="18"/>
  <c r="K501" i="11"/>
  <c r="K315" i="3"/>
  <c r="K255" i="11"/>
  <c r="T131" i="18"/>
  <c r="R131" i="18"/>
  <c r="O131" i="18"/>
  <c r="K304" i="11"/>
  <c r="O94" i="18"/>
  <c r="R94" i="18"/>
  <c r="K375" i="11"/>
  <c r="W245" i="18"/>
  <c r="U245" i="18"/>
  <c r="K557" i="3"/>
  <c r="T256" i="18"/>
  <c r="O256" i="18"/>
  <c r="R256" i="18"/>
  <c r="U113" i="18"/>
  <c r="W113" i="18"/>
  <c r="W145" i="18"/>
  <c r="U145" i="18"/>
  <c r="T129" i="18"/>
  <c r="R129" i="18"/>
  <c r="O129" i="18"/>
  <c r="K530" i="3"/>
  <c r="T159" i="18"/>
  <c r="O159" i="18"/>
  <c r="R159" i="18"/>
  <c r="K470" i="3"/>
  <c r="O102" i="18"/>
  <c r="R102" i="18"/>
  <c r="K331" i="3"/>
  <c r="R176" i="18"/>
  <c r="O176" i="18"/>
  <c r="T176" i="18"/>
  <c r="W289" i="18"/>
  <c r="U289" i="18"/>
  <c r="U287" i="18"/>
  <c r="W287" i="18"/>
  <c r="W174" i="18"/>
  <c r="U174" i="18"/>
  <c r="W106" i="18"/>
  <c r="U106" i="18"/>
  <c r="U166" i="18"/>
  <c r="W166" i="18"/>
  <c r="K441" i="11"/>
  <c r="K80" i="11"/>
  <c r="O362" i="18"/>
  <c r="R362" i="18"/>
  <c r="T362" i="18"/>
  <c r="T208" i="18"/>
  <c r="O208" i="18"/>
  <c r="R208" i="18"/>
  <c r="K403" i="11"/>
  <c r="W275" i="18"/>
  <c r="U275" i="18"/>
  <c r="W131" i="18"/>
  <c r="U131" i="18"/>
  <c r="W229" i="18"/>
  <c r="U229" i="18"/>
  <c r="R156" i="18"/>
  <c r="O156" i="18"/>
  <c r="T156" i="18"/>
  <c r="U224" i="18"/>
  <c r="W224" i="18"/>
  <c r="K264" i="11"/>
  <c r="K194" i="11"/>
  <c r="R164" i="18"/>
  <c r="O164" i="18"/>
  <c r="T164" i="18"/>
  <c r="F4" i="10"/>
  <c r="F12" i="12"/>
  <c r="W82" i="18"/>
  <c r="U82" i="18"/>
  <c r="W237" i="18"/>
  <c r="U237" i="18"/>
  <c r="K195" i="11"/>
  <c r="R264" i="18"/>
  <c r="T264" i="18"/>
  <c r="O264" i="18"/>
  <c r="K301" i="3"/>
  <c r="O107" i="18"/>
  <c r="T107" i="18"/>
  <c r="R107" i="18"/>
  <c r="K165" i="3"/>
  <c r="U310" i="18"/>
  <c r="W310" i="18"/>
  <c r="Q40" i="19"/>
  <c r="U278" i="18"/>
  <c r="W278" i="18"/>
  <c r="W209" i="18"/>
  <c r="U209" i="18"/>
  <c r="U315" i="18"/>
  <c r="W315" i="18"/>
  <c r="W188" i="18"/>
  <c r="U188" i="18"/>
  <c r="F16" i="12"/>
  <c r="J16" i="12" s="1"/>
  <c r="W121" i="18"/>
  <c r="U121" i="18"/>
  <c r="K489" i="3"/>
  <c r="W180" i="18"/>
  <c r="U180" i="18"/>
  <c r="U232" i="18"/>
  <c r="W232" i="18"/>
  <c r="T367" i="18"/>
  <c r="O367" i="18"/>
  <c r="R367" i="18"/>
  <c r="K130" i="11"/>
  <c r="W157" i="18"/>
  <c r="U157" i="18"/>
  <c r="O331" i="18"/>
  <c r="T331" i="18"/>
  <c r="R331" i="18"/>
  <c r="O100" i="18"/>
  <c r="R100" i="18"/>
  <c r="K279" i="11"/>
  <c r="Z47" i="19"/>
  <c r="O192" i="18"/>
  <c r="R192" i="18"/>
  <c r="T192" i="18"/>
  <c r="T297" i="18"/>
  <c r="O297" i="18"/>
  <c r="R297" i="18"/>
  <c r="K481" i="3"/>
  <c r="K452" i="11"/>
  <c r="K98" i="11"/>
  <c r="O298" i="18"/>
  <c r="R298" i="18"/>
  <c r="T298" i="18"/>
  <c r="W116" i="18"/>
  <c r="U116" i="18"/>
  <c r="K140" i="3"/>
  <c r="U200" i="18"/>
  <c r="W200" i="18"/>
  <c r="W143" i="18"/>
  <c r="U143" i="18"/>
  <c r="K373" i="3"/>
  <c r="W141" i="18"/>
  <c r="U141" i="18"/>
  <c r="O321" i="18"/>
  <c r="R321" i="18"/>
  <c r="T321" i="18"/>
  <c r="U210" i="18"/>
  <c r="W210" i="18"/>
  <c r="O337" i="18"/>
  <c r="T337" i="18"/>
  <c r="R337" i="18"/>
  <c r="K37" i="3"/>
  <c r="K392" i="11"/>
  <c r="K343" i="11"/>
  <c r="K102" i="3"/>
  <c r="W276" i="18"/>
  <c r="U276" i="18"/>
  <c r="K169" i="11"/>
  <c r="O97" i="18"/>
  <c r="R97" i="18"/>
  <c r="K208" i="11"/>
  <c r="K103" i="11"/>
  <c r="K269" i="11"/>
  <c r="U344" i="18"/>
  <c r="W344" i="18"/>
  <c r="K187" i="3"/>
  <c r="K52" i="3"/>
  <c r="R213" i="18"/>
  <c r="T213" i="18"/>
  <c r="O213" i="18"/>
  <c r="O147" i="18"/>
  <c r="R147" i="18"/>
  <c r="T147" i="18"/>
  <c r="K300" i="11"/>
  <c r="R282" i="18"/>
  <c r="T282" i="18"/>
  <c r="O282" i="18"/>
  <c r="U272" i="18"/>
  <c r="W272" i="18"/>
  <c r="O123" i="18"/>
  <c r="R123" i="18"/>
  <c r="T123" i="18"/>
  <c r="K109" i="3"/>
  <c r="Z42" i="19"/>
  <c r="W348" i="18"/>
  <c r="U348" i="18"/>
  <c r="K124" i="3"/>
  <c r="K112" i="3"/>
  <c r="T273" i="18"/>
  <c r="O273" i="18"/>
  <c r="R273" i="18"/>
  <c r="K66" i="11"/>
  <c r="K294" i="11"/>
  <c r="K546" i="3"/>
  <c r="T344" i="18"/>
  <c r="R344" i="18"/>
  <c r="O344" i="18"/>
  <c r="K231" i="11"/>
  <c r="T352" i="18"/>
  <c r="O352" i="18"/>
  <c r="R352" i="18"/>
  <c r="K355" i="11"/>
  <c r="F17" i="12"/>
  <c r="U219" i="18"/>
  <c r="W219" i="18"/>
  <c r="K357" i="3"/>
  <c r="K55" i="11"/>
  <c r="K1138" i="4"/>
  <c r="K1145" i="4"/>
  <c r="AA1137" i="4"/>
  <c r="U110" i="18"/>
  <c r="W110" i="18"/>
  <c r="O335" i="18"/>
  <c r="R335" i="18"/>
  <c r="T335" i="18"/>
  <c r="U222" i="18"/>
  <c r="W222" i="18"/>
  <c r="U322" i="18"/>
  <c r="W322" i="18"/>
  <c r="T182" i="18"/>
  <c r="O182" i="18"/>
  <c r="R182" i="18"/>
  <c r="O330" i="18"/>
  <c r="T330" i="18"/>
  <c r="R330" i="18"/>
  <c r="T312" i="18"/>
  <c r="O312" i="18"/>
  <c r="R312" i="18"/>
  <c r="W307" i="18"/>
  <c r="U307" i="18"/>
  <c r="R188" i="18"/>
  <c r="T188" i="18"/>
  <c r="O188" i="18"/>
  <c r="Z46" i="19"/>
  <c r="T167" i="18"/>
  <c r="R167" i="18"/>
  <c r="O167" i="18"/>
  <c r="O305" i="18"/>
  <c r="T305" i="18"/>
  <c r="R305" i="18"/>
  <c r="K82" i="3"/>
  <c r="U274" i="18"/>
  <c r="W274" i="18"/>
  <c r="U163" i="18"/>
  <c r="W163" i="18"/>
  <c r="K523" i="3"/>
  <c r="K40" i="3"/>
  <c r="K200" i="3"/>
  <c r="W218" i="18"/>
  <c r="U218" i="18"/>
  <c r="O134" i="18"/>
  <c r="R134" i="18"/>
  <c r="T134" i="18"/>
  <c r="R141" i="18"/>
  <c r="O141" i="18"/>
  <c r="T141" i="18"/>
  <c r="K434" i="3"/>
  <c r="O361" i="18"/>
  <c r="R361" i="18"/>
  <c r="T361" i="18"/>
  <c r="K398" i="11"/>
  <c r="Z43" i="19"/>
  <c r="T115" i="18"/>
  <c r="R115" i="18"/>
  <c r="O115" i="18"/>
  <c r="W332" i="18"/>
  <c r="U332" i="18"/>
  <c r="K479" i="3"/>
  <c r="W259" i="18"/>
  <c r="U259" i="18"/>
  <c r="W309" i="18"/>
  <c r="U309" i="18"/>
  <c r="K487" i="11"/>
  <c r="K323" i="3"/>
  <c r="K457" i="3"/>
  <c r="O223" i="18"/>
  <c r="T223" i="18"/>
  <c r="R223" i="18"/>
  <c r="K67" i="11"/>
  <c r="K138" i="3"/>
  <c r="K513" i="11"/>
  <c r="W345" i="18"/>
  <c r="U345" i="18"/>
  <c r="K162" i="3"/>
  <c r="U251" i="18"/>
  <c r="W251" i="18"/>
  <c r="R333" i="18"/>
  <c r="O333" i="18"/>
  <c r="T333" i="18"/>
  <c r="K58" i="3"/>
  <c r="K218" i="3"/>
  <c r="T257" i="18"/>
  <c r="R257" i="18"/>
  <c r="O257" i="18"/>
  <c r="K450" i="11"/>
  <c r="K196" i="11"/>
  <c r="K154" i="3"/>
  <c r="K127" i="3"/>
  <c r="U203" i="18"/>
  <c r="W203" i="18"/>
  <c r="K289" i="11"/>
  <c r="T215" i="18"/>
  <c r="R215" i="18"/>
  <c r="O215" i="18"/>
  <c r="K108" i="3"/>
  <c r="U150" i="18"/>
  <c r="W150" i="18"/>
  <c r="K497" i="3"/>
  <c r="K522" i="3"/>
  <c r="F4" i="12"/>
  <c r="U369" i="18"/>
  <c r="W369" i="18"/>
  <c r="R106" i="18"/>
  <c r="O106" i="18"/>
  <c r="K73" i="3"/>
  <c r="K173" i="3"/>
  <c r="U207" i="18"/>
  <c r="W207" i="18"/>
  <c r="K203" i="11"/>
  <c r="W134" i="18"/>
  <c r="U134" i="18"/>
  <c r="K370" i="3"/>
  <c r="Q41" i="19"/>
  <c r="K61" i="3"/>
  <c r="W128" i="18"/>
  <c r="U128" i="18"/>
  <c r="K119" i="11"/>
  <c r="K308" i="11"/>
  <c r="O169" i="18"/>
  <c r="T169" i="18"/>
  <c r="R169" i="18"/>
  <c r="U288" i="18"/>
  <c r="W288" i="18"/>
  <c r="K467" i="3"/>
  <c r="U167" i="18"/>
  <c r="W167" i="18"/>
  <c r="K266" i="11"/>
  <c r="R357" i="18"/>
  <c r="T357" i="18"/>
  <c r="O357" i="18"/>
  <c r="U147" i="18"/>
  <c r="W147" i="18"/>
  <c r="K394" i="3"/>
  <c r="K111" i="11"/>
  <c r="K462" i="3"/>
  <c r="W95" i="18"/>
  <c r="U95" i="18"/>
  <c r="K98" i="3"/>
  <c r="K148" i="3"/>
  <c r="K116" i="3"/>
  <c r="K400" i="3"/>
  <c r="K232" i="3"/>
  <c r="K472" i="11"/>
  <c r="U161" i="18"/>
  <c r="W161" i="18"/>
  <c r="W301" i="18"/>
  <c r="U301" i="18"/>
  <c r="T345" i="18"/>
  <c r="R345" i="18"/>
  <c r="O345" i="18"/>
  <c r="K131" i="11"/>
  <c r="O336" i="18"/>
  <c r="R336" i="18"/>
  <c r="T336" i="18"/>
  <c r="U127" i="18"/>
  <c r="W127" i="18"/>
  <c r="F14" i="12"/>
  <c r="T152" i="18"/>
  <c r="O152" i="18"/>
  <c r="R152" i="18"/>
  <c r="R173" i="18"/>
  <c r="T173" i="18"/>
  <c r="O173" i="18"/>
  <c r="K125" i="3"/>
  <c r="K542" i="3"/>
  <c r="O247" i="18"/>
  <c r="R247" i="18"/>
  <c r="T247" i="18"/>
  <c r="K195" i="3"/>
  <c r="K192" i="11"/>
  <c r="K199" i="3"/>
  <c r="K97" i="11"/>
  <c r="W254" i="18"/>
  <c r="U254" i="18"/>
  <c r="T295" i="18"/>
  <c r="R295" i="18"/>
  <c r="O295" i="18"/>
  <c r="K460" i="3"/>
  <c r="K505" i="3"/>
  <c r="T240" i="18"/>
  <c r="O240" i="18"/>
  <c r="R240" i="18"/>
  <c r="K176" i="11"/>
  <c r="K385" i="11"/>
  <c r="K475" i="3"/>
  <c r="K26" i="3"/>
  <c r="T266" i="18"/>
  <c r="R266" i="18"/>
  <c r="O266" i="18"/>
  <c r="W283" i="18"/>
  <c r="U283" i="18"/>
  <c r="K344" i="3"/>
  <c r="O185" i="18"/>
  <c r="T185" i="18"/>
  <c r="R185" i="18"/>
  <c r="K209" i="11"/>
  <c r="U171" i="18"/>
  <c r="W171" i="18"/>
  <c r="K219" i="11"/>
  <c r="K511" i="3"/>
  <c r="K246" i="3"/>
  <c r="K330" i="3"/>
  <c r="K86" i="3"/>
  <c r="W359" i="18"/>
  <c r="U359" i="18"/>
  <c r="K456" i="3"/>
  <c r="K340" i="11"/>
  <c r="K284" i="11"/>
  <c r="U213" i="18"/>
  <c r="W213" i="18"/>
  <c r="U365" i="18"/>
  <c r="W365" i="18"/>
  <c r="K505" i="11"/>
  <c r="K184" i="3"/>
  <c r="K299" i="11"/>
  <c r="K509" i="3"/>
  <c r="K455" i="3"/>
  <c r="K432" i="3"/>
  <c r="K1147" i="4"/>
  <c r="U328" i="18"/>
  <c r="O93" i="18"/>
  <c r="R93" i="18"/>
  <c r="W239" i="18"/>
  <c r="U239" i="18"/>
  <c r="O101" i="18"/>
  <c r="R101" i="18"/>
  <c r="R150" i="18"/>
  <c r="T150" i="18"/>
  <c r="O150" i="18"/>
  <c r="O226" i="18"/>
  <c r="T226" i="18"/>
  <c r="R226" i="18"/>
  <c r="R276" i="18"/>
  <c r="O276" i="18"/>
  <c r="T276" i="18"/>
  <c r="K103" i="3"/>
  <c r="O253" i="18"/>
  <c r="T253" i="18"/>
  <c r="R253" i="18"/>
  <c r="U181" i="18"/>
  <c r="W181" i="18"/>
  <c r="U227" i="18"/>
  <c r="W227" i="18"/>
  <c r="U138" i="18"/>
  <c r="W138" i="18"/>
  <c r="U263" i="18"/>
  <c r="W263" i="18"/>
  <c r="R246" i="18"/>
  <c r="O246" i="18"/>
  <c r="T246" i="18"/>
  <c r="O340" i="18"/>
  <c r="T340" i="18"/>
  <c r="R340" i="18"/>
  <c r="K415" i="3"/>
  <c r="T323" i="18"/>
  <c r="R323" i="18"/>
  <c r="O323" i="18"/>
  <c r="W363" i="18"/>
  <c r="U363" i="18"/>
  <c r="W236" i="18"/>
  <c r="U236" i="18"/>
  <c r="O158" i="18"/>
  <c r="T158" i="18"/>
  <c r="R158" i="18"/>
  <c r="T354" i="18"/>
  <c r="R354" i="18"/>
  <c r="O354" i="18"/>
  <c r="U279" i="18"/>
  <c r="W279" i="18"/>
  <c r="D17" i="12"/>
  <c r="W364" i="18"/>
  <c r="U364" i="18"/>
  <c r="K462" i="11"/>
  <c r="K378" i="11"/>
  <c r="W248" i="18"/>
  <c r="U248" i="18"/>
  <c r="T140" i="18"/>
  <c r="R140" i="18"/>
  <c r="O140" i="18"/>
  <c r="R261" i="18"/>
  <c r="O261" i="18"/>
  <c r="T261" i="18"/>
  <c r="K79" i="11"/>
  <c r="K89" i="11"/>
  <c r="R328" i="18"/>
  <c r="T328" i="18"/>
  <c r="O328" i="18"/>
  <c r="T259" i="18"/>
  <c r="R259" i="18"/>
  <c r="O259" i="18"/>
  <c r="K146" i="11"/>
  <c r="K217" i="11"/>
  <c r="W221" i="18"/>
  <c r="U221" i="18"/>
  <c r="K226" i="3"/>
  <c r="W347" i="18"/>
  <c r="U347" i="18"/>
  <c r="U242" i="18"/>
  <c r="W242" i="18"/>
  <c r="W277" i="18"/>
  <c r="U277" i="18"/>
  <c r="K418" i="11"/>
  <c r="R348" i="18"/>
  <c r="T348" i="18"/>
  <c r="O348" i="18"/>
  <c r="K428" i="3"/>
  <c r="K221" i="11"/>
  <c r="W234" i="18"/>
  <c r="U234" i="18"/>
  <c r="R114" i="18"/>
  <c r="T114" i="18"/>
  <c r="O114" i="18"/>
  <c r="K403" i="3"/>
  <c r="K486" i="11"/>
  <c r="Z41" i="19"/>
  <c r="R315" i="18"/>
  <c r="O315" i="18"/>
  <c r="T315" i="18"/>
  <c r="K143" i="11"/>
  <c r="K249" i="3"/>
  <c r="K551" i="3"/>
  <c r="O210" i="18"/>
  <c r="R210" i="18"/>
  <c r="T210" i="18"/>
  <c r="K278" i="11"/>
  <c r="K339" i="3"/>
  <c r="W103" i="18"/>
  <c r="U103" i="18"/>
  <c r="W356" i="18"/>
  <c r="U356" i="18"/>
  <c r="K437" i="3"/>
  <c r="R172" i="18"/>
  <c r="O172" i="18"/>
  <c r="T172" i="18"/>
  <c r="K363" i="3"/>
  <c r="K401" i="11"/>
  <c r="K407" i="3"/>
  <c r="O364" i="18"/>
  <c r="T364" i="18"/>
  <c r="R364" i="18"/>
  <c r="K369" i="11"/>
  <c r="T143" i="18"/>
  <c r="O143" i="18"/>
  <c r="R143" i="18"/>
  <c r="O157" i="18"/>
  <c r="R157" i="18"/>
  <c r="T157" i="18"/>
  <c r="K33" i="3"/>
  <c r="W318" i="18"/>
  <c r="U318" i="18"/>
  <c r="Q46" i="19"/>
  <c r="O322" i="18"/>
  <c r="T322" i="18"/>
  <c r="R322" i="18"/>
  <c r="K400" i="11"/>
  <c r="K211" i="11"/>
  <c r="K453" i="11"/>
  <c r="K238" i="3"/>
  <c r="O363" i="18"/>
  <c r="R363" i="18"/>
  <c r="T363" i="18"/>
  <c r="T160" i="18"/>
  <c r="R160" i="18"/>
  <c r="O160" i="18"/>
  <c r="T119" i="18"/>
  <c r="O119" i="18"/>
  <c r="R119" i="18"/>
  <c r="K240" i="3"/>
  <c r="K532" i="3"/>
  <c r="O332" i="18"/>
  <c r="R332" i="18"/>
  <c r="T332" i="18"/>
  <c r="T369" i="18"/>
  <c r="O369" i="18"/>
  <c r="R369" i="18"/>
  <c r="K431" i="3"/>
  <c r="K383" i="3"/>
  <c r="U298" i="18"/>
  <c r="W298" i="18"/>
  <c r="U111" i="18"/>
  <c r="W111" i="18"/>
  <c r="O311" i="18"/>
  <c r="T311" i="18"/>
  <c r="R311" i="18"/>
  <c r="W183" i="18"/>
  <c r="U183" i="18"/>
  <c r="W204" i="18"/>
  <c r="U204" i="18"/>
  <c r="K94" i="3"/>
  <c r="K421" i="3"/>
  <c r="U260" i="18"/>
  <c r="W260" i="18"/>
  <c r="U120" i="18"/>
  <c r="W120" i="18"/>
  <c r="K181" i="11"/>
  <c r="K405" i="3"/>
  <c r="K220" i="3"/>
  <c r="K465" i="11"/>
  <c r="K187" i="11"/>
  <c r="U292" i="18"/>
  <c r="W292" i="18"/>
  <c r="O175" i="18"/>
  <c r="R175" i="18"/>
  <c r="T175" i="18"/>
  <c r="W206" i="18"/>
  <c r="U206" i="18"/>
  <c r="K62" i="11"/>
  <c r="W223" i="18"/>
  <c r="U223" i="18"/>
  <c r="R290" i="18"/>
  <c r="T290" i="18"/>
  <c r="O290" i="18"/>
  <c r="O174" i="18"/>
  <c r="R174" i="18"/>
  <c r="T174" i="18"/>
  <c r="K361" i="11"/>
  <c r="W109" i="18"/>
  <c r="U109" i="18"/>
  <c r="K474" i="3"/>
  <c r="O286" i="18"/>
  <c r="R286" i="18"/>
  <c r="T286" i="18"/>
  <c r="U146" i="18"/>
  <c r="W146" i="18"/>
  <c r="K397" i="11"/>
  <c r="K361" i="3"/>
  <c r="O180" i="18"/>
  <c r="R180" i="18"/>
  <c r="T180" i="18"/>
  <c r="U327" i="18"/>
  <c r="W327" i="18"/>
  <c r="T317" i="18"/>
  <c r="R317" i="18"/>
  <c r="O317" i="18"/>
  <c r="R90" i="18"/>
  <c r="O90" i="18"/>
  <c r="W244" i="18"/>
  <c r="U244" i="18"/>
  <c r="K517" i="3"/>
  <c r="K480" i="3"/>
  <c r="K74" i="11"/>
  <c r="K70" i="3"/>
  <c r="K101" i="11"/>
  <c r="AD1147" i="4"/>
  <c r="AI1147" i="4" s="1"/>
  <c r="AB1147" i="4"/>
  <c r="AC1147" i="4"/>
  <c r="AB1137" i="4"/>
  <c r="AC1137" i="4"/>
  <c r="AD1137" i="4"/>
  <c r="AI1137" i="4" s="1"/>
  <c r="K1142" i="4"/>
  <c r="U367" i="18"/>
  <c r="W303" i="18"/>
  <c r="U303" i="18"/>
  <c r="U267" i="18"/>
  <c r="W267" i="18"/>
  <c r="W231" i="18"/>
  <c r="U231" i="18"/>
  <c r="Z49" i="19"/>
  <c r="T228" i="18"/>
  <c r="O228" i="18"/>
  <c r="R228" i="18"/>
  <c r="R198" i="18"/>
  <c r="O198" i="18"/>
  <c r="T198" i="18"/>
  <c r="K360" i="3"/>
  <c r="K414" i="3"/>
  <c r="K525" i="3"/>
  <c r="K540" i="3"/>
  <c r="W133" i="18"/>
  <c r="U133" i="18"/>
  <c r="R349" i="18"/>
  <c r="T349" i="18"/>
  <c r="O349" i="18"/>
  <c r="K380" i="11"/>
  <c r="U311" i="18"/>
  <c r="W311" i="18"/>
  <c r="F20" i="12"/>
  <c r="W360" i="18"/>
  <c r="U360" i="18"/>
  <c r="K87" i="11"/>
  <c r="K31" i="3"/>
  <c r="D14" i="12"/>
  <c r="K444" i="3"/>
  <c r="O263" i="18"/>
  <c r="R263" i="18"/>
  <c r="T263" i="18"/>
  <c r="R142" i="18"/>
  <c r="O142" i="18"/>
  <c r="T142" i="18"/>
  <c r="O324" i="18"/>
  <c r="R324" i="18"/>
  <c r="T324" i="18"/>
  <c r="W290" i="18"/>
  <c r="U290" i="18"/>
  <c r="T161" i="18"/>
  <c r="O161" i="18"/>
  <c r="R161" i="18"/>
  <c r="K329" i="11"/>
  <c r="W201" i="18"/>
  <c r="U201" i="18"/>
  <c r="K357" i="11"/>
  <c r="K476" i="11"/>
  <c r="K150" i="11"/>
  <c r="K319" i="11"/>
  <c r="R316" i="18"/>
  <c r="O316" i="18"/>
  <c r="T316" i="18"/>
  <c r="R338" i="18"/>
  <c r="O338" i="18"/>
  <c r="T338" i="18"/>
  <c r="U102" i="18"/>
  <c r="W102" i="18"/>
  <c r="R368" i="18"/>
  <c r="T368" i="18"/>
  <c r="O368" i="18"/>
  <c r="T268" i="18"/>
  <c r="R268" i="18"/>
  <c r="O268" i="18"/>
  <c r="W305" i="18"/>
  <c r="U305" i="18"/>
  <c r="K217" i="3"/>
  <c r="O325" i="18"/>
  <c r="R325" i="18"/>
  <c r="T325" i="18"/>
  <c r="K277" i="11"/>
  <c r="K201" i="3"/>
  <c r="Q44" i="19"/>
  <c r="U123" i="18"/>
  <c r="W123" i="18"/>
  <c r="K75" i="11"/>
  <c r="K168" i="3"/>
  <c r="R232" i="18"/>
  <c r="T232" i="18"/>
  <c r="O232" i="18"/>
  <c r="K297" i="3"/>
  <c r="U92" i="18"/>
  <c r="W92" i="18"/>
  <c r="K156" i="3"/>
  <c r="K117" i="11"/>
  <c r="T303" i="18"/>
  <c r="R303" i="18"/>
  <c r="O303" i="18"/>
  <c r="T148" i="18"/>
  <c r="O148" i="18"/>
  <c r="R148" i="18"/>
  <c r="T343" i="18"/>
  <c r="R343" i="18"/>
  <c r="O343" i="18"/>
  <c r="K201" i="11"/>
  <c r="O353" i="18"/>
  <c r="T353" i="18"/>
  <c r="R353" i="18"/>
  <c r="K423" i="3"/>
  <c r="U326" i="18"/>
  <c r="W326" i="18"/>
  <c r="W256" i="18"/>
  <c r="U256" i="18"/>
  <c r="K472" i="3"/>
  <c r="R146" i="18"/>
  <c r="O146" i="18"/>
  <c r="T146" i="18"/>
  <c r="K425" i="11"/>
  <c r="K104" i="11"/>
  <c r="K275" i="11"/>
  <c r="K508" i="11"/>
  <c r="O302" i="18"/>
  <c r="T302" i="18"/>
  <c r="R302" i="18"/>
  <c r="K296" i="11"/>
  <c r="K70" i="11"/>
  <c r="K214" i="3"/>
  <c r="K438" i="3"/>
  <c r="K157" i="3"/>
  <c r="U324" i="18"/>
  <c r="W324" i="18"/>
  <c r="R92" i="18"/>
  <c r="O92" i="18"/>
  <c r="U198" i="18"/>
  <c r="W198" i="18"/>
  <c r="O292" i="18"/>
  <c r="T292" i="18"/>
  <c r="R292" i="18"/>
  <c r="K255" i="3"/>
  <c r="T200" i="18"/>
  <c r="O200" i="18"/>
  <c r="R200" i="18"/>
  <c r="K428" i="11"/>
  <c r="W338" i="18"/>
  <c r="U338" i="18"/>
  <c r="K77" i="11"/>
  <c r="W340" i="18"/>
  <c r="U340" i="18"/>
  <c r="K294" i="3"/>
  <c r="R339" i="18"/>
  <c r="T339" i="18"/>
  <c r="O339" i="18"/>
  <c r="R165" i="18"/>
  <c r="O165" i="18"/>
  <c r="T165" i="18"/>
  <c r="O288" i="18"/>
  <c r="T288" i="18"/>
  <c r="R288" i="18"/>
  <c r="K353" i="11"/>
  <c r="K366" i="3"/>
  <c r="O126" i="18"/>
  <c r="R126" i="18"/>
  <c r="T126" i="18"/>
  <c r="K144" i="3"/>
  <c r="K433" i="11"/>
  <c r="O149" i="18"/>
  <c r="T149" i="18"/>
  <c r="R149" i="18"/>
  <c r="K145" i="11"/>
  <c r="K418" i="3"/>
  <c r="W226" i="18"/>
  <c r="U226" i="18"/>
  <c r="K269" i="3"/>
  <c r="W330" i="18"/>
  <c r="U330" i="18"/>
  <c r="O89" i="18"/>
  <c r="R89" i="18"/>
  <c r="W86" i="18"/>
  <c r="U86" i="18"/>
  <c r="O334" i="18"/>
  <c r="R334" i="18"/>
  <c r="T334" i="18"/>
  <c r="O229" i="18"/>
  <c r="T229" i="18"/>
  <c r="R229" i="18"/>
  <c r="K335" i="11"/>
  <c r="K306" i="3"/>
  <c r="W225" i="18"/>
  <c r="U225" i="18"/>
  <c r="K209" i="3"/>
  <c r="U296" i="18"/>
  <c r="W296" i="18"/>
  <c r="K244" i="3"/>
  <c r="R359" i="18"/>
  <c r="T359" i="18"/>
  <c r="O359" i="18"/>
  <c r="U172" i="18"/>
  <c r="W172" i="18"/>
  <c r="T237" i="18"/>
  <c r="O237" i="18"/>
  <c r="R237" i="18"/>
  <c r="K304" i="3"/>
  <c r="K183" i="11"/>
  <c r="K42" i="3"/>
  <c r="T307" i="18"/>
  <c r="R307" i="18"/>
  <c r="O307" i="18"/>
  <c r="K74" i="3"/>
  <c r="T239" i="18"/>
  <c r="R239" i="18"/>
  <c r="O239" i="18"/>
  <c r="W238" i="18"/>
  <c r="U238" i="18"/>
  <c r="O342" i="18"/>
  <c r="T342" i="18"/>
  <c r="R342" i="18"/>
  <c r="K371" i="3"/>
  <c r="K317" i="3"/>
  <c r="W285" i="18"/>
  <c r="U285" i="18"/>
  <c r="K316" i="3"/>
  <c r="K91" i="3"/>
  <c r="K343" i="3"/>
  <c r="K382" i="3"/>
  <c r="K137" i="3"/>
  <c r="K177" i="11"/>
  <c r="K354" i="3"/>
  <c r="K131" i="3"/>
  <c r="W137" i="18"/>
  <c r="U137" i="18"/>
  <c r="K436" i="11"/>
  <c r="U186" i="18"/>
  <c r="W186" i="18"/>
  <c r="R233" i="18"/>
  <c r="O233" i="18"/>
  <c r="T233" i="18"/>
  <c r="U98" i="18"/>
  <c r="K347" i="11"/>
  <c r="O244" i="18"/>
  <c r="R244" i="18"/>
  <c r="T244" i="18"/>
  <c r="K440" i="11"/>
  <c r="K63" i="3"/>
  <c r="R86" i="18"/>
  <c r="O86" i="18"/>
  <c r="K1137" i="4"/>
  <c r="K37" i="11"/>
  <c r="U196" i="18"/>
  <c r="T80" i="18"/>
  <c r="A40" i="6"/>
  <c r="B40" i="6"/>
  <c r="H40" i="14"/>
  <c r="C40" i="6"/>
  <c r="H41" i="6"/>
  <c r="T109" i="18" l="1"/>
  <c r="T106" i="18"/>
  <c r="T105" i="18"/>
  <c r="T104" i="18"/>
  <c r="T102" i="18"/>
  <c r="T103" i="18"/>
  <c r="T100" i="18"/>
  <c r="T101" i="18"/>
  <c r="T96" i="18"/>
  <c r="T99" i="18"/>
  <c r="T92" i="18"/>
  <c r="T98" i="18"/>
  <c r="T93" i="18"/>
  <c r="T97" i="18"/>
  <c r="T95" i="18"/>
  <c r="T90" i="18"/>
  <c r="T91" i="18"/>
  <c r="T89" i="18"/>
  <c r="T88" i="18"/>
  <c r="T86" i="18"/>
  <c r="T87" i="18"/>
  <c r="T84" i="18"/>
  <c r="D12" i="13"/>
  <c r="E12" i="13" s="1"/>
  <c r="T83" i="18"/>
  <c r="D15" i="13"/>
  <c r="E15" i="13" s="1"/>
  <c r="T82" i="18"/>
  <c r="J11" i="10"/>
  <c r="H11" i="10"/>
  <c r="U49" i="19"/>
  <c r="X49" i="19" s="1"/>
  <c r="E7" i="17"/>
  <c r="F7" i="17" s="1"/>
  <c r="D26" i="17"/>
  <c r="E9" i="13"/>
  <c r="E26" i="17"/>
  <c r="F26" i="17"/>
  <c r="D21" i="13"/>
  <c r="N4" i="12"/>
  <c r="D23" i="13" s="1"/>
  <c r="E23" i="13" s="1"/>
  <c r="N11" i="10"/>
  <c r="E30" i="17"/>
  <c r="F30" i="17" s="1"/>
  <c r="G30" i="17" s="1"/>
  <c r="E18" i="13"/>
  <c r="L4" i="12"/>
  <c r="D26" i="13" s="1"/>
  <c r="E26" i="13" s="1"/>
  <c r="L11" i="10"/>
  <c r="D24" i="13"/>
  <c r="P21" i="12"/>
  <c r="P16" i="12"/>
  <c r="N19" i="12"/>
  <c r="P19" i="12"/>
  <c r="T81" i="18"/>
  <c r="U44" i="19"/>
  <c r="X44" i="19" s="1"/>
  <c r="R44" i="19"/>
  <c r="J14" i="12"/>
  <c r="H14" i="12"/>
  <c r="D10" i="13"/>
  <c r="J4" i="10"/>
  <c r="D13" i="13" s="1"/>
  <c r="H4" i="10"/>
  <c r="D16" i="13" s="1"/>
  <c r="E16" i="13" s="1"/>
  <c r="H19" i="12"/>
  <c r="J19" i="12"/>
  <c r="N17" i="12"/>
  <c r="R42" i="19"/>
  <c r="U42" i="19"/>
  <c r="X42" i="19" s="1"/>
  <c r="N13" i="12"/>
  <c r="L20" i="12"/>
  <c r="L16" i="12"/>
  <c r="L17" i="12"/>
  <c r="N16" i="12"/>
  <c r="J12" i="12"/>
  <c r="H12" i="12"/>
  <c r="N21" i="12"/>
  <c r="H20" i="12"/>
  <c r="J20" i="12"/>
  <c r="P20" i="12"/>
  <c r="R45" i="19"/>
  <c r="U45" i="19"/>
  <c r="X45" i="19" s="1"/>
  <c r="R40" i="19"/>
  <c r="U40" i="19"/>
  <c r="R48" i="19"/>
  <c r="U48" i="19"/>
  <c r="X48" i="19" s="1"/>
  <c r="J17" i="12"/>
  <c r="H17" i="12"/>
  <c r="R41" i="19"/>
  <c r="U41" i="19"/>
  <c r="X41" i="19" s="1"/>
  <c r="U46" i="19"/>
  <c r="X46" i="19" s="1"/>
  <c r="R46" i="19"/>
  <c r="L15" i="12"/>
  <c r="D11" i="13"/>
  <c r="J4" i="12"/>
  <c r="D14" i="13" s="1"/>
  <c r="H4" i="12"/>
  <c r="D17" i="13" s="1"/>
  <c r="E17" i="13" s="1"/>
  <c r="L4" i="10"/>
  <c r="D25" i="13" s="1"/>
  <c r="E25" i="13" s="1"/>
  <c r="L12" i="12"/>
  <c r="AA40" i="19"/>
  <c r="AA44" i="19"/>
  <c r="AA45" i="19"/>
  <c r="AA43" i="19"/>
  <c r="AA47" i="19"/>
  <c r="AA46" i="19"/>
  <c r="AA42" i="19"/>
  <c r="AA49" i="19"/>
  <c r="AA48" i="19"/>
  <c r="AA41" i="19"/>
  <c r="N20" i="12"/>
  <c r="P15" i="12"/>
  <c r="H13" i="12"/>
  <c r="J13" i="12"/>
  <c r="N12" i="12"/>
  <c r="N4" i="10"/>
  <c r="D22" i="13" s="1"/>
  <c r="E22" i="13" s="1"/>
  <c r="L21" i="12"/>
  <c r="H16" i="12"/>
  <c r="N15" i="12"/>
  <c r="L19" i="12"/>
  <c r="N14" i="12"/>
  <c r="L18" i="12"/>
  <c r="L13" i="12"/>
  <c r="J18" i="12"/>
  <c r="H18" i="12"/>
  <c r="L14" i="12"/>
  <c r="P18" i="12"/>
  <c r="R47" i="19"/>
  <c r="U47" i="19"/>
  <c r="X47" i="19" s="1"/>
  <c r="U43" i="19"/>
  <c r="X43" i="19" s="1"/>
  <c r="R43" i="19"/>
  <c r="P14" i="12"/>
  <c r="P17" i="12"/>
  <c r="N18" i="12"/>
  <c r="J15" i="12"/>
  <c r="H15" i="12"/>
  <c r="H21" i="12"/>
  <c r="C41" i="6"/>
  <c r="H42" i="6"/>
  <c r="A41" i="6"/>
  <c r="B41" i="6"/>
  <c r="P13" i="12" l="1"/>
  <c r="P4" i="12"/>
  <c r="D29" i="13" s="1"/>
  <c r="E29" i="13" s="1"/>
  <c r="P11" i="10"/>
  <c r="E24" i="13"/>
  <c r="E22" i="17"/>
  <c r="F22" i="17" s="1"/>
  <c r="G22" i="17" s="1"/>
  <c r="E21" i="17"/>
  <c r="F21" i="17" s="1"/>
  <c r="G21" i="17" s="1"/>
  <c r="E21" i="13"/>
  <c r="D27" i="13"/>
  <c r="E27" i="13" s="1"/>
  <c r="P4" i="10"/>
  <c r="D28" i="13" s="1"/>
  <c r="E28" i="13" s="1"/>
  <c r="P12" i="12"/>
  <c r="V47" i="19"/>
  <c r="X40" i="19"/>
  <c r="V45" i="19"/>
  <c r="V41" i="19"/>
  <c r="V42" i="19"/>
  <c r="V43" i="19"/>
  <c r="V48" i="19"/>
  <c r="E4" i="10"/>
  <c r="V49" i="19"/>
  <c r="C10" i="13"/>
  <c r="E10" i="13" s="1"/>
  <c r="V40" i="19"/>
  <c r="V46" i="19"/>
  <c r="V44" i="19"/>
  <c r="S43" i="19"/>
  <c r="C15" i="12" s="1"/>
  <c r="S40" i="19"/>
  <c r="S44" i="19"/>
  <c r="C16" i="12" s="1"/>
  <c r="S49" i="19"/>
  <c r="C21" i="12" s="1"/>
  <c r="S45" i="19"/>
  <c r="C17" i="12" s="1"/>
  <c r="S46" i="19"/>
  <c r="C18" i="12" s="1"/>
  <c r="S42" i="19"/>
  <c r="C14" i="12" s="1"/>
  <c r="S48" i="19"/>
  <c r="C20" i="12" s="1"/>
  <c r="C4" i="10"/>
  <c r="S47" i="19"/>
  <c r="C19" i="12" s="1"/>
  <c r="S41" i="19"/>
  <c r="C13" i="12" s="1"/>
  <c r="C19" i="13"/>
  <c r="E19" i="13" s="1"/>
  <c r="A42" i="6"/>
  <c r="H43" i="6"/>
  <c r="C42" i="6"/>
  <c r="B42" i="6"/>
  <c r="E23" i="17" l="1"/>
  <c r="F23" i="17" s="1"/>
  <c r="G23" i="17" s="1"/>
  <c r="E29" i="17" s="1"/>
  <c r="F29" i="17" s="1"/>
  <c r="G4" i="10"/>
  <c r="I4" i="10"/>
  <c r="C13" i="13" s="1"/>
  <c r="E13" i="13" s="1"/>
  <c r="E21" i="12"/>
  <c r="Y49" i="19"/>
  <c r="C4" i="12"/>
  <c r="C12" i="12"/>
  <c r="C20" i="13"/>
  <c r="E20" i="13" s="1"/>
  <c r="Y48" i="19"/>
  <c r="E20" i="12"/>
  <c r="E15" i="12"/>
  <c r="Y43" i="19"/>
  <c r="Y42" i="19"/>
  <c r="E14" i="12"/>
  <c r="Y46" i="19"/>
  <c r="E18" i="12"/>
  <c r="Y41" i="19"/>
  <c r="E13" i="12"/>
  <c r="E4" i="12"/>
  <c r="E12" i="12"/>
  <c r="C11" i="13"/>
  <c r="E11" i="13" s="1"/>
  <c r="Y40" i="19"/>
  <c r="Y45" i="19"/>
  <c r="E17" i="12"/>
  <c r="Y44" i="19"/>
  <c r="E16" i="12"/>
  <c r="Y47" i="19"/>
  <c r="E19" i="12"/>
  <c r="A43" i="6"/>
  <c r="H44" i="6"/>
  <c r="C43" i="6"/>
  <c r="B43" i="6"/>
  <c r="I18" i="12" l="1"/>
  <c r="G18" i="12"/>
  <c r="G14" i="12"/>
  <c r="I14" i="12"/>
  <c r="G17" i="12"/>
  <c r="I17" i="12"/>
  <c r="I21" i="12"/>
  <c r="G21" i="12"/>
  <c r="I4" i="12"/>
  <c r="C14" i="13" s="1"/>
  <c r="E14" i="13" s="1"/>
  <c r="G4" i="12"/>
  <c r="G15" i="12"/>
  <c r="I15" i="12"/>
  <c r="G19" i="12"/>
  <c r="I19" i="12"/>
  <c r="I12" i="12"/>
  <c r="G12" i="12"/>
  <c r="G16" i="12"/>
  <c r="I16" i="12"/>
  <c r="I13" i="12"/>
  <c r="G13" i="12"/>
  <c r="G20" i="12"/>
  <c r="I20" i="12"/>
  <c r="A44" i="6"/>
  <c r="H45" i="6"/>
  <c r="C44" i="6"/>
  <c r="B44" i="6"/>
  <c r="A45" i="6" l="1"/>
  <c r="H46" i="6"/>
  <c r="C45" i="6"/>
  <c r="B45" i="6"/>
  <c r="A46" i="6" l="1"/>
  <c r="H47" i="6"/>
  <c r="C46" i="6"/>
  <c r="B46" i="6"/>
  <c r="H48" i="6" l="1"/>
  <c r="A47" i="6"/>
  <c r="B47" i="6"/>
  <c r="C47" i="6"/>
  <c r="H49" i="6" l="1"/>
  <c r="A48" i="6"/>
  <c r="B48" i="6"/>
  <c r="C48" i="6"/>
  <c r="B49" i="6" l="1"/>
  <c r="A49" i="6"/>
  <c r="C49" i="6"/>
  <c r="H50" i="6"/>
  <c r="A50" i="6" l="1"/>
  <c r="H51" i="6"/>
  <c r="C50" i="6"/>
  <c r="B50" i="6"/>
  <c r="A51" i="6" l="1"/>
  <c r="H52" i="6"/>
  <c r="C51" i="6"/>
  <c r="B51" i="6"/>
  <c r="A52" i="6" l="1"/>
  <c r="H53" i="6"/>
  <c r="C52" i="6"/>
  <c r="B52" i="6"/>
  <c r="A53" i="6" l="1"/>
  <c r="B53" i="6"/>
  <c r="H54" i="6"/>
  <c r="C53" i="6"/>
  <c r="A54" i="6" l="1"/>
  <c r="B54" i="6"/>
  <c r="C54" i="6"/>
  <c r="H55" i="6"/>
  <c r="A55" i="6" l="1"/>
  <c r="H56" i="6"/>
  <c r="B55" i="6"/>
  <c r="C55" i="6"/>
  <c r="B56" i="6" l="1"/>
  <c r="H57" i="6"/>
  <c r="C56" i="6"/>
  <c r="A56" i="6"/>
  <c r="A57" i="6" l="1"/>
  <c r="C57" i="6"/>
  <c r="H58" i="6"/>
  <c r="B57" i="6"/>
  <c r="A58" i="6" l="1"/>
  <c r="H59" i="6"/>
  <c r="C58" i="6"/>
  <c r="B58" i="6"/>
  <c r="H60" i="6" l="1"/>
  <c r="A59" i="6"/>
  <c r="B59" i="6"/>
  <c r="C59" i="6"/>
  <c r="A60" i="6" l="1"/>
  <c r="C60" i="6"/>
  <c r="H61" i="6"/>
  <c r="H62" i="6" s="1"/>
  <c r="B60" i="6"/>
  <c r="A62" i="6" l="1"/>
  <c r="H63" i="6"/>
  <c r="B62" i="6"/>
  <c r="C62" i="6"/>
  <c r="A61" i="6"/>
  <c r="B61" i="6"/>
  <c r="C61" i="6"/>
  <c r="A63" i="6" l="1"/>
  <c r="H64" i="6"/>
  <c r="C63" i="6"/>
  <c r="B63" i="6"/>
  <c r="C64" i="6" l="1"/>
  <c r="B64" i="6"/>
  <c r="H65" i="6"/>
  <c r="A64" i="6"/>
  <c r="B65" i="6" l="1"/>
  <c r="C65" i="6"/>
  <c r="H66" i="6"/>
  <c r="A65" i="6"/>
  <c r="A66" i="6" l="1"/>
  <c r="H67" i="6"/>
  <c r="B66" i="6"/>
  <c r="C66" i="6"/>
  <c r="A67" i="6" l="1"/>
  <c r="H68" i="6"/>
  <c r="H69" i="6" s="1"/>
  <c r="H70" i="6" s="1"/>
  <c r="C67" i="6"/>
  <c r="B67" i="6"/>
  <c r="H71" i="6" l="1"/>
  <c r="A70" i="6"/>
  <c r="B70" i="6"/>
  <c r="C70" i="6"/>
  <c r="A69" i="6"/>
  <c r="B69" i="6"/>
  <c r="C69" i="6"/>
  <c r="A68" i="6"/>
  <c r="B68" i="6"/>
  <c r="C68" i="6"/>
  <c r="A71" i="6" l="1"/>
  <c r="B71" i="6"/>
  <c r="H72" i="6"/>
  <c r="C71" i="6"/>
  <c r="A72" i="6" l="1"/>
  <c r="H73" i="6"/>
  <c r="C72" i="6"/>
  <c r="B72" i="6"/>
  <c r="B73" i="6" l="1"/>
  <c r="H74" i="6"/>
  <c r="A73" i="6"/>
  <c r="C73" i="6"/>
  <c r="A74" i="6" l="1"/>
  <c r="C74" i="6"/>
  <c r="H75" i="6"/>
  <c r="B74" i="6"/>
  <c r="A75" i="6" l="1"/>
  <c r="H76" i="6"/>
  <c r="C75" i="6"/>
  <c r="B75" i="6"/>
  <c r="A76" i="6" l="1"/>
  <c r="H77" i="6"/>
  <c r="C76" i="6"/>
  <c r="B76" i="6"/>
  <c r="A77" i="6" l="1"/>
  <c r="H78" i="6"/>
  <c r="C77" i="6"/>
  <c r="B77" i="6"/>
  <c r="A78" i="6" l="1"/>
  <c r="H79" i="6"/>
  <c r="B78" i="6"/>
  <c r="C78" i="6"/>
  <c r="A79" i="6" l="1"/>
  <c r="H80" i="6"/>
  <c r="C79" i="6"/>
  <c r="B79" i="6"/>
  <c r="A80" i="6" l="1"/>
  <c r="C80" i="6"/>
  <c r="H81" i="6"/>
  <c r="B80" i="6"/>
  <c r="A81" i="6" l="1"/>
  <c r="H82" i="6"/>
  <c r="C81" i="6"/>
  <c r="B81" i="6"/>
  <c r="A82" i="6" l="1"/>
  <c r="H83" i="6"/>
  <c r="C82" i="6"/>
  <c r="B82" i="6"/>
  <c r="A83" i="6" l="1"/>
  <c r="H84" i="6"/>
  <c r="C83" i="6"/>
  <c r="B83" i="6"/>
  <c r="A84" i="6" l="1"/>
  <c r="H85" i="6"/>
  <c r="B84" i="6"/>
  <c r="C84" i="6"/>
  <c r="A85" i="6" l="1"/>
  <c r="C85" i="6"/>
  <c r="H86" i="6"/>
  <c r="B85" i="6"/>
  <c r="B86" i="6" l="1"/>
  <c r="H87" i="6"/>
  <c r="A86" i="6"/>
  <c r="C86" i="6"/>
  <c r="H88" i="6" l="1"/>
  <c r="C87" i="6"/>
  <c r="A87" i="6"/>
  <c r="B87" i="6"/>
  <c r="A88" i="6" l="1"/>
  <c r="H89" i="6"/>
  <c r="C88" i="6"/>
  <c r="B88" i="6"/>
  <c r="A89" i="6" l="1"/>
  <c r="H90" i="6"/>
  <c r="H91" i="6" s="1"/>
  <c r="C89" i="6"/>
  <c r="B89" i="6"/>
  <c r="A91" i="6" l="1"/>
  <c r="H92" i="6"/>
  <c r="C91" i="6"/>
  <c r="B91" i="6"/>
  <c r="A90" i="6"/>
  <c r="B90" i="6"/>
  <c r="C90" i="6"/>
  <c r="C92" i="6" l="1"/>
  <c r="B92" i="6"/>
  <c r="H93" i="6"/>
  <c r="A92" i="6"/>
  <c r="A93" i="6" l="1"/>
  <c r="C93" i="6"/>
  <c r="H94" i="6"/>
  <c r="B93" i="6"/>
  <c r="A94" i="6" l="1"/>
  <c r="H95" i="6"/>
  <c r="C94" i="6"/>
  <c r="B94" i="6"/>
  <c r="H96" i="6" l="1"/>
  <c r="A95" i="6"/>
  <c r="B95" i="6"/>
  <c r="C95" i="6"/>
  <c r="C96" i="6" l="1"/>
  <c r="H97" i="6"/>
  <c r="B96" i="6"/>
  <c r="A96" i="6"/>
  <c r="B97" i="6" l="1"/>
  <c r="C97" i="6"/>
  <c r="H98" i="6"/>
  <c r="A97" i="6"/>
  <c r="B98" i="6" l="1"/>
  <c r="C98" i="6"/>
  <c r="A98" i="6"/>
  <c r="H99" i="6"/>
  <c r="A99" i="6" l="1"/>
  <c r="H100" i="6"/>
  <c r="C99" i="6"/>
  <c r="B99" i="6"/>
  <c r="A100" i="6" l="1"/>
  <c r="C100" i="6"/>
  <c r="H101" i="6"/>
  <c r="B100" i="6"/>
  <c r="A101" i="6" l="1"/>
  <c r="H102" i="6"/>
  <c r="C101" i="6"/>
  <c r="B101" i="6"/>
  <c r="A102" i="6" l="1"/>
  <c r="H103" i="6"/>
  <c r="C102" i="6"/>
  <c r="B102" i="6"/>
  <c r="A103" i="6" l="1"/>
  <c r="H104" i="6"/>
  <c r="C103" i="6"/>
  <c r="B103" i="6"/>
  <c r="A104" i="6" l="1"/>
  <c r="H105" i="6"/>
  <c r="C104" i="6"/>
  <c r="B104" i="6"/>
  <c r="A105" i="6" l="1"/>
  <c r="H106" i="6"/>
  <c r="C105" i="6"/>
  <c r="B105" i="6"/>
  <c r="H107" i="6" l="1"/>
  <c r="H108" i="6" s="1"/>
  <c r="A106" i="6"/>
  <c r="C106" i="6"/>
  <c r="B106" i="6"/>
  <c r="A108" i="6" l="1"/>
  <c r="H109" i="6"/>
  <c r="C108" i="6"/>
  <c r="B108" i="6"/>
  <c r="A107" i="6"/>
  <c r="B107" i="6"/>
  <c r="C107" i="6"/>
  <c r="A109" i="6" l="1"/>
  <c r="H110" i="6"/>
  <c r="C109" i="6"/>
  <c r="B109" i="6"/>
  <c r="A110" i="6" l="1"/>
  <c r="C110" i="6"/>
  <c r="H111" i="6"/>
  <c r="H112" i="6" s="1"/>
  <c r="B110" i="6"/>
  <c r="A112" i="6" l="1"/>
  <c r="B112" i="6"/>
  <c r="C112" i="6"/>
  <c r="A111" i="6"/>
  <c r="B111" i="6"/>
  <c r="C111" i="6"/>
</calcChain>
</file>

<file path=xl/sharedStrings.xml><?xml version="1.0" encoding="utf-8"?>
<sst xmlns="http://schemas.openxmlformats.org/spreadsheetml/2006/main" count="20074" uniqueCount="527">
  <si>
    <t xml:space="preserve">Month </t>
  </si>
  <si>
    <t xml:space="preserve">Date </t>
  </si>
  <si>
    <t>Operation Year</t>
  </si>
  <si>
    <t>Year Start Date</t>
  </si>
  <si>
    <t>Year End Date</t>
  </si>
  <si>
    <t>Sr. No.</t>
  </si>
  <si>
    <t>Particular</t>
  </si>
  <si>
    <t>Target</t>
  </si>
  <si>
    <t>Measured</t>
  </si>
  <si>
    <t>Deviation</t>
  </si>
  <si>
    <t>Remarks</t>
  </si>
  <si>
    <t>E_Grid Daily (MWh)</t>
  </si>
  <si>
    <t>E_Grid MTD(MWh)</t>
  </si>
  <si>
    <t>E_Grid YTD (MWh)</t>
  </si>
  <si>
    <t>CUF Daily(%)</t>
  </si>
  <si>
    <t>CUF MTD(%)</t>
  </si>
  <si>
    <t>CUF YTD(%)</t>
  </si>
  <si>
    <t>PR_Daily (%)</t>
  </si>
  <si>
    <t>PR_MTD (%)</t>
  </si>
  <si>
    <t>PR_YTD (%)</t>
  </si>
  <si>
    <t>POA Daily (KWh/m2)</t>
  </si>
  <si>
    <t>POA MTD(KWh/m2)</t>
  </si>
  <si>
    <t>POA YTD(KWh/m2)</t>
  </si>
  <si>
    <t xml:space="preserve">PA Daily </t>
  </si>
  <si>
    <t>PA MTD</t>
  </si>
  <si>
    <t>PA YTD</t>
  </si>
  <si>
    <t xml:space="preserve">GA Daily </t>
  </si>
  <si>
    <t>GA MTD</t>
  </si>
  <si>
    <t>GA YTD</t>
  </si>
  <si>
    <t xml:space="preserve">TA Daily </t>
  </si>
  <si>
    <t>TA MTD</t>
  </si>
  <si>
    <t>TA YTD</t>
  </si>
  <si>
    <t>Daily</t>
  </si>
  <si>
    <t>Tagname</t>
  </si>
  <si>
    <t>Date</t>
  </si>
  <si>
    <t>Actual</t>
  </si>
  <si>
    <t>Difference</t>
  </si>
  <si>
    <t>E Grid Target</t>
  </si>
  <si>
    <t>Shadding</t>
  </si>
  <si>
    <t>Soiling</t>
  </si>
  <si>
    <t>IAM</t>
  </si>
  <si>
    <t>Bifacial Gain</t>
  </si>
  <si>
    <t>Temperature</t>
  </si>
  <si>
    <t>Mismatch</t>
  </si>
  <si>
    <t>DC Ohmic</t>
  </si>
  <si>
    <t>AC Ohmic</t>
  </si>
  <si>
    <t>Inverter Conversion</t>
  </si>
  <si>
    <t>MPPT Mismatch</t>
  </si>
  <si>
    <t>Clipping Loss</t>
  </si>
  <si>
    <t>Curtailment Order</t>
  </si>
  <si>
    <t>Reactive Power</t>
  </si>
  <si>
    <t>Plant Uptime</t>
  </si>
  <si>
    <t>Grid Uptime</t>
  </si>
  <si>
    <t>Tracker Uptime</t>
  </si>
  <si>
    <t>Tracker Gain</t>
  </si>
  <si>
    <t>Dc Unbalanced Load</t>
  </si>
  <si>
    <t>Repowering Delay</t>
  </si>
  <si>
    <t>Capacity Shortfall</t>
  </si>
  <si>
    <t>PR</t>
  </si>
  <si>
    <t>POA</t>
  </si>
  <si>
    <t>Till Date</t>
  </si>
  <si>
    <t>ES Solar Private Limited Performance Summary-YTD</t>
  </si>
  <si>
    <t>Year</t>
  </si>
  <si>
    <t>Days</t>
  </si>
  <si>
    <t>Estimated POA(KWh/m2)</t>
  </si>
  <si>
    <t>Measured POA (KWh/m2)</t>
  </si>
  <si>
    <t>Budgeted Energy (MWh)</t>
  </si>
  <si>
    <t>Measured Energy (MWh)</t>
  </si>
  <si>
    <t>Targt PR (%)</t>
  </si>
  <si>
    <t>Measured PR(%)</t>
  </si>
  <si>
    <t>Target DC CUF (%)</t>
  </si>
  <si>
    <t>Measured DC CUF (%)</t>
  </si>
  <si>
    <t>Target GA (%)</t>
  </si>
  <si>
    <t>Measured GA (%)</t>
  </si>
  <si>
    <t>Target PA (%)</t>
  </si>
  <si>
    <t>Measured PA (%)</t>
  </si>
  <si>
    <t>Target TA (%)</t>
  </si>
  <si>
    <t>Measured TA (%)</t>
  </si>
  <si>
    <t>ES Solar Private Limited Performance Summary-Monthwise</t>
  </si>
  <si>
    <t>ES Solar Private Limited Performance Summary</t>
  </si>
  <si>
    <t>Start Date</t>
  </si>
  <si>
    <t>End Date</t>
  </si>
  <si>
    <t>Financial Year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</si>
  <si>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</si>
  <si>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</si>
  <si>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</si>
  <si>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</si>
  <si>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</si>
  <si>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</si>
  <si>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</si>
  <si>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</si>
  <si>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</si>
  <si>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</si>
  <si>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</si>
  <si>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</si>
  <si>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</si>
  <si>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</si>
  <si>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</si>
  <si>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</si>
  <si>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</si>
  <si>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</si>
  <si>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</si>
  <si>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</si>
  <si>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</si>
  <si>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</si>
  <si>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</si>
  <si>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</si>
  <si>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</si>
  <si>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</si>
  <si>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</si>
  <si>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</si>
  <si>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</si>
  <si>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</si>
  <si>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</si>
  <si>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Expected Energy</t>
  </si>
  <si>
    <t>Actual Energy WPR</t>
  </si>
  <si>
    <t>RA (%)</t>
  </si>
  <si>
    <t>Mod Clean Dry (Num)</t>
  </si>
  <si>
    <t>Mod Clean Wet (Num)</t>
  </si>
  <si>
    <t>Line Loss(%)</t>
  </si>
  <si>
    <t>Reactive Power (%)</t>
  </si>
  <si>
    <t>Bugt Line loss (%) (Wind)</t>
  </si>
  <si>
    <t>Bugt Reactive Power (%) (Wind)</t>
  </si>
  <si>
    <t>Bugt Capacity</t>
  </si>
  <si>
    <t>CC*Bugt</t>
  </si>
  <si>
    <t>Finacial Year</t>
  </si>
  <si>
    <t>Calendor Year</t>
  </si>
  <si>
    <t>Contrcatual Year</t>
  </si>
  <si>
    <t>Operating Year</t>
  </si>
  <si>
    <t>Plant DC Capcity (MW)</t>
  </si>
  <si>
    <t>Sunrise Time (POA&gt;20 W/m2)</t>
  </si>
  <si>
    <t>Sunset Time (POA&lt;20 W/m2)</t>
  </si>
  <si>
    <t>IC1_Inv1</t>
  </si>
  <si>
    <t>IC1_Inv2</t>
  </si>
  <si>
    <t>IC1_Inv3</t>
  </si>
  <si>
    <t>IC1_Inv4</t>
  </si>
  <si>
    <t>IC2_Inv1</t>
  </si>
  <si>
    <t>IC2_Inv2</t>
  </si>
  <si>
    <t>33 kV Outgoinng Export Reading</t>
  </si>
  <si>
    <t>33 kV Outgoinng Import Reading</t>
  </si>
  <si>
    <t>GHI(Wh/m2)</t>
  </si>
  <si>
    <t>POA1(Wh/m2)</t>
  </si>
  <si>
    <t>POA2(Wh/m2)</t>
  </si>
  <si>
    <t>Avg. POA Lost (W/m2)</t>
  </si>
  <si>
    <t>Avg. Ambient Temp (POA&gt;20W/m2)</t>
  </si>
  <si>
    <t>Avg. Module Temp (POA&gt;20W/m2)</t>
  </si>
  <si>
    <t>Avg. Wind Speed (m/s)</t>
  </si>
  <si>
    <t>Max. Wind Speed (m/s)</t>
  </si>
  <si>
    <t>Rain Fall (mm)</t>
  </si>
  <si>
    <t>Inverters Generation ( kWh)</t>
  </si>
  <si>
    <t>Export  (kWh)</t>
  </si>
  <si>
    <t>Import (kWh)</t>
  </si>
  <si>
    <t>Net Export (kWh)</t>
  </si>
  <si>
    <t>Avg. POA without Exclusion (W/m2)2</t>
  </si>
  <si>
    <t>Net Avg. POA with Exclusion (W/m2)</t>
  </si>
  <si>
    <t>Year_2</t>
  </si>
  <si>
    <t>FY2024-25</t>
  </si>
  <si>
    <t>Month Name</t>
  </si>
  <si>
    <t>Month Number</t>
  </si>
  <si>
    <t>Month</t>
  </si>
  <si>
    <t>CY</t>
  </si>
  <si>
    <t>FY</t>
  </si>
  <si>
    <t>No. of Days in Month</t>
  </si>
  <si>
    <t>GHI</t>
  </si>
  <si>
    <t>WS</t>
  </si>
  <si>
    <t>Tamb</t>
  </si>
  <si>
    <t>Tmod</t>
  </si>
  <si>
    <t>Egrid (MWh)</t>
  </si>
  <si>
    <t>Bugt_Capacity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</si>
  <si>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</si>
  <si>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</si>
  <si>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</si>
  <si>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</si>
  <si>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</si>
  <si>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</si>
  <si>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</si>
  <si>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</si>
  <si>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</si>
  <si>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</si>
  <si>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</si>
  <si>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</si>
  <si>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</si>
  <si>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</si>
  <si>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</si>
  <si>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</si>
  <si>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</si>
  <si>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</si>
  <si>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</si>
  <si>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</si>
  <si>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</si>
  <si>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</si>
  <si>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</si>
  <si>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 xml:space="preserve"> Capacity</t>
  </si>
  <si>
    <t>April</t>
  </si>
  <si>
    <t>FY23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</si>
  <si>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</si>
  <si>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</si>
  <si>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</si>
  <si>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</si>
  <si>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</si>
  <si>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</si>
  <si>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</si>
  <si>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</si>
  <si>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</si>
  <si>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</si>
  <si>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</si>
  <si>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FY24</t>
  </si>
  <si>
    <t>FY25</t>
  </si>
  <si>
    <t>FY26</t>
  </si>
  <si>
    <t>Start Month</t>
  </si>
  <si>
    <t>Avg. SY</t>
  </si>
  <si>
    <t>Max. SY</t>
  </si>
  <si>
    <t>IC1_Inv1 WRT Avg.</t>
  </si>
  <si>
    <t>IC1_Inv2 wrt Avg.</t>
  </si>
  <si>
    <t>IC1_Inv3 wrt Avg.</t>
  </si>
  <si>
    <t>IC1_Inv4 wrt Avg.</t>
  </si>
  <si>
    <t>IC2_Inv1 wrt Avg.</t>
  </si>
  <si>
    <t>IC2_Inv2 wrt Avg.</t>
  </si>
  <si>
    <t>IC1_Inv1 wrt Max.</t>
  </si>
  <si>
    <t>IC1_Inv2 wrt Max.</t>
  </si>
  <si>
    <t>IC1_Inv3 wrt Max.</t>
  </si>
  <si>
    <t>IC1_Inv4 wrt Max.</t>
  </si>
  <si>
    <t>IC2_Inv1 wrt Max.</t>
  </si>
  <si>
    <t>IC2_Inv2 wrt Max.</t>
  </si>
  <si>
    <t>Year_3</t>
  </si>
  <si>
    <t>Total Generation Time</t>
  </si>
  <si>
    <t>Affceted Equipment</t>
  </si>
  <si>
    <t>DC Capacity Affceted (kW)</t>
  </si>
  <si>
    <t>Plant Equivalent Weightage</t>
  </si>
  <si>
    <t>Affected Equipmenet Location</t>
  </si>
  <si>
    <t>Fault Catrgory</t>
  </si>
  <si>
    <t>Fault Code (As per HMI)</t>
  </si>
  <si>
    <t>Breakdown Description</t>
  </si>
  <si>
    <t>Fault Time</t>
  </si>
  <si>
    <t xml:space="preserve">Acknowledgemnet Time </t>
  </si>
  <si>
    <t>Work Start time on Fault</t>
  </si>
  <si>
    <t>Work Completiuon time on fualt</t>
  </si>
  <si>
    <t xml:space="preserve">Acknowdlegemnet time </t>
  </si>
  <si>
    <t>Response Time</t>
  </si>
  <si>
    <t>Resolution Time</t>
  </si>
  <si>
    <t>Breakdown Time</t>
  </si>
  <si>
    <t>Action taken</t>
  </si>
  <si>
    <t>Status</t>
  </si>
  <si>
    <t>Plant Equivalent breakdown</t>
  </si>
  <si>
    <t>Lost PoA(Wh/m2)</t>
  </si>
  <si>
    <t>Approxuimate Energy Loss (KWh)</t>
  </si>
  <si>
    <t>PTW No.</t>
  </si>
  <si>
    <t>Job Card No.</t>
  </si>
  <si>
    <t>Inverter</t>
  </si>
  <si>
    <t>Close</t>
  </si>
  <si>
    <t>ICOG1_IC1</t>
  </si>
  <si>
    <t>IC MV Panel</t>
  </si>
  <si>
    <t>Y-Connector</t>
  </si>
  <si>
    <t>String Cable</t>
  </si>
  <si>
    <t xml:space="preserve">String Fuse </t>
  </si>
  <si>
    <t>MC4 Connector</t>
  </si>
  <si>
    <t>Open</t>
  </si>
  <si>
    <t>IC2_Inv1_CB1</t>
  </si>
  <si>
    <t>NA</t>
  </si>
  <si>
    <t>IC2_Inv1_CB2</t>
  </si>
  <si>
    <t>IC2_Inv1_CB3</t>
  </si>
  <si>
    <t xml:space="preserve">Pu communication </t>
  </si>
  <si>
    <t>IC1_Inv2_CB4</t>
  </si>
  <si>
    <t>String_Type2(42*315)</t>
  </si>
  <si>
    <t>replaced 40A fuse</t>
  </si>
  <si>
    <t>SCB</t>
  </si>
  <si>
    <t>IC2_Inv1_CB4</t>
  </si>
  <si>
    <t>IC2_Inv1_CB7</t>
  </si>
  <si>
    <t>IC2_Inv2_CB2</t>
  </si>
  <si>
    <t>IC2_Inv2_CB7</t>
  </si>
  <si>
    <t>IC1_Inv2_CB10</t>
  </si>
  <si>
    <t>IC1_Inv4_CB7</t>
  </si>
  <si>
    <t>IC2_Inv2_CB1</t>
  </si>
  <si>
    <t>IC1_Inv1_CB2</t>
  </si>
  <si>
    <t>IC1_Inv1_CB3</t>
  </si>
  <si>
    <t>IC1_Inv1_CB1</t>
  </si>
  <si>
    <t>Outgoing1</t>
  </si>
  <si>
    <t>Grid System</t>
  </si>
  <si>
    <t>Contractual Year</t>
  </si>
  <si>
    <t>Affected Equipment</t>
  </si>
  <si>
    <t xml:space="preserve">Angle of affected equipment </t>
  </si>
  <si>
    <t>Inv Number</t>
  </si>
  <si>
    <t>Gateway Number</t>
  </si>
  <si>
    <t>Grid Number</t>
  </si>
  <si>
    <t>MSAT Number</t>
  </si>
  <si>
    <t>Table Number</t>
  </si>
  <si>
    <t>Fault Category</t>
  </si>
  <si>
    <t xml:space="preserve">Fault Acknowledgement Time </t>
  </si>
  <si>
    <t>Work Completion time on fault</t>
  </si>
  <si>
    <t>Acknowledgement time</t>
  </si>
  <si>
    <t>Avg. Target Angle during Fault Time (Radians)</t>
  </si>
  <si>
    <t>Approximate Energy Loss Factor (%)</t>
  </si>
  <si>
    <t>Old equipment Serial Number</t>
  </si>
  <si>
    <t>New Equipment Serial Number</t>
  </si>
  <si>
    <t>Actuator Type1(1*63)</t>
  </si>
  <si>
    <t>Actuator</t>
  </si>
  <si>
    <t>MSAT_Type1 (5*63)</t>
  </si>
  <si>
    <t xml:space="preserve">MSAT100_PCB </t>
  </si>
  <si>
    <t>Actuator Movemnet Blocked</t>
  </si>
  <si>
    <t xml:space="preserve">MSAT200_PCB </t>
  </si>
  <si>
    <t>No Communication</t>
  </si>
  <si>
    <t>PCB Failure</t>
  </si>
  <si>
    <t>MSAT_Type3(3*63)</t>
  </si>
  <si>
    <t>Tilt Sensor_Type1(1*63)</t>
  </si>
  <si>
    <t>Tilt Sensor</t>
  </si>
  <si>
    <t>Actuator Type2(1*42)</t>
  </si>
  <si>
    <t>MSAT_Type2(4*63)</t>
  </si>
  <si>
    <t>Tilt Sensor_Type2(1*42)</t>
  </si>
  <si>
    <t>Charge Controller</t>
  </si>
  <si>
    <t>required modbus cable</t>
  </si>
  <si>
    <t>CCU_Type6(3*42)</t>
  </si>
  <si>
    <t>MSAT_Type6(3*42)</t>
  </si>
  <si>
    <t>MSAT_Type4(5*42)</t>
  </si>
  <si>
    <t>replaced with repaired one</t>
  </si>
  <si>
    <t>ccu failure</t>
  </si>
  <si>
    <t>G-7</t>
  </si>
  <si>
    <t>G-1</t>
  </si>
  <si>
    <t>G-2</t>
  </si>
  <si>
    <t>G-5</t>
  </si>
  <si>
    <t>G-8</t>
  </si>
  <si>
    <t>G-3</t>
  </si>
  <si>
    <t>G-4</t>
  </si>
  <si>
    <t>MSAT_Type5(4*42)</t>
  </si>
  <si>
    <t>G-03</t>
  </si>
  <si>
    <t>CCU_Type4(5*42)</t>
  </si>
  <si>
    <t>CCU_Type3(3*63)</t>
  </si>
  <si>
    <t>Modbus cable issue_5meters</t>
  </si>
  <si>
    <t>CCU_Type1(5*63)</t>
  </si>
  <si>
    <t>Manual tracking</t>
  </si>
  <si>
    <t>G-05</t>
  </si>
  <si>
    <t>G-01</t>
  </si>
  <si>
    <t>Fault Catergory</t>
  </si>
  <si>
    <t>Lost POA (Wh/m2)</t>
  </si>
  <si>
    <t>Column1</t>
  </si>
  <si>
    <t>Grid CB</t>
  </si>
  <si>
    <t>Plant</t>
  </si>
  <si>
    <t>Main supply failure</t>
  </si>
  <si>
    <t>33kv section officer</t>
  </si>
  <si>
    <t>main supply failure</t>
  </si>
  <si>
    <t>OCR/EFR OPERATED at 110kv kamtana</t>
  </si>
  <si>
    <t>LC TAKEN BY KAMtana AEE for 33kv kamtana line fault</t>
  </si>
  <si>
    <t>LC taken at 33kv Manhalli JEE for 11kv line( under 33kv) fault clearance purpose</t>
  </si>
  <si>
    <t>manually tripped for gss internal work</t>
  </si>
  <si>
    <t>Cycle Number</t>
  </si>
  <si>
    <t>Resources</t>
  </si>
  <si>
    <t>IC1_Inv1_MC</t>
  </si>
  <si>
    <t>IC1_Inv2_MC</t>
  </si>
  <si>
    <t>IC1_Inv3_MC</t>
  </si>
  <si>
    <t>IC1_Inv4_MC</t>
  </si>
  <si>
    <t>IC2_Inv1_MC</t>
  </si>
  <si>
    <t>IC2_Inv2_MC</t>
  </si>
  <si>
    <t>Total Module cleaned</t>
  </si>
  <si>
    <t>Morning Start Time</t>
  </si>
  <si>
    <t>Morning End Time</t>
  </si>
  <si>
    <t>Evening Start Time</t>
  </si>
  <si>
    <t>Evening End time</t>
  </si>
  <si>
    <t>Brush/MOP Replcemnet</t>
  </si>
  <si>
    <t>Water Test Report</t>
  </si>
  <si>
    <t>Remarks for the day</t>
  </si>
  <si>
    <t>Column2</t>
  </si>
  <si>
    <t>MCS</t>
  </si>
  <si>
    <t>IC1_Inv1_GC</t>
  </si>
  <si>
    <t>IC1_Inv2_GC</t>
  </si>
  <si>
    <t>IC1_Inv3_GC</t>
  </si>
  <si>
    <t>IC1_Inv4_GC</t>
  </si>
  <si>
    <t>IC2_Inv1_GC</t>
  </si>
  <si>
    <t>IC2_Inv2_GC</t>
  </si>
  <si>
    <t>Total Number of Table cut</t>
  </si>
  <si>
    <t>Item Consumed</t>
  </si>
  <si>
    <t>Qty Consumed</t>
  </si>
  <si>
    <t>Place of Consumption</t>
  </si>
  <si>
    <t>Ownership of Spare/Consumable</t>
  </si>
  <si>
    <t>O2</t>
  </si>
  <si>
    <t>Replaced with with spare</t>
  </si>
  <si>
    <t>Replaced with with spare pcb</t>
  </si>
  <si>
    <t>Equipment</t>
  </si>
  <si>
    <t>Affected DC Capacity</t>
  </si>
  <si>
    <t>Fault Category Plant BD sheet</t>
  </si>
  <si>
    <t>Fault Category Tracker BD sheet</t>
  </si>
  <si>
    <t>Tracker Equipment</t>
  </si>
  <si>
    <t>Weightage of BD</t>
  </si>
  <si>
    <t>Module</t>
  </si>
  <si>
    <t>SCB Cable</t>
  </si>
  <si>
    <t>Battery</t>
  </si>
  <si>
    <t xml:space="preserve">SCB Fuse </t>
  </si>
  <si>
    <t>RTC</t>
  </si>
  <si>
    <t>InverterAC Cable</t>
  </si>
  <si>
    <t>Gateway</t>
  </si>
  <si>
    <t>IDT</t>
  </si>
  <si>
    <t>MMS</t>
  </si>
  <si>
    <t>Baatery_Type1(5*63)</t>
  </si>
  <si>
    <t>IC1_Inv1_CB4</t>
  </si>
  <si>
    <t>IDT MV Cable</t>
  </si>
  <si>
    <t>Baatery_Type2(4*63)</t>
  </si>
  <si>
    <t>IC1_Inv1_CB5</t>
  </si>
  <si>
    <t>Baatery_Type3(3*63)</t>
  </si>
  <si>
    <t>IC1_Inv1_CB6</t>
  </si>
  <si>
    <t>Incomer MV Cable</t>
  </si>
  <si>
    <t>Baatery_Type4(5*42)</t>
  </si>
  <si>
    <t>IC1_Inv1_CB7</t>
  </si>
  <si>
    <t>Incomer MV Panel</t>
  </si>
  <si>
    <t>Baatery_Type5(4*42)</t>
  </si>
  <si>
    <t>IC1_Inv1_CB8</t>
  </si>
  <si>
    <t>Metering System Plant</t>
  </si>
  <si>
    <t>Baatery_Type6(3*42)</t>
  </si>
  <si>
    <t>IC1_Inv1_CB9</t>
  </si>
  <si>
    <t>IC1_Inv1_CB10</t>
  </si>
  <si>
    <t>Metering System Grid</t>
  </si>
  <si>
    <t>CCU_Type2(4*63)</t>
  </si>
  <si>
    <t>IC1_Inv2_CB11</t>
  </si>
  <si>
    <t>WMS</t>
  </si>
  <si>
    <t>IC1_Inv2_CB1</t>
  </si>
  <si>
    <t>IC1_Inv2_CB2</t>
  </si>
  <si>
    <t>Battery Charger_MCR</t>
  </si>
  <si>
    <t>CCU_Type5(4*42)</t>
  </si>
  <si>
    <t>IC1_Inv2_CB3</t>
  </si>
  <si>
    <t>IC_UPS</t>
  </si>
  <si>
    <t>IC_Auxiliary Tranformer</t>
  </si>
  <si>
    <t>IC1_Inv2_CB5</t>
  </si>
  <si>
    <t>IC_Auxiliary DB</t>
  </si>
  <si>
    <t>IC1_Inv2_CB6</t>
  </si>
  <si>
    <t>IC_SCADA Panel</t>
  </si>
  <si>
    <t>IC1_Inv2_CB7</t>
  </si>
  <si>
    <t>IC1_Inv2_CB8</t>
  </si>
  <si>
    <t>Repeater</t>
  </si>
  <si>
    <t>IC1_Inv2_CB9</t>
  </si>
  <si>
    <t>Switch</t>
  </si>
  <si>
    <t>IC1_Inv3_CB1</t>
  </si>
  <si>
    <t>IC1_Inv3_CB2</t>
  </si>
  <si>
    <t>IC1_Inv3_CB3</t>
  </si>
  <si>
    <t>IC1_Inv3_CB4</t>
  </si>
  <si>
    <t>IC1_Inv3_CB5</t>
  </si>
  <si>
    <t>IC1_Inv3_CB6</t>
  </si>
  <si>
    <t>IC1_Inv3_CB7</t>
  </si>
  <si>
    <t>IC1_Inv3_CB8</t>
  </si>
  <si>
    <t>IC1_Inv3_CB9</t>
  </si>
  <si>
    <t>IC1_Inv3_CB10</t>
  </si>
  <si>
    <t>IC1_Inv3_CB11</t>
  </si>
  <si>
    <t>IC1_Inv4_CB1</t>
  </si>
  <si>
    <t>IC1_Inv4_CB2</t>
  </si>
  <si>
    <t>IC1_Inv4_CB3</t>
  </si>
  <si>
    <t>IC1_Inv4_CB4</t>
  </si>
  <si>
    <t>IC1_Inv4_CB5</t>
  </si>
  <si>
    <t>IC1_Inv4_CB6</t>
  </si>
  <si>
    <t>IC1_Inv4_CB8</t>
  </si>
  <si>
    <t>IC1_Inv4_CB9</t>
  </si>
  <si>
    <t>IC1_Inv4_CB10</t>
  </si>
  <si>
    <t>IC1_Inv4_CB11</t>
  </si>
  <si>
    <t>IC2_Inv1_CB5</t>
  </si>
  <si>
    <t>IC2_Inv1_CB6</t>
  </si>
  <si>
    <t>IC2_Inv1_CB8</t>
  </si>
  <si>
    <t>IC2_Inv1_CB9</t>
  </si>
  <si>
    <t>IC2_Inv1_CB10</t>
  </si>
  <si>
    <t>IC2_Inv1_CB11</t>
  </si>
  <si>
    <t>IC2_Inv2_CB3</t>
  </si>
  <si>
    <t>IC2_Inv2_CB4</t>
  </si>
  <si>
    <t>IC2_Inv2_CB5</t>
  </si>
  <si>
    <t>IC2_Inv2_CB6</t>
  </si>
  <si>
    <t>IC2_Inv2_CB8</t>
  </si>
  <si>
    <t>IC2_Inv2_CB9</t>
  </si>
  <si>
    <t>IC2_Inv2_CB10</t>
  </si>
  <si>
    <t>IC2_Inv2_CB11</t>
  </si>
  <si>
    <t>IC1_IDT</t>
  </si>
  <si>
    <t>IC2_IDT</t>
  </si>
  <si>
    <t>Incomer1</t>
  </si>
  <si>
    <t>Incomer2</t>
  </si>
  <si>
    <t>MV Cable_Incomer1</t>
  </si>
  <si>
    <t>MV Cable INcomer2</t>
  </si>
  <si>
    <t>MV Cable_IC1_IDT</t>
  </si>
  <si>
    <t>MV Cable_IC2_IDT</t>
  </si>
  <si>
    <t>IC1_UPS</t>
  </si>
  <si>
    <t>IC2_UPS</t>
  </si>
  <si>
    <t>IC1_Aux Tranfo.</t>
  </si>
  <si>
    <t>IC2_Aux Tranfo.</t>
  </si>
  <si>
    <t>IC1_AUX. DB</t>
  </si>
  <si>
    <t>IC2_AUX. DB</t>
  </si>
  <si>
    <t>IC1_SCADA Panel</t>
  </si>
  <si>
    <t>IC2_SCADA Panel</t>
  </si>
  <si>
    <t>MCR SCADA Panel</t>
  </si>
  <si>
    <t>MCR_Aux Transfo.</t>
  </si>
  <si>
    <t>MCR_Battery Charger</t>
  </si>
  <si>
    <t>String_Type1_(42*310)</t>
  </si>
  <si>
    <t>String_Type3(42*320)</t>
  </si>
  <si>
    <t>String_Type4(42*325)</t>
  </si>
  <si>
    <t>String_Type5(42*330)</t>
  </si>
  <si>
    <t>String_Type6(21*310)</t>
  </si>
  <si>
    <t>String_Type7(21*315)</t>
  </si>
  <si>
    <t>String_Type8(21*320)</t>
  </si>
  <si>
    <t>String_Type9(21*325)</t>
  </si>
  <si>
    <t>String_Type10(21*330)</t>
  </si>
  <si>
    <t>Two pin insulators failure i/c 33kv manhalli line from 110kv kamtana</t>
  </si>
  <si>
    <t>LC taken at 110kv AEE for 5MVA TRAFO Installation at33kv kamtana station</t>
  </si>
  <si>
    <t>Jump cut inside the gss 33kv manhalli</t>
  </si>
  <si>
    <t>Reduced Run</t>
  </si>
  <si>
    <t>kept half load</t>
  </si>
  <si>
    <t>resolved</t>
  </si>
  <si>
    <t>Excess temperature difference</t>
  </si>
  <si>
    <t>excess temperature difference</t>
  </si>
  <si>
    <t>LC taken for transoformer testing at 33kv kamtana pin insulator replacement work i/c line to 33kv manhalli purpose</t>
  </si>
  <si>
    <t>Client scope</t>
  </si>
  <si>
    <t>open</t>
  </si>
  <si>
    <t>icr-01 isolated for repowering work purpose</t>
  </si>
  <si>
    <t>close</t>
  </si>
  <si>
    <t>transformer testing at 110kv kamtana station</t>
  </si>
  <si>
    <t>Grid failure from 220kv gss</t>
  </si>
  <si>
    <t xml:space="preserve">CT&amp;PT Testing work purpose at Manhalli sub station hand triped </t>
  </si>
  <si>
    <t>LC taken AEE at 33kv Manhalli Gss CT oil leackage arresting purpose</t>
  </si>
  <si>
    <t>G-02</t>
  </si>
  <si>
    <t>G-07</t>
  </si>
  <si>
    <t>replaced with spare repaired one</t>
  </si>
  <si>
    <t>G-08</t>
  </si>
  <si>
    <t>Grid-06</t>
  </si>
  <si>
    <t>B phase Jump cut Near  Gss 33kv manhalli.</t>
  </si>
  <si>
    <t>jump cut at 11o kv kamtana substation</t>
  </si>
  <si>
    <t>10mva trafo tripped at 110 kv kamtana</t>
  </si>
  <si>
    <t>quarterly maintenance 110KV KAMTANA &amp; Gss 33kv manhalli &amp; replaced pin insulator polymer insplace of porcelin</t>
  </si>
  <si>
    <t>DC CONTCTOR Not closing</t>
  </si>
  <si>
    <t>grid-05</t>
  </si>
  <si>
    <t>grid-05 &amp;4</t>
  </si>
  <si>
    <t>Grid-04&amp;3</t>
  </si>
  <si>
    <t>Month :-July 2025</t>
  </si>
  <si>
    <t>Grid-01</t>
  </si>
  <si>
    <t>Grid-02</t>
  </si>
  <si>
    <t>Grid-03</t>
  </si>
  <si>
    <t>Grid-08</t>
  </si>
  <si>
    <t>Grid-07</t>
  </si>
  <si>
    <t>low voltage detected at 110kv kamtana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</si>
</sst>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[$-F800]dddd\,\ mmmm\ dd\,\ yyyy"/>
    <numFmt numFmtId="165" formatCode="0.0%"/>
    <numFmt numFmtId="166" formatCode="0.0"/>
    <numFmt numFmtId="167" formatCode="[$-409]mmm/yy;@"/>
    <numFmt numFmtId="168" formatCode="[$-409]d/mmm/yy;@"/>
    <numFmt numFmtId="169" formatCode="h:mm;@"/>
    <numFmt numFmtId="170" formatCode="0.000"/>
    <numFmt numFmtId="171" formatCode="[$-14009]h:mm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8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theme="6" tint="0.39945677053132728"/>
        <bgColor indexed="64"/>
      </patternFill>
    </fill>
    <fill>
      <patternFill patternType="solid">
        <fgColor theme="7" tint="0.39945677053132728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0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double">
        <color theme="5" tint="0.59996337778862885"/>
      </right>
      <top style="medium">
        <color auto="1"/>
      </top>
      <bottom/>
      <diagonal/>
    </border>
    <border>
      <left style="double">
        <color theme="5" tint="0.59996337778862885"/>
      </left>
      <right style="double">
        <color theme="5" tint="0.59996337778862885"/>
      </right>
      <top style="medium">
        <color auto="1"/>
      </top>
      <bottom/>
      <diagonal/>
    </border>
    <border>
      <left style="double">
        <color theme="5" tint="0.59996337778862885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medium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auto="1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/>
      <bottom style="hair">
        <color theme="5"/>
      </bottom>
      <diagonal/>
    </border>
    <border>
      <left style="hair">
        <color theme="5"/>
      </left>
      <right style="hair">
        <color theme="5"/>
      </right>
      <top/>
      <bottom style="hair">
        <color theme="5"/>
      </bottom>
      <diagonal/>
    </border>
    <border>
      <left style="hair">
        <color theme="5"/>
      </left>
      <right style="medium">
        <color auto="1"/>
      </right>
      <top/>
      <bottom style="hair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45677053132728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auto="1"/>
      </right>
      <top style="hair">
        <color theme="5"/>
      </top>
      <bottom style="hair">
        <color theme="5"/>
      </bottom>
      <diagonal/>
    </border>
  </borders>
  <cellStyleXfs count="34044">
    <xf numFmtId="0" fontId="0" fillId="0" borderId="0"/>
    <xf numFmtId="9" fontId="31" fillId="0" borderId="0" applyFont="0" applyFill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8" borderId="0" applyNumberFormat="0" applyBorder="0" applyAlignment="0" applyProtection="0"/>
    <xf numFmtId="0" fontId="7" fillId="30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16" fillId="31" borderId="0" applyNumberFormat="0" applyBorder="0" applyAlignment="0" applyProtection="0"/>
    <xf numFmtId="0" fontId="17" fillId="32" borderId="30" applyNumberFormat="0" applyAlignment="0" applyProtection="0"/>
    <xf numFmtId="0" fontId="6" fillId="33" borderId="32" applyNumberForma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/>
    <xf numFmtId="0" fontId="20" fillId="34" borderId="0" applyNumberFormat="0" applyBorder="0" applyAlignment="0" applyProtection="0"/>
    <xf numFmtId="0" fontId="13" fillId="0" borderId="35" applyNumberFormat="0" applyFill="0" applyAlignment="0" applyProtection="0"/>
    <xf numFmtId="0" fontId="14" fillId="0" borderId="36" applyNumberFormat="0" applyFill="0" applyAlignment="0" applyProtection="0"/>
    <xf numFmtId="0" fontId="15" fillId="0" borderId="37" applyNumberFormat="0" applyFill="0" applyAlignment="0" applyProtection="0"/>
    <xf numFmtId="0" fontId="15" fillId="0" borderId="0" applyNumberFormat="0" applyFill="0" applyBorder="0" applyAlignment="0" applyProtection="0"/>
    <xf numFmtId="0" fontId="21" fillId="35" borderId="30" applyNumberFormat="0" applyAlignment="0" applyProtection="0"/>
    <xf numFmtId="0" fontId="22" fillId="0" borderId="33" applyNumberFormat="0" applyFill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8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1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25" fillId="0" borderId="0"/>
    <xf numFmtId="0" fontId="31" fillId="0" borderId="0"/>
    <xf numFmtId="164" fontId="31" fillId="0" borderId="0"/>
    <xf numFmtId="0" fontId="25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8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31" fillId="37" borderId="29" applyNumberFormat="0" applyFont="0" applyAlignment="0" applyProtection="0"/>
    <xf numFmtId="0" fontId="27" fillId="32" borderId="31" applyNumberFormat="0" applyAlignment="0" applyProtection="0"/>
    <xf numFmtId="9" fontId="2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38" borderId="0"/>
    <xf numFmtId="0" fontId="29" fillId="0" borderId="3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20" fontId="0" fillId="0" borderId="0" xfId="0" applyNumberFormat="1"/>
    <xf numFmtId="17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/>
    </xf>
    <xf numFmtId="169" fontId="0" fillId="0" borderId="0" xfId="0" applyNumberFormat="1"/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 applyAlignment="1">
      <alignment vertical="center" wrapText="1"/>
    </xf>
    <xf numFmtId="0" fontId="2" fillId="4" borderId="1" xfId="24889" applyFont="1" applyFill="1" applyBorder="1" applyAlignment="1">
      <alignment horizontal="center" vertical="center" wrapText="1"/>
    </xf>
    <xf numFmtId="168" fontId="2" fillId="4" borderId="1" xfId="24889" applyNumberFormat="1" applyFont="1" applyFill="1" applyBorder="1" applyAlignment="1">
      <alignment horizontal="center" vertical="center" wrapText="1"/>
    </xf>
    <xf numFmtId="17" fontId="0" fillId="0" borderId="0" xfId="0" applyNumberFormat="1" applyAlignment="1">
      <alignment horizontal="center"/>
    </xf>
    <xf numFmtId="0" fontId="2" fillId="4" borderId="7" xfId="24889" applyFont="1" applyFill="1" applyBorder="1" applyAlignment="1">
      <alignment horizontal="center" vertical="center" wrapText="1"/>
    </xf>
    <xf numFmtId="16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4" borderId="8" xfId="24889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2" fillId="4" borderId="1" xfId="24889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/>
    </xf>
    <xf numFmtId="1" fontId="0" fillId="0" borderId="0" xfId="0" applyNumberFormat="1"/>
    <xf numFmtId="166" fontId="0" fillId="0" borderId="0" xfId="0" applyNumberFormat="1"/>
    <xf numFmtId="0" fontId="3" fillId="4" borderId="10" xfId="24889" applyFont="1" applyFill="1" applyBorder="1" applyAlignment="1">
      <alignment horizontal="center" vertical="center" wrapText="1"/>
    </xf>
    <xf numFmtId="168" fontId="3" fillId="4" borderId="7" xfId="24889" applyNumberFormat="1" applyFont="1" applyFill="1" applyBorder="1" applyAlignment="1">
      <alignment horizontal="center" vertical="center" wrapText="1"/>
    </xf>
    <xf numFmtId="0" fontId="3" fillId="4" borderId="7" xfId="24889" applyFont="1" applyFill="1" applyBorder="1" applyAlignment="1">
      <alignment horizontal="center" vertical="center" wrapText="1"/>
    </xf>
    <xf numFmtId="0" fontId="3" fillId="4" borderId="11" xfId="24889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/>
    <xf numFmtId="166" fontId="4" fillId="3" borderId="3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5" fontId="4" fillId="3" borderId="4" xfId="0" applyNumberFormat="1" applyFont="1" applyFill="1" applyBorder="1"/>
    <xf numFmtId="166" fontId="4" fillId="3" borderId="4" xfId="0" applyNumberFormat="1" applyFont="1" applyFill="1" applyBorder="1" applyAlignment="1">
      <alignment horizontal="center"/>
    </xf>
    <xf numFmtId="17" fontId="4" fillId="3" borderId="3" xfId="0" applyNumberFormat="1" applyFont="1" applyFill="1" applyBorder="1" applyAlignment="1">
      <alignment horizontal="center"/>
    </xf>
    <xf numFmtId="0" fontId="2" fillId="4" borderId="12" xfId="24889" applyFont="1" applyFill="1" applyBorder="1" applyAlignment="1">
      <alignment horizontal="center" vertical="center" wrapText="1"/>
    </xf>
    <xf numFmtId="168" fontId="2" fillId="4" borderId="7" xfId="24889" applyNumberFormat="1" applyFont="1" applyFill="1" applyBorder="1" applyAlignment="1">
      <alignment horizontal="center" vertical="center" wrapText="1"/>
    </xf>
    <xf numFmtId="15" fontId="0" fillId="0" borderId="0" xfId="0" applyNumberFormat="1"/>
    <xf numFmtId="0" fontId="2" fillId="4" borderId="11" xfId="24889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/>
    </xf>
    <xf numFmtId="0" fontId="0" fillId="6" borderId="0" xfId="0" applyFill="1" applyAlignment="1">
      <alignment vertical="center"/>
    </xf>
    <xf numFmtId="15" fontId="0" fillId="7" borderId="0" xfId="0" applyNumberFormat="1" applyFill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 wrapText="1"/>
    </xf>
    <xf numFmtId="17" fontId="7" fillId="9" borderId="1" xfId="0" applyNumberFormat="1" applyFon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65" fontId="0" fillId="10" borderId="1" xfId="1" applyNumberFormat="1" applyFont="1" applyFill="1" applyBorder="1" applyAlignment="1">
      <alignment horizontal="center"/>
    </xf>
    <xf numFmtId="165" fontId="0" fillId="11" borderId="1" xfId="1" applyNumberFormat="1" applyFont="1" applyFill="1" applyBorder="1" applyAlignment="1">
      <alignment horizontal="center"/>
    </xf>
    <xf numFmtId="10" fontId="0" fillId="0" borderId="0" xfId="1" applyNumberFormat="1" applyFont="1"/>
    <xf numFmtId="0" fontId="6" fillId="9" borderId="1" xfId="0" applyFont="1" applyFill="1" applyBorder="1" applyAlignment="1">
      <alignment horizontal="center" vertical="center"/>
    </xf>
    <xf numFmtId="1" fontId="7" fillId="9" borderId="1" xfId="0" applyNumberFormat="1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65" fontId="0" fillId="10" borderId="1" xfId="1" applyNumberFormat="1" applyFont="1" applyFill="1" applyBorder="1" applyAlignment="1">
      <alignment horizontal="center" vertical="center"/>
    </xf>
    <xf numFmtId="165" fontId="0" fillId="11" borderId="1" xfId="1" applyNumberFormat="1" applyFont="1" applyFill="1" applyBorder="1" applyAlignment="1">
      <alignment horizontal="center" vertical="center"/>
    </xf>
    <xf numFmtId="10" fontId="0" fillId="11" borderId="1" xfId="1" applyNumberFormat="1" applyFont="1" applyFill="1" applyBorder="1" applyAlignment="1">
      <alignment horizontal="center" vertical="center"/>
    </xf>
    <xf numFmtId="0" fontId="31" fillId="0" borderId="0" xfId="24890"/>
    <xf numFmtId="0" fontId="31" fillId="0" borderId="1" xfId="24890" applyBorder="1"/>
    <xf numFmtId="14" fontId="31" fillId="0" borderId="1" xfId="24890" applyNumberFormat="1" applyBorder="1"/>
    <xf numFmtId="1" fontId="31" fillId="0" borderId="1" xfId="24890" applyNumberFormat="1" applyBorder="1"/>
    <xf numFmtId="43" fontId="0" fillId="0" borderId="0" xfId="24604" applyFont="1"/>
    <xf numFmtId="3" fontId="31" fillId="0" borderId="1" xfId="24890" applyNumberFormat="1" applyBorder="1"/>
    <xf numFmtId="2" fontId="31" fillId="0" borderId="1" xfId="24890" applyNumberFormat="1" applyBorder="1"/>
    <xf numFmtId="0" fontId="0" fillId="12" borderId="0" xfId="0" applyFill="1"/>
    <xf numFmtId="10" fontId="0" fillId="12" borderId="0" xfId="0" applyNumberFormat="1" applyFill="1"/>
    <xf numFmtId="0" fontId="9" fillId="13" borderId="16" xfId="0" applyFont="1" applyFill="1" applyBorder="1"/>
    <xf numFmtId="0" fontId="9" fillId="13" borderId="19" xfId="0" applyFont="1" applyFill="1" applyBorder="1"/>
    <xf numFmtId="0" fontId="11" fillId="12" borderId="22" xfId="0" applyFont="1" applyFill="1" applyBorder="1"/>
    <xf numFmtId="168" fontId="12" fillId="12" borderId="22" xfId="24873" applyNumberFormat="1" applyFont="1" applyFill="1" applyBorder="1" applyAlignment="1">
      <alignment horizontal="left" vertical="center"/>
    </xf>
    <xf numFmtId="10" fontId="12" fillId="12" borderId="22" xfId="24873" applyNumberFormat="1" applyFont="1" applyFill="1" applyBorder="1" applyAlignment="1">
      <alignment horizontal="left" vertical="center"/>
    </xf>
    <xf numFmtId="0" fontId="9" fillId="13" borderId="13" xfId="0" applyFont="1" applyFill="1" applyBorder="1" applyAlignment="1">
      <alignment horizontal="center" vertical="center" wrapText="1"/>
    </xf>
    <xf numFmtId="0" fontId="9" fillId="13" borderId="14" xfId="0" applyFont="1" applyFill="1" applyBorder="1" applyAlignment="1">
      <alignment horizontal="center" vertical="center" wrapText="1"/>
    </xf>
    <xf numFmtId="10" fontId="9" fillId="13" borderId="14" xfId="0" applyNumberFormat="1" applyFont="1" applyFill="1" applyBorder="1" applyAlignment="1">
      <alignment horizontal="center" vertical="center" wrapText="1"/>
    </xf>
    <xf numFmtId="0" fontId="9" fillId="13" borderId="15" xfId="0" applyFont="1" applyFill="1" applyBorder="1" applyAlignment="1">
      <alignment horizontal="center" vertical="center" wrapText="1"/>
    </xf>
    <xf numFmtId="0" fontId="11" fillId="12" borderId="24" xfId="0" applyFont="1" applyFill="1" applyBorder="1"/>
    <xf numFmtId="1" fontId="10" fillId="12" borderId="24" xfId="24873" applyNumberFormat="1" applyFont="1" applyFill="1" applyBorder="1" applyAlignment="1">
      <alignment horizontal="center" vertical="center"/>
    </xf>
    <xf numFmtId="1" fontId="11" fillId="12" borderId="24" xfId="0" applyNumberFormat="1" applyFont="1" applyFill="1" applyBorder="1" applyAlignment="1">
      <alignment horizontal="center"/>
    </xf>
    <xf numFmtId="10" fontId="11" fillId="12" borderId="24" xfId="34035" applyNumberFormat="1" applyFont="1" applyFill="1" applyBorder="1" applyAlignment="1">
      <alignment horizontal="center"/>
    </xf>
    <xf numFmtId="0" fontId="11" fillId="12" borderId="17" xfId="0" applyFont="1" applyFill="1" applyBorder="1"/>
    <xf numFmtId="1" fontId="10" fillId="12" borderId="17" xfId="24873" applyNumberFormat="1" applyFont="1" applyFill="1" applyBorder="1" applyAlignment="1">
      <alignment horizontal="center" vertical="center"/>
    </xf>
    <xf numFmtId="1" fontId="11" fillId="12" borderId="17" xfId="0" applyNumberFormat="1" applyFont="1" applyFill="1" applyBorder="1" applyAlignment="1">
      <alignment horizontal="center"/>
    </xf>
    <xf numFmtId="10" fontId="11" fillId="12" borderId="17" xfId="34035" applyNumberFormat="1" applyFont="1" applyFill="1" applyBorder="1" applyAlignment="1">
      <alignment horizontal="center"/>
    </xf>
    <xf numFmtId="0" fontId="11" fillId="12" borderId="20" xfId="0" applyFont="1" applyFill="1" applyBorder="1"/>
    <xf numFmtId="1" fontId="11" fillId="12" borderId="20" xfId="0" applyNumberFormat="1" applyFont="1" applyFill="1" applyBorder="1" applyAlignment="1">
      <alignment horizontal="center"/>
    </xf>
    <xf numFmtId="10" fontId="11" fillId="12" borderId="20" xfId="34035" applyNumberFormat="1" applyFont="1" applyFill="1" applyBorder="1" applyAlignment="1">
      <alignment horizontal="center"/>
    </xf>
    <xf numFmtId="165" fontId="10" fillId="12" borderId="24" xfId="1" applyNumberFormat="1" applyFont="1" applyFill="1" applyBorder="1" applyAlignment="1">
      <alignment horizontal="center" vertical="center"/>
    </xf>
    <xf numFmtId="10" fontId="11" fillId="12" borderId="24" xfId="1" applyNumberFormat="1" applyFont="1" applyFill="1" applyBorder="1" applyAlignment="1">
      <alignment horizontal="center"/>
    </xf>
    <xf numFmtId="165" fontId="10" fillId="12" borderId="17" xfId="1" applyNumberFormat="1" applyFont="1" applyFill="1" applyBorder="1" applyAlignment="1">
      <alignment horizontal="center" vertical="center"/>
    </xf>
    <xf numFmtId="10" fontId="11" fillId="12" borderId="17" xfId="1" applyNumberFormat="1" applyFont="1" applyFill="1" applyBorder="1" applyAlignment="1">
      <alignment horizontal="center"/>
    </xf>
    <xf numFmtId="165" fontId="10" fillId="12" borderId="20" xfId="1" applyNumberFormat="1" applyFont="1" applyFill="1" applyBorder="1" applyAlignment="1">
      <alignment horizontal="center" vertical="center"/>
    </xf>
    <xf numFmtId="10" fontId="11" fillId="12" borderId="20" xfId="1" applyNumberFormat="1" applyFont="1" applyFill="1" applyBorder="1" applyAlignment="1">
      <alignment horizontal="center"/>
    </xf>
    <xf numFmtId="2" fontId="11" fillId="12" borderId="24" xfId="0" applyNumberFormat="1" applyFont="1" applyFill="1" applyBorder="1" applyAlignment="1">
      <alignment horizontal="center"/>
    </xf>
    <xf numFmtId="165" fontId="10" fillId="12" borderId="24" xfId="34035" applyNumberFormat="1" applyFont="1" applyFill="1" applyBorder="1" applyAlignment="1">
      <alignment horizontal="center" vertical="center"/>
    </xf>
    <xf numFmtId="165" fontId="10" fillId="12" borderId="17" xfId="34035" applyNumberFormat="1" applyFont="1" applyFill="1" applyBorder="1" applyAlignment="1">
      <alignment horizontal="center" vertical="center"/>
    </xf>
    <xf numFmtId="165" fontId="10" fillId="12" borderId="20" xfId="34035" applyNumberFormat="1" applyFont="1" applyFill="1" applyBorder="1" applyAlignment="1">
      <alignment horizontal="center" vertical="center"/>
    </xf>
    <xf numFmtId="0" fontId="11" fillId="12" borderId="27" xfId="0" applyFont="1" applyFill="1" applyBorder="1"/>
    <xf numFmtId="10" fontId="11" fillId="12" borderId="27" xfId="1" applyNumberFormat="1" applyFont="1" applyFill="1" applyBorder="1" applyAlignment="1">
      <alignment horizontal="center"/>
    </xf>
    <xf numFmtId="10" fontId="11" fillId="12" borderId="27" xfId="34035" applyNumberFormat="1" applyFont="1" applyFill="1" applyBorder="1" applyAlignment="1">
      <alignment horizontal="center"/>
    </xf>
    <xf numFmtId="168" fontId="10" fillId="12" borderId="20" xfId="24873" applyNumberFormat="1" applyFont="1" applyFill="1" applyBorder="1" applyAlignment="1">
      <alignment horizontal="left" vertic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168" fontId="10" fillId="12" borderId="17" xfId="24873" applyNumberFormat="1" applyFont="1" applyFill="1" applyBorder="1" applyAlignment="1">
      <alignment horizontal="left" vertical="center"/>
    </xf>
    <xf numFmtId="0" fontId="33" fillId="0" borderId="0" xfId="34040" applyAlignment="1">
      <alignment horizontal="center" vertical="center"/>
    </xf>
    <xf numFmtId="2" fontId="0" fillId="0" borderId="0" xfId="34042" applyNumberFormat="1" applyFont="1" applyFill="1" applyAlignment="1">
      <alignment horizontal="center" vertical="center"/>
    </xf>
    <xf numFmtId="166" fontId="0" fillId="0" borderId="0" xfId="34042" applyNumberFormat="1" applyFont="1" applyFill="1" applyBorder="1" applyAlignment="1">
      <alignment horizontal="center" vertical="center"/>
    </xf>
    <xf numFmtId="0" fontId="6" fillId="0" borderId="39" xfId="34040" applyFont="1" applyBorder="1" applyAlignment="1">
      <alignment horizontal="center" vertical="center" wrapText="1"/>
    </xf>
    <xf numFmtId="2" fontId="33" fillId="0" borderId="0" xfId="34040" applyNumberFormat="1" applyAlignment="1">
      <alignment horizontal="center" vertical="center"/>
    </xf>
    <xf numFmtId="1" fontId="0" fillId="0" borderId="40" xfId="34043" applyNumberFormat="1" applyFont="1" applyFill="1" applyBorder="1" applyAlignment="1">
      <alignment horizontal="center" vertical="center"/>
    </xf>
    <xf numFmtId="1" fontId="0" fillId="0" borderId="41" xfId="34043" applyNumberFormat="1" applyFont="1" applyFill="1" applyBorder="1" applyAlignment="1">
      <alignment horizontal="center" vertical="center"/>
    </xf>
    <xf numFmtId="17" fontId="0" fillId="0" borderId="40" xfId="34043" applyNumberFormat="1" applyFont="1" applyFill="1" applyBorder="1" applyAlignment="1">
      <alignment horizontal="center" vertical="center"/>
    </xf>
    <xf numFmtId="0" fontId="0" fillId="0" borderId="40" xfId="34043" applyNumberFormat="1" applyFont="1" applyFill="1" applyBorder="1" applyAlignment="1">
      <alignment horizontal="center" vertical="center"/>
    </xf>
    <xf numFmtId="0" fontId="33" fillId="0" borderId="40" xfId="34040" applyBorder="1" applyAlignment="1">
      <alignment horizontal="center" vertical="center"/>
    </xf>
    <xf numFmtId="2" fontId="33" fillId="0" borderId="41" xfId="34040" applyNumberFormat="1" applyBorder="1" applyAlignment="1">
      <alignment horizontal="center" vertical="center"/>
    </xf>
    <xf numFmtId="166" fontId="33" fillId="0" borderId="40" xfId="34040" applyNumberFormat="1" applyBorder="1" applyAlignment="1">
      <alignment horizontal="center" vertical="center"/>
    </xf>
    <xf numFmtId="1" fontId="33" fillId="0" borderId="40" xfId="34040" applyNumberFormat="1" applyBorder="1" applyAlignment="1">
      <alignment horizontal="center" vertical="center"/>
    </xf>
    <xf numFmtId="10" fontId="0" fillId="0" borderId="40" xfId="34042" applyNumberFormat="1" applyFont="1" applyFill="1" applyBorder="1" applyAlignment="1">
      <alignment horizontal="center" vertical="center"/>
    </xf>
    <xf numFmtId="2" fontId="33" fillId="0" borderId="40" xfId="34040" applyNumberFormat="1" applyBorder="1" applyAlignment="1">
      <alignment horizontal="center" vertical="center"/>
    </xf>
    <xf numFmtId="0" fontId="0" fillId="0" borderId="41" xfId="34043" applyNumberFormat="1" applyFont="1" applyFill="1" applyBorder="1" applyAlignment="1">
      <alignment horizontal="center" vertical="center"/>
    </xf>
    <xf numFmtId="0" fontId="33" fillId="0" borderId="41" xfId="34040" applyBorder="1" applyAlignment="1">
      <alignment horizontal="center" vertical="center"/>
    </xf>
    <xf numFmtId="166" fontId="33" fillId="0" borderId="41" xfId="34040" applyNumberFormat="1" applyBorder="1" applyAlignment="1">
      <alignment horizontal="center" vertical="center"/>
    </xf>
    <xf numFmtId="1" fontId="33" fillId="0" borderId="41" xfId="34040" applyNumberFormat="1" applyBorder="1" applyAlignment="1">
      <alignment horizontal="center" vertical="center"/>
    </xf>
    <xf numFmtId="10" fontId="0" fillId="0" borderId="41" xfId="34042" applyNumberFormat="1" applyFont="1" applyFill="1" applyBorder="1" applyAlignment="1">
      <alignment horizontal="center" vertical="center"/>
    </xf>
    <xf numFmtId="1" fontId="0" fillId="0" borderId="40" xfId="34040" applyNumberFormat="1" applyFont="1" applyBorder="1" applyAlignment="1">
      <alignment horizontal="center" vertical="center"/>
    </xf>
    <xf numFmtId="166" fontId="0" fillId="0" borderId="40" xfId="34040" applyNumberFormat="1" applyFont="1" applyBorder="1" applyAlignment="1">
      <alignment horizontal="center" vertical="center"/>
    </xf>
    <xf numFmtId="168" fontId="3" fillId="0" borderId="38" xfId="34039" applyNumberFormat="1" applyFont="1" applyBorder="1" applyAlignment="1">
      <alignment horizontal="center" vertical="center" wrapText="1"/>
    </xf>
    <xf numFmtId="0" fontId="3" fillId="0" borderId="38" xfId="34039" applyFont="1" applyBorder="1" applyAlignment="1">
      <alignment horizontal="center" vertical="center" wrapText="1"/>
    </xf>
    <xf numFmtId="0" fontId="6" fillId="0" borderId="38" xfId="34040" applyFont="1" applyBorder="1" applyAlignment="1">
      <alignment horizontal="center" vertical="center" wrapText="1"/>
    </xf>
    <xf numFmtId="9" fontId="6" fillId="0" borderId="38" xfId="34041" applyFont="1" applyFill="1" applyBorder="1" applyAlignment="1">
      <alignment horizontal="center" vertical="center" wrapText="1"/>
    </xf>
    <xf numFmtId="15" fontId="33" fillId="0" borderId="0" xfId="34040" applyNumberFormat="1" applyAlignment="1">
      <alignment horizontal="center" vertical="center"/>
    </xf>
    <xf numFmtId="1" fontId="33" fillId="0" borderId="0" xfId="34040" applyNumberFormat="1" applyAlignment="1">
      <alignment horizontal="center" vertical="center"/>
    </xf>
    <xf numFmtId="17" fontId="33" fillId="0" borderId="0" xfId="34040" applyNumberFormat="1" applyAlignment="1">
      <alignment horizontal="center" vertical="center"/>
    </xf>
    <xf numFmtId="9" fontId="0" fillId="0" borderId="0" xfId="34042" applyFont="1" applyFill="1" applyAlignment="1">
      <alignment horizontal="center" vertical="center"/>
    </xf>
    <xf numFmtId="10" fontId="4" fillId="0" borderId="0" xfId="34042" applyNumberFormat="1" applyFont="1" applyFill="1" applyAlignment="1">
      <alignment horizontal="center" vertical="center"/>
    </xf>
    <xf numFmtId="165" fontId="0" fillId="0" borderId="0" xfId="34042" applyNumberFormat="1" applyFont="1" applyFill="1" applyAlignment="1">
      <alignment horizontal="center" vertical="center"/>
    </xf>
    <xf numFmtId="10" fontId="0" fillId="0" borderId="0" xfId="34042" applyNumberFormat="1" applyFont="1" applyFill="1" applyAlignment="1">
      <alignment horizontal="center" vertical="center"/>
    </xf>
    <xf numFmtId="166" fontId="33" fillId="0" borderId="0" xfId="34040" applyNumberFormat="1" applyAlignment="1">
      <alignment horizontal="center" vertical="center"/>
    </xf>
    <xf numFmtId="10" fontId="0" fillId="0" borderId="0" xfId="34041" applyNumberFormat="1" applyFont="1" applyFill="1" applyAlignment="1">
      <alignment horizontal="center" vertical="center"/>
    </xf>
    <xf numFmtId="9" fontId="0" fillId="0" borderId="0" xfId="34041" applyFont="1" applyFill="1" applyAlignment="1">
      <alignment horizontal="center" vertical="center"/>
    </xf>
    <xf numFmtId="168" fontId="10" fillId="12" borderId="17" xfId="24873" applyNumberFormat="1" applyFont="1" applyFill="1" applyBorder="1" applyAlignment="1">
      <alignment vertical="center"/>
    </xf>
    <xf numFmtId="168" fontId="10" fillId="12" borderId="18" xfId="24873" applyNumberFormat="1" applyFont="1" applyFill="1" applyBorder="1" applyAlignment="1">
      <alignment vertical="center"/>
    </xf>
    <xf numFmtId="167" fontId="10" fillId="12" borderId="43" xfId="24873" applyNumberFormat="1" applyFont="1" applyFill="1" applyBorder="1" applyAlignment="1">
      <alignment vertical="center"/>
    </xf>
    <xf numFmtId="167" fontId="10" fillId="12" borderId="44" xfId="24873" applyNumberFormat="1" applyFont="1" applyFill="1" applyBorder="1" applyAlignment="1">
      <alignment vertical="center"/>
    </xf>
    <xf numFmtId="168" fontId="10" fillId="12" borderId="43" xfId="24873" applyNumberFormat="1" applyFont="1" applyFill="1" applyBorder="1" applyAlignment="1">
      <alignment vertical="center"/>
    </xf>
    <xf numFmtId="168" fontId="10" fillId="12" borderId="44" xfId="24873" applyNumberFormat="1" applyFont="1" applyFill="1" applyBorder="1" applyAlignment="1">
      <alignment vertical="center"/>
    </xf>
    <xf numFmtId="1" fontId="11" fillId="12" borderId="17" xfId="0" applyNumberFormat="1" applyFont="1" applyFill="1" applyBorder="1"/>
    <xf numFmtId="1" fontId="11" fillId="12" borderId="18" xfId="0" applyNumberFormat="1" applyFont="1" applyFill="1" applyBorder="1"/>
    <xf numFmtId="1" fontId="11" fillId="12" borderId="17" xfId="0" applyNumberFormat="1" applyFont="1" applyFill="1" applyBorder="1" applyAlignment="1">
      <alignment horizontal="left" vertical="center"/>
    </xf>
    <xf numFmtId="168" fontId="10" fillId="12" borderId="20" xfId="24873" applyNumberFormat="1" applyFont="1" applyFill="1" applyBorder="1" applyAlignment="1">
      <alignment vertical="center"/>
    </xf>
    <xf numFmtId="168" fontId="10" fillId="12" borderId="21" xfId="24873" applyNumberFormat="1" applyFont="1" applyFill="1" applyBorder="1" applyAlignment="1">
      <alignment vertical="center"/>
    </xf>
    <xf numFmtId="168" fontId="0" fillId="12" borderId="0" xfId="0" applyNumberFormat="1" applyFill="1"/>
    <xf numFmtId="2" fontId="10" fillId="12" borderId="24" xfId="1" applyNumberFormat="1" applyFont="1" applyFill="1" applyBorder="1" applyAlignment="1">
      <alignment horizontal="center" vertical="center"/>
    </xf>
    <xf numFmtId="2" fontId="10" fillId="12" borderId="17" xfId="1" applyNumberFormat="1" applyFont="1" applyFill="1" applyBorder="1" applyAlignment="1">
      <alignment horizontal="center" vertical="center"/>
    </xf>
    <xf numFmtId="2" fontId="11" fillId="12" borderId="17" xfId="0" applyNumberFormat="1" applyFont="1" applyFill="1" applyBorder="1" applyAlignment="1">
      <alignment horizontal="center"/>
    </xf>
    <xf numFmtId="2" fontId="10" fillId="12" borderId="20" xfId="1" applyNumberFormat="1" applyFont="1" applyFill="1" applyBorder="1" applyAlignment="1">
      <alignment horizontal="center" vertical="center"/>
    </xf>
    <xf numFmtId="2" fontId="11" fillId="12" borderId="20" xfId="0" applyNumberFormat="1" applyFont="1" applyFill="1" applyBorder="1" applyAlignment="1">
      <alignment horizontal="center"/>
    </xf>
    <xf numFmtId="10" fontId="6" fillId="0" borderId="41" xfId="1" applyNumberFormat="1" applyFont="1" applyFill="1" applyBorder="1" applyAlignment="1">
      <alignment horizontal="center" vertical="center"/>
    </xf>
    <xf numFmtId="10" fontId="6" fillId="0" borderId="39" xfId="1" applyNumberFormat="1" applyFont="1" applyFill="1" applyBorder="1" applyAlignment="1">
      <alignment horizontal="center" vertical="center"/>
    </xf>
    <xf numFmtId="10" fontId="6" fillId="0" borderId="40" xfId="1" applyNumberFormat="1" applyFont="1" applyFill="1" applyBorder="1" applyAlignment="1">
      <alignment horizontal="center" vertical="center"/>
    </xf>
    <xf numFmtId="167" fontId="10" fillId="12" borderId="42" xfId="24873" applyNumberFormat="1" applyFont="1" applyFill="1" applyBorder="1" applyAlignment="1" applyProtection="1">
      <alignment horizontal="left" vertical="center"/>
      <protection locked="0"/>
    </xf>
    <xf numFmtId="168" fontId="10" fillId="12" borderId="42" xfId="24873" applyNumberFormat="1" applyFont="1" applyFill="1" applyBorder="1" applyAlignment="1" applyProtection="1">
      <alignment horizontal="left" vertical="center"/>
      <protection locked="0"/>
    </xf>
    <xf numFmtId="0" fontId="11" fillId="12" borderId="25" xfId="0" applyFont="1" applyFill="1" applyBorder="1" applyProtection="1">
      <protection locked="0"/>
    </xf>
    <xf numFmtId="0" fontId="11" fillId="12" borderId="18" xfId="0" applyFont="1" applyFill="1" applyBorder="1" applyProtection="1">
      <protection locked="0"/>
    </xf>
    <xf numFmtId="0" fontId="11" fillId="12" borderId="21" xfId="0" applyFont="1" applyFill="1" applyBorder="1" applyProtection="1">
      <protection locked="0"/>
    </xf>
    <xf numFmtId="1" fontId="11" fillId="12" borderId="25" xfId="0" applyNumberFormat="1" applyFont="1" applyFill="1" applyBorder="1" applyProtection="1">
      <protection locked="0"/>
    </xf>
    <xf numFmtId="0" fontId="11" fillId="12" borderId="18" xfId="0" applyFont="1" applyFill="1" applyBorder="1" applyAlignment="1" applyProtection="1">
      <alignment wrapText="1"/>
      <protection locked="0"/>
    </xf>
    <xf numFmtId="0" fontId="11" fillId="12" borderId="21" xfId="0" applyFont="1" applyFill="1" applyBorder="1" applyAlignment="1" applyProtection="1">
      <alignment wrapText="1"/>
      <protection locked="0"/>
    </xf>
    <xf numFmtId="0" fontId="11" fillId="12" borderId="25" xfId="0" applyFont="1" applyFill="1" applyBorder="1" applyAlignment="1" applyProtection="1">
      <alignment wrapText="1"/>
      <protection locked="0"/>
    </xf>
    <xf numFmtId="0" fontId="0" fillId="12" borderId="28" xfId="0" applyFill="1" applyBorder="1" applyProtection="1">
      <protection locked="0"/>
    </xf>
    <xf numFmtId="9" fontId="0" fillId="0" borderId="0" xfId="34041" applyFont="1" applyAlignment="1">
      <alignment horizontal="center" vertical="center"/>
    </xf>
    <xf numFmtId="0" fontId="35" fillId="3" borderId="3" xfId="0" applyFont="1" applyFill="1" applyBorder="1" applyAlignment="1">
      <alignment horizontal="center"/>
    </xf>
    <xf numFmtId="17" fontId="35" fillId="3" borderId="3" xfId="0" applyNumberFormat="1" applyFont="1" applyFill="1" applyBorder="1" applyAlignment="1">
      <alignment horizontal="center"/>
    </xf>
    <xf numFmtId="15" fontId="35" fillId="3" borderId="3" xfId="0" applyNumberFormat="1" applyFont="1" applyFill="1" applyBorder="1"/>
    <xf numFmtId="166" fontId="35" fillId="3" borderId="3" xfId="0" applyNumberFormat="1" applyFont="1" applyFill="1" applyBorder="1" applyAlignment="1">
      <alignment horizontal="center"/>
    </xf>
    <xf numFmtId="0" fontId="3" fillId="0" borderId="10" xfId="24889" applyFont="1" applyBorder="1" applyAlignment="1">
      <alignment horizontal="center" vertical="center" wrapText="1"/>
    </xf>
    <xf numFmtId="0" fontId="3" fillId="0" borderId="8" xfId="24889" applyFont="1" applyBorder="1" applyAlignment="1">
      <alignment horizontal="center" vertical="center" wrapText="1"/>
    </xf>
    <xf numFmtId="168" fontId="3" fillId="0" borderId="8" xfId="24889" applyNumberFormat="1" applyFont="1" applyBorder="1" applyAlignment="1">
      <alignment horizontal="center" vertical="center" wrapText="1"/>
    </xf>
    <xf numFmtId="0" fontId="3" fillId="0" borderId="9" xfId="24889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/>
    <xf numFmtId="15" fontId="4" fillId="0" borderId="1" xfId="0" applyNumberFormat="1" applyFont="1" applyBorder="1"/>
    <xf numFmtId="165" fontId="4" fillId="0" borderId="1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17" fontId="35" fillId="0" borderId="1" xfId="0" applyNumberFormat="1" applyFont="1" applyBorder="1"/>
    <xf numFmtId="15" fontId="35" fillId="0" borderId="1" xfId="0" applyNumberFormat="1" applyFont="1" applyBorder="1"/>
    <xf numFmtId="165" fontId="35" fillId="0" borderId="1" xfId="1" applyNumberFormat="1" applyFont="1" applyFill="1" applyBorder="1" applyAlignment="1">
      <alignment horizontal="center"/>
    </xf>
    <xf numFmtId="165" fontId="35" fillId="0" borderId="5" xfId="1" applyNumberFormat="1" applyFont="1" applyFill="1" applyBorder="1" applyAlignment="1">
      <alignment horizontal="center"/>
    </xf>
    <xf numFmtId="1" fontId="35" fillId="3" borderId="3" xfId="34040" applyNumberFormat="1" applyFont="1" applyFill="1" applyBorder="1" applyAlignment="1">
      <alignment horizontal="center" vertical="center"/>
    </xf>
    <xf numFmtId="0" fontId="35" fillId="3" borderId="3" xfId="34040" applyFont="1" applyFill="1" applyBorder="1" applyAlignment="1">
      <alignment horizontal="center" vertical="center"/>
    </xf>
    <xf numFmtId="1" fontId="35" fillId="0" borderId="1" xfId="34040" applyNumberFormat="1" applyFont="1" applyBorder="1" applyAlignment="1">
      <alignment horizontal="center" vertical="center"/>
    </xf>
    <xf numFmtId="0" fontId="35" fillId="0" borderId="1" xfId="34040" applyFont="1" applyBorder="1" applyAlignment="1">
      <alignment horizontal="center" vertical="center"/>
    </xf>
    <xf numFmtId="171" fontId="0" fillId="0" borderId="0" xfId="0" applyNumberFormat="1"/>
    <xf numFmtId="20" fontId="32" fillId="0" borderId="0" xfId="0" applyNumberFormat="1" applyFont="1"/>
    <xf numFmtId="1" fontId="4" fillId="3" borderId="3" xfId="34040" applyNumberFormat="1" applyFont="1" applyFill="1" applyBorder="1" applyAlignment="1">
      <alignment horizontal="center" vertical="center"/>
    </xf>
    <xf numFmtId="0" fontId="4" fillId="3" borderId="3" xfId="34040" applyFont="1" applyFill="1" applyBorder="1" applyAlignment="1">
      <alignment horizontal="center" vertical="center"/>
    </xf>
    <xf numFmtId="1" fontId="4" fillId="0" borderId="1" xfId="34040" applyNumberFormat="1" applyFont="1" applyBorder="1" applyAlignment="1">
      <alignment horizontal="center" vertical="center"/>
    </xf>
    <xf numFmtId="0" fontId="4" fillId="0" borderId="1" xfId="34040" applyFont="1" applyBorder="1" applyAlignment="1">
      <alignment horizontal="center" vertical="center"/>
    </xf>
    <xf numFmtId="0" fontId="32" fillId="0" borderId="0" xfId="0" applyFont="1"/>
    <xf numFmtId="0" fontId="8" fillId="13" borderId="13" xfId="0" applyFont="1" applyFill="1" applyBorder="1" applyAlignment="1">
      <alignment horizontal="center"/>
    </xf>
    <xf numFmtId="0" fontId="8" fillId="13" borderId="14" xfId="0" applyFont="1" applyFill="1" applyBorder="1" applyAlignment="1">
      <alignment horizontal="center"/>
    </xf>
    <xf numFmtId="0" fontId="8" fillId="13" borderId="15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 vertical="center"/>
    </xf>
    <xf numFmtId="0" fontId="11" fillId="12" borderId="16" xfId="0" applyFont="1" applyFill="1" applyBorder="1" applyAlignment="1">
      <alignment horizontal="center" vertical="center"/>
    </xf>
    <xf numFmtId="0" fontId="11" fillId="12" borderId="19" xfId="0" applyFont="1" applyFill="1" applyBorder="1" applyAlignment="1">
      <alignment horizontal="center" vertical="center"/>
    </xf>
    <xf numFmtId="0" fontId="11" fillId="12" borderId="2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" fontId="35" fillId="0" borderId="1" xfId="34040" applyNumberFormat="1" applyFont="1" applyFill="1" applyBorder="1" applyAlignment="1">
      <alignment horizontal="center" vertical="center"/>
    </xf>
    <xf numFmtId="0" fontId="35" fillId="0" borderId="1" xfId="3404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17" fontId="35" fillId="0" borderId="1" xfId="0" applyNumberFormat="1" applyFont="1" applyFill="1" applyBorder="1"/>
    <xf numFmtId="15" fontId="35" fillId="0" borderId="1" xfId="0" applyNumberFormat="1" applyFont="1" applyFill="1" applyBorder="1"/>
  </cellXfs>
  <cellStyles count="34044">
    <cellStyle name="20% - Accent1 10" xfId="2" xr:uid="{00000000-0005-0000-0000-000031000000}"/>
    <cellStyle name="20% - Accent1 10 2" xfId="3" xr:uid="{00000000-0005-0000-0000-000032000000}"/>
    <cellStyle name="20% - Accent1 10 2 2" xfId="4" xr:uid="{00000000-0005-0000-0000-000033000000}"/>
    <cellStyle name="20% - Accent1 10 3" xfId="5" xr:uid="{00000000-0005-0000-0000-000034000000}"/>
    <cellStyle name="20% - Accent1 11" xfId="6" xr:uid="{00000000-0005-0000-0000-000035000000}"/>
    <cellStyle name="20% - Accent1 11 2" xfId="7" xr:uid="{00000000-0005-0000-0000-000036000000}"/>
    <cellStyle name="20% - Accent1 12" xfId="8" xr:uid="{00000000-0005-0000-0000-000037000000}"/>
    <cellStyle name="20% - Accent1 13" xfId="9" xr:uid="{00000000-0005-0000-0000-000038000000}"/>
    <cellStyle name="20% - Accent1 2" xfId="10" xr:uid="{00000000-0005-0000-0000-000039000000}"/>
    <cellStyle name="20% - Accent1 2 10" xfId="11" xr:uid="{00000000-0005-0000-0000-00003A000000}"/>
    <cellStyle name="20% - Accent1 2 10 2" xfId="12" xr:uid="{00000000-0005-0000-0000-00003B000000}"/>
    <cellStyle name="20% - Accent1 2 11" xfId="13" xr:uid="{00000000-0005-0000-0000-00003C000000}"/>
    <cellStyle name="20% - Accent1 2 2" xfId="14" xr:uid="{00000000-0005-0000-0000-00003D000000}"/>
    <cellStyle name="20% - Accent1 2 2 10" xfId="15" xr:uid="{00000000-0005-0000-0000-00003E000000}"/>
    <cellStyle name="20% - Accent1 2 2 2" xfId="16" xr:uid="{00000000-0005-0000-0000-00003F000000}"/>
    <cellStyle name="20% - Accent1 2 2 2 2" xfId="17" xr:uid="{00000000-0005-0000-0000-000040000000}"/>
    <cellStyle name="20% - Accent1 2 2 2 2 2" xfId="18" xr:uid="{00000000-0005-0000-0000-000041000000}"/>
    <cellStyle name="20% - Accent1 2 2 2 2 2 2" xfId="19" xr:uid="{00000000-0005-0000-0000-000042000000}"/>
    <cellStyle name="20% - Accent1 2 2 2 2 2 2 2" xfId="20" xr:uid="{00000000-0005-0000-0000-000043000000}"/>
    <cellStyle name="20% - Accent1 2 2 2 2 2 2 2 2" xfId="21" xr:uid="{00000000-0005-0000-0000-000044000000}"/>
    <cellStyle name="20% - Accent1 2 2 2 2 2 2 2 2 2" xfId="22" xr:uid="{00000000-0005-0000-0000-000045000000}"/>
    <cellStyle name="20% - Accent1 2 2 2 2 2 2 2 2 2 2" xfId="23" xr:uid="{00000000-0005-0000-0000-000046000000}"/>
    <cellStyle name="20% - Accent1 2 2 2 2 2 2 2 2 2 2 2" xfId="24" xr:uid="{00000000-0005-0000-0000-000047000000}"/>
    <cellStyle name="20% - Accent1 2 2 2 2 2 2 2 2 2 3" xfId="25" xr:uid="{00000000-0005-0000-0000-000048000000}"/>
    <cellStyle name="20% - Accent1 2 2 2 2 2 2 2 2 3" xfId="26" xr:uid="{00000000-0005-0000-0000-000049000000}"/>
    <cellStyle name="20% - Accent1 2 2 2 2 2 2 2 2 3 2" xfId="27" xr:uid="{00000000-0005-0000-0000-00004A000000}"/>
    <cellStyle name="20% - Accent1 2 2 2 2 2 2 2 2 4" xfId="28" xr:uid="{00000000-0005-0000-0000-00004B000000}"/>
    <cellStyle name="20% - Accent1 2 2 2 2 2 2 2 3" xfId="29" xr:uid="{00000000-0005-0000-0000-00004C000000}"/>
    <cellStyle name="20% - Accent1 2 2 2 2 2 2 2 3 2" xfId="30" xr:uid="{00000000-0005-0000-0000-00004D000000}"/>
    <cellStyle name="20% - Accent1 2 2 2 2 2 2 2 3 2 2" xfId="31" xr:uid="{00000000-0005-0000-0000-00004E000000}"/>
    <cellStyle name="20% - Accent1 2 2 2 2 2 2 2 3 3" xfId="32" xr:uid="{00000000-0005-0000-0000-00004F000000}"/>
    <cellStyle name="20% - Accent1 2 2 2 2 2 2 2 4" xfId="33" xr:uid="{00000000-0005-0000-0000-000050000000}"/>
    <cellStyle name="20% - Accent1 2 2 2 2 2 2 2 4 2" xfId="34" xr:uid="{00000000-0005-0000-0000-000051000000}"/>
    <cellStyle name="20% - Accent1 2 2 2 2 2 2 2 5" xfId="35" xr:uid="{00000000-0005-0000-0000-000052000000}"/>
    <cellStyle name="20% - Accent1 2 2 2 2 2 2 3" xfId="36" xr:uid="{00000000-0005-0000-0000-000053000000}"/>
    <cellStyle name="20% - Accent1 2 2 2 2 2 2 3 2" xfId="37" xr:uid="{00000000-0005-0000-0000-000054000000}"/>
    <cellStyle name="20% - Accent1 2 2 2 2 2 2 3 2 2" xfId="38" xr:uid="{00000000-0005-0000-0000-000055000000}"/>
    <cellStyle name="20% - Accent1 2 2 2 2 2 2 3 2 2 2" xfId="39" xr:uid="{00000000-0005-0000-0000-000056000000}"/>
    <cellStyle name="20% - Accent1 2 2 2 2 2 2 3 2 3" xfId="40" xr:uid="{00000000-0005-0000-0000-000057000000}"/>
    <cellStyle name="20% - Accent1 2 2 2 2 2 2 3 3" xfId="41" xr:uid="{00000000-0005-0000-0000-000058000000}"/>
    <cellStyle name="20% - Accent1 2 2 2 2 2 2 3 3 2" xfId="42" xr:uid="{00000000-0005-0000-0000-000059000000}"/>
    <cellStyle name="20% - Accent1 2 2 2 2 2 2 3 4" xfId="43" xr:uid="{00000000-0005-0000-0000-00005A000000}"/>
    <cellStyle name="20% - Accent1 2 2 2 2 2 2 4" xfId="44" xr:uid="{00000000-0005-0000-0000-00005B000000}"/>
    <cellStyle name="20% - Accent1 2 2 2 2 2 2 4 2" xfId="45" xr:uid="{00000000-0005-0000-0000-00005C000000}"/>
    <cellStyle name="20% - Accent1 2 2 2 2 2 2 4 2 2" xfId="46" xr:uid="{00000000-0005-0000-0000-00005D000000}"/>
    <cellStyle name="20% - Accent1 2 2 2 2 2 2 4 3" xfId="47" xr:uid="{00000000-0005-0000-0000-00005E000000}"/>
    <cellStyle name="20% - Accent1 2 2 2 2 2 2 5" xfId="48" xr:uid="{00000000-0005-0000-0000-00005F000000}"/>
    <cellStyle name="20% - Accent1 2 2 2 2 2 2 5 2" xfId="49" xr:uid="{00000000-0005-0000-0000-000060000000}"/>
    <cellStyle name="20% - Accent1 2 2 2 2 2 2 6" xfId="50" xr:uid="{00000000-0005-0000-0000-000061000000}"/>
    <cellStyle name="20% - Accent1 2 2 2 2 2 3" xfId="51" xr:uid="{00000000-0005-0000-0000-000062000000}"/>
    <cellStyle name="20% - Accent1 2 2 2 2 2 3 2" xfId="52" xr:uid="{00000000-0005-0000-0000-000063000000}"/>
    <cellStyle name="20% - Accent1 2 2 2 2 2 3 2 2" xfId="53" xr:uid="{00000000-0005-0000-0000-000064000000}"/>
    <cellStyle name="20% - Accent1 2 2 2 2 2 3 2 2 2" xfId="54" xr:uid="{00000000-0005-0000-0000-000065000000}"/>
    <cellStyle name="20% - Accent1 2 2 2 2 2 3 2 2 2 2" xfId="55" xr:uid="{00000000-0005-0000-0000-000066000000}"/>
    <cellStyle name="20% - Accent1 2 2 2 2 2 3 2 2 3" xfId="56" xr:uid="{00000000-0005-0000-0000-000067000000}"/>
    <cellStyle name="20% - Accent1 2 2 2 2 2 3 2 3" xfId="57" xr:uid="{00000000-0005-0000-0000-000068000000}"/>
    <cellStyle name="20% - Accent1 2 2 2 2 2 3 2 3 2" xfId="58" xr:uid="{00000000-0005-0000-0000-000069000000}"/>
    <cellStyle name="20% - Accent1 2 2 2 2 2 3 2 4" xfId="59" xr:uid="{00000000-0005-0000-0000-00006A000000}"/>
    <cellStyle name="20% - Accent1 2 2 2 2 2 3 3" xfId="60" xr:uid="{00000000-0005-0000-0000-00006B000000}"/>
    <cellStyle name="20% - Accent1 2 2 2 2 2 3 3 2" xfId="61" xr:uid="{00000000-0005-0000-0000-00006C000000}"/>
    <cellStyle name="20% - Accent1 2 2 2 2 2 3 3 2 2" xfId="62" xr:uid="{00000000-0005-0000-0000-00006D000000}"/>
    <cellStyle name="20% - Accent1 2 2 2 2 2 3 3 3" xfId="63" xr:uid="{00000000-0005-0000-0000-00006E000000}"/>
    <cellStyle name="20% - Accent1 2 2 2 2 2 3 4" xfId="64" xr:uid="{00000000-0005-0000-0000-00006F000000}"/>
    <cellStyle name="20% - Accent1 2 2 2 2 2 3 4 2" xfId="65" xr:uid="{00000000-0005-0000-0000-000070000000}"/>
    <cellStyle name="20% - Accent1 2 2 2 2 2 3 5" xfId="66" xr:uid="{00000000-0005-0000-0000-000071000000}"/>
    <cellStyle name="20% - Accent1 2 2 2 2 2 4" xfId="67" xr:uid="{00000000-0005-0000-0000-000072000000}"/>
    <cellStyle name="20% - Accent1 2 2 2 2 2 4 2" xfId="68" xr:uid="{00000000-0005-0000-0000-000073000000}"/>
    <cellStyle name="20% - Accent1 2 2 2 2 2 4 2 2" xfId="69" xr:uid="{00000000-0005-0000-0000-000074000000}"/>
    <cellStyle name="20% - Accent1 2 2 2 2 2 4 2 2 2" xfId="70" xr:uid="{00000000-0005-0000-0000-000075000000}"/>
    <cellStyle name="20% - Accent1 2 2 2 2 2 4 2 3" xfId="71" xr:uid="{00000000-0005-0000-0000-000076000000}"/>
    <cellStyle name="20% - Accent1 2 2 2 2 2 4 3" xfId="72" xr:uid="{00000000-0005-0000-0000-000077000000}"/>
    <cellStyle name="20% - Accent1 2 2 2 2 2 4 3 2" xfId="73" xr:uid="{00000000-0005-0000-0000-000078000000}"/>
    <cellStyle name="20% - Accent1 2 2 2 2 2 4 4" xfId="74" xr:uid="{00000000-0005-0000-0000-000079000000}"/>
    <cellStyle name="20% - Accent1 2 2 2 2 2 5" xfId="75" xr:uid="{00000000-0005-0000-0000-00007A000000}"/>
    <cellStyle name="20% - Accent1 2 2 2 2 2 5 2" xfId="76" xr:uid="{00000000-0005-0000-0000-00007B000000}"/>
    <cellStyle name="20% - Accent1 2 2 2 2 2 5 2 2" xfId="77" xr:uid="{00000000-0005-0000-0000-00007C000000}"/>
    <cellStyle name="20% - Accent1 2 2 2 2 2 5 3" xfId="78" xr:uid="{00000000-0005-0000-0000-00007D000000}"/>
    <cellStyle name="20% - Accent1 2 2 2 2 2 6" xfId="79" xr:uid="{00000000-0005-0000-0000-00007E000000}"/>
    <cellStyle name="20% - Accent1 2 2 2 2 2 6 2" xfId="80" xr:uid="{00000000-0005-0000-0000-00007F000000}"/>
    <cellStyle name="20% - Accent1 2 2 2 2 2 7" xfId="81" xr:uid="{00000000-0005-0000-0000-000080000000}"/>
    <cellStyle name="20% - Accent1 2 2 2 2 3" xfId="82" xr:uid="{00000000-0005-0000-0000-000081000000}"/>
    <cellStyle name="20% - Accent1 2 2 2 2 3 2" xfId="83" xr:uid="{00000000-0005-0000-0000-000082000000}"/>
    <cellStyle name="20% - Accent1 2 2 2 2 3 2 2" xfId="84" xr:uid="{00000000-0005-0000-0000-000083000000}"/>
    <cellStyle name="20% - Accent1 2 2 2 2 3 2 2 2" xfId="85" xr:uid="{00000000-0005-0000-0000-000084000000}"/>
    <cellStyle name="20% - Accent1 2 2 2 2 3 2 2 2 2" xfId="86" xr:uid="{00000000-0005-0000-0000-000085000000}"/>
    <cellStyle name="20% - Accent1 2 2 2 2 3 2 2 2 2 2" xfId="87" xr:uid="{00000000-0005-0000-0000-000086000000}"/>
    <cellStyle name="20% - Accent1 2 2 2 2 3 2 2 2 3" xfId="88" xr:uid="{00000000-0005-0000-0000-000087000000}"/>
    <cellStyle name="20% - Accent1 2 2 2 2 3 2 2 3" xfId="89" xr:uid="{00000000-0005-0000-0000-000088000000}"/>
    <cellStyle name="20% - Accent1 2 2 2 2 3 2 2 3 2" xfId="90" xr:uid="{00000000-0005-0000-0000-000089000000}"/>
    <cellStyle name="20% - Accent1 2 2 2 2 3 2 2 4" xfId="91" xr:uid="{00000000-0005-0000-0000-00008A000000}"/>
    <cellStyle name="20% - Accent1 2 2 2 2 3 2 3" xfId="92" xr:uid="{00000000-0005-0000-0000-00008B000000}"/>
    <cellStyle name="20% - Accent1 2 2 2 2 3 2 3 2" xfId="93" xr:uid="{00000000-0005-0000-0000-00008C000000}"/>
    <cellStyle name="20% - Accent1 2 2 2 2 3 2 3 2 2" xfId="94" xr:uid="{00000000-0005-0000-0000-00008D000000}"/>
    <cellStyle name="20% - Accent1 2 2 2 2 3 2 3 3" xfId="95" xr:uid="{00000000-0005-0000-0000-00008E000000}"/>
    <cellStyle name="20% - Accent1 2 2 2 2 3 2 4" xfId="96" xr:uid="{00000000-0005-0000-0000-00008F000000}"/>
    <cellStyle name="20% - Accent1 2 2 2 2 3 2 4 2" xfId="97" xr:uid="{00000000-0005-0000-0000-000090000000}"/>
    <cellStyle name="20% - Accent1 2 2 2 2 3 2 5" xfId="98" xr:uid="{00000000-0005-0000-0000-000091000000}"/>
    <cellStyle name="20% - Accent1 2 2 2 2 3 3" xfId="99" xr:uid="{00000000-0005-0000-0000-000092000000}"/>
    <cellStyle name="20% - Accent1 2 2 2 2 3 3 2" xfId="100" xr:uid="{00000000-0005-0000-0000-000093000000}"/>
    <cellStyle name="20% - Accent1 2 2 2 2 3 3 2 2" xfId="101" xr:uid="{00000000-0005-0000-0000-000094000000}"/>
    <cellStyle name="20% - Accent1 2 2 2 2 3 3 2 2 2" xfId="102" xr:uid="{00000000-0005-0000-0000-000095000000}"/>
    <cellStyle name="20% - Accent1 2 2 2 2 3 3 2 3" xfId="103" xr:uid="{00000000-0005-0000-0000-000096000000}"/>
    <cellStyle name="20% - Accent1 2 2 2 2 3 3 3" xfId="104" xr:uid="{00000000-0005-0000-0000-000097000000}"/>
    <cellStyle name="20% - Accent1 2 2 2 2 3 3 3 2" xfId="105" xr:uid="{00000000-0005-0000-0000-000098000000}"/>
    <cellStyle name="20% - Accent1 2 2 2 2 3 3 4" xfId="106" xr:uid="{00000000-0005-0000-0000-000099000000}"/>
    <cellStyle name="20% - Accent1 2 2 2 2 3 4" xfId="107" xr:uid="{00000000-0005-0000-0000-00009A000000}"/>
    <cellStyle name="20% - Accent1 2 2 2 2 3 4 2" xfId="108" xr:uid="{00000000-0005-0000-0000-00009B000000}"/>
    <cellStyle name="20% - Accent1 2 2 2 2 3 4 2 2" xfId="109" xr:uid="{00000000-0005-0000-0000-00009C000000}"/>
    <cellStyle name="20% - Accent1 2 2 2 2 3 4 3" xfId="110" xr:uid="{00000000-0005-0000-0000-00009D000000}"/>
    <cellStyle name="20% - Accent1 2 2 2 2 3 5" xfId="111" xr:uid="{00000000-0005-0000-0000-00009E000000}"/>
    <cellStyle name="20% - Accent1 2 2 2 2 3 5 2" xfId="112" xr:uid="{00000000-0005-0000-0000-00009F000000}"/>
    <cellStyle name="20% - Accent1 2 2 2 2 3 6" xfId="113" xr:uid="{00000000-0005-0000-0000-0000A0000000}"/>
    <cellStyle name="20% - Accent1 2 2 2 2 4" xfId="114" xr:uid="{00000000-0005-0000-0000-0000A1000000}"/>
    <cellStyle name="20% - Accent1 2 2 2 2 4 2" xfId="115" xr:uid="{00000000-0005-0000-0000-0000A2000000}"/>
    <cellStyle name="20% - Accent1 2 2 2 2 4 2 2" xfId="116" xr:uid="{00000000-0005-0000-0000-0000A3000000}"/>
    <cellStyle name="20% - Accent1 2 2 2 2 4 2 2 2" xfId="117" xr:uid="{00000000-0005-0000-0000-0000A4000000}"/>
    <cellStyle name="20% - Accent1 2 2 2 2 4 2 2 2 2" xfId="118" xr:uid="{00000000-0005-0000-0000-0000A5000000}"/>
    <cellStyle name="20% - Accent1 2 2 2 2 4 2 2 3" xfId="119" xr:uid="{00000000-0005-0000-0000-0000A6000000}"/>
    <cellStyle name="20% - Accent1 2 2 2 2 4 2 3" xfId="120" xr:uid="{00000000-0005-0000-0000-0000A7000000}"/>
    <cellStyle name="20% - Accent1 2 2 2 2 4 2 3 2" xfId="121" xr:uid="{00000000-0005-0000-0000-0000A8000000}"/>
    <cellStyle name="20% - Accent1 2 2 2 2 4 2 4" xfId="122" xr:uid="{00000000-0005-0000-0000-0000A9000000}"/>
    <cellStyle name="20% - Accent1 2 2 2 2 4 3" xfId="123" xr:uid="{00000000-0005-0000-0000-0000AA000000}"/>
    <cellStyle name="20% - Accent1 2 2 2 2 4 3 2" xfId="124" xr:uid="{00000000-0005-0000-0000-0000AB000000}"/>
    <cellStyle name="20% - Accent1 2 2 2 2 4 3 2 2" xfId="125" xr:uid="{00000000-0005-0000-0000-0000AC000000}"/>
    <cellStyle name="20% - Accent1 2 2 2 2 4 3 3" xfId="126" xr:uid="{00000000-0005-0000-0000-0000AD000000}"/>
    <cellStyle name="20% - Accent1 2 2 2 2 4 4" xfId="127" xr:uid="{00000000-0005-0000-0000-0000AE000000}"/>
    <cellStyle name="20% - Accent1 2 2 2 2 4 4 2" xfId="128" xr:uid="{00000000-0005-0000-0000-0000AF000000}"/>
    <cellStyle name="20% - Accent1 2 2 2 2 4 5" xfId="129" xr:uid="{00000000-0005-0000-0000-0000B0000000}"/>
    <cellStyle name="20% - Accent1 2 2 2 2 5" xfId="130" xr:uid="{00000000-0005-0000-0000-0000B1000000}"/>
    <cellStyle name="20% - Accent1 2 2 2 2 5 2" xfId="131" xr:uid="{00000000-0005-0000-0000-0000B2000000}"/>
    <cellStyle name="20% - Accent1 2 2 2 2 5 2 2" xfId="132" xr:uid="{00000000-0005-0000-0000-0000B3000000}"/>
    <cellStyle name="20% - Accent1 2 2 2 2 5 2 2 2" xfId="133" xr:uid="{00000000-0005-0000-0000-0000B4000000}"/>
    <cellStyle name="20% - Accent1 2 2 2 2 5 2 3" xfId="134" xr:uid="{00000000-0005-0000-0000-0000B5000000}"/>
    <cellStyle name="20% - Accent1 2 2 2 2 5 3" xfId="135" xr:uid="{00000000-0005-0000-0000-0000B6000000}"/>
    <cellStyle name="20% - Accent1 2 2 2 2 5 3 2" xfId="136" xr:uid="{00000000-0005-0000-0000-0000B7000000}"/>
    <cellStyle name="20% - Accent1 2 2 2 2 5 4" xfId="137" xr:uid="{00000000-0005-0000-0000-0000B8000000}"/>
    <cellStyle name="20% - Accent1 2 2 2 2 6" xfId="138" xr:uid="{00000000-0005-0000-0000-0000B9000000}"/>
    <cellStyle name="20% - Accent1 2 2 2 2 6 2" xfId="139" xr:uid="{00000000-0005-0000-0000-0000BA000000}"/>
    <cellStyle name="20% - Accent1 2 2 2 2 6 2 2" xfId="140" xr:uid="{00000000-0005-0000-0000-0000BB000000}"/>
    <cellStyle name="20% - Accent1 2 2 2 2 6 3" xfId="141" xr:uid="{00000000-0005-0000-0000-0000BC000000}"/>
    <cellStyle name="20% - Accent1 2 2 2 2 7" xfId="142" xr:uid="{00000000-0005-0000-0000-0000BD000000}"/>
    <cellStyle name="20% - Accent1 2 2 2 2 7 2" xfId="143" xr:uid="{00000000-0005-0000-0000-0000BE000000}"/>
    <cellStyle name="20% - Accent1 2 2 2 2 8" xfId="144" xr:uid="{00000000-0005-0000-0000-0000BF000000}"/>
    <cellStyle name="20% - Accent1 2 2 2 3" xfId="145" xr:uid="{00000000-0005-0000-0000-0000C0000000}"/>
    <cellStyle name="20% - Accent1 2 2 2 3 2" xfId="146" xr:uid="{00000000-0005-0000-0000-0000C1000000}"/>
    <cellStyle name="20% - Accent1 2 2 2 3 2 2" xfId="147" xr:uid="{00000000-0005-0000-0000-0000C2000000}"/>
    <cellStyle name="20% - Accent1 2 2 2 3 2 2 2" xfId="148" xr:uid="{00000000-0005-0000-0000-0000C3000000}"/>
    <cellStyle name="20% - Accent1 2 2 2 3 2 2 2 2" xfId="149" xr:uid="{00000000-0005-0000-0000-0000C4000000}"/>
    <cellStyle name="20% - Accent1 2 2 2 3 2 2 2 2 2" xfId="150" xr:uid="{00000000-0005-0000-0000-0000C5000000}"/>
    <cellStyle name="20% - Accent1 2 2 2 3 2 2 2 2 2 2" xfId="151" xr:uid="{00000000-0005-0000-0000-0000C6000000}"/>
    <cellStyle name="20% - Accent1 2 2 2 3 2 2 2 2 3" xfId="152" xr:uid="{00000000-0005-0000-0000-0000C7000000}"/>
    <cellStyle name="20% - Accent1 2 2 2 3 2 2 2 3" xfId="153" xr:uid="{00000000-0005-0000-0000-0000C8000000}"/>
    <cellStyle name="20% - Accent1 2 2 2 3 2 2 2 3 2" xfId="154" xr:uid="{00000000-0005-0000-0000-0000C9000000}"/>
    <cellStyle name="20% - Accent1 2 2 2 3 2 2 2 4" xfId="155" xr:uid="{00000000-0005-0000-0000-0000CA000000}"/>
    <cellStyle name="20% - Accent1 2 2 2 3 2 2 3" xfId="156" xr:uid="{00000000-0005-0000-0000-0000CB000000}"/>
    <cellStyle name="20% - Accent1 2 2 2 3 2 2 3 2" xfId="157" xr:uid="{00000000-0005-0000-0000-0000CC000000}"/>
    <cellStyle name="20% - Accent1 2 2 2 3 2 2 3 2 2" xfId="158" xr:uid="{00000000-0005-0000-0000-0000CD000000}"/>
    <cellStyle name="20% - Accent1 2 2 2 3 2 2 3 3" xfId="159" xr:uid="{00000000-0005-0000-0000-0000CE000000}"/>
    <cellStyle name="20% - Accent1 2 2 2 3 2 2 4" xfId="160" xr:uid="{00000000-0005-0000-0000-0000CF000000}"/>
    <cellStyle name="20% - Accent1 2 2 2 3 2 2 4 2" xfId="161" xr:uid="{00000000-0005-0000-0000-0000D0000000}"/>
    <cellStyle name="20% - Accent1 2 2 2 3 2 2 5" xfId="162" xr:uid="{00000000-0005-0000-0000-0000D1000000}"/>
    <cellStyle name="20% - Accent1 2 2 2 3 2 3" xfId="163" xr:uid="{00000000-0005-0000-0000-0000D2000000}"/>
    <cellStyle name="20% - Accent1 2 2 2 3 2 3 2" xfId="164" xr:uid="{00000000-0005-0000-0000-0000D3000000}"/>
    <cellStyle name="20% - Accent1 2 2 2 3 2 3 2 2" xfId="165" xr:uid="{00000000-0005-0000-0000-0000D4000000}"/>
    <cellStyle name="20% - Accent1 2 2 2 3 2 3 2 2 2" xfId="166" xr:uid="{00000000-0005-0000-0000-0000D5000000}"/>
    <cellStyle name="20% - Accent1 2 2 2 3 2 3 2 3" xfId="167" xr:uid="{00000000-0005-0000-0000-0000D6000000}"/>
    <cellStyle name="20% - Accent1 2 2 2 3 2 3 3" xfId="168" xr:uid="{00000000-0005-0000-0000-0000D7000000}"/>
    <cellStyle name="20% - Accent1 2 2 2 3 2 3 3 2" xfId="169" xr:uid="{00000000-0005-0000-0000-0000D8000000}"/>
    <cellStyle name="20% - Accent1 2 2 2 3 2 3 4" xfId="170" xr:uid="{00000000-0005-0000-0000-0000D9000000}"/>
    <cellStyle name="20% - Accent1 2 2 2 3 2 4" xfId="171" xr:uid="{00000000-0005-0000-0000-0000DA000000}"/>
    <cellStyle name="20% - Accent1 2 2 2 3 2 4 2" xfId="172" xr:uid="{00000000-0005-0000-0000-0000DB000000}"/>
    <cellStyle name="20% - Accent1 2 2 2 3 2 4 2 2" xfId="173" xr:uid="{00000000-0005-0000-0000-0000DC000000}"/>
    <cellStyle name="20% - Accent1 2 2 2 3 2 4 3" xfId="174" xr:uid="{00000000-0005-0000-0000-0000DD000000}"/>
    <cellStyle name="20% - Accent1 2 2 2 3 2 5" xfId="175" xr:uid="{00000000-0005-0000-0000-0000DE000000}"/>
    <cellStyle name="20% - Accent1 2 2 2 3 2 5 2" xfId="176" xr:uid="{00000000-0005-0000-0000-0000DF000000}"/>
    <cellStyle name="20% - Accent1 2 2 2 3 2 6" xfId="177" xr:uid="{00000000-0005-0000-0000-0000E0000000}"/>
    <cellStyle name="20% - Accent1 2 2 2 3 3" xfId="178" xr:uid="{00000000-0005-0000-0000-0000E1000000}"/>
    <cellStyle name="20% - Accent1 2 2 2 3 3 2" xfId="179" xr:uid="{00000000-0005-0000-0000-0000E2000000}"/>
    <cellStyle name="20% - Accent1 2 2 2 3 3 2 2" xfId="180" xr:uid="{00000000-0005-0000-0000-0000E3000000}"/>
    <cellStyle name="20% - Accent1 2 2 2 3 3 2 2 2" xfId="181" xr:uid="{00000000-0005-0000-0000-0000E4000000}"/>
    <cellStyle name="20% - Accent1 2 2 2 3 3 2 2 2 2" xfId="182" xr:uid="{00000000-0005-0000-0000-0000E5000000}"/>
    <cellStyle name="20% - Accent1 2 2 2 3 3 2 2 3" xfId="183" xr:uid="{00000000-0005-0000-0000-0000E6000000}"/>
    <cellStyle name="20% - Accent1 2 2 2 3 3 2 3" xfId="184" xr:uid="{00000000-0005-0000-0000-0000E7000000}"/>
    <cellStyle name="20% - Accent1 2 2 2 3 3 2 3 2" xfId="185" xr:uid="{00000000-0005-0000-0000-0000E8000000}"/>
    <cellStyle name="20% - Accent1 2 2 2 3 3 2 4" xfId="186" xr:uid="{00000000-0005-0000-0000-0000E9000000}"/>
    <cellStyle name="20% - Accent1 2 2 2 3 3 3" xfId="187" xr:uid="{00000000-0005-0000-0000-0000EA000000}"/>
    <cellStyle name="20% - Accent1 2 2 2 3 3 3 2" xfId="188" xr:uid="{00000000-0005-0000-0000-0000EB000000}"/>
    <cellStyle name="20% - Accent1 2 2 2 3 3 3 2 2" xfId="189" xr:uid="{00000000-0005-0000-0000-0000EC000000}"/>
    <cellStyle name="20% - Accent1 2 2 2 3 3 3 3" xfId="190" xr:uid="{00000000-0005-0000-0000-0000ED000000}"/>
    <cellStyle name="20% - Accent1 2 2 2 3 3 4" xfId="191" xr:uid="{00000000-0005-0000-0000-0000EE000000}"/>
    <cellStyle name="20% - Accent1 2 2 2 3 3 4 2" xfId="192" xr:uid="{00000000-0005-0000-0000-0000EF000000}"/>
    <cellStyle name="20% - Accent1 2 2 2 3 3 5" xfId="193" xr:uid="{00000000-0005-0000-0000-0000F0000000}"/>
    <cellStyle name="20% - Accent1 2 2 2 3 4" xfId="194" xr:uid="{00000000-0005-0000-0000-0000F1000000}"/>
    <cellStyle name="20% - Accent1 2 2 2 3 4 2" xfId="195" xr:uid="{00000000-0005-0000-0000-0000F2000000}"/>
    <cellStyle name="20% - Accent1 2 2 2 3 4 2 2" xfId="196" xr:uid="{00000000-0005-0000-0000-0000F3000000}"/>
    <cellStyle name="20% - Accent1 2 2 2 3 4 2 2 2" xfId="197" xr:uid="{00000000-0005-0000-0000-0000F4000000}"/>
    <cellStyle name="20% - Accent1 2 2 2 3 4 2 3" xfId="198" xr:uid="{00000000-0005-0000-0000-0000F5000000}"/>
    <cellStyle name="20% - Accent1 2 2 2 3 4 3" xfId="199" xr:uid="{00000000-0005-0000-0000-0000F6000000}"/>
    <cellStyle name="20% - Accent1 2 2 2 3 4 3 2" xfId="200" xr:uid="{00000000-0005-0000-0000-0000F7000000}"/>
    <cellStyle name="20% - Accent1 2 2 2 3 4 4" xfId="201" xr:uid="{00000000-0005-0000-0000-0000F8000000}"/>
    <cellStyle name="20% - Accent1 2 2 2 3 5" xfId="202" xr:uid="{00000000-0005-0000-0000-0000F9000000}"/>
    <cellStyle name="20% - Accent1 2 2 2 3 5 2" xfId="203" xr:uid="{00000000-0005-0000-0000-0000FA000000}"/>
    <cellStyle name="20% - Accent1 2 2 2 3 5 2 2" xfId="204" xr:uid="{00000000-0005-0000-0000-0000FB000000}"/>
    <cellStyle name="20% - Accent1 2 2 2 3 5 3" xfId="205" xr:uid="{00000000-0005-0000-0000-0000FC000000}"/>
    <cellStyle name="20% - Accent1 2 2 2 3 6" xfId="206" xr:uid="{00000000-0005-0000-0000-0000FD000000}"/>
    <cellStyle name="20% - Accent1 2 2 2 3 6 2" xfId="207" xr:uid="{00000000-0005-0000-0000-0000FE000000}"/>
    <cellStyle name="20% - Accent1 2 2 2 3 7" xfId="208" xr:uid="{00000000-0005-0000-0000-0000FF000000}"/>
    <cellStyle name="20% - Accent1 2 2 2 4" xfId="209" xr:uid="{00000000-0005-0000-0000-000000010000}"/>
    <cellStyle name="20% - Accent1 2 2 2 4 2" xfId="210" xr:uid="{00000000-0005-0000-0000-000001010000}"/>
    <cellStyle name="20% - Accent1 2 2 2 4 2 2" xfId="211" xr:uid="{00000000-0005-0000-0000-000002010000}"/>
    <cellStyle name="20% - Accent1 2 2 2 4 2 2 2" xfId="212" xr:uid="{00000000-0005-0000-0000-000003010000}"/>
    <cellStyle name="20% - Accent1 2 2 2 4 2 2 2 2" xfId="213" xr:uid="{00000000-0005-0000-0000-000004010000}"/>
    <cellStyle name="20% - Accent1 2 2 2 4 2 2 2 2 2" xfId="214" xr:uid="{00000000-0005-0000-0000-000005010000}"/>
    <cellStyle name="20% - Accent1 2 2 2 4 2 2 2 3" xfId="215" xr:uid="{00000000-0005-0000-0000-000006010000}"/>
    <cellStyle name="20% - Accent1 2 2 2 4 2 2 3" xfId="216" xr:uid="{00000000-0005-0000-0000-000007010000}"/>
    <cellStyle name="20% - Accent1 2 2 2 4 2 2 3 2" xfId="217" xr:uid="{00000000-0005-0000-0000-000008010000}"/>
    <cellStyle name="20% - Accent1 2 2 2 4 2 2 4" xfId="218" xr:uid="{00000000-0005-0000-0000-000009010000}"/>
    <cellStyle name="20% - Accent1 2 2 2 4 2 3" xfId="219" xr:uid="{00000000-0005-0000-0000-00000A010000}"/>
    <cellStyle name="20% - Accent1 2 2 2 4 2 3 2" xfId="220" xr:uid="{00000000-0005-0000-0000-00000B010000}"/>
    <cellStyle name="20% - Accent1 2 2 2 4 2 3 2 2" xfId="221" xr:uid="{00000000-0005-0000-0000-00000C010000}"/>
    <cellStyle name="20% - Accent1 2 2 2 4 2 3 3" xfId="222" xr:uid="{00000000-0005-0000-0000-00000D010000}"/>
    <cellStyle name="20% - Accent1 2 2 2 4 2 4" xfId="223" xr:uid="{00000000-0005-0000-0000-00000E010000}"/>
    <cellStyle name="20% - Accent1 2 2 2 4 2 4 2" xfId="224" xr:uid="{00000000-0005-0000-0000-00000F010000}"/>
    <cellStyle name="20% - Accent1 2 2 2 4 2 5" xfId="225" xr:uid="{00000000-0005-0000-0000-000010010000}"/>
    <cellStyle name="20% - Accent1 2 2 2 4 3" xfId="226" xr:uid="{00000000-0005-0000-0000-000011010000}"/>
    <cellStyle name="20% - Accent1 2 2 2 4 3 2" xfId="227" xr:uid="{00000000-0005-0000-0000-000012010000}"/>
    <cellStyle name="20% - Accent1 2 2 2 4 3 2 2" xfId="228" xr:uid="{00000000-0005-0000-0000-000013010000}"/>
    <cellStyle name="20% - Accent1 2 2 2 4 3 2 2 2" xfId="229" xr:uid="{00000000-0005-0000-0000-000014010000}"/>
    <cellStyle name="20% - Accent1 2 2 2 4 3 2 3" xfId="230" xr:uid="{00000000-0005-0000-0000-000015010000}"/>
    <cellStyle name="20% - Accent1 2 2 2 4 3 3" xfId="231" xr:uid="{00000000-0005-0000-0000-000016010000}"/>
    <cellStyle name="20% - Accent1 2 2 2 4 3 3 2" xfId="232" xr:uid="{00000000-0005-0000-0000-000017010000}"/>
    <cellStyle name="20% - Accent1 2 2 2 4 3 4" xfId="233" xr:uid="{00000000-0005-0000-0000-000018010000}"/>
    <cellStyle name="20% - Accent1 2 2 2 4 4" xfId="234" xr:uid="{00000000-0005-0000-0000-000019010000}"/>
    <cellStyle name="20% - Accent1 2 2 2 4 4 2" xfId="235" xr:uid="{00000000-0005-0000-0000-00001A010000}"/>
    <cellStyle name="20% - Accent1 2 2 2 4 4 2 2" xfId="236" xr:uid="{00000000-0005-0000-0000-00001B010000}"/>
    <cellStyle name="20% - Accent1 2 2 2 4 4 3" xfId="237" xr:uid="{00000000-0005-0000-0000-00001C010000}"/>
    <cellStyle name="20% - Accent1 2 2 2 4 5" xfId="238" xr:uid="{00000000-0005-0000-0000-00001D010000}"/>
    <cellStyle name="20% - Accent1 2 2 2 4 5 2" xfId="239" xr:uid="{00000000-0005-0000-0000-00001E010000}"/>
    <cellStyle name="20% - Accent1 2 2 2 4 6" xfId="240" xr:uid="{00000000-0005-0000-0000-00001F010000}"/>
    <cellStyle name="20% - Accent1 2 2 2 5" xfId="241" xr:uid="{00000000-0005-0000-0000-000020010000}"/>
    <cellStyle name="20% - Accent1 2 2 2 5 2" xfId="242" xr:uid="{00000000-0005-0000-0000-000021010000}"/>
    <cellStyle name="20% - Accent1 2 2 2 5 2 2" xfId="243" xr:uid="{00000000-0005-0000-0000-000022010000}"/>
    <cellStyle name="20% - Accent1 2 2 2 5 2 2 2" xfId="244" xr:uid="{00000000-0005-0000-0000-000023010000}"/>
    <cellStyle name="20% - Accent1 2 2 2 5 2 2 2 2" xfId="245" xr:uid="{00000000-0005-0000-0000-000024010000}"/>
    <cellStyle name="20% - Accent1 2 2 2 5 2 2 3" xfId="246" xr:uid="{00000000-0005-0000-0000-000025010000}"/>
    <cellStyle name="20% - Accent1 2 2 2 5 2 3" xfId="247" xr:uid="{00000000-0005-0000-0000-000026010000}"/>
    <cellStyle name="20% - Accent1 2 2 2 5 2 3 2" xfId="248" xr:uid="{00000000-0005-0000-0000-000027010000}"/>
    <cellStyle name="20% - Accent1 2 2 2 5 2 4" xfId="249" xr:uid="{00000000-0005-0000-0000-000028010000}"/>
    <cellStyle name="20% - Accent1 2 2 2 5 3" xfId="250" xr:uid="{00000000-0005-0000-0000-000029010000}"/>
    <cellStyle name="20% - Accent1 2 2 2 5 3 2" xfId="251" xr:uid="{00000000-0005-0000-0000-00002A010000}"/>
    <cellStyle name="20% - Accent1 2 2 2 5 3 2 2" xfId="252" xr:uid="{00000000-0005-0000-0000-00002B010000}"/>
    <cellStyle name="20% - Accent1 2 2 2 5 3 3" xfId="253" xr:uid="{00000000-0005-0000-0000-00002C010000}"/>
    <cellStyle name="20% - Accent1 2 2 2 5 4" xfId="254" xr:uid="{00000000-0005-0000-0000-00002D010000}"/>
    <cellStyle name="20% - Accent1 2 2 2 5 4 2" xfId="255" xr:uid="{00000000-0005-0000-0000-00002E010000}"/>
    <cellStyle name="20% - Accent1 2 2 2 5 5" xfId="256" xr:uid="{00000000-0005-0000-0000-00002F010000}"/>
    <cellStyle name="20% - Accent1 2 2 2 6" xfId="257" xr:uid="{00000000-0005-0000-0000-000030010000}"/>
    <cellStyle name="20% - Accent1 2 2 2 6 2" xfId="258" xr:uid="{00000000-0005-0000-0000-000031010000}"/>
    <cellStyle name="20% - Accent1 2 2 2 6 2 2" xfId="259" xr:uid="{00000000-0005-0000-0000-000032010000}"/>
    <cellStyle name="20% - Accent1 2 2 2 6 2 2 2" xfId="260" xr:uid="{00000000-0005-0000-0000-000033010000}"/>
    <cellStyle name="20% - Accent1 2 2 2 6 2 3" xfId="261" xr:uid="{00000000-0005-0000-0000-000034010000}"/>
    <cellStyle name="20% - Accent1 2 2 2 6 3" xfId="262" xr:uid="{00000000-0005-0000-0000-000035010000}"/>
    <cellStyle name="20% - Accent1 2 2 2 6 3 2" xfId="263" xr:uid="{00000000-0005-0000-0000-000036010000}"/>
    <cellStyle name="20% - Accent1 2 2 2 6 4" xfId="264" xr:uid="{00000000-0005-0000-0000-000037010000}"/>
    <cellStyle name="20% - Accent1 2 2 2 7" xfId="265" xr:uid="{00000000-0005-0000-0000-000038010000}"/>
    <cellStyle name="20% - Accent1 2 2 2 7 2" xfId="266" xr:uid="{00000000-0005-0000-0000-000039010000}"/>
    <cellStyle name="20% - Accent1 2 2 2 7 2 2" xfId="267" xr:uid="{00000000-0005-0000-0000-00003A010000}"/>
    <cellStyle name="20% - Accent1 2 2 2 7 3" xfId="268" xr:uid="{00000000-0005-0000-0000-00003B010000}"/>
    <cellStyle name="20% - Accent1 2 2 2 8" xfId="269" xr:uid="{00000000-0005-0000-0000-00003C010000}"/>
    <cellStyle name="20% - Accent1 2 2 2 8 2" xfId="270" xr:uid="{00000000-0005-0000-0000-00003D010000}"/>
    <cellStyle name="20% - Accent1 2 2 2 9" xfId="271" xr:uid="{00000000-0005-0000-0000-00003E010000}"/>
    <cellStyle name="20% - Accent1 2 2 3" xfId="272" xr:uid="{00000000-0005-0000-0000-00003F010000}"/>
    <cellStyle name="20% - Accent1 2 2 3 2" xfId="273" xr:uid="{00000000-0005-0000-0000-000040010000}"/>
    <cellStyle name="20% - Accent1 2 2 3 2 2" xfId="274" xr:uid="{00000000-0005-0000-0000-000041010000}"/>
    <cellStyle name="20% - Accent1 2 2 3 2 2 2" xfId="275" xr:uid="{00000000-0005-0000-0000-000042010000}"/>
    <cellStyle name="20% - Accent1 2 2 3 2 2 2 2" xfId="276" xr:uid="{00000000-0005-0000-0000-000043010000}"/>
    <cellStyle name="20% - Accent1 2 2 3 2 2 2 2 2" xfId="277" xr:uid="{00000000-0005-0000-0000-000044010000}"/>
    <cellStyle name="20% - Accent1 2 2 3 2 2 2 2 2 2" xfId="278" xr:uid="{00000000-0005-0000-0000-000045010000}"/>
    <cellStyle name="20% - Accent1 2 2 3 2 2 2 2 2 2 2" xfId="279" xr:uid="{00000000-0005-0000-0000-000046010000}"/>
    <cellStyle name="20% - Accent1 2 2 3 2 2 2 2 2 3" xfId="280" xr:uid="{00000000-0005-0000-0000-000047010000}"/>
    <cellStyle name="20% - Accent1 2 2 3 2 2 2 2 3" xfId="281" xr:uid="{00000000-0005-0000-0000-000048010000}"/>
    <cellStyle name="20% - Accent1 2 2 3 2 2 2 2 3 2" xfId="282" xr:uid="{00000000-0005-0000-0000-000049010000}"/>
    <cellStyle name="20% - Accent1 2 2 3 2 2 2 2 4" xfId="283" xr:uid="{00000000-0005-0000-0000-00004A010000}"/>
    <cellStyle name="20% - Accent1 2 2 3 2 2 2 3" xfId="284" xr:uid="{00000000-0005-0000-0000-00004B010000}"/>
    <cellStyle name="20% - Accent1 2 2 3 2 2 2 3 2" xfId="285" xr:uid="{00000000-0005-0000-0000-00004C010000}"/>
    <cellStyle name="20% - Accent1 2 2 3 2 2 2 3 2 2" xfId="286" xr:uid="{00000000-0005-0000-0000-00004D010000}"/>
    <cellStyle name="20% - Accent1 2 2 3 2 2 2 3 3" xfId="287" xr:uid="{00000000-0005-0000-0000-00004E010000}"/>
    <cellStyle name="20% - Accent1 2 2 3 2 2 2 4" xfId="288" xr:uid="{00000000-0005-0000-0000-00004F010000}"/>
    <cellStyle name="20% - Accent1 2 2 3 2 2 2 4 2" xfId="289" xr:uid="{00000000-0005-0000-0000-000050010000}"/>
    <cellStyle name="20% - Accent1 2 2 3 2 2 2 5" xfId="290" xr:uid="{00000000-0005-0000-0000-000051010000}"/>
    <cellStyle name="20% - Accent1 2 2 3 2 2 3" xfId="291" xr:uid="{00000000-0005-0000-0000-000052010000}"/>
    <cellStyle name="20% - Accent1 2 2 3 2 2 3 2" xfId="292" xr:uid="{00000000-0005-0000-0000-000053010000}"/>
    <cellStyle name="20% - Accent1 2 2 3 2 2 3 2 2" xfId="293" xr:uid="{00000000-0005-0000-0000-000054010000}"/>
    <cellStyle name="20% - Accent1 2 2 3 2 2 3 2 2 2" xfId="294" xr:uid="{00000000-0005-0000-0000-000055010000}"/>
    <cellStyle name="20% - Accent1 2 2 3 2 2 3 2 3" xfId="295" xr:uid="{00000000-0005-0000-0000-000056010000}"/>
    <cellStyle name="20% - Accent1 2 2 3 2 2 3 3" xfId="296" xr:uid="{00000000-0005-0000-0000-000057010000}"/>
    <cellStyle name="20% - Accent1 2 2 3 2 2 3 3 2" xfId="297" xr:uid="{00000000-0005-0000-0000-000058010000}"/>
    <cellStyle name="20% - Accent1 2 2 3 2 2 3 4" xfId="298" xr:uid="{00000000-0005-0000-0000-000059010000}"/>
    <cellStyle name="20% - Accent1 2 2 3 2 2 4" xfId="299" xr:uid="{00000000-0005-0000-0000-00005A010000}"/>
    <cellStyle name="20% - Accent1 2 2 3 2 2 4 2" xfId="300" xr:uid="{00000000-0005-0000-0000-00005B010000}"/>
    <cellStyle name="20% - Accent1 2 2 3 2 2 4 2 2" xfId="301" xr:uid="{00000000-0005-0000-0000-00005C010000}"/>
    <cellStyle name="20% - Accent1 2 2 3 2 2 4 3" xfId="302" xr:uid="{00000000-0005-0000-0000-00005D010000}"/>
    <cellStyle name="20% - Accent1 2 2 3 2 2 5" xfId="303" xr:uid="{00000000-0005-0000-0000-00005E010000}"/>
    <cellStyle name="20% - Accent1 2 2 3 2 2 5 2" xfId="304" xr:uid="{00000000-0005-0000-0000-00005F010000}"/>
    <cellStyle name="20% - Accent1 2 2 3 2 2 6" xfId="305" xr:uid="{00000000-0005-0000-0000-000060010000}"/>
    <cellStyle name="20% - Accent1 2 2 3 2 3" xfId="306" xr:uid="{00000000-0005-0000-0000-000061010000}"/>
    <cellStyle name="20% - Accent1 2 2 3 2 3 2" xfId="307" xr:uid="{00000000-0005-0000-0000-000062010000}"/>
    <cellStyle name="20% - Accent1 2 2 3 2 3 2 2" xfId="308" xr:uid="{00000000-0005-0000-0000-000063010000}"/>
    <cellStyle name="20% - Accent1 2 2 3 2 3 2 2 2" xfId="309" xr:uid="{00000000-0005-0000-0000-000064010000}"/>
    <cellStyle name="20% - Accent1 2 2 3 2 3 2 2 2 2" xfId="310" xr:uid="{00000000-0005-0000-0000-000065010000}"/>
    <cellStyle name="20% - Accent1 2 2 3 2 3 2 2 3" xfId="311" xr:uid="{00000000-0005-0000-0000-000066010000}"/>
    <cellStyle name="20% - Accent1 2 2 3 2 3 2 3" xfId="312" xr:uid="{00000000-0005-0000-0000-000067010000}"/>
    <cellStyle name="20% - Accent1 2 2 3 2 3 2 3 2" xfId="313" xr:uid="{00000000-0005-0000-0000-000068010000}"/>
    <cellStyle name="20% - Accent1 2 2 3 2 3 2 4" xfId="314" xr:uid="{00000000-0005-0000-0000-000069010000}"/>
    <cellStyle name="20% - Accent1 2 2 3 2 3 3" xfId="315" xr:uid="{00000000-0005-0000-0000-00006A010000}"/>
    <cellStyle name="20% - Accent1 2 2 3 2 3 3 2" xfId="316" xr:uid="{00000000-0005-0000-0000-00006B010000}"/>
    <cellStyle name="20% - Accent1 2 2 3 2 3 3 2 2" xfId="317" xr:uid="{00000000-0005-0000-0000-00006C010000}"/>
    <cellStyle name="20% - Accent1 2 2 3 2 3 3 3" xfId="318" xr:uid="{00000000-0005-0000-0000-00006D010000}"/>
    <cellStyle name="20% - Accent1 2 2 3 2 3 4" xfId="319" xr:uid="{00000000-0005-0000-0000-00006E010000}"/>
    <cellStyle name="20% - Accent1 2 2 3 2 3 4 2" xfId="320" xr:uid="{00000000-0005-0000-0000-00006F010000}"/>
    <cellStyle name="20% - Accent1 2 2 3 2 3 5" xfId="321" xr:uid="{00000000-0005-0000-0000-000070010000}"/>
    <cellStyle name="20% - Accent1 2 2 3 2 4" xfId="322" xr:uid="{00000000-0005-0000-0000-000071010000}"/>
    <cellStyle name="20% - Accent1 2 2 3 2 4 2" xfId="323" xr:uid="{00000000-0005-0000-0000-000072010000}"/>
    <cellStyle name="20% - Accent1 2 2 3 2 4 2 2" xfId="324" xr:uid="{00000000-0005-0000-0000-000073010000}"/>
    <cellStyle name="20% - Accent1 2 2 3 2 4 2 2 2" xfId="325" xr:uid="{00000000-0005-0000-0000-000074010000}"/>
    <cellStyle name="20% - Accent1 2 2 3 2 4 2 3" xfId="326" xr:uid="{00000000-0005-0000-0000-000075010000}"/>
    <cellStyle name="20% - Accent1 2 2 3 2 4 3" xfId="327" xr:uid="{00000000-0005-0000-0000-000076010000}"/>
    <cellStyle name="20% - Accent1 2 2 3 2 4 3 2" xfId="328" xr:uid="{00000000-0005-0000-0000-000077010000}"/>
    <cellStyle name="20% - Accent1 2 2 3 2 4 4" xfId="329" xr:uid="{00000000-0005-0000-0000-000078010000}"/>
    <cellStyle name="20% - Accent1 2 2 3 2 5" xfId="330" xr:uid="{00000000-0005-0000-0000-000079010000}"/>
    <cellStyle name="20% - Accent1 2 2 3 2 5 2" xfId="331" xr:uid="{00000000-0005-0000-0000-00007A010000}"/>
    <cellStyle name="20% - Accent1 2 2 3 2 5 2 2" xfId="332" xr:uid="{00000000-0005-0000-0000-00007B010000}"/>
    <cellStyle name="20% - Accent1 2 2 3 2 5 3" xfId="333" xr:uid="{00000000-0005-0000-0000-00007C010000}"/>
    <cellStyle name="20% - Accent1 2 2 3 2 6" xfId="334" xr:uid="{00000000-0005-0000-0000-00007D010000}"/>
    <cellStyle name="20% - Accent1 2 2 3 2 6 2" xfId="335" xr:uid="{00000000-0005-0000-0000-00007E010000}"/>
    <cellStyle name="20% - Accent1 2 2 3 2 7" xfId="336" xr:uid="{00000000-0005-0000-0000-00007F010000}"/>
    <cellStyle name="20% - Accent1 2 2 3 3" xfId="337" xr:uid="{00000000-0005-0000-0000-000080010000}"/>
    <cellStyle name="20% - Accent1 2 2 3 3 2" xfId="338" xr:uid="{00000000-0005-0000-0000-000081010000}"/>
    <cellStyle name="20% - Accent1 2 2 3 3 2 2" xfId="339" xr:uid="{00000000-0005-0000-0000-000082010000}"/>
    <cellStyle name="20% - Accent1 2 2 3 3 2 2 2" xfId="340" xr:uid="{00000000-0005-0000-0000-000083010000}"/>
    <cellStyle name="20% - Accent1 2 2 3 3 2 2 2 2" xfId="341" xr:uid="{00000000-0005-0000-0000-000084010000}"/>
    <cellStyle name="20% - Accent1 2 2 3 3 2 2 2 2 2" xfId="342" xr:uid="{00000000-0005-0000-0000-000085010000}"/>
    <cellStyle name="20% - Accent1 2 2 3 3 2 2 2 3" xfId="343" xr:uid="{00000000-0005-0000-0000-000086010000}"/>
    <cellStyle name="20% - Accent1 2 2 3 3 2 2 3" xfId="344" xr:uid="{00000000-0005-0000-0000-000087010000}"/>
    <cellStyle name="20% - Accent1 2 2 3 3 2 2 3 2" xfId="345" xr:uid="{00000000-0005-0000-0000-000088010000}"/>
    <cellStyle name="20% - Accent1 2 2 3 3 2 2 4" xfId="346" xr:uid="{00000000-0005-0000-0000-000089010000}"/>
    <cellStyle name="20% - Accent1 2 2 3 3 2 3" xfId="347" xr:uid="{00000000-0005-0000-0000-00008A010000}"/>
    <cellStyle name="20% - Accent1 2 2 3 3 2 3 2" xfId="348" xr:uid="{00000000-0005-0000-0000-00008B010000}"/>
    <cellStyle name="20% - Accent1 2 2 3 3 2 3 2 2" xfId="349" xr:uid="{00000000-0005-0000-0000-00008C010000}"/>
    <cellStyle name="20% - Accent1 2 2 3 3 2 3 3" xfId="350" xr:uid="{00000000-0005-0000-0000-00008D010000}"/>
    <cellStyle name="20% - Accent1 2 2 3 3 2 4" xfId="351" xr:uid="{00000000-0005-0000-0000-00008E010000}"/>
    <cellStyle name="20% - Accent1 2 2 3 3 2 4 2" xfId="352" xr:uid="{00000000-0005-0000-0000-00008F010000}"/>
    <cellStyle name="20% - Accent1 2 2 3 3 2 5" xfId="353" xr:uid="{00000000-0005-0000-0000-000090010000}"/>
    <cellStyle name="20% - Accent1 2 2 3 3 3" xfId="354" xr:uid="{00000000-0005-0000-0000-000091010000}"/>
    <cellStyle name="20% - Accent1 2 2 3 3 3 2" xfId="355" xr:uid="{00000000-0005-0000-0000-000092010000}"/>
    <cellStyle name="20% - Accent1 2 2 3 3 3 2 2" xfId="356" xr:uid="{00000000-0005-0000-0000-000093010000}"/>
    <cellStyle name="20% - Accent1 2 2 3 3 3 2 2 2" xfId="357" xr:uid="{00000000-0005-0000-0000-000094010000}"/>
    <cellStyle name="20% - Accent1 2 2 3 3 3 2 3" xfId="358" xr:uid="{00000000-0005-0000-0000-000095010000}"/>
    <cellStyle name="20% - Accent1 2 2 3 3 3 3" xfId="359" xr:uid="{00000000-0005-0000-0000-000096010000}"/>
    <cellStyle name="20% - Accent1 2 2 3 3 3 3 2" xfId="360" xr:uid="{00000000-0005-0000-0000-000097010000}"/>
    <cellStyle name="20% - Accent1 2 2 3 3 3 4" xfId="361" xr:uid="{00000000-0005-0000-0000-000098010000}"/>
    <cellStyle name="20% - Accent1 2 2 3 3 4" xfId="362" xr:uid="{00000000-0005-0000-0000-000099010000}"/>
    <cellStyle name="20% - Accent1 2 2 3 3 4 2" xfId="363" xr:uid="{00000000-0005-0000-0000-00009A010000}"/>
    <cellStyle name="20% - Accent1 2 2 3 3 4 2 2" xfId="364" xr:uid="{00000000-0005-0000-0000-00009B010000}"/>
    <cellStyle name="20% - Accent1 2 2 3 3 4 3" xfId="365" xr:uid="{00000000-0005-0000-0000-00009C010000}"/>
    <cellStyle name="20% - Accent1 2 2 3 3 5" xfId="366" xr:uid="{00000000-0005-0000-0000-00009D010000}"/>
    <cellStyle name="20% - Accent1 2 2 3 3 5 2" xfId="367" xr:uid="{00000000-0005-0000-0000-00009E010000}"/>
    <cellStyle name="20% - Accent1 2 2 3 3 6" xfId="368" xr:uid="{00000000-0005-0000-0000-00009F010000}"/>
    <cellStyle name="20% - Accent1 2 2 3 4" xfId="369" xr:uid="{00000000-0005-0000-0000-0000A0010000}"/>
    <cellStyle name="20% - Accent1 2 2 3 4 2" xfId="370" xr:uid="{00000000-0005-0000-0000-0000A1010000}"/>
    <cellStyle name="20% - Accent1 2 2 3 4 2 2" xfId="371" xr:uid="{00000000-0005-0000-0000-0000A2010000}"/>
    <cellStyle name="20% - Accent1 2 2 3 4 2 2 2" xfId="372" xr:uid="{00000000-0005-0000-0000-0000A3010000}"/>
    <cellStyle name="20% - Accent1 2 2 3 4 2 2 2 2" xfId="373" xr:uid="{00000000-0005-0000-0000-0000A4010000}"/>
    <cellStyle name="20% - Accent1 2 2 3 4 2 2 3" xfId="374" xr:uid="{00000000-0005-0000-0000-0000A5010000}"/>
    <cellStyle name="20% - Accent1 2 2 3 4 2 3" xfId="375" xr:uid="{00000000-0005-0000-0000-0000A6010000}"/>
    <cellStyle name="20% - Accent1 2 2 3 4 2 3 2" xfId="376" xr:uid="{00000000-0005-0000-0000-0000A7010000}"/>
    <cellStyle name="20% - Accent1 2 2 3 4 2 4" xfId="377" xr:uid="{00000000-0005-0000-0000-0000A8010000}"/>
    <cellStyle name="20% - Accent1 2 2 3 4 3" xfId="378" xr:uid="{00000000-0005-0000-0000-0000A9010000}"/>
    <cellStyle name="20% - Accent1 2 2 3 4 3 2" xfId="379" xr:uid="{00000000-0005-0000-0000-0000AA010000}"/>
    <cellStyle name="20% - Accent1 2 2 3 4 3 2 2" xfId="380" xr:uid="{00000000-0005-0000-0000-0000AB010000}"/>
    <cellStyle name="20% - Accent1 2 2 3 4 3 3" xfId="381" xr:uid="{00000000-0005-0000-0000-0000AC010000}"/>
    <cellStyle name="20% - Accent1 2 2 3 4 4" xfId="382" xr:uid="{00000000-0005-0000-0000-0000AD010000}"/>
    <cellStyle name="20% - Accent1 2 2 3 4 4 2" xfId="383" xr:uid="{00000000-0005-0000-0000-0000AE010000}"/>
    <cellStyle name="20% - Accent1 2 2 3 4 5" xfId="384" xr:uid="{00000000-0005-0000-0000-0000AF010000}"/>
    <cellStyle name="20% - Accent1 2 2 3 5" xfId="385" xr:uid="{00000000-0005-0000-0000-0000B0010000}"/>
    <cellStyle name="20% - Accent1 2 2 3 5 2" xfId="386" xr:uid="{00000000-0005-0000-0000-0000B1010000}"/>
    <cellStyle name="20% - Accent1 2 2 3 5 2 2" xfId="387" xr:uid="{00000000-0005-0000-0000-0000B2010000}"/>
    <cellStyle name="20% - Accent1 2 2 3 5 2 2 2" xfId="388" xr:uid="{00000000-0005-0000-0000-0000B3010000}"/>
    <cellStyle name="20% - Accent1 2 2 3 5 2 3" xfId="389" xr:uid="{00000000-0005-0000-0000-0000B4010000}"/>
    <cellStyle name="20% - Accent1 2 2 3 5 3" xfId="390" xr:uid="{00000000-0005-0000-0000-0000B5010000}"/>
    <cellStyle name="20% - Accent1 2 2 3 5 3 2" xfId="391" xr:uid="{00000000-0005-0000-0000-0000B6010000}"/>
    <cellStyle name="20% - Accent1 2 2 3 5 4" xfId="392" xr:uid="{00000000-0005-0000-0000-0000B7010000}"/>
    <cellStyle name="20% - Accent1 2 2 3 6" xfId="393" xr:uid="{00000000-0005-0000-0000-0000B8010000}"/>
    <cellStyle name="20% - Accent1 2 2 3 6 2" xfId="394" xr:uid="{00000000-0005-0000-0000-0000B9010000}"/>
    <cellStyle name="20% - Accent1 2 2 3 6 2 2" xfId="395" xr:uid="{00000000-0005-0000-0000-0000BA010000}"/>
    <cellStyle name="20% - Accent1 2 2 3 6 3" xfId="396" xr:uid="{00000000-0005-0000-0000-0000BB010000}"/>
    <cellStyle name="20% - Accent1 2 2 3 7" xfId="397" xr:uid="{00000000-0005-0000-0000-0000BC010000}"/>
    <cellStyle name="20% - Accent1 2 2 3 7 2" xfId="398" xr:uid="{00000000-0005-0000-0000-0000BD010000}"/>
    <cellStyle name="20% - Accent1 2 2 3 8" xfId="399" xr:uid="{00000000-0005-0000-0000-0000BE010000}"/>
    <cellStyle name="20% - Accent1 2 2 4" xfId="400" xr:uid="{00000000-0005-0000-0000-0000BF010000}"/>
    <cellStyle name="20% - Accent1 2 2 4 2" xfId="401" xr:uid="{00000000-0005-0000-0000-0000C0010000}"/>
    <cellStyle name="20% - Accent1 2 2 4 2 2" xfId="402" xr:uid="{00000000-0005-0000-0000-0000C1010000}"/>
    <cellStyle name="20% - Accent1 2 2 4 2 2 2" xfId="403" xr:uid="{00000000-0005-0000-0000-0000C2010000}"/>
    <cellStyle name="20% - Accent1 2 2 4 2 2 2 2" xfId="404" xr:uid="{00000000-0005-0000-0000-0000C3010000}"/>
    <cellStyle name="20% - Accent1 2 2 4 2 2 2 2 2" xfId="405" xr:uid="{00000000-0005-0000-0000-0000C4010000}"/>
    <cellStyle name="20% - Accent1 2 2 4 2 2 2 2 2 2" xfId="406" xr:uid="{00000000-0005-0000-0000-0000C5010000}"/>
    <cellStyle name="20% - Accent1 2 2 4 2 2 2 2 3" xfId="407" xr:uid="{00000000-0005-0000-0000-0000C6010000}"/>
    <cellStyle name="20% - Accent1 2 2 4 2 2 2 3" xfId="408" xr:uid="{00000000-0005-0000-0000-0000C7010000}"/>
    <cellStyle name="20% - Accent1 2 2 4 2 2 2 3 2" xfId="409" xr:uid="{00000000-0005-0000-0000-0000C8010000}"/>
    <cellStyle name="20% - Accent1 2 2 4 2 2 2 4" xfId="410" xr:uid="{00000000-0005-0000-0000-0000C9010000}"/>
    <cellStyle name="20% - Accent1 2 2 4 2 2 3" xfId="411" xr:uid="{00000000-0005-0000-0000-0000CA010000}"/>
    <cellStyle name="20% - Accent1 2 2 4 2 2 3 2" xfId="412" xr:uid="{00000000-0005-0000-0000-0000CB010000}"/>
    <cellStyle name="20% - Accent1 2 2 4 2 2 3 2 2" xfId="413" xr:uid="{00000000-0005-0000-0000-0000CC010000}"/>
    <cellStyle name="20% - Accent1 2 2 4 2 2 3 3" xfId="414" xr:uid="{00000000-0005-0000-0000-0000CD010000}"/>
    <cellStyle name="20% - Accent1 2 2 4 2 2 4" xfId="415" xr:uid="{00000000-0005-0000-0000-0000CE010000}"/>
    <cellStyle name="20% - Accent1 2 2 4 2 2 4 2" xfId="416" xr:uid="{00000000-0005-0000-0000-0000CF010000}"/>
    <cellStyle name="20% - Accent1 2 2 4 2 2 5" xfId="417" xr:uid="{00000000-0005-0000-0000-0000D0010000}"/>
    <cellStyle name="20% - Accent1 2 2 4 2 3" xfId="418" xr:uid="{00000000-0005-0000-0000-0000D1010000}"/>
    <cellStyle name="20% - Accent1 2 2 4 2 3 2" xfId="419" xr:uid="{00000000-0005-0000-0000-0000D2010000}"/>
    <cellStyle name="20% - Accent1 2 2 4 2 3 2 2" xfId="420" xr:uid="{00000000-0005-0000-0000-0000D3010000}"/>
    <cellStyle name="20% - Accent1 2 2 4 2 3 2 2 2" xfId="421" xr:uid="{00000000-0005-0000-0000-0000D4010000}"/>
    <cellStyle name="20% - Accent1 2 2 4 2 3 2 3" xfId="422" xr:uid="{00000000-0005-0000-0000-0000D5010000}"/>
    <cellStyle name="20% - Accent1 2 2 4 2 3 3" xfId="423" xr:uid="{00000000-0005-0000-0000-0000D6010000}"/>
    <cellStyle name="20% - Accent1 2 2 4 2 3 3 2" xfId="424" xr:uid="{00000000-0005-0000-0000-0000D7010000}"/>
    <cellStyle name="20% - Accent1 2 2 4 2 3 4" xfId="425" xr:uid="{00000000-0005-0000-0000-0000D8010000}"/>
    <cellStyle name="20% - Accent1 2 2 4 2 4" xfId="426" xr:uid="{00000000-0005-0000-0000-0000D9010000}"/>
    <cellStyle name="20% - Accent1 2 2 4 2 4 2" xfId="427" xr:uid="{00000000-0005-0000-0000-0000DA010000}"/>
    <cellStyle name="20% - Accent1 2 2 4 2 4 2 2" xfId="428" xr:uid="{00000000-0005-0000-0000-0000DB010000}"/>
    <cellStyle name="20% - Accent1 2 2 4 2 4 3" xfId="429" xr:uid="{00000000-0005-0000-0000-0000DC010000}"/>
    <cellStyle name="20% - Accent1 2 2 4 2 5" xfId="430" xr:uid="{00000000-0005-0000-0000-0000DD010000}"/>
    <cellStyle name="20% - Accent1 2 2 4 2 5 2" xfId="431" xr:uid="{00000000-0005-0000-0000-0000DE010000}"/>
    <cellStyle name="20% - Accent1 2 2 4 2 6" xfId="432" xr:uid="{00000000-0005-0000-0000-0000DF010000}"/>
    <cellStyle name="20% - Accent1 2 2 4 3" xfId="433" xr:uid="{00000000-0005-0000-0000-0000E0010000}"/>
    <cellStyle name="20% - Accent1 2 2 4 3 2" xfId="434" xr:uid="{00000000-0005-0000-0000-0000E1010000}"/>
    <cellStyle name="20% - Accent1 2 2 4 3 2 2" xfId="435" xr:uid="{00000000-0005-0000-0000-0000E2010000}"/>
    <cellStyle name="20% - Accent1 2 2 4 3 2 2 2" xfId="436" xr:uid="{00000000-0005-0000-0000-0000E3010000}"/>
    <cellStyle name="20% - Accent1 2 2 4 3 2 2 2 2" xfId="437" xr:uid="{00000000-0005-0000-0000-0000E4010000}"/>
    <cellStyle name="20% - Accent1 2 2 4 3 2 2 3" xfId="438" xr:uid="{00000000-0005-0000-0000-0000E5010000}"/>
    <cellStyle name="20% - Accent1 2 2 4 3 2 3" xfId="439" xr:uid="{00000000-0005-0000-0000-0000E6010000}"/>
    <cellStyle name="20% - Accent1 2 2 4 3 2 3 2" xfId="440" xr:uid="{00000000-0005-0000-0000-0000E7010000}"/>
    <cellStyle name="20% - Accent1 2 2 4 3 2 4" xfId="441" xr:uid="{00000000-0005-0000-0000-0000E8010000}"/>
    <cellStyle name="20% - Accent1 2 2 4 3 3" xfId="442" xr:uid="{00000000-0005-0000-0000-0000E9010000}"/>
    <cellStyle name="20% - Accent1 2 2 4 3 3 2" xfId="443" xr:uid="{00000000-0005-0000-0000-0000EA010000}"/>
    <cellStyle name="20% - Accent1 2 2 4 3 3 2 2" xfId="444" xr:uid="{00000000-0005-0000-0000-0000EB010000}"/>
    <cellStyle name="20% - Accent1 2 2 4 3 3 3" xfId="445" xr:uid="{00000000-0005-0000-0000-0000EC010000}"/>
    <cellStyle name="20% - Accent1 2 2 4 3 4" xfId="446" xr:uid="{00000000-0005-0000-0000-0000ED010000}"/>
    <cellStyle name="20% - Accent1 2 2 4 3 4 2" xfId="447" xr:uid="{00000000-0005-0000-0000-0000EE010000}"/>
    <cellStyle name="20% - Accent1 2 2 4 3 5" xfId="448" xr:uid="{00000000-0005-0000-0000-0000EF010000}"/>
    <cellStyle name="20% - Accent1 2 2 4 4" xfId="449" xr:uid="{00000000-0005-0000-0000-0000F0010000}"/>
    <cellStyle name="20% - Accent1 2 2 4 4 2" xfId="450" xr:uid="{00000000-0005-0000-0000-0000F1010000}"/>
    <cellStyle name="20% - Accent1 2 2 4 4 2 2" xfId="451" xr:uid="{00000000-0005-0000-0000-0000F2010000}"/>
    <cellStyle name="20% - Accent1 2 2 4 4 2 2 2" xfId="452" xr:uid="{00000000-0005-0000-0000-0000F3010000}"/>
    <cellStyle name="20% - Accent1 2 2 4 4 2 3" xfId="453" xr:uid="{00000000-0005-0000-0000-0000F4010000}"/>
    <cellStyle name="20% - Accent1 2 2 4 4 3" xfId="454" xr:uid="{00000000-0005-0000-0000-0000F5010000}"/>
    <cellStyle name="20% - Accent1 2 2 4 4 3 2" xfId="455" xr:uid="{00000000-0005-0000-0000-0000F6010000}"/>
    <cellStyle name="20% - Accent1 2 2 4 4 4" xfId="456" xr:uid="{00000000-0005-0000-0000-0000F7010000}"/>
    <cellStyle name="20% - Accent1 2 2 4 5" xfId="457" xr:uid="{00000000-0005-0000-0000-0000F8010000}"/>
    <cellStyle name="20% - Accent1 2 2 4 5 2" xfId="458" xr:uid="{00000000-0005-0000-0000-0000F9010000}"/>
    <cellStyle name="20% - Accent1 2 2 4 5 2 2" xfId="459" xr:uid="{00000000-0005-0000-0000-0000FA010000}"/>
    <cellStyle name="20% - Accent1 2 2 4 5 3" xfId="460" xr:uid="{00000000-0005-0000-0000-0000FB010000}"/>
    <cellStyle name="20% - Accent1 2 2 4 6" xfId="461" xr:uid="{00000000-0005-0000-0000-0000FC010000}"/>
    <cellStyle name="20% - Accent1 2 2 4 6 2" xfId="462" xr:uid="{00000000-0005-0000-0000-0000FD010000}"/>
    <cellStyle name="20% - Accent1 2 2 4 7" xfId="463" xr:uid="{00000000-0005-0000-0000-0000FE010000}"/>
    <cellStyle name="20% - Accent1 2 2 5" xfId="464" xr:uid="{00000000-0005-0000-0000-0000FF010000}"/>
    <cellStyle name="20% - Accent1 2 2 5 2" xfId="465" xr:uid="{00000000-0005-0000-0000-000000020000}"/>
    <cellStyle name="20% - Accent1 2 2 5 2 2" xfId="466" xr:uid="{00000000-0005-0000-0000-000001020000}"/>
    <cellStyle name="20% - Accent1 2 2 5 2 2 2" xfId="467" xr:uid="{00000000-0005-0000-0000-000002020000}"/>
    <cellStyle name="20% - Accent1 2 2 5 2 2 2 2" xfId="468" xr:uid="{00000000-0005-0000-0000-000003020000}"/>
    <cellStyle name="20% - Accent1 2 2 5 2 2 2 2 2" xfId="469" xr:uid="{00000000-0005-0000-0000-000004020000}"/>
    <cellStyle name="20% - Accent1 2 2 5 2 2 2 3" xfId="470" xr:uid="{00000000-0005-0000-0000-000005020000}"/>
    <cellStyle name="20% - Accent1 2 2 5 2 2 3" xfId="471" xr:uid="{00000000-0005-0000-0000-000006020000}"/>
    <cellStyle name="20% - Accent1 2 2 5 2 2 3 2" xfId="472" xr:uid="{00000000-0005-0000-0000-000007020000}"/>
    <cellStyle name="20% - Accent1 2 2 5 2 2 4" xfId="473" xr:uid="{00000000-0005-0000-0000-000008020000}"/>
    <cellStyle name="20% - Accent1 2 2 5 2 3" xfId="474" xr:uid="{00000000-0005-0000-0000-000009020000}"/>
    <cellStyle name="20% - Accent1 2 2 5 2 3 2" xfId="475" xr:uid="{00000000-0005-0000-0000-00000A020000}"/>
    <cellStyle name="20% - Accent1 2 2 5 2 3 2 2" xfId="476" xr:uid="{00000000-0005-0000-0000-00000B020000}"/>
    <cellStyle name="20% - Accent1 2 2 5 2 3 3" xfId="477" xr:uid="{00000000-0005-0000-0000-00000C020000}"/>
    <cellStyle name="20% - Accent1 2 2 5 2 4" xfId="478" xr:uid="{00000000-0005-0000-0000-00000D020000}"/>
    <cellStyle name="20% - Accent1 2 2 5 2 4 2" xfId="479" xr:uid="{00000000-0005-0000-0000-00000E020000}"/>
    <cellStyle name="20% - Accent1 2 2 5 2 5" xfId="480" xr:uid="{00000000-0005-0000-0000-00000F020000}"/>
    <cellStyle name="20% - Accent1 2 2 5 3" xfId="481" xr:uid="{00000000-0005-0000-0000-000010020000}"/>
    <cellStyle name="20% - Accent1 2 2 5 3 2" xfId="482" xr:uid="{00000000-0005-0000-0000-000011020000}"/>
    <cellStyle name="20% - Accent1 2 2 5 3 2 2" xfId="483" xr:uid="{00000000-0005-0000-0000-000012020000}"/>
    <cellStyle name="20% - Accent1 2 2 5 3 2 2 2" xfId="484" xr:uid="{00000000-0005-0000-0000-000013020000}"/>
    <cellStyle name="20% - Accent1 2 2 5 3 2 3" xfId="485" xr:uid="{00000000-0005-0000-0000-000014020000}"/>
    <cellStyle name="20% - Accent1 2 2 5 3 3" xfId="486" xr:uid="{00000000-0005-0000-0000-000015020000}"/>
    <cellStyle name="20% - Accent1 2 2 5 3 3 2" xfId="487" xr:uid="{00000000-0005-0000-0000-000016020000}"/>
    <cellStyle name="20% - Accent1 2 2 5 3 4" xfId="488" xr:uid="{00000000-0005-0000-0000-000017020000}"/>
    <cellStyle name="20% - Accent1 2 2 5 4" xfId="489" xr:uid="{00000000-0005-0000-0000-000018020000}"/>
    <cellStyle name="20% - Accent1 2 2 5 4 2" xfId="490" xr:uid="{00000000-0005-0000-0000-000019020000}"/>
    <cellStyle name="20% - Accent1 2 2 5 4 2 2" xfId="491" xr:uid="{00000000-0005-0000-0000-00001A020000}"/>
    <cellStyle name="20% - Accent1 2 2 5 4 3" xfId="492" xr:uid="{00000000-0005-0000-0000-00001B020000}"/>
    <cellStyle name="20% - Accent1 2 2 5 5" xfId="493" xr:uid="{00000000-0005-0000-0000-00001C020000}"/>
    <cellStyle name="20% - Accent1 2 2 5 5 2" xfId="494" xr:uid="{00000000-0005-0000-0000-00001D020000}"/>
    <cellStyle name="20% - Accent1 2 2 5 6" xfId="495" xr:uid="{00000000-0005-0000-0000-00001E020000}"/>
    <cellStyle name="20% - Accent1 2 2 6" xfId="496" xr:uid="{00000000-0005-0000-0000-00001F020000}"/>
    <cellStyle name="20% - Accent1 2 2 6 2" xfId="497" xr:uid="{00000000-0005-0000-0000-000020020000}"/>
    <cellStyle name="20% - Accent1 2 2 6 2 2" xfId="498" xr:uid="{00000000-0005-0000-0000-000021020000}"/>
    <cellStyle name="20% - Accent1 2 2 6 2 2 2" xfId="499" xr:uid="{00000000-0005-0000-0000-000022020000}"/>
    <cellStyle name="20% - Accent1 2 2 6 2 2 2 2" xfId="500" xr:uid="{00000000-0005-0000-0000-000023020000}"/>
    <cellStyle name="20% - Accent1 2 2 6 2 2 3" xfId="501" xr:uid="{00000000-0005-0000-0000-000024020000}"/>
    <cellStyle name="20% - Accent1 2 2 6 2 3" xfId="502" xr:uid="{00000000-0005-0000-0000-000025020000}"/>
    <cellStyle name="20% - Accent1 2 2 6 2 3 2" xfId="503" xr:uid="{00000000-0005-0000-0000-000026020000}"/>
    <cellStyle name="20% - Accent1 2 2 6 2 4" xfId="504" xr:uid="{00000000-0005-0000-0000-000027020000}"/>
    <cellStyle name="20% - Accent1 2 2 6 3" xfId="505" xr:uid="{00000000-0005-0000-0000-000028020000}"/>
    <cellStyle name="20% - Accent1 2 2 6 3 2" xfId="506" xr:uid="{00000000-0005-0000-0000-000029020000}"/>
    <cellStyle name="20% - Accent1 2 2 6 3 2 2" xfId="507" xr:uid="{00000000-0005-0000-0000-00002A020000}"/>
    <cellStyle name="20% - Accent1 2 2 6 3 3" xfId="508" xr:uid="{00000000-0005-0000-0000-00002B020000}"/>
    <cellStyle name="20% - Accent1 2 2 6 4" xfId="509" xr:uid="{00000000-0005-0000-0000-00002C020000}"/>
    <cellStyle name="20% - Accent1 2 2 6 4 2" xfId="510" xr:uid="{00000000-0005-0000-0000-00002D020000}"/>
    <cellStyle name="20% - Accent1 2 2 6 5" xfId="511" xr:uid="{00000000-0005-0000-0000-00002E020000}"/>
    <cellStyle name="20% - Accent1 2 2 7" xfId="512" xr:uid="{00000000-0005-0000-0000-00002F020000}"/>
    <cellStyle name="20% - Accent1 2 2 7 2" xfId="513" xr:uid="{00000000-0005-0000-0000-000030020000}"/>
    <cellStyle name="20% - Accent1 2 2 7 2 2" xfId="514" xr:uid="{00000000-0005-0000-0000-000031020000}"/>
    <cellStyle name="20% - Accent1 2 2 7 2 2 2" xfId="515" xr:uid="{00000000-0005-0000-0000-000032020000}"/>
    <cellStyle name="20% - Accent1 2 2 7 2 3" xfId="516" xr:uid="{00000000-0005-0000-0000-000033020000}"/>
    <cellStyle name="20% - Accent1 2 2 7 3" xfId="517" xr:uid="{00000000-0005-0000-0000-000034020000}"/>
    <cellStyle name="20% - Accent1 2 2 7 3 2" xfId="518" xr:uid="{00000000-0005-0000-0000-000035020000}"/>
    <cellStyle name="20% - Accent1 2 2 7 4" xfId="519" xr:uid="{00000000-0005-0000-0000-000036020000}"/>
    <cellStyle name="20% - Accent1 2 2 8" xfId="520" xr:uid="{00000000-0005-0000-0000-000037020000}"/>
    <cellStyle name="20% - Accent1 2 2 8 2" xfId="521" xr:uid="{00000000-0005-0000-0000-000038020000}"/>
    <cellStyle name="20% - Accent1 2 2 8 2 2" xfId="522" xr:uid="{00000000-0005-0000-0000-000039020000}"/>
    <cellStyle name="20% - Accent1 2 2 8 3" xfId="523" xr:uid="{00000000-0005-0000-0000-00003A020000}"/>
    <cellStyle name="20% - Accent1 2 2 9" xfId="524" xr:uid="{00000000-0005-0000-0000-00003B020000}"/>
    <cellStyle name="20% - Accent1 2 2 9 2" xfId="525" xr:uid="{00000000-0005-0000-0000-00003C020000}"/>
    <cellStyle name="20% - Accent1 2 3" xfId="526" xr:uid="{00000000-0005-0000-0000-00003D020000}"/>
    <cellStyle name="20% - Accent1 2 3 2" xfId="527" xr:uid="{00000000-0005-0000-0000-00003E020000}"/>
    <cellStyle name="20% - Accent1 2 3 2 2" xfId="528" xr:uid="{00000000-0005-0000-0000-00003F020000}"/>
    <cellStyle name="20% - Accent1 2 3 2 2 2" xfId="529" xr:uid="{00000000-0005-0000-0000-000040020000}"/>
    <cellStyle name="20% - Accent1 2 3 2 2 2 2" xfId="530" xr:uid="{00000000-0005-0000-0000-000041020000}"/>
    <cellStyle name="20% - Accent1 2 3 2 2 2 2 2" xfId="531" xr:uid="{00000000-0005-0000-0000-000042020000}"/>
    <cellStyle name="20% - Accent1 2 3 2 2 2 2 2 2" xfId="532" xr:uid="{00000000-0005-0000-0000-000043020000}"/>
    <cellStyle name="20% - Accent1 2 3 2 2 2 2 2 2 2" xfId="533" xr:uid="{00000000-0005-0000-0000-000044020000}"/>
    <cellStyle name="20% - Accent1 2 3 2 2 2 2 2 2 2 2" xfId="534" xr:uid="{00000000-0005-0000-0000-000045020000}"/>
    <cellStyle name="20% - Accent1 2 3 2 2 2 2 2 2 3" xfId="535" xr:uid="{00000000-0005-0000-0000-000046020000}"/>
    <cellStyle name="20% - Accent1 2 3 2 2 2 2 2 3" xfId="536" xr:uid="{00000000-0005-0000-0000-000047020000}"/>
    <cellStyle name="20% - Accent1 2 3 2 2 2 2 2 3 2" xfId="537" xr:uid="{00000000-0005-0000-0000-000048020000}"/>
    <cellStyle name="20% - Accent1 2 3 2 2 2 2 2 4" xfId="538" xr:uid="{00000000-0005-0000-0000-000049020000}"/>
    <cellStyle name="20% - Accent1 2 3 2 2 2 2 3" xfId="539" xr:uid="{00000000-0005-0000-0000-00004A020000}"/>
    <cellStyle name="20% - Accent1 2 3 2 2 2 2 3 2" xfId="540" xr:uid="{00000000-0005-0000-0000-00004B020000}"/>
    <cellStyle name="20% - Accent1 2 3 2 2 2 2 3 2 2" xfId="541" xr:uid="{00000000-0005-0000-0000-00004C020000}"/>
    <cellStyle name="20% - Accent1 2 3 2 2 2 2 3 3" xfId="542" xr:uid="{00000000-0005-0000-0000-00004D020000}"/>
    <cellStyle name="20% - Accent1 2 3 2 2 2 2 4" xfId="543" xr:uid="{00000000-0005-0000-0000-00004E020000}"/>
    <cellStyle name="20% - Accent1 2 3 2 2 2 2 4 2" xfId="544" xr:uid="{00000000-0005-0000-0000-00004F020000}"/>
    <cellStyle name="20% - Accent1 2 3 2 2 2 2 5" xfId="545" xr:uid="{00000000-0005-0000-0000-000050020000}"/>
    <cellStyle name="20% - Accent1 2 3 2 2 2 3" xfId="546" xr:uid="{00000000-0005-0000-0000-000051020000}"/>
    <cellStyle name="20% - Accent1 2 3 2 2 2 3 2" xfId="547" xr:uid="{00000000-0005-0000-0000-000052020000}"/>
    <cellStyle name="20% - Accent1 2 3 2 2 2 3 2 2" xfId="548" xr:uid="{00000000-0005-0000-0000-000053020000}"/>
    <cellStyle name="20% - Accent1 2 3 2 2 2 3 2 2 2" xfId="549" xr:uid="{00000000-0005-0000-0000-000054020000}"/>
    <cellStyle name="20% - Accent1 2 3 2 2 2 3 2 3" xfId="550" xr:uid="{00000000-0005-0000-0000-000055020000}"/>
    <cellStyle name="20% - Accent1 2 3 2 2 2 3 3" xfId="551" xr:uid="{00000000-0005-0000-0000-000056020000}"/>
    <cellStyle name="20% - Accent1 2 3 2 2 2 3 3 2" xfId="552" xr:uid="{00000000-0005-0000-0000-000057020000}"/>
    <cellStyle name="20% - Accent1 2 3 2 2 2 3 4" xfId="553" xr:uid="{00000000-0005-0000-0000-000058020000}"/>
    <cellStyle name="20% - Accent1 2 3 2 2 2 4" xfId="554" xr:uid="{00000000-0005-0000-0000-000059020000}"/>
    <cellStyle name="20% - Accent1 2 3 2 2 2 4 2" xfId="555" xr:uid="{00000000-0005-0000-0000-00005A020000}"/>
    <cellStyle name="20% - Accent1 2 3 2 2 2 4 2 2" xfId="556" xr:uid="{00000000-0005-0000-0000-00005B020000}"/>
    <cellStyle name="20% - Accent1 2 3 2 2 2 4 3" xfId="557" xr:uid="{00000000-0005-0000-0000-00005C020000}"/>
    <cellStyle name="20% - Accent1 2 3 2 2 2 5" xfId="558" xr:uid="{00000000-0005-0000-0000-00005D020000}"/>
    <cellStyle name="20% - Accent1 2 3 2 2 2 5 2" xfId="559" xr:uid="{00000000-0005-0000-0000-00005E020000}"/>
    <cellStyle name="20% - Accent1 2 3 2 2 2 6" xfId="560" xr:uid="{00000000-0005-0000-0000-00005F020000}"/>
    <cellStyle name="20% - Accent1 2 3 2 2 3" xfId="561" xr:uid="{00000000-0005-0000-0000-000060020000}"/>
    <cellStyle name="20% - Accent1 2 3 2 2 3 2" xfId="562" xr:uid="{00000000-0005-0000-0000-000061020000}"/>
    <cellStyle name="20% - Accent1 2 3 2 2 3 2 2" xfId="563" xr:uid="{00000000-0005-0000-0000-000062020000}"/>
    <cellStyle name="20% - Accent1 2 3 2 2 3 2 2 2" xfId="564" xr:uid="{00000000-0005-0000-0000-000063020000}"/>
    <cellStyle name="20% - Accent1 2 3 2 2 3 2 2 2 2" xfId="565" xr:uid="{00000000-0005-0000-0000-000064020000}"/>
    <cellStyle name="20% - Accent1 2 3 2 2 3 2 2 3" xfId="566" xr:uid="{00000000-0005-0000-0000-000065020000}"/>
    <cellStyle name="20% - Accent1 2 3 2 2 3 2 3" xfId="567" xr:uid="{00000000-0005-0000-0000-000066020000}"/>
    <cellStyle name="20% - Accent1 2 3 2 2 3 2 3 2" xfId="568" xr:uid="{00000000-0005-0000-0000-000067020000}"/>
    <cellStyle name="20% - Accent1 2 3 2 2 3 2 4" xfId="569" xr:uid="{00000000-0005-0000-0000-000068020000}"/>
    <cellStyle name="20% - Accent1 2 3 2 2 3 3" xfId="570" xr:uid="{00000000-0005-0000-0000-000069020000}"/>
    <cellStyle name="20% - Accent1 2 3 2 2 3 3 2" xfId="571" xr:uid="{00000000-0005-0000-0000-00006A020000}"/>
    <cellStyle name="20% - Accent1 2 3 2 2 3 3 2 2" xfId="572" xr:uid="{00000000-0005-0000-0000-00006B020000}"/>
    <cellStyle name="20% - Accent1 2 3 2 2 3 3 3" xfId="573" xr:uid="{00000000-0005-0000-0000-00006C020000}"/>
    <cellStyle name="20% - Accent1 2 3 2 2 3 4" xfId="574" xr:uid="{00000000-0005-0000-0000-00006D020000}"/>
    <cellStyle name="20% - Accent1 2 3 2 2 3 4 2" xfId="575" xr:uid="{00000000-0005-0000-0000-00006E020000}"/>
    <cellStyle name="20% - Accent1 2 3 2 2 3 5" xfId="576" xr:uid="{00000000-0005-0000-0000-00006F020000}"/>
    <cellStyle name="20% - Accent1 2 3 2 2 4" xfId="577" xr:uid="{00000000-0005-0000-0000-000070020000}"/>
    <cellStyle name="20% - Accent1 2 3 2 2 4 2" xfId="578" xr:uid="{00000000-0005-0000-0000-000071020000}"/>
    <cellStyle name="20% - Accent1 2 3 2 2 4 2 2" xfId="579" xr:uid="{00000000-0005-0000-0000-000072020000}"/>
    <cellStyle name="20% - Accent1 2 3 2 2 4 2 2 2" xfId="580" xr:uid="{00000000-0005-0000-0000-000073020000}"/>
    <cellStyle name="20% - Accent1 2 3 2 2 4 2 3" xfId="581" xr:uid="{00000000-0005-0000-0000-000074020000}"/>
    <cellStyle name="20% - Accent1 2 3 2 2 4 3" xfId="582" xr:uid="{00000000-0005-0000-0000-000075020000}"/>
    <cellStyle name="20% - Accent1 2 3 2 2 4 3 2" xfId="583" xr:uid="{00000000-0005-0000-0000-000076020000}"/>
    <cellStyle name="20% - Accent1 2 3 2 2 4 4" xfId="584" xr:uid="{00000000-0005-0000-0000-000077020000}"/>
    <cellStyle name="20% - Accent1 2 3 2 2 5" xfId="585" xr:uid="{00000000-0005-0000-0000-000078020000}"/>
    <cellStyle name="20% - Accent1 2 3 2 2 5 2" xfId="586" xr:uid="{00000000-0005-0000-0000-000079020000}"/>
    <cellStyle name="20% - Accent1 2 3 2 2 5 2 2" xfId="587" xr:uid="{00000000-0005-0000-0000-00007A020000}"/>
    <cellStyle name="20% - Accent1 2 3 2 2 5 3" xfId="588" xr:uid="{00000000-0005-0000-0000-00007B020000}"/>
    <cellStyle name="20% - Accent1 2 3 2 2 6" xfId="589" xr:uid="{00000000-0005-0000-0000-00007C020000}"/>
    <cellStyle name="20% - Accent1 2 3 2 2 6 2" xfId="590" xr:uid="{00000000-0005-0000-0000-00007D020000}"/>
    <cellStyle name="20% - Accent1 2 3 2 2 7" xfId="591" xr:uid="{00000000-0005-0000-0000-00007E020000}"/>
    <cellStyle name="20% - Accent1 2 3 2 3" xfId="592" xr:uid="{00000000-0005-0000-0000-00007F020000}"/>
    <cellStyle name="20% - Accent1 2 3 2 3 2" xfId="593" xr:uid="{00000000-0005-0000-0000-000080020000}"/>
    <cellStyle name="20% - Accent1 2 3 2 3 2 2" xfId="594" xr:uid="{00000000-0005-0000-0000-000081020000}"/>
    <cellStyle name="20% - Accent1 2 3 2 3 2 2 2" xfId="595" xr:uid="{00000000-0005-0000-0000-000082020000}"/>
    <cellStyle name="20% - Accent1 2 3 2 3 2 2 2 2" xfId="596" xr:uid="{00000000-0005-0000-0000-000083020000}"/>
    <cellStyle name="20% - Accent1 2 3 2 3 2 2 2 2 2" xfId="597" xr:uid="{00000000-0005-0000-0000-000084020000}"/>
    <cellStyle name="20% - Accent1 2 3 2 3 2 2 2 3" xfId="598" xr:uid="{00000000-0005-0000-0000-000085020000}"/>
    <cellStyle name="20% - Accent1 2 3 2 3 2 2 3" xfId="599" xr:uid="{00000000-0005-0000-0000-000086020000}"/>
    <cellStyle name="20% - Accent1 2 3 2 3 2 2 3 2" xfId="600" xr:uid="{00000000-0005-0000-0000-000087020000}"/>
    <cellStyle name="20% - Accent1 2 3 2 3 2 2 4" xfId="601" xr:uid="{00000000-0005-0000-0000-000088020000}"/>
    <cellStyle name="20% - Accent1 2 3 2 3 2 3" xfId="602" xr:uid="{00000000-0005-0000-0000-000089020000}"/>
    <cellStyle name="20% - Accent1 2 3 2 3 2 3 2" xfId="603" xr:uid="{00000000-0005-0000-0000-00008A020000}"/>
    <cellStyle name="20% - Accent1 2 3 2 3 2 3 2 2" xfId="604" xr:uid="{00000000-0005-0000-0000-00008B020000}"/>
    <cellStyle name="20% - Accent1 2 3 2 3 2 3 3" xfId="605" xr:uid="{00000000-0005-0000-0000-00008C020000}"/>
    <cellStyle name="20% - Accent1 2 3 2 3 2 4" xfId="606" xr:uid="{00000000-0005-0000-0000-00008D020000}"/>
    <cellStyle name="20% - Accent1 2 3 2 3 2 4 2" xfId="607" xr:uid="{00000000-0005-0000-0000-00008E020000}"/>
    <cellStyle name="20% - Accent1 2 3 2 3 2 5" xfId="608" xr:uid="{00000000-0005-0000-0000-00008F020000}"/>
    <cellStyle name="20% - Accent1 2 3 2 3 3" xfId="609" xr:uid="{00000000-0005-0000-0000-000090020000}"/>
    <cellStyle name="20% - Accent1 2 3 2 3 3 2" xfId="610" xr:uid="{00000000-0005-0000-0000-000091020000}"/>
    <cellStyle name="20% - Accent1 2 3 2 3 3 2 2" xfId="611" xr:uid="{00000000-0005-0000-0000-000092020000}"/>
    <cellStyle name="20% - Accent1 2 3 2 3 3 2 2 2" xfId="612" xr:uid="{00000000-0005-0000-0000-000093020000}"/>
    <cellStyle name="20% - Accent1 2 3 2 3 3 2 3" xfId="613" xr:uid="{00000000-0005-0000-0000-000094020000}"/>
    <cellStyle name="20% - Accent1 2 3 2 3 3 3" xfId="614" xr:uid="{00000000-0005-0000-0000-000095020000}"/>
    <cellStyle name="20% - Accent1 2 3 2 3 3 3 2" xfId="615" xr:uid="{00000000-0005-0000-0000-000096020000}"/>
    <cellStyle name="20% - Accent1 2 3 2 3 3 4" xfId="616" xr:uid="{00000000-0005-0000-0000-000097020000}"/>
    <cellStyle name="20% - Accent1 2 3 2 3 4" xfId="617" xr:uid="{00000000-0005-0000-0000-000098020000}"/>
    <cellStyle name="20% - Accent1 2 3 2 3 4 2" xfId="618" xr:uid="{00000000-0005-0000-0000-000099020000}"/>
    <cellStyle name="20% - Accent1 2 3 2 3 4 2 2" xfId="619" xr:uid="{00000000-0005-0000-0000-00009A020000}"/>
    <cellStyle name="20% - Accent1 2 3 2 3 4 3" xfId="620" xr:uid="{00000000-0005-0000-0000-00009B020000}"/>
    <cellStyle name="20% - Accent1 2 3 2 3 5" xfId="621" xr:uid="{00000000-0005-0000-0000-00009C020000}"/>
    <cellStyle name="20% - Accent1 2 3 2 3 5 2" xfId="622" xr:uid="{00000000-0005-0000-0000-00009D020000}"/>
    <cellStyle name="20% - Accent1 2 3 2 3 6" xfId="623" xr:uid="{00000000-0005-0000-0000-00009E020000}"/>
    <cellStyle name="20% - Accent1 2 3 2 4" xfId="624" xr:uid="{00000000-0005-0000-0000-00009F020000}"/>
    <cellStyle name="20% - Accent1 2 3 2 4 2" xfId="625" xr:uid="{00000000-0005-0000-0000-0000A0020000}"/>
    <cellStyle name="20% - Accent1 2 3 2 4 2 2" xfId="626" xr:uid="{00000000-0005-0000-0000-0000A1020000}"/>
    <cellStyle name="20% - Accent1 2 3 2 4 2 2 2" xfId="627" xr:uid="{00000000-0005-0000-0000-0000A2020000}"/>
    <cellStyle name="20% - Accent1 2 3 2 4 2 2 2 2" xfId="628" xr:uid="{00000000-0005-0000-0000-0000A3020000}"/>
    <cellStyle name="20% - Accent1 2 3 2 4 2 2 3" xfId="629" xr:uid="{00000000-0005-0000-0000-0000A4020000}"/>
    <cellStyle name="20% - Accent1 2 3 2 4 2 3" xfId="630" xr:uid="{00000000-0005-0000-0000-0000A5020000}"/>
    <cellStyle name="20% - Accent1 2 3 2 4 2 3 2" xfId="631" xr:uid="{00000000-0005-0000-0000-0000A6020000}"/>
    <cellStyle name="20% - Accent1 2 3 2 4 2 4" xfId="632" xr:uid="{00000000-0005-0000-0000-0000A7020000}"/>
    <cellStyle name="20% - Accent1 2 3 2 4 3" xfId="633" xr:uid="{00000000-0005-0000-0000-0000A8020000}"/>
    <cellStyle name="20% - Accent1 2 3 2 4 3 2" xfId="634" xr:uid="{00000000-0005-0000-0000-0000A9020000}"/>
    <cellStyle name="20% - Accent1 2 3 2 4 3 2 2" xfId="635" xr:uid="{00000000-0005-0000-0000-0000AA020000}"/>
    <cellStyle name="20% - Accent1 2 3 2 4 3 3" xfId="636" xr:uid="{00000000-0005-0000-0000-0000AB020000}"/>
    <cellStyle name="20% - Accent1 2 3 2 4 4" xfId="637" xr:uid="{00000000-0005-0000-0000-0000AC020000}"/>
    <cellStyle name="20% - Accent1 2 3 2 4 4 2" xfId="638" xr:uid="{00000000-0005-0000-0000-0000AD020000}"/>
    <cellStyle name="20% - Accent1 2 3 2 4 5" xfId="639" xr:uid="{00000000-0005-0000-0000-0000AE020000}"/>
    <cellStyle name="20% - Accent1 2 3 2 5" xfId="640" xr:uid="{00000000-0005-0000-0000-0000AF020000}"/>
    <cellStyle name="20% - Accent1 2 3 2 5 2" xfId="641" xr:uid="{00000000-0005-0000-0000-0000B0020000}"/>
    <cellStyle name="20% - Accent1 2 3 2 5 2 2" xfId="642" xr:uid="{00000000-0005-0000-0000-0000B1020000}"/>
    <cellStyle name="20% - Accent1 2 3 2 5 2 2 2" xfId="643" xr:uid="{00000000-0005-0000-0000-0000B2020000}"/>
    <cellStyle name="20% - Accent1 2 3 2 5 2 3" xfId="644" xr:uid="{00000000-0005-0000-0000-0000B3020000}"/>
    <cellStyle name="20% - Accent1 2 3 2 5 3" xfId="645" xr:uid="{00000000-0005-0000-0000-0000B4020000}"/>
    <cellStyle name="20% - Accent1 2 3 2 5 3 2" xfId="646" xr:uid="{00000000-0005-0000-0000-0000B5020000}"/>
    <cellStyle name="20% - Accent1 2 3 2 5 4" xfId="647" xr:uid="{00000000-0005-0000-0000-0000B6020000}"/>
    <cellStyle name="20% - Accent1 2 3 2 6" xfId="648" xr:uid="{00000000-0005-0000-0000-0000B7020000}"/>
    <cellStyle name="20% - Accent1 2 3 2 6 2" xfId="649" xr:uid="{00000000-0005-0000-0000-0000B8020000}"/>
    <cellStyle name="20% - Accent1 2 3 2 6 2 2" xfId="650" xr:uid="{00000000-0005-0000-0000-0000B9020000}"/>
    <cellStyle name="20% - Accent1 2 3 2 6 3" xfId="651" xr:uid="{00000000-0005-0000-0000-0000BA020000}"/>
    <cellStyle name="20% - Accent1 2 3 2 7" xfId="652" xr:uid="{00000000-0005-0000-0000-0000BB020000}"/>
    <cellStyle name="20% - Accent1 2 3 2 7 2" xfId="653" xr:uid="{00000000-0005-0000-0000-0000BC020000}"/>
    <cellStyle name="20% - Accent1 2 3 2 8" xfId="654" xr:uid="{00000000-0005-0000-0000-0000BD020000}"/>
    <cellStyle name="20% - Accent1 2 3 3" xfId="655" xr:uid="{00000000-0005-0000-0000-0000BE020000}"/>
    <cellStyle name="20% - Accent1 2 3 3 2" xfId="656" xr:uid="{00000000-0005-0000-0000-0000BF020000}"/>
    <cellStyle name="20% - Accent1 2 3 3 2 2" xfId="657" xr:uid="{00000000-0005-0000-0000-0000C0020000}"/>
    <cellStyle name="20% - Accent1 2 3 3 2 2 2" xfId="658" xr:uid="{00000000-0005-0000-0000-0000C1020000}"/>
    <cellStyle name="20% - Accent1 2 3 3 2 2 2 2" xfId="659" xr:uid="{00000000-0005-0000-0000-0000C2020000}"/>
    <cellStyle name="20% - Accent1 2 3 3 2 2 2 2 2" xfId="660" xr:uid="{00000000-0005-0000-0000-0000C3020000}"/>
    <cellStyle name="20% - Accent1 2 3 3 2 2 2 2 2 2" xfId="661" xr:uid="{00000000-0005-0000-0000-0000C4020000}"/>
    <cellStyle name="20% - Accent1 2 3 3 2 2 2 2 3" xfId="662" xr:uid="{00000000-0005-0000-0000-0000C5020000}"/>
    <cellStyle name="20% - Accent1 2 3 3 2 2 2 3" xfId="663" xr:uid="{00000000-0005-0000-0000-0000C6020000}"/>
    <cellStyle name="20% - Accent1 2 3 3 2 2 2 3 2" xfId="664" xr:uid="{00000000-0005-0000-0000-0000C7020000}"/>
    <cellStyle name="20% - Accent1 2 3 3 2 2 2 4" xfId="665" xr:uid="{00000000-0005-0000-0000-0000C8020000}"/>
    <cellStyle name="20% - Accent1 2 3 3 2 2 3" xfId="666" xr:uid="{00000000-0005-0000-0000-0000C9020000}"/>
    <cellStyle name="20% - Accent1 2 3 3 2 2 3 2" xfId="667" xr:uid="{00000000-0005-0000-0000-0000CA020000}"/>
    <cellStyle name="20% - Accent1 2 3 3 2 2 3 2 2" xfId="668" xr:uid="{00000000-0005-0000-0000-0000CB020000}"/>
    <cellStyle name="20% - Accent1 2 3 3 2 2 3 3" xfId="669" xr:uid="{00000000-0005-0000-0000-0000CC020000}"/>
    <cellStyle name="20% - Accent1 2 3 3 2 2 4" xfId="670" xr:uid="{00000000-0005-0000-0000-0000CD020000}"/>
    <cellStyle name="20% - Accent1 2 3 3 2 2 4 2" xfId="671" xr:uid="{00000000-0005-0000-0000-0000CE020000}"/>
    <cellStyle name="20% - Accent1 2 3 3 2 2 5" xfId="672" xr:uid="{00000000-0005-0000-0000-0000CF020000}"/>
    <cellStyle name="20% - Accent1 2 3 3 2 3" xfId="673" xr:uid="{00000000-0005-0000-0000-0000D0020000}"/>
    <cellStyle name="20% - Accent1 2 3 3 2 3 2" xfId="674" xr:uid="{00000000-0005-0000-0000-0000D1020000}"/>
    <cellStyle name="20% - Accent1 2 3 3 2 3 2 2" xfId="675" xr:uid="{00000000-0005-0000-0000-0000D2020000}"/>
    <cellStyle name="20% - Accent1 2 3 3 2 3 2 2 2" xfId="676" xr:uid="{00000000-0005-0000-0000-0000D3020000}"/>
    <cellStyle name="20% - Accent1 2 3 3 2 3 2 3" xfId="677" xr:uid="{00000000-0005-0000-0000-0000D4020000}"/>
    <cellStyle name="20% - Accent1 2 3 3 2 3 3" xfId="678" xr:uid="{00000000-0005-0000-0000-0000D5020000}"/>
    <cellStyle name="20% - Accent1 2 3 3 2 3 3 2" xfId="679" xr:uid="{00000000-0005-0000-0000-0000D6020000}"/>
    <cellStyle name="20% - Accent1 2 3 3 2 3 4" xfId="680" xr:uid="{00000000-0005-0000-0000-0000D7020000}"/>
    <cellStyle name="20% - Accent1 2 3 3 2 4" xfId="681" xr:uid="{00000000-0005-0000-0000-0000D8020000}"/>
    <cellStyle name="20% - Accent1 2 3 3 2 4 2" xfId="682" xr:uid="{00000000-0005-0000-0000-0000D9020000}"/>
    <cellStyle name="20% - Accent1 2 3 3 2 4 2 2" xfId="683" xr:uid="{00000000-0005-0000-0000-0000DA020000}"/>
    <cellStyle name="20% - Accent1 2 3 3 2 4 3" xfId="684" xr:uid="{00000000-0005-0000-0000-0000DB020000}"/>
    <cellStyle name="20% - Accent1 2 3 3 2 5" xfId="685" xr:uid="{00000000-0005-0000-0000-0000DC020000}"/>
    <cellStyle name="20% - Accent1 2 3 3 2 5 2" xfId="686" xr:uid="{00000000-0005-0000-0000-0000DD020000}"/>
    <cellStyle name="20% - Accent1 2 3 3 2 6" xfId="687" xr:uid="{00000000-0005-0000-0000-0000DE020000}"/>
    <cellStyle name="20% - Accent1 2 3 3 3" xfId="688" xr:uid="{00000000-0005-0000-0000-0000DF020000}"/>
    <cellStyle name="20% - Accent1 2 3 3 3 2" xfId="689" xr:uid="{00000000-0005-0000-0000-0000E0020000}"/>
    <cellStyle name="20% - Accent1 2 3 3 3 2 2" xfId="690" xr:uid="{00000000-0005-0000-0000-0000E1020000}"/>
    <cellStyle name="20% - Accent1 2 3 3 3 2 2 2" xfId="691" xr:uid="{00000000-0005-0000-0000-0000E2020000}"/>
    <cellStyle name="20% - Accent1 2 3 3 3 2 2 2 2" xfId="692" xr:uid="{00000000-0005-0000-0000-0000E3020000}"/>
    <cellStyle name="20% - Accent1 2 3 3 3 2 2 3" xfId="693" xr:uid="{00000000-0005-0000-0000-0000E4020000}"/>
    <cellStyle name="20% - Accent1 2 3 3 3 2 3" xfId="694" xr:uid="{00000000-0005-0000-0000-0000E5020000}"/>
    <cellStyle name="20% - Accent1 2 3 3 3 2 3 2" xfId="695" xr:uid="{00000000-0005-0000-0000-0000E6020000}"/>
    <cellStyle name="20% - Accent1 2 3 3 3 2 4" xfId="696" xr:uid="{00000000-0005-0000-0000-0000E7020000}"/>
    <cellStyle name="20% - Accent1 2 3 3 3 3" xfId="697" xr:uid="{00000000-0005-0000-0000-0000E8020000}"/>
    <cellStyle name="20% - Accent1 2 3 3 3 3 2" xfId="698" xr:uid="{00000000-0005-0000-0000-0000E9020000}"/>
    <cellStyle name="20% - Accent1 2 3 3 3 3 2 2" xfId="699" xr:uid="{00000000-0005-0000-0000-0000EA020000}"/>
    <cellStyle name="20% - Accent1 2 3 3 3 3 3" xfId="700" xr:uid="{00000000-0005-0000-0000-0000EB020000}"/>
    <cellStyle name="20% - Accent1 2 3 3 3 4" xfId="701" xr:uid="{00000000-0005-0000-0000-0000EC020000}"/>
    <cellStyle name="20% - Accent1 2 3 3 3 4 2" xfId="702" xr:uid="{00000000-0005-0000-0000-0000ED020000}"/>
    <cellStyle name="20% - Accent1 2 3 3 3 5" xfId="703" xr:uid="{00000000-0005-0000-0000-0000EE020000}"/>
    <cellStyle name="20% - Accent1 2 3 3 4" xfId="704" xr:uid="{00000000-0005-0000-0000-0000EF020000}"/>
    <cellStyle name="20% - Accent1 2 3 3 4 2" xfId="705" xr:uid="{00000000-0005-0000-0000-0000F0020000}"/>
    <cellStyle name="20% - Accent1 2 3 3 4 2 2" xfId="706" xr:uid="{00000000-0005-0000-0000-0000F1020000}"/>
    <cellStyle name="20% - Accent1 2 3 3 4 2 2 2" xfId="707" xr:uid="{00000000-0005-0000-0000-0000F2020000}"/>
    <cellStyle name="20% - Accent1 2 3 3 4 2 3" xfId="708" xr:uid="{00000000-0005-0000-0000-0000F3020000}"/>
    <cellStyle name="20% - Accent1 2 3 3 4 3" xfId="709" xr:uid="{00000000-0005-0000-0000-0000F4020000}"/>
    <cellStyle name="20% - Accent1 2 3 3 4 3 2" xfId="710" xr:uid="{00000000-0005-0000-0000-0000F5020000}"/>
    <cellStyle name="20% - Accent1 2 3 3 4 4" xfId="711" xr:uid="{00000000-0005-0000-0000-0000F6020000}"/>
    <cellStyle name="20% - Accent1 2 3 3 5" xfId="712" xr:uid="{00000000-0005-0000-0000-0000F7020000}"/>
    <cellStyle name="20% - Accent1 2 3 3 5 2" xfId="713" xr:uid="{00000000-0005-0000-0000-0000F8020000}"/>
    <cellStyle name="20% - Accent1 2 3 3 5 2 2" xfId="714" xr:uid="{00000000-0005-0000-0000-0000F9020000}"/>
    <cellStyle name="20% - Accent1 2 3 3 5 3" xfId="715" xr:uid="{00000000-0005-0000-0000-0000FA020000}"/>
    <cellStyle name="20% - Accent1 2 3 3 6" xfId="716" xr:uid="{00000000-0005-0000-0000-0000FB020000}"/>
    <cellStyle name="20% - Accent1 2 3 3 6 2" xfId="717" xr:uid="{00000000-0005-0000-0000-0000FC020000}"/>
    <cellStyle name="20% - Accent1 2 3 3 7" xfId="718" xr:uid="{00000000-0005-0000-0000-0000FD020000}"/>
    <cellStyle name="20% - Accent1 2 3 4" xfId="719" xr:uid="{00000000-0005-0000-0000-0000FE020000}"/>
    <cellStyle name="20% - Accent1 2 3 4 2" xfId="720" xr:uid="{00000000-0005-0000-0000-0000FF020000}"/>
    <cellStyle name="20% - Accent1 2 3 4 2 2" xfId="721" xr:uid="{00000000-0005-0000-0000-000000030000}"/>
    <cellStyle name="20% - Accent1 2 3 4 2 2 2" xfId="722" xr:uid="{00000000-0005-0000-0000-000001030000}"/>
    <cellStyle name="20% - Accent1 2 3 4 2 2 2 2" xfId="723" xr:uid="{00000000-0005-0000-0000-000002030000}"/>
    <cellStyle name="20% - Accent1 2 3 4 2 2 2 2 2" xfId="724" xr:uid="{00000000-0005-0000-0000-000003030000}"/>
    <cellStyle name="20% - Accent1 2 3 4 2 2 2 3" xfId="725" xr:uid="{00000000-0005-0000-0000-000004030000}"/>
    <cellStyle name="20% - Accent1 2 3 4 2 2 3" xfId="726" xr:uid="{00000000-0005-0000-0000-000005030000}"/>
    <cellStyle name="20% - Accent1 2 3 4 2 2 3 2" xfId="727" xr:uid="{00000000-0005-0000-0000-000006030000}"/>
    <cellStyle name="20% - Accent1 2 3 4 2 2 4" xfId="728" xr:uid="{00000000-0005-0000-0000-000007030000}"/>
    <cellStyle name="20% - Accent1 2 3 4 2 3" xfId="729" xr:uid="{00000000-0005-0000-0000-000008030000}"/>
    <cellStyle name="20% - Accent1 2 3 4 2 3 2" xfId="730" xr:uid="{00000000-0005-0000-0000-000009030000}"/>
    <cellStyle name="20% - Accent1 2 3 4 2 3 2 2" xfId="731" xr:uid="{00000000-0005-0000-0000-00000A030000}"/>
    <cellStyle name="20% - Accent1 2 3 4 2 3 3" xfId="732" xr:uid="{00000000-0005-0000-0000-00000B030000}"/>
    <cellStyle name="20% - Accent1 2 3 4 2 4" xfId="733" xr:uid="{00000000-0005-0000-0000-00000C030000}"/>
    <cellStyle name="20% - Accent1 2 3 4 2 4 2" xfId="734" xr:uid="{00000000-0005-0000-0000-00000D030000}"/>
    <cellStyle name="20% - Accent1 2 3 4 2 5" xfId="735" xr:uid="{00000000-0005-0000-0000-00000E030000}"/>
    <cellStyle name="20% - Accent1 2 3 4 3" xfId="736" xr:uid="{00000000-0005-0000-0000-00000F030000}"/>
    <cellStyle name="20% - Accent1 2 3 4 3 2" xfId="737" xr:uid="{00000000-0005-0000-0000-000010030000}"/>
    <cellStyle name="20% - Accent1 2 3 4 3 2 2" xfId="738" xr:uid="{00000000-0005-0000-0000-000011030000}"/>
    <cellStyle name="20% - Accent1 2 3 4 3 2 2 2" xfId="739" xr:uid="{00000000-0005-0000-0000-000012030000}"/>
    <cellStyle name="20% - Accent1 2 3 4 3 2 3" xfId="740" xr:uid="{00000000-0005-0000-0000-000013030000}"/>
    <cellStyle name="20% - Accent1 2 3 4 3 3" xfId="741" xr:uid="{00000000-0005-0000-0000-000014030000}"/>
    <cellStyle name="20% - Accent1 2 3 4 3 3 2" xfId="742" xr:uid="{00000000-0005-0000-0000-000015030000}"/>
    <cellStyle name="20% - Accent1 2 3 4 3 4" xfId="743" xr:uid="{00000000-0005-0000-0000-000016030000}"/>
    <cellStyle name="20% - Accent1 2 3 4 4" xfId="744" xr:uid="{00000000-0005-0000-0000-000017030000}"/>
    <cellStyle name="20% - Accent1 2 3 4 4 2" xfId="745" xr:uid="{00000000-0005-0000-0000-000018030000}"/>
    <cellStyle name="20% - Accent1 2 3 4 4 2 2" xfId="746" xr:uid="{00000000-0005-0000-0000-000019030000}"/>
    <cellStyle name="20% - Accent1 2 3 4 4 3" xfId="747" xr:uid="{00000000-0005-0000-0000-00001A030000}"/>
    <cellStyle name="20% - Accent1 2 3 4 5" xfId="748" xr:uid="{00000000-0005-0000-0000-00001B030000}"/>
    <cellStyle name="20% - Accent1 2 3 4 5 2" xfId="749" xr:uid="{00000000-0005-0000-0000-00001C030000}"/>
    <cellStyle name="20% - Accent1 2 3 4 6" xfId="750" xr:uid="{00000000-0005-0000-0000-00001D030000}"/>
    <cellStyle name="20% - Accent1 2 3 5" xfId="751" xr:uid="{00000000-0005-0000-0000-00001E030000}"/>
    <cellStyle name="20% - Accent1 2 3 5 2" xfId="752" xr:uid="{00000000-0005-0000-0000-00001F030000}"/>
    <cellStyle name="20% - Accent1 2 3 5 2 2" xfId="753" xr:uid="{00000000-0005-0000-0000-000020030000}"/>
    <cellStyle name="20% - Accent1 2 3 5 2 2 2" xfId="754" xr:uid="{00000000-0005-0000-0000-000021030000}"/>
    <cellStyle name="20% - Accent1 2 3 5 2 2 2 2" xfId="755" xr:uid="{00000000-0005-0000-0000-000022030000}"/>
    <cellStyle name="20% - Accent1 2 3 5 2 2 3" xfId="756" xr:uid="{00000000-0005-0000-0000-000023030000}"/>
    <cellStyle name="20% - Accent1 2 3 5 2 3" xfId="757" xr:uid="{00000000-0005-0000-0000-000024030000}"/>
    <cellStyle name="20% - Accent1 2 3 5 2 3 2" xfId="758" xr:uid="{00000000-0005-0000-0000-000025030000}"/>
    <cellStyle name="20% - Accent1 2 3 5 2 4" xfId="759" xr:uid="{00000000-0005-0000-0000-000026030000}"/>
    <cellStyle name="20% - Accent1 2 3 5 3" xfId="760" xr:uid="{00000000-0005-0000-0000-000027030000}"/>
    <cellStyle name="20% - Accent1 2 3 5 3 2" xfId="761" xr:uid="{00000000-0005-0000-0000-000028030000}"/>
    <cellStyle name="20% - Accent1 2 3 5 3 2 2" xfId="762" xr:uid="{00000000-0005-0000-0000-000029030000}"/>
    <cellStyle name="20% - Accent1 2 3 5 3 3" xfId="763" xr:uid="{00000000-0005-0000-0000-00002A030000}"/>
    <cellStyle name="20% - Accent1 2 3 5 4" xfId="764" xr:uid="{00000000-0005-0000-0000-00002B030000}"/>
    <cellStyle name="20% - Accent1 2 3 5 4 2" xfId="765" xr:uid="{00000000-0005-0000-0000-00002C030000}"/>
    <cellStyle name="20% - Accent1 2 3 5 5" xfId="766" xr:uid="{00000000-0005-0000-0000-00002D030000}"/>
    <cellStyle name="20% - Accent1 2 3 6" xfId="767" xr:uid="{00000000-0005-0000-0000-00002E030000}"/>
    <cellStyle name="20% - Accent1 2 3 6 2" xfId="768" xr:uid="{00000000-0005-0000-0000-00002F030000}"/>
    <cellStyle name="20% - Accent1 2 3 6 2 2" xfId="769" xr:uid="{00000000-0005-0000-0000-000030030000}"/>
    <cellStyle name="20% - Accent1 2 3 6 2 2 2" xfId="770" xr:uid="{00000000-0005-0000-0000-000031030000}"/>
    <cellStyle name="20% - Accent1 2 3 6 2 3" xfId="771" xr:uid="{00000000-0005-0000-0000-000032030000}"/>
    <cellStyle name="20% - Accent1 2 3 6 3" xfId="772" xr:uid="{00000000-0005-0000-0000-000033030000}"/>
    <cellStyle name="20% - Accent1 2 3 6 3 2" xfId="773" xr:uid="{00000000-0005-0000-0000-000034030000}"/>
    <cellStyle name="20% - Accent1 2 3 6 4" xfId="774" xr:uid="{00000000-0005-0000-0000-000035030000}"/>
    <cellStyle name="20% - Accent1 2 3 7" xfId="775" xr:uid="{00000000-0005-0000-0000-000036030000}"/>
    <cellStyle name="20% - Accent1 2 3 7 2" xfId="776" xr:uid="{00000000-0005-0000-0000-000037030000}"/>
    <cellStyle name="20% - Accent1 2 3 7 2 2" xfId="777" xr:uid="{00000000-0005-0000-0000-000038030000}"/>
    <cellStyle name="20% - Accent1 2 3 7 3" xfId="778" xr:uid="{00000000-0005-0000-0000-000039030000}"/>
    <cellStyle name="20% - Accent1 2 3 8" xfId="779" xr:uid="{00000000-0005-0000-0000-00003A030000}"/>
    <cellStyle name="20% - Accent1 2 3 8 2" xfId="780" xr:uid="{00000000-0005-0000-0000-00003B030000}"/>
    <cellStyle name="20% - Accent1 2 3 9" xfId="781" xr:uid="{00000000-0005-0000-0000-00003C030000}"/>
    <cellStyle name="20% - Accent1 2 4" xfId="782" xr:uid="{00000000-0005-0000-0000-00003D030000}"/>
    <cellStyle name="20% - Accent1 2 4 2" xfId="783" xr:uid="{00000000-0005-0000-0000-00003E030000}"/>
    <cellStyle name="20% - Accent1 2 4 2 2" xfId="784" xr:uid="{00000000-0005-0000-0000-00003F030000}"/>
    <cellStyle name="20% - Accent1 2 4 2 2 2" xfId="785" xr:uid="{00000000-0005-0000-0000-000040030000}"/>
    <cellStyle name="20% - Accent1 2 4 2 2 2 2" xfId="786" xr:uid="{00000000-0005-0000-0000-000041030000}"/>
    <cellStyle name="20% - Accent1 2 4 2 2 2 2 2" xfId="787" xr:uid="{00000000-0005-0000-0000-000042030000}"/>
    <cellStyle name="20% - Accent1 2 4 2 2 2 2 2 2" xfId="788" xr:uid="{00000000-0005-0000-0000-000043030000}"/>
    <cellStyle name="20% - Accent1 2 4 2 2 2 2 2 2 2" xfId="789" xr:uid="{00000000-0005-0000-0000-000044030000}"/>
    <cellStyle name="20% - Accent1 2 4 2 2 2 2 2 3" xfId="790" xr:uid="{00000000-0005-0000-0000-000045030000}"/>
    <cellStyle name="20% - Accent1 2 4 2 2 2 2 3" xfId="791" xr:uid="{00000000-0005-0000-0000-000046030000}"/>
    <cellStyle name="20% - Accent1 2 4 2 2 2 2 3 2" xfId="792" xr:uid="{00000000-0005-0000-0000-000047030000}"/>
    <cellStyle name="20% - Accent1 2 4 2 2 2 2 4" xfId="793" xr:uid="{00000000-0005-0000-0000-000048030000}"/>
    <cellStyle name="20% - Accent1 2 4 2 2 2 3" xfId="794" xr:uid="{00000000-0005-0000-0000-000049030000}"/>
    <cellStyle name="20% - Accent1 2 4 2 2 2 3 2" xfId="795" xr:uid="{00000000-0005-0000-0000-00004A030000}"/>
    <cellStyle name="20% - Accent1 2 4 2 2 2 3 2 2" xfId="796" xr:uid="{00000000-0005-0000-0000-00004B030000}"/>
    <cellStyle name="20% - Accent1 2 4 2 2 2 3 3" xfId="797" xr:uid="{00000000-0005-0000-0000-00004C030000}"/>
    <cellStyle name="20% - Accent1 2 4 2 2 2 4" xfId="798" xr:uid="{00000000-0005-0000-0000-00004D030000}"/>
    <cellStyle name="20% - Accent1 2 4 2 2 2 4 2" xfId="799" xr:uid="{00000000-0005-0000-0000-00004E030000}"/>
    <cellStyle name="20% - Accent1 2 4 2 2 2 5" xfId="800" xr:uid="{00000000-0005-0000-0000-00004F030000}"/>
    <cellStyle name="20% - Accent1 2 4 2 2 3" xfId="801" xr:uid="{00000000-0005-0000-0000-000050030000}"/>
    <cellStyle name="20% - Accent1 2 4 2 2 3 2" xfId="802" xr:uid="{00000000-0005-0000-0000-000051030000}"/>
    <cellStyle name="20% - Accent1 2 4 2 2 3 2 2" xfId="803" xr:uid="{00000000-0005-0000-0000-000052030000}"/>
    <cellStyle name="20% - Accent1 2 4 2 2 3 2 2 2" xfId="804" xr:uid="{00000000-0005-0000-0000-000053030000}"/>
    <cellStyle name="20% - Accent1 2 4 2 2 3 2 3" xfId="805" xr:uid="{00000000-0005-0000-0000-000054030000}"/>
    <cellStyle name="20% - Accent1 2 4 2 2 3 3" xfId="806" xr:uid="{00000000-0005-0000-0000-000055030000}"/>
    <cellStyle name="20% - Accent1 2 4 2 2 3 3 2" xfId="807" xr:uid="{00000000-0005-0000-0000-000056030000}"/>
    <cellStyle name="20% - Accent1 2 4 2 2 3 4" xfId="808" xr:uid="{00000000-0005-0000-0000-000057030000}"/>
    <cellStyle name="20% - Accent1 2 4 2 2 4" xfId="809" xr:uid="{00000000-0005-0000-0000-000058030000}"/>
    <cellStyle name="20% - Accent1 2 4 2 2 4 2" xfId="810" xr:uid="{00000000-0005-0000-0000-000059030000}"/>
    <cellStyle name="20% - Accent1 2 4 2 2 4 2 2" xfId="811" xr:uid="{00000000-0005-0000-0000-00005A030000}"/>
    <cellStyle name="20% - Accent1 2 4 2 2 4 3" xfId="812" xr:uid="{00000000-0005-0000-0000-00005B030000}"/>
    <cellStyle name="20% - Accent1 2 4 2 2 5" xfId="813" xr:uid="{00000000-0005-0000-0000-00005C030000}"/>
    <cellStyle name="20% - Accent1 2 4 2 2 5 2" xfId="814" xr:uid="{00000000-0005-0000-0000-00005D030000}"/>
    <cellStyle name="20% - Accent1 2 4 2 2 6" xfId="815" xr:uid="{00000000-0005-0000-0000-00005E030000}"/>
    <cellStyle name="20% - Accent1 2 4 2 3" xfId="816" xr:uid="{00000000-0005-0000-0000-00005F030000}"/>
    <cellStyle name="20% - Accent1 2 4 2 3 2" xfId="817" xr:uid="{00000000-0005-0000-0000-000060030000}"/>
    <cellStyle name="20% - Accent1 2 4 2 3 2 2" xfId="818" xr:uid="{00000000-0005-0000-0000-000061030000}"/>
    <cellStyle name="20% - Accent1 2 4 2 3 2 2 2" xfId="819" xr:uid="{00000000-0005-0000-0000-000062030000}"/>
    <cellStyle name="20% - Accent1 2 4 2 3 2 2 2 2" xfId="820" xr:uid="{00000000-0005-0000-0000-000063030000}"/>
    <cellStyle name="20% - Accent1 2 4 2 3 2 2 3" xfId="821" xr:uid="{00000000-0005-0000-0000-000064030000}"/>
    <cellStyle name="20% - Accent1 2 4 2 3 2 3" xfId="822" xr:uid="{00000000-0005-0000-0000-000065030000}"/>
    <cellStyle name="20% - Accent1 2 4 2 3 2 3 2" xfId="823" xr:uid="{00000000-0005-0000-0000-000066030000}"/>
    <cellStyle name="20% - Accent1 2 4 2 3 2 4" xfId="824" xr:uid="{00000000-0005-0000-0000-000067030000}"/>
    <cellStyle name="20% - Accent1 2 4 2 3 3" xfId="825" xr:uid="{00000000-0005-0000-0000-000068030000}"/>
    <cellStyle name="20% - Accent1 2 4 2 3 3 2" xfId="826" xr:uid="{00000000-0005-0000-0000-000069030000}"/>
    <cellStyle name="20% - Accent1 2 4 2 3 3 2 2" xfId="827" xr:uid="{00000000-0005-0000-0000-00006A030000}"/>
    <cellStyle name="20% - Accent1 2 4 2 3 3 3" xfId="828" xr:uid="{00000000-0005-0000-0000-00006B030000}"/>
    <cellStyle name="20% - Accent1 2 4 2 3 4" xfId="829" xr:uid="{00000000-0005-0000-0000-00006C030000}"/>
    <cellStyle name="20% - Accent1 2 4 2 3 4 2" xfId="830" xr:uid="{00000000-0005-0000-0000-00006D030000}"/>
    <cellStyle name="20% - Accent1 2 4 2 3 5" xfId="831" xr:uid="{00000000-0005-0000-0000-00006E030000}"/>
    <cellStyle name="20% - Accent1 2 4 2 4" xfId="832" xr:uid="{00000000-0005-0000-0000-00006F030000}"/>
    <cellStyle name="20% - Accent1 2 4 2 4 2" xfId="833" xr:uid="{00000000-0005-0000-0000-000070030000}"/>
    <cellStyle name="20% - Accent1 2 4 2 4 2 2" xfId="834" xr:uid="{00000000-0005-0000-0000-000071030000}"/>
    <cellStyle name="20% - Accent1 2 4 2 4 2 2 2" xfId="835" xr:uid="{00000000-0005-0000-0000-000072030000}"/>
    <cellStyle name="20% - Accent1 2 4 2 4 2 3" xfId="836" xr:uid="{00000000-0005-0000-0000-000073030000}"/>
    <cellStyle name="20% - Accent1 2 4 2 4 3" xfId="837" xr:uid="{00000000-0005-0000-0000-000074030000}"/>
    <cellStyle name="20% - Accent1 2 4 2 4 3 2" xfId="838" xr:uid="{00000000-0005-0000-0000-000075030000}"/>
    <cellStyle name="20% - Accent1 2 4 2 4 4" xfId="839" xr:uid="{00000000-0005-0000-0000-000076030000}"/>
    <cellStyle name="20% - Accent1 2 4 2 5" xfId="840" xr:uid="{00000000-0005-0000-0000-000077030000}"/>
    <cellStyle name="20% - Accent1 2 4 2 5 2" xfId="841" xr:uid="{00000000-0005-0000-0000-000078030000}"/>
    <cellStyle name="20% - Accent1 2 4 2 5 2 2" xfId="842" xr:uid="{00000000-0005-0000-0000-000079030000}"/>
    <cellStyle name="20% - Accent1 2 4 2 5 3" xfId="843" xr:uid="{00000000-0005-0000-0000-00007A030000}"/>
    <cellStyle name="20% - Accent1 2 4 2 6" xfId="844" xr:uid="{00000000-0005-0000-0000-00007B030000}"/>
    <cellStyle name="20% - Accent1 2 4 2 6 2" xfId="845" xr:uid="{00000000-0005-0000-0000-00007C030000}"/>
    <cellStyle name="20% - Accent1 2 4 2 7" xfId="846" xr:uid="{00000000-0005-0000-0000-00007D030000}"/>
    <cellStyle name="20% - Accent1 2 4 3" xfId="847" xr:uid="{00000000-0005-0000-0000-00007E030000}"/>
    <cellStyle name="20% - Accent1 2 4 3 2" xfId="848" xr:uid="{00000000-0005-0000-0000-00007F030000}"/>
    <cellStyle name="20% - Accent1 2 4 3 2 2" xfId="849" xr:uid="{00000000-0005-0000-0000-000080030000}"/>
    <cellStyle name="20% - Accent1 2 4 3 2 2 2" xfId="850" xr:uid="{00000000-0005-0000-0000-000081030000}"/>
    <cellStyle name="20% - Accent1 2 4 3 2 2 2 2" xfId="851" xr:uid="{00000000-0005-0000-0000-000082030000}"/>
    <cellStyle name="20% - Accent1 2 4 3 2 2 2 2 2" xfId="852" xr:uid="{00000000-0005-0000-0000-000083030000}"/>
    <cellStyle name="20% - Accent1 2 4 3 2 2 2 3" xfId="853" xr:uid="{00000000-0005-0000-0000-000084030000}"/>
    <cellStyle name="20% - Accent1 2 4 3 2 2 3" xfId="854" xr:uid="{00000000-0005-0000-0000-000085030000}"/>
    <cellStyle name="20% - Accent1 2 4 3 2 2 3 2" xfId="855" xr:uid="{00000000-0005-0000-0000-000086030000}"/>
    <cellStyle name="20% - Accent1 2 4 3 2 2 4" xfId="856" xr:uid="{00000000-0005-0000-0000-000087030000}"/>
    <cellStyle name="20% - Accent1 2 4 3 2 3" xfId="857" xr:uid="{00000000-0005-0000-0000-000088030000}"/>
    <cellStyle name="20% - Accent1 2 4 3 2 3 2" xfId="858" xr:uid="{00000000-0005-0000-0000-000089030000}"/>
    <cellStyle name="20% - Accent1 2 4 3 2 3 2 2" xfId="859" xr:uid="{00000000-0005-0000-0000-00008A030000}"/>
    <cellStyle name="20% - Accent1 2 4 3 2 3 3" xfId="860" xr:uid="{00000000-0005-0000-0000-00008B030000}"/>
    <cellStyle name="20% - Accent1 2 4 3 2 4" xfId="861" xr:uid="{00000000-0005-0000-0000-00008C030000}"/>
    <cellStyle name="20% - Accent1 2 4 3 2 4 2" xfId="862" xr:uid="{00000000-0005-0000-0000-00008D030000}"/>
    <cellStyle name="20% - Accent1 2 4 3 2 5" xfId="863" xr:uid="{00000000-0005-0000-0000-00008E030000}"/>
    <cellStyle name="20% - Accent1 2 4 3 3" xfId="864" xr:uid="{00000000-0005-0000-0000-00008F030000}"/>
    <cellStyle name="20% - Accent1 2 4 3 3 2" xfId="865" xr:uid="{00000000-0005-0000-0000-000090030000}"/>
    <cellStyle name="20% - Accent1 2 4 3 3 2 2" xfId="866" xr:uid="{00000000-0005-0000-0000-000091030000}"/>
    <cellStyle name="20% - Accent1 2 4 3 3 2 2 2" xfId="867" xr:uid="{00000000-0005-0000-0000-000092030000}"/>
    <cellStyle name="20% - Accent1 2 4 3 3 2 3" xfId="868" xr:uid="{00000000-0005-0000-0000-000093030000}"/>
    <cellStyle name="20% - Accent1 2 4 3 3 3" xfId="869" xr:uid="{00000000-0005-0000-0000-000094030000}"/>
    <cellStyle name="20% - Accent1 2 4 3 3 3 2" xfId="870" xr:uid="{00000000-0005-0000-0000-000095030000}"/>
    <cellStyle name="20% - Accent1 2 4 3 3 4" xfId="871" xr:uid="{00000000-0005-0000-0000-000096030000}"/>
    <cellStyle name="20% - Accent1 2 4 3 4" xfId="872" xr:uid="{00000000-0005-0000-0000-000097030000}"/>
    <cellStyle name="20% - Accent1 2 4 3 4 2" xfId="873" xr:uid="{00000000-0005-0000-0000-000098030000}"/>
    <cellStyle name="20% - Accent1 2 4 3 4 2 2" xfId="874" xr:uid="{00000000-0005-0000-0000-000099030000}"/>
    <cellStyle name="20% - Accent1 2 4 3 4 3" xfId="875" xr:uid="{00000000-0005-0000-0000-00009A030000}"/>
    <cellStyle name="20% - Accent1 2 4 3 5" xfId="876" xr:uid="{00000000-0005-0000-0000-00009B030000}"/>
    <cellStyle name="20% - Accent1 2 4 3 5 2" xfId="877" xr:uid="{00000000-0005-0000-0000-00009C030000}"/>
    <cellStyle name="20% - Accent1 2 4 3 6" xfId="878" xr:uid="{00000000-0005-0000-0000-00009D030000}"/>
    <cellStyle name="20% - Accent1 2 4 4" xfId="879" xr:uid="{00000000-0005-0000-0000-00009E030000}"/>
    <cellStyle name="20% - Accent1 2 4 4 2" xfId="880" xr:uid="{00000000-0005-0000-0000-00009F030000}"/>
    <cellStyle name="20% - Accent1 2 4 4 2 2" xfId="881" xr:uid="{00000000-0005-0000-0000-0000A0030000}"/>
    <cellStyle name="20% - Accent1 2 4 4 2 2 2" xfId="882" xr:uid="{00000000-0005-0000-0000-0000A1030000}"/>
    <cellStyle name="20% - Accent1 2 4 4 2 2 2 2" xfId="883" xr:uid="{00000000-0005-0000-0000-0000A2030000}"/>
    <cellStyle name="20% - Accent1 2 4 4 2 2 3" xfId="884" xr:uid="{00000000-0005-0000-0000-0000A3030000}"/>
    <cellStyle name="20% - Accent1 2 4 4 2 3" xfId="885" xr:uid="{00000000-0005-0000-0000-0000A4030000}"/>
    <cellStyle name="20% - Accent1 2 4 4 2 3 2" xfId="886" xr:uid="{00000000-0005-0000-0000-0000A5030000}"/>
    <cellStyle name="20% - Accent1 2 4 4 2 4" xfId="887" xr:uid="{00000000-0005-0000-0000-0000A6030000}"/>
    <cellStyle name="20% - Accent1 2 4 4 3" xfId="888" xr:uid="{00000000-0005-0000-0000-0000A7030000}"/>
    <cellStyle name="20% - Accent1 2 4 4 3 2" xfId="889" xr:uid="{00000000-0005-0000-0000-0000A8030000}"/>
    <cellStyle name="20% - Accent1 2 4 4 3 2 2" xfId="890" xr:uid="{00000000-0005-0000-0000-0000A9030000}"/>
    <cellStyle name="20% - Accent1 2 4 4 3 3" xfId="891" xr:uid="{00000000-0005-0000-0000-0000AA030000}"/>
    <cellStyle name="20% - Accent1 2 4 4 4" xfId="892" xr:uid="{00000000-0005-0000-0000-0000AB030000}"/>
    <cellStyle name="20% - Accent1 2 4 4 4 2" xfId="893" xr:uid="{00000000-0005-0000-0000-0000AC030000}"/>
    <cellStyle name="20% - Accent1 2 4 4 5" xfId="894" xr:uid="{00000000-0005-0000-0000-0000AD030000}"/>
    <cellStyle name="20% - Accent1 2 4 5" xfId="895" xr:uid="{00000000-0005-0000-0000-0000AE030000}"/>
    <cellStyle name="20% - Accent1 2 4 5 2" xfId="896" xr:uid="{00000000-0005-0000-0000-0000AF030000}"/>
    <cellStyle name="20% - Accent1 2 4 5 2 2" xfId="897" xr:uid="{00000000-0005-0000-0000-0000B0030000}"/>
    <cellStyle name="20% - Accent1 2 4 5 2 2 2" xfId="898" xr:uid="{00000000-0005-0000-0000-0000B1030000}"/>
    <cellStyle name="20% - Accent1 2 4 5 2 3" xfId="899" xr:uid="{00000000-0005-0000-0000-0000B2030000}"/>
    <cellStyle name="20% - Accent1 2 4 5 3" xfId="900" xr:uid="{00000000-0005-0000-0000-0000B3030000}"/>
    <cellStyle name="20% - Accent1 2 4 5 3 2" xfId="901" xr:uid="{00000000-0005-0000-0000-0000B4030000}"/>
    <cellStyle name="20% - Accent1 2 4 5 4" xfId="902" xr:uid="{00000000-0005-0000-0000-0000B5030000}"/>
    <cellStyle name="20% - Accent1 2 4 6" xfId="903" xr:uid="{00000000-0005-0000-0000-0000B6030000}"/>
    <cellStyle name="20% - Accent1 2 4 6 2" xfId="904" xr:uid="{00000000-0005-0000-0000-0000B7030000}"/>
    <cellStyle name="20% - Accent1 2 4 6 2 2" xfId="905" xr:uid="{00000000-0005-0000-0000-0000B8030000}"/>
    <cellStyle name="20% - Accent1 2 4 6 3" xfId="906" xr:uid="{00000000-0005-0000-0000-0000B9030000}"/>
    <cellStyle name="20% - Accent1 2 4 7" xfId="907" xr:uid="{00000000-0005-0000-0000-0000BA030000}"/>
    <cellStyle name="20% - Accent1 2 4 7 2" xfId="908" xr:uid="{00000000-0005-0000-0000-0000BB030000}"/>
    <cellStyle name="20% - Accent1 2 4 8" xfId="909" xr:uid="{00000000-0005-0000-0000-0000BC030000}"/>
    <cellStyle name="20% - Accent1 2 5" xfId="910" xr:uid="{00000000-0005-0000-0000-0000BD030000}"/>
    <cellStyle name="20% - Accent1 2 5 2" xfId="911" xr:uid="{00000000-0005-0000-0000-0000BE030000}"/>
    <cellStyle name="20% - Accent1 2 5 2 2" xfId="912" xr:uid="{00000000-0005-0000-0000-0000BF030000}"/>
    <cellStyle name="20% - Accent1 2 5 2 2 2" xfId="913" xr:uid="{00000000-0005-0000-0000-0000C0030000}"/>
    <cellStyle name="20% - Accent1 2 5 2 2 2 2" xfId="914" xr:uid="{00000000-0005-0000-0000-0000C1030000}"/>
    <cellStyle name="20% - Accent1 2 5 2 2 2 2 2" xfId="915" xr:uid="{00000000-0005-0000-0000-0000C2030000}"/>
    <cellStyle name="20% - Accent1 2 5 2 2 2 2 2 2" xfId="916" xr:uid="{00000000-0005-0000-0000-0000C3030000}"/>
    <cellStyle name="20% - Accent1 2 5 2 2 2 2 3" xfId="917" xr:uid="{00000000-0005-0000-0000-0000C4030000}"/>
    <cellStyle name="20% - Accent1 2 5 2 2 2 3" xfId="918" xr:uid="{00000000-0005-0000-0000-0000C5030000}"/>
    <cellStyle name="20% - Accent1 2 5 2 2 2 3 2" xfId="919" xr:uid="{00000000-0005-0000-0000-0000C6030000}"/>
    <cellStyle name="20% - Accent1 2 5 2 2 2 4" xfId="920" xr:uid="{00000000-0005-0000-0000-0000C7030000}"/>
    <cellStyle name="20% - Accent1 2 5 2 2 3" xfId="921" xr:uid="{00000000-0005-0000-0000-0000C8030000}"/>
    <cellStyle name="20% - Accent1 2 5 2 2 3 2" xfId="922" xr:uid="{00000000-0005-0000-0000-0000C9030000}"/>
    <cellStyle name="20% - Accent1 2 5 2 2 3 2 2" xfId="923" xr:uid="{00000000-0005-0000-0000-0000CA030000}"/>
    <cellStyle name="20% - Accent1 2 5 2 2 3 3" xfId="924" xr:uid="{00000000-0005-0000-0000-0000CB030000}"/>
    <cellStyle name="20% - Accent1 2 5 2 2 4" xfId="925" xr:uid="{00000000-0005-0000-0000-0000CC030000}"/>
    <cellStyle name="20% - Accent1 2 5 2 2 4 2" xfId="926" xr:uid="{00000000-0005-0000-0000-0000CD030000}"/>
    <cellStyle name="20% - Accent1 2 5 2 2 5" xfId="927" xr:uid="{00000000-0005-0000-0000-0000CE030000}"/>
    <cellStyle name="20% - Accent1 2 5 2 3" xfId="928" xr:uid="{00000000-0005-0000-0000-0000CF030000}"/>
    <cellStyle name="20% - Accent1 2 5 2 3 2" xfId="929" xr:uid="{00000000-0005-0000-0000-0000D0030000}"/>
    <cellStyle name="20% - Accent1 2 5 2 3 2 2" xfId="930" xr:uid="{00000000-0005-0000-0000-0000D1030000}"/>
    <cellStyle name="20% - Accent1 2 5 2 3 2 2 2" xfId="931" xr:uid="{00000000-0005-0000-0000-0000D2030000}"/>
    <cellStyle name="20% - Accent1 2 5 2 3 2 3" xfId="932" xr:uid="{00000000-0005-0000-0000-0000D3030000}"/>
    <cellStyle name="20% - Accent1 2 5 2 3 3" xfId="933" xr:uid="{00000000-0005-0000-0000-0000D4030000}"/>
    <cellStyle name="20% - Accent1 2 5 2 3 3 2" xfId="934" xr:uid="{00000000-0005-0000-0000-0000D5030000}"/>
    <cellStyle name="20% - Accent1 2 5 2 3 4" xfId="935" xr:uid="{00000000-0005-0000-0000-0000D6030000}"/>
    <cellStyle name="20% - Accent1 2 5 2 4" xfId="936" xr:uid="{00000000-0005-0000-0000-0000D7030000}"/>
    <cellStyle name="20% - Accent1 2 5 2 4 2" xfId="937" xr:uid="{00000000-0005-0000-0000-0000D8030000}"/>
    <cellStyle name="20% - Accent1 2 5 2 4 2 2" xfId="938" xr:uid="{00000000-0005-0000-0000-0000D9030000}"/>
    <cellStyle name="20% - Accent1 2 5 2 4 3" xfId="939" xr:uid="{00000000-0005-0000-0000-0000DA030000}"/>
    <cellStyle name="20% - Accent1 2 5 2 5" xfId="940" xr:uid="{00000000-0005-0000-0000-0000DB030000}"/>
    <cellStyle name="20% - Accent1 2 5 2 5 2" xfId="941" xr:uid="{00000000-0005-0000-0000-0000DC030000}"/>
    <cellStyle name="20% - Accent1 2 5 2 6" xfId="942" xr:uid="{00000000-0005-0000-0000-0000DD030000}"/>
    <cellStyle name="20% - Accent1 2 5 3" xfId="943" xr:uid="{00000000-0005-0000-0000-0000DE030000}"/>
    <cellStyle name="20% - Accent1 2 5 3 2" xfId="944" xr:uid="{00000000-0005-0000-0000-0000DF030000}"/>
    <cellStyle name="20% - Accent1 2 5 3 2 2" xfId="945" xr:uid="{00000000-0005-0000-0000-0000E0030000}"/>
    <cellStyle name="20% - Accent1 2 5 3 2 2 2" xfId="946" xr:uid="{00000000-0005-0000-0000-0000E1030000}"/>
    <cellStyle name="20% - Accent1 2 5 3 2 2 2 2" xfId="947" xr:uid="{00000000-0005-0000-0000-0000E2030000}"/>
    <cellStyle name="20% - Accent1 2 5 3 2 2 3" xfId="948" xr:uid="{00000000-0005-0000-0000-0000E3030000}"/>
    <cellStyle name="20% - Accent1 2 5 3 2 3" xfId="949" xr:uid="{00000000-0005-0000-0000-0000E4030000}"/>
    <cellStyle name="20% - Accent1 2 5 3 2 3 2" xfId="950" xr:uid="{00000000-0005-0000-0000-0000E5030000}"/>
    <cellStyle name="20% - Accent1 2 5 3 2 4" xfId="951" xr:uid="{00000000-0005-0000-0000-0000E6030000}"/>
    <cellStyle name="20% - Accent1 2 5 3 3" xfId="952" xr:uid="{00000000-0005-0000-0000-0000E7030000}"/>
    <cellStyle name="20% - Accent1 2 5 3 3 2" xfId="953" xr:uid="{00000000-0005-0000-0000-0000E8030000}"/>
    <cellStyle name="20% - Accent1 2 5 3 3 2 2" xfId="954" xr:uid="{00000000-0005-0000-0000-0000E9030000}"/>
    <cellStyle name="20% - Accent1 2 5 3 3 3" xfId="955" xr:uid="{00000000-0005-0000-0000-0000EA030000}"/>
    <cellStyle name="20% - Accent1 2 5 3 4" xfId="956" xr:uid="{00000000-0005-0000-0000-0000EB030000}"/>
    <cellStyle name="20% - Accent1 2 5 3 4 2" xfId="957" xr:uid="{00000000-0005-0000-0000-0000EC030000}"/>
    <cellStyle name="20% - Accent1 2 5 3 5" xfId="958" xr:uid="{00000000-0005-0000-0000-0000ED030000}"/>
    <cellStyle name="20% - Accent1 2 5 4" xfId="959" xr:uid="{00000000-0005-0000-0000-0000EE030000}"/>
    <cellStyle name="20% - Accent1 2 5 4 2" xfId="960" xr:uid="{00000000-0005-0000-0000-0000EF030000}"/>
    <cellStyle name="20% - Accent1 2 5 4 2 2" xfId="961" xr:uid="{00000000-0005-0000-0000-0000F0030000}"/>
    <cellStyle name="20% - Accent1 2 5 4 2 2 2" xfId="962" xr:uid="{00000000-0005-0000-0000-0000F1030000}"/>
    <cellStyle name="20% - Accent1 2 5 4 2 3" xfId="963" xr:uid="{00000000-0005-0000-0000-0000F2030000}"/>
    <cellStyle name="20% - Accent1 2 5 4 3" xfId="964" xr:uid="{00000000-0005-0000-0000-0000F3030000}"/>
    <cellStyle name="20% - Accent1 2 5 4 3 2" xfId="965" xr:uid="{00000000-0005-0000-0000-0000F4030000}"/>
    <cellStyle name="20% - Accent1 2 5 4 4" xfId="966" xr:uid="{00000000-0005-0000-0000-0000F5030000}"/>
    <cellStyle name="20% - Accent1 2 5 5" xfId="967" xr:uid="{00000000-0005-0000-0000-0000F6030000}"/>
    <cellStyle name="20% - Accent1 2 5 5 2" xfId="968" xr:uid="{00000000-0005-0000-0000-0000F7030000}"/>
    <cellStyle name="20% - Accent1 2 5 5 2 2" xfId="969" xr:uid="{00000000-0005-0000-0000-0000F8030000}"/>
    <cellStyle name="20% - Accent1 2 5 5 3" xfId="970" xr:uid="{00000000-0005-0000-0000-0000F9030000}"/>
    <cellStyle name="20% - Accent1 2 5 6" xfId="971" xr:uid="{00000000-0005-0000-0000-0000FA030000}"/>
    <cellStyle name="20% - Accent1 2 5 6 2" xfId="972" xr:uid="{00000000-0005-0000-0000-0000FB030000}"/>
    <cellStyle name="20% - Accent1 2 5 7" xfId="973" xr:uid="{00000000-0005-0000-0000-0000FC030000}"/>
    <cellStyle name="20% - Accent1 2 6" xfId="974" xr:uid="{00000000-0005-0000-0000-0000FD030000}"/>
    <cellStyle name="20% - Accent1 2 6 2" xfId="975" xr:uid="{00000000-0005-0000-0000-0000FE030000}"/>
    <cellStyle name="20% - Accent1 2 6 2 2" xfId="976" xr:uid="{00000000-0005-0000-0000-0000FF030000}"/>
    <cellStyle name="20% - Accent1 2 6 2 2 2" xfId="977" xr:uid="{00000000-0005-0000-0000-000000040000}"/>
    <cellStyle name="20% - Accent1 2 6 2 2 2 2" xfId="978" xr:uid="{00000000-0005-0000-0000-000001040000}"/>
    <cellStyle name="20% - Accent1 2 6 2 2 2 2 2" xfId="979" xr:uid="{00000000-0005-0000-0000-000002040000}"/>
    <cellStyle name="20% - Accent1 2 6 2 2 2 3" xfId="980" xr:uid="{00000000-0005-0000-0000-000003040000}"/>
    <cellStyle name="20% - Accent1 2 6 2 2 3" xfId="981" xr:uid="{00000000-0005-0000-0000-000004040000}"/>
    <cellStyle name="20% - Accent1 2 6 2 2 3 2" xfId="982" xr:uid="{00000000-0005-0000-0000-000005040000}"/>
    <cellStyle name="20% - Accent1 2 6 2 2 4" xfId="983" xr:uid="{00000000-0005-0000-0000-000006040000}"/>
    <cellStyle name="20% - Accent1 2 6 2 3" xfId="984" xr:uid="{00000000-0005-0000-0000-000007040000}"/>
    <cellStyle name="20% - Accent1 2 6 2 3 2" xfId="985" xr:uid="{00000000-0005-0000-0000-000008040000}"/>
    <cellStyle name="20% - Accent1 2 6 2 3 2 2" xfId="986" xr:uid="{00000000-0005-0000-0000-000009040000}"/>
    <cellStyle name="20% - Accent1 2 6 2 3 3" xfId="987" xr:uid="{00000000-0005-0000-0000-00000A040000}"/>
    <cellStyle name="20% - Accent1 2 6 2 4" xfId="988" xr:uid="{00000000-0005-0000-0000-00000B040000}"/>
    <cellStyle name="20% - Accent1 2 6 2 4 2" xfId="989" xr:uid="{00000000-0005-0000-0000-00000C040000}"/>
    <cellStyle name="20% - Accent1 2 6 2 5" xfId="990" xr:uid="{00000000-0005-0000-0000-00000D040000}"/>
    <cellStyle name="20% - Accent1 2 6 3" xfId="991" xr:uid="{00000000-0005-0000-0000-00000E040000}"/>
    <cellStyle name="20% - Accent1 2 6 3 2" xfId="992" xr:uid="{00000000-0005-0000-0000-00000F040000}"/>
    <cellStyle name="20% - Accent1 2 6 3 2 2" xfId="993" xr:uid="{00000000-0005-0000-0000-000010040000}"/>
    <cellStyle name="20% - Accent1 2 6 3 2 2 2" xfId="994" xr:uid="{00000000-0005-0000-0000-000011040000}"/>
    <cellStyle name="20% - Accent1 2 6 3 2 3" xfId="995" xr:uid="{00000000-0005-0000-0000-000012040000}"/>
    <cellStyle name="20% - Accent1 2 6 3 3" xfId="996" xr:uid="{00000000-0005-0000-0000-000013040000}"/>
    <cellStyle name="20% - Accent1 2 6 3 3 2" xfId="997" xr:uid="{00000000-0005-0000-0000-000014040000}"/>
    <cellStyle name="20% - Accent1 2 6 3 4" xfId="998" xr:uid="{00000000-0005-0000-0000-000015040000}"/>
    <cellStyle name="20% - Accent1 2 6 4" xfId="999" xr:uid="{00000000-0005-0000-0000-000016040000}"/>
    <cellStyle name="20% - Accent1 2 6 4 2" xfId="1000" xr:uid="{00000000-0005-0000-0000-000017040000}"/>
    <cellStyle name="20% - Accent1 2 6 4 2 2" xfId="1001" xr:uid="{00000000-0005-0000-0000-000018040000}"/>
    <cellStyle name="20% - Accent1 2 6 4 3" xfId="1002" xr:uid="{00000000-0005-0000-0000-000019040000}"/>
    <cellStyle name="20% - Accent1 2 6 5" xfId="1003" xr:uid="{00000000-0005-0000-0000-00001A040000}"/>
    <cellStyle name="20% - Accent1 2 6 5 2" xfId="1004" xr:uid="{00000000-0005-0000-0000-00001B040000}"/>
    <cellStyle name="20% - Accent1 2 6 6" xfId="1005" xr:uid="{00000000-0005-0000-0000-00001C040000}"/>
    <cellStyle name="20% - Accent1 2 7" xfId="1006" xr:uid="{00000000-0005-0000-0000-00001D040000}"/>
    <cellStyle name="20% - Accent1 2 7 2" xfId="1007" xr:uid="{00000000-0005-0000-0000-00001E040000}"/>
    <cellStyle name="20% - Accent1 2 7 2 2" xfId="1008" xr:uid="{00000000-0005-0000-0000-00001F040000}"/>
    <cellStyle name="20% - Accent1 2 7 2 2 2" xfId="1009" xr:uid="{00000000-0005-0000-0000-000020040000}"/>
    <cellStyle name="20% - Accent1 2 7 2 2 2 2" xfId="1010" xr:uid="{00000000-0005-0000-0000-000021040000}"/>
    <cellStyle name="20% - Accent1 2 7 2 2 3" xfId="1011" xr:uid="{00000000-0005-0000-0000-000022040000}"/>
    <cellStyle name="20% - Accent1 2 7 2 3" xfId="1012" xr:uid="{00000000-0005-0000-0000-000023040000}"/>
    <cellStyle name="20% - Accent1 2 7 2 3 2" xfId="1013" xr:uid="{00000000-0005-0000-0000-000024040000}"/>
    <cellStyle name="20% - Accent1 2 7 2 4" xfId="1014" xr:uid="{00000000-0005-0000-0000-000025040000}"/>
    <cellStyle name="20% - Accent1 2 7 3" xfId="1015" xr:uid="{00000000-0005-0000-0000-000026040000}"/>
    <cellStyle name="20% - Accent1 2 7 3 2" xfId="1016" xr:uid="{00000000-0005-0000-0000-000027040000}"/>
    <cellStyle name="20% - Accent1 2 7 3 2 2" xfId="1017" xr:uid="{00000000-0005-0000-0000-000028040000}"/>
    <cellStyle name="20% - Accent1 2 7 3 3" xfId="1018" xr:uid="{00000000-0005-0000-0000-000029040000}"/>
    <cellStyle name="20% - Accent1 2 7 4" xfId="1019" xr:uid="{00000000-0005-0000-0000-00002A040000}"/>
    <cellStyle name="20% - Accent1 2 7 4 2" xfId="1020" xr:uid="{00000000-0005-0000-0000-00002B040000}"/>
    <cellStyle name="20% - Accent1 2 7 5" xfId="1021" xr:uid="{00000000-0005-0000-0000-00002C040000}"/>
    <cellStyle name="20% - Accent1 2 8" xfId="1022" xr:uid="{00000000-0005-0000-0000-00002D040000}"/>
    <cellStyle name="20% - Accent1 2 8 2" xfId="1023" xr:uid="{00000000-0005-0000-0000-00002E040000}"/>
    <cellStyle name="20% - Accent1 2 8 2 2" xfId="1024" xr:uid="{00000000-0005-0000-0000-00002F040000}"/>
    <cellStyle name="20% - Accent1 2 8 2 2 2" xfId="1025" xr:uid="{00000000-0005-0000-0000-000030040000}"/>
    <cellStyle name="20% - Accent1 2 8 2 3" xfId="1026" xr:uid="{00000000-0005-0000-0000-000031040000}"/>
    <cellStyle name="20% - Accent1 2 8 3" xfId="1027" xr:uid="{00000000-0005-0000-0000-000032040000}"/>
    <cellStyle name="20% - Accent1 2 8 3 2" xfId="1028" xr:uid="{00000000-0005-0000-0000-000033040000}"/>
    <cellStyle name="20% - Accent1 2 8 4" xfId="1029" xr:uid="{00000000-0005-0000-0000-000034040000}"/>
    <cellStyle name="20% - Accent1 2 9" xfId="1030" xr:uid="{00000000-0005-0000-0000-000035040000}"/>
    <cellStyle name="20% - Accent1 2 9 2" xfId="1031" xr:uid="{00000000-0005-0000-0000-000036040000}"/>
    <cellStyle name="20% - Accent1 2 9 2 2" xfId="1032" xr:uid="{00000000-0005-0000-0000-000037040000}"/>
    <cellStyle name="20% - Accent1 2 9 3" xfId="1033" xr:uid="{00000000-0005-0000-0000-000038040000}"/>
    <cellStyle name="20% - Accent1 3" xfId="1034" xr:uid="{00000000-0005-0000-0000-000039040000}"/>
    <cellStyle name="20% - Accent1 3 10" xfId="1035" xr:uid="{00000000-0005-0000-0000-00003A040000}"/>
    <cellStyle name="20% - Accent1 3 2" xfId="1036" xr:uid="{00000000-0005-0000-0000-00003B040000}"/>
    <cellStyle name="20% - Accent1 3 2 2" xfId="1037" xr:uid="{00000000-0005-0000-0000-00003C040000}"/>
    <cellStyle name="20% - Accent1 3 2 2 2" xfId="1038" xr:uid="{00000000-0005-0000-0000-00003D040000}"/>
    <cellStyle name="20% - Accent1 3 2 2 2 2" xfId="1039" xr:uid="{00000000-0005-0000-0000-00003E040000}"/>
    <cellStyle name="20% - Accent1 3 2 2 2 2 2" xfId="1040" xr:uid="{00000000-0005-0000-0000-00003F040000}"/>
    <cellStyle name="20% - Accent1 3 2 2 2 2 2 2" xfId="1041" xr:uid="{00000000-0005-0000-0000-000040040000}"/>
    <cellStyle name="20% - Accent1 3 2 2 2 2 2 2 2" xfId="1042" xr:uid="{00000000-0005-0000-0000-000041040000}"/>
    <cellStyle name="20% - Accent1 3 2 2 2 2 2 2 2 2" xfId="1043" xr:uid="{00000000-0005-0000-0000-000042040000}"/>
    <cellStyle name="20% - Accent1 3 2 2 2 2 2 2 2 2 2" xfId="1044" xr:uid="{00000000-0005-0000-0000-000043040000}"/>
    <cellStyle name="20% - Accent1 3 2 2 2 2 2 2 2 3" xfId="1045" xr:uid="{00000000-0005-0000-0000-000044040000}"/>
    <cellStyle name="20% - Accent1 3 2 2 2 2 2 2 3" xfId="1046" xr:uid="{00000000-0005-0000-0000-000045040000}"/>
    <cellStyle name="20% - Accent1 3 2 2 2 2 2 2 3 2" xfId="1047" xr:uid="{00000000-0005-0000-0000-000046040000}"/>
    <cellStyle name="20% - Accent1 3 2 2 2 2 2 2 4" xfId="1048" xr:uid="{00000000-0005-0000-0000-000047040000}"/>
    <cellStyle name="20% - Accent1 3 2 2 2 2 2 3" xfId="1049" xr:uid="{00000000-0005-0000-0000-000048040000}"/>
    <cellStyle name="20% - Accent1 3 2 2 2 2 2 3 2" xfId="1050" xr:uid="{00000000-0005-0000-0000-000049040000}"/>
    <cellStyle name="20% - Accent1 3 2 2 2 2 2 3 2 2" xfId="1051" xr:uid="{00000000-0005-0000-0000-00004A040000}"/>
    <cellStyle name="20% - Accent1 3 2 2 2 2 2 3 3" xfId="1052" xr:uid="{00000000-0005-0000-0000-00004B040000}"/>
    <cellStyle name="20% - Accent1 3 2 2 2 2 2 4" xfId="1053" xr:uid="{00000000-0005-0000-0000-00004C040000}"/>
    <cellStyle name="20% - Accent1 3 2 2 2 2 2 4 2" xfId="1054" xr:uid="{00000000-0005-0000-0000-00004D040000}"/>
    <cellStyle name="20% - Accent1 3 2 2 2 2 2 5" xfId="1055" xr:uid="{00000000-0005-0000-0000-00004E040000}"/>
    <cellStyle name="20% - Accent1 3 2 2 2 2 3" xfId="1056" xr:uid="{00000000-0005-0000-0000-00004F040000}"/>
    <cellStyle name="20% - Accent1 3 2 2 2 2 3 2" xfId="1057" xr:uid="{00000000-0005-0000-0000-000050040000}"/>
    <cellStyle name="20% - Accent1 3 2 2 2 2 3 2 2" xfId="1058" xr:uid="{00000000-0005-0000-0000-000051040000}"/>
    <cellStyle name="20% - Accent1 3 2 2 2 2 3 2 2 2" xfId="1059" xr:uid="{00000000-0005-0000-0000-000052040000}"/>
    <cellStyle name="20% - Accent1 3 2 2 2 2 3 2 3" xfId="1060" xr:uid="{00000000-0005-0000-0000-000053040000}"/>
    <cellStyle name="20% - Accent1 3 2 2 2 2 3 3" xfId="1061" xr:uid="{00000000-0005-0000-0000-000054040000}"/>
    <cellStyle name="20% - Accent1 3 2 2 2 2 3 3 2" xfId="1062" xr:uid="{00000000-0005-0000-0000-000055040000}"/>
    <cellStyle name="20% - Accent1 3 2 2 2 2 3 4" xfId="1063" xr:uid="{00000000-0005-0000-0000-000056040000}"/>
    <cellStyle name="20% - Accent1 3 2 2 2 2 4" xfId="1064" xr:uid="{00000000-0005-0000-0000-000057040000}"/>
    <cellStyle name="20% - Accent1 3 2 2 2 2 4 2" xfId="1065" xr:uid="{00000000-0005-0000-0000-000058040000}"/>
    <cellStyle name="20% - Accent1 3 2 2 2 2 4 2 2" xfId="1066" xr:uid="{00000000-0005-0000-0000-000059040000}"/>
    <cellStyle name="20% - Accent1 3 2 2 2 2 4 3" xfId="1067" xr:uid="{00000000-0005-0000-0000-00005A040000}"/>
    <cellStyle name="20% - Accent1 3 2 2 2 2 5" xfId="1068" xr:uid="{00000000-0005-0000-0000-00005B040000}"/>
    <cellStyle name="20% - Accent1 3 2 2 2 2 5 2" xfId="1069" xr:uid="{00000000-0005-0000-0000-00005C040000}"/>
    <cellStyle name="20% - Accent1 3 2 2 2 2 6" xfId="1070" xr:uid="{00000000-0005-0000-0000-00005D040000}"/>
    <cellStyle name="20% - Accent1 3 2 2 2 3" xfId="1071" xr:uid="{00000000-0005-0000-0000-00005E040000}"/>
    <cellStyle name="20% - Accent1 3 2 2 2 3 2" xfId="1072" xr:uid="{00000000-0005-0000-0000-00005F040000}"/>
    <cellStyle name="20% - Accent1 3 2 2 2 3 2 2" xfId="1073" xr:uid="{00000000-0005-0000-0000-000060040000}"/>
    <cellStyle name="20% - Accent1 3 2 2 2 3 2 2 2" xfId="1074" xr:uid="{00000000-0005-0000-0000-000061040000}"/>
    <cellStyle name="20% - Accent1 3 2 2 2 3 2 2 2 2" xfId="1075" xr:uid="{00000000-0005-0000-0000-000062040000}"/>
    <cellStyle name="20% - Accent1 3 2 2 2 3 2 2 3" xfId="1076" xr:uid="{00000000-0005-0000-0000-000063040000}"/>
    <cellStyle name="20% - Accent1 3 2 2 2 3 2 3" xfId="1077" xr:uid="{00000000-0005-0000-0000-000064040000}"/>
    <cellStyle name="20% - Accent1 3 2 2 2 3 2 3 2" xfId="1078" xr:uid="{00000000-0005-0000-0000-000065040000}"/>
    <cellStyle name="20% - Accent1 3 2 2 2 3 2 4" xfId="1079" xr:uid="{00000000-0005-0000-0000-000066040000}"/>
    <cellStyle name="20% - Accent1 3 2 2 2 3 3" xfId="1080" xr:uid="{00000000-0005-0000-0000-000067040000}"/>
    <cellStyle name="20% - Accent1 3 2 2 2 3 3 2" xfId="1081" xr:uid="{00000000-0005-0000-0000-000068040000}"/>
    <cellStyle name="20% - Accent1 3 2 2 2 3 3 2 2" xfId="1082" xr:uid="{00000000-0005-0000-0000-000069040000}"/>
    <cellStyle name="20% - Accent1 3 2 2 2 3 3 3" xfId="1083" xr:uid="{00000000-0005-0000-0000-00006A040000}"/>
    <cellStyle name="20% - Accent1 3 2 2 2 3 4" xfId="1084" xr:uid="{00000000-0005-0000-0000-00006B040000}"/>
    <cellStyle name="20% - Accent1 3 2 2 2 3 4 2" xfId="1085" xr:uid="{00000000-0005-0000-0000-00006C040000}"/>
    <cellStyle name="20% - Accent1 3 2 2 2 3 5" xfId="1086" xr:uid="{00000000-0005-0000-0000-00006D040000}"/>
    <cellStyle name="20% - Accent1 3 2 2 2 4" xfId="1087" xr:uid="{00000000-0005-0000-0000-00006E040000}"/>
    <cellStyle name="20% - Accent1 3 2 2 2 4 2" xfId="1088" xr:uid="{00000000-0005-0000-0000-00006F040000}"/>
    <cellStyle name="20% - Accent1 3 2 2 2 4 2 2" xfId="1089" xr:uid="{00000000-0005-0000-0000-000070040000}"/>
    <cellStyle name="20% - Accent1 3 2 2 2 4 2 2 2" xfId="1090" xr:uid="{00000000-0005-0000-0000-000071040000}"/>
    <cellStyle name="20% - Accent1 3 2 2 2 4 2 3" xfId="1091" xr:uid="{00000000-0005-0000-0000-000072040000}"/>
    <cellStyle name="20% - Accent1 3 2 2 2 4 3" xfId="1092" xr:uid="{00000000-0005-0000-0000-000073040000}"/>
    <cellStyle name="20% - Accent1 3 2 2 2 4 3 2" xfId="1093" xr:uid="{00000000-0005-0000-0000-000074040000}"/>
    <cellStyle name="20% - Accent1 3 2 2 2 4 4" xfId="1094" xr:uid="{00000000-0005-0000-0000-000075040000}"/>
    <cellStyle name="20% - Accent1 3 2 2 2 5" xfId="1095" xr:uid="{00000000-0005-0000-0000-000076040000}"/>
    <cellStyle name="20% - Accent1 3 2 2 2 5 2" xfId="1096" xr:uid="{00000000-0005-0000-0000-000077040000}"/>
    <cellStyle name="20% - Accent1 3 2 2 2 5 2 2" xfId="1097" xr:uid="{00000000-0005-0000-0000-000078040000}"/>
    <cellStyle name="20% - Accent1 3 2 2 2 5 3" xfId="1098" xr:uid="{00000000-0005-0000-0000-000079040000}"/>
    <cellStyle name="20% - Accent1 3 2 2 2 6" xfId="1099" xr:uid="{00000000-0005-0000-0000-00007A040000}"/>
    <cellStyle name="20% - Accent1 3 2 2 2 6 2" xfId="1100" xr:uid="{00000000-0005-0000-0000-00007B040000}"/>
    <cellStyle name="20% - Accent1 3 2 2 2 7" xfId="1101" xr:uid="{00000000-0005-0000-0000-00007C040000}"/>
    <cellStyle name="20% - Accent1 3 2 2 3" xfId="1102" xr:uid="{00000000-0005-0000-0000-00007D040000}"/>
    <cellStyle name="20% - Accent1 3 2 2 3 2" xfId="1103" xr:uid="{00000000-0005-0000-0000-00007E040000}"/>
    <cellStyle name="20% - Accent1 3 2 2 3 2 2" xfId="1104" xr:uid="{00000000-0005-0000-0000-00007F040000}"/>
    <cellStyle name="20% - Accent1 3 2 2 3 2 2 2" xfId="1105" xr:uid="{00000000-0005-0000-0000-000080040000}"/>
    <cellStyle name="20% - Accent1 3 2 2 3 2 2 2 2" xfId="1106" xr:uid="{00000000-0005-0000-0000-000081040000}"/>
    <cellStyle name="20% - Accent1 3 2 2 3 2 2 2 2 2" xfId="1107" xr:uid="{00000000-0005-0000-0000-000082040000}"/>
    <cellStyle name="20% - Accent1 3 2 2 3 2 2 2 3" xfId="1108" xr:uid="{00000000-0005-0000-0000-000083040000}"/>
    <cellStyle name="20% - Accent1 3 2 2 3 2 2 3" xfId="1109" xr:uid="{00000000-0005-0000-0000-000084040000}"/>
    <cellStyle name="20% - Accent1 3 2 2 3 2 2 3 2" xfId="1110" xr:uid="{00000000-0005-0000-0000-000085040000}"/>
    <cellStyle name="20% - Accent1 3 2 2 3 2 2 4" xfId="1111" xr:uid="{00000000-0005-0000-0000-000086040000}"/>
    <cellStyle name="20% - Accent1 3 2 2 3 2 3" xfId="1112" xr:uid="{00000000-0005-0000-0000-000087040000}"/>
    <cellStyle name="20% - Accent1 3 2 2 3 2 3 2" xfId="1113" xr:uid="{00000000-0005-0000-0000-000088040000}"/>
    <cellStyle name="20% - Accent1 3 2 2 3 2 3 2 2" xfId="1114" xr:uid="{00000000-0005-0000-0000-000089040000}"/>
    <cellStyle name="20% - Accent1 3 2 2 3 2 3 3" xfId="1115" xr:uid="{00000000-0005-0000-0000-00008A040000}"/>
    <cellStyle name="20% - Accent1 3 2 2 3 2 4" xfId="1116" xr:uid="{00000000-0005-0000-0000-00008B040000}"/>
    <cellStyle name="20% - Accent1 3 2 2 3 2 4 2" xfId="1117" xr:uid="{00000000-0005-0000-0000-00008C040000}"/>
    <cellStyle name="20% - Accent1 3 2 2 3 2 5" xfId="1118" xr:uid="{00000000-0005-0000-0000-00008D040000}"/>
    <cellStyle name="20% - Accent1 3 2 2 3 3" xfId="1119" xr:uid="{00000000-0005-0000-0000-00008E040000}"/>
    <cellStyle name="20% - Accent1 3 2 2 3 3 2" xfId="1120" xr:uid="{00000000-0005-0000-0000-00008F040000}"/>
    <cellStyle name="20% - Accent1 3 2 2 3 3 2 2" xfId="1121" xr:uid="{00000000-0005-0000-0000-000090040000}"/>
    <cellStyle name="20% - Accent1 3 2 2 3 3 2 2 2" xfId="1122" xr:uid="{00000000-0005-0000-0000-000091040000}"/>
    <cellStyle name="20% - Accent1 3 2 2 3 3 2 3" xfId="1123" xr:uid="{00000000-0005-0000-0000-000092040000}"/>
    <cellStyle name="20% - Accent1 3 2 2 3 3 3" xfId="1124" xr:uid="{00000000-0005-0000-0000-000093040000}"/>
    <cellStyle name="20% - Accent1 3 2 2 3 3 3 2" xfId="1125" xr:uid="{00000000-0005-0000-0000-000094040000}"/>
    <cellStyle name="20% - Accent1 3 2 2 3 3 4" xfId="1126" xr:uid="{00000000-0005-0000-0000-000095040000}"/>
    <cellStyle name="20% - Accent1 3 2 2 3 4" xfId="1127" xr:uid="{00000000-0005-0000-0000-000096040000}"/>
    <cellStyle name="20% - Accent1 3 2 2 3 4 2" xfId="1128" xr:uid="{00000000-0005-0000-0000-000097040000}"/>
    <cellStyle name="20% - Accent1 3 2 2 3 4 2 2" xfId="1129" xr:uid="{00000000-0005-0000-0000-000098040000}"/>
    <cellStyle name="20% - Accent1 3 2 2 3 4 3" xfId="1130" xr:uid="{00000000-0005-0000-0000-000099040000}"/>
    <cellStyle name="20% - Accent1 3 2 2 3 5" xfId="1131" xr:uid="{00000000-0005-0000-0000-00009A040000}"/>
    <cellStyle name="20% - Accent1 3 2 2 3 5 2" xfId="1132" xr:uid="{00000000-0005-0000-0000-00009B040000}"/>
    <cellStyle name="20% - Accent1 3 2 2 3 6" xfId="1133" xr:uid="{00000000-0005-0000-0000-00009C040000}"/>
    <cellStyle name="20% - Accent1 3 2 2 4" xfId="1134" xr:uid="{00000000-0005-0000-0000-00009D040000}"/>
    <cellStyle name="20% - Accent1 3 2 2 4 2" xfId="1135" xr:uid="{00000000-0005-0000-0000-00009E040000}"/>
    <cellStyle name="20% - Accent1 3 2 2 4 2 2" xfId="1136" xr:uid="{00000000-0005-0000-0000-00009F040000}"/>
    <cellStyle name="20% - Accent1 3 2 2 4 2 2 2" xfId="1137" xr:uid="{00000000-0005-0000-0000-0000A0040000}"/>
    <cellStyle name="20% - Accent1 3 2 2 4 2 2 2 2" xfId="1138" xr:uid="{00000000-0005-0000-0000-0000A1040000}"/>
    <cellStyle name="20% - Accent1 3 2 2 4 2 2 3" xfId="1139" xr:uid="{00000000-0005-0000-0000-0000A2040000}"/>
    <cellStyle name="20% - Accent1 3 2 2 4 2 3" xfId="1140" xr:uid="{00000000-0005-0000-0000-0000A3040000}"/>
    <cellStyle name="20% - Accent1 3 2 2 4 2 3 2" xfId="1141" xr:uid="{00000000-0005-0000-0000-0000A4040000}"/>
    <cellStyle name="20% - Accent1 3 2 2 4 2 4" xfId="1142" xr:uid="{00000000-0005-0000-0000-0000A5040000}"/>
    <cellStyle name="20% - Accent1 3 2 2 4 3" xfId="1143" xr:uid="{00000000-0005-0000-0000-0000A6040000}"/>
    <cellStyle name="20% - Accent1 3 2 2 4 3 2" xfId="1144" xr:uid="{00000000-0005-0000-0000-0000A7040000}"/>
    <cellStyle name="20% - Accent1 3 2 2 4 3 2 2" xfId="1145" xr:uid="{00000000-0005-0000-0000-0000A8040000}"/>
    <cellStyle name="20% - Accent1 3 2 2 4 3 3" xfId="1146" xr:uid="{00000000-0005-0000-0000-0000A9040000}"/>
    <cellStyle name="20% - Accent1 3 2 2 4 4" xfId="1147" xr:uid="{00000000-0005-0000-0000-0000AA040000}"/>
    <cellStyle name="20% - Accent1 3 2 2 4 4 2" xfId="1148" xr:uid="{00000000-0005-0000-0000-0000AB040000}"/>
    <cellStyle name="20% - Accent1 3 2 2 4 5" xfId="1149" xr:uid="{00000000-0005-0000-0000-0000AC040000}"/>
    <cellStyle name="20% - Accent1 3 2 2 5" xfId="1150" xr:uid="{00000000-0005-0000-0000-0000AD040000}"/>
    <cellStyle name="20% - Accent1 3 2 2 5 2" xfId="1151" xr:uid="{00000000-0005-0000-0000-0000AE040000}"/>
    <cellStyle name="20% - Accent1 3 2 2 5 2 2" xfId="1152" xr:uid="{00000000-0005-0000-0000-0000AF040000}"/>
    <cellStyle name="20% - Accent1 3 2 2 5 2 2 2" xfId="1153" xr:uid="{00000000-0005-0000-0000-0000B0040000}"/>
    <cellStyle name="20% - Accent1 3 2 2 5 2 3" xfId="1154" xr:uid="{00000000-0005-0000-0000-0000B1040000}"/>
    <cellStyle name="20% - Accent1 3 2 2 5 3" xfId="1155" xr:uid="{00000000-0005-0000-0000-0000B2040000}"/>
    <cellStyle name="20% - Accent1 3 2 2 5 3 2" xfId="1156" xr:uid="{00000000-0005-0000-0000-0000B3040000}"/>
    <cellStyle name="20% - Accent1 3 2 2 5 4" xfId="1157" xr:uid="{00000000-0005-0000-0000-0000B4040000}"/>
    <cellStyle name="20% - Accent1 3 2 2 6" xfId="1158" xr:uid="{00000000-0005-0000-0000-0000B5040000}"/>
    <cellStyle name="20% - Accent1 3 2 2 6 2" xfId="1159" xr:uid="{00000000-0005-0000-0000-0000B6040000}"/>
    <cellStyle name="20% - Accent1 3 2 2 6 2 2" xfId="1160" xr:uid="{00000000-0005-0000-0000-0000B7040000}"/>
    <cellStyle name="20% - Accent1 3 2 2 6 3" xfId="1161" xr:uid="{00000000-0005-0000-0000-0000B8040000}"/>
    <cellStyle name="20% - Accent1 3 2 2 7" xfId="1162" xr:uid="{00000000-0005-0000-0000-0000B9040000}"/>
    <cellStyle name="20% - Accent1 3 2 2 7 2" xfId="1163" xr:uid="{00000000-0005-0000-0000-0000BA040000}"/>
    <cellStyle name="20% - Accent1 3 2 2 8" xfId="1164" xr:uid="{00000000-0005-0000-0000-0000BB040000}"/>
    <cellStyle name="20% - Accent1 3 2 3" xfId="1165" xr:uid="{00000000-0005-0000-0000-0000BC040000}"/>
    <cellStyle name="20% - Accent1 3 2 3 2" xfId="1166" xr:uid="{00000000-0005-0000-0000-0000BD040000}"/>
    <cellStyle name="20% - Accent1 3 2 3 2 2" xfId="1167" xr:uid="{00000000-0005-0000-0000-0000BE040000}"/>
    <cellStyle name="20% - Accent1 3 2 3 2 2 2" xfId="1168" xr:uid="{00000000-0005-0000-0000-0000BF040000}"/>
    <cellStyle name="20% - Accent1 3 2 3 2 2 2 2" xfId="1169" xr:uid="{00000000-0005-0000-0000-0000C0040000}"/>
    <cellStyle name="20% - Accent1 3 2 3 2 2 2 2 2" xfId="1170" xr:uid="{00000000-0005-0000-0000-0000C1040000}"/>
    <cellStyle name="20% - Accent1 3 2 3 2 2 2 2 2 2" xfId="1171" xr:uid="{00000000-0005-0000-0000-0000C2040000}"/>
    <cellStyle name="20% - Accent1 3 2 3 2 2 2 2 3" xfId="1172" xr:uid="{00000000-0005-0000-0000-0000C3040000}"/>
    <cellStyle name="20% - Accent1 3 2 3 2 2 2 3" xfId="1173" xr:uid="{00000000-0005-0000-0000-0000C4040000}"/>
    <cellStyle name="20% - Accent1 3 2 3 2 2 2 3 2" xfId="1174" xr:uid="{00000000-0005-0000-0000-0000C5040000}"/>
    <cellStyle name="20% - Accent1 3 2 3 2 2 2 4" xfId="1175" xr:uid="{00000000-0005-0000-0000-0000C6040000}"/>
    <cellStyle name="20% - Accent1 3 2 3 2 2 3" xfId="1176" xr:uid="{00000000-0005-0000-0000-0000C7040000}"/>
    <cellStyle name="20% - Accent1 3 2 3 2 2 3 2" xfId="1177" xr:uid="{00000000-0005-0000-0000-0000C8040000}"/>
    <cellStyle name="20% - Accent1 3 2 3 2 2 3 2 2" xfId="1178" xr:uid="{00000000-0005-0000-0000-0000C9040000}"/>
    <cellStyle name="20% - Accent1 3 2 3 2 2 3 3" xfId="1179" xr:uid="{00000000-0005-0000-0000-0000CA040000}"/>
    <cellStyle name="20% - Accent1 3 2 3 2 2 4" xfId="1180" xr:uid="{00000000-0005-0000-0000-0000CB040000}"/>
    <cellStyle name="20% - Accent1 3 2 3 2 2 4 2" xfId="1181" xr:uid="{00000000-0005-0000-0000-0000CC040000}"/>
    <cellStyle name="20% - Accent1 3 2 3 2 2 5" xfId="1182" xr:uid="{00000000-0005-0000-0000-0000CD040000}"/>
    <cellStyle name="20% - Accent1 3 2 3 2 3" xfId="1183" xr:uid="{00000000-0005-0000-0000-0000CE040000}"/>
    <cellStyle name="20% - Accent1 3 2 3 2 3 2" xfId="1184" xr:uid="{00000000-0005-0000-0000-0000CF040000}"/>
    <cellStyle name="20% - Accent1 3 2 3 2 3 2 2" xfId="1185" xr:uid="{00000000-0005-0000-0000-0000D0040000}"/>
    <cellStyle name="20% - Accent1 3 2 3 2 3 2 2 2" xfId="1186" xr:uid="{00000000-0005-0000-0000-0000D1040000}"/>
    <cellStyle name="20% - Accent1 3 2 3 2 3 2 3" xfId="1187" xr:uid="{00000000-0005-0000-0000-0000D2040000}"/>
    <cellStyle name="20% - Accent1 3 2 3 2 3 3" xfId="1188" xr:uid="{00000000-0005-0000-0000-0000D3040000}"/>
    <cellStyle name="20% - Accent1 3 2 3 2 3 3 2" xfId="1189" xr:uid="{00000000-0005-0000-0000-0000D4040000}"/>
    <cellStyle name="20% - Accent1 3 2 3 2 3 4" xfId="1190" xr:uid="{00000000-0005-0000-0000-0000D5040000}"/>
    <cellStyle name="20% - Accent1 3 2 3 2 4" xfId="1191" xr:uid="{00000000-0005-0000-0000-0000D6040000}"/>
    <cellStyle name="20% - Accent1 3 2 3 2 4 2" xfId="1192" xr:uid="{00000000-0005-0000-0000-0000D7040000}"/>
    <cellStyle name="20% - Accent1 3 2 3 2 4 2 2" xfId="1193" xr:uid="{00000000-0005-0000-0000-0000D8040000}"/>
    <cellStyle name="20% - Accent1 3 2 3 2 4 3" xfId="1194" xr:uid="{00000000-0005-0000-0000-0000D9040000}"/>
    <cellStyle name="20% - Accent1 3 2 3 2 5" xfId="1195" xr:uid="{00000000-0005-0000-0000-0000DA040000}"/>
    <cellStyle name="20% - Accent1 3 2 3 2 5 2" xfId="1196" xr:uid="{00000000-0005-0000-0000-0000DB040000}"/>
    <cellStyle name="20% - Accent1 3 2 3 2 6" xfId="1197" xr:uid="{00000000-0005-0000-0000-0000DC040000}"/>
    <cellStyle name="20% - Accent1 3 2 3 3" xfId="1198" xr:uid="{00000000-0005-0000-0000-0000DD040000}"/>
    <cellStyle name="20% - Accent1 3 2 3 3 2" xfId="1199" xr:uid="{00000000-0005-0000-0000-0000DE040000}"/>
    <cellStyle name="20% - Accent1 3 2 3 3 2 2" xfId="1200" xr:uid="{00000000-0005-0000-0000-0000DF040000}"/>
    <cellStyle name="20% - Accent1 3 2 3 3 2 2 2" xfId="1201" xr:uid="{00000000-0005-0000-0000-0000E0040000}"/>
    <cellStyle name="20% - Accent1 3 2 3 3 2 2 2 2" xfId="1202" xr:uid="{00000000-0005-0000-0000-0000E1040000}"/>
    <cellStyle name="20% - Accent1 3 2 3 3 2 2 3" xfId="1203" xr:uid="{00000000-0005-0000-0000-0000E2040000}"/>
    <cellStyle name="20% - Accent1 3 2 3 3 2 3" xfId="1204" xr:uid="{00000000-0005-0000-0000-0000E3040000}"/>
    <cellStyle name="20% - Accent1 3 2 3 3 2 3 2" xfId="1205" xr:uid="{00000000-0005-0000-0000-0000E4040000}"/>
    <cellStyle name="20% - Accent1 3 2 3 3 2 4" xfId="1206" xr:uid="{00000000-0005-0000-0000-0000E5040000}"/>
    <cellStyle name="20% - Accent1 3 2 3 3 3" xfId="1207" xr:uid="{00000000-0005-0000-0000-0000E6040000}"/>
    <cellStyle name="20% - Accent1 3 2 3 3 3 2" xfId="1208" xr:uid="{00000000-0005-0000-0000-0000E7040000}"/>
    <cellStyle name="20% - Accent1 3 2 3 3 3 2 2" xfId="1209" xr:uid="{00000000-0005-0000-0000-0000E8040000}"/>
    <cellStyle name="20% - Accent1 3 2 3 3 3 3" xfId="1210" xr:uid="{00000000-0005-0000-0000-0000E9040000}"/>
    <cellStyle name="20% - Accent1 3 2 3 3 4" xfId="1211" xr:uid="{00000000-0005-0000-0000-0000EA040000}"/>
    <cellStyle name="20% - Accent1 3 2 3 3 4 2" xfId="1212" xr:uid="{00000000-0005-0000-0000-0000EB040000}"/>
    <cellStyle name="20% - Accent1 3 2 3 3 5" xfId="1213" xr:uid="{00000000-0005-0000-0000-0000EC040000}"/>
    <cellStyle name="20% - Accent1 3 2 3 4" xfId="1214" xr:uid="{00000000-0005-0000-0000-0000ED040000}"/>
    <cellStyle name="20% - Accent1 3 2 3 4 2" xfId="1215" xr:uid="{00000000-0005-0000-0000-0000EE040000}"/>
    <cellStyle name="20% - Accent1 3 2 3 4 2 2" xfId="1216" xr:uid="{00000000-0005-0000-0000-0000EF040000}"/>
    <cellStyle name="20% - Accent1 3 2 3 4 2 2 2" xfId="1217" xr:uid="{00000000-0005-0000-0000-0000F0040000}"/>
    <cellStyle name="20% - Accent1 3 2 3 4 2 3" xfId="1218" xr:uid="{00000000-0005-0000-0000-0000F1040000}"/>
    <cellStyle name="20% - Accent1 3 2 3 4 3" xfId="1219" xr:uid="{00000000-0005-0000-0000-0000F2040000}"/>
    <cellStyle name="20% - Accent1 3 2 3 4 3 2" xfId="1220" xr:uid="{00000000-0005-0000-0000-0000F3040000}"/>
    <cellStyle name="20% - Accent1 3 2 3 4 4" xfId="1221" xr:uid="{00000000-0005-0000-0000-0000F4040000}"/>
    <cellStyle name="20% - Accent1 3 2 3 5" xfId="1222" xr:uid="{00000000-0005-0000-0000-0000F5040000}"/>
    <cellStyle name="20% - Accent1 3 2 3 5 2" xfId="1223" xr:uid="{00000000-0005-0000-0000-0000F6040000}"/>
    <cellStyle name="20% - Accent1 3 2 3 5 2 2" xfId="1224" xr:uid="{00000000-0005-0000-0000-0000F7040000}"/>
    <cellStyle name="20% - Accent1 3 2 3 5 3" xfId="1225" xr:uid="{00000000-0005-0000-0000-0000F8040000}"/>
    <cellStyle name="20% - Accent1 3 2 3 6" xfId="1226" xr:uid="{00000000-0005-0000-0000-0000F9040000}"/>
    <cellStyle name="20% - Accent1 3 2 3 6 2" xfId="1227" xr:uid="{00000000-0005-0000-0000-0000FA040000}"/>
    <cellStyle name="20% - Accent1 3 2 3 7" xfId="1228" xr:uid="{00000000-0005-0000-0000-0000FB040000}"/>
    <cellStyle name="20% - Accent1 3 2 4" xfId="1229" xr:uid="{00000000-0005-0000-0000-0000FC040000}"/>
    <cellStyle name="20% - Accent1 3 2 4 2" xfId="1230" xr:uid="{00000000-0005-0000-0000-0000FD040000}"/>
    <cellStyle name="20% - Accent1 3 2 4 2 2" xfId="1231" xr:uid="{00000000-0005-0000-0000-0000FE040000}"/>
    <cellStyle name="20% - Accent1 3 2 4 2 2 2" xfId="1232" xr:uid="{00000000-0005-0000-0000-0000FF040000}"/>
    <cellStyle name="20% - Accent1 3 2 4 2 2 2 2" xfId="1233" xr:uid="{00000000-0005-0000-0000-000000050000}"/>
    <cellStyle name="20% - Accent1 3 2 4 2 2 2 2 2" xfId="1234" xr:uid="{00000000-0005-0000-0000-000001050000}"/>
    <cellStyle name="20% - Accent1 3 2 4 2 2 2 3" xfId="1235" xr:uid="{00000000-0005-0000-0000-000002050000}"/>
    <cellStyle name="20% - Accent1 3 2 4 2 2 3" xfId="1236" xr:uid="{00000000-0005-0000-0000-000003050000}"/>
    <cellStyle name="20% - Accent1 3 2 4 2 2 3 2" xfId="1237" xr:uid="{00000000-0005-0000-0000-000004050000}"/>
    <cellStyle name="20% - Accent1 3 2 4 2 2 4" xfId="1238" xr:uid="{00000000-0005-0000-0000-000005050000}"/>
    <cellStyle name="20% - Accent1 3 2 4 2 3" xfId="1239" xr:uid="{00000000-0005-0000-0000-000006050000}"/>
    <cellStyle name="20% - Accent1 3 2 4 2 3 2" xfId="1240" xr:uid="{00000000-0005-0000-0000-000007050000}"/>
    <cellStyle name="20% - Accent1 3 2 4 2 3 2 2" xfId="1241" xr:uid="{00000000-0005-0000-0000-000008050000}"/>
    <cellStyle name="20% - Accent1 3 2 4 2 3 3" xfId="1242" xr:uid="{00000000-0005-0000-0000-000009050000}"/>
    <cellStyle name="20% - Accent1 3 2 4 2 4" xfId="1243" xr:uid="{00000000-0005-0000-0000-00000A050000}"/>
    <cellStyle name="20% - Accent1 3 2 4 2 4 2" xfId="1244" xr:uid="{00000000-0005-0000-0000-00000B050000}"/>
    <cellStyle name="20% - Accent1 3 2 4 2 5" xfId="1245" xr:uid="{00000000-0005-0000-0000-00000C050000}"/>
    <cellStyle name="20% - Accent1 3 2 4 3" xfId="1246" xr:uid="{00000000-0005-0000-0000-00000D050000}"/>
    <cellStyle name="20% - Accent1 3 2 4 3 2" xfId="1247" xr:uid="{00000000-0005-0000-0000-00000E050000}"/>
    <cellStyle name="20% - Accent1 3 2 4 3 2 2" xfId="1248" xr:uid="{00000000-0005-0000-0000-00000F050000}"/>
    <cellStyle name="20% - Accent1 3 2 4 3 2 2 2" xfId="1249" xr:uid="{00000000-0005-0000-0000-000010050000}"/>
    <cellStyle name="20% - Accent1 3 2 4 3 2 3" xfId="1250" xr:uid="{00000000-0005-0000-0000-000011050000}"/>
    <cellStyle name="20% - Accent1 3 2 4 3 3" xfId="1251" xr:uid="{00000000-0005-0000-0000-000012050000}"/>
    <cellStyle name="20% - Accent1 3 2 4 3 3 2" xfId="1252" xr:uid="{00000000-0005-0000-0000-000013050000}"/>
    <cellStyle name="20% - Accent1 3 2 4 3 4" xfId="1253" xr:uid="{00000000-0005-0000-0000-000014050000}"/>
    <cellStyle name="20% - Accent1 3 2 4 4" xfId="1254" xr:uid="{00000000-0005-0000-0000-000015050000}"/>
    <cellStyle name="20% - Accent1 3 2 4 4 2" xfId="1255" xr:uid="{00000000-0005-0000-0000-000016050000}"/>
    <cellStyle name="20% - Accent1 3 2 4 4 2 2" xfId="1256" xr:uid="{00000000-0005-0000-0000-000017050000}"/>
    <cellStyle name="20% - Accent1 3 2 4 4 3" xfId="1257" xr:uid="{00000000-0005-0000-0000-000018050000}"/>
    <cellStyle name="20% - Accent1 3 2 4 5" xfId="1258" xr:uid="{00000000-0005-0000-0000-000019050000}"/>
    <cellStyle name="20% - Accent1 3 2 4 5 2" xfId="1259" xr:uid="{00000000-0005-0000-0000-00001A050000}"/>
    <cellStyle name="20% - Accent1 3 2 4 6" xfId="1260" xr:uid="{00000000-0005-0000-0000-00001B050000}"/>
    <cellStyle name="20% - Accent1 3 2 5" xfId="1261" xr:uid="{00000000-0005-0000-0000-00001C050000}"/>
    <cellStyle name="20% - Accent1 3 2 5 2" xfId="1262" xr:uid="{00000000-0005-0000-0000-00001D050000}"/>
    <cellStyle name="20% - Accent1 3 2 5 2 2" xfId="1263" xr:uid="{00000000-0005-0000-0000-00001E050000}"/>
    <cellStyle name="20% - Accent1 3 2 5 2 2 2" xfId="1264" xr:uid="{00000000-0005-0000-0000-00001F050000}"/>
    <cellStyle name="20% - Accent1 3 2 5 2 2 2 2" xfId="1265" xr:uid="{00000000-0005-0000-0000-000020050000}"/>
    <cellStyle name="20% - Accent1 3 2 5 2 2 3" xfId="1266" xr:uid="{00000000-0005-0000-0000-000021050000}"/>
    <cellStyle name="20% - Accent1 3 2 5 2 3" xfId="1267" xr:uid="{00000000-0005-0000-0000-000022050000}"/>
    <cellStyle name="20% - Accent1 3 2 5 2 3 2" xfId="1268" xr:uid="{00000000-0005-0000-0000-000023050000}"/>
    <cellStyle name="20% - Accent1 3 2 5 2 4" xfId="1269" xr:uid="{00000000-0005-0000-0000-000024050000}"/>
    <cellStyle name="20% - Accent1 3 2 5 3" xfId="1270" xr:uid="{00000000-0005-0000-0000-000025050000}"/>
    <cellStyle name="20% - Accent1 3 2 5 3 2" xfId="1271" xr:uid="{00000000-0005-0000-0000-000026050000}"/>
    <cellStyle name="20% - Accent1 3 2 5 3 2 2" xfId="1272" xr:uid="{00000000-0005-0000-0000-000027050000}"/>
    <cellStyle name="20% - Accent1 3 2 5 3 3" xfId="1273" xr:uid="{00000000-0005-0000-0000-000028050000}"/>
    <cellStyle name="20% - Accent1 3 2 5 4" xfId="1274" xr:uid="{00000000-0005-0000-0000-000029050000}"/>
    <cellStyle name="20% - Accent1 3 2 5 4 2" xfId="1275" xr:uid="{00000000-0005-0000-0000-00002A050000}"/>
    <cellStyle name="20% - Accent1 3 2 5 5" xfId="1276" xr:uid="{00000000-0005-0000-0000-00002B050000}"/>
    <cellStyle name="20% - Accent1 3 2 6" xfId="1277" xr:uid="{00000000-0005-0000-0000-00002C050000}"/>
    <cellStyle name="20% - Accent1 3 2 6 2" xfId="1278" xr:uid="{00000000-0005-0000-0000-00002D050000}"/>
    <cellStyle name="20% - Accent1 3 2 6 2 2" xfId="1279" xr:uid="{00000000-0005-0000-0000-00002E050000}"/>
    <cellStyle name="20% - Accent1 3 2 6 2 2 2" xfId="1280" xr:uid="{00000000-0005-0000-0000-00002F050000}"/>
    <cellStyle name="20% - Accent1 3 2 6 2 3" xfId="1281" xr:uid="{00000000-0005-0000-0000-000030050000}"/>
    <cellStyle name="20% - Accent1 3 2 6 3" xfId="1282" xr:uid="{00000000-0005-0000-0000-000031050000}"/>
    <cellStyle name="20% - Accent1 3 2 6 3 2" xfId="1283" xr:uid="{00000000-0005-0000-0000-000032050000}"/>
    <cellStyle name="20% - Accent1 3 2 6 4" xfId="1284" xr:uid="{00000000-0005-0000-0000-000033050000}"/>
    <cellStyle name="20% - Accent1 3 2 7" xfId="1285" xr:uid="{00000000-0005-0000-0000-000034050000}"/>
    <cellStyle name="20% - Accent1 3 2 7 2" xfId="1286" xr:uid="{00000000-0005-0000-0000-000035050000}"/>
    <cellStyle name="20% - Accent1 3 2 7 2 2" xfId="1287" xr:uid="{00000000-0005-0000-0000-000036050000}"/>
    <cellStyle name="20% - Accent1 3 2 7 3" xfId="1288" xr:uid="{00000000-0005-0000-0000-000037050000}"/>
    <cellStyle name="20% - Accent1 3 2 8" xfId="1289" xr:uid="{00000000-0005-0000-0000-000038050000}"/>
    <cellStyle name="20% - Accent1 3 2 8 2" xfId="1290" xr:uid="{00000000-0005-0000-0000-000039050000}"/>
    <cellStyle name="20% - Accent1 3 2 9" xfId="1291" xr:uid="{00000000-0005-0000-0000-00003A050000}"/>
    <cellStyle name="20% - Accent1 3 3" xfId="1292" xr:uid="{00000000-0005-0000-0000-00003B050000}"/>
    <cellStyle name="20% - Accent1 3 3 2" xfId="1293" xr:uid="{00000000-0005-0000-0000-00003C050000}"/>
    <cellStyle name="20% - Accent1 3 3 2 2" xfId="1294" xr:uid="{00000000-0005-0000-0000-00003D050000}"/>
    <cellStyle name="20% - Accent1 3 3 2 2 2" xfId="1295" xr:uid="{00000000-0005-0000-0000-00003E050000}"/>
    <cellStyle name="20% - Accent1 3 3 2 2 2 2" xfId="1296" xr:uid="{00000000-0005-0000-0000-00003F050000}"/>
    <cellStyle name="20% - Accent1 3 3 2 2 2 2 2" xfId="1297" xr:uid="{00000000-0005-0000-0000-000040050000}"/>
    <cellStyle name="20% - Accent1 3 3 2 2 2 2 2 2" xfId="1298" xr:uid="{00000000-0005-0000-0000-000041050000}"/>
    <cellStyle name="20% - Accent1 3 3 2 2 2 2 2 2 2" xfId="1299" xr:uid="{00000000-0005-0000-0000-000042050000}"/>
    <cellStyle name="20% - Accent1 3 3 2 2 2 2 2 3" xfId="1300" xr:uid="{00000000-0005-0000-0000-000043050000}"/>
    <cellStyle name="20% - Accent1 3 3 2 2 2 2 3" xfId="1301" xr:uid="{00000000-0005-0000-0000-000044050000}"/>
    <cellStyle name="20% - Accent1 3 3 2 2 2 2 3 2" xfId="1302" xr:uid="{00000000-0005-0000-0000-000045050000}"/>
    <cellStyle name="20% - Accent1 3 3 2 2 2 2 4" xfId="1303" xr:uid="{00000000-0005-0000-0000-000046050000}"/>
    <cellStyle name="20% - Accent1 3 3 2 2 2 3" xfId="1304" xr:uid="{00000000-0005-0000-0000-000047050000}"/>
    <cellStyle name="20% - Accent1 3 3 2 2 2 3 2" xfId="1305" xr:uid="{00000000-0005-0000-0000-000048050000}"/>
    <cellStyle name="20% - Accent1 3 3 2 2 2 3 2 2" xfId="1306" xr:uid="{00000000-0005-0000-0000-000049050000}"/>
    <cellStyle name="20% - Accent1 3 3 2 2 2 3 3" xfId="1307" xr:uid="{00000000-0005-0000-0000-00004A050000}"/>
    <cellStyle name="20% - Accent1 3 3 2 2 2 4" xfId="1308" xr:uid="{00000000-0005-0000-0000-00004B050000}"/>
    <cellStyle name="20% - Accent1 3 3 2 2 2 4 2" xfId="1309" xr:uid="{00000000-0005-0000-0000-00004C050000}"/>
    <cellStyle name="20% - Accent1 3 3 2 2 2 5" xfId="1310" xr:uid="{00000000-0005-0000-0000-00004D050000}"/>
    <cellStyle name="20% - Accent1 3 3 2 2 3" xfId="1311" xr:uid="{00000000-0005-0000-0000-00004E050000}"/>
    <cellStyle name="20% - Accent1 3 3 2 2 3 2" xfId="1312" xr:uid="{00000000-0005-0000-0000-00004F050000}"/>
    <cellStyle name="20% - Accent1 3 3 2 2 3 2 2" xfId="1313" xr:uid="{00000000-0005-0000-0000-000050050000}"/>
    <cellStyle name="20% - Accent1 3 3 2 2 3 2 2 2" xfId="1314" xr:uid="{00000000-0005-0000-0000-000051050000}"/>
    <cellStyle name="20% - Accent1 3 3 2 2 3 2 3" xfId="1315" xr:uid="{00000000-0005-0000-0000-000052050000}"/>
    <cellStyle name="20% - Accent1 3 3 2 2 3 3" xfId="1316" xr:uid="{00000000-0005-0000-0000-000053050000}"/>
    <cellStyle name="20% - Accent1 3 3 2 2 3 3 2" xfId="1317" xr:uid="{00000000-0005-0000-0000-000054050000}"/>
    <cellStyle name="20% - Accent1 3 3 2 2 3 4" xfId="1318" xr:uid="{00000000-0005-0000-0000-000055050000}"/>
    <cellStyle name="20% - Accent1 3 3 2 2 4" xfId="1319" xr:uid="{00000000-0005-0000-0000-000056050000}"/>
    <cellStyle name="20% - Accent1 3 3 2 2 4 2" xfId="1320" xr:uid="{00000000-0005-0000-0000-000057050000}"/>
    <cellStyle name="20% - Accent1 3 3 2 2 4 2 2" xfId="1321" xr:uid="{00000000-0005-0000-0000-000058050000}"/>
    <cellStyle name="20% - Accent1 3 3 2 2 4 3" xfId="1322" xr:uid="{00000000-0005-0000-0000-000059050000}"/>
    <cellStyle name="20% - Accent1 3 3 2 2 5" xfId="1323" xr:uid="{00000000-0005-0000-0000-00005A050000}"/>
    <cellStyle name="20% - Accent1 3 3 2 2 5 2" xfId="1324" xr:uid="{00000000-0005-0000-0000-00005B050000}"/>
    <cellStyle name="20% - Accent1 3 3 2 2 6" xfId="1325" xr:uid="{00000000-0005-0000-0000-00005C050000}"/>
    <cellStyle name="20% - Accent1 3 3 2 3" xfId="1326" xr:uid="{00000000-0005-0000-0000-00005D050000}"/>
    <cellStyle name="20% - Accent1 3 3 2 3 2" xfId="1327" xr:uid="{00000000-0005-0000-0000-00005E050000}"/>
    <cellStyle name="20% - Accent1 3 3 2 3 2 2" xfId="1328" xr:uid="{00000000-0005-0000-0000-00005F050000}"/>
    <cellStyle name="20% - Accent1 3 3 2 3 2 2 2" xfId="1329" xr:uid="{00000000-0005-0000-0000-000060050000}"/>
    <cellStyle name="20% - Accent1 3 3 2 3 2 2 2 2" xfId="1330" xr:uid="{00000000-0005-0000-0000-000061050000}"/>
    <cellStyle name="20% - Accent1 3 3 2 3 2 2 3" xfId="1331" xr:uid="{00000000-0005-0000-0000-000062050000}"/>
    <cellStyle name="20% - Accent1 3 3 2 3 2 3" xfId="1332" xr:uid="{00000000-0005-0000-0000-000063050000}"/>
    <cellStyle name="20% - Accent1 3 3 2 3 2 3 2" xfId="1333" xr:uid="{00000000-0005-0000-0000-000064050000}"/>
    <cellStyle name="20% - Accent1 3 3 2 3 2 4" xfId="1334" xr:uid="{00000000-0005-0000-0000-000065050000}"/>
    <cellStyle name="20% - Accent1 3 3 2 3 3" xfId="1335" xr:uid="{00000000-0005-0000-0000-000066050000}"/>
    <cellStyle name="20% - Accent1 3 3 2 3 3 2" xfId="1336" xr:uid="{00000000-0005-0000-0000-000067050000}"/>
    <cellStyle name="20% - Accent1 3 3 2 3 3 2 2" xfId="1337" xr:uid="{00000000-0005-0000-0000-000068050000}"/>
    <cellStyle name="20% - Accent1 3 3 2 3 3 3" xfId="1338" xr:uid="{00000000-0005-0000-0000-000069050000}"/>
    <cellStyle name="20% - Accent1 3 3 2 3 4" xfId="1339" xr:uid="{00000000-0005-0000-0000-00006A050000}"/>
    <cellStyle name="20% - Accent1 3 3 2 3 4 2" xfId="1340" xr:uid="{00000000-0005-0000-0000-00006B050000}"/>
    <cellStyle name="20% - Accent1 3 3 2 3 5" xfId="1341" xr:uid="{00000000-0005-0000-0000-00006C050000}"/>
    <cellStyle name="20% - Accent1 3 3 2 4" xfId="1342" xr:uid="{00000000-0005-0000-0000-00006D050000}"/>
    <cellStyle name="20% - Accent1 3 3 2 4 2" xfId="1343" xr:uid="{00000000-0005-0000-0000-00006E050000}"/>
    <cellStyle name="20% - Accent1 3 3 2 4 2 2" xfId="1344" xr:uid="{00000000-0005-0000-0000-00006F050000}"/>
    <cellStyle name="20% - Accent1 3 3 2 4 2 2 2" xfId="1345" xr:uid="{00000000-0005-0000-0000-000070050000}"/>
    <cellStyle name="20% - Accent1 3 3 2 4 2 3" xfId="1346" xr:uid="{00000000-0005-0000-0000-000071050000}"/>
    <cellStyle name="20% - Accent1 3 3 2 4 3" xfId="1347" xr:uid="{00000000-0005-0000-0000-000072050000}"/>
    <cellStyle name="20% - Accent1 3 3 2 4 3 2" xfId="1348" xr:uid="{00000000-0005-0000-0000-000073050000}"/>
    <cellStyle name="20% - Accent1 3 3 2 4 4" xfId="1349" xr:uid="{00000000-0005-0000-0000-000074050000}"/>
    <cellStyle name="20% - Accent1 3 3 2 5" xfId="1350" xr:uid="{00000000-0005-0000-0000-000075050000}"/>
    <cellStyle name="20% - Accent1 3 3 2 5 2" xfId="1351" xr:uid="{00000000-0005-0000-0000-000076050000}"/>
    <cellStyle name="20% - Accent1 3 3 2 5 2 2" xfId="1352" xr:uid="{00000000-0005-0000-0000-000077050000}"/>
    <cellStyle name="20% - Accent1 3 3 2 5 3" xfId="1353" xr:uid="{00000000-0005-0000-0000-000078050000}"/>
    <cellStyle name="20% - Accent1 3 3 2 6" xfId="1354" xr:uid="{00000000-0005-0000-0000-000079050000}"/>
    <cellStyle name="20% - Accent1 3 3 2 6 2" xfId="1355" xr:uid="{00000000-0005-0000-0000-00007A050000}"/>
    <cellStyle name="20% - Accent1 3 3 2 7" xfId="1356" xr:uid="{00000000-0005-0000-0000-00007B050000}"/>
    <cellStyle name="20% - Accent1 3 3 3" xfId="1357" xr:uid="{00000000-0005-0000-0000-00007C050000}"/>
    <cellStyle name="20% - Accent1 3 3 3 2" xfId="1358" xr:uid="{00000000-0005-0000-0000-00007D050000}"/>
    <cellStyle name="20% - Accent1 3 3 3 2 2" xfId="1359" xr:uid="{00000000-0005-0000-0000-00007E050000}"/>
    <cellStyle name="20% - Accent1 3 3 3 2 2 2" xfId="1360" xr:uid="{00000000-0005-0000-0000-00007F050000}"/>
    <cellStyle name="20% - Accent1 3 3 3 2 2 2 2" xfId="1361" xr:uid="{00000000-0005-0000-0000-000080050000}"/>
    <cellStyle name="20% - Accent1 3 3 3 2 2 2 2 2" xfId="1362" xr:uid="{00000000-0005-0000-0000-000081050000}"/>
    <cellStyle name="20% - Accent1 3 3 3 2 2 2 3" xfId="1363" xr:uid="{00000000-0005-0000-0000-000082050000}"/>
    <cellStyle name="20% - Accent1 3 3 3 2 2 3" xfId="1364" xr:uid="{00000000-0005-0000-0000-000083050000}"/>
    <cellStyle name="20% - Accent1 3 3 3 2 2 3 2" xfId="1365" xr:uid="{00000000-0005-0000-0000-000084050000}"/>
    <cellStyle name="20% - Accent1 3 3 3 2 2 4" xfId="1366" xr:uid="{00000000-0005-0000-0000-000085050000}"/>
    <cellStyle name="20% - Accent1 3 3 3 2 3" xfId="1367" xr:uid="{00000000-0005-0000-0000-000086050000}"/>
    <cellStyle name="20% - Accent1 3 3 3 2 3 2" xfId="1368" xr:uid="{00000000-0005-0000-0000-000087050000}"/>
    <cellStyle name="20% - Accent1 3 3 3 2 3 2 2" xfId="1369" xr:uid="{00000000-0005-0000-0000-000088050000}"/>
    <cellStyle name="20% - Accent1 3 3 3 2 3 3" xfId="1370" xr:uid="{00000000-0005-0000-0000-000089050000}"/>
    <cellStyle name="20% - Accent1 3 3 3 2 4" xfId="1371" xr:uid="{00000000-0005-0000-0000-00008A050000}"/>
    <cellStyle name="20% - Accent1 3 3 3 2 4 2" xfId="1372" xr:uid="{00000000-0005-0000-0000-00008B050000}"/>
    <cellStyle name="20% - Accent1 3 3 3 2 5" xfId="1373" xr:uid="{00000000-0005-0000-0000-00008C050000}"/>
    <cellStyle name="20% - Accent1 3 3 3 3" xfId="1374" xr:uid="{00000000-0005-0000-0000-00008D050000}"/>
    <cellStyle name="20% - Accent1 3 3 3 3 2" xfId="1375" xr:uid="{00000000-0005-0000-0000-00008E050000}"/>
    <cellStyle name="20% - Accent1 3 3 3 3 2 2" xfId="1376" xr:uid="{00000000-0005-0000-0000-00008F050000}"/>
    <cellStyle name="20% - Accent1 3 3 3 3 2 2 2" xfId="1377" xr:uid="{00000000-0005-0000-0000-000090050000}"/>
    <cellStyle name="20% - Accent1 3 3 3 3 2 3" xfId="1378" xr:uid="{00000000-0005-0000-0000-000091050000}"/>
    <cellStyle name="20% - Accent1 3 3 3 3 3" xfId="1379" xr:uid="{00000000-0005-0000-0000-000092050000}"/>
    <cellStyle name="20% - Accent1 3 3 3 3 3 2" xfId="1380" xr:uid="{00000000-0005-0000-0000-000093050000}"/>
    <cellStyle name="20% - Accent1 3 3 3 3 4" xfId="1381" xr:uid="{00000000-0005-0000-0000-000094050000}"/>
    <cellStyle name="20% - Accent1 3 3 3 4" xfId="1382" xr:uid="{00000000-0005-0000-0000-000095050000}"/>
    <cellStyle name="20% - Accent1 3 3 3 4 2" xfId="1383" xr:uid="{00000000-0005-0000-0000-000096050000}"/>
    <cellStyle name="20% - Accent1 3 3 3 4 2 2" xfId="1384" xr:uid="{00000000-0005-0000-0000-000097050000}"/>
    <cellStyle name="20% - Accent1 3 3 3 4 3" xfId="1385" xr:uid="{00000000-0005-0000-0000-000098050000}"/>
    <cellStyle name="20% - Accent1 3 3 3 5" xfId="1386" xr:uid="{00000000-0005-0000-0000-000099050000}"/>
    <cellStyle name="20% - Accent1 3 3 3 5 2" xfId="1387" xr:uid="{00000000-0005-0000-0000-00009A050000}"/>
    <cellStyle name="20% - Accent1 3 3 3 6" xfId="1388" xr:uid="{00000000-0005-0000-0000-00009B050000}"/>
    <cellStyle name="20% - Accent1 3 3 4" xfId="1389" xr:uid="{00000000-0005-0000-0000-00009C050000}"/>
    <cellStyle name="20% - Accent1 3 3 4 2" xfId="1390" xr:uid="{00000000-0005-0000-0000-00009D050000}"/>
    <cellStyle name="20% - Accent1 3 3 4 2 2" xfId="1391" xr:uid="{00000000-0005-0000-0000-00009E050000}"/>
    <cellStyle name="20% - Accent1 3 3 4 2 2 2" xfId="1392" xr:uid="{00000000-0005-0000-0000-00009F050000}"/>
    <cellStyle name="20% - Accent1 3 3 4 2 2 2 2" xfId="1393" xr:uid="{00000000-0005-0000-0000-0000A0050000}"/>
    <cellStyle name="20% - Accent1 3 3 4 2 2 3" xfId="1394" xr:uid="{00000000-0005-0000-0000-0000A1050000}"/>
    <cellStyle name="20% - Accent1 3 3 4 2 3" xfId="1395" xr:uid="{00000000-0005-0000-0000-0000A2050000}"/>
    <cellStyle name="20% - Accent1 3 3 4 2 3 2" xfId="1396" xr:uid="{00000000-0005-0000-0000-0000A3050000}"/>
    <cellStyle name="20% - Accent1 3 3 4 2 4" xfId="1397" xr:uid="{00000000-0005-0000-0000-0000A4050000}"/>
    <cellStyle name="20% - Accent1 3 3 4 3" xfId="1398" xr:uid="{00000000-0005-0000-0000-0000A5050000}"/>
    <cellStyle name="20% - Accent1 3 3 4 3 2" xfId="1399" xr:uid="{00000000-0005-0000-0000-0000A6050000}"/>
    <cellStyle name="20% - Accent1 3 3 4 3 2 2" xfId="1400" xr:uid="{00000000-0005-0000-0000-0000A7050000}"/>
    <cellStyle name="20% - Accent1 3 3 4 3 3" xfId="1401" xr:uid="{00000000-0005-0000-0000-0000A8050000}"/>
    <cellStyle name="20% - Accent1 3 3 4 4" xfId="1402" xr:uid="{00000000-0005-0000-0000-0000A9050000}"/>
    <cellStyle name="20% - Accent1 3 3 4 4 2" xfId="1403" xr:uid="{00000000-0005-0000-0000-0000AA050000}"/>
    <cellStyle name="20% - Accent1 3 3 4 5" xfId="1404" xr:uid="{00000000-0005-0000-0000-0000AB050000}"/>
    <cellStyle name="20% - Accent1 3 3 5" xfId="1405" xr:uid="{00000000-0005-0000-0000-0000AC050000}"/>
    <cellStyle name="20% - Accent1 3 3 5 2" xfId="1406" xr:uid="{00000000-0005-0000-0000-0000AD050000}"/>
    <cellStyle name="20% - Accent1 3 3 5 2 2" xfId="1407" xr:uid="{00000000-0005-0000-0000-0000AE050000}"/>
    <cellStyle name="20% - Accent1 3 3 5 2 2 2" xfId="1408" xr:uid="{00000000-0005-0000-0000-0000AF050000}"/>
    <cellStyle name="20% - Accent1 3 3 5 2 3" xfId="1409" xr:uid="{00000000-0005-0000-0000-0000B0050000}"/>
    <cellStyle name="20% - Accent1 3 3 5 3" xfId="1410" xr:uid="{00000000-0005-0000-0000-0000B1050000}"/>
    <cellStyle name="20% - Accent1 3 3 5 3 2" xfId="1411" xr:uid="{00000000-0005-0000-0000-0000B2050000}"/>
    <cellStyle name="20% - Accent1 3 3 5 4" xfId="1412" xr:uid="{00000000-0005-0000-0000-0000B3050000}"/>
    <cellStyle name="20% - Accent1 3 3 6" xfId="1413" xr:uid="{00000000-0005-0000-0000-0000B4050000}"/>
    <cellStyle name="20% - Accent1 3 3 6 2" xfId="1414" xr:uid="{00000000-0005-0000-0000-0000B5050000}"/>
    <cellStyle name="20% - Accent1 3 3 6 2 2" xfId="1415" xr:uid="{00000000-0005-0000-0000-0000B6050000}"/>
    <cellStyle name="20% - Accent1 3 3 6 3" xfId="1416" xr:uid="{00000000-0005-0000-0000-0000B7050000}"/>
    <cellStyle name="20% - Accent1 3 3 7" xfId="1417" xr:uid="{00000000-0005-0000-0000-0000B8050000}"/>
    <cellStyle name="20% - Accent1 3 3 7 2" xfId="1418" xr:uid="{00000000-0005-0000-0000-0000B9050000}"/>
    <cellStyle name="20% - Accent1 3 3 8" xfId="1419" xr:uid="{00000000-0005-0000-0000-0000BA050000}"/>
    <cellStyle name="20% - Accent1 3 4" xfId="1420" xr:uid="{00000000-0005-0000-0000-0000BB050000}"/>
    <cellStyle name="20% - Accent1 3 4 2" xfId="1421" xr:uid="{00000000-0005-0000-0000-0000BC050000}"/>
    <cellStyle name="20% - Accent1 3 4 2 2" xfId="1422" xr:uid="{00000000-0005-0000-0000-0000BD050000}"/>
    <cellStyle name="20% - Accent1 3 4 2 2 2" xfId="1423" xr:uid="{00000000-0005-0000-0000-0000BE050000}"/>
    <cellStyle name="20% - Accent1 3 4 2 2 2 2" xfId="1424" xr:uid="{00000000-0005-0000-0000-0000BF050000}"/>
    <cellStyle name="20% - Accent1 3 4 2 2 2 2 2" xfId="1425" xr:uid="{00000000-0005-0000-0000-0000C0050000}"/>
    <cellStyle name="20% - Accent1 3 4 2 2 2 2 2 2" xfId="1426" xr:uid="{00000000-0005-0000-0000-0000C1050000}"/>
    <cellStyle name="20% - Accent1 3 4 2 2 2 2 3" xfId="1427" xr:uid="{00000000-0005-0000-0000-0000C2050000}"/>
    <cellStyle name="20% - Accent1 3 4 2 2 2 3" xfId="1428" xr:uid="{00000000-0005-0000-0000-0000C3050000}"/>
    <cellStyle name="20% - Accent1 3 4 2 2 2 3 2" xfId="1429" xr:uid="{00000000-0005-0000-0000-0000C4050000}"/>
    <cellStyle name="20% - Accent1 3 4 2 2 2 4" xfId="1430" xr:uid="{00000000-0005-0000-0000-0000C5050000}"/>
    <cellStyle name="20% - Accent1 3 4 2 2 3" xfId="1431" xr:uid="{00000000-0005-0000-0000-0000C6050000}"/>
    <cellStyle name="20% - Accent1 3 4 2 2 3 2" xfId="1432" xr:uid="{00000000-0005-0000-0000-0000C7050000}"/>
    <cellStyle name="20% - Accent1 3 4 2 2 3 2 2" xfId="1433" xr:uid="{00000000-0005-0000-0000-0000C8050000}"/>
    <cellStyle name="20% - Accent1 3 4 2 2 3 3" xfId="1434" xr:uid="{00000000-0005-0000-0000-0000C9050000}"/>
    <cellStyle name="20% - Accent1 3 4 2 2 4" xfId="1435" xr:uid="{00000000-0005-0000-0000-0000CA050000}"/>
    <cellStyle name="20% - Accent1 3 4 2 2 4 2" xfId="1436" xr:uid="{00000000-0005-0000-0000-0000CB050000}"/>
    <cellStyle name="20% - Accent1 3 4 2 2 5" xfId="1437" xr:uid="{00000000-0005-0000-0000-0000CC050000}"/>
    <cellStyle name="20% - Accent1 3 4 2 3" xfId="1438" xr:uid="{00000000-0005-0000-0000-0000CD050000}"/>
    <cellStyle name="20% - Accent1 3 4 2 3 2" xfId="1439" xr:uid="{00000000-0005-0000-0000-0000CE050000}"/>
    <cellStyle name="20% - Accent1 3 4 2 3 2 2" xfId="1440" xr:uid="{00000000-0005-0000-0000-0000CF050000}"/>
    <cellStyle name="20% - Accent1 3 4 2 3 2 2 2" xfId="1441" xr:uid="{00000000-0005-0000-0000-0000D0050000}"/>
    <cellStyle name="20% - Accent1 3 4 2 3 2 3" xfId="1442" xr:uid="{00000000-0005-0000-0000-0000D1050000}"/>
    <cellStyle name="20% - Accent1 3 4 2 3 3" xfId="1443" xr:uid="{00000000-0005-0000-0000-0000D2050000}"/>
    <cellStyle name="20% - Accent1 3 4 2 3 3 2" xfId="1444" xr:uid="{00000000-0005-0000-0000-0000D3050000}"/>
    <cellStyle name="20% - Accent1 3 4 2 3 4" xfId="1445" xr:uid="{00000000-0005-0000-0000-0000D4050000}"/>
    <cellStyle name="20% - Accent1 3 4 2 4" xfId="1446" xr:uid="{00000000-0005-0000-0000-0000D5050000}"/>
    <cellStyle name="20% - Accent1 3 4 2 4 2" xfId="1447" xr:uid="{00000000-0005-0000-0000-0000D6050000}"/>
    <cellStyle name="20% - Accent1 3 4 2 4 2 2" xfId="1448" xr:uid="{00000000-0005-0000-0000-0000D7050000}"/>
    <cellStyle name="20% - Accent1 3 4 2 4 3" xfId="1449" xr:uid="{00000000-0005-0000-0000-0000D8050000}"/>
    <cellStyle name="20% - Accent1 3 4 2 5" xfId="1450" xr:uid="{00000000-0005-0000-0000-0000D9050000}"/>
    <cellStyle name="20% - Accent1 3 4 2 5 2" xfId="1451" xr:uid="{00000000-0005-0000-0000-0000DA050000}"/>
    <cellStyle name="20% - Accent1 3 4 2 6" xfId="1452" xr:uid="{00000000-0005-0000-0000-0000DB050000}"/>
    <cellStyle name="20% - Accent1 3 4 3" xfId="1453" xr:uid="{00000000-0005-0000-0000-0000DC050000}"/>
    <cellStyle name="20% - Accent1 3 4 3 2" xfId="1454" xr:uid="{00000000-0005-0000-0000-0000DD050000}"/>
    <cellStyle name="20% - Accent1 3 4 3 2 2" xfId="1455" xr:uid="{00000000-0005-0000-0000-0000DE050000}"/>
    <cellStyle name="20% - Accent1 3 4 3 2 2 2" xfId="1456" xr:uid="{00000000-0005-0000-0000-0000DF050000}"/>
    <cellStyle name="20% - Accent1 3 4 3 2 2 2 2" xfId="1457" xr:uid="{00000000-0005-0000-0000-0000E0050000}"/>
    <cellStyle name="20% - Accent1 3 4 3 2 2 3" xfId="1458" xr:uid="{00000000-0005-0000-0000-0000E1050000}"/>
    <cellStyle name="20% - Accent1 3 4 3 2 3" xfId="1459" xr:uid="{00000000-0005-0000-0000-0000E2050000}"/>
    <cellStyle name="20% - Accent1 3 4 3 2 3 2" xfId="1460" xr:uid="{00000000-0005-0000-0000-0000E3050000}"/>
    <cellStyle name="20% - Accent1 3 4 3 2 4" xfId="1461" xr:uid="{00000000-0005-0000-0000-0000E4050000}"/>
    <cellStyle name="20% - Accent1 3 4 3 3" xfId="1462" xr:uid="{00000000-0005-0000-0000-0000E5050000}"/>
    <cellStyle name="20% - Accent1 3 4 3 3 2" xfId="1463" xr:uid="{00000000-0005-0000-0000-0000E6050000}"/>
    <cellStyle name="20% - Accent1 3 4 3 3 2 2" xfId="1464" xr:uid="{00000000-0005-0000-0000-0000E7050000}"/>
    <cellStyle name="20% - Accent1 3 4 3 3 3" xfId="1465" xr:uid="{00000000-0005-0000-0000-0000E8050000}"/>
    <cellStyle name="20% - Accent1 3 4 3 4" xfId="1466" xr:uid="{00000000-0005-0000-0000-0000E9050000}"/>
    <cellStyle name="20% - Accent1 3 4 3 4 2" xfId="1467" xr:uid="{00000000-0005-0000-0000-0000EA050000}"/>
    <cellStyle name="20% - Accent1 3 4 3 5" xfId="1468" xr:uid="{00000000-0005-0000-0000-0000EB050000}"/>
    <cellStyle name="20% - Accent1 3 4 4" xfId="1469" xr:uid="{00000000-0005-0000-0000-0000EC050000}"/>
    <cellStyle name="20% - Accent1 3 4 4 2" xfId="1470" xr:uid="{00000000-0005-0000-0000-0000ED050000}"/>
    <cellStyle name="20% - Accent1 3 4 4 2 2" xfId="1471" xr:uid="{00000000-0005-0000-0000-0000EE050000}"/>
    <cellStyle name="20% - Accent1 3 4 4 2 2 2" xfId="1472" xr:uid="{00000000-0005-0000-0000-0000EF050000}"/>
    <cellStyle name="20% - Accent1 3 4 4 2 3" xfId="1473" xr:uid="{00000000-0005-0000-0000-0000F0050000}"/>
    <cellStyle name="20% - Accent1 3 4 4 3" xfId="1474" xr:uid="{00000000-0005-0000-0000-0000F1050000}"/>
    <cellStyle name="20% - Accent1 3 4 4 3 2" xfId="1475" xr:uid="{00000000-0005-0000-0000-0000F2050000}"/>
    <cellStyle name="20% - Accent1 3 4 4 4" xfId="1476" xr:uid="{00000000-0005-0000-0000-0000F3050000}"/>
    <cellStyle name="20% - Accent1 3 4 5" xfId="1477" xr:uid="{00000000-0005-0000-0000-0000F4050000}"/>
    <cellStyle name="20% - Accent1 3 4 5 2" xfId="1478" xr:uid="{00000000-0005-0000-0000-0000F5050000}"/>
    <cellStyle name="20% - Accent1 3 4 5 2 2" xfId="1479" xr:uid="{00000000-0005-0000-0000-0000F6050000}"/>
    <cellStyle name="20% - Accent1 3 4 5 3" xfId="1480" xr:uid="{00000000-0005-0000-0000-0000F7050000}"/>
    <cellStyle name="20% - Accent1 3 4 6" xfId="1481" xr:uid="{00000000-0005-0000-0000-0000F8050000}"/>
    <cellStyle name="20% - Accent1 3 4 6 2" xfId="1482" xr:uid="{00000000-0005-0000-0000-0000F9050000}"/>
    <cellStyle name="20% - Accent1 3 4 7" xfId="1483" xr:uid="{00000000-0005-0000-0000-0000FA050000}"/>
    <cellStyle name="20% - Accent1 3 5" xfId="1484" xr:uid="{00000000-0005-0000-0000-0000FB050000}"/>
    <cellStyle name="20% - Accent1 3 5 2" xfId="1485" xr:uid="{00000000-0005-0000-0000-0000FC050000}"/>
    <cellStyle name="20% - Accent1 3 5 2 2" xfId="1486" xr:uid="{00000000-0005-0000-0000-0000FD050000}"/>
    <cellStyle name="20% - Accent1 3 5 2 2 2" xfId="1487" xr:uid="{00000000-0005-0000-0000-0000FE050000}"/>
    <cellStyle name="20% - Accent1 3 5 2 2 2 2" xfId="1488" xr:uid="{00000000-0005-0000-0000-0000FF050000}"/>
    <cellStyle name="20% - Accent1 3 5 2 2 2 2 2" xfId="1489" xr:uid="{00000000-0005-0000-0000-000000060000}"/>
    <cellStyle name="20% - Accent1 3 5 2 2 2 3" xfId="1490" xr:uid="{00000000-0005-0000-0000-000001060000}"/>
    <cellStyle name="20% - Accent1 3 5 2 2 3" xfId="1491" xr:uid="{00000000-0005-0000-0000-000002060000}"/>
    <cellStyle name="20% - Accent1 3 5 2 2 3 2" xfId="1492" xr:uid="{00000000-0005-0000-0000-000003060000}"/>
    <cellStyle name="20% - Accent1 3 5 2 2 4" xfId="1493" xr:uid="{00000000-0005-0000-0000-000004060000}"/>
    <cellStyle name="20% - Accent1 3 5 2 3" xfId="1494" xr:uid="{00000000-0005-0000-0000-000005060000}"/>
    <cellStyle name="20% - Accent1 3 5 2 3 2" xfId="1495" xr:uid="{00000000-0005-0000-0000-000006060000}"/>
    <cellStyle name="20% - Accent1 3 5 2 3 2 2" xfId="1496" xr:uid="{00000000-0005-0000-0000-000007060000}"/>
    <cellStyle name="20% - Accent1 3 5 2 3 3" xfId="1497" xr:uid="{00000000-0005-0000-0000-000008060000}"/>
    <cellStyle name="20% - Accent1 3 5 2 4" xfId="1498" xr:uid="{00000000-0005-0000-0000-000009060000}"/>
    <cellStyle name="20% - Accent1 3 5 2 4 2" xfId="1499" xr:uid="{00000000-0005-0000-0000-00000A060000}"/>
    <cellStyle name="20% - Accent1 3 5 2 5" xfId="1500" xr:uid="{00000000-0005-0000-0000-00000B060000}"/>
    <cellStyle name="20% - Accent1 3 5 3" xfId="1501" xr:uid="{00000000-0005-0000-0000-00000C060000}"/>
    <cellStyle name="20% - Accent1 3 5 3 2" xfId="1502" xr:uid="{00000000-0005-0000-0000-00000D060000}"/>
    <cellStyle name="20% - Accent1 3 5 3 2 2" xfId="1503" xr:uid="{00000000-0005-0000-0000-00000E060000}"/>
    <cellStyle name="20% - Accent1 3 5 3 2 2 2" xfId="1504" xr:uid="{00000000-0005-0000-0000-00000F060000}"/>
    <cellStyle name="20% - Accent1 3 5 3 2 3" xfId="1505" xr:uid="{00000000-0005-0000-0000-000010060000}"/>
    <cellStyle name="20% - Accent1 3 5 3 3" xfId="1506" xr:uid="{00000000-0005-0000-0000-000011060000}"/>
    <cellStyle name="20% - Accent1 3 5 3 3 2" xfId="1507" xr:uid="{00000000-0005-0000-0000-000012060000}"/>
    <cellStyle name="20% - Accent1 3 5 3 4" xfId="1508" xr:uid="{00000000-0005-0000-0000-000013060000}"/>
    <cellStyle name="20% - Accent1 3 5 4" xfId="1509" xr:uid="{00000000-0005-0000-0000-000014060000}"/>
    <cellStyle name="20% - Accent1 3 5 4 2" xfId="1510" xr:uid="{00000000-0005-0000-0000-000015060000}"/>
    <cellStyle name="20% - Accent1 3 5 4 2 2" xfId="1511" xr:uid="{00000000-0005-0000-0000-000016060000}"/>
    <cellStyle name="20% - Accent1 3 5 4 3" xfId="1512" xr:uid="{00000000-0005-0000-0000-000017060000}"/>
    <cellStyle name="20% - Accent1 3 5 5" xfId="1513" xr:uid="{00000000-0005-0000-0000-000018060000}"/>
    <cellStyle name="20% - Accent1 3 5 5 2" xfId="1514" xr:uid="{00000000-0005-0000-0000-000019060000}"/>
    <cellStyle name="20% - Accent1 3 5 6" xfId="1515" xr:uid="{00000000-0005-0000-0000-00001A060000}"/>
    <cellStyle name="20% - Accent1 3 6" xfId="1516" xr:uid="{00000000-0005-0000-0000-00001B060000}"/>
    <cellStyle name="20% - Accent1 3 6 2" xfId="1517" xr:uid="{00000000-0005-0000-0000-00001C060000}"/>
    <cellStyle name="20% - Accent1 3 6 2 2" xfId="1518" xr:uid="{00000000-0005-0000-0000-00001D060000}"/>
    <cellStyle name="20% - Accent1 3 6 2 2 2" xfId="1519" xr:uid="{00000000-0005-0000-0000-00001E060000}"/>
    <cellStyle name="20% - Accent1 3 6 2 2 2 2" xfId="1520" xr:uid="{00000000-0005-0000-0000-00001F060000}"/>
    <cellStyle name="20% - Accent1 3 6 2 2 3" xfId="1521" xr:uid="{00000000-0005-0000-0000-000020060000}"/>
    <cellStyle name="20% - Accent1 3 6 2 3" xfId="1522" xr:uid="{00000000-0005-0000-0000-000021060000}"/>
    <cellStyle name="20% - Accent1 3 6 2 3 2" xfId="1523" xr:uid="{00000000-0005-0000-0000-000022060000}"/>
    <cellStyle name="20% - Accent1 3 6 2 4" xfId="1524" xr:uid="{00000000-0005-0000-0000-000023060000}"/>
    <cellStyle name="20% - Accent1 3 6 3" xfId="1525" xr:uid="{00000000-0005-0000-0000-000024060000}"/>
    <cellStyle name="20% - Accent1 3 6 3 2" xfId="1526" xr:uid="{00000000-0005-0000-0000-000025060000}"/>
    <cellStyle name="20% - Accent1 3 6 3 2 2" xfId="1527" xr:uid="{00000000-0005-0000-0000-000026060000}"/>
    <cellStyle name="20% - Accent1 3 6 3 3" xfId="1528" xr:uid="{00000000-0005-0000-0000-000027060000}"/>
    <cellStyle name="20% - Accent1 3 6 4" xfId="1529" xr:uid="{00000000-0005-0000-0000-000028060000}"/>
    <cellStyle name="20% - Accent1 3 6 4 2" xfId="1530" xr:uid="{00000000-0005-0000-0000-000029060000}"/>
    <cellStyle name="20% - Accent1 3 6 5" xfId="1531" xr:uid="{00000000-0005-0000-0000-00002A060000}"/>
    <cellStyle name="20% - Accent1 3 7" xfId="1532" xr:uid="{00000000-0005-0000-0000-00002B060000}"/>
    <cellStyle name="20% - Accent1 3 7 2" xfId="1533" xr:uid="{00000000-0005-0000-0000-00002C060000}"/>
    <cellStyle name="20% - Accent1 3 7 2 2" xfId="1534" xr:uid="{00000000-0005-0000-0000-00002D060000}"/>
    <cellStyle name="20% - Accent1 3 7 2 2 2" xfId="1535" xr:uid="{00000000-0005-0000-0000-00002E060000}"/>
    <cellStyle name="20% - Accent1 3 7 2 3" xfId="1536" xr:uid="{00000000-0005-0000-0000-00002F060000}"/>
    <cellStyle name="20% - Accent1 3 7 3" xfId="1537" xr:uid="{00000000-0005-0000-0000-000030060000}"/>
    <cellStyle name="20% - Accent1 3 7 3 2" xfId="1538" xr:uid="{00000000-0005-0000-0000-000031060000}"/>
    <cellStyle name="20% - Accent1 3 7 4" xfId="1539" xr:uid="{00000000-0005-0000-0000-000032060000}"/>
    <cellStyle name="20% - Accent1 3 8" xfId="1540" xr:uid="{00000000-0005-0000-0000-000033060000}"/>
    <cellStyle name="20% - Accent1 3 8 2" xfId="1541" xr:uid="{00000000-0005-0000-0000-000034060000}"/>
    <cellStyle name="20% - Accent1 3 8 2 2" xfId="1542" xr:uid="{00000000-0005-0000-0000-000035060000}"/>
    <cellStyle name="20% - Accent1 3 8 3" xfId="1543" xr:uid="{00000000-0005-0000-0000-000036060000}"/>
    <cellStyle name="20% - Accent1 3 9" xfId="1544" xr:uid="{00000000-0005-0000-0000-000037060000}"/>
    <cellStyle name="20% - Accent1 3 9 2" xfId="1545" xr:uid="{00000000-0005-0000-0000-000038060000}"/>
    <cellStyle name="20% - Accent1 4" xfId="1546" xr:uid="{00000000-0005-0000-0000-000039060000}"/>
    <cellStyle name="20% - Accent1 4 2" xfId="1547" xr:uid="{00000000-0005-0000-0000-00003A060000}"/>
    <cellStyle name="20% - Accent1 4 2 2" xfId="1548" xr:uid="{00000000-0005-0000-0000-00003B060000}"/>
    <cellStyle name="20% - Accent1 4 2 2 2" xfId="1549" xr:uid="{00000000-0005-0000-0000-00003C060000}"/>
    <cellStyle name="20% - Accent1 4 2 2 2 2" xfId="1550" xr:uid="{00000000-0005-0000-0000-00003D060000}"/>
    <cellStyle name="20% - Accent1 4 2 2 2 2 2" xfId="1551" xr:uid="{00000000-0005-0000-0000-00003E060000}"/>
    <cellStyle name="20% - Accent1 4 2 2 2 2 2 2" xfId="1552" xr:uid="{00000000-0005-0000-0000-00003F060000}"/>
    <cellStyle name="20% - Accent1 4 2 2 2 2 2 2 2" xfId="1553" xr:uid="{00000000-0005-0000-0000-000040060000}"/>
    <cellStyle name="20% - Accent1 4 2 2 2 2 2 2 2 2" xfId="1554" xr:uid="{00000000-0005-0000-0000-000041060000}"/>
    <cellStyle name="20% - Accent1 4 2 2 2 2 2 2 3" xfId="1555" xr:uid="{00000000-0005-0000-0000-000042060000}"/>
    <cellStyle name="20% - Accent1 4 2 2 2 2 2 3" xfId="1556" xr:uid="{00000000-0005-0000-0000-000043060000}"/>
    <cellStyle name="20% - Accent1 4 2 2 2 2 2 3 2" xfId="1557" xr:uid="{00000000-0005-0000-0000-000044060000}"/>
    <cellStyle name="20% - Accent1 4 2 2 2 2 2 4" xfId="1558" xr:uid="{00000000-0005-0000-0000-000045060000}"/>
    <cellStyle name="20% - Accent1 4 2 2 2 2 3" xfId="1559" xr:uid="{00000000-0005-0000-0000-000046060000}"/>
    <cellStyle name="20% - Accent1 4 2 2 2 2 3 2" xfId="1560" xr:uid="{00000000-0005-0000-0000-000047060000}"/>
    <cellStyle name="20% - Accent1 4 2 2 2 2 3 2 2" xfId="1561" xr:uid="{00000000-0005-0000-0000-000048060000}"/>
    <cellStyle name="20% - Accent1 4 2 2 2 2 3 3" xfId="1562" xr:uid="{00000000-0005-0000-0000-000049060000}"/>
    <cellStyle name="20% - Accent1 4 2 2 2 2 4" xfId="1563" xr:uid="{00000000-0005-0000-0000-00004A060000}"/>
    <cellStyle name="20% - Accent1 4 2 2 2 2 4 2" xfId="1564" xr:uid="{00000000-0005-0000-0000-00004B060000}"/>
    <cellStyle name="20% - Accent1 4 2 2 2 2 5" xfId="1565" xr:uid="{00000000-0005-0000-0000-00004C060000}"/>
    <cellStyle name="20% - Accent1 4 2 2 2 3" xfId="1566" xr:uid="{00000000-0005-0000-0000-00004D060000}"/>
    <cellStyle name="20% - Accent1 4 2 2 2 3 2" xfId="1567" xr:uid="{00000000-0005-0000-0000-00004E060000}"/>
    <cellStyle name="20% - Accent1 4 2 2 2 3 2 2" xfId="1568" xr:uid="{00000000-0005-0000-0000-00004F060000}"/>
    <cellStyle name="20% - Accent1 4 2 2 2 3 2 2 2" xfId="1569" xr:uid="{00000000-0005-0000-0000-000050060000}"/>
    <cellStyle name="20% - Accent1 4 2 2 2 3 2 3" xfId="1570" xr:uid="{00000000-0005-0000-0000-000051060000}"/>
    <cellStyle name="20% - Accent1 4 2 2 2 3 3" xfId="1571" xr:uid="{00000000-0005-0000-0000-000052060000}"/>
    <cellStyle name="20% - Accent1 4 2 2 2 3 3 2" xfId="1572" xr:uid="{00000000-0005-0000-0000-000053060000}"/>
    <cellStyle name="20% - Accent1 4 2 2 2 3 4" xfId="1573" xr:uid="{00000000-0005-0000-0000-000054060000}"/>
    <cellStyle name="20% - Accent1 4 2 2 2 4" xfId="1574" xr:uid="{00000000-0005-0000-0000-000055060000}"/>
    <cellStyle name="20% - Accent1 4 2 2 2 4 2" xfId="1575" xr:uid="{00000000-0005-0000-0000-000056060000}"/>
    <cellStyle name="20% - Accent1 4 2 2 2 4 2 2" xfId="1576" xr:uid="{00000000-0005-0000-0000-000057060000}"/>
    <cellStyle name="20% - Accent1 4 2 2 2 4 3" xfId="1577" xr:uid="{00000000-0005-0000-0000-000058060000}"/>
    <cellStyle name="20% - Accent1 4 2 2 2 5" xfId="1578" xr:uid="{00000000-0005-0000-0000-000059060000}"/>
    <cellStyle name="20% - Accent1 4 2 2 2 5 2" xfId="1579" xr:uid="{00000000-0005-0000-0000-00005A060000}"/>
    <cellStyle name="20% - Accent1 4 2 2 2 6" xfId="1580" xr:uid="{00000000-0005-0000-0000-00005B060000}"/>
    <cellStyle name="20% - Accent1 4 2 2 3" xfId="1581" xr:uid="{00000000-0005-0000-0000-00005C060000}"/>
    <cellStyle name="20% - Accent1 4 2 2 3 2" xfId="1582" xr:uid="{00000000-0005-0000-0000-00005D060000}"/>
    <cellStyle name="20% - Accent1 4 2 2 3 2 2" xfId="1583" xr:uid="{00000000-0005-0000-0000-00005E060000}"/>
    <cellStyle name="20% - Accent1 4 2 2 3 2 2 2" xfId="1584" xr:uid="{00000000-0005-0000-0000-00005F060000}"/>
    <cellStyle name="20% - Accent1 4 2 2 3 2 2 2 2" xfId="1585" xr:uid="{00000000-0005-0000-0000-000060060000}"/>
    <cellStyle name="20% - Accent1 4 2 2 3 2 2 3" xfId="1586" xr:uid="{00000000-0005-0000-0000-000061060000}"/>
    <cellStyle name="20% - Accent1 4 2 2 3 2 3" xfId="1587" xr:uid="{00000000-0005-0000-0000-000062060000}"/>
    <cellStyle name="20% - Accent1 4 2 2 3 2 3 2" xfId="1588" xr:uid="{00000000-0005-0000-0000-000063060000}"/>
    <cellStyle name="20% - Accent1 4 2 2 3 2 4" xfId="1589" xr:uid="{00000000-0005-0000-0000-000064060000}"/>
    <cellStyle name="20% - Accent1 4 2 2 3 3" xfId="1590" xr:uid="{00000000-0005-0000-0000-000065060000}"/>
    <cellStyle name="20% - Accent1 4 2 2 3 3 2" xfId="1591" xr:uid="{00000000-0005-0000-0000-000066060000}"/>
    <cellStyle name="20% - Accent1 4 2 2 3 3 2 2" xfId="1592" xr:uid="{00000000-0005-0000-0000-000067060000}"/>
    <cellStyle name="20% - Accent1 4 2 2 3 3 3" xfId="1593" xr:uid="{00000000-0005-0000-0000-000068060000}"/>
    <cellStyle name="20% - Accent1 4 2 2 3 4" xfId="1594" xr:uid="{00000000-0005-0000-0000-000069060000}"/>
    <cellStyle name="20% - Accent1 4 2 2 3 4 2" xfId="1595" xr:uid="{00000000-0005-0000-0000-00006A060000}"/>
    <cellStyle name="20% - Accent1 4 2 2 3 5" xfId="1596" xr:uid="{00000000-0005-0000-0000-00006B060000}"/>
    <cellStyle name="20% - Accent1 4 2 2 4" xfId="1597" xr:uid="{00000000-0005-0000-0000-00006C060000}"/>
    <cellStyle name="20% - Accent1 4 2 2 4 2" xfId="1598" xr:uid="{00000000-0005-0000-0000-00006D060000}"/>
    <cellStyle name="20% - Accent1 4 2 2 4 2 2" xfId="1599" xr:uid="{00000000-0005-0000-0000-00006E060000}"/>
    <cellStyle name="20% - Accent1 4 2 2 4 2 2 2" xfId="1600" xr:uid="{00000000-0005-0000-0000-00006F060000}"/>
    <cellStyle name="20% - Accent1 4 2 2 4 2 3" xfId="1601" xr:uid="{00000000-0005-0000-0000-000070060000}"/>
    <cellStyle name="20% - Accent1 4 2 2 4 3" xfId="1602" xr:uid="{00000000-0005-0000-0000-000071060000}"/>
    <cellStyle name="20% - Accent1 4 2 2 4 3 2" xfId="1603" xr:uid="{00000000-0005-0000-0000-000072060000}"/>
    <cellStyle name="20% - Accent1 4 2 2 4 4" xfId="1604" xr:uid="{00000000-0005-0000-0000-000073060000}"/>
    <cellStyle name="20% - Accent1 4 2 2 5" xfId="1605" xr:uid="{00000000-0005-0000-0000-000074060000}"/>
    <cellStyle name="20% - Accent1 4 2 2 5 2" xfId="1606" xr:uid="{00000000-0005-0000-0000-000075060000}"/>
    <cellStyle name="20% - Accent1 4 2 2 5 2 2" xfId="1607" xr:uid="{00000000-0005-0000-0000-000076060000}"/>
    <cellStyle name="20% - Accent1 4 2 2 5 3" xfId="1608" xr:uid="{00000000-0005-0000-0000-000077060000}"/>
    <cellStyle name="20% - Accent1 4 2 2 6" xfId="1609" xr:uid="{00000000-0005-0000-0000-000078060000}"/>
    <cellStyle name="20% - Accent1 4 2 2 6 2" xfId="1610" xr:uid="{00000000-0005-0000-0000-000079060000}"/>
    <cellStyle name="20% - Accent1 4 2 2 7" xfId="1611" xr:uid="{00000000-0005-0000-0000-00007A060000}"/>
    <cellStyle name="20% - Accent1 4 2 3" xfId="1612" xr:uid="{00000000-0005-0000-0000-00007B060000}"/>
    <cellStyle name="20% - Accent1 4 2 3 2" xfId="1613" xr:uid="{00000000-0005-0000-0000-00007C060000}"/>
    <cellStyle name="20% - Accent1 4 2 3 2 2" xfId="1614" xr:uid="{00000000-0005-0000-0000-00007D060000}"/>
    <cellStyle name="20% - Accent1 4 2 3 2 2 2" xfId="1615" xr:uid="{00000000-0005-0000-0000-00007E060000}"/>
    <cellStyle name="20% - Accent1 4 2 3 2 2 2 2" xfId="1616" xr:uid="{00000000-0005-0000-0000-00007F060000}"/>
    <cellStyle name="20% - Accent1 4 2 3 2 2 2 2 2" xfId="1617" xr:uid="{00000000-0005-0000-0000-000080060000}"/>
    <cellStyle name="20% - Accent1 4 2 3 2 2 2 3" xfId="1618" xr:uid="{00000000-0005-0000-0000-000081060000}"/>
    <cellStyle name="20% - Accent1 4 2 3 2 2 3" xfId="1619" xr:uid="{00000000-0005-0000-0000-000082060000}"/>
    <cellStyle name="20% - Accent1 4 2 3 2 2 3 2" xfId="1620" xr:uid="{00000000-0005-0000-0000-000083060000}"/>
    <cellStyle name="20% - Accent1 4 2 3 2 2 4" xfId="1621" xr:uid="{00000000-0005-0000-0000-000084060000}"/>
    <cellStyle name="20% - Accent1 4 2 3 2 3" xfId="1622" xr:uid="{00000000-0005-0000-0000-000085060000}"/>
    <cellStyle name="20% - Accent1 4 2 3 2 3 2" xfId="1623" xr:uid="{00000000-0005-0000-0000-000086060000}"/>
    <cellStyle name="20% - Accent1 4 2 3 2 3 2 2" xfId="1624" xr:uid="{00000000-0005-0000-0000-000087060000}"/>
    <cellStyle name="20% - Accent1 4 2 3 2 3 3" xfId="1625" xr:uid="{00000000-0005-0000-0000-000088060000}"/>
    <cellStyle name="20% - Accent1 4 2 3 2 4" xfId="1626" xr:uid="{00000000-0005-0000-0000-000089060000}"/>
    <cellStyle name="20% - Accent1 4 2 3 2 4 2" xfId="1627" xr:uid="{00000000-0005-0000-0000-00008A060000}"/>
    <cellStyle name="20% - Accent1 4 2 3 2 5" xfId="1628" xr:uid="{00000000-0005-0000-0000-00008B060000}"/>
    <cellStyle name="20% - Accent1 4 2 3 3" xfId="1629" xr:uid="{00000000-0005-0000-0000-00008C060000}"/>
    <cellStyle name="20% - Accent1 4 2 3 3 2" xfId="1630" xr:uid="{00000000-0005-0000-0000-00008D060000}"/>
    <cellStyle name="20% - Accent1 4 2 3 3 2 2" xfId="1631" xr:uid="{00000000-0005-0000-0000-00008E060000}"/>
    <cellStyle name="20% - Accent1 4 2 3 3 2 2 2" xfId="1632" xr:uid="{00000000-0005-0000-0000-00008F060000}"/>
    <cellStyle name="20% - Accent1 4 2 3 3 2 3" xfId="1633" xr:uid="{00000000-0005-0000-0000-000090060000}"/>
    <cellStyle name="20% - Accent1 4 2 3 3 3" xfId="1634" xr:uid="{00000000-0005-0000-0000-000091060000}"/>
    <cellStyle name="20% - Accent1 4 2 3 3 3 2" xfId="1635" xr:uid="{00000000-0005-0000-0000-000092060000}"/>
    <cellStyle name="20% - Accent1 4 2 3 3 4" xfId="1636" xr:uid="{00000000-0005-0000-0000-000093060000}"/>
    <cellStyle name="20% - Accent1 4 2 3 4" xfId="1637" xr:uid="{00000000-0005-0000-0000-000094060000}"/>
    <cellStyle name="20% - Accent1 4 2 3 4 2" xfId="1638" xr:uid="{00000000-0005-0000-0000-000095060000}"/>
    <cellStyle name="20% - Accent1 4 2 3 4 2 2" xfId="1639" xr:uid="{00000000-0005-0000-0000-000096060000}"/>
    <cellStyle name="20% - Accent1 4 2 3 4 3" xfId="1640" xr:uid="{00000000-0005-0000-0000-000097060000}"/>
    <cellStyle name="20% - Accent1 4 2 3 5" xfId="1641" xr:uid="{00000000-0005-0000-0000-000098060000}"/>
    <cellStyle name="20% - Accent1 4 2 3 5 2" xfId="1642" xr:uid="{00000000-0005-0000-0000-000099060000}"/>
    <cellStyle name="20% - Accent1 4 2 3 6" xfId="1643" xr:uid="{00000000-0005-0000-0000-00009A060000}"/>
    <cellStyle name="20% - Accent1 4 2 4" xfId="1644" xr:uid="{00000000-0005-0000-0000-00009B060000}"/>
    <cellStyle name="20% - Accent1 4 2 4 2" xfId="1645" xr:uid="{00000000-0005-0000-0000-00009C060000}"/>
    <cellStyle name="20% - Accent1 4 2 4 2 2" xfId="1646" xr:uid="{00000000-0005-0000-0000-00009D060000}"/>
    <cellStyle name="20% - Accent1 4 2 4 2 2 2" xfId="1647" xr:uid="{00000000-0005-0000-0000-00009E060000}"/>
    <cellStyle name="20% - Accent1 4 2 4 2 2 2 2" xfId="1648" xr:uid="{00000000-0005-0000-0000-00009F060000}"/>
    <cellStyle name="20% - Accent1 4 2 4 2 2 3" xfId="1649" xr:uid="{00000000-0005-0000-0000-0000A0060000}"/>
    <cellStyle name="20% - Accent1 4 2 4 2 3" xfId="1650" xr:uid="{00000000-0005-0000-0000-0000A1060000}"/>
    <cellStyle name="20% - Accent1 4 2 4 2 3 2" xfId="1651" xr:uid="{00000000-0005-0000-0000-0000A2060000}"/>
    <cellStyle name="20% - Accent1 4 2 4 2 4" xfId="1652" xr:uid="{00000000-0005-0000-0000-0000A3060000}"/>
    <cellStyle name="20% - Accent1 4 2 4 3" xfId="1653" xr:uid="{00000000-0005-0000-0000-0000A4060000}"/>
    <cellStyle name="20% - Accent1 4 2 4 3 2" xfId="1654" xr:uid="{00000000-0005-0000-0000-0000A5060000}"/>
    <cellStyle name="20% - Accent1 4 2 4 3 2 2" xfId="1655" xr:uid="{00000000-0005-0000-0000-0000A6060000}"/>
    <cellStyle name="20% - Accent1 4 2 4 3 3" xfId="1656" xr:uid="{00000000-0005-0000-0000-0000A7060000}"/>
    <cellStyle name="20% - Accent1 4 2 4 4" xfId="1657" xr:uid="{00000000-0005-0000-0000-0000A8060000}"/>
    <cellStyle name="20% - Accent1 4 2 4 4 2" xfId="1658" xr:uid="{00000000-0005-0000-0000-0000A9060000}"/>
    <cellStyle name="20% - Accent1 4 2 4 5" xfId="1659" xr:uid="{00000000-0005-0000-0000-0000AA060000}"/>
    <cellStyle name="20% - Accent1 4 2 5" xfId="1660" xr:uid="{00000000-0005-0000-0000-0000AB060000}"/>
    <cellStyle name="20% - Accent1 4 2 5 2" xfId="1661" xr:uid="{00000000-0005-0000-0000-0000AC060000}"/>
    <cellStyle name="20% - Accent1 4 2 5 2 2" xfId="1662" xr:uid="{00000000-0005-0000-0000-0000AD060000}"/>
    <cellStyle name="20% - Accent1 4 2 5 2 2 2" xfId="1663" xr:uid="{00000000-0005-0000-0000-0000AE060000}"/>
    <cellStyle name="20% - Accent1 4 2 5 2 3" xfId="1664" xr:uid="{00000000-0005-0000-0000-0000AF060000}"/>
    <cellStyle name="20% - Accent1 4 2 5 3" xfId="1665" xr:uid="{00000000-0005-0000-0000-0000B0060000}"/>
    <cellStyle name="20% - Accent1 4 2 5 3 2" xfId="1666" xr:uid="{00000000-0005-0000-0000-0000B1060000}"/>
    <cellStyle name="20% - Accent1 4 2 5 4" xfId="1667" xr:uid="{00000000-0005-0000-0000-0000B2060000}"/>
    <cellStyle name="20% - Accent1 4 2 6" xfId="1668" xr:uid="{00000000-0005-0000-0000-0000B3060000}"/>
    <cellStyle name="20% - Accent1 4 2 6 2" xfId="1669" xr:uid="{00000000-0005-0000-0000-0000B4060000}"/>
    <cellStyle name="20% - Accent1 4 2 6 2 2" xfId="1670" xr:uid="{00000000-0005-0000-0000-0000B5060000}"/>
    <cellStyle name="20% - Accent1 4 2 6 3" xfId="1671" xr:uid="{00000000-0005-0000-0000-0000B6060000}"/>
    <cellStyle name="20% - Accent1 4 2 7" xfId="1672" xr:uid="{00000000-0005-0000-0000-0000B7060000}"/>
    <cellStyle name="20% - Accent1 4 2 7 2" xfId="1673" xr:uid="{00000000-0005-0000-0000-0000B8060000}"/>
    <cellStyle name="20% - Accent1 4 2 8" xfId="1674" xr:uid="{00000000-0005-0000-0000-0000B9060000}"/>
    <cellStyle name="20% - Accent1 4 3" xfId="1675" xr:uid="{00000000-0005-0000-0000-0000BA060000}"/>
    <cellStyle name="20% - Accent1 4 3 2" xfId="1676" xr:uid="{00000000-0005-0000-0000-0000BB060000}"/>
    <cellStyle name="20% - Accent1 4 3 2 2" xfId="1677" xr:uid="{00000000-0005-0000-0000-0000BC060000}"/>
    <cellStyle name="20% - Accent1 4 3 2 2 2" xfId="1678" xr:uid="{00000000-0005-0000-0000-0000BD060000}"/>
    <cellStyle name="20% - Accent1 4 3 2 2 2 2" xfId="1679" xr:uid="{00000000-0005-0000-0000-0000BE060000}"/>
    <cellStyle name="20% - Accent1 4 3 2 2 2 2 2" xfId="1680" xr:uid="{00000000-0005-0000-0000-0000BF060000}"/>
    <cellStyle name="20% - Accent1 4 3 2 2 2 2 2 2" xfId="1681" xr:uid="{00000000-0005-0000-0000-0000C0060000}"/>
    <cellStyle name="20% - Accent1 4 3 2 2 2 2 3" xfId="1682" xr:uid="{00000000-0005-0000-0000-0000C1060000}"/>
    <cellStyle name="20% - Accent1 4 3 2 2 2 3" xfId="1683" xr:uid="{00000000-0005-0000-0000-0000C2060000}"/>
    <cellStyle name="20% - Accent1 4 3 2 2 2 3 2" xfId="1684" xr:uid="{00000000-0005-0000-0000-0000C3060000}"/>
    <cellStyle name="20% - Accent1 4 3 2 2 2 4" xfId="1685" xr:uid="{00000000-0005-0000-0000-0000C4060000}"/>
    <cellStyle name="20% - Accent1 4 3 2 2 3" xfId="1686" xr:uid="{00000000-0005-0000-0000-0000C5060000}"/>
    <cellStyle name="20% - Accent1 4 3 2 2 3 2" xfId="1687" xr:uid="{00000000-0005-0000-0000-0000C6060000}"/>
    <cellStyle name="20% - Accent1 4 3 2 2 3 2 2" xfId="1688" xr:uid="{00000000-0005-0000-0000-0000C7060000}"/>
    <cellStyle name="20% - Accent1 4 3 2 2 3 3" xfId="1689" xr:uid="{00000000-0005-0000-0000-0000C8060000}"/>
    <cellStyle name="20% - Accent1 4 3 2 2 4" xfId="1690" xr:uid="{00000000-0005-0000-0000-0000C9060000}"/>
    <cellStyle name="20% - Accent1 4 3 2 2 4 2" xfId="1691" xr:uid="{00000000-0005-0000-0000-0000CA060000}"/>
    <cellStyle name="20% - Accent1 4 3 2 2 5" xfId="1692" xr:uid="{00000000-0005-0000-0000-0000CB060000}"/>
    <cellStyle name="20% - Accent1 4 3 2 3" xfId="1693" xr:uid="{00000000-0005-0000-0000-0000CC060000}"/>
    <cellStyle name="20% - Accent1 4 3 2 3 2" xfId="1694" xr:uid="{00000000-0005-0000-0000-0000CD060000}"/>
    <cellStyle name="20% - Accent1 4 3 2 3 2 2" xfId="1695" xr:uid="{00000000-0005-0000-0000-0000CE060000}"/>
    <cellStyle name="20% - Accent1 4 3 2 3 2 2 2" xfId="1696" xr:uid="{00000000-0005-0000-0000-0000CF060000}"/>
    <cellStyle name="20% - Accent1 4 3 2 3 2 3" xfId="1697" xr:uid="{00000000-0005-0000-0000-0000D0060000}"/>
    <cellStyle name="20% - Accent1 4 3 2 3 3" xfId="1698" xr:uid="{00000000-0005-0000-0000-0000D1060000}"/>
    <cellStyle name="20% - Accent1 4 3 2 3 3 2" xfId="1699" xr:uid="{00000000-0005-0000-0000-0000D2060000}"/>
    <cellStyle name="20% - Accent1 4 3 2 3 4" xfId="1700" xr:uid="{00000000-0005-0000-0000-0000D3060000}"/>
    <cellStyle name="20% - Accent1 4 3 2 4" xfId="1701" xr:uid="{00000000-0005-0000-0000-0000D4060000}"/>
    <cellStyle name="20% - Accent1 4 3 2 4 2" xfId="1702" xr:uid="{00000000-0005-0000-0000-0000D5060000}"/>
    <cellStyle name="20% - Accent1 4 3 2 4 2 2" xfId="1703" xr:uid="{00000000-0005-0000-0000-0000D6060000}"/>
    <cellStyle name="20% - Accent1 4 3 2 4 3" xfId="1704" xr:uid="{00000000-0005-0000-0000-0000D7060000}"/>
    <cellStyle name="20% - Accent1 4 3 2 5" xfId="1705" xr:uid="{00000000-0005-0000-0000-0000D8060000}"/>
    <cellStyle name="20% - Accent1 4 3 2 5 2" xfId="1706" xr:uid="{00000000-0005-0000-0000-0000D9060000}"/>
    <cellStyle name="20% - Accent1 4 3 2 6" xfId="1707" xr:uid="{00000000-0005-0000-0000-0000DA060000}"/>
    <cellStyle name="20% - Accent1 4 3 3" xfId="1708" xr:uid="{00000000-0005-0000-0000-0000DB060000}"/>
    <cellStyle name="20% - Accent1 4 3 3 2" xfId="1709" xr:uid="{00000000-0005-0000-0000-0000DC060000}"/>
    <cellStyle name="20% - Accent1 4 3 3 2 2" xfId="1710" xr:uid="{00000000-0005-0000-0000-0000DD060000}"/>
    <cellStyle name="20% - Accent1 4 3 3 2 2 2" xfId="1711" xr:uid="{00000000-0005-0000-0000-0000DE060000}"/>
    <cellStyle name="20% - Accent1 4 3 3 2 2 2 2" xfId="1712" xr:uid="{00000000-0005-0000-0000-0000DF060000}"/>
    <cellStyle name="20% - Accent1 4 3 3 2 2 3" xfId="1713" xr:uid="{00000000-0005-0000-0000-0000E0060000}"/>
    <cellStyle name="20% - Accent1 4 3 3 2 3" xfId="1714" xr:uid="{00000000-0005-0000-0000-0000E1060000}"/>
    <cellStyle name="20% - Accent1 4 3 3 2 3 2" xfId="1715" xr:uid="{00000000-0005-0000-0000-0000E2060000}"/>
    <cellStyle name="20% - Accent1 4 3 3 2 4" xfId="1716" xr:uid="{00000000-0005-0000-0000-0000E3060000}"/>
    <cellStyle name="20% - Accent1 4 3 3 3" xfId="1717" xr:uid="{00000000-0005-0000-0000-0000E4060000}"/>
    <cellStyle name="20% - Accent1 4 3 3 3 2" xfId="1718" xr:uid="{00000000-0005-0000-0000-0000E5060000}"/>
    <cellStyle name="20% - Accent1 4 3 3 3 2 2" xfId="1719" xr:uid="{00000000-0005-0000-0000-0000E6060000}"/>
    <cellStyle name="20% - Accent1 4 3 3 3 3" xfId="1720" xr:uid="{00000000-0005-0000-0000-0000E7060000}"/>
    <cellStyle name="20% - Accent1 4 3 3 4" xfId="1721" xr:uid="{00000000-0005-0000-0000-0000E8060000}"/>
    <cellStyle name="20% - Accent1 4 3 3 4 2" xfId="1722" xr:uid="{00000000-0005-0000-0000-0000E9060000}"/>
    <cellStyle name="20% - Accent1 4 3 3 5" xfId="1723" xr:uid="{00000000-0005-0000-0000-0000EA060000}"/>
    <cellStyle name="20% - Accent1 4 3 4" xfId="1724" xr:uid="{00000000-0005-0000-0000-0000EB060000}"/>
    <cellStyle name="20% - Accent1 4 3 4 2" xfId="1725" xr:uid="{00000000-0005-0000-0000-0000EC060000}"/>
    <cellStyle name="20% - Accent1 4 3 4 2 2" xfId="1726" xr:uid="{00000000-0005-0000-0000-0000ED060000}"/>
    <cellStyle name="20% - Accent1 4 3 4 2 2 2" xfId="1727" xr:uid="{00000000-0005-0000-0000-0000EE060000}"/>
    <cellStyle name="20% - Accent1 4 3 4 2 3" xfId="1728" xr:uid="{00000000-0005-0000-0000-0000EF060000}"/>
    <cellStyle name="20% - Accent1 4 3 4 3" xfId="1729" xr:uid="{00000000-0005-0000-0000-0000F0060000}"/>
    <cellStyle name="20% - Accent1 4 3 4 3 2" xfId="1730" xr:uid="{00000000-0005-0000-0000-0000F1060000}"/>
    <cellStyle name="20% - Accent1 4 3 4 4" xfId="1731" xr:uid="{00000000-0005-0000-0000-0000F2060000}"/>
    <cellStyle name="20% - Accent1 4 3 5" xfId="1732" xr:uid="{00000000-0005-0000-0000-0000F3060000}"/>
    <cellStyle name="20% - Accent1 4 3 5 2" xfId="1733" xr:uid="{00000000-0005-0000-0000-0000F4060000}"/>
    <cellStyle name="20% - Accent1 4 3 5 2 2" xfId="1734" xr:uid="{00000000-0005-0000-0000-0000F5060000}"/>
    <cellStyle name="20% - Accent1 4 3 5 3" xfId="1735" xr:uid="{00000000-0005-0000-0000-0000F6060000}"/>
    <cellStyle name="20% - Accent1 4 3 6" xfId="1736" xr:uid="{00000000-0005-0000-0000-0000F7060000}"/>
    <cellStyle name="20% - Accent1 4 3 6 2" xfId="1737" xr:uid="{00000000-0005-0000-0000-0000F8060000}"/>
    <cellStyle name="20% - Accent1 4 3 7" xfId="1738" xr:uid="{00000000-0005-0000-0000-0000F9060000}"/>
    <cellStyle name="20% - Accent1 4 4" xfId="1739" xr:uid="{00000000-0005-0000-0000-0000FA060000}"/>
    <cellStyle name="20% - Accent1 4 4 2" xfId="1740" xr:uid="{00000000-0005-0000-0000-0000FB060000}"/>
    <cellStyle name="20% - Accent1 4 4 2 2" xfId="1741" xr:uid="{00000000-0005-0000-0000-0000FC060000}"/>
    <cellStyle name="20% - Accent1 4 4 2 2 2" xfId="1742" xr:uid="{00000000-0005-0000-0000-0000FD060000}"/>
    <cellStyle name="20% - Accent1 4 4 2 2 2 2" xfId="1743" xr:uid="{00000000-0005-0000-0000-0000FE060000}"/>
    <cellStyle name="20% - Accent1 4 4 2 2 2 2 2" xfId="1744" xr:uid="{00000000-0005-0000-0000-0000FF060000}"/>
    <cellStyle name="20% - Accent1 4 4 2 2 2 3" xfId="1745" xr:uid="{00000000-0005-0000-0000-000000070000}"/>
    <cellStyle name="20% - Accent1 4 4 2 2 3" xfId="1746" xr:uid="{00000000-0005-0000-0000-000001070000}"/>
    <cellStyle name="20% - Accent1 4 4 2 2 3 2" xfId="1747" xr:uid="{00000000-0005-0000-0000-000002070000}"/>
    <cellStyle name="20% - Accent1 4 4 2 2 4" xfId="1748" xr:uid="{00000000-0005-0000-0000-000003070000}"/>
    <cellStyle name="20% - Accent1 4 4 2 3" xfId="1749" xr:uid="{00000000-0005-0000-0000-000004070000}"/>
    <cellStyle name="20% - Accent1 4 4 2 3 2" xfId="1750" xr:uid="{00000000-0005-0000-0000-000005070000}"/>
    <cellStyle name="20% - Accent1 4 4 2 3 2 2" xfId="1751" xr:uid="{00000000-0005-0000-0000-000006070000}"/>
    <cellStyle name="20% - Accent1 4 4 2 3 3" xfId="1752" xr:uid="{00000000-0005-0000-0000-000007070000}"/>
    <cellStyle name="20% - Accent1 4 4 2 4" xfId="1753" xr:uid="{00000000-0005-0000-0000-000008070000}"/>
    <cellStyle name="20% - Accent1 4 4 2 4 2" xfId="1754" xr:uid="{00000000-0005-0000-0000-000009070000}"/>
    <cellStyle name="20% - Accent1 4 4 2 5" xfId="1755" xr:uid="{00000000-0005-0000-0000-00000A070000}"/>
    <cellStyle name="20% - Accent1 4 4 3" xfId="1756" xr:uid="{00000000-0005-0000-0000-00000B070000}"/>
    <cellStyle name="20% - Accent1 4 4 3 2" xfId="1757" xr:uid="{00000000-0005-0000-0000-00000C070000}"/>
    <cellStyle name="20% - Accent1 4 4 3 2 2" xfId="1758" xr:uid="{00000000-0005-0000-0000-00000D070000}"/>
    <cellStyle name="20% - Accent1 4 4 3 2 2 2" xfId="1759" xr:uid="{00000000-0005-0000-0000-00000E070000}"/>
    <cellStyle name="20% - Accent1 4 4 3 2 3" xfId="1760" xr:uid="{00000000-0005-0000-0000-00000F070000}"/>
    <cellStyle name="20% - Accent1 4 4 3 3" xfId="1761" xr:uid="{00000000-0005-0000-0000-000010070000}"/>
    <cellStyle name="20% - Accent1 4 4 3 3 2" xfId="1762" xr:uid="{00000000-0005-0000-0000-000011070000}"/>
    <cellStyle name="20% - Accent1 4 4 3 4" xfId="1763" xr:uid="{00000000-0005-0000-0000-000012070000}"/>
    <cellStyle name="20% - Accent1 4 4 4" xfId="1764" xr:uid="{00000000-0005-0000-0000-000013070000}"/>
    <cellStyle name="20% - Accent1 4 4 4 2" xfId="1765" xr:uid="{00000000-0005-0000-0000-000014070000}"/>
    <cellStyle name="20% - Accent1 4 4 4 2 2" xfId="1766" xr:uid="{00000000-0005-0000-0000-000015070000}"/>
    <cellStyle name="20% - Accent1 4 4 4 3" xfId="1767" xr:uid="{00000000-0005-0000-0000-000016070000}"/>
    <cellStyle name="20% - Accent1 4 4 5" xfId="1768" xr:uid="{00000000-0005-0000-0000-000017070000}"/>
    <cellStyle name="20% - Accent1 4 4 5 2" xfId="1769" xr:uid="{00000000-0005-0000-0000-000018070000}"/>
    <cellStyle name="20% - Accent1 4 4 6" xfId="1770" xr:uid="{00000000-0005-0000-0000-000019070000}"/>
    <cellStyle name="20% - Accent1 4 5" xfId="1771" xr:uid="{00000000-0005-0000-0000-00001A070000}"/>
    <cellStyle name="20% - Accent1 4 5 2" xfId="1772" xr:uid="{00000000-0005-0000-0000-00001B070000}"/>
    <cellStyle name="20% - Accent1 4 5 2 2" xfId="1773" xr:uid="{00000000-0005-0000-0000-00001C070000}"/>
    <cellStyle name="20% - Accent1 4 5 2 2 2" xfId="1774" xr:uid="{00000000-0005-0000-0000-00001D070000}"/>
    <cellStyle name="20% - Accent1 4 5 2 2 2 2" xfId="1775" xr:uid="{00000000-0005-0000-0000-00001E070000}"/>
    <cellStyle name="20% - Accent1 4 5 2 2 3" xfId="1776" xr:uid="{00000000-0005-0000-0000-00001F070000}"/>
    <cellStyle name="20% - Accent1 4 5 2 3" xfId="1777" xr:uid="{00000000-0005-0000-0000-000020070000}"/>
    <cellStyle name="20% - Accent1 4 5 2 3 2" xfId="1778" xr:uid="{00000000-0005-0000-0000-000021070000}"/>
    <cellStyle name="20% - Accent1 4 5 2 4" xfId="1779" xr:uid="{00000000-0005-0000-0000-000022070000}"/>
    <cellStyle name="20% - Accent1 4 5 3" xfId="1780" xr:uid="{00000000-0005-0000-0000-000023070000}"/>
    <cellStyle name="20% - Accent1 4 5 3 2" xfId="1781" xr:uid="{00000000-0005-0000-0000-000024070000}"/>
    <cellStyle name="20% - Accent1 4 5 3 2 2" xfId="1782" xr:uid="{00000000-0005-0000-0000-000025070000}"/>
    <cellStyle name="20% - Accent1 4 5 3 3" xfId="1783" xr:uid="{00000000-0005-0000-0000-000026070000}"/>
    <cellStyle name="20% - Accent1 4 5 4" xfId="1784" xr:uid="{00000000-0005-0000-0000-000027070000}"/>
    <cellStyle name="20% - Accent1 4 5 4 2" xfId="1785" xr:uid="{00000000-0005-0000-0000-000028070000}"/>
    <cellStyle name="20% - Accent1 4 5 5" xfId="1786" xr:uid="{00000000-0005-0000-0000-000029070000}"/>
    <cellStyle name="20% - Accent1 4 6" xfId="1787" xr:uid="{00000000-0005-0000-0000-00002A070000}"/>
    <cellStyle name="20% - Accent1 4 6 2" xfId="1788" xr:uid="{00000000-0005-0000-0000-00002B070000}"/>
    <cellStyle name="20% - Accent1 4 6 2 2" xfId="1789" xr:uid="{00000000-0005-0000-0000-00002C070000}"/>
    <cellStyle name="20% - Accent1 4 6 2 2 2" xfId="1790" xr:uid="{00000000-0005-0000-0000-00002D070000}"/>
    <cellStyle name="20% - Accent1 4 6 2 3" xfId="1791" xr:uid="{00000000-0005-0000-0000-00002E070000}"/>
    <cellStyle name="20% - Accent1 4 6 3" xfId="1792" xr:uid="{00000000-0005-0000-0000-00002F070000}"/>
    <cellStyle name="20% - Accent1 4 6 3 2" xfId="1793" xr:uid="{00000000-0005-0000-0000-000030070000}"/>
    <cellStyle name="20% - Accent1 4 6 4" xfId="1794" xr:uid="{00000000-0005-0000-0000-000031070000}"/>
    <cellStyle name="20% - Accent1 4 7" xfId="1795" xr:uid="{00000000-0005-0000-0000-000032070000}"/>
    <cellStyle name="20% - Accent1 4 7 2" xfId="1796" xr:uid="{00000000-0005-0000-0000-000033070000}"/>
    <cellStyle name="20% - Accent1 4 7 2 2" xfId="1797" xr:uid="{00000000-0005-0000-0000-000034070000}"/>
    <cellStyle name="20% - Accent1 4 7 3" xfId="1798" xr:uid="{00000000-0005-0000-0000-000035070000}"/>
    <cellStyle name="20% - Accent1 4 8" xfId="1799" xr:uid="{00000000-0005-0000-0000-000036070000}"/>
    <cellStyle name="20% - Accent1 4 8 2" xfId="1800" xr:uid="{00000000-0005-0000-0000-000037070000}"/>
    <cellStyle name="20% - Accent1 4 9" xfId="1801" xr:uid="{00000000-0005-0000-0000-000038070000}"/>
    <cellStyle name="20% - Accent1 5" xfId="1802" xr:uid="{00000000-0005-0000-0000-000039070000}"/>
    <cellStyle name="20% - Accent1 5 2" xfId="1803" xr:uid="{00000000-0005-0000-0000-00003A070000}"/>
    <cellStyle name="20% - Accent1 5 2 2" xfId="1804" xr:uid="{00000000-0005-0000-0000-00003B070000}"/>
    <cellStyle name="20% - Accent1 5 2 2 2" xfId="1805" xr:uid="{00000000-0005-0000-0000-00003C070000}"/>
    <cellStyle name="20% - Accent1 5 2 2 2 2" xfId="1806" xr:uid="{00000000-0005-0000-0000-00003D070000}"/>
    <cellStyle name="20% - Accent1 5 2 2 2 2 2" xfId="1807" xr:uid="{00000000-0005-0000-0000-00003E070000}"/>
    <cellStyle name="20% - Accent1 5 2 2 2 2 2 2" xfId="1808" xr:uid="{00000000-0005-0000-0000-00003F070000}"/>
    <cellStyle name="20% - Accent1 5 2 2 2 2 2 2 2" xfId="1809" xr:uid="{00000000-0005-0000-0000-000040070000}"/>
    <cellStyle name="20% - Accent1 5 2 2 2 2 2 3" xfId="1810" xr:uid="{00000000-0005-0000-0000-000041070000}"/>
    <cellStyle name="20% - Accent1 5 2 2 2 2 3" xfId="1811" xr:uid="{00000000-0005-0000-0000-000042070000}"/>
    <cellStyle name="20% - Accent1 5 2 2 2 2 3 2" xfId="1812" xr:uid="{00000000-0005-0000-0000-000043070000}"/>
    <cellStyle name="20% - Accent1 5 2 2 2 2 4" xfId="1813" xr:uid="{00000000-0005-0000-0000-000044070000}"/>
    <cellStyle name="20% - Accent1 5 2 2 2 3" xfId="1814" xr:uid="{00000000-0005-0000-0000-000045070000}"/>
    <cellStyle name="20% - Accent1 5 2 2 2 3 2" xfId="1815" xr:uid="{00000000-0005-0000-0000-000046070000}"/>
    <cellStyle name="20% - Accent1 5 2 2 2 3 2 2" xfId="1816" xr:uid="{00000000-0005-0000-0000-000047070000}"/>
    <cellStyle name="20% - Accent1 5 2 2 2 3 3" xfId="1817" xr:uid="{00000000-0005-0000-0000-000048070000}"/>
    <cellStyle name="20% - Accent1 5 2 2 2 4" xfId="1818" xr:uid="{00000000-0005-0000-0000-000049070000}"/>
    <cellStyle name="20% - Accent1 5 2 2 2 4 2" xfId="1819" xr:uid="{00000000-0005-0000-0000-00004A070000}"/>
    <cellStyle name="20% - Accent1 5 2 2 2 5" xfId="1820" xr:uid="{00000000-0005-0000-0000-00004B070000}"/>
    <cellStyle name="20% - Accent1 5 2 2 3" xfId="1821" xr:uid="{00000000-0005-0000-0000-00004C070000}"/>
    <cellStyle name="20% - Accent1 5 2 2 3 2" xfId="1822" xr:uid="{00000000-0005-0000-0000-00004D070000}"/>
    <cellStyle name="20% - Accent1 5 2 2 3 2 2" xfId="1823" xr:uid="{00000000-0005-0000-0000-00004E070000}"/>
    <cellStyle name="20% - Accent1 5 2 2 3 2 2 2" xfId="1824" xr:uid="{00000000-0005-0000-0000-00004F070000}"/>
    <cellStyle name="20% - Accent1 5 2 2 3 2 3" xfId="1825" xr:uid="{00000000-0005-0000-0000-000050070000}"/>
    <cellStyle name="20% - Accent1 5 2 2 3 3" xfId="1826" xr:uid="{00000000-0005-0000-0000-000051070000}"/>
    <cellStyle name="20% - Accent1 5 2 2 3 3 2" xfId="1827" xr:uid="{00000000-0005-0000-0000-000052070000}"/>
    <cellStyle name="20% - Accent1 5 2 2 3 4" xfId="1828" xr:uid="{00000000-0005-0000-0000-000053070000}"/>
    <cellStyle name="20% - Accent1 5 2 2 4" xfId="1829" xr:uid="{00000000-0005-0000-0000-000054070000}"/>
    <cellStyle name="20% - Accent1 5 2 2 4 2" xfId="1830" xr:uid="{00000000-0005-0000-0000-000055070000}"/>
    <cellStyle name="20% - Accent1 5 2 2 4 2 2" xfId="1831" xr:uid="{00000000-0005-0000-0000-000056070000}"/>
    <cellStyle name="20% - Accent1 5 2 2 4 3" xfId="1832" xr:uid="{00000000-0005-0000-0000-000057070000}"/>
    <cellStyle name="20% - Accent1 5 2 2 5" xfId="1833" xr:uid="{00000000-0005-0000-0000-000058070000}"/>
    <cellStyle name="20% - Accent1 5 2 2 5 2" xfId="1834" xr:uid="{00000000-0005-0000-0000-000059070000}"/>
    <cellStyle name="20% - Accent1 5 2 2 6" xfId="1835" xr:uid="{00000000-0005-0000-0000-00005A070000}"/>
    <cellStyle name="20% - Accent1 5 2 3" xfId="1836" xr:uid="{00000000-0005-0000-0000-00005B070000}"/>
    <cellStyle name="20% - Accent1 5 2 3 2" xfId="1837" xr:uid="{00000000-0005-0000-0000-00005C070000}"/>
    <cellStyle name="20% - Accent1 5 2 3 2 2" xfId="1838" xr:uid="{00000000-0005-0000-0000-00005D070000}"/>
    <cellStyle name="20% - Accent1 5 2 3 2 2 2" xfId="1839" xr:uid="{00000000-0005-0000-0000-00005E070000}"/>
    <cellStyle name="20% - Accent1 5 2 3 2 2 2 2" xfId="1840" xr:uid="{00000000-0005-0000-0000-00005F070000}"/>
    <cellStyle name="20% - Accent1 5 2 3 2 2 3" xfId="1841" xr:uid="{00000000-0005-0000-0000-000060070000}"/>
    <cellStyle name="20% - Accent1 5 2 3 2 3" xfId="1842" xr:uid="{00000000-0005-0000-0000-000061070000}"/>
    <cellStyle name="20% - Accent1 5 2 3 2 3 2" xfId="1843" xr:uid="{00000000-0005-0000-0000-000062070000}"/>
    <cellStyle name="20% - Accent1 5 2 3 2 4" xfId="1844" xr:uid="{00000000-0005-0000-0000-000063070000}"/>
    <cellStyle name="20% - Accent1 5 2 3 3" xfId="1845" xr:uid="{00000000-0005-0000-0000-000064070000}"/>
    <cellStyle name="20% - Accent1 5 2 3 3 2" xfId="1846" xr:uid="{00000000-0005-0000-0000-000065070000}"/>
    <cellStyle name="20% - Accent1 5 2 3 3 2 2" xfId="1847" xr:uid="{00000000-0005-0000-0000-000066070000}"/>
    <cellStyle name="20% - Accent1 5 2 3 3 3" xfId="1848" xr:uid="{00000000-0005-0000-0000-000067070000}"/>
    <cellStyle name="20% - Accent1 5 2 3 4" xfId="1849" xr:uid="{00000000-0005-0000-0000-000068070000}"/>
    <cellStyle name="20% - Accent1 5 2 3 4 2" xfId="1850" xr:uid="{00000000-0005-0000-0000-000069070000}"/>
    <cellStyle name="20% - Accent1 5 2 3 5" xfId="1851" xr:uid="{00000000-0005-0000-0000-00006A070000}"/>
    <cellStyle name="20% - Accent1 5 2 4" xfId="1852" xr:uid="{00000000-0005-0000-0000-00006B070000}"/>
    <cellStyle name="20% - Accent1 5 2 4 2" xfId="1853" xr:uid="{00000000-0005-0000-0000-00006C070000}"/>
    <cellStyle name="20% - Accent1 5 2 4 2 2" xfId="1854" xr:uid="{00000000-0005-0000-0000-00006D070000}"/>
    <cellStyle name="20% - Accent1 5 2 4 2 2 2" xfId="1855" xr:uid="{00000000-0005-0000-0000-00006E070000}"/>
    <cellStyle name="20% - Accent1 5 2 4 2 3" xfId="1856" xr:uid="{00000000-0005-0000-0000-00006F070000}"/>
    <cellStyle name="20% - Accent1 5 2 4 3" xfId="1857" xr:uid="{00000000-0005-0000-0000-000070070000}"/>
    <cellStyle name="20% - Accent1 5 2 4 3 2" xfId="1858" xr:uid="{00000000-0005-0000-0000-000071070000}"/>
    <cellStyle name="20% - Accent1 5 2 4 4" xfId="1859" xr:uid="{00000000-0005-0000-0000-000072070000}"/>
    <cellStyle name="20% - Accent1 5 2 5" xfId="1860" xr:uid="{00000000-0005-0000-0000-000073070000}"/>
    <cellStyle name="20% - Accent1 5 2 5 2" xfId="1861" xr:uid="{00000000-0005-0000-0000-000074070000}"/>
    <cellStyle name="20% - Accent1 5 2 5 2 2" xfId="1862" xr:uid="{00000000-0005-0000-0000-000075070000}"/>
    <cellStyle name="20% - Accent1 5 2 5 3" xfId="1863" xr:uid="{00000000-0005-0000-0000-000076070000}"/>
    <cellStyle name="20% - Accent1 5 2 6" xfId="1864" xr:uid="{00000000-0005-0000-0000-000077070000}"/>
    <cellStyle name="20% - Accent1 5 2 6 2" xfId="1865" xr:uid="{00000000-0005-0000-0000-000078070000}"/>
    <cellStyle name="20% - Accent1 5 2 7" xfId="1866" xr:uid="{00000000-0005-0000-0000-000079070000}"/>
    <cellStyle name="20% - Accent1 5 3" xfId="1867" xr:uid="{00000000-0005-0000-0000-00007A070000}"/>
    <cellStyle name="20% - Accent1 5 3 2" xfId="1868" xr:uid="{00000000-0005-0000-0000-00007B070000}"/>
    <cellStyle name="20% - Accent1 5 3 2 2" xfId="1869" xr:uid="{00000000-0005-0000-0000-00007C070000}"/>
    <cellStyle name="20% - Accent1 5 3 2 2 2" xfId="1870" xr:uid="{00000000-0005-0000-0000-00007D070000}"/>
    <cellStyle name="20% - Accent1 5 3 2 2 2 2" xfId="1871" xr:uid="{00000000-0005-0000-0000-00007E070000}"/>
    <cellStyle name="20% - Accent1 5 3 2 2 2 2 2" xfId="1872" xr:uid="{00000000-0005-0000-0000-00007F070000}"/>
    <cellStyle name="20% - Accent1 5 3 2 2 2 3" xfId="1873" xr:uid="{00000000-0005-0000-0000-000080070000}"/>
    <cellStyle name="20% - Accent1 5 3 2 2 3" xfId="1874" xr:uid="{00000000-0005-0000-0000-000081070000}"/>
    <cellStyle name="20% - Accent1 5 3 2 2 3 2" xfId="1875" xr:uid="{00000000-0005-0000-0000-000082070000}"/>
    <cellStyle name="20% - Accent1 5 3 2 2 4" xfId="1876" xr:uid="{00000000-0005-0000-0000-000083070000}"/>
    <cellStyle name="20% - Accent1 5 3 2 3" xfId="1877" xr:uid="{00000000-0005-0000-0000-000084070000}"/>
    <cellStyle name="20% - Accent1 5 3 2 3 2" xfId="1878" xr:uid="{00000000-0005-0000-0000-000085070000}"/>
    <cellStyle name="20% - Accent1 5 3 2 3 2 2" xfId="1879" xr:uid="{00000000-0005-0000-0000-000086070000}"/>
    <cellStyle name="20% - Accent1 5 3 2 3 3" xfId="1880" xr:uid="{00000000-0005-0000-0000-000087070000}"/>
    <cellStyle name="20% - Accent1 5 3 2 4" xfId="1881" xr:uid="{00000000-0005-0000-0000-000088070000}"/>
    <cellStyle name="20% - Accent1 5 3 2 4 2" xfId="1882" xr:uid="{00000000-0005-0000-0000-000089070000}"/>
    <cellStyle name="20% - Accent1 5 3 2 5" xfId="1883" xr:uid="{00000000-0005-0000-0000-00008A070000}"/>
    <cellStyle name="20% - Accent1 5 3 3" xfId="1884" xr:uid="{00000000-0005-0000-0000-00008B070000}"/>
    <cellStyle name="20% - Accent1 5 3 3 2" xfId="1885" xr:uid="{00000000-0005-0000-0000-00008C070000}"/>
    <cellStyle name="20% - Accent1 5 3 3 2 2" xfId="1886" xr:uid="{00000000-0005-0000-0000-00008D070000}"/>
    <cellStyle name="20% - Accent1 5 3 3 2 2 2" xfId="1887" xr:uid="{00000000-0005-0000-0000-00008E070000}"/>
    <cellStyle name="20% - Accent1 5 3 3 2 3" xfId="1888" xr:uid="{00000000-0005-0000-0000-00008F070000}"/>
    <cellStyle name="20% - Accent1 5 3 3 3" xfId="1889" xr:uid="{00000000-0005-0000-0000-000090070000}"/>
    <cellStyle name="20% - Accent1 5 3 3 3 2" xfId="1890" xr:uid="{00000000-0005-0000-0000-000091070000}"/>
    <cellStyle name="20% - Accent1 5 3 3 4" xfId="1891" xr:uid="{00000000-0005-0000-0000-000092070000}"/>
    <cellStyle name="20% - Accent1 5 3 4" xfId="1892" xr:uid="{00000000-0005-0000-0000-000093070000}"/>
    <cellStyle name="20% - Accent1 5 3 4 2" xfId="1893" xr:uid="{00000000-0005-0000-0000-000094070000}"/>
    <cellStyle name="20% - Accent1 5 3 4 2 2" xfId="1894" xr:uid="{00000000-0005-0000-0000-000095070000}"/>
    <cellStyle name="20% - Accent1 5 3 4 3" xfId="1895" xr:uid="{00000000-0005-0000-0000-000096070000}"/>
    <cellStyle name="20% - Accent1 5 3 5" xfId="1896" xr:uid="{00000000-0005-0000-0000-000097070000}"/>
    <cellStyle name="20% - Accent1 5 3 5 2" xfId="1897" xr:uid="{00000000-0005-0000-0000-000098070000}"/>
    <cellStyle name="20% - Accent1 5 3 6" xfId="1898" xr:uid="{00000000-0005-0000-0000-000099070000}"/>
    <cellStyle name="20% - Accent1 5 4" xfId="1899" xr:uid="{00000000-0005-0000-0000-00009A070000}"/>
    <cellStyle name="20% - Accent1 5 4 2" xfId="1900" xr:uid="{00000000-0005-0000-0000-00009B070000}"/>
    <cellStyle name="20% - Accent1 5 4 2 2" xfId="1901" xr:uid="{00000000-0005-0000-0000-00009C070000}"/>
    <cellStyle name="20% - Accent1 5 4 2 2 2" xfId="1902" xr:uid="{00000000-0005-0000-0000-00009D070000}"/>
    <cellStyle name="20% - Accent1 5 4 2 2 2 2" xfId="1903" xr:uid="{00000000-0005-0000-0000-00009E070000}"/>
    <cellStyle name="20% - Accent1 5 4 2 2 3" xfId="1904" xr:uid="{00000000-0005-0000-0000-00009F070000}"/>
    <cellStyle name="20% - Accent1 5 4 2 3" xfId="1905" xr:uid="{00000000-0005-0000-0000-0000A0070000}"/>
    <cellStyle name="20% - Accent1 5 4 2 3 2" xfId="1906" xr:uid="{00000000-0005-0000-0000-0000A1070000}"/>
    <cellStyle name="20% - Accent1 5 4 2 4" xfId="1907" xr:uid="{00000000-0005-0000-0000-0000A2070000}"/>
    <cellStyle name="20% - Accent1 5 4 3" xfId="1908" xr:uid="{00000000-0005-0000-0000-0000A3070000}"/>
    <cellStyle name="20% - Accent1 5 4 3 2" xfId="1909" xr:uid="{00000000-0005-0000-0000-0000A4070000}"/>
    <cellStyle name="20% - Accent1 5 4 3 2 2" xfId="1910" xr:uid="{00000000-0005-0000-0000-0000A5070000}"/>
    <cellStyle name="20% - Accent1 5 4 3 3" xfId="1911" xr:uid="{00000000-0005-0000-0000-0000A6070000}"/>
    <cellStyle name="20% - Accent1 5 4 4" xfId="1912" xr:uid="{00000000-0005-0000-0000-0000A7070000}"/>
    <cellStyle name="20% - Accent1 5 4 4 2" xfId="1913" xr:uid="{00000000-0005-0000-0000-0000A8070000}"/>
    <cellStyle name="20% - Accent1 5 4 5" xfId="1914" xr:uid="{00000000-0005-0000-0000-0000A9070000}"/>
    <cellStyle name="20% - Accent1 5 5" xfId="1915" xr:uid="{00000000-0005-0000-0000-0000AA070000}"/>
    <cellStyle name="20% - Accent1 5 5 2" xfId="1916" xr:uid="{00000000-0005-0000-0000-0000AB070000}"/>
    <cellStyle name="20% - Accent1 5 5 2 2" xfId="1917" xr:uid="{00000000-0005-0000-0000-0000AC070000}"/>
    <cellStyle name="20% - Accent1 5 5 2 2 2" xfId="1918" xr:uid="{00000000-0005-0000-0000-0000AD070000}"/>
    <cellStyle name="20% - Accent1 5 5 2 3" xfId="1919" xr:uid="{00000000-0005-0000-0000-0000AE070000}"/>
    <cellStyle name="20% - Accent1 5 5 3" xfId="1920" xr:uid="{00000000-0005-0000-0000-0000AF070000}"/>
    <cellStyle name="20% - Accent1 5 5 3 2" xfId="1921" xr:uid="{00000000-0005-0000-0000-0000B0070000}"/>
    <cellStyle name="20% - Accent1 5 5 4" xfId="1922" xr:uid="{00000000-0005-0000-0000-0000B1070000}"/>
    <cellStyle name="20% - Accent1 5 6" xfId="1923" xr:uid="{00000000-0005-0000-0000-0000B2070000}"/>
    <cellStyle name="20% - Accent1 5 6 2" xfId="1924" xr:uid="{00000000-0005-0000-0000-0000B3070000}"/>
    <cellStyle name="20% - Accent1 5 6 2 2" xfId="1925" xr:uid="{00000000-0005-0000-0000-0000B4070000}"/>
    <cellStyle name="20% - Accent1 5 6 3" xfId="1926" xr:uid="{00000000-0005-0000-0000-0000B5070000}"/>
    <cellStyle name="20% - Accent1 5 7" xfId="1927" xr:uid="{00000000-0005-0000-0000-0000B6070000}"/>
    <cellStyle name="20% - Accent1 5 7 2" xfId="1928" xr:uid="{00000000-0005-0000-0000-0000B7070000}"/>
    <cellStyle name="20% - Accent1 5 8" xfId="1929" xr:uid="{00000000-0005-0000-0000-0000B8070000}"/>
    <cellStyle name="20% - Accent1 6" xfId="1930" xr:uid="{00000000-0005-0000-0000-0000B9070000}"/>
    <cellStyle name="20% - Accent1 6 2" xfId="1931" xr:uid="{00000000-0005-0000-0000-0000BA070000}"/>
    <cellStyle name="20% - Accent1 6 2 2" xfId="1932" xr:uid="{00000000-0005-0000-0000-0000BB070000}"/>
    <cellStyle name="20% - Accent1 6 2 2 2" xfId="1933" xr:uid="{00000000-0005-0000-0000-0000BC070000}"/>
    <cellStyle name="20% - Accent1 6 2 2 2 2" xfId="1934" xr:uid="{00000000-0005-0000-0000-0000BD070000}"/>
    <cellStyle name="20% - Accent1 6 2 2 2 2 2" xfId="1935" xr:uid="{00000000-0005-0000-0000-0000BE070000}"/>
    <cellStyle name="20% - Accent1 6 2 2 2 2 2 2" xfId="1936" xr:uid="{00000000-0005-0000-0000-0000BF070000}"/>
    <cellStyle name="20% - Accent1 6 2 2 2 2 3" xfId="1937" xr:uid="{00000000-0005-0000-0000-0000C0070000}"/>
    <cellStyle name="20% - Accent1 6 2 2 2 3" xfId="1938" xr:uid="{00000000-0005-0000-0000-0000C1070000}"/>
    <cellStyle name="20% - Accent1 6 2 2 2 3 2" xfId="1939" xr:uid="{00000000-0005-0000-0000-0000C2070000}"/>
    <cellStyle name="20% - Accent1 6 2 2 2 4" xfId="1940" xr:uid="{00000000-0005-0000-0000-0000C3070000}"/>
    <cellStyle name="20% - Accent1 6 2 2 3" xfId="1941" xr:uid="{00000000-0005-0000-0000-0000C4070000}"/>
    <cellStyle name="20% - Accent1 6 2 2 3 2" xfId="1942" xr:uid="{00000000-0005-0000-0000-0000C5070000}"/>
    <cellStyle name="20% - Accent1 6 2 2 3 2 2" xfId="1943" xr:uid="{00000000-0005-0000-0000-0000C6070000}"/>
    <cellStyle name="20% - Accent1 6 2 2 3 3" xfId="1944" xr:uid="{00000000-0005-0000-0000-0000C7070000}"/>
    <cellStyle name="20% - Accent1 6 2 2 4" xfId="1945" xr:uid="{00000000-0005-0000-0000-0000C8070000}"/>
    <cellStyle name="20% - Accent1 6 2 2 4 2" xfId="1946" xr:uid="{00000000-0005-0000-0000-0000C9070000}"/>
    <cellStyle name="20% - Accent1 6 2 2 5" xfId="1947" xr:uid="{00000000-0005-0000-0000-0000CA070000}"/>
    <cellStyle name="20% - Accent1 6 2 3" xfId="1948" xr:uid="{00000000-0005-0000-0000-0000CB070000}"/>
    <cellStyle name="20% - Accent1 6 2 3 2" xfId="1949" xr:uid="{00000000-0005-0000-0000-0000CC070000}"/>
    <cellStyle name="20% - Accent1 6 2 3 2 2" xfId="1950" xr:uid="{00000000-0005-0000-0000-0000CD070000}"/>
    <cellStyle name="20% - Accent1 6 2 3 2 2 2" xfId="1951" xr:uid="{00000000-0005-0000-0000-0000CE070000}"/>
    <cellStyle name="20% - Accent1 6 2 3 2 3" xfId="1952" xr:uid="{00000000-0005-0000-0000-0000CF070000}"/>
    <cellStyle name="20% - Accent1 6 2 3 3" xfId="1953" xr:uid="{00000000-0005-0000-0000-0000D0070000}"/>
    <cellStyle name="20% - Accent1 6 2 3 3 2" xfId="1954" xr:uid="{00000000-0005-0000-0000-0000D1070000}"/>
    <cellStyle name="20% - Accent1 6 2 3 4" xfId="1955" xr:uid="{00000000-0005-0000-0000-0000D2070000}"/>
    <cellStyle name="20% - Accent1 6 2 4" xfId="1956" xr:uid="{00000000-0005-0000-0000-0000D3070000}"/>
    <cellStyle name="20% - Accent1 6 2 4 2" xfId="1957" xr:uid="{00000000-0005-0000-0000-0000D4070000}"/>
    <cellStyle name="20% - Accent1 6 2 4 2 2" xfId="1958" xr:uid="{00000000-0005-0000-0000-0000D5070000}"/>
    <cellStyle name="20% - Accent1 6 2 4 3" xfId="1959" xr:uid="{00000000-0005-0000-0000-0000D6070000}"/>
    <cellStyle name="20% - Accent1 6 2 5" xfId="1960" xr:uid="{00000000-0005-0000-0000-0000D7070000}"/>
    <cellStyle name="20% - Accent1 6 2 5 2" xfId="1961" xr:uid="{00000000-0005-0000-0000-0000D8070000}"/>
    <cellStyle name="20% - Accent1 6 2 6" xfId="1962" xr:uid="{00000000-0005-0000-0000-0000D9070000}"/>
    <cellStyle name="20% - Accent1 6 3" xfId="1963" xr:uid="{00000000-0005-0000-0000-0000DA070000}"/>
    <cellStyle name="20% - Accent1 6 3 2" xfId="1964" xr:uid="{00000000-0005-0000-0000-0000DB070000}"/>
    <cellStyle name="20% - Accent1 6 3 2 2" xfId="1965" xr:uid="{00000000-0005-0000-0000-0000DC070000}"/>
    <cellStyle name="20% - Accent1 6 3 2 2 2" xfId="1966" xr:uid="{00000000-0005-0000-0000-0000DD070000}"/>
    <cellStyle name="20% - Accent1 6 3 2 2 2 2" xfId="1967" xr:uid="{00000000-0005-0000-0000-0000DE070000}"/>
    <cellStyle name="20% - Accent1 6 3 2 2 3" xfId="1968" xr:uid="{00000000-0005-0000-0000-0000DF070000}"/>
    <cellStyle name="20% - Accent1 6 3 2 3" xfId="1969" xr:uid="{00000000-0005-0000-0000-0000E0070000}"/>
    <cellStyle name="20% - Accent1 6 3 2 3 2" xfId="1970" xr:uid="{00000000-0005-0000-0000-0000E1070000}"/>
    <cellStyle name="20% - Accent1 6 3 2 4" xfId="1971" xr:uid="{00000000-0005-0000-0000-0000E2070000}"/>
    <cellStyle name="20% - Accent1 6 3 3" xfId="1972" xr:uid="{00000000-0005-0000-0000-0000E3070000}"/>
    <cellStyle name="20% - Accent1 6 3 3 2" xfId="1973" xr:uid="{00000000-0005-0000-0000-0000E4070000}"/>
    <cellStyle name="20% - Accent1 6 3 3 2 2" xfId="1974" xr:uid="{00000000-0005-0000-0000-0000E5070000}"/>
    <cellStyle name="20% - Accent1 6 3 3 3" xfId="1975" xr:uid="{00000000-0005-0000-0000-0000E6070000}"/>
    <cellStyle name="20% - Accent1 6 3 4" xfId="1976" xr:uid="{00000000-0005-0000-0000-0000E7070000}"/>
    <cellStyle name="20% - Accent1 6 3 4 2" xfId="1977" xr:uid="{00000000-0005-0000-0000-0000E8070000}"/>
    <cellStyle name="20% - Accent1 6 3 5" xfId="1978" xr:uid="{00000000-0005-0000-0000-0000E9070000}"/>
    <cellStyle name="20% - Accent1 6 4" xfId="1979" xr:uid="{00000000-0005-0000-0000-0000EA070000}"/>
    <cellStyle name="20% - Accent1 6 4 2" xfId="1980" xr:uid="{00000000-0005-0000-0000-0000EB070000}"/>
    <cellStyle name="20% - Accent1 6 4 2 2" xfId="1981" xr:uid="{00000000-0005-0000-0000-0000EC070000}"/>
    <cellStyle name="20% - Accent1 6 4 2 2 2" xfId="1982" xr:uid="{00000000-0005-0000-0000-0000ED070000}"/>
    <cellStyle name="20% - Accent1 6 4 2 3" xfId="1983" xr:uid="{00000000-0005-0000-0000-0000EE070000}"/>
    <cellStyle name="20% - Accent1 6 4 3" xfId="1984" xr:uid="{00000000-0005-0000-0000-0000EF070000}"/>
    <cellStyle name="20% - Accent1 6 4 3 2" xfId="1985" xr:uid="{00000000-0005-0000-0000-0000F0070000}"/>
    <cellStyle name="20% - Accent1 6 4 4" xfId="1986" xr:uid="{00000000-0005-0000-0000-0000F1070000}"/>
    <cellStyle name="20% - Accent1 6 5" xfId="1987" xr:uid="{00000000-0005-0000-0000-0000F2070000}"/>
    <cellStyle name="20% - Accent1 6 5 2" xfId="1988" xr:uid="{00000000-0005-0000-0000-0000F3070000}"/>
    <cellStyle name="20% - Accent1 6 5 2 2" xfId="1989" xr:uid="{00000000-0005-0000-0000-0000F4070000}"/>
    <cellStyle name="20% - Accent1 6 5 3" xfId="1990" xr:uid="{00000000-0005-0000-0000-0000F5070000}"/>
    <cellStyle name="20% - Accent1 6 6" xfId="1991" xr:uid="{00000000-0005-0000-0000-0000F6070000}"/>
    <cellStyle name="20% - Accent1 6 6 2" xfId="1992" xr:uid="{00000000-0005-0000-0000-0000F7070000}"/>
    <cellStyle name="20% - Accent1 6 7" xfId="1993" xr:uid="{00000000-0005-0000-0000-0000F8070000}"/>
    <cellStyle name="20% - Accent1 7" xfId="1994" xr:uid="{00000000-0005-0000-0000-0000F9070000}"/>
    <cellStyle name="20% - Accent1 7 2" xfId="1995" xr:uid="{00000000-0005-0000-0000-0000FA070000}"/>
    <cellStyle name="20% - Accent1 7 2 2" xfId="1996" xr:uid="{00000000-0005-0000-0000-0000FB070000}"/>
    <cellStyle name="20% - Accent1 7 2 2 2" xfId="1997" xr:uid="{00000000-0005-0000-0000-0000FC070000}"/>
    <cellStyle name="20% - Accent1 7 2 2 2 2" xfId="1998" xr:uid="{00000000-0005-0000-0000-0000FD070000}"/>
    <cellStyle name="20% - Accent1 7 2 2 2 2 2" xfId="1999" xr:uid="{00000000-0005-0000-0000-0000FE070000}"/>
    <cellStyle name="20% - Accent1 7 2 2 2 3" xfId="2000" xr:uid="{00000000-0005-0000-0000-0000FF070000}"/>
    <cellStyle name="20% - Accent1 7 2 2 3" xfId="2001" xr:uid="{00000000-0005-0000-0000-000000080000}"/>
    <cellStyle name="20% - Accent1 7 2 2 3 2" xfId="2002" xr:uid="{00000000-0005-0000-0000-000001080000}"/>
    <cellStyle name="20% - Accent1 7 2 2 4" xfId="2003" xr:uid="{00000000-0005-0000-0000-000002080000}"/>
    <cellStyle name="20% - Accent1 7 2 3" xfId="2004" xr:uid="{00000000-0005-0000-0000-000003080000}"/>
    <cellStyle name="20% - Accent1 7 2 3 2" xfId="2005" xr:uid="{00000000-0005-0000-0000-000004080000}"/>
    <cellStyle name="20% - Accent1 7 2 3 2 2" xfId="2006" xr:uid="{00000000-0005-0000-0000-000005080000}"/>
    <cellStyle name="20% - Accent1 7 2 3 3" xfId="2007" xr:uid="{00000000-0005-0000-0000-000006080000}"/>
    <cellStyle name="20% - Accent1 7 2 4" xfId="2008" xr:uid="{00000000-0005-0000-0000-000007080000}"/>
    <cellStyle name="20% - Accent1 7 2 4 2" xfId="2009" xr:uid="{00000000-0005-0000-0000-000008080000}"/>
    <cellStyle name="20% - Accent1 7 2 5" xfId="2010" xr:uid="{00000000-0005-0000-0000-000009080000}"/>
    <cellStyle name="20% - Accent1 7 3" xfId="2011" xr:uid="{00000000-0005-0000-0000-00000A080000}"/>
    <cellStyle name="20% - Accent1 7 3 2" xfId="2012" xr:uid="{00000000-0005-0000-0000-00000B080000}"/>
    <cellStyle name="20% - Accent1 7 3 2 2" xfId="2013" xr:uid="{00000000-0005-0000-0000-00000C080000}"/>
    <cellStyle name="20% - Accent1 7 3 2 2 2" xfId="2014" xr:uid="{00000000-0005-0000-0000-00000D080000}"/>
    <cellStyle name="20% - Accent1 7 3 2 3" xfId="2015" xr:uid="{00000000-0005-0000-0000-00000E080000}"/>
    <cellStyle name="20% - Accent1 7 3 3" xfId="2016" xr:uid="{00000000-0005-0000-0000-00000F080000}"/>
    <cellStyle name="20% - Accent1 7 3 3 2" xfId="2017" xr:uid="{00000000-0005-0000-0000-000010080000}"/>
    <cellStyle name="20% - Accent1 7 3 4" xfId="2018" xr:uid="{00000000-0005-0000-0000-000011080000}"/>
    <cellStyle name="20% - Accent1 7 4" xfId="2019" xr:uid="{00000000-0005-0000-0000-000012080000}"/>
    <cellStyle name="20% - Accent1 7 4 2" xfId="2020" xr:uid="{00000000-0005-0000-0000-000013080000}"/>
    <cellStyle name="20% - Accent1 7 4 2 2" xfId="2021" xr:uid="{00000000-0005-0000-0000-000014080000}"/>
    <cellStyle name="20% - Accent1 7 4 3" xfId="2022" xr:uid="{00000000-0005-0000-0000-000015080000}"/>
    <cellStyle name="20% - Accent1 7 5" xfId="2023" xr:uid="{00000000-0005-0000-0000-000016080000}"/>
    <cellStyle name="20% - Accent1 7 5 2" xfId="2024" xr:uid="{00000000-0005-0000-0000-000017080000}"/>
    <cellStyle name="20% - Accent1 7 6" xfId="2025" xr:uid="{00000000-0005-0000-0000-000018080000}"/>
    <cellStyle name="20% - Accent1 8" xfId="2026" xr:uid="{00000000-0005-0000-0000-000019080000}"/>
    <cellStyle name="20% - Accent1 8 2" xfId="2027" xr:uid="{00000000-0005-0000-0000-00001A080000}"/>
    <cellStyle name="20% - Accent1 8 2 2" xfId="2028" xr:uid="{00000000-0005-0000-0000-00001B080000}"/>
    <cellStyle name="20% - Accent1 8 2 2 2" xfId="2029" xr:uid="{00000000-0005-0000-0000-00001C080000}"/>
    <cellStyle name="20% - Accent1 8 2 2 2 2" xfId="2030" xr:uid="{00000000-0005-0000-0000-00001D080000}"/>
    <cellStyle name="20% - Accent1 8 2 2 3" xfId="2031" xr:uid="{00000000-0005-0000-0000-00001E080000}"/>
    <cellStyle name="20% - Accent1 8 2 3" xfId="2032" xr:uid="{00000000-0005-0000-0000-00001F080000}"/>
    <cellStyle name="20% - Accent1 8 2 3 2" xfId="2033" xr:uid="{00000000-0005-0000-0000-000020080000}"/>
    <cellStyle name="20% - Accent1 8 2 4" xfId="2034" xr:uid="{00000000-0005-0000-0000-000021080000}"/>
    <cellStyle name="20% - Accent1 8 3" xfId="2035" xr:uid="{00000000-0005-0000-0000-000022080000}"/>
    <cellStyle name="20% - Accent1 8 3 2" xfId="2036" xr:uid="{00000000-0005-0000-0000-000023080000}"/>
    <cellStyle name="20% - Accent1 8 3 2 2" xfId="2037" xr:uid="{00000000-0005-0000-0000-000024080000}"/>
    <cellStyle name="20% - Accent1 8 3 3" xfId="2038" xr:uid="{00000000-0005-0000-0000-000025080000}"/>
    <cellStyle name="20% - Accent1 8 4" xfId="2039" xr:uid="{00000000-0005-0000-0000-000026080000}"/>
    <cellStyle name="20% - Accent1 8 4 2" xfId="2040" xr:uid="{00000000-0005-0000-0000-000027080000}"/>
    <cellStyle name="20% - Accent1 8 5" xfId="2041" xr:uid="{00000000-0005-0000-0000-000028080000}"/>
    <cellStyle name="20% - Accent1 9" xfId="2042" xr:uid="{00000000-0005-0000-0000-000029080000}"/>
    <cellStyle name="20% - Accent1 9 2" xfId="2043" xr:uid="{00000000-0005-0000-0000-00002A080000}"/>
    <cellStyle name="20% - Accent1 9 2 2" xfId="2044" xr:uid="{00000000-0005-0000-0000-00002B080000}"/>
    <cellStyle name="20% - Accent1 9 2 2 2" xfId="2045" xr:uid="{00000000-0005-0000-0000-00002C080000}"/>
    <cellStyle name="20% - Accent1 9 2 3" xfId="2046" xr:uid="{00000000-0005-0000-0000-00002D080000}"/>
    <cellStyle name="20% - Accent1 9 3" xfId="2047" xr:uid="{00000000-0005-0000-0000-00002E080000}"/>
    <cellStyle name="20% - Accent1 9 3 2" xfId="2048" xr:uid="{00000000-0005-0000-0000-00002F080000}"/>
    <cellStyle name="20% - Accent1 9 4" xfId="2049" xr:uid="{00000000-0005-0000-0000-000030080000}"/>
    <cellStyle name="20% - Accent2 10" xfId="2050" xr:uid="{00000000-0005-0000-0000-000031080000}"/>
    <cellStyle name="20% - Accent2 10 2" xfId="2051" xr:uid="{00000000-0005-0000-0000-000032080000}"/>
    <cellStyle name="20% - Accent2 10 2 2" xfId="2052" xr:uid="{00000000-0005-0000-0000-000033080000}"/>
    <cellStyle name="20% - Accent2 10 3" xfId="2053" xr:uid="{00000000-0005-0000-0000-000034080000}"/>
    <cellStyle name="20% - Accent2 11" xfId="2054" xr:uid="{00000000-0005-0000-0000-000035080000}"/>
    <cellStyle name="20% - Accent2 11 2" xfId="2055" xr:uid="{00000000-0005-0000-0000-000036080000}"/>
    <cellStyle name="20% - Accent2 12" xfId="2056" xr:uid="{00000000-0005-0000-0000-000037080000}"/>
    <cellStyle name="20% - Accent2 13" xfId="2057" xr:uid="{00000000-0005-0000-0000-000038080000}"/>
    <cellStyle name="20% - Accent2 2" xfId="2058" xr:uid="{00000000-0005-0000-0000-000039080000}"/>
    <cellStyle name="20% - Accent2 2 10" xfId="2059" xr:uid="{00000000-0005-0000-0000-00003A080000}"/>
    <cellStyle name="20% - Accent2 2 10 2" xfId="2060" xr:uid="{00000000-0005-0000-0000-00003B080000}"/>
    <cellStyle name="20% - Accent2 2 11" xfId="2061" xr:uid="{00000000-0005-0000-0000-00003C080000}"/>
    <cellStyle name="20% - Accent2 2 2" xfId="2062" xr:uid="{00000000-0005-0000-0000-00003D080000}"/>
    <cellStyle name="20% - Accent2 2 2 10" xfId="2063" xr:uid="{00000000-0005-0000-0000-00003E080000}"/>
    <cellStyle name="20% - Accent2 2 2 2" xfId="2064" xr:uid="{00000000-0005-0000-0000-00003F080000}"/>
    <cellStyle name="20% - Accent2 2 2 2 2" xfId="2065" xr:uid="{00000000-0005-0000-0000-000040080000}"/>
    <cellStyle name="20% - Accent2 2 2 2 2 2" xfId="2066" xr:uid="{00000000-0005-0000-0000-000041080000}"/>
    <cellStyle name="20% - Accent2 2 2 2 2 2 2" xfId="2067" xr:uid="{00000000-0005-0000-0000-000042080000}"/>
    <cellStyle name="20% - Accent2 2 2 2 2 2 2 2" xfId="2068" xr:uid="{00000000-0005-0000-0000-000043080000}"/>
    <cellStyle name="20% - Accent2 2 2 2 2 2 2 2 2" xfId="2069" xr:uid="{00000000-0005-0000-0000-000044080000}"/>
    <cellStyle name="20% - Accent2 2 2 2 2 2 2 2 2 2" xfId="2070" xr:uid="{00000000-0005-0000-0000-000045080000}"/>
    <cellStyle name="20% - Accent2 2 2 2 2 2 2 2 2 2 2" xfId="2071" xr:uid="{00000000-0005-0000-0000-000046080000}"/>
    <cellStyle name="20% - Accent2 2 2 2 2 2 2 2 2 2 2 2" xfId="2072" xr:uid="{00000000-0005-0000-0000-000047080000}"/>
    <cellStyle name="20% - Accent2 2 2 2 2 2 2 2 2 2 3" xfId="2073" xr:uid="{00000000-0005-0000-0000-000048080000}"/>
    <cellStyle name="20% - Accent2 2 2 2 2 2 2 2 2 3" xfId="2074" xr:uid="{00000000-0005-0000-0000-000049080000}"/>
    <cellStyle name="20% - Accent2 2 2 2 2 2 2 2 2 3 2" xfId="2075" xr:uid="{00000000-0005-0000-0000-00004A080000}"/>
    <cellStyle name="20% - Accent2 2 2 2 2 2 2 2 2 4" xfId="2076" xr:uid="{00000000-0005-0000-0000-00004B080000}"/>
    <cellStyle name="20% - Accent2 2 2 2 2 2 2 2 3" xfId="2077" xr:uid="{00000000-0005-0000-0000-00004C080000}"/>
    <cellStyle name="20% - Accent2 2 2 2 2 2 2 2 3 2" xfId="2078" xr:uid="{00000000-0005-0000-0000-00004D080000}"/>
    <cellStyle name="20% - Accent2 2 2 2 2 2 2 2 3 2 2" xfId="2079" xr:uid="{00000000-0005-0000-0000-00004E080000}"/>
    <cellStyle name="20% - Accent2 2 2 2 2 2 2 2 3 3" xfId="2080" xr:uid="{00000000-0005-0000-0000-00004F080000}"/>
    <cellStyle name="20% - Accent2 2 2 2 2 2 2 2 4" xfId="2081" xr:uid="{00000000-0005-0000-0000-000050080000}"/>
    <cellStyle name="20% - Accent2 2 2 2 2 2 2 2 4 2" xfId="2082" xr:uid="{00000000-0005-0000-0000-000051080000}"/>
    <cellStyle name="20% - Accent2 2 2 2 2 2 2 2 5" xfId="2083" xr:uid="{00000000-0005-0000-0000-000052080000}"/>
    <cellStyle name="20% - Accent2 2 2 2 2 2 2 3" xfId="2084" xr:uid="{00000000-0005-0000-0000-000053080000}"/>
    <cellStyle name="20% - Accent2 2 2 2 2 2 2 3 2" xfId="2085" xr:uid="{00000000-0005-0000-0000-000054080000}"/>
    <cellStyle name="20% - Accent2 2 2 2 2 2 2 3 2 2" xfId="2086" xr:uid="{00000000-0005-0000-0000-000055080000}"/>
    <cellStyle name="20% - Accent2 2 2 2 2 2 2 3 2 2 2" xfId="2087" xr:uid="{00000000-0005-0000-0000-000056080000}"/>
    <cellStyle name="20% - Accent2 2 2 2 2 2 2 3 2 3" xfId="2088" xr:uid="{00000000-0005-0000-0000-000057080000}"/>
    <cellStyle name="20% - Accent2 2 2 2 2 2 2 3 3" xfId="2089" xr:uid="{00000000-0005-0000-0000-000058080000}"/>
    <cellStyle name="20% - Accent2 2 2 2 2 2 2 3 3 2" xfId="2090" xr:uid="{00000000-0005-0000-0000-000059080000}"/>
    <cellStyle name="20% - Accent2 2 2 2 2 2 2 3 4" xfId="2091" xr:uid="{00000000-0005-0000-0000-00005A080000}"/>
    <cellStyle name="20% - Accent2 2 2 2 2 2 2 4" xfId="2092" xr:uid="{00000000-0005-0000-0000-00005B080000}"/>
    <cellStyle name="20% - Accent2 2 2 2 2 2 2 4 2" xfId="2093" xr:uid="{00000000-0005-0000-0000-00005C080000}"/>
    <cellStyle name="20% - Accent2 2 2 2 2 2 2 4 2 2" xfId="2094" xr:uid="{00000000-0005-0000-0000-00005D080000}"/>
    <cellStyle name="20% - Accent2 2 2 2 2 2 2 4 3" xfId="2095" xr:uid="{00000000-0005-0000-0000-00005E080000}"/>
    <cellStyle name="20% - Accent2 2 2 2 2 2 2 5" xfId="2096" xr:uid="{00000000-0005-0000-0000-00005F080000}"/>
    <cellStyle name="20% - Accent2 2 2 2 2 2 2 5 2" xfId="2097" xr:uid="{00000000-0005-0000-0000-000060080000}"/>
    <cellStyle name="20% - Accent2 2 2 2 2 2 2 6" xfId="2098" xr:uid="{00000000-0005-0000-0000-000061080000}"/>
    <cellStyle name="20% - Accent2 2 2 2 2 2 3" xfId="2099" xr:uid="{00000000-0005-0000-0000-000062080000}"/>
    <cellStyle name="20% - Accent2 2 2 2 2 2 3 2" xfId="2100" xr:uid="{00000000-0005-0000-0000-000063080000}"/>
    <cellStyle name="20% - Accent2 2 2 2 2 2 3 2 2" xfId="2101" xr:uid="{00000000-0005-0000-0000-000064080000}"/>
    <cellStyle name="20% - Accent2 2 2 2 2 2 3 2 2 2" xfId="2102" xr:uid="{00000000-0005-0000-0000-000065080000}"/>
    <cellStyle name="20% - Accent2 2 2 2 2 2 3 2 2 2 2" xfId="2103" xr:uid="{00000000-0005-0000-0000-000066080000}"/>
    <cellStyle name="20% - Accent2 2 2 2 2 2 3 2 2 3" xfId="2104" xr:uid="{00000000-0005-0000-0000-000067080000}"/>
    <cellStyle name="20% - Accent2 2 2 2 2 2 3 2 3" xfId="2105" xr:uid="{00000000-0005-0000-0000-000068080000}"/>
    <cellStyle name="20% - Accent2 2 2 2 2 2 3 2 3 2" xfId="2106" xr:uid="{00000000-0005-0000-0000-000069080000}"/>
    <cellStyle name="20% - Accent2 2 2 2 2 2 3 2 4" xfId="2107" xr:uid="{00000000-0005-0000-0000-00006A080000}"/>
    <cellStyle name="20% - Accent2 2 2 2 2 2 3 3" xfId="2108" xr:uid="{00000000-0005-0000-0000-00006B080000}"/>
    <cellStyle name="20% - Accent2 2 2 2 2 2 3 3 2" xfId="2109" xr:uid="{00000000-0005-0000-0000-00006C080000}"/>
    <cellStyle name="20% - Accent2 2 2 2 2 2 3 3 2 2" xfId="2110" xr:uid="{00000000-0005-0000-0000-00006D080000}"/>
    <cellStyle name="20% - Accent2 2 2 2 2 2 3 3 3" xfId="2111" xr:uid="{00000000-0005-0000-0000-00006E080000}"/>
    <cellStyle name="20% - Accent2 2 2 2 2 2 3 4" xfId="2112" xr:uid="{00000000-0005-0000-0000-00006F080000}"/>
    <cellStyle name="20% - Accent2 2 2 2 2 2 3 4 2" xfId="2113" xr:uid="{00000000-0005-0000-0000-000070080000}"/>
    <cellStyle name="20% - Accent2 2 2 2 2 2 3 5" xfId="2114" xr:uid="{00000000-0005-0000-0000-000071080000}"/>
    <cellStyle name="20% - Accent2 2 2 2 2 2 4" xfId="2115" xr:uid="{00000000-0005-0000-0000-000072080000}"/>
    <cellStyle name="20% - Accent2 2 2 2 2 2 4 2" xfId="2116" xr:uid="{00000000-0005-0000-0000-000073080000}"/>
    <cellStyle name="20% - Accent2 2 2 2 2 2 4 2 2" xfId="2117" xr:uid="{00000000-0005-0000-0000-000074080000}"/>
    <cellStyle name="20% - Accent2 2 2 2 2 2 4 2 2 2" xfId="2118" xr:uid="{00000000-0005-0000-0000-000075080000}"/>
    <cellStyle name="20% - Accent2 2 2 2 2 2 4 2 3" xfId="2119" xr:uid="{00000000-0005-0000-0000-000076080000}"/>
    <cellStyle name="20% - Accent2 2 2 2 2 2 4 3" xfId="2120" xr:uid="{00000000-0005-0000-0000-000077080000}"/>
    <cellStyle name="20% - Accent2 2 2 2 2 2 4 3 2" xfId="2121" xr:uid="{00000000-0005-0000-0000-000078080000}"/>
    <cellStyle name="20% - Accent2 2 2 2 2 2 4 4" xfId="2122" xr:uid="{00000000-0005-0000-0000-000079080000}"/>
    <cellStyle name="20% - Accent2 2 2 2 2 2 5" xfId="2123" xr:uid="{00000000-0005-0000-0000-00007A080000}"/>
    <cellStyle name="20% - Accent2 2 2 2 2 2 5 2" xfId="2124" xr:uid="{00000000-0005-0000-0000-00007B080000}"/>
    <cellStyle name="20% - Accent2 2 2 2 2 2 5 2 2" xfId="2125" xr:uid="{00000000-0005-0000-0000-00007C080000}"/>
    <cellStyle name="20% - Accent2 2 2 2 2 2 5 3" xfId="2126" xr:uid="{00000000-0005-0000-0000-00007D080000}"/>
    <cellStyle name="20% - Accent2 2 2 2 2 2 6" xfId="2127" xr:uid="{00000000-0005-0000-0000-00007E080000}"/>
    <cellStyle name="20% - Accent2 2 2 2 2 2 6 2" xfId="2128" xr:uid="{00000000-0005-0000-0000-00007F080000}"/>
    <cellStyle name="20% - Accent2 2 2 2 2 2 7" xfId="2129" xr:uid="{00000000-0005-0000-0000-000080080000}"/>
    <cellStyle name="20% - Accent2 2 2 2 2 3" xfId="2130" xr:uid="{00000000-0005-0000-0000-000081080000}"/>
    <cellStyle name="20% - Accent2 2 2 2 2 3 2" xfId="2131" xr:uid="{00000000-0005-0000-0000-000082080000}"/>
    <cellStyle name="20% - Accent2 2 2 2 2 3 2 2" xfId="2132" xr:uid="{00000000-0005-0000-0000-000083080000}"/>
    <cellStyle name="20% - Accent2 2 2 2 2 3 2 2 2" xfId="2133" xr:uid="{00000000-0005-0000-0000-000084080000}"/>
    <cellStyle name="20% - Accent2 2 2 2 2 3 2 2 2 2" xfId="2134" xr:uid="{00000000-0005-0000-0000-000085080000}"/>
    <cellStyle name="20% - Accent2 2 2 2 2 3 2 2 2 2 2" xfId="2135" xr:uid="{00000000-0005-0000-0000-000086080000}"/>
    <cellStyle name="20% - Accent2 2 2 2 2 3 2 2 2 3" xfId="2136" xr:uid="{00000000-0005-0000-0000-000087080000}"/>
    <cellStyle name="20% - Accent2 2 2 2 2 3 2 2 3" xfId="2137" xr:uid="{00000000-0005-0000-0000-000088080000}"/>
    <cellStyle name="20% - Accent2 2 2 2 2 3 2 2 3 2" xfId="2138" xr:uid="{00000000-0005-0000-0000-000089080000}"/>
    <cellStyle name="20% - Accent2 2 2 2 2 3 2 2 4" xfId="2139" xr:uid="{00000000-0005-0000-0000-00008A080000}"/>
    <cellStyle name="20% - Accent2 2 2 2 2 3 2 3" xfId="2140" xr:uid="{00000000-0005-0000-0000-00008B080000}"/>
    <cellStyle name="20% - Accent2 2 2 2 2 3 2 3 2" xfId="2141" xr:uid="{00000000-0005-0000-0000-00008C080000}"/>
    <cellStyle name="20% - Accent2 2 2 2 2 3 2 3 2 2" xfId="2142" xr:uid="{00000000-0005-0000-0000-00008D080000}"/>
    <cellStyle name="20% - Accent2 2 2 2 2 3 2 3 3" xfId="2143" xr:uid="{00000000-0005-0000-0000-00008E080000}"/>
    <cellStyle name="20% - Accent2 2 2 2 2 3 2 4" xfId="2144" xr:uid="{00000000-0005-0000-0000-00008F080000}"/>
    <cellStyle name="20% - Accent2 2 2 2 2 3 2 4 2" xfId="2145" xr:uid="{00000000-0005-0000-0000-000090080000}"/>
    <cellStyle name="20% - Accent2 2 2 2 2 3 2 5" xfId="2146" xr:uid="{00000000-0005-0000-0000-000091080000}"/>
    <cellStyle name="20% - Accent2 2 2 2 2 3 3" xfId="2147" xr:uid="{00000000-0005-0000-0000-000092080000}"/>
    <cellStyle name="20% - Accent2 2 2 2 2 3 3 2" xfId="2148" xr:uid="{00000000-0005-0000-0000-000093080000}"/>
    <cellStyle name="20% - Accent2 2 2 2 2 3 3 2 2" xfId="2149" xr:uid="{00000000-0005-0000-0000-000094080000}"/>
    <cellStyle name="20% - Accent2 2 2 2 2 3 3 2 2 2" xfId="2150" xr:uid="{00000000-0005-0000-0000-000095080000}"/>
    <cellStyle name="20% - Accent2 2 2 2 2 3 3 2 3" xfId="2151" xr:uid="{00000000-0005-0000-0000-000096080000}"/>
    <cellStyle name="20% - Accent2 2 2 2 2 3 3 3" xfId="2152" xr:uid="{00000000-0005-0000-0000-000097080000}"/>
    <cellStyle name="20% - Accent2 2 2 2 2 3 3 3 2" xfId="2153" xr:uid="{00000000-0005-0000-0000-000098080000}"/>
    <cellStyle name="20% - Accent2 2 2 2 2 3 3 4" xfId="2154" xr:uid="{00000000-0005-0000-0000-000099080000}"/>
    <cellStyle name="20% - Accent2 2 2 2 2 3 4" xfId="2155" xr:uid="{00000000-0005-0000-0000-00009A080000}"/>
    <cellStyle name="20% - Accent2 2 2 2 2 3 4 2" xfId="2156" xr:uid="{00000000-0005-0000-0000-00009B080000}"/>
    <cellStyle name="20% - Accent2 2 2 2 2 3 4 2 2" xfId="2157" xr:uid="{00000000-0005-0000-0000-00009C080000}"/>
    <cellStyle name="20% - Accent2 2 2 2 2 3 4 3" xfId="2158" xr:uid="{00000000-0005-0000-0000-00009D080000}"/>
    <cellStyle name="20% - Accent2 2 2 2 2 3 5" xfId="2159" xr:uid="{00000000-0005-0000-0000-00009E080000}"/>
    <cellStyle name="20% - Accent2 2 2 2 2 3 5 2" xfId="2160" xr:uid="{00000000-0005-0000-0000-00009F080000}"/>
    <cellStyle name="20% - Accent2 2 2 2 2 3 6" xfId="2161" xr:uid="{00000000-0005-0000-0000-0000A0080000}"/>
    <cellStyle name="20% - Accent2 2 2 2 2 4" xfId="2162" xr:uid="{00000000-0005-0000-0000-0000A1080000}"/>
    <cellStyle name="20% - Accent2 2 2 2 2 4 2" xfId="2163" xr:uid="{00000000-0005-0000-0000-0000A2080000}"/>
    <cellStyle name="20% - Accent2 2 2 2 2 4 2 2" xfId="2164" xr:uid="{00000000-0005-0000-0000-0000A3080000}"/>
    <cellStyle name="20% - Accent2 2 2 2 2 4 2 2 2" xfId="2165" xr:uid="{00000000-0005-0000-0000-0000A4080000}"/>
    <cellStyle name="20% - Accent2 2 2 2 2 4 2 2 2 2" xfId="2166" xr:uid="{00000000-0005-0000-0000-0000A5080000}"/>
    <cellStyle name="20% - Accent2 2 2 2 2 4 2 2 3" xfId="2167" xr:uid="{00000000-0005-0000-0000-0000A6080000}"/>
    <cellStyle name="20% - Accent2 2 2 2 2 4 2 3" xfId="2168" xr:uid="{00000000-0005-0000-0000-0000A7080000}"/>
    <cellStyle name="20% - Accent2 2 2 2 2 4 2 3 2" xfId="2169" xr:uid="{00000000-0005-0000-0000-0000A8080000}"/>
    <cellStyle name="20% - Accent2 2 2 2 2 4 2 4" xfId="2170" xr:uid="{00000000-0005-0000-0000-0000A9080000}"/>
    <cellStyle name="20% - Accent2 2 2 2 2 4 3" xfId="2171" xr:uid="{00000000-0005-0000-0000-0000AA080000}"/>
    <cellStyle name="20% - Accent2 2 2 2 2 4 3 2" xfId="2172" xr:uid="{00000000-0005-0000-0000-0000AB080000}"/>
    <cellStyle name="20% - Accent2 2 2 2 2 4 3 2 2" xfId="2173" xr:uid="{00000000-0005-0000-0000-0000AC080000}"/>
    <cellStyle name="20% - Accent2 2 2 2 2 4 3 3" xfId="2174" xr:uid="{00000000-0005-0000-0000-0000AD080000}"/>
    <cellStyle name="20% - Accent2 2 2 2 2 4 4" xfId="2175" xr:uid="{00000000-0005-0000-0000-0000AE080000}"/>
    <cellStyle name="20% - Accent2 2 2 2 2 4 4 2" xfId="2176" xr:uid="{00000000-0005-0000-0000-0000AF080000}"/>
    <cellStyle name="20% - Accent2 2 2 2 2 4 5" xfId="2177" xr:uid="{00000000-0005-0000-0000-0000B0080000}"/>
    <cellStyle name="20% - Accent2 2 2 2 2 5" xfId="2178" xr:uid="{00000000-0005-0000-0000-0000B1080000}"/>
    <cellStyle name="20% - Accent2 2 2 2 2 5 2" xfId="2179" xr:uid="{00000000-0005-0000-0000-0000B2080000}"/>
    <cellStyle name="20% - Accent2 2 2 2 2 5 2 2" xfId="2180" xr:uid="{00000000-0005-0000-0000-0000B3080000}"/>
    <cellStyle name="20% - Accent2 2 2 2 2 5 2 2 2" xfId="2181" xr:uid="{00000000-0005-0000-0000-0000B4080000}"/>
    <cellStyle name="20% - Accent2 2 2 2 2 5 2 3" xfId="2182" xr:uid="{00000000-0005-0000-0000-0000B5080000}"/>
    <cellStyle name="20% - Accent2 2 2 2 2 5 3" xfId="2183" xr:uid="{00000000-0005-0000-0000-0000B6080000}"/>
    <cellStyle name="20% - Accent2 2 2 2 2 5 3 2" xfId="2184" xr:uid="{00000000-0005-0000-0000-0000B7080000}"/>
    <cellStyle name="20% - Accent2 2 2 2 2 5 4" xfId="2185" xr:uid="{00000000-0005-0000-0000-0000B8080000}"/>
    <cellStyle name="20% - Accent2 2 2 2 2 6" xfId="2186" xr:uid="{00000000-0005-0000-0000-0000B9080000}"/>
    <cellStyle name="20% - Accent2 2 2 2 2 6 2" xfId="2187" xr:uid="{00000000-0005-0000-0000-0000BA080000}"/>
    <cellStyle name="20% - Accent2 2 2 2 2 6 2 2" xfId="2188" xr:uid="{00000000-0005-0000-0000-0000BB080000}"/>
    <cellStyle name="20% - Accent2 2 2 2 2 6 3" xfId="2189" xr:uid="{00000000-0005-0000-0000-0000BC080000}"/>
    <cellStyle name="20% - Accent2 2 2 2 2 7" xfId="2190" xr:uid="{00000000-0005-0000-0000-0000BD080000}"/>
    <cellStyle name="20% - Accent2 2 2 2 2 7 2" xfId="2191" xr:uid="{00000000-0005-0000-0000-0000BE080000}"/>
    <cellStyle name="20% - Accent2 2 2 2 2 8" xfId="2192" xr:uid="{00000000-0005-0000-0000-0000BF080000}"/>
    <cellStyle name="20% - Accent2 2 2 2 3" xfId="2193" xr:uid="{00000000-0005-0000-0000-0000C0080000}"/>
    <cellStyle name="20% - Accent2 2 2 2 3 2" xfId="2194" xr:uid="{00000000-0005-0000-0000-0000C1080000}"/>
    <cellStyle name="20% - Accent2 2 2 2 3 2 2" xfId="2195" xr:uid="{00000000-0005-0000-0000-0000C2080000}"/>
    <cellStyle name="20% - Accent2 2 2 2 3 2 2 2" xfId="2196" xr:uid="{00000000-0005-0000-0000-0000C3080000}"/>
    <cellStyle name="20% - Accent2 2 2 2 3 2 2 2 2" xfId="2197" xr:uid="{00000000-0005-0000-0000-0000C4080000}"/>
    <cellStyle name="20% - Accent2 2 2 2 3 2 2 2 2 2" xfId="2198" xr:uid="{00000000-0005-0000-0000-0000C5080000}"/>
    <cellStyle name="20% - Accent2 2 2 2 3 2 2 2 2 2 2" xfId="2199" xr:uid="{00000000-0005-0000-0000-0000C6080000}"/>
    <cellStyle name="20% - Accent2 2 2 2 3 2 2 2 2 3" xfId="2200" xr:uid="{00000000-0005-0000-0000-0000C7080000}"/>
    <cellStyle name="20% - Accent2 2 2 2 3 2 2 2 3" xfId="2201" xr:uid="{00000000-0005-0000-0000-0000C8080000}"/>
    <cellStyle name="20% - Accent2 2 2 2 3 2 2 2 3 2" xfId="2202" xr:uid="{00000000-0005-0000-0000-0000C9080000}"/>
    <cellStyle name="20% - Accent2 2 2 2 3 2 2 2 4" xfId="2203" xr:uid="{00000000-0005-0000-0000-0000CA080000}"/>
    <cellStyle name="20% - Accent2 2 2 2 3 2 2 3" xfId="2204" xr:uid="{00000000-0005-0000-0000-0000CB080000}"/>
    <cellStyle name="20% - Accent2 2 2 2 3 2 2 3 2" xfId="2205" xr:uid="{00000000-0005-0000-0000-0000CC080000}"/>
    <cellStyle name="20% - Accent2 2 2 2 3 2 2 3 2 2" xfId="2206" xr:uid="{00000000-0005-0000-0000-0000CD080000}"/>
    <cellStyle name="20% - Accent2 2 2 2 3 2 2 3 3" xfId="2207" xr:uid="{00000000-0005-0000-0000-0000CE080000}"/>
    <cellStyle name="20% - Accent2 2 2 2 3 2 2 4" xfId="2208" xr:uid="{00000000-0005-0000-0000-0000CF080000}"/>
    <cellStyle name="20% - Accent2 2 2 2 3 2 2 4 2" xfId="2209" xr:uid="{00000000-0005-0000-0000-0000D0080000}"/>
    <cellStyle name="20% - Accent2 2 2 2 3 2 2 5" xfId="2210" xr:uid="{00000000-0005-0000-0000-0000D1080000}"/>
    <cellStyle name="20% - Accent2 2 2 2 3 2 3" xfId="2211" xr:uid="{00000000-0005-0000-0000-0000D2080000}"/>
    <cellStyle name="20% - Accent2 2 2 2 3 2 3 2" xfId="2212" xr:uid="{00000000-0005-0000-0000-0000D3080000}"/>
    <cellStyle name="20% - Accent2 2 2 2 3 2 3 2 2" xfId="2213" xr:uid="{00000000-0005-0000-0000-0000D4080000}"/>
    <cellStyle name="20% - Accent2 2 2 2 3 2 3 2 2 2" xfId="2214" xr:uid="{00000000-0005-0000-0000-0000D5080000}"/>
    <cellStyle name="20% - Accent2 2 2 2 3 2 3 2 3" xfId="2215" xr:uid="{00000000-0005-0000-0000-0000D6080000}"/>
    <cellStyle name="20% - Accent2 2 2 2 3 2 3 3" xfId="2216" xr:uid="{00000000-0005-0000-0000-0000D7080000}"/>
    <cellStyle name="20% - Accent2 2 2 2 3 2 3 3 2" xfId="2217" xr:uid="{00000000-0005-0000-0000-0000D8080000}"/>
    <cellStyle name="20% - Accent2 2 2 2 3 2 3 4" xfId="2218" xr:uid="{00000000-0005-0000-0000-0000D9080000}"/>
    <cellStyle name="20% - Accent2 2 2 2 3 2 4" xfId="2219" xr:uid="{00000000-0005-0000-0000-0000DA080000}"/>
    <cellStyle name="20% - Accent2 2 2 2 3 2 4 2" xfId="2220" xr:uid="{00000000-0005-0000-0000-0000DB080000}"/>
    <cellStyle name="20% - Accent2 2 2 2 3 2 4 2 2" xfId="2221" xr:uid="{00000000-0005-0000-0000-0000DC080000}"/>
    <cellStyle name="20% - Accent2 2 2 2 3 2 4 3" xfId="2222" xr:uid="{00000000-0005-0000-0000-0000DD080000}"/>
    <cellStyle name="20% - Accent2 2 2 2 3 2 5" xfId="2223" xr:uid="{00000000-0005-0000-0000-0000DE080000}"/>
    <cellStyle name="20% - Accent2 2 2 2 3 2 5 2" xfId="2224" xr:uid="{00000000-0005-0000-0000-0000DF080000}"/>
    <cellStyle name="20% - Accent2 2 2 2 3 2 6" xfId="2225" xr:uid="{00000000-0005-0000-0000-0000E0080000}"/>
    <cellStyle name="20% - Accent2 2 2 2 3 3" xfId="2226" xr:uid="{00000000-0005-0000-0000-0000E1080000}"/>
    <cellStyle name="20% - Accent2 2 2 2 3 3 2" xfId="2227" xr:uid="{00000000-0005-0000-0000-0000E2080000}"/>
    <cellStyle name="20% - Accent2 2 2 2 3 3 2 2" xfId="2228" xr:uid="{00000000-0005-0000-0000-0000E3080000}"/>
    <cellStyle name="20% - Accent2 2 2 2 3 3 2 2 2" xfId="2229" xr:uid="{00000000-0005-0000-0000-0000E4080000}"/>
    <cellStyle name="20% - Accent2 2 2 2 3 3 2 2 2 2" xfId="2230" xr:uid="{00000000-0005-0000-0000-0000E5080000}"/>
    <cellStyle name="20% - Accent2 2 2 2 3 3 2 2 3" xfId="2231" xr:uid="{00000000-0005-0000-0000-0000E6080000}"/>
    <cellStyle name="20% - Accent2 2 2 2 3 3 2 3" xfId="2232" xr:uid="{00000000-0005-0000-0000-0000E7080000}"/>
    <cellStyle name="20% - Accent2 2 2 2 3 3 2 3 2" xfId="2233" xr:uid="{00000000-0005-0000-0000-0000E8080000}"/>
    <cellStyle name="20% - Accent2 2 2 2 3 3 2 4" xfId="2234" xr:uid="{00000000-0005-0000-0000-0000E9080000}"/>
    <cellStyle name="20% - Accent2 2 2 2 3 3 3" xfId="2235" xr:uid="{00000000-0005-0000-0000-0000EA080000}"/>
    <cellStyle name="20% - Accent2 2 2 2 3 3 3 2" xfId="2236" xr:uid="{00000000-0005-0000-0000-0000EB080000}"/>
    <cellStyle name="20% - Accent2 2 2 2 3 3 3 2 2" xfId="2237" xr:uid="{00000000-0005-0000-0000-0000EC080000}"/>
    <cellStyle name="20% - Accent2 2 2 2 3 3 3 3" xfId="2238" xr:uid="{00000000-0005-0000-0000-0000ED080000}"/>
    <cellStyle name="20% - Accent2 2 2 2 3 3 4" xfId="2239" xr:uid="{00000000-0005-0000-0000-0000EE080000}"/>
    <cellStyle name="20% - Accent2 2 2 2 3 3 4 2" xfId="2240" xr:uid="{00000000-0005-0000-0000-0000EF080000}"/>
    <cellStyle name="20% - Accent2 2 2 2 3 3 5" xfId="2241" xr:uid="{00000000-0005-0000-0000-0000F0080000}"/>
    <cellStyle name="20% - Accent2 2 2 2 3 4" xfId="2242" xr:uid="{00000000-0005-0000-0000-0000F1080000}"/>
    <cellStyle name="20% - Accent2 2 2 2 3 4 2" xfId="2243" xr:uid="{00000000-0005-0000-0000-0000F2080000}"/>
    <cellStyle name="20% - Accent2 2 2 2 3 4 2 2" xfId="2244" xr:uid="{00000000-0005-0000-0000-0000F3080000}"/>
    <cellStyle name="20% - Accent2 2 2 2 3 4 2 2 2" xfId="2245" xr:uid="{00000000-0005-0000-0000-0000F4080000}"/>
    <cellStyle name="20% - Accent2 2 2 2 3 4 2 3" xfId="2246" xr:uid="{00000000-0005-0000-0000-0000F5080000}"/>
    <cellStyle name="20% - Accent2 2 2 2 3 4 3" xfId="2247" xr:uid="{00000000-0005-0000-0000-0000F6080000}"/>
    <cellStyle name="20% - Accent2 2 2 2 3 4 3 2" xfId="2248" xr:uid="{00000000-0005-0000-0000-0000F7080000}"/>
    <cellStyle name="20% - Accent2 2 2 2 3 4 4" xfId="2249" xr:uid="{00000000-0005-0000-0000-0000F8080000}"/>
    <cellStyle name="20% - Accent2 2 2 2 3 5" xfId="2250" xr:uid="{00000000-0005-0000-0000-0000F9080000}"/>
    <cellStyle name="20% - Accent2 2 2 2 3 5 2" xfId="2251" xr:uid="{00000000-0005-0000-0000-0000FA080000}"/>
    <cellStyle name="20% - Accent2 2 2 2 3 5 2 2" xfId="2252" xr:uid="{00000000-0005-0000-0000-0000FB080000}"/>
    <cellStyle name="20% - Accent2 2 2 2 3 5 3" xfId="2253" xr:uid="{00000000-0005-0000-0000-0000FC080000}"/>
    <cellStyle name="20% - Accent2 2 2 2 3 6" xfId="2254" xr:uid="{00000000-0005-0000-0000-0000FD080000}"/>
    <cellStyle name="20% - Accent2 2 2 2 3 6 2" xfId="2255" xr:uid="{00000000-0005-0000-0000-0000FE080000}"/>
    <cellStyle name="20% - Accent2 2 2 2 3 7" xfId="2256" xr:uid="{00000000-0005-0000-0000-0000FF080000}"/>
    <cellStyle name="20% - Accent2 2 2 2 4" xfId="2257" xr:uid="{00000000-0005-0000-0000-000000090000}"/>
    <cellStyle name="20% - Accent2 2 2 2 4 2" xfId="2258" xr:uid="{00000000-0005-0000-0000-000001090000}"/>
    <cellStyle name="20% - Accent2 2 2 2 4 2 2" xfId="2259" xr:uid="{00000000-0005-0000-0000-000002090000}"/>
    <cellStyle name="20% - Accent2 2 2 2 4 2 2 2" xfId="2260" xr:uid="{00000000-0005-0000-0000-000003090000}"/>
    <cellStyle name="20% - Accent2 2 2 2 4 2 2 2 2" xfId="2261" xr:uid="{00000000-0005-0000-0000-000004090000}"/>
    <cellStyle name="20% - Accent2 2 2 2 4 2 2 2 2 2" xfId="2262" xr:uid="{00000000-0005-0000-0000-000005090000}"/>
    <cellStyle name="20% - Accent2 2 2 2 4 2 2 2 3" xfId="2263" xr:uid="{00000000-0005-0000-0000-000006090000}"/>
    <cellStyle name="20% - Accent2 2 2 2 4 2 2 3" xfId="2264" xr:uid="{00000000-0005-0000-0000-000007090000}"/>
    <cellStyle name="20% - Accent2 2 2 2 4 2 2 3 2" xfId="2265" xr:uid="{00000000-0005-0000-0000-000008090000}"/>
    <cellStyle name="20% - Accent2 2 2 2 4 2 2 4" xfId="2266" xr:uid="{00000000-0005-0000-0000-000009090000}"/>
    <cellStyle name="20% - Accent2 2 2 2 4 2 3" xfId="2267" xr:uid="{00000000-0005-0000-0000-00000A090000}"/>
    <cellStyle name="20% - Accent2 2 2 2 4 2 3 2" xfId="2268" xr:uid="{00000000-0005-0000-0000-00000B090000}"/>
    <cellStyle name="20% - Accent2 2 2 2 4 2 3 2 2" xfId="2269" xr:uid="{00000000-0005-0000-0000-00000C090000}"/>
    <cellStyle name="20% - Accent2 2 2 2 4 2 3 3" xfId="2270" xr:uid="{00000000-0005-0000-0000-00000D090000}"/>
    <cellStyle name="20% - Accent2 2 2 2 4 2 4" xfId="2271" xr:uid="{00000000-0005-0000-0000-00000E090000}"/>
    <cellStyle name="20% - Accent2 2 2 2 4 2 4 2" xfId="2272" xr:uid="{00000000-0005-0000-0000-00000F090000}"/>
    <cellStyle name="20% - Accent2 2 2 2 4 2 5" xfId="2273" xr:uid="{00000000-0005-0000-0000-000010090000}"/>
    <cellStyle name="20% - Accent2 2 2 2 4 3" xfId="2274" xr:uid="{00000000-0005-0000-0000-000011090000}"/>
    <cellStyle name="20% - Accent2 2 2 2 4 3 2" xfId="2275" xr:uid="{00000000-0005-0000-0000-000012090000}"/>
    <cellStyle name="20% - Accent2 2 2 2 4 3 2 2" xfId="2276" xr:uid="{00000000-0005-0000-0000-000013090000}"/>
    <cellStyle name="20% - Accent2 2 2 2 4 3 2 2 2" xfId="2277" xr:uid="{00000000-0005-0000-0000-000014090000}"/>
    <cellStyle name="20% - Accent2 2 2 2 4 3 2 3" xfId="2278" xr:uid="{00000000-0005-0000-0000-000015090000}"/>
    <cellStyle name="20% - Accent2 2 2 2 4 3 3" xfId="2279" xr:uid="{00000000-0005-0000-0000-000016090000}"/>
    <cellStyle name="20% - Accent2 2 2 2 4 3 3 2" xfId="2280" xr:uid="{00000000-0005-0000-0000-000017090000}"/>
    <cellStyle name="20% - Accent2 2 2 2 4 3 4" xfId="2281" xr:uid="{00000000-0005-0000-0000-000018090000}"/>
    <cellStyle name="20% - Accent2 2 2 2 4 4" xfId="2282" xr:uid="{00000000-0005-0000-0000-000019090000}"/>
    <cellStyle name="20% - Accent2 2 2 2 4 4 2" xfId="2283" xr:uid="{00000000-0005-0000-0000-00001A090000}"/>
    <cellStyle name="20% - Accent2 2 2 2 4 4 2 2" xfId="2284" xr:uid="{00000000-0005-0000-0000-00001B090000}"/>
    <cellStyle name="20% - Accent2 2 2 2 4 4 3" xfId="2285" xr:uid="{00000000-0005-0000-0000-00001C090000}"/>
    <cellStyle name="20% - Accent2 2 2 2 4 5" xfId="2286" xr:uid="{00000000-0005-0000-0000-00001D090000}"/>
    <cellStyle name="20% - Accent2 2 2 2 4 5 2" xfId="2287" xr:uid="{00000000-0005-0000-0000-00001E090000}"/>
    <cellStyle name="20% - Accent2 2 2 2 4 6" xfId="2288" xr:uid="{00000000-0005-0000-0000-00001F090000}"/>
    <cellStyle name="20% - Accent2 2 2 2 5" xfId="2289" xr:uid="{00000000-0005-0000-0000-000020090000}"/>
    <cellStyle name="20% - Accent2 2 2 2 5 2" xfId="2290" xr:uid="{00000000-0005-0000-0000-000021090000}"/>
    <cellStyle name="20% - Accent2 2 2 2 5 2 2" xfId="2291" xr:uid="{00000000-0005-0000-0000-000022090000}"/>
    <cellStyle name="20% - Accent2 2 2 2 5 2 2 2" xfId="2292" xr:uid="{00000000-0005-0000-0000-000023090000}"/>
    <cellStyle name="20% - Accent2 2 2 2 5 2 2 2 2" xfId="2293" xr:uid="{00000000-0005-0000-0000-000024090000}"/>
    <cellStyle name="20% - Accent2 2 2 2 5 2 2 3" xfId="2294" xr:uid="{00000000-0005-0000-0000-000025090000}"/>
    <cellStyle name="20% - Accent2 2 2 2 5 2 3" xfId="2295" xr:uid="{00000000-0005-0000-0000-000026090000}"/>
    <cellStyle name="20% - Accent2 2 2 2 5 2 3 2" xfId="2296" xr:uid="{00000000-0005-0000-0000-000027090000}"/>
    <cellStyle name="20% - Accent2 2 2 2 5 2 4" xfId="2297" xr:uid="{00000000-0005-0000-0000-000028090000}"/>
    <cellStyle name="20% - Accent2 2 2 2 5 3" xfId="2298" xr:uid="{00000000-0005-0000-0000-000029090000}"/>
    <cellStyle name="20% - Accent2 2 2 2 5 3 2" xfId="2299" xr:uid="{00000000-0005-0000-0000-00002A090000}"/>
    <cellStyle name="20% - Accent2 2 2 2 5 3 2 2" xfId="2300" xr:uid="{00000000-0005-0000-0000-00002B090000}"/>
    <cellStyle name="20% - Accent2 2 2 2 5 3 3" xfId="2301" xr:uid="{00000000-0005-0000-0000-00002C090000}"/>
    <cellStyle name="20% - Accent2 2 2 2 5 4" xfId="2302" xr:uid="{00000000-0005-0000-0000-00002D090000}"/>
    <cellStyle name="20% - Accent2 2 2 2 5 4 2" xfId="2303" xr:uid="{00000000-0005-0000-0000-00002E090000}"/>
    <cellStyle name="20% - Accent2 2 2 2 5 5" xfId="2304" xr:uid="{00000000-0005-0000-0000-00002F090000}"/>
    <cellStyle name="20% - Accent2 2 2 2 6" xfId="2305" xr:uid="{00000000-0005-0000-0000-000030090000}"/>
    <cellStyle name="20% - Accent2 2 2 2 6 2" xfId="2306" xr:uid="{00000000-0005-0000-0000-000031090000}"/>
    <cellStyle name="20% - Accent2 2 2 2 6 2 2" xfId="2307" xr:uid="{00000000-0005-0000-0000-000032090000}"/>
    <cellStyle name="20% - Accent2 2 2 2 6 2 2 2" xfId="2308" xr:uid="{00000000-0005-0000-0000-000033090000}"/>
    <cellStyle name="20% - Accent2 2 2 2 6 2 3" xfId="2309" xr:uid="{00000000-0005-0000-0000-000034090000}"/>
    <cellStyle name="20% - Accent2 2 2 2 6 3" xfId="2310" xr:uid="{00000000-0005-0000-0000-000035090000}"/>
    <cellStyle name="20% - Accent2 2 2 2 6 3 2" xfId="2311" xr:uid="{00000000-0005-0000-0000-000036090000}"/>
    <cellStyle name="20% - Accent2 2 2 2 6 4" xfId="2312" xr:uid="{00000000-0005-0000-0000-000037090000}"/>
    <cellStyle name="20% - Accent2 2 2 2 7" xfId="2313" xr:uid="{00000000-0005-0000-0000-000038090000}"/>
    <cellStyle name="20% - Accent2 2 2 2 7 2" xfId="2314" xr:uid="{00000000-0005-0000-0000-000039090000}"/>
    <cellStyle name="20% - Accent2 2 2 2 7 2 2" xfId="2315" xr:uid="{00000000-0005-0000-0000-00003A090000}"/>
    <cellStyle name="20% - Accent2 2 2 2 7 3" xfId="2316" xr:uid="{00000000-0005-0000-0000-00003B090000}"/>
    <cellStyle name="20% - Accent2 2 2 2 8" xfId="2317" xr:uid="{00000000-0005-0000-0000-00003C090000}"/>
    <cellStyle name="20% - Accent2 2 2 2 8 2" xfId="2318" xr:uid="{00000000-0005-0000-0000-00003D090000}"/>
    <cellStyle name="20% - Accent2 2 2 2 9" xfId="2319" xr:uid="{00000000-0005-0000-0000-00003E090000}"/>
    <cellStyle name="20% - Accent2 2 2 3" xfId="2320" xr:uid="{00000000-0005-0000-0000-00003F090000}"/>
    <cellStyle name="20% - Accent2 2 2 3 2" xfId="2321" xr:uid="{00000000-0005-0000-0000-000040090000}"/>
    <cellStyle name="20% - Accent2 2 2 3 2 2" xfId="2322" xr:uid="{00000000-0005-0000-0000-000041090000}"/>
    <cellStyle name="20% - Accent2 2 2 3 2 2 2" xfId="2323" xr:uid="{00000000-0005-0000-0000-000042090000}"/>
    <cellStyle name="20% - Accent2 2 2 3 2 2 2 2" xfId="2324" xr:uid="{00000000-0005-0000-0000-000043090000}"/>
    <cellStyle name="20% - Accent2 2 2 3 2 2 2 2 2" xfId="2325" xr:uid="{00000000-0005-0000-0000-000044090000}"/>
    <cellStyle name="20% - Accent2 2 2 3 2 2 2 2 2 2" xfId="2326" xr:uid="{00000000-0005-0000-0000-000045090000}"/>
    <cellStyle name="20% - Accent2 2 2 3 2 2 2 2 2 2 2" xfId="2327" xr:uid="{00000000-0005-0000-0000-000046090000}"/>
    <cellStyle name="20% - Accent2 2 2 3 2 2 2 2 2 3" xfId="2328" xr:uid="{00000000-0005-0000-0000-000047090000}"/>
    <cellStyle name="20% - Accent2 2 2 3 2 2 2 2 3" xfId="2329" xr:uid="{00000000-0005-0000-0000-000048090000}"/>
    <cellStyle name="20% - Accent2 2 2 3 2 2 2 2 3 2" xfId="2330" xr:uid="{00000000-0005-0000-0000-000049090000}"/>
    <cellStyle name="20% - Accent2 2 2 3 2 2 2 2 4" xfId="2331" xr:uid="{00000000-0005-0000-0000-00004A090000}"/>
    <cellStyle name="20% - Accent2 2 2 3 2 2 2 3" xfId="2332" xr:uid="{00000000-0005-0000-0000-00004B090000}"/>
    <cellStyle name="20% - Accent2 2 2 3 2 2 2 3 2" xfId="2333" xr:uid="{00000000-0005-0000-0000-00004C090000}"/>
    <cellStyle name="20% - Accent2 2 2 3 2 2 2 3 2 2" xfId="2334" xr:uid="{00000000-0005-0000-0000-00004D090000}"/>
    <cellStyle name="20% - Accent2 2 2 3 2 2 2 3 3" xfId="2335" xr:uid="{00000000-0005-0000-0000-00004E090000}"/>
    <cellStyle name="20% - Accent2 2 2 3 2 2 2 4" xfId="2336" xr:uid="{00000000-0005-0000-0000-00004F090000}"/>
    <cellStyle name="20% - Accent2 2 2 3 2 2 2 4 2" xfId="2337" xr:uid="{00000000-0005-0000-0000-000050090000}"/>
    <cellStyle name="20% - Accent2 2 2 3 2 2 2 5" xfId="2338" xr:uid="{00000000-0005-0000-0000-000051090000}"/>
    <cellStyle name="20% - Accent2 2 2 3 2 2 3" xfId="2339" xr:uid="{00000000-0005-0000-0000-000052090000}"/>
    <cellStyle name="20% - Accent2 2 2 3 2 2 3 2" xfId="2340" xr:uid="{00000000-0005-0000-0000-000053090000}"/>
    <cellStyle name="20% - Accent2 2 2 3 2 2 3 2 2" xfId="2341" xr:uid="{00000000-0005-0000-0000-000054090000}"/>
    <cellStyle name="20% - Accent2 2 2 3 2 2 3 2 2 2" xfId="2342" xr:uid="{00000000-0005-0000-0000-000055090000}"/>
    <cellStyle name="20% - Accent2 2 2 3 2 2 3 2 3" xfId="2343" xr:uid="{00000000-0005-0000-0000-000056090000}"/>
    <cellStyle name="20% - Accent2 2 2 3 2 2 3 3" xfId="2344" xr:uid="{00000000-0005-0000-0000-000057090000}"/>
    <cellStyle name="20% - Accent2 2 2 3 2 2 3 3 2" xfId="2345" xr:uid="{00000000-0005-0000-0000-000058090000}"/>
    <cellStyle name="20% - Accent2 2 2 3 2 2 3 4" xfId="2346" xr:uid="{00000000-0005-0000-0000-000059090000}"/>
    <cellStyle name="20% - Accent2 2 2 3 2 2 4" xfId="2347" xr:uid="{00000000-0005-0000-0000-00005A090000}"/>
    <cellStyle name="20% - Accent2 2 2 3 2 2 4 2" xfId="2348" xr:uid="{00000000-0005-0000-0000-00005B090000}"/>
    <cellStyle name="20% - Accent2 2 2 3 2 2 4 2 2" xfId="2349" xr:uid="{00000000-0005-0000-0000-00005C090000}"/>
    <cellStyle name="20% - Accent2 2 2 3 2 2 4 3" xfId="2350" xr:uid="{00000000-0005-0000-0000-00005D090000}"/>
    <cellStyle name="20% - Accent2 2 2 3 2 2 5" xfId="2351" xr:uid="{00000000-0005-0000-0000-00005E090000}"/>
    <cellStyle name="20% - Accent2 2 2 3 2 2 5 2" xfId="2352" xr:uid="{00000000-0005-0000-0000-00005F090000}"/>
    <cellStyle name="20% - Accent2 2 2 3 2 2 6" xfId="2353" xr:uid="{00000000-0005-0000-0000-000060090000}"/>
    <cellStyle name="20% - Accent2 2 2 3 2 3" xfId="2354" xr:uid="{00000000-0005-0000-0000-000061090000}"/>
    <cellStyle name="20% - Accent2 2 2 3 2 3 2" xfId="2355" xr:uid="{00000000-0005-0000-0000-000062090000}"/>
    <cellStyle name="20% - Accent2 2 2 3 2 3 2 2" xfId="2356" xr:uid="{00000000-0005-0000-0000-000063090000}"/>
    <cellStyle name="20% - Accent2 2 2 3 2 3 2 2 2" xfId="2357" xr:uid="{00000000-0005-0000-0000-000064090000}"/>
    <cellStyle name="20% - Accent2 2 2 3 2 3 2 2 2 2" xfId="2358" xr:uid="{00000000-0005-0000-0000-000065090000}"/>
    <cellStyle name="20% - Accent2 2 2 3 2 3 2 2 3" xfId="2359" xr:uid="{00000000-0005-0000-0000-000066090000}"/>
    <cellStyle name="20% - Accent2 2 2 3 2 3 2 3" xfId="2360" xr:uid="{00000000-0005-0000-0000-000067090000}"/>
    <cellStyle name="20% - Accent2 2 2 3 2 3 2 3 2" xfId="2361" xr:uid="{00000000-0005-0000-0000-000068090000}"/>
    <cellStyle name="20% - Accent2 2 2 3 2 3 2 4" xfId="2362" xr:uid="{00000000-0005-0000-0000-000069090000}"/>
    <cellStyle name="20% - Accent2 2 2 3 2 3 3" xfId="2363" xr:uid="{00000000-0005-0000-0000-00006A090000}"/>
    <cellStyle name="20% - Accent2 2 2 3 2 3 3 2" xfId="2364" xr:uid="{00000000-0005-0000-0000-00006B090000}"/>
    <cellStyle name="20% - Accent2 2 2 3 2 3 3 2 2" xfId="2365" xr:uid="{00000000-0005-0000-0000-00006C090000}"/>
    <cellStyle name="20% - Accent2 2 2 3 2 3 3 3" xfId="2366" xr:uid="{00000000-0005-0000-0000-00006D090000}"/>
    <cellStyle name="20% - Accent2 2 2 3 2 3 4" xfId="2367" xr:uid="{00000000-0005-0000-0000-00006E090000}"/>
    <cellStyle name="20% - Accent2 2 2 3 2 3 4 2" xfId="2368" xr:uid="{00000000-0005-0000-0000-00006F090000}"/>
    <cellStyle name="20% - Accent2 2 2 3 2 3 5" xfId="2369" xr:uid="{00000000-0005-0000-0000-000070090000}"/>
    <cellStyle name="20% - Accent2 2 2 3 2 4" xfId="2370" xr:uid="{00000000-0005-0000-0000-000071090000}"/>
    <cellStyle name="20% - Accent2 2 2 3 2 4 2" xfId="2371" xr:uid="{00000000-0005-0000-0000-000072090000}"/>
    <cellStyle name="20% - Accent2 2 2 3 2 4 2 2" xfId="2372" xr:uid="{00000000-0005-0000-0000-000073090000}"/>
    <cellStyle name="20% - Accent2 2 2 3 2 4 2 2 2" xfId="2373" xr:uid="{00000000-0005-0000-0000-000074090000}"/>
    <cellStyle name="20% - Accent2 2 2 3 2 4 2 3" xfId="2374" xr:uid="{00000000-0005-0000-0000-000075090000}"/>
    <cellStyle name="20% - Accent2 2 2 3 2 4 3" xfId="2375" xr:uid="{00000000-0005-0000-0000-000076090000}"/>
    <cellStyle name="20% - Accent2 2 2 3 2 4 3 2" xfId="2376" xr:uid="{00000000-0005-0000-0000-000077090000}"/>
    <cellStyle name="20% - Accent2 2 2 3 2 4 4" xfId="2377" xr:uid="{00000000-0005-0000-0000-000078090000}"/>
    <cellStyle name="20% - Accent2 2 2 3 2 5" xfId="2378" xr:uid="{00000000-0005-0000-0000-000079090000}"/>
    <cellStyle name="20% - Accent2 2 2 3 2 5 2" xfId="2379" xr:uid="{00000000-0005-0000-0000-00007A090000}"/>
    <cellStyle name="20% - Accent2 2 2 3 2 5 2 2" xfId="2380" xr:uid="{00000000-0005-0000-0000-00007B090000}"/>
    <cellStyle name="20% - Accent2 2 2 3 2 5 3" xfId="2381" xr:uid="{00000000-0005-0000-0000-00007C090000}"/>
    <cellStyle name="20% - Accent2 2 2 3 2 6" xfId="2382" xr:uid="{00000000-0005-0000-0000-00007D090000}"/>
    <cellStyle name="20% - Accent2 2 2 3 2 6 2" xfId="2383" xr:uid="{00000000-0005-0000-0000-00007E090000}"/>
    <cellStyle name="20% - Accent2 2 2 3 2 7" xfId="2384" xr:uid="{00000000-0005-0000-0000-00007F090000}"/>
    <cellStyle name="20% - Accent2 2 2 3 3" xfId="2385" xr:uid="{00000000-0005-0000-0000-000080090000}"/>
    <cellStyle name="20% - Accent2 2 2 3 3 2" xfId="2386" xr:uid="{00000000-0005-0000-0000-000081090000}"/>
    <cellStyle name="20% - Accent2 2 2 3 3 2 2" xfId="2387" xr:uid="{00000000-0005-0000-0000-000082090000}"/>
    <cellStyle name="20% - Accent2 2 2 3 3 2 2 2" xfId="2388" xr:uid="{00000000-0005-0000-0000-000083090000}"/>
    <cellStyle name="20% - Accent2 2 2 3 3 2 2 2 2" xfId="2389" xr:uid="{00000000-0005-0000-0000-000084090000}"/>
    <cellStyle name="20% - Accent2 2 2 3 3 2 2 2 2 2" xfId="2390" xr:uid="{00000000-0005-0000-0000-000085090000}"/>
    <cellStyle name="20% - Accent2 2 2 3 3 2 2 2 3" xfId="2391" xr:uid="{00000000-0005-0000-0000-000086090000}"/>
    <cellStyle name="20% - Accent2 2 2 3 3 2 2 3" xfId="2392" xr:uid="{00000000-0005-0000-0000-000087090000}"/>
    <cellStyle name="20% - Accent2 2 2 3 3 2 2 3 2" xfId="2393" xr:uid="{00000000-0005-0000-0000-000088090000}"/>
    <cellStyle name="20% - Accent2 2 2 3 3 2 2 4" xfId="2394" xr:uid="{00000000-0005-0000-0000-000089090000}"/>
    <cellStyle name="20% - Accent2 2 2 3 3 2 3" xfId="2395" xr:uid="{00000000-0005-0000-0000-00008A090000}"/>
    <cellStyle name="20% - Accent2 2 2 3 3 2 3 2" xfId="2396" xr:uid="{00000000-0005-0000-0000-00008B090000}"/>
    <cellStyle name="20% - Accent2 2 2 3 3 2 3 2 2" xfId="2397" xr:uid="{00000000-0005-0000-0000-00008C090000}"/>
    <cellStyle name="20% - Accent2 2 2 3 3 2 3 3" xfId="2398" xr:uid="{00000000-0005-0000-0000-00008D090000}"/>
    <cellStyle name="20% - Accent2 2 2 3 3 2 4" xfId="2399" xr:uid="{00000000-0005-0000-0000-00008E090000}"/>
    <cellStyle name="20% - Accent2 2 2 3 3 2 4 2" xfId="2400" xr:uid="{00000000-0005-0000-0000-00008F090000}"/>
    <cellStyle name="20% - Accent2 2 2 3 3 2 5" xfId="2401" xr:uid="{00000000-0005-0000-0000-000090090000}"/>
    <cellStyle name="20% - Accent2 2 2 3 3 3" xfId="2402" xr:uid="{00000000-0005-0000-0000-000091090000}"/>
    <cellStyle name="20% - Accent2 2 2 3 3 3 2" xfId="2403" xr:uid="{00000000-0005-0000-0000-000092090000}"/>
    <cellStyle name="20% - Accent2 2 2 3 3 3 2 2" xfId="2404" xr:uid="{00000000-0005-0000-0000-000093090000}"/>
    <cellStyle name="20% - Accent2 2 2 3 3 3 2 2 2" xfId="2405" xr:uid="{00000000-0005-0000-0000-000094090000}"/>
    <cellStyle name="20% - Accent2 2 2 3 3 3 2 3" xfId="2406" xr:uid="{00000000-0005-0000-0000-000095090000}"/>
    <cellStyle name="20% - Accent2 2 2 3 3 3 3" xfId="2407" xr:uid="{00000000-0005-0000-0000-000096090000}"/>
    <cellStyle name="20% - Accent2 2 2 3 3 3 3 2" xfId="2408" xr:uid="{00000000-0005-0000-0000-000097090000}"/>
    <cellStyle name="20% - Accent2 2 2 3 3 3 4" xfId="2409" xr:uid="{00000000-0005-0000-0000-000098090000}"/>
    <cellStyle name="20% - Accent2 2 2 3 3 4" xfId="2410" xr:uid="{00000000-0005-0000-0000-000099090000}"/>
    <cellStyle name="20% - Accent2 2 2 3 3 4 2" xfId="2411" xr:uid="{00000000-0005-0000-0000-00009A090000}"/>
    <cellStyle name="20% - Accent2 2 2 3 3 4 2 2" xfId="2412" xr:uid="{00000000-0005-0000-0000-00009B090000}"/>
    <cellStyle name="20% - Accent2 2 2 3 3 4 3" xfId="2413" xr:uid="{00000000-0005-0000-0000-00009C090000}"/>
    <cellStyle name="20% - Accent2 2 2 3 3 5" xfId="2414" xr:uid="{00000000-0005-0000-0000-00009D090000}"/>
    <cellStyle name="20% - Accent2 2 2 3 3 5 2" xfId="2415" xr:uid="{00000000-0005-0000-0000-00009E090000}"/>
    <cellStyle name="20% - Accent2 2 2 3 3 6" xfId="2416" xr:uid="{00000000-0005-0000-0000-00009F090000}"/>
    <cellStyle name="20% - Accent2 2 2 3 4" xfId="2417" xr:uid="{00000000-0005-0000-0000-0000A0090000}"/>
    <cellStyle name="20% - Accent2 2 2 3 4 2" xfId="2418" xr:uid="{00000000-0005-0000-0000-0000A1090000}"/>
    <cellStyle name="20% - Accent2 2 2 3 4 2 2" xfId="2419" xr:uid="{00000000-0005-0000-0000-0000A2090000}"/>
    <cellStyle name="20% - Accent2 2 2 3 4 2 2 2" xfId="2420" xr:uid="{00000000-0005-0000-0000-0000A3090000}"/>
    <cellStyle name="20% - Accent2 2 2 3 4 2 2 2 2" xfId="2421" xr:uid="{00000000-0005-0000-0000-0000A4090000}"/>
    <cellStyle name="20% - Accent2 2 2 3 4 2 2 3" xfId="2422" xr:uid="{00000000-0005-0000-0000-0000A5090000}"/>
    <cellStyle name="20% - Accent2 2 2 3 4 2 3" xfId="2423" xr:uid="{00000000-0005-0000-0000-0000A6090000}"/>
    <cellStyle name="20% - Accent2 2 2 3 4 2 3 2" xfId="2424" xr:uid="{00000000-0005-0000-0000-0000A7090000}"/>
    <cellStyle name="20% - Accent2 2 2 3 4 2 4" xfId="2425" xr:uid="{00000000-0005-0000-0000-0000A8090000}"/>
    <cellStyle name="20% - Accent2 2 2 3 4 3" xfId="2426" xr:uid="{00000000-0005-0000-0000-0000A9090000}"/>
    <cellStyle name="20% - Accent2 2 2 3 4 3 2" xfId="2427" xr:uid="{00000000-0005-0000-0000-0000AA090000}"/>
    <cellStyle name="20% - Accent2 2 2 3 4 3 2 2" xfId="2428" xr:uid="{00000000-0005-0000-0000-0000AB090000}"/>
    <cellStyle name="20% - Accent2 2 2 3 4 3 3" xfId="2429" xr:uid="{00000000-0005-0000-0000-0000AC090000}"/>
    <cellStyle name="20% - Accent2 2 2 3 4 4" xfId="2430" xr:uid="{00000000-0005-0000-0000-0000AD090000}"/>
    <cellStyle name="20% - Accent2 2 2 3 4 4 2" xfId="2431" xr:uid="{00000000-0005-0000-0000-0000AE090000}"/>
    <cellStyle name="20% - Accent2 2 2 3 4 5" xfId="2432" xr:uid="{00000000-0005-0000-0000-0000AF090000}"/>
    <cellStyle name="20% - Accent2 2 2 3 5" xfId="2433" xr:uid="{00000000-0005-0000-0000-0000B0090000}"/>
    <cellStyle name="20% - Accent2 2 2 3 5 2" xfId="2434" xr:uid="{00000000-0005-0000-0000-0000B1090000}"/>
    <cellStyle name="20% - Accent2 2 2 3 5 2 2" xfId="2435" xr:uid="{00000000-0005-0000-0000-0000B2090000}"/>
    <cellStyle name="20% - Accent2 2 2 3 5 2 2 2" xfId="2436" xr:uid="{00000000-0005-0000-0000-0000B3090000}"/>
    <cellStyle name="20% - Accent2 2 2 3 5 2 3" xfId="2437" xr:uid="{00000000-0005-0000-0000-0000B4090000}"/>
    <cellStyle name="20% - Accent2 2 2 3 5 3" xfId="2438" xr:uid="{00000000-0005-0000-0000-0000B5090000}"/>
    <cellStyle name="20% - Accent2 2 2 3 5 3 2" xfId="2439" xr:uid="{00000000-0005-0000-0000-0000B6090000}"/>
    <cellStyle name="20% - Accent2 2 2 3 5 4" xfId="2440" xr:uid="{00000000-0005-0000-0000-0000B7090000}"/>
    <cellStyle name="20% - Accent2 2 2 3 6" xfId="2441" xr:uid="{00000000-0005-0000-0000-0000B8090000}"/>
    <cellStyle name="20% - Accent2 2 2 3 6 2" xfId="2442" xr:uid="{00000000-0005-0000-0000-0000B9090000}"/>
    <cellStyle name="20% - Accent2 2 2 3 6 2 2" xfId="2443" xr:uid="{00000000-0005-0000-0000-0000BA090000}"/>
    <cellStyle name="20% - Accent2 2 2 3 6 3" xfId="2444" xr:uid="{00000000-0005-0000-0000-0000BB090000}"/>
    <cellStyle name="20% - Accent2 2 2 3 7" xfId="2445" xr:uid="{00000000-0005-0000-0000-0000BC090000}"/>
    <cellStyle name="20% - Accent2 2 2 3 7 2" xfId="2446" xr:uid="{00000000-0005-0000-0000-0000BD090000}"/>
    <cellStyle name="20% - Accent2 2 2 3 8" xfId="2447" xr:uid="{00000000-0005-0000-0000-0000BE090000}"/>
    <cellStyle name="20% - Accent2 2 2 4" xfId="2448" xr:uid="{00000000-0005-0000-0000-0000BF090000}"/>
    <cellStyle name="20% - Accent2 2 2 4 2" xfId="2449" xr:uid="{00000000-0005-0000-0000-0000C0090000}"/>
    <cellStyle name="20% - Accent2 2 2 4 2 2" xfId="2450" xr:uid="{00000000-0005-0000-0000-0000C1090000}"/>
    <cellStyle name="20% - Accent2 2 2 4 2 2 2" xfId="2451" xr:uid="{00000000-0005-0000-0000-0000C2090000}"/>
    <cellStyle name="20% - Accent2 2 2 4 2 2 2 2" xfId="2452" xr:uid="{00000000-0005-0000-0000-0000C3090000}"/>
    <cellStyle name="20% - Accent2 2 2 4 2 2 2 2 2" xfId="2453" xr:uid="{00000000-0005-0000-0000-0000C4090000}"/>
    <cellStyle name="20% - Accent2 2 2 4 2 2 2 2 2 2" xfId="2454" xr:uid="{00000000-0005-0000-0000-0000C5090000}"/>
    <cellStyle name="20% - Accent2 2 2 4 2 2 2 2 3" xfId="2455" xr:uid="{00000000-0005-0000-0000-0000C6090000}"/>
    <cellStyle name="20% - Accent2 2 2 4 2 2 2 3" xfId="2456" xr:uid="{00000000-0005-0000-0000-0000C7090000}"/>
    <cellStyle name="20% - Accent2 2 2 4 2 2 2 3 2" xfId="2457" xr:uid="{00000000-0005-0000-0000-0000C8090000}"/>
    <cellStyle name="20% - Accent2 2 2 4 2 2 2 4" xfId="2458" xr:uid="{00000000-0005-0000-0000-0000C9090000}"/>
    <cellStyle name="20% - Accent2 2 2 4 2 2 3" xfId="2459" xr:uid="{00000000-0005-0000-0000-0000CA090000}"/>
    <cellStyle name="20% - Accent2 2 2 4 2 2 3 2" xfId="2460" xr:uid="{00000000-0005-0000-0000-0000CB090000}"/>
    <cellStyle name="20% - Accent2 2 2 4 2 2 3 2 2" xfId="2461" xr:uid="{00000000-0005-0000-0000-0000CC090000}"/>
    <cellStyle name="20% - Accent2 2 2 4 2 2 3 3" xfId="2462" xr:uid="{00000000-0005-0000-0000-0000CD090000}"/>
    <cellStyle name="20% - Accent2 2 2 4 2 2 4" xfId="2463" xr:uid="{00000000-0005-0000-0000-0000CE090000}"/>
    <cellStyle name="20% - Accent2 2 2 4 2 2 4 2" xfId="2464" xr:uid="{00000000-0005-0000-0000-0000CF090000}"/>
    <cellStyle name="20% - Accent2 2 2 4 2 2 5" xfId="2465" xr:uid="{00000000-0005-0000-0000-0000D0090000}"/>
    <cellStyle name="20% - Accent2 2 2 4 2 3" xfId="2466" xr:uid="{00000000-0005-0000-0000-0000D1090000}"/>
    <cellStyle name="20% - Accent2 2 2 4 2 3 2" xfId="2467" xr:uid="{00000000-0005-0000-0000-0000D2090000}"/>
    <cellStyle name="20% - Accent2 2 2 4 2 3 2 2" xfId="2468" xr:uid="{00000000-0005-0000-0000-0000D3090000}"/>
    <cellStyle name="20% - Accent2 2 2 4 2 3 2 2 2" xfId="2469" xr:uid="{00000000-0005-0000-0000-0000D4090000}"/>
    <cellStyle name="20% - Accent2 2 2 4 2 3 2 3" xfId="2470" xr:uid="{00000000-0005-0000-0000-0000D5090000}"/>
    <cellStyle name="20% - Accent2 2 2 4 2 3 3" xfId="2471" xr:uid="{00000000-0005-0000-0000-0000D6090000}"/>
    <cellStyle name="20% - Accent2 2 2 4 2 3 3 2" xfId="2472" xr:uid="{00000000-0005-0000-0000-0000D7090000}"/>
    <cellStyle name="20% - Accent2 2 2 4 2 3 4" xfId="2473" xr:uid="{00000000-0005-0000-0000-0000D8090000}"/>
    <cellStyle name="20% - Accent2 2 2 4 2 4" xfId="2474" xr:uid="{00000000-0005-0000-0000-0000D9090000}"/>
    <cellStyle name="20% - Accent2 2 2 4 2 4 2" xfId="2475" xr:uid="{00000000-0005-0000-0000-0000DA090000}"/>
    <cellStyle name="20% - Accent2 2 2 4 2 4 2 2" xfId="2476" xr:uid="{00000000-0005-0000-0000-0000DB090000}"/>
    <cellStyle name="20% - Accent2 2 2 4 2 4 3" xfId="2477" xr:uid="{00000000-0005-0000-0000-0000DC090000}"/>
    <cellStyle name="20% - Accent2 2 2 4 2 5" xfId="2478" xr:uid="{00000000-0005-0000-0000-0000DD090000}"/>
    <cellStyle name="20% - Accent2 2 2 4 2 5 2" xfId="2479" xr:uid="{00000000-0005-0000-0000-0000DE090000}"/>
    <cellStyle name="20% - Accent2 2 2 4 2 6" xfId="2480" xr:uid="{00000000-0005-0000-0000-0000DF090000}"/>
    <cellStyle name="20% - Accent2 2 2 4 3" xfId="2481" xr:uid="{00000000-0005-0000-0000-0000E0090000}"/>
    <cellStyle name="20% - Accent2 2 2 4 3 2" xfId="2482" xr:uid="{00000000-0005-0000-0000-0000E1090000}"/>
    <cellStyle name="20% - Accent2 2 2 4 3 2 2" xfId="2483" xr:uid="{00000000-0005-0000-0000-0000E2090000}"/>
    <cellStyle name="20% - Accent2 2 2 4 3 2 2 2" xfId="2484" xr:uid="{00000000-0005-0000-0000-0000E3090000}"/>
    <cellStyle name="20% - Accent2 2 2 4 3 2 2 2 2" xfId="2485" xr:uid="{00000000-0005-0000-0000-0000E4090000}"/>
    <cellStyle name="20% - Accent2 2 2 4 3 2 2 3" xfId="2486" xr:uid="{00000000-0005-0000-0000-0000E5090000}"/>
    <cellStyle name="20% - Accent2 2 2 4 3 2 3" xfId="2487" xr:uid="{00000000-0005-0000-0000-0000E6090000}"/>
    <cellStyle name="20% - Accent2 2 2 4 3 2 3 2" xfId="2488" xr:uid="{00000000-0005-0000-0000-0000E7090000}"/>
    <cellStyle name="20% - Accent2 2 2 4 3 2 4" xfId="2489" xr:uid="{00000000-0005-0000-0000-0000E8090000}"/>
    <cellStyle name="20% - Accent2 2 2 4 3 3" xfId="2490" xr:uid="{00000000-0005-0000-0000-0000E9090000}"/>
    <cellStyle name="20% - Accent2 2 2 4 3 3 2" xfId="2491" xr:uid="{00000000-0005-0000-0000-0000EA090000}"/>
    <cellStyle name="20% - Accent2 2 2 4 3 3 2 2" xfId="2492" xr:uid="{00000000-0005-0000-0000-0000EB090000}"/>
    <cellStyle name="20% - Accent2 2 2 4 3 3 3" xfId="2493" xr:uid="{00000000-0005-0000-0000-0000EC090000}"/>
    <cellStyle name="20% - Accent2 2 2 4 3 4" xfId="2494" xr:uid="{00000000-0005-0000-0000-0000ED090000}"/>
    <cellStyle name="20% - Accent2 2 2 4 3 4 2" xfId="2495" xr:uid="{00000000-0005-0000-0000-0000EE090000}"/>
    <cellStyle name="20% - Accent2 2 2 4 3 5" xfId="2496" xr:uid="{00000000-0005-0000-0000-0000EF090000}"/>
    <cellStyle name="20% - Accent2 2 2 4 4" xfId="2497" xr:uid="{00000000-0005-0000-0000-0000F0090000}"/>
    <cellStyle name="20% - Accent2 2 2 4 4 2" xfId="2498" xr:uid="{00000000-0005-0000-0000-0000F1090000}"/>
    <cellStyle name="20% - Accent2 2 2 4 4 2 2" xfId="2499" xr:uid="{00000000-0005-0000-0000-0000F2090000}"/>
    <cellStyle name="20% - Accent2 2 2 4 4 2 2 2" xfId="2500" xr:uid="{00000000-0005-0000-0000-0000F3090000}"/>
    <cellStyle name="20% - Accent2 2 2 4 4 2 3" xfId="2501" xr:uid="{00000000-0005-0000-0000-0000F4090000}"/>
    <cellStyle name="20% - Accent2 2 2 4 4 3" xfId="2502" xr:uid="{00000000-0005-0000-0000-0000F5090000}"/>
    <cellStyle name="20% - Accent2 2 2 4 4 3 2" xfId="2503" xr:uid="{00000000-0005-0000-0000-0000F6090000}"/>
    <cellStyle name="20% - Accent2 2 2 4 4 4" xfId="2504" xr:uid="{00000000-0005-0000-0000-0000F7090000}"/>
    <cellStyle name="20% - Accent2 2 2 4 5" xfId="2505" xr:uid="{00000000-0005-0000-0000-0000F8090000}"/>
    <cellStyle name="20% - Accent2 2 2 4 5 2" xfId="2506" xr:uid="{00000000-0005-0000-0000-0000F9090000}"/>
    <cellStyle name="20% - Accent2 2 2 4 5 2 2" xfId="2507" xr:uid="{00000000-0005-0000-0000-0000FA090000}"/>
    <cellStyle name="20% - Accent2 2 2 4 5 3" xfId="2508" xr:uid="{00000000-0005-0000-0000-0000FB090000}"/>
    <cellStyle name="20% - Accent2 2 2 4 6" xfId="2509" xr:uid="{00000000-0005-0000-0000-0000FC090000}"/>
    <cellStyle name="20% - Accent2 2 2 4 6 2" xfId="2510" xr:uid="{00000000-0005-0000-0000-0000FD090000}"/>
    <cellStyle name="20% - Accent2 2 2 4 7" xfId="2511" xr:uid="{00000000-0005-0000-0000-0000FE090000}"/>
    <cellStyle name="20% - Accent2 2 2 5" xfId="2512" xr:uid="{00000000-0005-0000-0000-0000FF090000}"/>
    <cellStyle name="20% - Accent2 2 2 5 2" xfId="2513" xr:uid="{00000000-0005-0000-0000-0000000A0000}"/>
    <cellStyle name="20% - Accent2 2 2 5 2 2" xfId="2514" xr:uid="{00000000-0005-0000-0000-0000010A0000}"/>
    <cellStyle name="20% - Accent2 2 2 5 2 2 2" xfId="2515" xr:uid="{00000000-0005-0000-0000-0000020A0000}"/>
    <cellStyle name="20% - Accent2 2 2 5 2 2 2 2" xfId="2516" xr:uid="{00000000-0005-0000-0000-0000030A0000}"/>
    <cellStyle name="20% - Accent2 2 2 5 2 2 2 2 2" xfId="2517" xr:uid="{00000000-0005-0000-0000-0000040A0000}"/>
    <cellStyle name="20% - Accent2 2 2 5 2 2 2 3" xfId="2518" xr:uid="{00000000-0005-0000-0000-0000050A0000}"/>
    <cellStyle name="20% - Accent2 2 2 5 2 2 3" xfId="2519" xr:uid="{00000000-0005-0000-0000-0000060A0000}"/>
    <cellStyle name="20% - Accent2 2 2 5 2 2 3 2" xfId="2520" xr:uid="{00000000-0005-0000-0000-0000070A0000}"/>
    <cellStyle name="20% - Accent2 2 2 5 2 2 4" xfId="2521" xr:uid="{00000000-0005-0000-0000-0000080A0000}"/>
    <cellStyle name="20% - Accent2 2 2 5 2 3" xfId="2522" xr:uid="{00000000-0005-0000-0000-0000090A0000}"/>
    <cellStyle name="20% - Accent2 2 2 5 2 3 2" xfId="2523" xr:uid="{00000000-0005-0000-0000-00000A0A0000}"/>
    <cellStyle name="20% - Accent2 2 2 5 2 3 2 2" xfId="2524" xr:uid="{00000000-0005-0000-0000-00000B0A0000}"/>
    <cellStyle name="20% - Accent2 2 2 5 2 3 3" xfId="2525" xr:uid="{00000000-0005-0000-0000-00000C0A0000}"/>
    <cellStyle name="20% - Accent2 2 2 5 2 4" xfId="2526" xr:uid="{00000000-0005-0000-0000-00000D0A0000}"/>
    <cellStyle name="20% - Accent2 2 2 5 2 4 2" xfId="2527" xr:uid="{00000000-0005-0000-0000-00000E0A0000}"/>
    <cellStyle name="20% - Accent2 2 2 5 2 5" xfId="2528" xr:uid="{00000000-0005-0000-0000-00000F0A0000}"/>
    <cellStyle name="20% - Accent2 2 2 5 3" xfId="2529" xr:uid="{00000000-0005-0000-0000-0000100A0000}"/>
    <cellStyle name="20% - Accent2 2 2 5 3 2" xfId="2530" xr:uid="{00000000-0005-0000-0000-0000110A0000}"/>
    <cellStyle name="20% - Accent2 2 2 5 3 2 2" xfId="2531" xr:uid="{00000000-0005-0000-0000-0000120A0000}"/>
    <cellStyle name="20% - Accent2 2 2 5 3 2 2 2" xfId="2532" xr:uid="{00000000-0005-0000-0000-0000130A0000}"/>
    <cellStyle name="20% - Accent2 2 2 5 3 2 3" xfId="2533" xr:uid="{00000000-0005-0000-0000-0000140A0000}"/>
    <cellStyle name="20% - Accent2 2 2 5 3 3" xfId="2534" xr:uid="{00000000-0005-0000-0000-0000150A0000}"/>
    <cellStyle name="20% - Accent2 2 2 5 3 3 2" xfId="2535" xr:uid="{00000000-0005-0000-0000-0000160A0000}"/>
    <cellStyle name="20% - Accent2 2 2 5 3 4" xfId="2536" xr:uid="{00000000-0005-0000-0000-0000170A0000}"/>
    <cellStyle name="20% - Accent2 2 2 5 4" xfId="2537" xr:uid="{00000000-0005-0000-0000-0000180A0000}"/>
    <cellStyle name="20% - Accent2 2 2 5 4 2" xfId="2538" xr:uid="{00000000-0005-0000-0000-0000190A0000}"/>
    <cellStyle name="20% - Accent2 2 2 5 4 2 2" xfId="2539" xr:uid="{00000000-0005-0000-0000-00001A0A0000}"/>
    <cellStyle name="20% - Accent2 2 2 5 4 3" xfId="2540" xr:uid="{00000000-0005-0000-0000-00001B0A0000}"/>
    <cellStyle name="20% - Accent2 2 2 5 5" xfId="2541" xr:uid="{00000000-0005-0000-0000-00001C0A0000}"/>
    <cellStyle name="20% - Accent2 2 2 5 5 2" xfId="2542" xr:uid="{00000000-0005-0000-0000-00001D0A0000}"/>
    <cellStyle name="20% - Accent2 2 2 5 6" xfId="2543" xr:uid="{00000000-0005-0000-0000-00001E0A0000}"/>
    <cellStyle name="20% - Accent2 2 2 6" xfId="2544" xr:uid="{00000000-0005-0000-0000-00001F0A0000}"/>
    <cellStyle name="20% - Accent2 2 2 6 2" xfId="2545" xr:uid="{00000000-0005-0000-0000-0000200A0000}"/>
    <cellStyle name="20% - Accent2 2 2 6 2 2" xfId="2546" xr:uid="{00000000-0005-0000-0000-0000210A0000}"/>
    <cellStyle name="20% - Accent2 2 2 6 2 2 2" xfId="2547" xr:uid="{00000000-0005-0000-0000-0000220A0000}"/>
    <cellStyle name="20% - Accent2 2 2 6 2 2 2 2" xfId="2548" xr:uid="{00000000-0005-0000-0000-0000230A0000}"/>
    <cellStyle name="20% - Accent2 2 2 6 2 2 3" xfId="2549" xr:uid="{00000000-0005-0000-0000-0000240A0000}"/>
    <cellStyle name="20% - Accent2 2 2 6 2 3" xfId="2550" xr:uid="{00000000-0005-0000-0000-0000250A0000}"/>
    <cellStyle name="20% - Accent2 2 2 6 2 3 2" xfId="2551" xr:uid="{00000000-0005-0000-0000-0000260A0000}"/>
    <cellStyle name="20% - Accent2 2 2 6 2 4" xfId="2552" xr:uid="{00000000-0005-0000-0000-0000270A0000}"/>
    <cellStyle name="20% - Accent2 2 2 6 3" xfId="2553" xr:uid="{00000000-0005-0000-0000-0000280A0000}"/>
    <cellStyle name="20% - Accent2 2 2 6 3 2" xfId="2554" xr:uid="{00000000-0005-0000-0000-0000290A0000}"/>
    <cellStyle name="20% - Accent2 2 2 6 3 2 2" xfId="2555" xr:uid="{00000000-0005-0000-0000-00002A0A0000}"/>
    <cellStyle name="20% - Accent2 2 2 6 3 3" xfId="2556" xr:uid="{00000000-0005-0000-0000-00002B0A0000}"/>
    <cellStyle name="20% - Accent2 2 2 6 4" xfId="2557" xr:uid="{00000000-0005-0000-0000-00002C0A0000}"/>
    <cellStyle name="20% - Accent2 2 2 6 4 2" xfId="2558" xr:uid="{00000000-0005-0000-0000-00002D0A0000}"/>
    <cellStyle name="20% - Accent2 2 2 6 5" xfId="2559" xr:uid="{00000000-0005-0000-0000-00002E0A0000}"/>
    <cellStyle name="20% - Accent2 2 2 7" xfId="2560" xr:uid="{00000000-0005-0000-0000-00002F0A0000}"/>
    <cellStyle name="20% - Accent2 2 2 7 2" xfId="2561" xr:uid="{00000000-0005-0000-0000-0000300A0000}"/>
    <cellStyle name="20% - Accent2 2 2 7 2 2" xfId="2562" xr:uid="{00000000-0005-0000-0000-0000310A0000}"/>
    <cellStyle name="20% - Accent2 2 2 7 2 2 2" xfId="2563" xr:uid="{00000000-0005-0000-0000-0000320A0000}"/>
    <cellStyle name="20% - Accent2 2 2 7 2 3" xfId="2564" xr:uid="{00000000-0005-0000-0000-0000330A0000}"/>
    <cellStyle name="20% - Accent2 2 2 7 3" xfId="2565" xr:uid="{00000000-0005-0000-0000-0000340A0000}"/>
    <cellStyle name="20% - Accent2 2 2 7 3 2" xfId="2566" xr:uid="{00000000-0005-0000-0000-0000350A0000}"/>
    <cellStyle name="20% - Accent2 2 2 7 4" xfId="2567" xr:uid="{00000000-0005-0000-0000-0000360A0000}"/>
    <cellStyle name="20% - Accent2 2 2 8" xfId="2568" xr:uid="{00000000-0005-0000-0000-0000370A0000}"/>
    <cellStyle name="20% - Accent2 2 2 8 2" xfId="2569" xr:uid="{00000000-0005-0000-0000-0000380A0000}"/>
    <cellStyle name="20% - Accent2 2 2 8 2 2" xfId="2570" xr:uid="{00000000-0005-0000-0000-0000390A0000}"/>
    <cellStyle name="20% - Accent2 2 2 8 3" xfId="2571" xr:uid="{00000000-0005-0000-0000-00003A0A0000}"/>
    <cellStyle name="20% - Accent2 2 2 9" xfId="2572" xr:uid="{00000000-0005-0000-0000-00003B0A0000}"/>
    <cellStyle name="20% - Accent2 2 2 9 2" xfId="2573" xr:uid="{00000000-0005-0000-0000-00003C0A0000}"/>
    <cellStyle name="20% - Accent2 2 3" xfId="2574" xr:uid="{00000000-0005-0000-0000-00003D0A0000}"/>
    <cellStyle name="20% - Accent2 2 3 2" xfId="2575" xr:uid="{00000000-0005-0000-0000-00003E0A0000}"/>
    <cellStyle name="20% - Accent2 2 3 2 2" xfId="2576" xr:uid="{00000000-0005-0000-0000-00003F0A0000}"/>
    <cellStyle name="20% - Accent2 2 3 2 2 2" xfId="2577" xr:uid="{00000000-0005-0000-0000-0000400A0000}"/>
    <cellStyle name="20% - Accent2 2 3 2 2 2 2" xfId="2578" xr:uid="{00000000-0005-0000-0000-0000410A0000}"/>
    <cellStyle name="20% - Accent2 2 3 2 2 2 2 2" xfId="2579" xr:uid="{00000000-0005-0000-0000-0000420A0000}"/>
    <cellStyle name="20% - Accent2 2 3 2 2 2 2 2 2" xfId="2580" xr:uid="{00000000-0005-0000-0000-0000430A0000}"/>
    <cellStyle name="20% - Accent2 2 3 2 2 2 2 2 2 2" xfId="2581" xr:uid="{00000000-0005-0000-0000-0000440A0000}"/>
    <cellStyle name="20% - Accent2 2 3 2 2 2 2 2 2 2 2" xfId="2582" xr:uid="{00000000-0005-0000-0000-0000450A0000}"/>
    <cellStyle name="20% - Accent2 2 3 2 2 2 2 2 2 3" xfId="2583" xr:uid="{00000000-0005-0000-0000-0000460A0000}"/>
    <cellStyle name="20% - Accent2 2 3 2 2 2 2 2 3" xfId="2584" xr:uid="{00000000-0005-0000-0000-0000470A0000}"/>
    <cellStyle name="20% - Accent2 2 3 2 2 2 2 2 3 2" xfId="2585" xr:uid="{00000000-0005-0000-0000-0000480A0000}"/>
    <cellStyle name="20% - Accent2 2 3 2 2 2 2 2 4" xfId="2586" xr:uid="{00000000-0005-0000-0000-0000490A0000}"/>
    <cellStyle name="20% - Accent2 2 3 2 2 2 2 3" xfId="2587" xr:uid="{00000000-0005-0000-0000-00004A0A0000}"/>
    <cellStyle name="20% - Accent2 2 3 2 2 2 2 3 2" xfId="2588" xr:uid="{00000000-0005-0000-0000-00004B0A0000}"/>
    <cellStyle name="20% - Accent2 2 3 2 2 2 2 3 2 2" xfId="2589" xr:uid="{00000000-0005-0000-0000-00004C0A0000}"/>
    <cellStyle name="20% - Accent2 2 3 2 2 2 2 3 3" xfId="2590" xr:uid="{00000000-0005-0000-0000-00004D0A0000}"/>
    <cellStyle name="20% - Accent2 2 3 2 2 2 2 4" xfId="2591" xr:uid="{00000000-0005-0000-0000-00004E0A0000}"/>
    <cellStyle name="20% - Accent2 2 3 2 2 2 2 4 2" xfId="2592" xr:uid="{00000000-0005-0000-0000-00004F0A0000}"/>
    <cellStyle name="20% - Accent2 2 3 2 2 2 2 5" xfId="2593" xr:uid="{00000000-0005-0000-0000-0000500A0000}"/>
    <cellStyle name="20% - Accent2 2 3 2 2 2 3" xfId="2594" xr:uid="{00000000-0005-0000-0000-0000510A0000}"/>
    <cellStyle name="20% - Accent2 2 3 2 2 2 3 2" xfId="2595" xr:uid="{00000000-0005-0000-0000-0000520A0000}"/>
    <cellStyle name="20% - Accent2 2 3 2 2 2 3 2 2" xfId="2596" xr:uid="{00000000-0005-0000-0000-0000530A0000}"/>
    <cellStyle name="20% - Accent2 2 3 2 2 2 3 2 2 2" xfId="2597" xr:uid="{00000000-0005-0000-0000-0000540A0000}"/>
    <cellStyle name="20% - Accent2 2 3 2 2 2 3 2 3" xfId="2598" xr:uid="{00000000-0005-0000-0000-0000550A0000}"/>
    <cellStyle name="20% - Accent2 2 3 2 2 2 3 3" xfId="2599" xr:uid="{00000000-0005-0000-0000-0000560A0000}"/>
    <cellStyle name="20% - Accent2 2 3 2 2 2 3 3 2" xfId="2600" xr:uid="{00000000-0005-0000-0000-0000570A0000}"/>
    <cellStyle name="20% - Accent2 2 3 2 2 2 3 4" xfId="2601" xr:uid="{00000000-0005-0000-0000-0000580A0000}"/>
    <cellStyle name="20% - Accent2 2 3 2 2 2 4" xfId="2602" xr:uid="{00000000-0005-0000-0000-0000590A0000}"/>
    <cellStyle name="20% - Accent2 2 3 2 2 2 4 2" xfId="2603" xr:uid="{00000000-0005-0000-0000-00005A0A0000}"/>
    <cellStyle name="20% - Accent2 2 3 2 2 2 4 2 2" xfId="2604" xr:uid="{00000000-0005-0000-0000-00005B0A0000}"/>
    <cellStyle name="20% - Accent2 2 3 2 2 2 4 3" xfId="2605" xr:uid="{00000000-0005-0000-0000-00005C0A0000}"/>
    <cellStyle name="20% - Accent2 2 3 2 2 2 5" xfId="2606" xr:uid="{00000000-0005-0000-0000-00005D0A0000}"/>
    <cellStyle name="20% - Accent2 2 3 2 2 2 5 2" xfId="2607" xr:uid="{00000000-0005-0000-0000-00005E0A0000}"/>
    <cellStyle name="20% - Accent2 2 3 2 2 2 6" xfId="2608" xr:uid="{00000000-0005-0000-0000-00005F0A0000}"/>
    <cellStyle name="20% - Accent2 2 3 2 2 3" xfId="2609" xr:uid="{00000000-0005-0000-0000-0000600A0000}"/>
    <cellStyle name="20% - Accent2 2 3 2 2 3 2" xfId="2610" xr:uid="{00000000-0005-0000-0000-0000610A0000}"/>
    <cellStyle name="20% - Accent2 2 3 2 2 3 2 2" xfId="2611" xr:uid="{00000000-0005-0000-0000-0000620A0000}"/>
    <cellStyle name="20% - Accent2 2 3 2 2 3 2 2 2" xfId="2612" xr:uid="{00000000-0005-0000-0000-0000630A0000}"/>
    <cellStyle name="20% - Accent2 2 3 2 2 3 2 2 2 2" xfId="2613" xr:uid="{00000000-0005-0000-0000-0000640A0000}"/>
    <cellStyle name="20% - Accent2 2 3 2 2 3 2 2 3" xfId="2614" xr:uid="{00000000-0005-0000-0000-0000650A0000}"/>
    <cellStyle name="20% - Accent2 2 3 2 2 3 2 3" xfId="2615" xr:uid="{00000000-0005-0000-0000-0000660A0000}"/>
    <cellStyle name="20% - Accent2 2 3 2 2 3 2 3 2" xfId="2616" xr:uid="{00000000-0005-0000-0000-0000670A0000}"/>
    <cellStyle name="20% - Accent2 2 3 2 2 3 2 4" xfId="2617" xr:uid="{00000000-0005-0000-0000-0000680A0000}"/>
    <cellStyle name="20% - Accent2 2 3 2 2 3 3" xfId="2618" xr:uid="{00000000-0005-0000-0000-0000690A0000}"/>
    <cellStyle name="20% - Accent2 2 3 2 2 3 3 2" xfId="2619" xr:uid="{00000000-0005-0000-0000-00006A0A0000}"/>
    <cellStyle name="20% - Accent2 2 3 2 2 3 3 2 2" xfId="2620" xr:uid="{00000000-0005-0000-0000-00006B0A0000}"/>
    <cellStyle name="20% - Accent2 2 3 2 2 3 3 3" xfId="2621" xr:uid="{00000000-0005-0000-0000-00006C0A0000}"/>
    <cellStyle name="20% - Accent2 2 3 2 2 3 4" xfId="2622" xr:uid="{00000000-0005-0000-0000-00006D0A0000}"/>
    <cellStyle name="20% - Accent2 2 3 2 2 3 4 2" xfId="2623" xr:uid="{00000000-0005-0000-0000-00006E0A0000}"/>
    <cellStyle name="20% - Accent2 2 3 2 2 3 5" xfId="2624" xr:uid="{00000000-0005-0000-0000-00006F0A0000}"/>
    <cellStyle name="20% - Accent2 2 3 2 2 4" xfId="2625" xr:uid="{00000000-0005-0000-0000-0000700A0000}"/>
    <cellStyle name="20% - Accent2 2 3 2 2 4 2" xfId="2626" xr:uid="{00000000-0005-0000-0000-0000710A0000}"/>
    <cellStyle name="20% - Accent2 2 3 2 2 4 2 2" xfId="2627" xr:uid="{00000000-0005-0000-0000-0000720A0000}"/>
    <cellStyle name="20% - Accent2 2 3 2 2 4 2 2 2" xfId="2628" xr:uid="{00000000-0005-0000-0000-0000730A0000}"/>
    <cellStyle name="20% - Accent2 2 3 2 2 4 2 3" xfId="2629" xr:uid="{00000000-0005-0000-0000-0000740A0000}"/>
    <cellStyle name="20% - Accent2 2 3 2 2 4 3" xfId="2630" xr:uid="{00000000-0005-0000-0000-0000750A0000}"/>
    <cellStyle name="20% - Accent2 2 3 2 2 4 3 2" xfId="2631" xr:uid="{00000000-0005-0000-0000-0000760A0000}"/>
    <cellStyle name="20% - Accent2 2 3 2 2 4 4" xfId="2632" xr:uid="{00000000-0005-0000-0000-0000770A0000}"/>
    <cellStyle name="20% - Accent2 2 3 2 2 5" xfId="2633" xr:uid="{00000000-0005-0000-0000-0000780A0000}"/>
    <cellStyle name="20% - Accent2 2 3 2 2 5 2" xfId="2634" xr:uid="{00000000-0005-0000-0000-0000790A0000}"/>
    <cellStyle name="20% - Accent2 2 3 2 2 5 2 2" xfId="2635" xr:uid="{00000000-0005-0000-0000-00007A0A0000}"/>
    <cellStyle name="20% - Accent2 2 3 2 2 5 3" xfId="2636" xr:uid="{00000000-0005-0000-0000-00007B0A0000}"/>
    <cellStyle name="20% - Accent2 2 3 2 2 6" xfId="2637" xr:uid="{00000000-0005-0000-0000-00007C0A0000}"/>
    <cellStyle name="20% - Accent2 2 3 2 2 6 2" xfId="2638" xr:uid="{00000000-0005-0000-0000-00007D0A0000}"/>
    <cellStyle name="20% - Accent2 2 3 2 2 7" xfId="2639" xr:uid="{00000000-0005-0000-0000-00007E0A0000}"/>
    <cellStyle name="20% - Accent2 2 3 2 3" xfId="2640" xr:uid="{00000000-0005-0000-0000-00007F0A0000}"/>
    <cellStyle name="20% - Accent2 2 3 2 3 2" xfId="2641" xr:uid="{00000000-0005-0000-0000-0000800A0000}"/>
    <cellStyle name="20% - Accent2 2 3 2 3 2 2" xfId="2642" xr:uid="{00000000-0005-0000-0000-0000810A0000}"/>
    <cellStyle name="20% - Accent2 2 3 2 3 2 2 2" xfId="2643" xr:uid="{00000000-0005-0000-0000-0000820A0000}"/>
    <cellStyle name="20% - Accent2 2 3 2 3 2 2 2 2" xfId="2644" xr:uid="{00000000-0005-0000-0000-0000830A0000}"/>
    <cellStyle name="20% - Accent2 2 3 2 3 2 2 2 2 2" xfId="2645" xr:uid="{00000000-0005-0000-0000-0000840A0000}"/>
    <cellStyle name="20% - Accent2 2 3 2 3 2 2 2 3" xfId="2646" xr:uid="{00000000-0005-0000-0000-0000850A0000}"/>
    <cellStyle name="20% - Accent2 2 3 2 3 2 2 3" xfId="2647" xr:uid="{00000000-0005-0000-0000-0000860A0000}"/>
    <cellStyle name="20% - Accent2 2 3 2 3 2 2 3 2" xfId="2648" xr:uid="{00000000-0005-0000-0000-0000870A0000}"/>
    <cellStyle name="20% - Accent2 2 3 2 3 2 2 4" xfId="2649" xr:uid="{00000000-0005-0000-0000-0000880A0000}"/>
    <cellStyle name="20% - Accent2 2 3 2 3 2 3" xfId="2650" xr:uid="{00000000-0005-0000-0000-0000890A0000}"/>
    <cellStyle name="20% - Accent2 2 3 2 3 2 3 2" xfId="2651" xr:uid="{00000000-0005-0000-0000-00008A0A0000}"/>
    <cellStyle name="20% - Accent2 2 3 2 3 2 3 2 2" xfId="2652" xr:uid="{00000000-0005-0000-0000-00008B0A0000}"/>
    <cellStyle name="20% - Accent2 2 3 2 3 2 3 3" xfId="2653" xr:uid="{00000000-0005-0000-0000-00008C0A0000}"/>
    <cellStyle name="20% - Accent2 2 3 2 3 2 4" xfId="2654" xr:uid="{00000000-0005-0000-0000-00008D0A0000}"/>
    <cellStyle name="20% - Accent2 2 3 2 3 2 4 2" xfId="2655" xr:uid="{00000000-0005-0000-0000-00008E0A0000}"/>
    <cellStyle name="20% - Accent2 2 3 2 3 2 5" xfId="2656" xr:uid="{00000000-0005-0000-0000-00008F0A0000}"/>
    <cellStyle name="20% - Accent2 2 3 2 3 3" xfId="2657" xr:uid="{00000000-0005-0000-0000-0000900A0000}"/>
    <cellStyle name="20% - Accent2 2 3 2 3 3 2" xfId="2658" xr:uid="{00000000-0005-0000-0000-0000910A0000}"/>
    <cellStyle name="20% - Accent2 2 3 2 3 3 2 2" xfId="2659" xr:uid="{00000000-0005-0000-0000-0000920A0000}"/>
    <cellStyle name="20% - Accent2 2 3 2 3 3 2 2 2" xfId="2660" xr:uid="{00000000-0005-0000-0000-0000930A0000}"/>
    <cellStyle name="20% - Accent2 2 3 2 3 3 2 3" xfId="2661" xr:uid="{00000000-0005-0000-0000-0000940A0000}"/>
    <cellStyle name="20% - Accent2 2 3 2 3 3 3" xfId="2662" xr:uid="{00000000-0005-0000-0000-0000950A0000}"/>
    <cellStyle name="20% - Accent2 2 3 2 3 3 3 2" xfId="2663" xr:uid="{00000000-0005-0000-0000-0000960A0000}"/>
    <cellStyle name="20% - Accent2 2 3 2 3 3 4" xfId="2664" xr:uid="{00000000-0005-0000-0000-0000970A0000}"/>
    <cellStyle name="20% - Accent2 2 3 2 3 4" xfId="2665" xr:uid="{00000000-0005-0000-0000-0000980A0000}"/>
    <cellStyle name="20% - Accent2 2 3 2 3 4 2" xfId="2666" xr:uid="{00000000-0005-0000-0000-0000990A0000}"/>
    <cellStyle name="20% - Accent2 2 3 2 3 4 2 2" xfId="2667" xr:uid="{00000000-0005-0000-0000-00009A0A0000}"/>
    <cellStyle name="20% - Accent2 2 3 2 3 4 3" xfId="2668" xr:uid="{00000000-0005-0000-0000-00009B0A0000}"/>
    <cellStyle name="20% - Accent2 2 3 2 3 5" xfId="2669" xr:uid="{00000000-0005-0000-0000-00009C0A0000}"/>
    <cellStyle name="20% - Accent2 2 3 2 3 5 2" xfId="2670" xr:uid="{00000000-0005-0000-0000-00009D0A0000}"/>
    <cellStyle name="20% - Accent2 2 3 2 3 6" xfId="2671" xr:uid="{00000000-0005-0000-0000-00009E0A0000}"/>
    <cellStyle name="20% - Accent2 2 3 2 4" xfId="2672" xr:uid="{00000000-0005-0000-0000-00009F0A0000}"/>
    <cellStyle name="20% - Accent2 2 3 2 4 2" xfId="2673" xr:uid="{00000000-0005-0000-0000-0000A00A0000}"/>
    <cellStyle name="20% - Accent2 2 3 2 4 2 2" xfId="2674" xr:uid="{00000000-0005-0000-0000-0000A10A0000}"/>
    <cellStyle name="20% - Accent2 2 3 2 4 2 2 2" xfId="2675" xr:uid="{00000000-0005-0000-0000-0000A20A0000}"/>
    <cellStyle name="20% - Accent2 2 3 2 4 2 2 2 2" xfId="2676" xr:uid="{00000000-0005-0000-0000-0000A30A0000}"/>
    <cellStyle name="20% - Accent2 2 3 2 4 2 2 3" xfId="2677" xr:uid="{00000000-0005-0000-0000-0000A40A0000}"/>
    <cellStyle name="20% - Accent2 2 3 2 4 2 3" xfId="2678" xr:uid="{00000000-0005-0000-0000-0000A50A0000}"/>
    <cellStyle name="20% - Accent2 2 3 2 4 2 3 2" xfId="2679" xr:uid="{00000000-0005-0000-0000-0000A60A0000}"/>
    <cellStyle name="20% - Accent2 2 3 2 4 2 4" xfId="2680" xr:uid="{00000000-0005-0000-0000-0000A70A0000}"/>
    <cellStyle name="20% - Accent2 2 3 2 4 3" xfId="2681" xr:uid="{00000000-0005-0000-0000-0000A80A0000}"/>
    <cellStyle name="20% - Accent2 2 3 2 4 3 2" xfId="2682" xr:uid="{00000000-0005-0000-0000-0000A90A0000}"/>
    <cellStyle name="20% - Accent2 2 3 2 4 3 2 2" xfId="2683" xr:uid="{00000000-0005-0000-0000-0000AA0A0000}"/>
    <cellStyle name="20% - Accent2 2 3 2 4 3 3" xfId="2684" xr:uid="{00000000-0005-0000-0000-0000AB0A0000}"/>
    <cellStyle name="20% - Accent2 2 3 2 4 4" xfId="2685" xr:uid="{00000000-0005-0000-0000-0000AC0A0000}"/>
    <cellStyle name="20% - Accent2 2 3 2 4 4 2" xfId="2686" xr:uid="{00000000-0005-0000-0000-0000AD0A0000}"/>
    <cellStyle name="20% - Accent2 2 3 2 4 5" xfId="2687" xr:uid="{00000000-0005-0000-0000-0000AE0A0000}"/>
    <cellStyle name="20% - Accent2 2 3 2 5" xfId="2688" xr:uid="{00000000-0005-0000-0000-0000AF0A0000}"/>
    <cellStyle name="20% - Accent2 2 3 2 5 2" xfId="2689" xr:uid="{00000000-0005-0000-0000-0000B00A0000}"/>
    <cellStyle name="20% - Accent2 2 3 2 5 2 2" xfId="2690" xr:uid="{00000000-0005-0000-0000-0000B10A0000}"/>
    <cellStyle name="20% - Accent2 2 3 2 5 2 2 2" xfId="2691" xr:uid="{00000000-0005-0000-0000-0000B20A0000}"/>
    <cellStyle name="20% - Accent2 2 3 2 5 2 3" xfId="2692" xr:uid="{00000000-0005-0000-0000-0000B30A0000}"/>
    <cellStyle name="20% - Accent2 2 3 2 5 3" xfId="2693" xr:uid="{00000000-0005-0000-0000-0000B40A0000}"/>
    <cellStyle name="20% - Accent2 2 3 2 5 3 2" xfId="2694" xr:uid="{00000000-0005-0000-0000-0000B50A0000}"/>
    <cellStyle name="20% - Accent2 2 3 2 5 4" xfId="2695" xr:uid="{00000000-0005-0000-0000-0000B60A0000}"/>
    <cellStyle name="20% - Accent2 2 3 2 6" xfId="2696" xr:uid="{00000000-0005-0000-0000-0000B70A0000}"/>
    <cellStyle name="20% - Accent2 2 3 2 6 2" xfId="2697" xr:uid="{00000000-0005-0000-0000-0000B80A0000}"/>
    <cellStyle name="20% - Accent2 2 3 2 6 2 2" xfId="2698" xr:uid="{00000000-0005-0000-0000-0000B90A0000}"/>
    <cellStyle name="20% - Accent2 2 3 2 6 3" xfId="2699" xr:uid="{00000000-0005-0000-0000-0000BA0A0000}"/>
    <cellStyle name="20% - Accent2 2 3 2 7" xfId="2700" xr:uid="{00000000-0005-0000-0000-0000BB0A0000}"/>
    <cellStyle name="20% - Accent2 2 3 2 7 2" xfId="2701" xr:uid="{00000000-0005-0000-0000-0000BC0A0000}"/>
    <cellStyle name="20% - Accent2 2 3 2 8" xfId="2702" xr:uid="{00000000-0005-0000-0000-0000BD0A0000}"/>
    <cellStyle name="20% - Accent2 2 3 3" xfId="2703" xr:uid="{00000000-0005-0000-0000-0000BE0A0000}"/>
    <cellStyle name="20% - Accent2 2 3 3 2" xfId="2704" xr:uid="{00000000-0005-0000-0000-0000BF0A0000}"/>
    <cellStyle name="20% - Accent2 2 3 3 2 2" xfId="2705" xr:uid="{00000000-0005-0000-0000-0000C00A0000}"/>
    <cellStyle name="20% - Accent2 2 3 3 2 2 2" xfId="2706" xr:uid="{00000000-0005-0000-0000-0000C10A0000}"/>
    <cellStyle name="20% - Accent2 2 3 3 2 2 2 2" xfId="2707" xr:uid="{00000000-0005-0000-0000-0000C20A0000}"/>
    <cellStyle name="20% - Accent2 2 3 3 2 2 2 2 2" xfId="2708" xr:uid="{00000000-0005-0000-0000-0000C30A0000}"/>
    <cellStyle name="20% - Accent2 2 3 3 2 2 2 2 2 2" xfId="2709" xr:uid="{00000000-0005-0000-0000-0000C40A0000}"/>
    <cellStyle name="20% - Accent2 2 3 3 2 2 2 2 3" xfId="2710" xr:uid="{00000000-0005-0000-0000-0000C50A0000}"/>
    <cellStyle name="20% - Accent2 2 3 3 2 2 2 3" xfId="2711" xr:uid="{00000000-0005-0000-0000-0000C60A0000}"/>
    <cellStyle name="20% - Accent2 2 3 3 2 2 2 3 2" xfId="2712" xr:uid="{00000000-0005-0000-0000-0000C70A0000}"/>
    <cellStyle name="20% - Accent2 2 3 3 2 2 2 4" xfId="2713" xr:uid="{00000000-0005-0000-0000-0000C80A0000}"/>
    <cellStyle name="20% - Accent2 2 3 3 2 2 3" xfId="2714" xr:uid="{00000000-0005-0000-0000-0000C90A0000}"/>
    <cellStyle name="20% - Accent2 2 3 3 2 2 3 2" xfId="2715" xr:uid="{00000000-0005-0000-0000-0000CA0A0000}"/>
    <cellStyle name="20% - Accent2 2 3 3 2 2 3 2 2" xfId="2716" xr:uid="{00000000-0005-0000-0000-0000CB0A0000}"/>
    <cellStyle name="20% - Accent2 2 3 3 2 2 3 3" xfId="2717" xr:uid="{00000000-0005-0000-0000-0000CC0A0000}"/>
    <cellStyle name="20% - Accent2 2 3 3 2 2 4" xfId="2718" xr:uid="{00000000-0005-0000-0000-0000CD0A0000}"/>
    <cellStyle name="20% - Accent2 2 3 3 2 2 4 2" xfId="2719" xr:uid="{00000000-0005-0000-0000-0000CE0A0000}"/>
    <cellStyle name="20% - Accent2 2 3 3 2 2 5" xfId="2720" xr:uid="{00000000-0005-0000-0000-0000CF0A0000}"/>
    <cellStyle name="20% - Accent2 2 3 3 2 3" xfId="2721" xr:uid="{00000000-0005-0000-0000-0000D00A0000}"/>
    <cellStyle name="20% - Accent2 2 3 3 2 3 2" xfId="2722" xr:uid="{00000000-0005-0000-0000-0000D10A0000}"/>
    <cellStyle name="20% - Accent2 2 3 3 2 3 2 2" xfId="2723" xr:uid="{00000000-0005-0000-0000-0000D20A0000}"/>
    <cellStyle name="20% - Accent2 2 3 3 2 3 2 2 2" xfId="2724" xr:uid="{00000000-0005-0000-0000-0000D30A0000}"/>
    <cellStyle name="20% - Accent2 2 3 3 2 3 2 3" xfId="2725" xr:uid="{00000000-0005-0000-0000-0000D40A0000}"/>
    <cellStyle name="20% - Accent2 2 3 3 2 3 3" xfId="2726" xr:uid="{00000000-0005-0000-0000-0000D50A0000}"/>
    <cellStyle name="20% - Accent2 2 3 3 2 3 3 2" xfId="2727" xr:uid="{00000000-0005-0000-0000-0000D60A0000}"/>
    <cellStyle name="20% - Accent2 2 3 3 2 3 4" xfId="2728" xr:uid="{00000000-0005-0000-0000-0000D70A0000}"/>
    <cellStyle name="20% - Accent2 2 3 3 2 4" xfId="2729" xr:uid="{00000000-0005-0000-0000-0000D80A0000}"/>
    <cellStyle name="20% - Accent2 2 3 3 2 4 2" xfId="2730" xr:uid="{00000000-0005-0000-0000-0000D90A0000}"/>
    <cellStyle name="20% - Accent2 2 3 3 2 4 2 2" xfId="2731" xr:uid="{00000000-0005-0000-0000-0000DA0A0000}"/>
    <cellStyle name="20% - Accent2 2 3 3 2 4 3" xfId="2732" xr:uid="{00000000-0005-0000-0000-0000DB0A0000}"/>
    <cellStyle name="20% - Accent2 2 3 3 2 5" xfId="2733" xr:uid="{00000000-0005-0000-0000-0000DC0A0000}"/>
    <cellStyle name="20% - Accent2 2 3 3 2 5 2" xfId="2734" xr:uid="{00000000-0005-0000-0000-0000DD0A0000}"/>
    <cellStyle name="20% - Accent2 2 3 3 2 6" xfId="2735" xr:uid="{00000000-0005-0000-0000-0000DE0A0000}"/>
    <cellStyle name="20% - Accent2 2 3 3 3" xfId="2736" xr:uid="{00000000-0005-0000-0000-0000DF0A0000}"/>
    <cellStyle name="20% - Accent2 2 3 3 3 2" xfId="2737" xr:uid="{00000000-0005-0000-0000-0000E00A0000}"/>
    <cellStyle name="20% - Accent2 2 3 3 3 2 2" xfId="2738" xr:uid="{00000000-0005-0000-0000-0000E10A0000}"/>
    <cellStyle name="20% - Accent2 2 3 3 3 2 2 2" xfId="2739" xr:uid="{00000000-0005-0000-0000-0000E20A0000}"/>
    <cellStyle name="20% - Accent2 2 3 3 3 2 2 2 2" xfId="2740" xr:uid="{00000000-0005-0000-0000-0000E30A0000}"/>
    <cellStyle name="20% - Accent2 2 3 3 3 2 2 3" xfId="2741" xr:uid="{00000000-0005-0000-0000-0000E40A0000}"/>
    <cellStyle name="20% - Accent2 2 3 3 3 2 3" xfId="2742" xr:uid="{00000000-0005-0000-0000-0000E50A0000}"/>
    <cellStyle name="20% - Accent2 2 3 3 3 2 3 2" xfId="2743" xr:uid="{00000000-0005-0000-0000-0000E60A0000}"/>
    <cellStyle name="20% - Accent2 2 3 3 3 2 4" xfId="2744" xr:uid="{00000000-0005-0000-0000-0000E70A0000}"/>
    <cellStyle name="20% - Accent2 2 3 3 3 3" xfId="2745" xr:uid="{00000000-0005-0000-0000-0000E80A0000}"/>
    <cellStyle name="20% - Accent2 2 3 3 3 3 2" xfId="2746" xr:uid="{00000000-0005-0000-0000-0000E90A0000}"/>
    <cellStyle name="20% - Accent2 2 3 3 3 3 2 2" xfId="2747" xr:uid="{00000000-0005-0000-0000-0000EA0A0000}"/>
    <cellStyle name="20% - Accent2 2 3 3 3 3 3" xfId="2748" xr:uid="{00000000-0005-0000-0000-0000EB0A0000}"/>
    <cellStyle name="20% - Accent2 2 3 3 3 4" xfId="2749" xr:uid="{00000000-0005-0000-0000-0000EC0A0000}"/>
    <cellStyle name="20% - Accent2 2 3 3 3 4 2" xfId="2750" xr:uid="{00000000-0005-0000-0000-0000ED0A0000}"/>
    <cellStyle name="20% - Accent2 2 3 3 3 5" xfId="2751" xr:uid="{00000000-0005-0000-0000-0000EE0A0000}"/>
    <cellStyle name="20% - Accent2 2 3 3 4" xfId="2752" xr:uid="{00000000-0005-0000-0000-0000EF0A0000}"/>
    <cellStyle name="20% - Accent2 2 3 3 4 2" xfId="2753" xr:uid="{00000000-0005-0000-0000-0000F00A0000}"/>
    <cellStyle name="20% - Accent2 2 3 3 4 2 2" xfId="2754" xr:uid="{00000000-0005-0000-0000-0000F10A0000}"/>
    <cellStyle name="20% - Accent2 2 3 3 4 2 2 2" xfId="2755" xr:uid="{00000000-0005-0000-0000-0000F20A0000}"/>
    <cellStyle name="20% - Accent2 2 3 3 4 2 3" xfId="2756" xr:uid="{00000000-0005-0000-0000-0000F30A0000}"/>
    <cellStyle name="20% - Accent2 2 3 3 4 3" xfId="2757" xr:uid="{00000000-0005-0000-0000-0000F40A0000}"/>
    <cellStyle name="20% - Accent2 2 3 3 4 3 2" xfId="2758" xr:uid="{00000000-0005-0000-0000-0000F50A0000}"/>
    <cellStyle name="20% - Accent2 2 3 3 4 4" xfId="2759" xr:uid="{00000000-0005-0000-0000-0000F60A0000}"/>
    <cellStyle name="20% - Accent2 2 3 3 5" xfId="2760" xr:uid="{00000000-0005-0000-0000-0000F70A0000}"/>
    <cellStyle name="20% - Accent2 2 3 3 5 2" xfId="2761" xr:uid="{00000000-0005-0000-0000-0000F80A0000}"/>
    <cellStyle name="20% - Accent2 2 3 3 5 2 2" xfId="2762" xr:uid="{00000000-0005-0000-0000-0000F90A0000}"/>
    <cellStyle name="20% - Accent2 2 3 3 5 3" xfId="2763" xr:uid="{00000000-0005-0000-0000-0000FA0A0000}"/>
    <cellStyle name="20% - Accent2 2 3 3 6" xfId="2764" xr:uid="{00000000-0005-0000-0000-0000FB0A0000}"/>
    <cellStyle name="20% - Accent2 2 3 3 6 2" xfId="2765" xr:uid="{00000000-0005-0000-0000-0000FC0A0000}"/>
    <cellStyle name="20% - Accent2 2 3 3 7" xfId="2766" xr:uid="{00000000-0005-0000-0000-0000FD0A0000}"/>
    <cellStyle name="20% - Accent2 2 3 4" xfId="2767" xr:uid="{00000000-0005-0000-0000-0000FE0A0000}"/>
    <cellStyle name="20% - Accent2 2 3 4 2" xfId="2768" xr:uid="{00000000-0005-0000-0000-0000FF0A0000}"/>
    <cellStyle name="20% - Accent2 2 3 4 2 2" xfId="2769" xr:uid="{00000000-0005-0000-0000-0000000B0000}"/>
    <cellStyle name="20% - Accent2 2 3 4 2 2 2" xfId="2770" xr:uid="{00000000-0005-0000-0000-0000010B0000}"/>
    <cellStyle name="20% - Accent2 2 3 4 2 2 2 2" xfId="2771" xr:uid="{00000000-0005-0000-0000-0000020B0000}"/>
    <cellStyle name="20% - Accent2 2 3 4 2 2 2 2 2" xfId="2772" xr:uid="{00000000-0005-0000-0000-0000030B0000}"/>
    <cellStyle name="20% - Accent2 2 3 4 2 2 2 3" xfId="2773" xr:uid="{00000000-0005-0000-0000-0000040B0000}"/>
    <cellStyle name="20% - Accent2 2 3 4 2 2 3" xfId="2774" xr:uid="{00000000-0005-0000-0000-0000050B0000}"/>
    <cellStyle name="20% - Accent2 2 3 4 2 2 3 2" xfId="2775" xr:uid="{00000000-0005-0000-0000-0000060B0000}"/>
    <cellStyle name="20% - Accent2 2 3 4 2 2 4" xfId="2776" xr:uid="{00000000-0005-0000-0000-0000070B0000}"/>
    <cellStyle name="20% - Accent2 2 3 4 2 3" xfId="2777" xr:uid="{00000000-0005-0000-0000-0000080B0000}"/>
    <cellStyle name="20% - Accent2 2 3 4 2 3 2" xfId="2778" xr:uid="{00000000-0005-0000-0000-0000090B0000}"/>
    <cellStyle name="20% - Accent2 2 3 4 2 3 2 2" xfId="2779" xr:uid="{00000000-0005-0000-0000-00000A0B0000}"/>
    <cellStyle name="20% - Accent2 2 3 4 2 3 3" xfId="2780" xr:uid="{00000000-0005-0000-0000-00000B0B0000}"/>
    <cellStyle name="20% - Accent2 2 3 4 2 4" xfId="2781" xr:uid="{00000000-0005-0000-0000-00000C0B0000}"/>
    <cellStyle name="20% - Accent2 2 3 4 2 4 2" xfId="2782" xr:uid="{00000000-0005-0000-0000-00000D0B0000}"/>
    <cellStyle name="20% - Accent2 2 3 4 2 5" xfId="2783" xr:uid="{00000000-0005-0000-0000-00000E0B0000}"/>
    <cellStyle name="20% - Accent2 2 3 4 3" xfId="2784" xr:uid="{00000000-0005-0000-0000-00000F0B0000}"/>
    <cellStyle name="20% - Accent2 2 3 4 3 2" xfId="2785" xr:uid="{00000000-0005-0000-0000-0000100B0000}"/>
    <cellStyle name="20% - Accent2 2 3 4 3 2 2" xfId="2786" xr:uid="{00000000-0005-0000-0000-0000110B0000}"/>
    <cellStyle name="20% - Accent2 2 3 4 3 2 2 2" xfId="2787" xr:uid="{00000000-0005-0000-0000-0000120B0000}"/>
    <cellStyle name="20% - Accent2 2 3 4 3 2 3" xfId="2788" xr:uid="{00000000-0005-0000-0000-0000130B0000}"/>
    <cellStyle name="20% - Accent2 2 3 4 3 3" xfId="2789" xr:uid="{00000000-0005-0000-0000-0000140B0000}"/>
    <cellStyle name="20% - Accent2 2 3 4 3 3 2" xfId="2790" xr:uid="{00000000-0005-0000-0000-0000150B0000}"/>
    <cellStyle name="20% - Accent2 2 3 4 3 4" xfId="2791" xr:uid="{00000000-0005-0000-0000-0000160B0000}"/>
    <cellStyle name="20% - Accent2 2 3 4 4" xfId="2792" xr:uid="{00000000-0005-0000-0000-0000170B0000}"/>
    <cellStyle name="20% - Accent2 2 3 4 4 2" xfId="2793" xr:uid="{00000000-0005-0000-0000-0000180B0000}"/>
    <cellStyle name="20% - Accent2 2 3 4 4 2 2" xfId="2794" xr:uid="{00000000-0005-0000-0000-0000190B0000}"/>
    <cellStyle name="20% - Accent2 2 3 4 4 3" xfId="2795" xr:uid="{00000000-0005-0000-0000-00001A0B0000}"/>
    <cellStyle name="20% - Accent2 2 3 4 5" xfId="2796" xr:uid="{00000000-0005-0000-0000-00001B0B0000}"/>
    <cellStyle name="20% - Accent2 2 3 4 5 2" xfId="2797" xr:uid="{00000000-0005-0000-0000-00001C0B0000}"/>
    <cellStyle name="20% - Accent2 2 3 4 6" xfId="2798" xr:uid="{00000000-0005-0000-0000-00001D0B0000}"/>
    <cellStyle name="20% - Accent2 2 3 5" xfId="2799" xr:uid="{00000000-0005-0000-0000-00001E0B0000}"/>
    <cellStyle name="20% - Accent2 2 3 5 2" xfId="2800" xr:uid="{00000000-0005-0000-0000-00001F0B0000}"/>
    <cellStyle name="20% - Accent2 2 3 5 2 2" xfId="2801" xr:uid="{00000000-0005-0000-0000-0000200B0000}"/>
    <cellStyle name="20% - Accent2 2 3 5 2 2 2" xfId="2802" xr:uid="{00000000-0005-0000-0000-0000210B0000}"/>
    <cellStyle name="20% - Accent2 2 3 5 2 2 2 2" xfId="2803" xr:uid="{00000000-0005-0000-0000-0000220B0000}"/>
    <cellStyle name="20% - Accent2 2 3 5 2 2 3" xfId="2804" xr:uid="{00000000-0005-0000-0000-0000230B0000}"/>
    <cellStyle name="20% - Accent2 2 3 5 2 3" xfId="2805" xr:uid="{00000000-0005-0000-0000-0000240B0000}"/>
    <cellStyle name="20% - Accent2 2 3 5 2 3 2" xfId="2806" xr:uid="{00000000-0005-0000-0000-0000250B0000}"/>
    <cellStyle name="20% - Accent2 2 3 5 2 4" xfId="2807" xr:uid="{00000000-0005-0000-0000-0000260B0000}"/>
    <cellStyle name="20% - Accent2 2 3 5 3" xfId="2808" xr:uid="{00000000-0005-0000-0000-0000270B0000}"/>
    <cellStyle name="20% - Accent2 2 3 5 3 2" xfId="2809" xr:uid="{00000000-0005-0000-0000-0000280B0000}"/>
    <cellStyle name="20% - Accent2 2 3 5 3 2 2" xfId="2810" xr:uid="{00000000-0005-0000-0000-0000290B0000}"/>
    <cellStyle name="20% - Accent2 2 3 5 3 3" xfId="2811" xr:uid="{00000000-0005-0000-0000-00002A0B0000}"/>
    <cellStyle name="20% - Accent2 2 3 5 4" xfId="2812" xr:uid="{00000000-0005-0000-0000-00002B0B0000}"/>
    <cellStyle name="20% - Accent2 2 3 5 4 2" xfId="2813" xr:uid="{00000000-0005-0000-0000-00002C0B0000}"/>
    <cellStyle name="20% - Accent2 2 3 5 5" xfId="2814" xr:uid="{00000000-0005-0000-0000-00002D0B0000}"/>
    <cellStyle name="20% - Accent2 2 3 6" xfId="2815" xr:uid="{00000000-0005-0000-0000-00002E0B0000}"/>
    <cellStyle name="20% - Accent2 2 3 6 2" xfId="2816" xr:uid="{00000000-0005-0000-0000-00002F0B0000}"/>
    <cellStyle name="20% - Accent2 2 3 6 2 2" xfId="2817" xr:uid="{00000000-0005-0000-0000-0000300B0000}"/>
    <cellStyle name="20% - Accent2 2 3 6 2 2 2" xfId="2818" xr:uid="{00000000-0005-0000-0000-0000310B0000}"/>
    <cellStyle name="20% - Accent2 2 3 6 2 3" xfId="2819" xr:uid="{00000000-0005-0000-0000-0000320B0000}"/>
    <cellStyle name="20% - Accent2 2 3 6 3" xfId="2820" xr:uid="{00000000-0005-0000-0000-0000330B0000}"/>
    <cellStyle name="20% - Accent2 2 3 6 3 2" xfId="2821" xr:uid="{00000000-0005-0000-0000-0000340B0000}"/>
    <cellStyle name="20% - Accent2 2 3 6 4" xfId="2822" xr:uid="{00000000-0005-0000-0000-0000350B0000}"/>
    <cellStyle name="20% - Accent2 2 3 7" xfId="2823" xr:uid="{00000000-0005-0000-0000-0000360B0000}"/>
    <cellStyle name="20% - Accent2 2 3 7 2" xfId="2824" xr:uid="{00000000-0005-0000-0000-0000370B0000}"/>
    <cellStyle name="20% - Accent2 2 3 7 2 2" xfId="2825" xr:uid="{00000000-0005-0000-0000-0000380B0000}"/>
    <cellStyle name="20% - Accent2 2 3 7 3" xfId="2826" xr:uid="{00000000-0005-0000-0000-0000390B0000}"/>
    <cellStyle name="20% - Accent2 2 3 8" xfId="2827" xr:uid="{00000000-0005-0000-0000-00003A0B0000}"/>
    <cellStyle name="20% - Accent2 2 3 8 2" xfId="2828" xr:uid="{00000000-0005-0000-0000-00003B0B0000}"/>
    <cellStyle name="20% - Accent2 2 3 9" xfId="2829" xr:uid="{00000000-0005-0000-0000-00003C0B0000}"/>
    <cellStyle name="20% - Accent2 2 4" xfId="2830" xr:uid="{00000000-0005-0000-0000-00003D0B0000}"/>
    <cellStyle name="20% - Accent2 2 4 2" xfId="2831" xr:uid="{00000000-0005-0000-0000-00003E0B0000}"/>
    <cellStyle name="20% - Accent2 2 4 2 2" xfId="2832" xr:uid="{00000000-0005-0000-0000-00003F0B0000}"/>
    <cellStyle name="20% - Accent2 2 4 2 2 2" xfId="2833" xr:uid="{00000000-0005-0000-0000-0000400B0000}"/>
    <cellStyle name="20% - Accent2 2 4 2 2 2 2" xfId="2834" xr:uid="{00000000-0005-0000-0000-0000410B0000}"/>
    <cellStyle name="20% - Accent2 2 4 2 2 2 2 2" xfId="2835" xr:uid="{00000000-0005-0000-0000-0000420B0000}"/>
    <cellStyle name="20% - Accent2 2 4 2 2 2 2 2 2" xfId="2836" xr:uid="{00000000-0005-0000-0000-0000430B0000}"/>
    <cellStyle name="20% - Accent2 2 4 2 2 2 2 2 2 2" xfId="2837" xr:uid="{00000000-0005-0000-0000-0000440B0000}"/>
    <cellStyle name="20% - Accent2 2 4 2 2 2 2 2 3" xfId="2838" xr:uid="{00000000-0005-0000-0000-0000450B0000}"/>
    <cellStyle name="20% - Accent2 2 4 2 2 2 2 3" xfId="2839" xr:uid="{00000000-0005-0000-0000-0000460B0000}"/>
    <cellStyle name="20% - Accent2 2 4 2 2 2 2 3 2" xfId="2840" xr:uid="{00000000-0005-0000-0000-0000470B0000}"/>
    <cellStyle name="20% - Accent2 2 4 2 2 2 2 4" xfId="2841" xr:uid="{00000000-0005-0000-0000-0000480B0000}"/>
    <cellStyle name="20% - Accent2 2 4 2 2 2 3" xfId="2842" xr:uid="{00000000-0005-0000-0000-0000490B0000}"/>
    <cellStyle name="20% - Accent2 2 4 2 2 2 3 2" xfId="2843" xr:uid="{00000000-0005-0000-0000-00004A0B0000}"/>
    <cellStyle name="20% - Accent2 2 4 2 2 2 3 2 2" xfId="2844" xr:uid="{00000000-0005-0000-0000-00004B0B0000}"/>
    <cellStyle name="20% - Accent2 2 4 2 2 2 3 3" xfId="2845" xr:uid="{00000000-0005-0000-0000-00004C0B0000}"/>
    <cellStyle name="20% - Accent2 2 4 2 2 2 4" xfId="2846" xr:uid="{00000000-0005-0000-0000-00004D0B0000}"/>
    <cellStyle name="20% - Accent2 2 4 2 2 2 4 2" xfId="2847" xr:uid="{00000000-0005-0000-0000-00004E0B0000}"/>
    <cellStyle name="20% - Accent2 2 4 2 2 2 5" xfId="2848" xr:uid="{00000000-0005-0000-0000-00004F0B0000}"/>
    <cellStyle name="20% - Accent2 2 4 2 2 3" xfId="2849" xr:uid="{00000000-0005-0000-0000-0000500B0000}"/>
    <cellStyle name="20% - Accent2 2 4 2 2 3 2" xfId="2850" xr:uid="{00000000-0005-0000-0000-0000510B0000}"/>
    <cellStyle name="20% - Accent2 2 4 2 2 3 2 2" xfId="2851" xr:uid="{00000000-0005-0000-0000-0000520B0000}"/>
    <cellStyle name="20% - Accent2 2 4 2 2 3 2 2 2" xfId="2852" xr:uid="{00000000-0005-0000-0000-0000530B0000}"/>
    <cellStyle name="20% - Accent2 2 4 2 2 3 2 3" xfId="2853" xr:uid="{00000000-0005-0000-0000-0000540B0000}"/>
    <cellStyle name="20% - Accent2 2 4 2 2 3 3" xfId="2854" xr:uid="{00000000-0005-0000-0000-0000550B0000}"/>
    <cellStyle name="20% - Accent2 2 4 2 2 3 3 2" xfId="2855" xr:uid="{00000000-0005-0000-0000-0000560B0000}"/>
    <cellStyle name="20% - Accent2 2 4 2 2 3 4" xfId="2856" xr:uid="{00000000-0005-0000-0000-0000570B0000}"/>
    <cellStyle name="20% - Accent2 2 4 2 2 4" xfId="2857" xr:uid="{00000000-0005-0000-0000-0000580B0000}"/>
    <cellStyle name="20% - Accent2 2 4 2 2 4 2" xfId="2858" xr:uid="{00000000-0005-0000-0000-0000590B0000}"/>
    <cellStyle name="20% - Accent2 2 4 2 2 4 2 2" xfId="2859" xr:uid="{00000000-0005-0000-0000-00005A0B0000}"/>
    <cellStyle name="20% - Accent2 2 4 2 2 4 3" xfId="2860" xr:uid="{00000000-0005-0000-0000-00005B0B0000}"/>
    <cellStyle name="20% - Accent2 2 4 2 2 5" xfId="2861" xr:uid="{00000000-0005-0000-0000-00005C0B0000}"/>
    <cellStyle name="20% - Accent2 2 4 2 2 5 2" xfId="2862" xr:uid="{00000000-0005-0000-0000-00005D0B0000}"/>
    <cellStyle name="20% - Accent2 2 4 2 2 6" xfId="2863" xr:uid="{00000000-0005-0000-0000-00005E0B0000}"/>
    <cellStyle name="20% - Accent2 2 4 2 3" xfId="2864" xr:uid="{00000000-0005-0000-0000-00005F0B0000}"/>
    <cellStyle name="20% - Accent2 2 4 2 3 2" xfId="2865" xr:uid="{00000000-0005-0000-0000-0000600B0000}"/>
    <cellStyle name="20% - Accent2 2 4 2 3 2 2" xfId="2866" xr:uid="{00000000-0005-0000-0000-0000610B0000}"/>
    <cellStyle name="20% - Accent2 2 4 2 3 2 2 2" xfId="2867" xr:uid="{00000000-0005-0000-0000-0000620B0000}"/>
    <cellStyle name="20% - Accent2 2 4 2 3 2 2 2 2" xfId="2868" xr:uid="{00000000-0005-0000-0000-0000630B0000}"/>
    <cellStyle name="20% - Accent2 2 4 2 3 2 2 3" xfId="2869" xr:uid="{00000000-0005-0000-0000-0000640B0000}"/>
    <cellStyle name="20% - Accent2 2 4 2 3 2 3" xfId="2870" xr:uid="{00000000-0005-0000-0000-0000650B0000}"/>
    <cellStyle name="20% - Accent2 2 4 2 3 2 3 2" xfId="2871" xr:uid="{00000000-0005-0000-0000-0000660B0000}"/>
    <cellStyle name="20% - Accent2 2 4 2 3 2 4" xfId="2872" xr:uid="{00000000-0005-0000-0000-0000670B0000}"/>
    <cellStyle name="20% - Accent2 2 4 2 3 3" xfId="2873" xr:uid="{00000000-0005-0000-0000-0000680B0000}"/>
    <cellStyle name="20% - Accent2 2 4 2 3 3 2" xfId="2874" xr:uid="{00000000-0005-0000-0000-0000690B0000}"/>
    <cellStyle name="20% - Accent2 2 4 2 3 3 2 2" xfId="2875" xr:uid="{00000000-0005-0000-0000-00006A0B0000}"/>
    <cellStyle name="20% - Accent2 2 4 2 3 3 3" xfId="2876" xr:uid="{00000000-0005-0000-0000-00006B0B0000}"/>
    <cellStyle name="20% - Accent2 2 4 2 3 4" xfId="2877" xr:uid="{00000000-0005-0000-0000-00006C0B0000}"/>
    <cellStyle name="20% - Accent2 2 4 2 3 4 2" xfId="2878" xr:uid="{00000000-0005-0000-0000-00006D0B0000}"/>
    <cellStyle name="20% - Accent2 2 4 2 3 5" xfId="2879" xr:uid="{00000000-0005-0000-0000-00006E0B0000}"/>
    <cellStyle name="20% - Accent2 2 4 2 4" xfId="2880" xr:uid="{00000000-0005-0000-0000-00006F0B0000}"/>
    <cellStyle name="20% - Accent2 2 4 2 4 2" xfId="2881" xr:uid="{00000000-0005-0000-0000-0000700B0000}"/>
    <cellStyle name="20% - Accent2 2 4 2 4 2 2" xfId="2882" xr:uid="{00000000-0005-0000-0000-0000710B0000}"/>
    <cellStyle name="20% - Accent2 2 4 2 4 2 2 2" xfId="2883" xr:uid="{00000000-0005-0000-0000-0000720B0000}"/>
    <cellStyle name="20% - Accent2 2 4 2 4 2 3" xfId="2884" xr:uid="{00000000-0005-0000-0000-0000730B0000}"/>
    <cellStyle name="20% - Accent2 2 4 2 4 3" xfId="2885" xr:uid="{00000000-0005-0000-0000-0000740B0000}"/>
    <cellStyle name="20% - Accent2 2 4 2 4 3 2" xfId="2886" xr:uid="{00000000-0005-0000-0000-0000750B0000}"/>
    <cellStyle name="20% - Accent2 2 4 2 4 4" xfId="2887" xr:uid="{00000000-0005-0000-0000-0000760B0000}"/>
    <cellStyle name="20% - Accent2 2 4 2 5" xfId="2888" xr:uid="{00000000-0005-0000-0000-0000770B0000}"/>
    <cellStyle name="20% - Accent2 2 4 2 5 2" xfId="2889" xr:uid="{00000000-0005-0000-0000-0000780B0000}"/>
    <cellStyle name="20% - Accent2 2 4 2 5 2 2" xfId="2890" xr:uid="{00000000-0005-0000-0000-0000790B0000}"/>
    <cellStyle name="20% - Accent2 2 4 2 5 3" xfId="2891" xr:uid="{00000000-0005-0000-0000-00007A0B0000}"/>
    <cellStyle name="20% - Accent2 2 4 2 6" xfId="2892" xr:uid="{00000000-0005-0000-0000-00007B0B0000}"/>
    <cellStyle name="20% - Accent2 2 4 2 6 2" xfId="2893" xr:uid="{00000000-0005-0000-0000-00007C0B0000}"/>
    <cellStyle name="20% - Accent2 2 4 2 7" xfId="2894" xr:uid="{00000000-0005-0000-0000-00007D0B0000}"/>
    <cellStyle name="20% - Accent2 2 4 3" xfId="2895" xr:uid="{00000000-0005-0000-0000-00007E0B0000}"/>
    <cellStyle name="20% - Accent2 2 4 3 2" xfId="2896" xr:uid="{00000000-0005-0000-0000-00007F0B0000}"/>
    <cellStyle name="20% - Accent2 2 4 3 2 2" xfId="2897" xr:uid="{00000000-0005-0000-0000-0000800B0000}"/>
    <cellStyle name="20% - Accent2 2 4 3 2 2 2" xfId="2898" xr:uid="{00000000-0005-0000-0000-0000810B0000}"/>
    <cellStyle name="20% - Accent2 2 4 3 2 2 2 2" xfId="2899" xr:uid="{00000000-0005-0000-0000-0000820B0000}"/>
    <cellStyle name="20% - Accent2 2 4 3 2 2 2 2 2" xfId="2900" xr:uid="{00000000-0005-0000-0000-0000830B0000}"/>
    <cellStyle name="20% - Accent2 2 4 3 2 2 2 3" xfId="2901" xr:uid="{00000000-0005-0000-0000-0000840B0000}"/>
    <cellStyle name="20% - Accent2 2 4 3 2 2 3" xfId="2902" xr:uid="{00000000-0005-0000-0000-0000850B0000}"/>
    <cellStyle name="20% - Accent2 2 4 3 2 2 3 2" xfId="2903" xr:uid="{00000000-0005-0000-0000-0000860B0000}"/>
    <cellStyle name="20% - Accent2 2 4 3 2 2 4" xfId="2904" xr:uid="{00000000-0005-0000-0000-0000870B0000}"/>
    <cellStyle name="20% - Accent2 2 4 3 2 3" xfId="2905" xr:uid="{00000000-0005-0000-0000-0000880B0000}"/>
    <cellStyle name="20% - Accent2 2 4 3 2 3 2" xfId="2906" xr:uid="{00000000-0005-0000-0000-0000890B0000}"/>
    <cellStyle name="20% - Accent2 2 4 3 2 3 2 2" xfId="2907" xr:uid="{00000000-0005-0000-0000-00008A0B0000}"/>
    <cellStyle name="20% - Accent2 2 4 3 2 3 3" xfId="2908" xr:uid="{00000000-0005-0000-0000-00008B0B0000}"/>
    <cellStyle name="20% - Accent2 2 4 3 2 4" xfId="2909" xr:uid="{00000000-0005-0000-0000-00008C0B0000}"/>
    <cellStyle name="20% - Accent2 2 4 3 2 4 2" xfId="2910" xr:uid="{00000000-0005-0000-0000-00008D0B0000}"/>
    <cellStyle name="20% - Accent2 2 4 3 2 5" xfId="2911" xr:uid="{00000000-0005-0000-0000-00008E0B0000}"/>
    <cellStyle name="20% - Accent2 2 4 3 3" xfId="2912" xr:uid="{00000000-0005-0000-0000-00008F0B0000}"/>
    <cellStyle name="20% - Accent2 2 4 3 3 2" xfId="2913" xr:uid="{00000000-0005-0000-0000-0000900B0000}"/>
    <cellStyle name="20% - Accent2 2 4 3 3 2 2" xfId="2914" xr:uid="{00000000-0005-0000-0000-0000910B0000}"/>
    <cellStyle name="20% - Accent2 2 4 3 3 2 2 2" xfId="2915" xr:uid="{00000000-0005-0000-0000-0000920B0000}"/>
    <cellStyle name="20% - Accent2 2 4 3 3 2 3" xfId="2916" xr:uid="{00000000-0005-0000-0000-0000930B0000}"/>
    <cellStyle name="20% - Accent2 2 4 3 3 3" xfId="2917" xr:uid="{00000000-0005-0000-0000-0000940B0000}"/>
    <cellStyle name="20% - Accent2 2 4 3 3 3 2" xfId="2918" xr:uid="{00000000-0005-0000-0000-0000950B0000}"/>
    <cellStyle name="20% - Accent2 2 4 3 3 4" xfId="2919" xr:uid="{00000000-0005-0000-0000-0000960B0000}"/>
    <cellStyle name="20% - Accent2 2 4 3 4" xfId="2920" xr:uid="{00000000-0005-0000-0000-0000970B0000}"/>
    <cellStyle name="20% - Accent2 2 4 3 4 2" xfId="2921" xr:uid="{00000000-0005-0000-0000-0000980B0000}"/>
    <cellStyle name="20% - Accent2 2 4 3 4 2 2" xfId="2922" xr:uid="{00000000-0005-0000-0000-0000990B0000}"/>
    <cellStyle name="20% - Accent2 2 4 3 4 3" xfId="2923" xr:uid="{00000000-0005-0000-0000-00009A0B0000}"/>
    <cellStyle name="20% - Accent2 2 4 3 5" xfId="2924" xr:uid="{00000000-0005-0000-0000-00009B0B0000}"/>
    <cellStyle name="20% - Accent2 2 4 3 5 2" xfId="2925" xr:uid="{00000000-0005-0000-0000-00009C0B0000}"/>
    <cellStyle name="20% - Accent2 2 4 3 6" xfId="2926" xr:uid="{00000000-0005-0000-0000-00009D0B0000}"/>
    <cellStyle name="20% - Accent2 2 4 4" xfId="2927" xr:uid="{00000000-0005-0000-0000-00009E0B0000}"/>
    <cellStyle name="20% - Accent2 2 4 4 2" xfId="2928" xr:uid="{00000000-0005-0000-0000-00009F0B0000}"/>
    <cellStyle name="20% - Accent2 2 4 4 2 2" xfId="2929" xr:uid="{00000000-0005-0000-0000-0000A00B0000}"/>
    <cellStyle name="20% - Accent2 2 4 4 2 2 2" xfId="2930" xr:uid="{00000000-0005-0000-0000-0000A10B0000}"/>
    <cellStyle name="20% - Accent2 2 4 4 2 2 2 2" xfId="2931" xr:uid="{00000000-0005-0000-0000-0000A20B0000}"/>
    <cellStyle name="20% - Accent2 2 4 4 2 2 3" xfId="2932" xr:uid="{00000000-0005-0000-0000-0000A30B0000}"/>
    <cellStyle name="20% - Accent2 2 4 4 2 3" xfId="2933" xr:uid="{00000000-0005-0000-0000-0000A40B0000}"/>
    <cellStyle name="20% - Accent2 2 4 4 2 3 2" xfId="2934" xr:uid="{00000000-0005-0000-0000-0000A50B0000}"/>
    <cellStyle name="20% - Accent2 2 4 4 2 4" xfId="2935" xr:uid="{00000000-0005-0000-0000-0000A60B0000}"/>
    <cellStyle name="20% - Accent2 2 4 4 3" xfId="2936" xr:uid="{00000000-0005-0000-0000-0000A70B0000}"/>
    <cellStyle name="20% - Accent2 2 4 4 3 2" xfId="2937" xr:uid="{00000000-0005-0000-0000-0000A80B0000}"/>
    <cellStyle name="20% - Accent2 2 4 4 3 2 2" xfId="2938" xr:uid="{00000000-0005-0000-0000-0000A90B0000}"/>
    <cellStyle name="20% - Accent2 2 4 4 3 3" xfId="2939" xr:uid="{00000000-0005-0000-0000-0000AA0B0000}"/>
    <cellStyle name="20% - Accent2 2 4 4 4" xfId="2940" xr:uid="{00000000-0005-0000-0000-0000AB0B0000}"/>
    <cellStyle name="20% - Accent2 2 4 4 4 2" xfId="2941" xr:uid="{00000000-0005-0000-0000-0000AC0B0000}"/>
    <cellStyle name="20% - Accent2 2 4 4 5" xfId="2942" xr:uid="{00000000-0005-0000-0000-0000AD0B0000}"/>
    <cellStyle name="20% - Accent2 2 4 5" xfId="2943" xr:uid="{00000000-0005-0000-0000-0000AE0B0000}"/>
    <cellStyle name="20% - Accent2 2 4 5 2" xfId="2944" xr:uid="{00000000-0005-0000-0000-0000AF0B0000}"/>
    <cellStyle name="20% - Accent2 2 4 5 2 2" xfId="2945" xr:uid="{00000000-0005-0000-0000-0000B00B0000}"/>
    <cellStyle name="20% - Accent2 2 4 5 2 2 2" xfId="2946" xr:uid="{00000000-0005-0000-0000-0000B10B0000}"/>
    <cellStyle name="20% - Accent2 2 4 5 2 3" xfId="2947" xr:uid="{00000000-0005-0000-0000-0000B20B0000}"/>
    <cellStyle name="20% - Accent2 2 4 5 3" xfId="2948" xr:uid="{00000000-0005-0000-0000-0000B30B0000}"/>
    <cellStyle name="20% - Accent2 2 4 5 3 2" xfId="2949" xr:uid="{00000000-0005-0000-0000-0000B40B0000}"/>
    <cellStyle name="20% - Accent2 2 4 5 4" xfId="2950" xr:uid="{00000000-0005-0000-0000-0000B50B0000}"/>
    <cellStyle name="20% - Accent2 2 4 6" xfId="2951" xr:uid="{00000000-0005-0000-0000-0000B60B0000}"/>
    <cellStyle name="20% - Accent2 2 4 6 2" xfId="2952" xr:uid="{00000000-0005-0000-0000-0000B70B0000}"/>
    <cellStyle name="20% - Accent2 2 4 6 2 2" xfId="2953" xr:uid="{00000000-0005-0000-0000-0000B80B0000}"/>
    <cellStyle name="20% - Accent2 2 4 6 3" xfId="2954" xr:uid="{00000000-0005-0000-0000-0000B90B0000}"/>
    <cellStyle name="20% - Accent2 2 4 7" xfId="2955" xr:uid="{00000000-0005-0000-0000-0000BA0B0000}"/>
    <cellStyle name="20% - Accent2 2 4 7 2" xfId="2956" xr:uid="{00000000-0005-0000-0000-0000BB0B0000}"/>
    <cellStyle name="20% - Accent2 2 4 8" xfId="2957" xr:uid="{00000000-0005-0000-0000-0000BC0B0000}"/>
    <cellStyle name="20% - Accent2 2 5" xfId="2958" xr:uid="{00000000-0005-0000-0000-0000BD0B0000}"/>
    <cellStyle name="20% - Accent2 2 5 2" xfId="2959" xr:uid="{00000000-0005-0000-0000-0000BE0B0000}"/>
    <cellStyle name="20% - Accent2 2 5 2 2" xfId="2960" xr:uid="{00000000-0005-0000-0000-0000BF0B0000}"/>
    <cellStyle name="20% - Accent2 2 5 2 2 2" xfId="2961" xr:uid="{00000000-0005-0000-0000-0000C00B0000}"/>
    <cellStyle name="20% - Accent2 2 5 2 2 2 2" xfId="2962" xr:uid="{00000000-0005-0000-0000-0000C10B0000}"/>
    <cellStyle name="20% - Accent2 2 5 2 2 2 2 2" xfId="2963" xr:uid="{00000000-0005-0000-0000-0000C20B0000}"/>
    <cellStyle name="20% - Accent2 2 5 2 2 2 2 2 2" xfId="2964" xr:uid="{00000000-0005-0000-0000-0000C30B0000}"/>
    <cellStyle name="20% - Accent2 2 5 2 2 2 2 3" xfId="2965" xr:uid="{00000000-0005-0000-0000-0000C40B0000}"/>
    <cellStyle name="20% - Accent2 2 5 2 2 2 3" xfId="2966" xr:uid="{00000000-0005-0000-0000-0000C50B0000}"/>
    <cellStyle name="20% - Accent2 2 5 2 2 2 3 2" xfId="2967" xr:uid="{00000000-0005-0000-0000-0000C60B0000}"/>
    <cellStyle name="20% - Accent2 2 5 2 2 2 4" xfId="2968" xr:uid="{00000000-0005-0000-0000-0000C70B0000}"/>
    <cellStyle name="20% - Accent2 2 5 2 2 3" xfId="2969" xr:uid="{00000000-0005-0000-0000-0000C80B0000}"/>
    <cellStyle name="20% - Accent2 2 5 2 2 3 2" xfId="2970" xr:uid="{00000000-0005-0000-0000-0000C90B0000}"/>
    <cellStyle name="20% - Accent2 2 5 2 2 3 2 2" xfId="2971" xr:uid="{00000000-0005-0000-0000-0000CA0B0000}"/>
    <cellStyle name="20% - Accent2 2 5 2 2 3 3" xfId="2972" xr:uid="{00000000-0005-0000-0000-0000CB0B0000}"/>
    <cellStyle name="20% - Accent2 2 5 2 2 4" xfId="2973" xr:uid="{00000000-0005-0000-0000-0000CC0B0000}"/>
    <cellStyle name="20% - Accent2 2 5 2 2 4 2" xfId="2974" xr:uid="{00000000-0005-0000-0000-0000CD0B0000}"/>
    <cellStyle name="20% - Accent2 2 5 2 2 5" xfId="2975" xr:uid="{00000000-0005-0000-0000-0000CE0B0000}"/>
    <cellStyle name="20% - Accent2 2 5 2 3" xfId="2976" xr:uid="{00000000-0005-0000-0000-0000CF0B0000}"/>
    <cellStyle name="20% - Accent2 2 5 2 3 2" xfId="2977" xr:uid="{00000000-0005-0000-0000-0000D00B0000}"/>
    <cellStyle name="20% - Accent2 2 5 2 3 2 2" xfId="2978" xr:uid="{00000000-0005-0000-0000-0000D10B0000}"/>
    <cellStyle name="20% - Accent2 2 5 2 3 2 2 2" xfId="2979" xr:uid="{00000000-0005-0000-0000-0000D20B0000}"/>
    <cellStyle name="20% - Accent2 2 5 2 3 2 3" xfId="2980" xr:uid="{00000000-0005-0000-0000-0000D30B0000}"/>
    <cellStyle name="20% - Accent2 2 5 2 3 3" xfId="2981" xr:uid="{00000000-0005-0000-0000-0000D40B0000}"/>
    <cellStyle name="20% - Accent2 2 5 2 3 3 2" xfId="2982" xr:uid="{00000000-0005-0000-0000-0000D50B0000}"/>
    <cellStyle name="20% - Accent2 2 5 2 3 4" xfId="2983" xr:uid="{00000000-0005-0000-0000-0000D60B0000}"/>
    <cellStyle name="20% - Accent2 2 5 2 4" xfId="2984" xr:uid="{00000000-0005-0000-0000-0000D70B0000}"/>
    <cellStyle name="20% - Accent2 2 5 2 4 2" xfId="2985" xr:uid="{00000000-0005-0000-0000-0000D80B0000}"/>
    <cellStyle name="20% - Accent2 2 5 2 4 2 2" xfId="2986" xr:uid="{00000000-0005-0000-0000-0000D90B0000}"/>
    <cellStyle name="20% - Accent2 2 5 2 4 3" xfId="2987" xr:uid="{00000000-0005-0000-0000-0000DA0B0000}"/>
    <cellStyle name="20% - Accent2 2 5 2 5" xfId="2988" xr:uid="{00000000-0005-0000-0000-0000DB0B0000}"/>
    <cellStyle name="20% - Accent2 2 5 2 5 2" xfId="2989" xr:uid="{00000000-0005-0000-0000-0000DC0B0000}"/>
    <cellStyle name="20% - Accent2 2 5 2 6" xfId="2990" xr:uid="{00000000-0005-0000-0000-0000DD0B0000}"/>
    <cellStyle name="20% - Accent2 2 5 3" xfId="2991" xr:uid="{00000000-0005-0000-0000-0000DE0B0000}"/>
    <cellStyle name="20% - Accent2 2 5 3 2" xfId="2992" xr:uid="{00000000-0005-0000-0000-0000DF0B0000}"/>
    <cellStyle name="20% - Accent2 2 5 3 2 2" xfId="2993" xr:uid="{00000000-0005-0000-0000-0000E00B0000}"/>
    <cellStyle name="20% - Accent2 2 5 3 2 2 2" xfId="2994" xr:uid="{00000000-0005-0000-0000-0000E10B0000}"/>
    <cellStyle name="20% - Accent2 2 5 3 2 2 2 2" xfId="2995" xr:uid="{00000000-0005-0000-0000-0000E20B0000}"/>
    <cellStyle name="20% - Accent2 2 5 3 2 2 3" xfId="2996" xr:uid="{00000000-0005-0000-0000-0000E30B0000}"/>
    <cellStyle name="20% - Accent2 2 5 3 2 3" xfId="2997" xr:uid="{00000000-0005-0000-0000-0000E40B0000}"/>
    <cellStyle name="20% - Accent2 2 5 3 2 3 2" xfId="2998" xr:uid="{00000000-0005-0000-0000-0000E50B0000}"/>
    <cellStyle name="20% - Accent2 2 5 3 2 4" xfId="2999" xr:uid="{00000000-0005-0000-0000-0000E60B0000}"/>
    <cellStyle name="20% - Accent2 2 5 3 3" xfId="3000" xr:uid="{00000000-0005-0000-0000-0000E70B0000}"/>
    <cellStyle name="20% - Accent2 2 5 3 3 2" xfId="3001" xr:uid="{00000000-0005-0000-0000-0000E80B0000}"/>
    <cellStyle name="20% - Accent2 2 5 3 3 2 2" xfId="3002" xr:uid="{00000000-0005-0000-0000-0000E90B0000}"/>
    <cellStyle name="20% - Accent2 2 5 3 3 3" xfId="3003" xr:uid="{00000000-0005-0000-0000-0000EA0B0000}"/>
    <cellStyle name="20% - Accent2 2 5 3 4" xfId="3004" xr:uid="{00000000-0005-0000-0000-0000EB0B0000}"/>
    <cellStyle name="20% - Accent2 2 5 3 4 2" xfId="3005" xr:uid="{00000000-0005-0000-0000-0000EC0B0000}"/>
    <cellStyle name="20% - Accent2 2 5 3 5" xfId="3006" xr:uid="{00000000-0005-0000-0000-0000ED0B0000}"/>
    <cellStyle name="20% - Accent2 2 5 4" xfId="3007" xr:uid="{00000000-0005-0000-0000-0000EE0B0000}"/>
    <cellStyle name="20% - Accent2 2 5 4 2" xfId="3008" xr:uid="{00000000-0005-0000-0000-0000EF0B0000}"/>
    <cellStyle name="20% - Accent2 2 5 4 2 2" xfId="3009" xr:uid="{00000000-0005-0000-0000-0000F00B0000}"/>
    <cellStyle name="20% - Accent2 2 5 4 2 2 2" xfId="3010" xr:uid="{00000000-0005-0000-0000-0000F10B0000}"/>
    <cellStyle name="20% - Accent2 2 5 4 2 3" xfId="3011" xr:uid="{00000000-0005-0000-0000-0000F20B0000}"/>
    <cellStyle name="20% - Accent2 2 5 4 3" xfId="3012" xr:uid="{00000000-0005-0000-0000-0000F30B0000}"/>
    <cellStyle name="20% - Accent2 2 5 4 3 2" xfId="3013" xr:uid="{00000000-0005-0000-0000-0000F40B0000}"/>
    <cellStyle name="20% - Accent2 2 5 4 4" xfId="3014" xr:uid="{00000000-0005-0000-0000-0000F50B0000}"/>
    <cellStyle name="20% - Accent2 2 5 5" xfId="3015" xr:uid="{00000000-0005-0000-0000-0000F60B0000}"/>
    <cellStyle name="20% - Accent2 2 5 5 2" xfId="3016" xr:uid="{00000000-0005-0000-0000-0000F70B0000}"/>
    <cellStyle name="20% - Accent2 2 5 5 2 2" xfId="3017" xr:uid="{00000000-0005-0000-0000-0000F80B0000}"/>
    <cellStyle name="20% - Accent2 2 5 5 3" xfId="3018" xr:uid="{00000000-0005-0000-0000-0000F90B0000}"/>
    <cellStyle name="20% - Accent2 2 5 6" xfId="3019" xr:uid="{00000000-0005-0000-0000-0000FA0B0000}"/>
    <cellStyle name="20% - Accent2 2 5 6 2" xfId="3020" xr:uid="{00000000-0005-0000-0000-0000FB0B0000}"/>
    <cellStyle name="20% - Accent2 2 5 7" xfId="3021" xr:uid="{00000000-0005-0000-0000-0000FC0B0000}"/>
    <cellStyle name="20% - Accent2 2 6" xfId="3022" xr:uid="{00000000-0005-0000-0000-0000FD0B0000}"/>
    <cellStyle name="20% - Accent2 2 6 2" xfId="3023" xr:uid="{00000000-0005-0000-0000-0000FE0B0000}"/>
    <cellStyle name="20% - Accent2 2 6 2 2" xfId="3024" xr:uid="{00000000-0005-0000-0000-0000FF0B0000}"/>
    <cellStyle name="20% - Accent2 2 6 2 2 2" xfId="3025" xr:uid="{00000000-0005-0000-0000-0000000C0000}"/>
    <cellStyle name="20% - Accent2 2 6 2 2 2 2" xfId="3026" xr:uid="{00000000-0005-0000-0000-0000010C0000}"/>
    <cellStyle name="20% - Accent2 2 6 2 2 2 2 2" xfId="3027" xr:uid="{00000000-0005-0000-0000-0000020C0000}"/>
    <cellStyle name="20% - Accent2 2 6 2 2 2 3" xfId="3028" xr:uid="{00000000-0005-0000-0000-0000030C0000}"/>
    <cellStyle name="20% - Accent2 2 6 2 2 3" xfId="3029" xr:uid="{00000000-0005-0000-0000-0000040C0000}"/>
    <cellStyle name="20% - Accent2 2 6 2 2 3 2" xfId="3030" xr:uid="{00000000-0005-0000-0000-0000050C0000}"/>
    <cellStyle name="20% - Accent2 2 6 2 2 4" xfId="3031" xr:uid="{00000000-0005-0000-0000-0000060C0000}"/>
    <cellStyle name="20% - Accent2 2 6 2 3" xfId="3032" xr:uid="{00000000-0005-0000-0000-0000070C0000}"/>
    <cellStyle name="20% - Accent2 2 6 2 3 2" xfId="3033" xr:uid="{00000000-0005-0000-0000-0000080C0000}"/>
    <cellStyle name="20% - Accent2 2 6 2 3 2 2" xfId="3034" xr:uid="{00000000-0005-0000-0000-0000090C0000}"/>
    <cellStyle name="20% - Accent2 2 6 2 3 3" xfId="3035" xr:uid="{00000000-0005-0000-0000-00000A0C0000}"/>
    <cellStyle name="20% - Accent2 2 6 2 4" xfId="3036" xr:uid="{00000000-0005-0000-0000-00000B0C0000}"/>
    <cellStyle name="20% - Accent2 2 6 2 4 2" xfId="3037" xr:uid="{00000000-0005-0000-0000-00000C0C0000}"/>
    <cellStyle name="20% - Accent2 2 6 2 5" xfId="3038" xr:uid="{00000000-0005-0000-0000-00000D0C0000}"/>
    <cellStyle name="20% - Accent2 2 6 3" xfId="3039" xr:uid="{00000000-0005-0000-0000-00000E0C0000}"/>
    <cellStyle name="20% - Accent2 2 6 3 2" xfId="3040" xr:uid="{00000000-0005-0000-0000-00000F0C0000}"/>
    <cellStyle name="20% - Accent2 2 6 3 2 2" xfId="3041" xr:uid="{00000000-0005-0000-0000-0000100C0000}"/>
    <cellStyle name="20% - Accent2 2 6 3 2 2 2" xfId="3042" xr:uid="{00000000-0005-0000-0000-0000110C0000}"/>
    <cellStyle name="20% - Accent2 2 6 3 2 3" xfId="3043" xr:uid="{00000000-0005-0000-0000-0000120C0000}"/>
    <cellStyle name="20% - Accent2 2 6 3 3" xfId="3044" xr:uid="{00000000-0005-0000-0000-0000130C0000}"/>
    <cellStyle name="20% - Accent2 2 6 3 3 2" xfId="3045" xr:uid="{00000000-0005-0000-0000-0000140C0000}"/>
    <cellStyle name="20% - Accent2 2 6 3 4" xfId="3046" xr:uid="{00000000-0005-0000-0000-0000150C0000}"/>
    <cellStyle name="20% - Accent2 2 6 4" xfId="3047" xr:uid="{00000000-0005-0000-0000-0000160C0000}"/>
    <cellStyle name="20% - Accent2 2 6 4 2" xfId="3048" xr:uid="{00000000-0005-0000-0000-0000170C0000}"/>
    <cellStyle name="20% - Accent2 2 6 4 2 2" xfId="3049" xr:uid="{00000000-0005-0000-0000-0000180C0000}"/>
    <cellStyle name="20% - Accent2 2 6 4 3" xfId="3050" xr:uid="{00000000-0005-0000-0000-0000190C0000}"/>
    <cellStyle name="20% - Accent2 2 6 5" xfId="3051" xr:uid="{00000000-0005-0000-0000-00001A0C0000}"/>
    <cellStyle name="20% - Accent2 2 6 5 2" xfId="3052" xr:uid="{00000000-0005-0000-0000-00001B0C0000}"/>
    <cellStyle name="20% - Accent2 2 6 6" xfId="3053" xr:uid="{00000000-0005-0000-0000-00001C0C0000}"/>
    <cellStyle name="20% - Accent2 2 7" xfId="3054" xr:uid="{00000000-0005-0000-0000-00001D0C0000}"/>
    <cellStyle name="20% - Accent2 2 7 2" xfId="3055" xr:uid="{00000000-0005-0000-0000-00001E0C0000}"/>
    <cellStyle name="20% - Accent2 2 7 2 2" xfId="3056" xr:uid="{00000000-0005-0000-0000-00001F0C0000}"/>
    <cellStyle name="20% - Accent2 2 7 2 2 2" xfId="3057" xr:uid="{00000000-0005-0000-0000-0000200C0000}"/>
    <cellStyle name="20% - Accent2 2 7 2 2 2 2" xfId="3058" xr:uid="{00000000-0005-0000-0000-0000210C0000}"/>
    <cellStyle name="20% - Accent2 2 7 2 2 3" xfId="3059" xr:uid="{00000000-0005-0000-0000-0000220C0000}"/>
    <cellStyle name="20% - Accent2 2 7 2 3" xfId="3060" xr:uid="{00000000-0005-0000-0000-0000230C0000}"/>
    <cellStyle name="20% - Accent2 2 7 2 3 2" xfId="3061" xr:uid="{00000000-0005-0000-0000-0000240C0000}"/>
    <cellStyle name="20% - Accent2 2 7 2 4" xfId="3062" xr:uid="{00000000-0005-0000-0000-0000250C0000}"/>
    <cellStyle name="20% - Accent2 2 7 3" xfId="3063" xr:uid="{00000000-0005-0000-0000-0000260C0000}"/>
    <cellStyle name="20% - Accent2 2 7 3 2" xfId="3064" xr:uid="{00000000-0005-0000-0000-0000270C0000}"/>
    <cellStyle name="20% - Accent2 2 7 3 2 2" xfId="3065" xr:uid="{00000000-0005-0000-0000-0000280C0000}"/>
    <cellStyle name="20% - Accent2 2 7 3 3" xfId="3066" xr:uid="{00000000-0005-0000-0000-0000290C0000}"/>
    <cellStyle name="20% - Accent2 2 7 4" xfId="3067" xr:uid="{00000000-0005-0000-0000-00002A0C0000}"/>
    <cellStyle name="20% - Accent2 2 7 4 2" xfId="3068" xr:uid="{00000000-0005-0000-0000-00002B0C0000}"/>
    <cellStyle name="20% - Accent2 2 7 5" xfId="3069" xr:uid="{00000000-0005-0000-0000-00002C0C0000}"/>
    <cellStyle name="20% - Accent2 2 8" xfId="3070" xr:uid="{00000000-0005-0000-0000-00002D0C0000}"/>
    <cellStyle name="20% - Accent2 2 8 2" xfId="3071" xr:uid="{00000000-0005-0000-0000-00002E0C0000}"/>
    <cellStyle name="20% - Accent2 2 8 2 2" xfId="3072" xr:uid="{00000000-0005-0000-0000-00002F0C0000}"/>
    <cellStyle name="20% - Accent2 2 8 2 2 2" xfId="3073" xr:uid="{00000000-0005-0000-0000-0000300C0000}"/>
    <cellStyle name="20% - Accent2 2 8 2 3" xfId="3074" xr:uid="{00000000-0005-0000-0000-0000310C0000}"/>
    <cellStyle name="20% - Accent2 2 8 3" xfId="3075" xr:uid="{00000000-0005-0000-0000-0000320C0000}"/>
    <cellStyle name="20% - Accent2 2 8 3 2" xfId="3076" xr:uid="{00000000-0005-0000-0000-0000330C0000}"/>
    <cellStyle name="20% - Accent2 2 8 4" xfId="3077" xr:uid="{00000000-0005-0000-0000-0000340C0000}"/>
    <cellStyle name="20% - Accent2 2 9" xfId="3078" xr:uid="{00000000-0005-0000-0000-0000350C0000}"/>
    <cellStyle name="20% - Accent2 2 9 2" xfId="3079" xr:uid="{00000000-0005-0000-0000-0000360C0000}"/>
    <cellStyle name="20% - Accent2 2 9 2 2" xfId="3080" xr:uid="{00000000-0005-0000-0000-0000370C0000}"/>
    <cellStyle name="20% - Accent2 2 9 3" xfId="3081" xr:uid="{00000000-0005-0000-0000-0000380C0000}"/>
    <cellStyle name="20% - Accent2 3" xfId="3082" xr:uid="{00000000-0005-0000-0000-0000390C0000}"/>
    <cellStyle name="20% - Accent2 3 10" xfId="3083" xr:uid="{00000000-0005-0000-0000-00003A0C0000}"/>
    <cellStyle name="20% - Accent2 3 2" xfId="3084" xr:uid="{00000000-0005-0000-0000-00003B0C0000}"/>
    <cellStyle name="20% - Accent2 3 2 2" xfId="3085" xr:uid="{00000000-0005-0000-0000-00003C0C0000}"/>
    <cellStyle name="20% - Accent2 3 2 2 2" xfId="3086" xr:uid="{00000000-0005-0000-0000-00003D0C0000}"/>
    <cellStyle name="20% - Accent2 3 2 2 2 2" xfId="3087" xr:uid="{00000000-0005-0000-0000-00003E0C0000}"/>
    <cellStyle name="20% - Accent2 3 2 2 2 2 2" xfId="3088" xr:uid="{00000000-0005-0000-0000-00003F0C0000}"/>
    <cellStyle name="20% - Accent2 3 2 2 2 2 2 2" xfId="3089" xr:uid="{00000000-0005-0000-0000-0000400C0000}"/>
    <cellStyle name="20% - Accent2 3 2 2 2 2 2 2 2" xfId="3090" xr:uid="{00000000-0005-0000-0000-0000410C0000}"/>
    <cellStyle name="20% - Accent2 3 2 2 2 2 2 2 2 2" xfId="3091" xr:uid="{00000000-0005-0000-0000-0000420C0000}"/>
    <cellStyle name="20% - Accent2 3 2 2 2 2 2 2 2 2 2" xfId="3092" xr:uid="{00000000-0005-0000-0000-0000430C0000}"/>
    <cellStyle name="20% - Accent2 3 2 2 2 2 2 2 2 3" xfId="3093" xr:uid="{00000000-0005-0000-0000-0000440C0000}"/>
    <cellStyle name="20% - Accent2 3 2 2 2 2 2 2 3" xfId="3094" xr:uid="{00000000-0005-0000-0000-0000450C0000}"/>
    <cellStyle name="20% - Accent2 3 2 2 2 2 2 2 3 2" xfId="3095" xr:uid="{00000000-0005-0000-0000-0000460C0000}"/>
    <cellStyle name="20% - Accent2 3 2 2 2 2 2 2 4" xfId="3096" xr:uid="{00000000-0005-0000-0000-0000470C0000}"/>
    <cellStyle name="20% - Accent2 3 2 2 2 2 2 3" xfId="3097" xr:uid="{00000000-0005-0000-0000-0000480C0000}"/>
    <cellStyle name="20% - Accent2 3 2 2 2 2 2 3 2" xfId="3098" xr:uid="{00000000-0005-0000-0000-0000490C0000}"/>
    <cellStyle name="20% - Accent2 3 2 2 2 2 2 3 2 2" xfId="3099" xr:uid="{00000000-0005-0000-0000-00004A0C0000}"/>
    <cellStyle name="20% - Accent2 3 2 2 2 2 2 3 3" xfId="3100" xr:uid="{00000000-0005-0000-0000-00004B0C0000}"/>
    <cellStyle name="20% - Accent2 3 2 2 2 2 2 4" xfId="3101" xr:uid="{00000000-0005-0000-0000-00004C0C0000}"/>
    <cellStyle name="20% - Accent2 3 2 2 2 2 2 4 2" xfId="3102" xr:uid="{00000000-0005-0000-0000-00004D0C0000}"/>
    <cellStyle name="20% - Accent2 3 2 2 2 2 2 5" xfId="3103" xr:uid="{00000000-0005-0000-0000-00004E0C0000}"/>
    <cellStyle name="20% - Accent2 3 2 2 2 2 3" xfId="3104" xr:uid="{00000000-0005-0000-0000-00004F0C0000}"/>
    <cellStyle name="20% - Accent2 3 2 2 2 2 3 2" xfId="3105" xr:uid="{00000000-0005-0000-0000-0000500C0000}"/>
    <cellStyle name="20% - Accent2 3 2 2 2 2 3 2 2" xfId="3106" xr:uid="{00000000-0005-0000-0000-0000510C0000}"/>
    <cellStyle name="20% - Accent2 3 2 2 2 2 3 2 2 2" xfId="3107" xr:uid="{00000000-0005-0000-0000-0000520C0000}"/>
    <cellStyle name="20% - Accent2 3 2 2 2 2 3 2 3" xfId="3108" xr:uid="{00000000-0005-0000-0000-0000530C0000}"/>
    <cellStyle name="20% - Accent2 3 2 2 2 2 3 3" xfId="3109" xr:uid="{00000000-0005-0000-0000-0000540C0000}"/>
    <cellStyle name="20% - Accent2 3 2 2 2 2 3 3 2" xfId="3110" xr:uid="{00000000-0005-0000-0000-0000550C0000}"/>
    <cellStyle name="20% - Accent2 3 2 2 2 2 3 4" xfId="3111" xr:uid="{00000000-0005-0000-0000-0000560C0000}"/>
    <cellStyle name="20% - Accent2 3 2 2 2 2 4" xfId="3112" xr:uid="{00000000-0005-0000-0000-0000570C0000}"/>
    <cellStyle name="20% - Accent2 3 2 2 2 2 4 2" xfId="3113" xr:uid="{00000000-0005-0000-0000-0000580C0000}"/>
    <cellStyle name="20% - Accent2 3 2 2 2 2 4 2 2" xfId="3114" xr:uid="{00000000-0005-0000-0000-0000590C0000}"/>
    <cellStyle name="20% - Accent2 3 2 2 2 2 4 3" xfId="3115" xr:uid="{00000000-0005-0000-0000-00005A0C0000}"/>
    <cellStyle name="20% - Accent2 3 2 2 2 2 5" xfId="3116" xr:uid="{00000000-0005-0000-0000-00005B0C0000}"/>
    <cellStyle name="20% - Accent2 3 2 2 2 2 5 2" xfId="3117" xr:uid="{00000000-0005-0000-0000-00005C0C0000}"/>
    <cellStyle name="20% - Accent2 3 2 2 2 2 6" xfId="3118" xr:uid="{00000000-0005-0000-0000-00005D0C0000}"/>
    <cellStyle name="20% - Accent2 3 2 2 2 3" xfId="3119" xr:uid="{00000000-0005-0000-0000-00005E0C0000}"/>
    <cellStyle name="20% - Accent2 3 2 2 2 3 2" xfId="3120" xr:uid="{00000000-0005-0000-0000-00005F0C0000}"/>
    <cellStyle name="20% - Accent2 3 2 2 2 3 2 2" xfId="3121" xr:uid="{00000000-0005-0000-0000-0000600C0000}"/>
    <cellStyle name="20% - Accent2 3 2 2 2 3 2 2 2" xfId="3122" xr:uid="{00000000-0005-0000-0000-0000610C0000}"/>
    <cellStyle name="20% - Accent2 3 2 2 2 3 2 2 2 2" xfId="3123" xr:uid="{00000000-0005-0000-0000-0000620C0000}"/>
    <cellStyle name="20% - Accent2 3 2 2 2 3 2 2 3" xfId="3124" xr:uid="{00000000-0005-0000-0000-0000630C0000}"/>
    <cellStyle name="20% - Accent2 3 2 2 2 3 2 3" xfId="3125" xr:uid="{00000000-0005-0000-0000-0000640C0000}"/>
    <cellStyle name="20% - Accent2 3 2 2 2 3 2 3 2" xfId="3126" xr:uid="{00000000-0005-0000-0000-0000650C0000}"/>
    <cellStyle name="20% - Accent2 3 2 2 2 3 2 4" xfId="3127" xr:uid="{00000000-0005-0000-0000-0000660C0000}"/>
    <cellStyle name="20% - Accent2 3 2 2 2 3 3" xfId="3128" xr:uid="{00000000-0005-0000-0000-0000670C0000}"/>
    <cellStyle name="20% - Accent2 3 2 2 2 3 3 2" xfId="3129" xr:uid="{00000000-0005-0000-0000-0000680C0000}"/>
    <cellStyle name="20% - Accent2 3 2 2 2 3 3 2 2" xfId="3130" xr:uid="{00000000-0005-0000-0000-0000690C0000}"/>
    <cellStyle name="20% - Accent2 3 2 2 2 3 3 3" xfId="3131" xr:uid="{00000000-0005-0000-0000-00006A0C0000}"/>
    <cellStyle name="20% - Accent2 3 2 2 2 3 4" xfId="3132" xr:uid="{00000000-0005-0000-0000-00006B0C0000}"/>
    <cellStyle name="20% - Accent2 3 2 2 2 3 4 2" xfId="3133" xr:uid="{00000000-0005-0000-0000-00006C0C0000}"/>
    <cellStyle name="20% - Accent2 3 2 2 2 3 5" xfId="3134" xr:uid="{00000000-0005-0000-0000-00006D0C0000}"/>
    <cellStyle name="20% - Accent2 3 2 2 2 4" xfId="3135" xr:uid="{00000000-0005-0000-0000-00006E0C0000}"/>
    <cellStyle name="20% - Accent2 3 2 2 2 4 2" xfId="3136" xr:uid="{00000000-0005-0000-0000-00006F0C0000}"/>
    <cellStyle name="20% - Accent2 3 2 2 2 4 2 2" xfId="3137" xr:uid="{00000000-0005-0000-0000-0000700C0000}"/>
    <cellStyle name="20% - Accent2 3 2 2 2 4 2 2 2" xfId="3138" xr:uid="{00000000-0005-0000-0000-0000710C0000}"/>
    <cellStyle name="20% - Accent2 3 2 2 2 4 2 3" xfId="3139" xr:uid="{00000000-0005-0000-0000-0000720C0000}"/>
    <cellStyle name="20% - Accent2 3 2 2 2 4 3" xfId="3140" xr:uid="{00000000-0005-0000-0000-0000730C0000}"/>
    <cellStyle name="20% - Accent2 3 2 2 2 4 3 2" xfId="3141" xr:uid="{00000000-0005-0000-0000-0000740C0000}"/>
    <cellStyle name="20% - Accent2 3 2 2 2 4 4" xfId="3142" xr:uid="{00000000-0005-0000-0000-0000750C0000}"/>
    <cellStyle name="20% - Accent2 3 2 2 2 5" xfId="3143" xr:uid="{00000000-0005-0000-0000-0000760C0000}"/>
    <cellStyle name="20% - Accent2 3 2 2 2 5 2" xfId="3144" xr:uid="{00000000-0005-0000-0000-0000770C0000}"/>
    <cellStyle name="20% - Accent2 3 2 2 2 5 2 2" xfId="3145" xr:uid="{00000000-0005-0000-0000-0000780C0000}"/>
    <cellStyle name="20% - Accent2 3 2 2 2 5 3" xfId="3146" xr:uid="{00000000-0005-0000-0000-0000790C0000}"/>
    <cellStyle name="20% - Accent2 3 2 2 2 6" xfId="3147" xr:uid="{00000000-0005-0000-0000-00007A0C0000}"/>
    <cellStyle name="20% - Accent2 3 2 2 2 6 2" xfId="3148" xr:uid="{00000000-0005-0000-0000-00007B0C0000}"/>
    <cellStyle name="20% - Accent2 3 2 2 2 7" xfId="3149" xr:uid="{00000000-0005-0000-0000-00007C0C0000}"/>
    <cellStyle name="20% - Accent2 3 2 2 3" xfId="3150" xr:uid="{00000000-0005-0000-0000-00007D0C0000}"/>
    <cellStyle name="20% - Accent2 3 2 2 3 2" xfId="3151" xr:uid="{00000000-0005-0000-0000-00007E0C0000}"/>
    <cellStyle name="20% - Accent2 3 2 2 3 2 2" xfId="3152" xr:uid="{00000000-0005-0000-0000-00007F0C0000}"/>
    <cellStyle name="20% - Accent2 3 2 2 3 2 2 2" xfId="3153" xr:uid="{00000000-0005-0000-0000-0000800C0000}"/>
    <cellStyle name="20% - Accent2 3 2 2 3 2 2 2 2" xfId="3154" xr:uid="{00000000-0005-0000-0000-0000810C0000}"/>
    <cellStyle name="20% - Accent2 3 2 2 3 2 2 2 2 2" xfId="3155" xr:uid="{00000000-0005-0000-0000-0000820C0000}"/>
    <cellStyle name="20% - Accent2 3 2 2 3 2 2 2 3" xfId="3156" xr:uid="{00000000-0005-0000-0000-0000830C0000}"/>
    <cellStyle name="20% - Accent2 3 2 2 3 2 2 3" xfId="3157" xr:uid="{00000000-0005-0000-0000-0000840C0000}"/>
    <cellStyle name="20% - Accent2 3 2 2 3 2 2 3 2" xfId="3158" xr:uid="{00000000-0005-0000-0000-0000850C0000}"/>
    <cellStyle name="20% - Accent2 3 2 2 3 2 2 4" xfId="3159" xr:uid="{00000000-0005-0000-0000-0000860C0000}"/>
    <cellStyle name="20% - Accent2 3 2 2 3 2 3" xfId="3160" xr:uid="{00000000-0005-0000-0000-0000870C0000}"/>
    <cellStyle name="20% - Accent2 3 2 2 3 2 3 2" xfId="3161" xr:uid="{00000000-0005-0000-0000-0000880C0000}"/>
    <cellStyle name="20% - Accent2 3 2 2 3 2 3 2 2" xfId="3162" xr:uid="{00000000-0005-0000-0000-0000890C0000}"/>
    <cellStyle name="20% - Accent2 3 2 2 3 2 3 3" xfId="3163" xr:uid="{00000000-0005-0000-0000-00008A0C0000}"/>
    <cellStyle name="20% - Accent2 3 2 2 3 2 4" xfId="3164" xr:uid="{00000000-0005-0000-0000-00008B0C0000}"/>
    <cellStyle name="20% - Accent2 3 2 2 3 2 4 2" xfId="3165" xr:uid="{00000000-0005-0000-0000-00008C0C0000}"/>
    <cellStyle name="20% - Accent2 3 2 2 3 2 5" xfId="3166" xr:uid="{00000000-0005-0000-0000-00008D0C0000}"/>
    <cellStyle name="20% - Accent2 3 2 2 3 3" xfId="3167" xr:uid="{00000000-0005-0000-0000-00008E0C0000}"/>
    <cellStyle name="20% - Accent2 3 2 2 3 3 2" xfId="3168" xr:uid="{00000000-0005-0000-0000-00008F0C0000}"/>
    <cellStyle name="20% - Accent2 3 2 2 3 3 2 2" xfId="3169" xr:uid="{00000000-0005-0000-0000-0000900C0000}"/>
    <cellStyle name="20% - Accent2 3 2 2 3 3 2 2 2" xfId="3170" xr:uid="{00000000-0005-0000-0000-0000910C0000}"/>
    <cellStyle name="20% - Accent2 3 2 2 3 3 2 3" xfId="3171" xr:uid="{00000000-0005-0000-0000-0000920C0000}"/>
    <cellStyle name="20% - Accent2 3 2 2 3 3 3" xfId="3172" xr:uid="{00000000-0005-0000-0000-0000930C0000}"/>
    <cellStyle name="20% - Accent2 3 2 2 3 3 3 2" xfId="3173" xr:uid="{00000000-0005-0000-0000-0000940C0000}"/>
    <cellStyle name="20% - Accent2 3 2 2 3 3 4" xfId="3174" xr:uid="{00000000-0005-0000-0000-0000950C0000}"/>
    <cellStyle name="20% - Accent2 3 2 2 3 4" xfId="3175" xr:uid="{00000000-0005-0000-0000-0000960C0000}"/>
    <cellStyle name="20% - Accent2 3 2 2 3 4 2" xfId="3176" xr:uid="{00000000-0005-0000-0000-0000970C0000}"/>
    <cellStyle name="20% - Accent2 3 2 2 3 4 2 2" xfId="3177" xr:uid="{00000000-0005-0000-0000-0000980C0000}"/>
    <cellStyle name="20% - Accent2 3 2 2 3 4 3" xfId="3178" xr:uid="{00000000-0005-0000-0000-0000990C0000}"/>
    <cellStyle name="20% - Accent2 3 2 2 3 5" xfId="3179" xr:uid="{00000000-0005-0000-0000-00009A0C0000}"/>
    <cellStyle name="20% - Accent2 3 2 2 3 5 2" xfId="3180" xr:uid="{00000000-0005-0000-0000-00009B0C0000}"/>
    <cellStyle name="20% - Accent2 3 2 2 3 6" xfId="3181" xr:uid="{00000000-0005-0000-0000-00009C0C0000}"/>
    <cellStyle name="20% - Accent2 3 2 2 4" xfId="3182" xr:uid="{00000000-0005-0000-0000-00009D0C0000}"/>
    <cellStyle name="20% - Accent2 3 2 2 4 2" xfId="3183" xr:uid="{00000000-0005-0000-0000-00009E0C0000}"/>
    <cellStyle name="20% - Accent2 3 2 2 4 2 2" xfId="3184" xr:uid="{00000000-0005-0000-0000-00009F0C0000}"/>
    <cellStyle name="20% - Accent2 3 2 2 4 2 2 2" xfId="3185" xr:uid="{00000000-0005-0000-0000-0000A00C0000}"/>
    <cellStyle name="20% - Accent2 3 2 2 4 2 2 2 2" xfId="3186" xr:uid="{00000000-0005-0000-0000-0000A10C0000}"/>
    <cellStyle name="20% - Accent2 3 2 2 4 2 2 3" xfId="3187" xr:uid="{00000000-0005-0000-0000-0000A20C0000}"/>
    <cellStyle name="20% - Accent2 3 2 2 4 2 3" xfId="3188" xr:uid="{00000000-0005-0000-0000-0000A30C0000}"/>
    <cellStyle name="20% - Accent2 3 2 2 4 2 3 2" xfId="3189" xr:uid="{00000000-0005-0000-0000-0000A40C0000}"/>
    <cellStyle name="20% - Accent2 3 2 2 4 2 4" xfId="3190" xr:uid="{00000000-0005-0000-0000-0000A50C0000}"/>
    <cellStyle name="20% - Accent2 3 2 2 4 3" xfId="3191" xr:uid="{00000000-0005-0000-0000-0000A60C0000}"/>
    <cellStyle name="20% - Accent2 3 2 2 4 3 2" xfId="3192" xr:uid="{00000000-0005-0000-0000-0000A70C0000}"/>
    <cellStyle name="20% - Accent2 3 2 2 4 3 2 2" xfId="3193" xr:uid="{00000000-0005-0000-0000-0000A80C0000}"/>
    <cellStyle name="20% - Accent2 3 2 2 4 3 3" xfId="3194" xr:uid="{00000000-0005-0000-0000-0000A90C0000}"/>
    <cellStyle name="20% - Accent2 3 2 2 4 4" xfId="3195" xr:uid="{00000000-0005-0000-0000-0000AA0C0000}"/>
    <cellStyle name="20% - Accent2 3 2 2 4 4 2" xfId="3196" xr:uid="{00000000-0005-0000-0000-0000AB0C0000}"/>
    <cellStyle name="20% - Accent2 3 2 2 4 5" xfId="3197" xr:uid="{00000000-0005-0000-0000-0000AC0C0000}"/>
    <cellStyle name="20% - Accent2 3 2 2 5" xfId="3198" xr:uid="{00000000-0005-0000-0000-0000AD0C0000}"/>
    <cellStyle name="20% - Accent2 3 2 2 5 2" xfId="3199" xr:uid="{00000000-0005-0000-0000-0000AE0C0000}"/>
    <cellStyle name="20% - Accent2 3 2 2 5 2 2" xfId="3200" xr:uid="{00000000-0005-0000-0000-0000AF0C0000}"/>
    <cellStyle name="20% - Accent2 3 2 2 5 2 2 2" xfId="3201" xr:uid="{00000000-0005-0000-0000-0000B00C0000}"/>
    <cellStyle name="20% - Accent2 3 2 2 5 2 3" xfId="3202" xr:uid="{00000000-0005-0000-0000-0000B10C0000}"/>
    <cellStyle name="20% - Accent2 3 2 2 5 3" xfId="3203" xr:uid="{00000000-0005-0000-0000-0000B20C0000}"/>
    <cellStyle name="20% - Accent2 3 2 2 5 3 2" xfId="3204" xr:uid="{00000000-0005-0000-0000-0000B30C0000}"/>
    <cellStyle name="20% - Accent2 3 2 2 5 4" xfId="3205" xr:uid="{00000000-0005-0000-0000-0000B40C0000}"/>
    <cellStyle name="20% - Accent2 3 2 2 6" xfId="3206" xr:uid="{00000000-0005-0000-0000-0000B50C0000}"/>
    <cellStyle name="20% - Accent2 3 2 2 6 2" xfId="3207" xr:uid="{00000000-0005-0000-0000-0000B60C0000}"/>
    <cellStyle name="20% - Accent2 3 2 2 6 2 2" xfId="3208" xr:uid="{00000000-0005-0000-0000-0000B70C0000}"/>
    <cellStyle name="20% - Accent2 3 2 2 6 3" xfId="3209" xr:uid="{00000000-0005-0000-0000-0000B80C0000}"/>
    <cellStyle name="20% - Accent2 3 2 2 7" xfId="3210" xr:uid="{00000000-0005-0000-0000-0000B90C0000}"/>
    <cellStyle name="20% - Accent2 3 2 2 7 2" xfId="3211" xr:uid="{00000000-0005-0000-0000-0000BA0C0000}"/>
    <cellStyle name="20% - Accent2 3 2 2 8" xfId="3212" xr:uid="{00000000-0005-0000-0000-0000BB0C0000}"/>
    <cellStyle name="20% - Accent2 3 2 3" xfId="3213" xr:uid="{00000000-0005-0000-0000-0000BC0C0000}"/>
    <cellStyle name="20% - Accent2 3 2 3 2" xfId="3214" xr:uid="{00000000-0005-0000-0000-0000BD0C0000}"/>
    <cellStyle name="20% - Accent2 3 2 3 2 2" xfId="3215" xr:uid="{00000000-0005-0000-0000-0000BE0C0000}"/>
    <cellStyle name="20% - Accent2 3 2 3 2 2 2" xfId="3216" xr:uid="{00000000-0005-0000-0000-0000BF0C0000}"/>
    <cellStyle name="20% - Accent2 3 2 3 2 2 2 2" xfId="3217" xr:uid="{00000000-0005-0000-0000-0000C00C0000}"/>
    <cellStyle name="20% - Accent2 3 2 3 2 2 2 2 2" xfId="3218" xr:uid="{00000000-0005-0000-0000-0000C10C0000}"/>
    <cellStyle name="20% - Accent2 3 2 3 2 2 2 2 2 2" xfId="3219" xr:uid="{00000000-0005-0000-0000-0000C20C0000}"/>
    <cellStyle name="20% - Accent2 3 2 3 2 2 2 2 3" xfId="3220" xr:uid="{00000000-0005-0000-0000-0000C30C0000}"/>
    <cellStyle name="20% - Accent2 3 2 3 2 2 2 3" xfId="3221" xr:uid="{00000000-0005-0000-0000-0000C40C0000}"/>
    <cellStyle name="20% - Accent2 3 2 3 2 2 2 3 2" xfId="3222" xr:uid="{00000000-0005-0000-0000-0000C50C0000}"/>
    <cellStyle name="20% - Accent2 3 2 3 2 2 2 4" xfId="3223" xr:uid="{00000000-0005-0000-0000-0000C60C0000}"/>
    <cellStyle name="20% - Accent2 3 2 3 2 2 3" xfId="3224" xr:uid="{00000000-0005-0000-0000-0000C70C0000}"/>
    <cellStyle name="20% - Accent2 3 2 3 2 2 3 2" xfId="3225" xr:uid="{00000000-0005-0000-0000-0000C80C0000}"/>
    <cellStyle name="20% - Accent2 3 2 3 2 2 3 2 2" xfId="3226" xr:uid="{00000000-0005-0000-0000-0000C90C0000}"/>
    <cellStyle name="20% - Accent2 3 2 3 2 2 3 3" xfId="3227" xr:uid="{00000000-0005-0000-0000-0000CA0C0000}"/>
    <cellStyle name="20% - Accent2 3 2 3 2 2 4" xfId="3228" xr:uid="{00000000-0005-0000-0000-0000CB0C0000}"/>
    <cellStyle name="20% - Accent2 3 2 3 2 2 4 2" xfId="3229" xr:uid="{00000000-0005-0000-0000-0000CC0C0000}"/>
    <cellStyle name="20% - Accent2 3 2 3 2 2 5" xfId="3230" xr:uid="{00000000-0005-0000-0000-0000CD0C0000}"/>
    <cellStyle name="20% - Accent2 3 2 3 2 3" xfId="3231" xr:uid="{00000000-0005-0000-0000-0000CE0C0000}"/>
    <cellStyle name="20% - Accent2 3 2 3 2 3 2" xfId="3232" xr:uid="{00000000-0005-0000-0000-0000CF0C0000}"/>
    <cellStyle name="20% - Accent2 3 2 3 2 3 2 2" xfId="3233" xr:uid="{00000000-0005-0000-0000-0000D00C0000}"/>
    <cellStyle name="20% - Accent2 3 2 3 2 3 2 2 2" xfId="3234" xr:uid="{00000000-0005-0000-0000-0000D10C0000}"/>
    <cellStyle name="20% - Accent2 3 2 3 2 3 2 3" xfId="3235" xr:uid="{00000000-0005-0000-0000-0000D20C0000}"/>
    <cellStyle name="20% - Accent2 3 2 3 2 3 3" xfId="3236" xr:uid="{00000000-0005-0000-0000-0000D30C0000}"/>
    <cellStyle name="20% - Accent2 3 2 3 2 3 3 2" xfId="3237" xr:uid="{00000000-0005-0000-0000-0000D40C0000}"/>
    <cellStyle name="20% - Accent2 3 2 3 2 3 4" xfId="3238" xr:uid="{00000000-0005-0000-0000-0000D50C0000}"/>
    <cellStyle name="20% - Accent2 3 2 3 2 4" xfId="3239" xr:uid="{00000000-0005-0000-0000-0000D60C0000}"/>
    <cellStyle name="20% - Accent2 3 2 3 2 4 2" xfId="3240" xr:uid="{00000000-0005-0000-0000-0000D70C0000}"/>
    <cellStyle name="20% - Accent2 3 2 3 2 4 2 2" xfId="3241" xr:uid="{00000000-0005-0000-0000-0000D80C0000}"/>
    <cellStyle name="20% - Accent2 3 2 3 2 4 3" xfId="3242" xr:uid="{00000000-0005-0000-0000-0000D90C0000}"/>
    <cellStyle name="20% - Accent2 3 2 3 2 5" xfId="3243" xr:uid="{00000000-0005-0000-0000-0000DA0C0000}"/>
    <cellStyle name="20% - Accent2 3 2 3 2 5 2" xfId="3244" xr:uid="{00000000-0005-0000-0000-0000DB0C0000}"/>
    <cellStyle name="20% - Accent2 3 2 3 2 6" xfId="3245" xr:uid="{00000000-0005-0000-0000-0000DC0C0000}"/>
    <cellStyle name="20% - Accent2 3 2 3 3" xfId="3246" xr:uid="{00000000-0005-0000-0000-0000DD0C0000}"/>
    <cellStyle name="20% - Accent2 3 2 3 3 2" xfId="3247" xr:uid="{00000000-0005-0000-0000-0000DE0C0000}"/>
    <cellStyle name="20% - Accent2 3 2 3 3 2 2" xfId="3248" xr:uid="{00000000-0005-0000-0000-0000DF0C0000}"/>
    <cellStyle name="20% - Accent2 3 2 3 3 2 2 2" xfId="3249" xr:uid="{00000000-0005-0000-0000-0000E00C0000}"/>
    <cellStyle name="20% - Accent2 3 2 3 3 2 2 2 2" xfId="3250" xr:uid="{00000000-0005-0000-0000-0000E10C0000}"/>
    <cellStyle name="20% - Accent2 3 2 3 3 2 2 3" xfId="3251" xr:uid="{00000000-0005-0000-0000-0000E20C0000}"/>
    <cellStyle name="20% - Accent2 3 2 3 3 2 3" xfId="3252" xr:uid="{00000000-0005-0000-0000-0000E30C0000}"/>
    <cellStyle name="20% - Accent2 3 2 3 3 2 3 2" xfId="3253" xr:uid="{00000000-0005-0000-0000-0000E40C0000}"/>
    <cellStyle name="20% - Accent2 3 2 3 3 2 4" xfId="3254" xr:uid="{00000000-0005-0000-0000-0000E50C0000}"/>
    <cellStyle name="20% - Accent2 3 2 3 3 3" xfId="3255" xr:uid="{00000000-0005-0000-0000-0000E60C0000}"/>
    <cellStyle name="20% - Accent2 3 2 3 3 3 2" xfId="3256" xr:uid="{00000000-0005-0000-0000-0000E70C0000}"/>
    <cellStyle name="20% - Accent2 3 2 3 3 3 2 2" xfId="3257" xr:uid="{00000000-0005-0000-0000-0000E80C0000}"/>
    <cellStyle name="20% - Accent2 3 2 3 3 3 3" xfId="3258" xr:uid="{00000000-0005-0000-0000-0000E90C0000}"/>
    <cellStyle name="20% - Accent2 3 2 3 3 4" xfId="3259" xr:uid="{00000000-0005-0000-0000-0000EA0C0000}"/>
    <cellStyle name="20% - Accent2 3 2 3 3 4 2" xfId="3260" xr:uid="{00000000-0005-0000-0000-0000EB0C0000}"/>
    <cellStyle name="20% - Accent2 3 2 3 3 5" xfId="3261" xr:uid="{00000000-0005-0000-0000-0000EC0C0000}"/>
    <cellStyle name="20% - Accent2 3 2 3 4" xfId="3262" xr:uid="{00000000-0005-0000-0000-0000ED0C0000}"/>
    <cellStyle name="20% - Accent2 3 2 3 4 2" xfId="3263" xr:uid="{00000000-0005-0000-0000-0000EE0C0000}"/>
    <cellStyle name="20% - Accent2 3 2 3 4 2 2" xfId="3264" xr:uid="{00000000-0005-0000-0000-0000EF0C0000}"/>
    <cellStyle name="20% - Accent2 3 2 3 4 2 2 2" xfId="3265" xr:uid="{00000000-0005-0000-0000-0000F00C0000}"/>
    <cellStyle name="20% - Accent2 3 2 3 4 2 3" xfId="3266" xr:uid="{00000000-0005-0000-0000-0000F10C0000}"/>
    <cellStyle name="20% - Accent2 3 2 3 4 3" xfId="3267" xr:uid="{00000000-0005-0000-0000-0000F20C0000}"/>
    <cellStyle name="20% - Accent2 3 2 3 4 3 2" xfId="3268" xr:uid="{00000000-0005-0000-0000-0000F30C0000}"/>
    <cellStyle name="20% - Accent2 3 2 3 4 4" xfId="3269" xr:uid="{00000000-0005-0000-0000-0000F40C0000}"/>
    <cellStyle name="20% - Accent2 3 2 3 5" xfId="3270" xr:uid="{00000000-0005-0000-0000-0000F50C0000}"/>
    <cellStyle name="20% - Accent2 3 2 3 5 2" xfId="3271" xr:uid="{00000000-0005-0000-0000-0000F60C0000}"/>
    <cellStyle name="20% - Accent2 3 2 3 5 2 2" xfId="3272" xr:uid="{00000000-0005-0000-0000-0000F70C0000}"/>
    <cellStyle name="20% - Accent2 3 2 3 5 3" xfId="3273" xr:uid="{00000000-0005-0000-0000-0000F80C0000}"/>
    <cellStyle name="20% - Accent2 3 2 3 6" xfId="3274" xr:uid="{00000000-0005-0000-0000-0000F90C0000}"/>
    <cellStyle name="20% - Accent2 3 2 3 6 2" xfId="3275" xr:uid="{00000000-0005-0000-0000-0000FA0C0000}"/>
    <cellStyle name="20% - Accent2 3 2 3 7" xfId="3276" xr:uid="{00000000-0005-0000-0000-0000FB0C0000}"/>
    <cellStyle name="20% - Accent2 3 2 4" xfId="3277" xr:uid="{00000000-0005-0000-0000-0000FC0C0000}"/>
    <cellStyle name="20% - Accent2 3 2 4 2" xfId="3278" xr:uid="{00000000-0005-0000-0000-0000FD0C0000}"/>
    <cellStyle name="20% - Accent2 3 2 4 2 2" xfId="3279" xr:uid="{00000000-0005-0000-0000-0000FE0C0000}"/>
    <cellStyle name="20% - Accent2 3 2 4 2 2 2" xfId="3280" xr:uid="{00000000-0005-0000-0000-0000FF0C0000}"/>
    <cellStyle name="20% - Accent2 3 2 4 2 2 2 2" xfId="3281" xr:uid="{00000000-0005-0000-0000-0000000D0000}"/>
    <cellStyle name="20% - Accent2 3 2 4 2 2 2 2 2" xfId="3282" xr:uid="{00000000-0005-0000-0000-0000010D0000}"/>
    <cellStyle name="20% - Accent2 3 2 4 2 2 2 3" xfId="3283" xr:uid="{00000000-0005-0000-0000-0000020D0000}"/>
    <cellStyle name="20% - Accent2 3 2 4 2 2 3" xfId="3284" xr:uid="{00000000-0005-0000-0000-0000030D0000}"/>
    <cellStyle name="20% - Accent2 3 2 4 2 2 3 2" xfId="3285" xr:uid="{00000000-0005-0000-0000-0000040D0000}"/>
    <cellStyle name="20% - Accent2 3 2 4 2 2 4" xfId="3286" xr:uid="{00000000-0005-0000-0000-0000050D0000}"/>
    <cellStyle name="20% - Accent2 3 2 4 2 3" xfId="3287" xr:uid="{00000000-0005-0000-0000-0000060D0000}"/>
    <cellStyle name="20% - Accent2 3 2 4 2 3 2" xfId="3288" xr:uid="{00000000-0005-0000-0000-0000070D0000}"/>
    <cellStyle name="20% - Accent2 3 2 4 2 3 2 2" xfId="3289" xr:uid="{00000000-0005-0000-0000-0000080D0000}"/>
    <cellStyle name="20% - Accent2 3 2 4 2 3 3" xfId="3290" xr:uid="{00000000-0005-0000-0000-0000090D0000}"/>
    <cellStyle name="20% - Accent2 3 2 4 2 4" xfId="3291" xr:uid="{00000000-0005-0000-0000-00000A0D0000}"/>
    <cellStyle name="20% - Accent2 3 2 4 2 4 2" xfId="3292" xr:uid="{00000000-0005-0000-0000-00000B0D0000}"/>
    <cellStyle name="20% - Accent2 3 2 4 2 5" xfId="3293" xr:uid="{00000000-0005-0000-0000-00000C0D0000}"/>
    <cellStyle name="20% - Accent2 3 2 4 3" xfId="3294" xr:uid="{00000000-0005-0000-0000-00000D0D0000}"/>
    <cellStyle name="20% - Accent2 3 2 4 3 2" xfId="3295" xr:uid="{00000000-0005-0000-0000-00000E0D0000}"/>
    <cellStyle name="20% - Accent2 3 2 4 3 2 2" xfId="3296" xr:uid="{00000000-0005-0000-0000-00000F0D0000}"/>
    <cellStyle name="20% - Accent2 3 2 4 3 2 2 2" xfId="3297" xr:uid="{00000000-0005-0000-0000-0000100D0000}"/>
    <cellStyle name="20% - Accent2 3 2 4 3 2 3" xfId="3298" xr:uid="{00000000-0005-0000-0000-0000110D0000}"/>
    <cellStyle name="20% - Accent2 3 2 4 3 3" xfId="3299" xr:uid="{00000000-0005-0000-0000-0000120D0000}"/>
    <cellStyle name="20% - Accent2 3 2 4 3 3 2" xfId="3300" xr:uid="{00000000-0005-0000-0000-0000130D0000}"/>
    <cellStyle name="20% - Accent2 3 2 4 3 4" xfId="3301" xr:uid="{00000000-0005-0000-0000-0000140D0000}"/>
    <cellStyle name="20% - Accent2 3 2 4 4" xfId="3302" xr:uid="{00000000-0005-0000-0000-0000150D0000}"/>
    <cellStyle name="20% - Accent2 3 2 4 4 2" xfId="3303" xr:uid="{00000000-0005-0000-0000-0000160D0000}"/>
    <cellStyle name="20% - Accent2 3 2 4 4 2 2" xfId="3304" xr:uid="{00000000-0005-0000-0000-0000170D0000}"/>
    <cellStyle name="20% - Accent2 3 2 4 4 3" xfId="3305" xr:uid="{00000000-0005-0000-0000-0000180D0000}"/>
    <cellStyle name="20% - Accent2 3 2 4 5" xfId="3306" xr:uid="{00000000-0005-0000-0000-0000190D0000}"/>
    <cellStyle name="20% - Accent2 3 2 4 5 2" xfId="3307" xr:uid="{00000000-0005-0000-0000-00001A0D0000}"/>
    <cellStyle name="20% - Accent2 3 2 4 6" xfId="3308" xr:uid="{00000000-0005-0000-0000-00001B0D0000}"/>
    <cellStyle name="20% - Accent2 3 2 5" xfId="3309" xr:uid="{00000000-0005-0000-0000-00001C0D0000}"/>
    <cellStyle name="20% - Accent2 3 2 5 2" xfId="3310" xr:uid="{00000000-0005-0000-0000-00001D0D0000}"/>
    <cellStyle name="20% - Accent2 3 2 5 2 2" xfId="3311" xr:uid="{00000000-0005-0000-0000-00001E0D0000}"/>
    <cellStyle name="20% - Accent2 3 2 5 2 2 2" xfId="3312" xr:uid="{00000000-0005-0000-0000-00001F0D0000}"/>
    <cellStyle name="20% - Accent2 3 2 5 2 2 2 2" xfId="3313" xr:uid="{00000000-0005-0000-0000-0000200D0000}"/>
    <cellStyle name="20% - Accent2 3 2 5 2 2 3" xfId="3314" xr:uid="{00000000-0005-0000-0000-0000210D0000}"/>
    <cellStyle name="20% - Accent2 3 2 5 2 3" xfId="3315" xr:uid="{00000000-0005-0000-0000-0000220D0000}"/>
    <cellStyle name="20% - Accent2 3 2 5 2 3 2" xfId="3316" xr:uid="{00000000-0005-0000-0000-0000230D0000}"/>
    <cellStyle name="20% - Accent2 3 2 5 2 4" xfId="3317" xr:uid="{00000000-0005-0000-0000-0000240D0000}"/>
    <cellStyle name="20% - Accent2 3 2 5 3" xfId="3318" xr:uid="{00000000-0005-0000-0000-0000250D0000}"/>
    <cellStyle name="20% - Accent2 3 2 5 3 2" xfId="3319" xr:uid="{00000000-0005-0000-0000-0000260D0000}"/>
    <cellStyle name="20% - Accent2 3 2 5 3 2 2" xfId="3320" xr:uid="{00000000-0005-0000-0000-0000270D0000}"/>
    <cellStyle name="20% - Accent2 3 2 5 3 3" xfId="3321" xr:uid="{00000000-0005-0000-0000-0000280D0000}"/>
    <cellStyle name="20% - Accent2 3 2 5 4" xfId="3322" xr:uid="{00000000-0005-0000-0000-0000290D0000}"/>
    <cellStyle name="20% - Accent2 3 2 5 4 2" xfId="3323" xr:uid="{00000000-0005-0000-0000-00002A0D0000}"/>
    <cellStyle name="20% - Accent2 3 2 5 5" xfId="3324" xr:uid="{00000000-0005-0000-0000-00002B0D0000}"/>
    <cellStyle name="20% - Accent2 3 2 6" xfId="3325" xr:uid="{00000000-0005-0000-0000-00002C0D0000}"/>
    <cellStyle name="20% - Accent2 3 2 6 2" xfId="3326" xr:uid="{00000000-0005-0000-0000-00002D0D0000}"/>
    <cellStyle name="20% - Accent2 3 2 6 2 2" xfId="3327" xr:uid="{00000000-0005-0000-0000-00002E0D0000}"/>
    <cellStyle name="20% - Accent2 3 2 6 2 2 2" xfId="3328" xr:uid="{00000000-0005-0000-0000-00002F0D0000}"/>
    <cellStyle name="20% - Accent2 3 2 6 2 3" xfId="3329" xr:uid="{00000000-0005-0000-0000-0000300D0000}"/>
    <cellStyle name="20% - Accent2 3 2 6 3" xfId="3330" xr:uid="{00000000-0005-0000-0000-0000310D0000}"/>
    <cellStyle name="20% - Accent2 3 2 6 3 2" xfId="3331" xr:uid="{00000000-0005-0000-0000-0000320D0000}"/>
    <cellStyle name="20% - Accent2 3 2 6 4" xfId="3332" xr:uid="{00000000-0005-0000-0000-0000330D0000}"/>
    <cellStyle name="20% - Accent2 3 2 7" xfId="3333" xr:uid="{00000000-0005-0000-0000-0000340D0000}"/>
    <cellStyle name="20% - Accent2 3 2 7 2" xfId="3334" xr:uid="{00000000-0005-0000-0000-0000350D0000}"/>
    <cellStyle name="20% - Accent2 3 2 7 2 2" xfId="3335" xr:uid="{00000000-0005-0000-0000-0000360D0000}"/>
    <cellStyle name="20% - Accent2 3 2 7 3" xfId="3336" xr:uid="{00000000-0005-0000-0000-0000370D0000}"/>
    <cellStyle name="20% - Accent2 3 2 8" xfId="3337" xr:uid="{00000000-0005-0000-0000-0000380D0000}"/>
    <cellStyle name="20% - Accent2 3 2 8 2" xfId="3338" xr:uid="{00000000-0005-0000-0000-0000390D0000}"/>
    <cellStyle name="20% - Accent2 3 2 9" xfId="3339" xr:uid="{00000000-0005-0000-0000-00003A0D0000}"/>
    <cellStyle name="20% - Accent2 3 3" xfId="3340" xr:uid="{00000000-0005-0000-0000-00003B0D0000}"/>
    <cellStyle name="20% - Accent2 3 3 2" xfId="3341" xr:uid="{00000000-0005-0000-0000-00003C0D0000}"/>
    <cellStyle name="20% - Accent2 3 3 2 2" xfId="3342" xr:uid="{00000000-0005-0000-0000-00003D0D0000}"/>
    <cellStyle name="20% - Accent2 3 3 2 2 2" xfId="3343" xr:uid="{00000000-0005-0000-0000-00003E0D0000}"/>
    <cellStyle name="20% - Accent2 3 3 2 2 2 2" xfId="3344" xr:uid="{00000000-0005-0000-0000-00003F0D0000}"/>
    <cellStyle name="20% - Accent2 3 3 2 2 2 2 2" xfId="3345" xr:uid="{00000000-0005-0000-0000-0000400D0000}"/>
    <cellStyle name="20% - Accent2 3 3 2 2 2 2 2 2" xfId="3346" xr:uid="{00000000-0005-0000-0000-0000410D0000}"/>
    <cellStyle name="20% - Accent2 3 3 2 2 2 2 2 2 2" xfId="3347" xr:uid="{00000000-0005-0000-0000-0000420D0000}"/>
    <cellStyle name="20% - Accent2 3 3 2 2 2 2 2 3" xfId="3348" xr:uid="{00000000-0005-0000-0000-0000430D0000}"/>
    <cellStyle name="20% - Accent2 3 3 2 2 2 2 3" xfId="3349" xr:uid="{00000000-0005-0000-0000-0000440D0000}"/>
    <cellStyle name="20% - Accent2 3 3 2 2 2 2 3 2" xfId="3350" xr:uid="{00000000-0005-0000-0000-0000450D0000}"/>
    <cellStyle name="20% - Accent2 3 3 2 2 2 2 4" xfId="3351" xr:uid="{00000000-0005-0000-0000-0000460D0000}"/>
    <cellStyle name="20% - Accent2 3 3 2 2 2 3" xfId="3352" xr:uid="{00000000-0005-0000-0000-0000470D0000}"/>
    <cellStyle name="20% - Accent2 3 3 2 2 2 3 2" xfId="3353" xr:uid="{00000000-0005-0000-0000-0000480D0000}"/>
    <cellStyle name="20% - Accent2 3 3 2 2 2 3 2 2" xfId="3354" xr:uid="{00000000-0005-0000-0000-0000490D0000}"/>
    <cellStyle name="20% - Accent2 3 3 2 2 2 3 3" xfId="3355" xr:uid="{00000000-0005-0000-0000-00004A0D0000}"/>
    <cellStyle name="20% - Accent2 3 3 2 2 2 4" xfId="3356" xr:uid="{00000000-0005-0000-0000-00004B0D0000}"/>
    <cellStyle name="20% - Accent2 3 3 2 2 2 4 2" xfId="3357" xr:uid="{00000000-0005-0000-0000-00004C0D0000}"/>
    <cellStyle name="20% - Accent2 3 3 2 2 2 5" xfId="3358" xr:uid="{00000000-0005-0000-0000-00004D0D0000}"/>
    <cellStyle name="20% - Accent2 3 3 2 2 3" xfId="3359" xr:uid="{00000000-0005-0000-0000-00004E0D0000}"/>
    <cellStyle name="20% - Accent2 3 3 2 2 3 2" xfId="3360" xr:uid="{00000000-0005-0000-0000-00004F0D0000}"/>
    <cellStyle name="20% - Accent2 3 3 2 2 3 2 2" xfId="3361" xr:uid="{00000000-0005-0000-0000-0000500D0000}"/>
    <cellStyle name="20% - Accent2 3 3 2 2 3 2 2 2" xfId="3362" xr:uid="{00000000-0005-0000-0000-0000510D0000}"/>
    <cellStyle name="20% - Accent2 3 3 2 2 3 2 3" xfId="3363" xr:uid="{00000000-0005-0000-0000-0000520D0000}"/>
    <cellStyle name="20% - Accent2 3 3 2 2 3 3" xfId="3364" xr:uid="{00000000-0005-0000-0000-0000530D0000}"/>
    <cellStyle name="20% - Accent2 3 3 2 2 3 3 2" xfId="3365" xr:uid="{00000000-0005-0000-0000-0000540D0000}"/>
    <cellStyle name="20% - Accent2 3 3 2 2 3 4" xfId="3366" xr:uid="{00000000-0005-0000-0000-0000550D0000}"/>
    <cellStyle name="20% - Accent2 3 3 2 2 4" xfId="3367" xr:uid="{00000000-0005-0000-0000-0000560D0000}"/>
    <cellStyle name="20% - Accent2 3 3 2 2 4 2" xfId="3368" xr:uid="{00000000-0005-0000-0000-0000570D0000}"/>
    <cellStyle name="20% - Accent2 3 3 2 2 4 2 2" xfId="3369" xr:uid="{00000000-0005-0000-0000-0000580D0000}"/>
    <cellStyle name="20% - Accent2 3 3 2 2 4 3" xfId="3370" xr:uid="{00000000-0005-0000-0000-0000590D0000}"/>
    <cellStyle name="20% - Accent2 3 3 2 2 5" xfId="3371" xr:uid="{00000000-0005-0000-0000-00005A0D0000}"/>
    <cellStyle name="20% - Accent2 3 3 2 2 5 2" xfId="3372" xr:uid="{00000000-0005-0000-0000-00005B0D0000}"/>
    <cellStyle name="20% - Accent2 3 3 2 2 6" xfId="3373" xr:uid="{00000000-0005-0000-0000-00005C0D0000}"/>
    <cellStyle name="20% - Accent2 3 3 2 3" xfId="3374" xr:uid="{00000000-0005-0000-0000-00005D0D0000}"/>
    <cellStyle name="20% - Accent2 3 3 2 3 2" xfId="3375" xr:uid="{00000000-0005-0000-0000-00005E0D0000}"/>
    <cellStyle name="20% - Accent2 3 3 2 3 2 2" xfId="3376" xr:uid="{00000000-0005-0000-0000-00005F0D0000}"/>
    <cellStyle name="20% - Accent2 3 3 2 3 2 2 2" xfId="3377" xr:uid="{00000000-0005-0000-0000-0000600D0000}"/>
    <cellStyle name="20% - Accent2 3 3 2 3 2 2 2 2" xfId="3378" xr:uid="{00000000-0005-0000-0000-0000610D0000}"/>
    <cellStyle name="20% - Accent2 3 3 2 3 2 2 3" xfId="3379" xr:uid="{00000000-0005-0000-0000-0000620D0000}"/>
    <cellStyle name="20% - Accent2 3 3 2 3 2 3" xfId="3380" xr:uid="{00000000-0005-0000-0000-0000630D0000}"/>
    <cellStyle name="20% - Accent2 3 3 2 3 2 3 2" xfId="3381" xr:uid="{00000000-0005-0000-0000-0000640D0000}"/>
    <cellStyle name="20% - Accent2 3 3 2 3 2 4" xfId="3382" xr:uid="{00000000-0005-0000-0000-0000650D0000}"/>
    <cellStyle name="20% - Accent2 3 3 2 3 3" xfId="3383" xr:uid="{00000000-0005-0000-0000-0000660D0000}"/>
    <cellStyle name="20% - Accent2 3 3 2 3 3 2" xfId="3384" xr:uid="{00000000-0005-0000-0000-0000670D0000}"/>
    <cellStyle name="20% - Accent2 3 3 2 3 3 2 2" xfId="3385" xr:uid="{00000000-0005-0000-0000-0000680D0000}"/>
    <cellStyle name="20% - Accent2 3 3 2 3 3 3" xfId="3386" xr:uid="{00000000-0005-0000-0000-0000690D0000}"/>
    <cellStyle name="20% - Accent2 3 3 2 3 4" xfId="3387" xr:uid="{00000000-0005-0000-0000-00006A0D0000}"/>
    <cellStyle name="20% - Accent2 3 3 2 3 4 2" xfId="3388" xr:uid="{00000000-0005-0000-0000-00006B0D0000}"/>
    <cellStyle name="20% - Accent2 3 3 2 3 5" xfId="3389" xr:uid="{00000000-0005-0000-0000-00006C0D0000}"/>
    <cellStyle name="20% - Accent2 3 3 2 4" xfId="3390" xr:uid="{00000000-0005-0000-0000-00006D0D0000}"/>
    <cellStyle name="20% - Accent2 3 3 2 4 2" xfId="3391" xr:uid="{00000000-0005-0000-0000-00006E0D0000}"/>
    <cellStyle name="20% - Accent2 3 3 2 4 2 2" xfId="3392" xr:uid="{00000000-0005-0000-0000-00006F0D0000}"/>
    <cellStyle name="20% - Accent2 3 3 2 4 2 2 2" xfId="3393" xr:uid="{00000000-0005-0000-0000-0000700D0000}"/>
    <cellStyle name="20% - Accent2 3 3 2 4 2 3" xfId="3394" xr:uid="{00000000-0005-0000-0000-0000710D0000}"/>
    <cellStyle name="20% - Accent2 3 3 2 4 3" xfId="3395" xr:uid="{00000000-0005-0000-0000-0000720D0000}"/>
    <cellStyle name="20% - Accent2 3 3 2 4 3 2" xfId="3396" xr:uid="{00000000-0005-0000-0000-0000730D0000}"/>
    <cellStyle name="20% - Accent2 3 3 2 4 4" xfId="3397" xr:uid="{00000000-0005-0000-0000-0000740D0000}"/>
    <cellStyle name="20% - Accent2 3 3 2 5" xfId="3398" xr:uid="{00000000-0005-0000-0000-0000750D0000}"/>
    <cellStyle name="20% - Accent2 3 3 2 5 2" xfId="3399" xr:uid="{00000000-0005-0000-0000-0000760D0000}"/>
    <cellStyle name="20% - Accent2 3 3 2 5 2 2" xfId="3400" xr:uid="{00000000-0005-0000-0000-0000770D0000}"/>
    <cellStyle name="20% - Accent2 3 3 2 5 3" xfId="3401" xr:uid="{00000000-0005-0000-0000-0000780D0000}"/>
    <cellStyle name="20% - Accent2 3 3 2 6" xfId="3402" xr:uid="{00000000-0005-0000-0000-0000790D0000}"/>
    <cellStyle name="20% - Accent2 3 3 2 6 2" xfId="3403" xr:uid="{00000000-0005-0000-0000-00007A0D0000}"/>
    <cellStyle name="20% - Accent2 3 3 2 7" xfId="3404" xr:uid="{00000000-0005-0000-0000-00007B0D0000}"/>
    <cellStyle name="20% - Accent2 3 3 3" xfId="3405" xr:uid="{00000000-0005-0000-0000-00007C0D0000}"/>
    <cellStyle name="20% - Accent2 3 3 3 2" xfId="3406" xr:uid="{00000000-0005-0000-0000-00007D0D0000}"/>
    <cellStyle name="20% - Accent2 3 3 3 2 2" xfId="3407" xr:uid="{00000000-0005-0000-0000-00007E0D0000}"/>
    <cellStyle name="20% - Accent2 3 3 3 2 2 2" xfId="3408" xr:uid="{00000000-0005-0000-0000-00007F0D0000}"/>
    <cellStyle name="20% - Accent2 3 3 3 2 2 2 2" xfId="3409" xr:uid="{00000000-0005-0000-0000-0000800D0000}"/>
    <cellStyle name="20% - Accent2 3 3 3 2 2 2 2 2" xfId="3410" xr:uid="{00000000-0005-0000-0000-0000810D0000}"/>
    <cellStyle name="20% - Accent2 3 3 3 2 2 2 3" xfId="3411" xr:uid="{00000000-0005-0000-0000-0000820D0000}"/>
    <cellStyle name="20% - Accent2 3 3 3 2 2 3" xfId="3412" xr:uid="{00000000-0005-0000-0000-0000830D0000}"/>
    <cellStyle name="20% - Accent2 3 3 3 2 2 3 2" xfId="3413" xr:uid="{00000000-0005-0000-0000-0000840D0000}"/>
    <cellStyle name="20% - Accent2 3 3 3 2 2 4" xfId="3414" xr:uid="{00000000-0005-0000-0000-0000850D0000}"/>
    <cellStyle name="20% - Accent2 3 3 3 2 3" xfId="3415" xr:uid="{00000000-0005-0000-0000-0000860D0000}"/>
    <cellStyle name="20% - Accent2 3 3 3 2 3 2" xfId="3416" xr:uid="{00000000-0005-0000-0000-0000870D0000}"/>
    <cellStyle name="20% - Accent2 3 3 3 2 3 2 2" xfId="3417" xr:uid="{00000000-0005-0000-0000-0000880D0000}"/>
    <cellStyle name="20% - Accent2 3 3 3 2 3 3" xfId="3418" xr:uid="{00000000-0005-0000-0000-0000890D0000}"/>
    <cellStyle name="20% - Accent2 3 3 3 2 4" xfId="3419" xr:uid="{00000000-0005-0000-0000-00008A0D0000}"/>
    <cellStyle name="20% - Accent2 3 3 3 2 4 2" xfId="3420" xr:uid="{00000000-0005-0000-0000-00008B0D0000}"/>
    <cellStyle name="20% - Accent2 3 3 3 2 5" xfId="3421" xr:uid="{00000000-0005-0000-0000-00008C0D0000}"/>
    <cellStyle name="20% - Accent2 3 3 3 3" xfId="3422" xr:uid="{00000000-0005-0000-0000-00008D0D0000}"/>
    <cellStyle name="20% - Accent2 3 3 3 3 2" xfId="3423" xr:uid="{00000000-0005-0000-0000-00008E0D0000}"/>
    <cellStyle name="20% - Accent2 3 3 3 3 2 2" xfId="3424" xr:uid="{00000000-0005-0000-0000-00008F0D0000}"/>
    <cellStyle name="20% - Accent2 3 3 3 3 2 2 2" xfId="3425" xr:uid="{00000000-0005-0000-0000-0000900D0000}"/>
    <cellStyle name="20% - Accent2 3 3 3 3 2 3" xfId="3426" xr:uid="{00000000-0005-0000-0000-0000910D0000}"/>
    <cellStyle name="20% - Accent2 3 3 3 3 3" xfId="3427" xr:uid="{00000000-0005-0000-0000-0000920D0000}"/>
    <cellStyle name="20% - Accent2 3 3 3 3 3 2" xfId="3428" xr:uid="{00000000-0005-0000-0000-0000930D0000}"/>
    <cellStyle name="20% - Accent2 3 3 3 3 4" xfId="3429" xr:uid="{00000000-0005-0000-0000-0000940D0000}"/>
    <cellStyle name="20% - Accent2 3 3 3 4" xfId="3430" xr:uid="{00000000-0005-0000-0000-0000950D0000}"/>
    <cellStyle name="20% - Accent2 3 3 3 4 2" xfId="3431" xr:uid="{00000000-0005-0000-0000-0000960D0000}"/>
    <cellStyle name="20% - Accent2 3 3 3 4 2 2" xfId="3432" xr:uid="{00000000-0005-0000-0000-0000970D0000}"/>
    <cellStyle name="20% - Accent2 3 3 3 4 3" xfId="3433" xr:uid="{00000000-0005-0000-0000-0000980D0000}"/>
    <cellStyle name="20% - Accent2 3 3 3 5" xfId="3434" xr:uid="{00000000-0005-0000-0000-0000990D0000}"/>
    <cellStyle name="20% - Accent2 3 3 3 5 2" xfId="3435" xr:uid="{00000000-0005-0000-0000-00009A0D0000}"/>
    <cellStyle name="20% - Accent2 3 3 3 6" xfId="3436" xr:uid="{00000000-0005-0000-0000-00009B0D0000}"/>
    <cellStyle name="20% - Accent2 3 3 4" xfId="3437" xr:uid="{00000000-0005-0000-0000-00009C0D0000}"/>
    <cellStyle name="20% - Accent2 3 3 4 2" xfId="3438" xr:uid="{00000000-0005-0000-0000-00009D0D0000}"/>
    <cellStyle name="20% - Accent2 3 3 4 2 2" xfId="3439" xr:uid="{00000000-0005-0000-0000-00009E0D0000}"/>
    <cellStyle name="20% - Accent2 3 3 4 2 2 2" xfId="3440" xr:uid="{00000000-0005-0000-0000-00009F0D0000}"/>
    <cellStyle name="20% - Accent2 3 3 4 2 2 2 2" xfId="3441" xr:uid="{00000000-0005-0000-0000-0000A00D0000}"/>
    <cellStyle name="20% - Accent2 3 3 4 2 2 3" xfId="3442" xr:uid="{00000000-0005-0000-0000-0000A10D0000}"/>
    <cellStyle name="20% - Accent2 3 3 4 2 3" xfId="3443" xr:uid="{00000000-0005-0000-0000-0000A20D0000}"/>
    <cellStyle name="20% - Accent2 3 3 4 2 3 2" xfId="3444" xr:uid="{00000000-0005-0000-0000-0000A30D0000}"/>
    <cellStyle name="20% - Accent2 3 3 4 2 4" xfId="3445" xr:uid="{00000000-0005-0000-0000-0000A40D0000}"/>
    <cellStyle name="20% - Accent2 3 3 4 3" xfId="3446" xr:uid="{00000000-0005-0000-0000-0000A50D0000}"/>
    <cellStyle name="20% - Accent2 3 3 4 3 2" xfId="3447" xr:uid="{00000000-0005-0000-0000-0000A60D0000}"/>
    <cellStyle name="20% - Accent2 3 3 4 3 2 2" xfId="3448" xr:uid="{00000000-0005-0000-0000-0000A70D0000}"/>
    <cellStyle name="20% - Accent2 3 3 4 3 3" xfId="3449" xr:uid="{00000000-0005-0000-0000-0000A80D0000}"/>
    <cellStyle name="20% - Accent2 3 3 4 4" xfId="3450" xr:uid="{00000000-0005-0000-0000-0000A90D0000}"/>
    <cellStyle name="20% - Accent2 3 3 4 4 2" xfId="3451" xr:uid="{00000000-0005-0000-0000-0000AA0D0000}"/>
    <cellStyle name="20% - Accent2 3 3 4 5" xfId="3452" xr:uid="{00000000-0005-0000-0000-0000AB0D0000}"/>
    <cellStyle name="20% - Accent2 3 3 5" xfId="3453" xr:uid="{00000000-0005-0000-0000-0000AC0D0000}"/>
    <cellStyle name="20% - Accent2 3 3 5 2" xfId="3454" xr:uid="{00000000-0005-0000-0000-0000AD0D0000}"/>
    <cellStyle name="20% - Accent2 3 3 5 2 2" xfId="3455" xr:uid="{00000000-0005-0000-0000-0000AE0D0000}"/>
    <cellStyle name="20% - Accent2 3 3 5 2 2 2" xfId="3456" xr:uid="{00000000-0005-0000-0000-0000AF0D0000}"/>
    <cellStyle name="20% - Accent2 3 3 5 2 3" xfId="3457" xr:uid="{00000000-0005-0000-0000-0000B00D0000}"/>
    <cellStyle name="20% - Accent2 3 3 5 3" xfId="3458" xr:uid="{00000000-0005-0000-0000-0000B10D0000}"/>
    <cellStyle name="20% - Accent2 3 3 5 3 2" xfId="3459" xr:uid="{00000000-0005-0000-0000-0000B20D0000}"/>
    <cellStyle name="20% - Accent2 3 3 5 4" xfId="3460" xr:uid="{00000000-0005-0000-0000-0000B30D0000}"/>
    <cellStyle name="20% - Accent2 3 3 6" xfId="3461" xr:uid="{00000000-0005-0000-0000-0000B40D0000}"/>
    <cellStyle name="20% - Accent2 3 3 6 2" xfId="3462" xr:uid="{00000000-0005-0000-0000-0000B50D0000}"/>
    <cellStyle name="20% - Accent2 3 3 6 2 2" xfId="3463" xr:uid="{00000000-0005-0000-0000-0000B60D0000}"/>
    <cellStyle name="20% - Accent2 3 3 6 3" xfId="3464" xr:uid="{00000000-0005-0000-0000-0000B70D0000}"/>
    <cellStyle name="20% - Accent2 3 3 7" xfId="3465" xr:uid="{00000000-0005-0000-0000-0000B80D0000}"/>
    <cellStyle name="20% - Accent2 3 3 7 2" xfId="3466" xr:uid="{00000000-0005-0000-0000-0000B90D0000}"/>
    <cellStyle name="20% - Accent2 3 3 8" xfId="3467" xr:uid="{00000000-0005-0000-0000-0000BA0D0000}"/>
    <cellStyle name="20% - Accent2 3 4" xfId="3468" xr:uid="{00000000-0005-0000-0000-0000BB0D0000}"/>
    <cellStyle name="20% - Accent2 3 4 2" xfId="3469" xr:uid="{00000000-0005-0000-0000-0000BC0D0000}"/>
    <cellStyle name="20% - Accent2 3 4 2 2" xfId="3470" xr:uid="{00000000-0005-0000-0000-0000BD0D0000}"/>
    <cellStyle name="20% - Accent2 3 4 2 2 2" xfId="3471" xr:uid="{00000000-0005-0000-0000-0000BE0D0000}"/>
    <cellStyle name="20% - Accent2 3 4 2 2 2 2" xfId="3472" xr:uid="{00000000-0005-0000-0000-0000BF0D0000}"/>
    <cellStyle name="20% - Accent2 3 4 2 2 2 2 2" xfId="3473" xr:uid="{00000000-0005-0000-0000-0000C00D0000}"/>
    <cellStyle name="20% - Accent2 3 4 2 2 2 2 2 2" xfId="3474" xr:uid="{00000000-0005-0000-0000-0000C10D0000}"/>
    <cellStyle name="20% - Accent2 3 4 2 2 2 2 3" xfId="3475" xr:uid="{00000000-0005-0000-0000-0000C20D0000}"/>
    <cellStyle name="20% - Accent2 3 4 2 2 2 3" xfId="3476" xr:uid="{00000000-0005-0000-0000-0000C30D0000}"/>
    <cellStyle name="20% - Accent2 3 4 2 2 2 3 2" xfId="3477" xr:uid="{00000000-0005-0000-0000-0000C40D0000}"/>
    <cellStyle name="20% - Accent2 3 4 2 2 2 4" xfId="3478" xr:uid="{00000000-0005-0000-0000-0000C50D0000}"/>
    <cellStyle name="20% - Accent2 3 4 2 2 3" xfId="3479" xr:uid="{00000000-0005-0000-0000-0000C60D0000}"/>
    <cellStyle name="20% - Accent2 3 4 2 2 3 2" xfId="3480" xr:uid="{00000000-0005-0000-0000-0000C70D0000}"/>
    <cellStyle name="20% - Accent2 3 4 2 2 3 2 2" xfId="3481" xr:uid="{00000000-0005-0000-0000-0000C80D0000}"/>
    <cellStyle name="20% - Accent2 3 4 2 2 3 3" xfId="3482" xr:uid="{00000000-0005-0000-0000-0000C90D0000}"/>
    <cellStyle name="20% - Accent2 3 4 2 2 4" xfId="3483" xr:uid="{00000000-0005-0000-0000-0000CA0D0000}"/>
    <cellStyle name="20% - Accent2 3 4 2 2 4 2" xfId="3484" xr:uid="{00000000-0005-0000-0000-0000CB0D0000}"/>
    <cellStyle name="20% - Accent2 3 4 2 2 5" xfId="3485" xr:uid="{00000000-0005-0000-0000-0000CC0D0000}"/>
    <cellStyle name="20% - Accent2 3 4 2 3" xfId="3486" xr:uid="{00000000-0005-0000-0000-0000CD0D0000}"/>
    <cellStyle name="20% - Accent2 3 4 2 3 2" xfId="3487" xr:uid="{00000000-0005-0000-0000-0000CE0D0000}"/>
    <cellStyle name="20% - Accent2 3 4 2 3 2 2" xfId="3488" xr:uid="{00000000-0005-0000-0000-0000CF0D0000}"/>
    <cellStyle name="20% - Accent2 3 4 2 3 2 2 2" xfId="3489" xr:uid="{00000000-0005-0000-0000-0000D00D0000}"/>
    <cellStyle name="20% - Accent2 3 4 2 3 2 3" xfId="3490" xr:uid="{00000000-0005-0000-0000-0000D10D0000}"/>
    <cellStyle name="20% - Accent2 3 4 2 3 3" xfId="3491" xr:uid="{00000000-0005-0000-0000-0000D20D0000}"/>
    <cellStyle name="20% - Accent2 3 4 2 3 3 2" xfId="3492" xr:uid="{00000000-0005-0000-0000-0000D30D0000}"/>
    <cellStyle name="20% - Accent2 3 4 2 3 4" xfId="3493" xr:uid="{00000000-0005-0000-0000-0000D40D0000}"/>
    <cellStyle name="20% - Accent2 3 4 2 4" xfId="3494" xr:uid="{00000000-0005-0000-0000-0000D50D0000}"/>
    <cellStyle name="20% - Accent2 3 4 2 4 2" xfId="3495" xr:uid="{00000000-0005-0000-0000-0000D60D0000}"/>
    <cellStyle name="20% - Accent2 3 4 2 4 2 2" xfId="3496" xr:uid="{00000000-0005-0000-0000-0000D70D0000}"/>
    <cellStyle name="20% - Accent2 3 4 2 4 3" xfId="3497" xr:uid="{00000000-0005-0000-0000-0000D80D0000}"/>
    <cellStyle name="20% - Accent2 3 4 2 5" xfId="3498" xr:uid="{00000000-0005-0000-0000-0000D90D0000}"/>
    <cellStyle name="20% - Accent2 3 4 2 5 2" xfId="3499" xr:uid="{00000000-0005-0000-0000-0000DA0D0000}"/>
    <cellStyle name="20% - Accent2 3 4 2 6" xfId="3500" xr:uid="{00000000-0005-0000-0000-0000DB0D0000}"/>
    <cellStyle name="20% - Accent2 3 4 3" xfId="3501" xr:uid="{00000000-0005-0000-0000-0000DC0D0000}"/>
    <cellStyle name="20% - Accent2 3 4 3 2" xfId="3502" xr:uid="{00000000-0005-0000-0000-0000DD0D0000}"/>
    <cellStyle name="20% - Accent2 3 4 3 2 2" xfId="3503" xr:uid="{00000000-0005-0000-0000-0000DE0D0000}"/>
    <cellStyle name="20% - Accent2 3 4 3 2 2 2" xfId="3504" xr:uid="{00000000-0005-0000-0000-0000DF0D0000}"/>
    <cellStyle name="20% - Accent2 3 4 3 2 2 2 2" xfId="3505" xr:uid="{00000000-0005-0000-0000-0000E00D0000}"/>
    <cellStyle name="20% - Accent2 3 4 3 2 2 3" xfId="3506" xr:uid="{00000000-0005-0000-0000-0000E10D0000}"/>
    <cellStyle name="20% - Accent2 3 4 3 2 3" xfId="3507" xr:uid="{00000000-0005-0000-0000-0000E20D0000}"/>
    <cellStyle name="20% - Accent2 3 4 3 2 3 2" xfId="3508" xr:uid="{00000000-0005-0000-0000-0000E30D0000}"/>
    <cellStyle name="20% - Accent2 3 4 3 2 4" xfId="3509" xr:uid="{00000000-0005-0000-0000-0000E40D0000}"/>
    <cellStyle name="20% - Accent2 3 4 3 3" xfId="3510" xr:uid="{00000000-0005-0000-0000-0000E50D0000}"/>
    <cellStyle name="20% - Accent2 3 4 3 3 2" xfId="3511" xr:uid="{00000000-0005-0000-0000-0000E60D0000}"/>
    <cellStyle name="20% - Accent2 3 4 3 3 2 2" xfId="3512" xr:uid="{00000000-0005-0000-0000-0000E70D0000}"/>
    <cellStyle name="20% - Accent2 3 4 3 3 3" xfId="3513" xr:uid="{00000000-0005-0000-0000-0000E80D0000}"/>
    <cellStyle name="20% - Accent2 3 4 3 4" xfId="3514" xr:uid="{00000000-0005-0000-0000-0000E90D0000}"/>
    <cellStyle name="20% - Accent2 3 4 3 4 2" xfId="3515" xr:uid="{00000000-0005-0000-0000-0000EA0D0000}"/>
    <cellStyle name="20% - Accent2 3 4 3 5" xfId="3516" xr:uid="{00000000-0005-0000-0000-0000EB0D0000}"/>
    <cellStyle name="20% - Accent2 3 4 4" xfId="3517" xr:uid="{00000000-0005-0000-0000-0000EC0D0000}"/>
    <cellStyle name="20% - Accent2 3 4 4 2" xfId="3518" xr:uid="{00000000-0005-0000-0000-0000ED0D0000}"/>
    <cellStyle name="20% - Accent2 3 4 4 2 2" xfId="3519" xr:uid="{00000000-0005-0000-0000-0000EE0D0000}"/>
    <cellStyle name="20% - Accent2 3 4 4 2 2 2" xfId="3520" xr:uid="{00000000-0005-0000-0000-0000EF0D0000}"/>
    <cellStyle name="20% - Accent2 3 4 4 2 3" xfId="3521" xr:uid="{00000000-0005-0000-0000-0000F00D0000}"/>
    <cellStyle name="20% - Accent2 3 4 4 3" xfId="3522" xr:uid="{00000000-0005-0000-0000-0000F10D0000}"/>
    <cellStyle name="20% - Accent2 3 4 4 3 2" xfId="3523" xr:uid="{00000000-0005-0000-0000-0000F20D0000}"/>
    <cellStyle name="20% - Accent2 3 4 4 4" xfId="3524" xr:uid="{00000000-0005-0000-0000-0000F30D0000}"/>
    <cellStyle name="20% - Accent2 3 4 5" xfId="3525" xr:uid="{00000000-0005-0000-0000-0000F40D0000}"/>
    <cellStyle name="20% - Accent2 3 4 5 2" xfId="3526" xr:uid="{00000000-0005-0000-0000-0000F50D0000}"/>
    <cellStyle name="20% - Accent2 3 4 5 2 2" xfId="3527" xr:uid="{00000000-0005-0000-0000-0000F60D0000}"/>
    <cellStyle name="20% - Accent2 3 4 5 3" xfId="3528" xr:uid="{00000000-0005-0000-0000-0000F70D0000}"/>
    <cellStyle name="20% - Accent2 3 4 6" xfId="3529" xr:uid="{00000000-0005-0000-0000-0000F80D0000}"/>
    <cellStyle name="20% - Accent2 3 4 6 2" xfId="3530" xr:uid="{00000000-0005-0000-0000-0000F90D0000}"/>
    <cellStyle name="20% - Accent2 3 4 7" xfId="3531" xr:uid="{00000000-0005-0000-0000-0000FA0D0000}"/>
    <cellStyle name="20% - Accent2 3 5" xfId="3532" xr:uid="{00000000-0005-0000-0000-0000FB0D0000}"/>
    <cellStyle name="20% - Accent2 3 5 2" xfId="3533" xr:uid="{00000000-0005-0000-0000-0000FC0D0000}"/>
    <cellStyle name="20% - Accent2 3 5 2 2" xfId="3534" xr:uid="{00000000-0005-0000-0000-0000FD0D0000}"/>
    <cellStyle name="20% - Accent2 3 5 2 2 2" xfId="3535" xr:uid="{00000000-0005-0000-0000-0000FE0D0000}"/>
    <cellStyle name="20% - Accent2 3 5 2 2 2 2" xfId="3536" xr:uid="{00000000-0005-0000-0000-0000FF0D0000}"/>
    <cellStyle name="20% - Accent2 3 5 2 2 2 2 2" xfId="3537" xr:uid="{00000000-0005-0000-0000-0000000E0000}"/>
    <cellStyle name="20% - Accent2 3 5 2 2 2 3" xfId="3538" xr:uid="{00000000-0005-0000-0000-0000010E0000}"/>
    <cellStyle name="20% - Accent2 3 5 2 2 3" xfId="3539" xr:uid="{00000000-0005-0000-0000-0000020E0000}"/>
    <cellStyle name="20% - Accent2 3 5 2 2 3 2" xfId="3540" xr:uid="{00000000-0005-0000-0000-0000030E0000}"/>
    <cellStyle name="20% - Accent2 3 5 2 2 4" xfId="3541" xr:uid="{00000000-0005-0000-0000-0000040E0000}"/>
    <cellStyle name="20% - Accent2 3 5 2 3" xfId="3542" xr:uid="{00000000-0005-0000-0000-0000050E0000}"/>
    <cellStyle name="20% - Accent2 3 5 2 3 2" xfId="3543" xr:uid="{00000000-0005-0000-0000-0000060E0000}"/>
    <cellStyle name="20% - Accent2 3 5 2 3 2 2" xfId="3544" xr:uid="{00000000-0005-0000-0000-0000070E0000}"/>
    <cellStyle name="20% - Accent2 3 5 2 3 3" xfId="3545" xr:uid="{00000000-0005-0000-0000-0000080E0000}"/>
    <cellStyle name="20% - Accent2 3 5 2 4" xfId="3546" xr:uid="{00000000-0005-0000-0000-0000090E0000}"/>
    <cellStyle name="20% - Accent2 3 5 2 4 2" xfId="3547" xr:uid="{00000000-0005-0000-0000-00000A0E0000}"/>
    <cellStyle name="20% - Accent2 3 5 2 5" xfId="3548" xr:uid="{00000000-0005-0000-0000-00000B0E0000}"/>
    <cellStyle name="20% - Accent2 3 5 3" xfId="3549" xr:uid="{00000000-0005-0000-0000-00000C0E0000}"/>
    <cellStyle name="20% - Accent2 3 5 3 2" xfId="3550" xr:uid="{00000000-0005-0000-0000-00000D0E0000}"/>
    <cellStyle name="20% - Accent2 3 5 3 2 2" xfId="3551" xr:uid="{00000000-0005-0000-0000-00000E0E0000}"/>
    <cellStyle name="20% - Accent2 3 5 3 2 2 2" xfId="3552" xr:uid="{00000000-0005-0000-0000-00000F0E0000}"/>
    <cellStyle name="20% - Accent2 3 5 3 2 3" xfId="3553" xr:uid="{00000000-0005-0000-0000-0000100E0000}"/>
    <cellStyle name="20% - Accent2 3 5 3 3" xfId="3554" xr:uid="{00000000-0005-0000-0000-0000110E0000}"/>
    <cellStyle name="20% - Accent2 3 5 3 3 2" xfId="3555" xr:uid="{00000000-0005-0000-0000-0000120E0000}"/>
    <cellStyle name="20% - Accent2 3 5 3 4" xfId="3556" xr:uid="{00000000-0005-0000-0000-0000130E0000}"/>
    <cellStyle name="20% - Accent2 3 5 4" xfId="3557" xr:uid="{00000000-0005-0000-0000-0000140E0000}"/>
    <cellStyle name="20% - Accent2 3 5 4 2" xfId="3558" xr:uid="{00000000-0005-0000-0000-0000150E0000}"/>
    <cellStyle name="20% - Accent2 3 5 4 2 2" xfId="3559" xr:uid="{00000000-0005-0000-0000-0000160E0000}"/>
    <cellStyle name="20% - Accent2 3 5 4 3" xfId="3560" xr:uid="{00000000-0005-0000-0000-0000170E0000}"/>
    <cellStyle name="20% - Accent2 3 5 5" xfId="3561" xr:uid="{00000000-0005-0000-0000-0000180E0000}"/>
    <cellStyle name="20% - Accent2 3 5 5 2" xfId="3562" xr:uid="{00000000-0005-0000-0000-0000190E0000}"/>
    <cellStyle name="20% - Accent2 3 5 6" xfId="3563" xr:uid="{00000000-0005-0000-0000-00001A0E0000}"/>
    <cellStyle name="20% - Accent2 3 6" xfId="3564" xr:uid="{00000000-0005-0000-0000-00001B0E0000}"/>
    <cellStyle name="20% - Accent2 3 6 2" xfId="3565" xr:uid="{00000000-0005-0000-0000-00001C0E0000}"/>
    <cellStyle name="20% - Accent2 3 6 2 2" xfId="3566" xr:uid="{00000000-0005-0000-0000-00001D0E0000}"/>
    <cellStyle name="20% - Accent2 3 6 2 2 2" xfId="3567" xr:uid="{00000000-0005-0000-0000-00001E0E0000}"/>
    <cellStyle name="20% - Accent2 3 6 2 2 2 2" xfId="3568" xr:uid="{00000000-0005-0000-0000-00001F0E0000}"/>
    <cellStyle name="20% - Accent2 3 6 2 2 3" xfId="3569" xr:uid="{00000000-0005-0000-0000-0000200E0000}"/>
    <cellStyle name="20% - Accent2 3 6 2 3" xfId="3570" xr:uid="{00000000-0005-0000-0000-0000210E0000}"/>
    <cellStyle name="20% - Accent2 3 6 2 3 2" xfId="3571" xr:uid="{00000000-0005-0000-0000-0000220E0000}"/>
    <cellStyle name="20% - Accent2 3 6 2 4" xfId="3572" xr:uid="{00000000-0005-0000-0000-0000230E0000}"/>
    <cellStyle name="20% - Accent2 3 6 3" xfId="3573" xr:uid="{00000000-0005-0000-0000-0000240E0000}"/>
    <cellStyle name="20% - Accent2 3 6 3 2" xfId="3574" xr:uid="{00000000-0005-0000-0000-0000250E0000}"/>
    <cellStyle name="20% - Accent2 3 6 3 2 2" xfId="3575" xr:uid="{00000000-0005-0000-0000-0000260E0000}"/>
    <cellStyle name="20% - Accent2 3 6 3 3" xfId="3576" xr:uid="{00000000-0005-0000-0000-0000270E0000}"/>
    <cellStyle name="20% - Accent2 3 6 4" xfId="3577" xr:uid="{00000000-0005-0000-0000-0000280E0000}"/>
    <cellStyle name="20% - Accent2 3 6 4 2" xfId="3578" xr:uid="{00000000-0005-0000-0000-0000290E0000}"/>
    <cellStyle name="20% - Accent2 3 6 5" xfId="3579" xr:uid="{00000000-0005-0000-0000-00002A0E0000}"/>
    <cellStyle name="20% - Accent2 3 7" xfId="3580" xr:uid="{00000000-0005-0000-0000-00002B0E0000}"/>
    <cellStyle name="20% - Accent2 3 7 2" xfId="3581" xr:uid="{00000000-0005-0000-0000-00002C0E0000}"/>
    <cellStyle name="20% - Accent2 3 7 2 2" xfId="3582" xr:uid="{00000000-0005-0000-0000-00002D0E0000}"/>
    <cellStyle name="20% - Accent2 3 7 2 2 2" xfId="3583" xr:uid="{00000000-0005-0000-0000-00002E0E0000}"/>
    <cellStyle name="20% - Accent2 3 7 2 3" xfId="3584" xr:uid="{00000000-0005-0000-0000-00002F0E0000}"/>
    <cellStyle name="20% - Accent2 3 7 3" xfId="3585" xr:uid="{00000000-0005-0000-0000-0000300E0000}"/>
    <cellStyle name="20% - Accent2 3 7 3 2" xfId="3586" xr:uid="{00000000-0005-0000-0000-0000310E0000}"/>
    <cellStyle name="20% - Accent2 3 7 4" xfId="3587" xr:uid="{00000000-0005-0000-0000-0000320E0000}"/>
    <cellStyle name="20% - Accent2 3 8" xfId="3588" xr:uid="{00000000-0005-0000-0000-0000330E0000}"/>
    <cellStyle name="20% - Accent2 3 8 2" xfId="3589" xr:uid="{00000000-0005-0000-0000-0000340E0000}"/>
    <cellStyle name="20% - Accent2 3 8 2 2" xfId="3590" xr:uid="{00000000-0005-0000-0000-0000350E0000}"/>
    <cellStyle name="20% - Accent2 3 8 3" xfId="3591" xr:uid="{00000000-0005-0000-0000-0000360E0000}"/>
    <cellStyle name="20% - Accent2 3 9" xfId="3592" xr:uid="{00000000-0005-0000-0000-0000370E0000}"/>
    <cellStyle name="20% - Accent2 3 9 2" xfId="3593" xr:uid="{00000000-0005-0000-0000-0000380E0000}"/>
    <cellStyle name="20% - Accent2 4" xfId="3594" xr:uid="{00000000-0005-0000-0000-0000390E0000}"/>
    <cellStyle name="20% - Accent2 4 2" xfId="3595" xr:uid="{00000000-0005-0000-0000-00003A0E0000}"/>
    <cellStyle name="20% - Accent2 4 2 2" xfId="3596" xr:uid="{00000000-0005-0000-0000-00003B0E0000}"/>
    <cellStyle name="20% - Accent2 4 2 2 2" xfId="3597" xr:uid="{00000000-0005-0000-0000-00003C0E0000}"/>
    <cellStyle name="20% - Accent2 4 2 2 2 2" xfId="3598" xr:uid="{00000000-0005-0000-0000-00003D0E0000}"/>
    <cellStyle name="20% - Accent2 4 2 2 2 2 2" xfId="3599" xr:uid="{00000000-0005-0000-0000-00003E0E0000}"/>
    <cellStyle name="20% - Accent2 4 2 2 2 2 2 2" xfId="3600" xr:uid="{00000000-0005-0000-0000-00003F0E0000}"/>
    <cellStyle name="20% - Accent2 4 2 2 2 2 2 2 2" xfId="3601" xr:uid="{00000000-0005-0000-0000-0000400E0000}"/>
    <cellStyle name="20% - Accent2 4 2 2 2 2 2 2 2 2" xfId="3602" xr:uid="{00000000-0005-0000-0000-0000410E0000}"/>
    <cellStyle name="20% - Accent2 4 2 2 2 2 2 2 3" xfId="3603" xr:uid="{00000000-0005-0000-0000-0000420E0000}"/>
    <cellStyle name="20% - Accent2 4 2 2 2 2 2 3" xfId="3604" xr:uid="{00000000-0005-0000-0000-0000430E0000}"/>
    <cellStyle name="20% - Accent2 4 2 2 2 2 2 3 2" xfId="3605" xr:uid="{00000000-0005-0000-0000-0000440E0000}"/>
    <cellStyle name="20% - Accent2 4 2 2 2 2 2 4" xfId="3606" xr:uid="{00000000-0005-0000-0000-0000450E0000}"/>
    <cellStyle name="20% - Accent2 4 2 2 2 2 3" xfId="3607" xr:uid="{00000000-0005-0000-0000-0000460E0000}"/>
    <cellStyle name="20% - Accent2 4 2 2 2 2 3 2" xfId="3608" xr:uid="{00000000-0005-0000-0000-0000470E0000}"/>
    <cellStyle name="20% - Accent2 4 2 2 2 2 3 2 2" xfId="3609" xr:uid="{00000000-0005-0000-0000-0000480E0000}"/>
    <cellStyle name="20% - Accent2 4 2 2 2 2 3 3" xfId="3610" xr:uid="{00000000-0005-0000-0000-0000490E0000}"/>
    <cellStyle name="20% - Accent2 4 2 2 2 2 4" xfId="3611" xr:uid="{00000000-0005-0000-0000-00004A0E0000}"/>
    <cellStyle name="20% - Accent2 4 2 2 2 2 4 2" xfId="3612" xr:uid="{00000000-0005-0000-0000-00004B0E0000}"/>
    <cellStyle name="20% - Accent2 4 2 2 2 2 5" xfId="3613" xr:uid="{00000000-0005-0000-0000-00004C0E0000}"/>
    <cellStyle name="20% - Accent2 4 2 2 2 3" xfId="3614" xr:uid="{00000000-0005-0000-0000-00004D0E0000}"/>
    <cellStyle name="20% - Accent2 4 2 2 2 3 2" xfId="3615" xr:uid="{00000000-0005-0000-0000-00004E0E0000}"/>
    <cellStyle name="20% - Accent2 4 2 2 2 3 2 2" xfId="3616" xr:uid="{00000000-0005-0000-0000-00004F0E0000}"/>
    <cellStyle name="20% - Accent2 4 2 2 2 3 2 2 2" xfId="3617" xr:uid="{00000000-0005-0000-0000-0000500E0000}"/>
    <cellStyle name="20% - Accent2 4 2 2 2 3 2 3" xfId="3618" xr:uid="{00000000-0005-0000-0000-0000510E0000}"/>
    <cellStyle name="20% - Accent2 4 2 2 2 3 3" xfId="3619" xr:uid="{00000000-0005-0000-0000-0000520E0000}"/>
    <cellStyle name="20% - Accent2 4 2 2 2 3 3 2" xfId="3620" xr:uid="{00000000-0005-0000-0000-0000530E0000}"/>
    <cellStyle name="20% - Accent2 4 2 2 2 3 4" xfId="3621" xr:uid="{00000000-0005-0000-0000-0000540E0000}"/>
    <cellStyle name="20% - Accent2 4 2 2 2 4" xfId="3622" xr:uid="{00000000-0005-0000-0000-0000550E0000}"/>
    <cellStyle name="20% - Accent2 4 2 2 2 4 2" xfId="3623" xr:uid="{00000000-0005-0000-0000-0000560E0000}"/>
    <cellStyle name="20% - Accent2 4 2 2 2 4 2 2" xfId="3624" xr:uid="{00000000-0005-0000-0000-0000570E0000}"/>
    <cellStyle name="20% - Accent2 4 2 2 2 4 3" xfId="3625" xr:uid="{00000000-0005-0000-0000-0000580E0000}"/>
    <cellStyle name="20% - Accent2 4 2 2 2 5" xfId="3626" xr:uid="{00000000-0005-0000-0000-0000590E0000}"/>
    <cellStyle name="20% - Accent2 4 2 2 2 5 2" xfId="3627" xr:uid="{00000000-0005-0000-0000-00005A0E0000}"/>
    <cellStyle name="20% - Accent2 4 2 2 2 6" xfId="3628" xr:uid="{00000000-0005-0000-0000-00005B0E0000}"/>
    <cellStyle name="20% - Accent2 4 2 2 3" xfId="3629" xr:uid="{00000000-0005-0000-0000-00005C0E0000}"/>
    <cellStyle name="20% - Accent2 4 2 2 3 2" xfId="3630" xr:uid="{00000000-0005-0000-0000-00005D0E0000}"/>
    <cellStyle name="20% - Accent2 4 2 2 3 2 2" xfId="3631" xr:uid="{00000000-0005-0000-0000-00005E0E0000}"/>
    <cellStyle name="20% - Accent2 4 2 2 3 2 2 2" xfId="3632" xr:uid="{00000000-0005-0000-0000-00005F0E0000}"/>
    <cellStyle name="20% - Accent2 4 2 2 3 2 2 2 2" xfId="3633" xr:uid="{00000000-0005-0000-0000-0000600E0000}"/>
    <cellStyle name="20% - Accent2 4 2 2 3 2 2 3" xfId="3634" xr:uid="{00000000-0005-0000-0000-0000610E0000}"/>
    <cellStyle name="20% - Accent2 4 2 2 3 2 3" xfId="3635" xr:uid="{00000000-0005-0000-0000-0000620E0000}"/>
    <cellStyle name="20% - Accent2 4 2 2 3 2 3 2" xfId="3636" xr:uid="{00000000-0005-0000-0000-0000630E0000}"/>
    <cellStyle name="20% - Accent2 4 2 2 3 2 4" xfId="3637" xr:uid="{00000000-0005-0000-0000-0000640E0000}"/>
    <cellStyle name="20% - Accent2 4 2 2 3 3" xfId="3638" xr:uid="{00000000-0005-0000-0000-0000650E0000}"/>
    <cellStyle name="20% - Accent2 4 2 2 3 3 2" xfId="3639" xr:uid="{00000000-0005-0000-0000-0000660E0000}"/>
    <cellStyle name="20% - Accent2 4 2 2 3 3 2 2" xfId="3640" xr:uid="{00000000-0005-0000-0000-0000670E0000}"/>
    <cellStyle name="20% - Accent2 4 2 2 3 3 3" xfId="3641" xr:uid="{00000000-0005-0000-0000-0000680E0000}"/>
    <cellStyle name="20% - Accent2 4 2 2 3 4" xfId="3642" xr:uid="{00000000-0005-0000-0000-0000690E0000}"/>
    <cellStyle name="20% - Accent2 4 2 2 3 4 2" xfId="3643" xr:uid="{00000000-0005-0000-0000-00006A0E0000}"/>
    <cellStyle name="20% - Accent2 4 2 2 3 5" xfId="3644" xr:uid="{00000000-0005-0000-0000-00006B0E0000}"/>
    <cellStyle name="20% - Accent2 4 2 2 4" xfId="3645" xr:uid="{00000000-0005-0000-0000-00006C0E0000}"/>
    <cellStyle name="20% - Accent2 4 2 2 4 2" xfId="3646" xr:uid="{00000000-0005-0000-0000-00006D0E0000}"/>
    <cellStyle name="20% - Accent2 4 2 2 4 2 2" xfId="3647" xr:uid="{00000000-0005-0000-0000-00006E0E0000}"/>
    <cellStyle name="20% - Accent2 4 2 2 4 2 2 2" xfId="3648" xr:uid="{00000000-0005-0000-0000-00006F0E0000}"/>
    <cellStyle name="20% - Accent2 4 2 2 4 2 3" xfId="3649" xr:uid="{00000000-0005-0000-0000-0000700E0000}"/>
    <cellStyle name="20% - Accent2 4 2 2 4 3" xfId="3650" xr:uid="{00000000-0005-0000-0000-0000710E0000}"/>
    <cellStyle name="20% - Accent2 4 2 2 4 3 2" xfId="3651" xr:uid="{00000000-0005-0000-0000-0000720E0000}"/>
    <cellStyle name="20% - Accent2 4 2 2 4 4" xfId="3652" xr:uid="{00000000-0005-0000-0000-0000730E0000}"/>
    <cellStyle name="20% - Accent2 4 2 2 5" xfId="3653" xr:uid="{00000000-0005-0000-0000-0000740E0000}"/>
    <cellStyle name="20% - Accent2 4 2 2 5 2" xfId="3654" xr:uid="{00000000-0005-0000-0000-0000750E0000}"/>
    <cellStyle name="20% - Accent2 4 2 2 5 2 2" xfId="3655" xr:uid="{00000000-0005-0000-0000-0000760E0000}"/>
    <cellStyle name="20% - Accent2 4 2 2 5 3" xfId="3656" xr:uid="{00000000-0005-0000-0000-0000770E0000}"/>
    <cellStyle name="20% - Accent2 4 2 2 6" xfId="3657" xr:uid="{00000000-0005-0000-0000-0000780E0000}"/>
    <cellStyle name="20% - Accent2 4 2 2 6 2" xfId="3658" xr:uid="{00000000-0005-0000-0000-0000790E0000}"/>
    <cellStyle name="20% - Accent2 4 2 2 7" xfId="3659" xr:uid="{00000000-0005-0000-0000-00007A0E0000}"/>
    <cellStyle name="20% - Accent2 4 2 3" xfId="3660" xr:uid="{00000000-0005-0000-0000-00007B0E0000}"/>
    <cellStyle name="20% - Accent2 4 2 3 2" xfId="3661" xr:uid="{00000000-0005-0000-0000-00007C0E0000}"/>
    <cellStyle name="20% - Accent2 4 2 3 2 2" xfId="3662" xr:uid="{00000000-0005-0000-0000-00007D0E0000}"/>
    <cellStyle name="20% - Accent2 4 2 3 2 2 2" xfId="3663" xr:uid="{00000000-0005-0000-0000-00007E0E0000}"/>
    <cellStyle name="20% - Accent2 4 2 3 2 2 2 2" xfId="3664" xr:uid="{00000000-0005-0000-0000-00007F0E0000}"/>
    <cellStyle name="20% - Accent2 4 2 3 2 2 2 2 2" xfId="3665" xr:uid="{00000000-0005-0000-0000-0000800E0000}"/>
    <cellStyle name="20% - Accent2 4 2 3 2 2 2 3" xfId="3666" xr:uid="{00000000-0005-0000-0000-0000810E0000}"/>
    <cellStyle name="20% - Accent2 4 2 3 2 2 3" xfId="3667" xr:uid="{00000000-0005-0000-0000-0000820E0000}"/>
    <cellStyle name="20% - Accent2 4 2 3 2 2 3 2" xfId="3668" xr:uid="{00000000-0005-0000-0000-0000830E0000}"/>
    <cellStyle name="20% - Accent2 4 2 3 2 2 4" xfId="3669" xr:uid="{00000000-0005-0000-0000-0000840E0000}"/>
    <cellStyle name="20% - Accent2 4 2 3 2 3" xfId="3670" xr:uid="{00000000-0005-0000-0000-0000850E0000}"/>
    <cellStyle name="20% - Accent2 4 2 3 2 3 2" xfId="3671" xr:uid="{00000000-0005-0000-0000-0000860E0000}"/>
    <cellStyle name="20% - Accent2 4 2 3 2 3 2 2" xfId="3672" xr:uid="{00000000-0005-0000-0000-0000870E0000}"/>
    <cellStyle name="20% - Accent2 4 2 3 2 3 3" xfId="3673" xr:uid="{00000000-0005-0000-0000-0000880E0000}"/>
    <cellStyle name="20% - Accent2 4 2 3 2 4" xfId="3674" xr:uid="{00000000-0005-0000-0000-0000890E0000}"/>
    <cellStyle name="20% - Accent2 4 2 3 2 4 2" xfId="3675" xr:uid="{00000000-0005-0000-0000-00008A0E0000}"/>
    <cellStyle name="20% - Accent2 4 2 3 2 5" xfId="3676" xr:uid="{00000000-0005-0000-0000-00008B0E0000}"/>
    <cellStyle name="20% - Accent2 4 2 3 3" xfId="3677" xr:uid="{00000000-0005-0000-0000-00008C0E0000}"/>
    <cellStyle name="20% - Accent2 4 2 3 3 2" xfId="3678" xr:uid="{00000000-0005-0000-0000-00008D0E0000}"/>
    <cellStyle name="20% - Accent2 4 2 3 3 2 2" xfId="3679" xr:uid="{00000000-0005-0000-0000-00008E0E0000}"/>
    <cellStyle name="20% - Accent2 4 2 3 3 2 2 2" xfId="3680" xr:uid="{00000000-0005-0000-0000-00008F0E0000}"/>
    <cellStyle name="20% - Accent2 4 2 3 3 2 3" xfId="3681" xr:uid="{00000000-0005-0000-0000-0000900E0000}"/>
    <cellStyle name="20% - Accent2 4 2 3 3 3" xfId="3682" xr:uid="{00000000-0005-0000-0000-0000910E0000}"/>
    <cellStyle name="20% - Accent2 4 2 3 3 3 2" xfId="3683" xr:uid="{00000000-0005-0000-0000-0000920E0000}"/>
    <cellStyle name="20% - Accent2 4 2 3 3 4" xfId="3684" xr:uid="{00000000-0005-0000-0000-0000930E0000}"/>
    <cellStyle name="20% - Accent2 4 2 3 4" xfId="3685" xr:uid="{00000000-0005-0000-0000-0000940E0000}"/>
    <cellStyle name="20% - Accent2 4 2 3 4 2" xfId="3686" xr:uid="{00000000-0005-0000-0000-0000950E0000}"/>
    <cellStyle name="20% - Accent2 4 2 3 4 2 2" xfId="3687" xr:uid="{00000000-0005-0000-0000-0000960E0000}"/>
    <cellStyle name="20% - Accent2 4 2 3 4 3" xfId="3688" xr:uid="{00000000-0005-0000-0000-0000970E0000}"/>
    <cellStyle name="20% - Accent2 4 2 3 5" xfId="3689" xr:uid="{00000000-0005-0000-0000-0000980E0000}"/>
    <cellStyle name="20% - Accent2 4 2 3 5 2" xfId="3690" xr:uid="{00000000-0005-0000-0000-0000990E0000}"/>
    <cellStyle name="20% - Accent2 4 2 3 6" xfId="3691" xr:uid="{00000000-0005-0000-0000-00009A0E0000}"/>
    <cellStyle name="20% - Accent2 4 2 4" xfId="3692" xr:uid="{00000000-0005-0000-0000-00009B0E0000}"/>
    <cellStyle name="20% - Accent2 4 2 4 2" xfId="3693" xr:uid="{00000000-0005-0000-0000-00009C0E0000}"/>
    <cellStyle name="20% - Accent2 4 2 4 2 2" xfId="3694" xr:uid="{00000000-0005-0000-0000-00009D0E0000}"/>
    <cellStyle name="20% - Accent2 4 2 4 2 2 2" xfId="3695" xr:uid="{00000000-0005-0000-0000-00009E0E0000}"/>
    <cellStyle name="20% - Accent2 4 2 4 2 2 2 2" xfId="3696" xr:uid="{00000000-0005-0000-0000-00009F0E0000}"/>
    <cellStyle name="20% - Accent2 4 2 4 2 2 3" xfId="3697" xr:uid="{00000000-0005-0000-0000-0000A00E0000}"/>
    <cellStyle name="20% - Accent2 4 2 4 2 3" xfId="3698" xr:uid="{00000000-0005-0000-0000-0000A10E0000}"/>
    <cellStyle name="20% - Accent2 4 2 4 2 3 2" xfId="3699" xr:uid="{00000000-0005-0000-0000-0000A20E0000}"/>
    <cellStyle name="20% - Accent2 4 2 4 2 4" xfId="3700" xr:uid="{00000000-0005-0000-0000-0000A30E0000}"/>
    <cellStyle name="20% - Accent2 4 2 4 3" xfId="3701" xr:uid="{00000000-0005-0000-0000-0000A40E0000}"/>
    <cellStyle name="20% - Accent2 4 2 4 3 2" xfId="3702" xr:uid="{00000000-0005-0000-0000-0000A50E0000}"/>
    <cellStyle name="20% - Accent2 4 2 4 3 2 2" xfId="3703" xr:uid="{00000000-0005-0000-0000-0000A60E0000}"/>
    <cellStyle name="20% - Accent2 4 2 4 3 3" xfId="3704" xr:uid="{00000000-0005-0000-0000-0000A70E0000}"/>
    <cellStyle name="20% - Accent2 4 2 4 4" xfId="3705" xr:uid="{00000000-0005-0000-0000-0000A80E0000}"/>
    <cellStyle name="20% - Accent2 4 2 4 4 2" xfId="3706" xr:uid="{00000000-0005-0000-0000-0000A90E0000}"/>
    <cellStyle name="20% - Accent2 4 2 4 5" xfId="3707" xr:uid="{00000000-0005-0000-0000-0000AA0E0000}"/>
    <cellStyle name="20% - Accent2 4 2 5" xfId="3708" xr:uid="{00000000-0005-0000-0000-0000AB0E0000}"/>
    <cellStyle name="20% - Accent2 4 2 5 2" xfId="3709" xr:uid="{00000000-0005-0000-0000-0000AC0E0000}"/>
    <cellStyle name="20% - Accent2 4 2 5 2 2" xfId="3710" xr:uid="{00000000-0005-0000-0000-0000AD0E0000}"/>
    <cellStyle name="20% - Accent2 4 2 5 2 2 2" xfId="3711" xr:uid="{00000000-0005-0000-0000-0000AE0E0000}"/>
    <cellStyle name="20% - Accent2 4 2 5 2 3" xfId="3712" xr:uid="{00000000-0005-0000-0000-0000AF0E0000}"/>
    <cellStyle name="20% - Accent2 4 2 5 3" xfId="3713" xr:uid="{00000000-0005-0000-0000-0000B00E0000}"/>
    <cellStyle name="20% - Accent2 4 2 5 3 2" xfId="3714" xr:uid="{00000000-0005-0000-0000-0000B10E0000}"/>
    <cellStyle name="20% - Accent2 4 2 5 4" xfId="3715" xr:uid="{00000000-0005-0000-0000-0000B20E0000}"/>
    <cellStyle name="20% - Accent2 4 2 6" xfId="3716" xr:uid="{00000000-0005-0000-0000-0000B30E0000}"/>
    <cellStyle name="20% - Accent2 4 2 6 2" xfId="3717" xr:uid="{00000000-0005-0000-0000-0000B40E0000}"/>
    <cellStyle name="20% - Accent2 4 2 6 2 2" xfId="3718" xr:uid="{00000000-0005-0000-0000-0000B50E0000}"/>
    <cellStyle name="20% - Accent2 4 2 6 3" xfId="3719" xr:uid="{00000000-0005-0000-0000-0000B60E0000}"/>
    <cellStyle name="20% - Accent2 4 2 7" xfId="3720" xr:uid="{00000000-0005-0000-0000-0000B70E0000}"/>
    <cellStyle name="20% - Accent2 4 2 7 2" xfId="3721" xr:uid="{00000000-0005-0000-0000-0000B80E0000}"/>
    <cellStyle name="20% - Accent2 4 2 8" xfId="3722" xr:uid="{00000000-0005-0000-0000-0000B90E0000}"/>
    <cellStyle name="20% - Accent2 4 3" xfId="3723" xr:uid="{00000000-0005-0000-0000-0000BA0E0000}"/>
    <cellStyle name="20% - Accent2 4 3 2" xfId="3724" xr:uid="{00000000-0005-0000-0000-0000BB0E0000}"/>
    <cellStyle name="20% - Accent2 4 3 2 2" xfId="3725" xr:uid="{00000000-0005-0000-0000-0000BC0E0000}"/>
    <cellStyle name="20% - Accent2 4 3 2 2 2" xfId="3726" xr:uid="{00000000-0005-0000-0000-0000BD0E0000}"/>
    <cellStyle name="20% - Accent2 4 3 2 2 2 2" xfId="3727" xr:uid="{00000000-0005-0000-0000-0000BE0E0000}"/>
    <cellStyle name="20% - Accent2 4 3 2 2 2 2 2" xfId="3728" xr:uid="{00000000-0005-0000-0000-0000BF0E0000}"/>
    <cellStyle name="20% - Accent2 4 3 2 2 2 2 2 2" xfId="3729" xr:uid="{00000000-0005-0000-0000-0000C00E0000}"/>
    <cellStyle name="20% - Accent2 4 3 2 2 2 2 3" xfId="3730" xr:uid="{00000000-0005-0000-0000-0000C10E0000}"/>
    <cellStyle name="20% - Accent2 4 3 2 2 2 3" xfId="3731" xr:uid="{00000000-0005-0000-0000-0000C20E0000}"/>
    <cellStyle name="20% - Accent2 4 3 2 2 2 3 2" xfId="3732" xr:uid="{00000000-0005-0000-0000-0000C30E0000}"/>
    <cellStyle name="20% - Accent2 4 3 2 2 2 4" xfId="3733" xr:uid="{00000000-0005-0000-0000-0000C40E0000}"/>
    <cellStyle name="20% - Accent2 4 3 2 2 3" xfId="3734" xr:uid="{00000000-0005-0000-0000-0000C50E0000}"/>
    <cellStyle name="20% - Accent2 4 3 2 2 3 2" xfId="3735" xr:uid="{00000000-0005-0000-0000-0000C60E0000}"/>
    <cellStyle name="20% - Accent2 4 3 2 2 3 2 2" xfId="3736" xr:uid="{00000000-0005-0000-0000-0000C70E0000}"/>
    <cellStyle name="20% - Accent2 4 3 2 2 3 3" xfId="3737" xr:uid="{00000000-0005-0000-0000-0000C80E0000}"/>
    <cellStyle name="20% - Accent2 4 3 2 2 4" xfId="3738" xr:uid="{00000000-0005-0000-0000-0000C90E0000}"/>
    <cellStyle name="20% - Accent2 4 3 2 2 4 2" xfId="3739" xr:uid="{00000000-0005-0000-0000-0000CA0E0000}"/>
    <cellStyle name="20% - Accent2 4 3 2 2 5" xfId="3740" xr:uid="{00000000-0005-0000-0000-0000CB0E0000}"/>
    <cellStyle name="20% - Accent2 4 3 2 3" xfId="3741" xr:uid="{00000000-0005-0000-0000-0000CC0E0000}"/>
    <cellStyle name="20% - Accent2 4 3 2 3 2" xfId="3742" xr:uid="{00000000-0005-0000-0000-0000CD0E0000}"/>
    <cellStyle name="20% - Accent2 4 3 2 3 2 2" xfId="3743" xr:uid="{00000000-0005-0000-0000-0000CE0E0000}"/>
    <cellStyle name="20% - Accent2 4 3 2 3 2 2 2" xfId="3744" xr:uid="{00000000-0005-0000-0000-0000CF0E0000}"/>
    <cellStyle name="20% - Accent2 4 3 2 3 2 3" xfId="3745" xr:uid="{00000000-0005-0000-0000-0000D00E0000}"/>
    <cellStyle name="20% - Accent2 4 3 2 3 3" xfId="3746" xr:uid="{00000000-0005-0000-0000-0000D10E0000}"/>
    <cellStyle name="20% - Accent2 4 3 2 3 3 2" xfId="3747" xr:uid="{00000000-0005-0000-0000-0000D20E0000}"/>
    <cellStyle name="20% - Accent2 4 3 2 3 4" xfId="3748" xr:uid="{00000000-0005-0000-0000-0000D30E0000}"/>
    <cellStyle name="20% - Accent2 4 3 2 4" xfId="3749" xr:uid="{00000000-0005-0000-0000-0000D40E0000}"/>
    <cellStyle name="20% - Accent2 4 3 2 4 2" xfId="3750" xr:uid="{00000000-0005-0000-0000-0000D50E0000}"/>
    <cellStyle name="20% - Accent2 4 3 2 4 2 2" xfId="3751" xr:uid="{00000000-0005-0000-0000-0000D60E0000}"/>
    <cellStyle name="20% - Accent2 4 3 2 4 3" xfId="3752" xr:uid="{00000000-0005-0000-0000-0000D70E0000}"/>
    <cellStyle name="20% - Accent2 4 3 2 5" xfId="3753" xr:uid="{00000000-0005-0000-0000-0000D80E0000}"/>
    <cellStyle name="20% - Accent2 4 3 2 5 2" xfId="3754" xr:uid="{00000000-0005-0000-0000-0000D90E0000}"/>
    <cellStyle name="20% - Accent2 4 3 2 6" xfId="3755" xr:uid="{00000000-0005-0000-0000-0000DA0E0000}"/>
    <cellStyle name="20% - Accent2 4 3 3" xfId="3756" xr:uid="{00000000-0005-0000-0000-0000DB0E0000}"/>
    <cellStyle name="20% - Accent2 4 3 3 2" xfId="3757" xr:uid="{00000000-0005-0000-0000-0000DC0E0000}"/>
    <cellStyle name="20% - Accent2 4 3 3 2 2" xfId="3758" xr:uid="{00000000-0005-0000-0000-0000DD0E0000}"/>
    <cellStyle name="20% - Accent2 4 3 3 2 2 2" xfId="3759" xr:uid="{00000000-0005-0000-0000-0000DE0E0000}"/>
    <cellStyle name="20% - Accent2 4 3 3 2 2 2 2" xfId="3760" xr:uid="{00000000-0005-0000-0000-0000DF0E0000}"/>
    <cellStyle name="20% - Accent2 4 3 3 2 2 3" xfId="3761" xr:uid="{00000000-0005-0000-0000-0000E00E0000}"/>
    <cellStyle name="20% - Accent2 4 3 3 2 3" xfId="3762" xr:uid="{00000000-0005-0000-0000-0000E10E0000}"/>
    <cellStyle name="20% - Accent2 4 3 3 2 3 2" xfId="3763" xr:uid="{00000000-0005-0000-0000-0000E20E0000}"/>
    <cellStyle name="20% - Accent2 4 3 3 2 4" xfId="3764" xr:uid="{00000000-0005-0000-0000-0000E30E0000}"/>
    <cellStyle name="20% - Accent2 4 3 3 3" xfId="3765" xr:uid="{00000000-0005-0000-0000-0000E40E0000}"/>
    <cellStyle name="20% - Accent2 4 3 3 3 2" xfId="3766" xr:uid="{00000000-0005-0000-0000-0000E50E0000}"/>
    <cellStyle name="20% - Accent2 4 3 3 3 2 2" xfId="3767" xr:uid="{00000000-0005-0000-0000-0000E60E0000}"/>
    <cellStyle name="20% - Accent2 4 3 3 3 3" xfId="3768" xr:uid="{00000000-0005-0000-0000-0000E70E0000}"/>
    <cellStyle name="20% - Accent2 4 3 3 4" xfId="3769" xr:uid="{00000000-0005-0000-0000-0000E80E0000}"/>
    <cellStyle name="20% - Accent2 4 3 3 4 2" xfId="3770" xr:uid="{00000000-0005-0000-0000-0000E90E0000}"/>
    <cellStyle name="20% - Accent2 4 3 3 5" xfId="3771" xr:uid="{00000000-0005-0000-0000-0000EA0E0000}"/>
    <cellStyle name="20% - Accent2 4 3 4" xfId="3772" xr:uid="{00000000-0005-0000-0000-0000EB0E0000}"/>
    <cellStyle name="20% - Accent2 4 3 4 2" xfId="3773" xr:uid="{00000000-0005-0000-0000-0000EC0E0000}"/>
    <cellStyle name="20% - Accent2 4 3 4 2 2" xfId="3774" xr:uid="{00000000-0005-0000-0000-0000ED0E0000}"/>
    <cellStyle name="20% - Accent2 4 3 4 2 2 2" xfId="3775" xr:uid="{00000000-0005-0000-0000-0000EE0E0000}"/>
    <cellStyle name="20% - Accent2 4 3 4 2 3" xfId="3776" xr:uid="{00000000-0005-0000-0000-0000EF0E0000}"/>
    <cellStyle name="20% - Accent2 4 3 4 3" xfId="3777" xr:uid="{00000000-0005-0000-0000-0000F00E0000}"/>
    <cellStyle name="20% - Accent2 4 3 4 3 2" xfId="3778" xr:uid="{00000000-0005-0000-0000-0000F10E0000}"/>
    <cellStyle name="20% - Accent2 4 3 4 4" xfId="3779" xr:uid="{00000000-0005-0000-0000-0000F20E0000}"/>
    <cellStyle name="20% - Accent2 4 3 5" xfId="3780" xr:uid="{00000000-0005-0000-0000-0000F30E0000}"/>
    <cellStyle name="20% - Accent2 4 3 5 2" xfId="3781" xr:uid="{00000000-0005-0000-0000-0000F40E0000}"/>
    <cellStyle name="20% - Accent2 4 3 5 2 2" xfId="3782" xr:uid="{00000000-0005-0000-0000-0000F50E0000}"/>
    <cellStyle name="20% - Accent2 4 3 5 3" xfId="3783" xr:uid="{00000000-0005-0000-0000-0000F60E0000}"/>
    <cellStyle name="20% - Accent2 4 3 6" xfId="3784" xr:uid="{00000000-0005-0000-0000-0000F70E0000}"/>
    <cellStyle name="20% - Accent2 4 3 6 2" xfId="3785" xr:uid="{00000000-0005-0000-0000-0000F80E0000}"/>
    <cellStyle name="20% - Accent2 4 3 7" xfId="3786" xr:uid="{00000000-0005-0000-0000-0000F90E0000}"/>
    <cellStyle name="20% - Accent2 4 4" xfId="3787" xr:uid="{00000000-0005-0000-0000-0000FA0E0000}"/>
    <cellStyle name="20% - Accent2 4 4 2" xfId="3788" xr:uid="{00000000-0005-0000-0000-0000FB0E0000}"/>
    <cellStyle name="20% - Accent2 4 4 2 2" xfId="3789" xr:uid="{00000000-0005-0000-0000-0000FC0E0000}"/>
    <cellStyle name="20% - Accent2 4 4 2 2 2" xfId="3790" xr:uid="{00000000-0005-0000-0000-0000FD0E0000}"/>
    <cellStyle name="20% - Accent2 4 4 2 2 2 2" xfId="3791" xr:uid="{00000000-0005-0000-0000-0000FE0E0000}"/>
    <cellStyle name="20% - Accent2 4 4 2 2 2 2 2" xfId="3792" xr:uid="{00000000-0005-0000-0000-0000FF0E0000}"/>
    <cellStyle name="20% - Accent2 4 4 2 2 2 3" xfId="3793" xr:uid="{00000000-0005-0000-0000-0000000F0000}"/>
    <cellStyle name="20% - Accent2 4 4 2 2 3" xfId="3794" xr:uid="{00000000-0005-0000-0000-0000010F0000}"/>
    <cellStyle name="20% - Accent2 4 4 2 2 3 2" xfId="3795" xr:uid="{00000000-0005-0000-0000-0000020F0000}"/>
    <cellStyle name="20% - Accent2 4 4 2 2 4" xfId="3796" xr:uid="{00000000-0005-0000-0000-0000030F0000}"/>
    <cellStyle name="20% - Accent2 4 4 2 3" xfId="3797" xr:uid="{00000000-0005-0000-0000-0000040F0000}"/>
    <cellStyle name="20% - Accent2 4 4 2 3 2" xfId="3798" xr:uid="{00000000-0005-0000-0000-0000050F0000}"/>
    <cellStyle name="20% - Accent2 4 4 2 3 2 2" xfId="3799" xr:uid="{00000000-0005-0000-0000-0000060F0000}"/>
    <cellStyle name="20% - Accent2 4 4 2 3 3" xfId="3800" xr:uid="{00000000-0005-0000-0000-0000070F0000}"/>
    <cellStyle name="20% - Accent2 4 4 2 4" xfId="3801" xr:uid="{00000000-0005-0000-0000-0000080F0000}"/>
    <cellStyle name="20% - Accent2 4 4 2 4 2" xfId="3802" xr:uid="{00000000-0005-0000-0000-0000090F0000}"/>
    <cellStyle name="20% - Accent2 4 4 2 5" xfId="3803" xr:uid="{00000000-0005-0000-0000-00000A0F0000}"/>
    <cellStyle name="20% - Accent2 4 4 3" xfId="3804" xr:uid="{00000000-0005-0000-0000-00000B0F0000}"/>
    <cellStyle name="20% - Accent2 4 4 3 2" xfId="3805" xr:uid="{00000000-0005-0000-0000-00000C0F0000}"/>
    <cellStyle name="20% - Accent2 4 4 3 2 2" xfId="3806" xr:uid="{00000000-0005-0000-0000-00000D0F0000}"/>
    <cellStyle name="20% - Accent2 4 4 3 2 2 2" xfId="3807" xr:uid="{00000000-0005-0000-0000-00000E0F0000}"/>
    <cellStyle name="20% - Accent2 4 4 3 2 3" xfId="3808" xr:uid="{00000000-0005-0000-0000-00000F0F0000}"/>
    <cellStyle name="20% - Accent2 4 4 3 3" xfId="3809" xr:uid="{00000000-0005-0000-0000-0000100F0000}"/>
    <cellStyle name="20% - Accent2 4 4 3 3 2" xfId="3810" xr:uid="{00000000-0005-0000-0000-0000110F0000}"/>
    <cellStyle name="20% - Accent2 4 4 3 4" xfId="3811" xr:uid="{00000000-0005-0000-0000-0000120F0000}"/>
    <cellStyle name="20% - Accent2 4 4 4" xfId="3812" xr:uid="{00000000-0005-0000-0000-0000130F0000}"/>
    <cellStyle name="20% - Accent2 4 4 4 2" xfId="3813" xr:uid="{00000000-0005-0000-0000-0000140F0000}"/>
    <cellStyle name="20% - Accent2 4 4 4 2 2" xfId="3814" xr:uid="{00000000-0005-0000-0000-0000150F0000}"/>
    <cellStyle name="20% - Accent2 4 4 4 3" xfId="3815" xr:uid="{00000000-0005-0000-0000-0000160F0000}"/>
    <cellStyle name="20% - Accent2 4 4 5" xfId="3816" xr:uid="{00000000-0005-0000-0000-0000170F0000}"/>
    <cellStyle name="20% - Accent2 4 4 5 2" xfId="3817" xr:uid="{00000000-0005-0000-0000-0000180F0000}"/>
    <cellStyle name="20% - Accent2 4 4 6" xfId="3818" xr:uid="{00000000-0005-0000-0000-0000190F0000}"/>
    <cellStyle name="20% - Accent2 4 5" xfId="3819" xr:uid="{00000000-0005-0000-0000-00001A0F0000}"/>
    <cellStyle name="20% - Accent2 4 5 2" xfId="3820" xr:uid="{00000000-0005-0000-0000-00001B0F0000}"/>
    <cellStyle name="20% - Accent2 4 5 2 2" xfId="3821" xr:uid="{00000000-0005-0000-0000-00001C0F0000}"/>
    <cellStyle name="20% - Accent2 4 5 2 2 2" xfId="3822" xr:uid="{00000000-0005-0000-0000-00001D0F0000}"/>
    <cellStyle name="20% - Accent2 4 5 2 2 2 2" xfId="3823" xr:uid="{00000000-0005-0000-0000-00001E0F0000}"/>
    <cellStyle name="20% - Accent2 4 5 2 2 3" xfId="3824" xr:uid="{00000000-0005-0000-0000-00001F0F0000}"/>
    <cellStyle name="20% - Accent2 4 5 2 3" xfId="3825" xr:uid="{00000000-0005-0000-0000-0000200F0000}"/>
    <cellStyle name="20% - Accent2 4 5 2 3 2" xfId="3826" xr:uid="{00000000-0005-0000-0000-0000210F0000}"/>
    <cellStyle name="20% - Accent2 4 5 2 4" xfId="3827" xr:uid="{00000000-0005-0000-0000-0000220F0000}"/>
    <cellStyle name="20% - Accent2 4 5 3" xfId="3828" xr:uid="{00000000-0005-0000-0000-0000230F0000}"/>
    <cellStyle name="20% - Accent2 4 5 3 2" xfId="3829" xr:uid="{00000000-0005-0000-0000-0000240F0000}"/>
    <cellStyle name="20% - Accent2 4 5 3 2 2" xfId="3830" xr:uid="{00000000-0005-0000-0000-0000250F0000}"/>
    <cellStyle name="20% - Accent2 4 5 3 3" xfId="3831" xr:uid="{00000000-0005-0000-0000-0000260F0000}"/>
    <cellStyle name="20% - Accent2 4 5 4" xfId="3832" xr:uid="{00000000-0005-0000-0000-0000270F0000}"/>
    <cellStyle name="20% - Accent2 4 5 4 2" xfId="3833" xr:uid="{00000000-0005-0000-0000-0000280F0000}"/>
    <cellStyle name="20% - Accent2 4 5 5" xfId="3834" xr:uid="{00000000-0005-0000-0000-0000290F0000}"/>
    <cellStyle name="20% - Accent2 4 6" xfId="3835" xr:uid="{00000000-0005-0000-0000-00002A0F0000}"/>
    <cellStyle name="20% - Accent2 4 6 2" xfId="3836" xr:uid="{00000000-0005-0000-0000-00002B0F0000}"/>
    <cellStyle name="20% - Accent2 4 6 2 2" xfId="3837" xr:uid="{00000000-0005-0000-0000-00002C0F0000}"/>
    <cellStyle name="20% - Accent2 4 6 2 2 2" xfId="3838" xr:uid="{00000000-0005-0000-0000-00002D0F0000}"/>
    <cellStyle name="20% - Accent2 4 6 2 3" xfId="3839" xr:uid="{00000000-0005-0000-0000-00002E0F0000}"/>
    <cellStyle name="20% - Accent2 4 6 3" xfId="3840" xr:uid="{00000000-0005-0000-0000-00002F0F0000}"/>
    <cellStyle name="20% - Accent2 4 6 3 2" xfId="3841" xr:uid="{00000000-0005-0000-0000-0000300F0000}"/>
    <cellStyle name="20% - Accent2 4 6 4" xfId="3842" xr:uid="{00000000-0005-0000-0000-0000310F0000}"/>
    <cellStyle name="20% - Accent2 4 7" xfId="3843" xr:uid="{00000000-0005-0000-0000-0000320F0000}"/>
    <cellStyle name="20% - Accent2 4 7 2" xfId="3844" xr:uid="{00000000-0005-0000-0000-0000330F0000}"/>
    <cellStyle name="20% - Accent2 4 7 2 2" xfId="3845" xr:uid="{00000000-0005-0000-0000-0000340F0000}"/>
    <cellStyle name="20% - Accent2 4 7 3" xfId="3846" xr:uid="{00000000-0005-0000-0000-0000350F0000}"/>
    <cellStyle name="20% - Accent2 4 8" xfId="3847" xr:uid="{00000000-0005-0000-0000-0000360F0000}"/>
    <cellStyle name="20% - Accent2 4 8 2" xfId="3848" xr:uid="{00000000-0005-0000-0000-0000370F0000}"/>
    <cellStyle name="20% - Accent2 4 9" xfId="3849" xr:uid="{00000000-0005-0000-0000-0000380F0000}"/>
    <cellStyle name="20% - Accent2 5" xfId="3850" xr:uid="{00000000-0005-0000-0000-0000390F0000}"/>
    <cellStyle name="20% - Accent2 5 2" xfId="3851" xr:uid="{00000000-0005-0000-0000-00003A0F0000}"/>
    <cellStyle name="20% - Accent2 5 2 2" xfId="3852" xr:uid="{00000000-0005-0000-0000-00003B0F0000}"/>
    <cellStyle name="20% - Accent2 5 2 2 2" xfId="3853" xr:uid="{00000000-0005-0000-0000-00003C0F0000}"/>
    <cellStyle name="20% - Accent2 5 2 2 2 2" xfId="3854" xr:uid="{00000000-0005-0000-0000-00003D0F0000}"/>
    <cellStyle name="20% - Accent2 5 2 2 2 2 2" xfId="3855" xr:uid="{00000000-0005-0000-0000-00003E0F0000}"/>
    <cellStyle name="20% - Accent2 5 2 2 2 2 2 2" xfId="3856" xr:uid="{00000000-0005-0000-0000-00003F0F0000}"/>
    <cellStyle name="20% - Accent2 5 2 2 2 2 2 2 2" xfId="3857" xr:uid="{00000000-0005-0000-0000-0000400F0000}"/>
    <cellStyle name="20% - Accent2 5 2 2 2 2 2 3" xfId="3858" xr:uid="{00000000-0005-0000-0000-0000410F0000}"/>
    <cellStyle name="20% - Accent2 5 2 2 2 2 3" xfId="3859" xr:uid="{00000000-0005-0000-0000-0000420F0000}"/>
    <cellStyle name="20% - Accent2 5 2 2 2 2 3 2" xfId="3860" xr:uid="{00000000-0005-0000-0000-0000430F0000}"/>
    <cellStyle name="20% - Accent2 5 2 2 2 2 4" xfId="3861" xr:uid="{00000000-0005-0000-0000-0000440F0000}"/>
    <cellStyle name="20% - Accent2 5 2 2 2 3" xfId="3862" xr:uid="{00000000-0005-0000-0000-0000450F0000}"/>
    <cellStyle name="20% - Accent2 5 2 2 2 3 2" xfId="3863" xr:uid="{00000000-0005-0000-0000-0000460F0000}"/>
    <cellStyle name="20% - Accent2 5 2 2 2 3 2 2" xfId="3864" xr:uid="{00000000-0005-0000-0000-0000470F0000}"/>
    <cellStyle name="20% - Accent2 5 2 2 2 3 3" xfId="3865" xr:uid="{00000000-0005-0000-0000-0000480F0000}"/>
    <cellStyle name="20% - Accent2 5 2 2 2 4" xfId="3866" xr:uid="{00000000-0005-0000-0000-0000490F0000}"/>
    <cellStyle name="20% - Accent2 5 2 2 2 4 2" xfId="3867" xr:uid="{00000000-0005-0000-0000-00004A0F0000}"/>
    <cellStyle name="20% - Accent2 5 2 2 2 5" xfId="3868" xr:uid="{00000000-0005-0000-0000-00004B0F0000}"/>
    <cellStyle name="20% - Accent2 5 2 2 3" xfId="3869" xr:uid="{00000000-0005-0000-0000-00004C0F0000}"/>
    <cellStyle name="20% - Accent2 5 2 2 3 2" xfId="3870" xr:uid="{00000000-0005-0000-0000-00004D0F0000}"/>
    <cellStyle name="20% - Accent2 5 2 2 3 2 2" xfId="3871" xr:uid="{00000000-0005-0000-0000-00004E0F0000}"/>
    <cellStyle name="20% - Accent2 5 2 2 3 2 2 2" xfId="3872" xr:uid="{00000000-0005-0000-0000-00004F0F0000}"/>
    <cellStyle name="20% - Accent2 5 2 2 3 2 3" xfId="3873" xr:uid="{00000000-0005-0000-0000-0000500F0000}"/>
    <cellStyle name="20% - Accent2 5 2 2 3 3" xfId="3874" xr:uid="{00000000-0005-0000-0000-0000510F0000}"/>
    <cellStyle name="20% - Accent2 5 2 2 3 3 2" xfId="3875" xr:uid="{00000000-0005-0000-0000-0000520F0000}"/>
    <cellStyle name="20% - Accent2 5 2 2 3 4" xfId="3876" xr:uid="{00000000-0005-0000-0000-0000530F0000}"/>
    <cellStyle name="20% - Accent2 5 2 2 4" xfId="3877" xr:uid="{00000000-0005-0000-0000-0000540F0000}"/>
    <cellStyle name="20% - Accent2 5 2 2 4 2" xfId="3878" xr:uid="{00000000-0005-0000-0000-0000550F0000}"/>
    <cellStyle name="20% - Accent2 5 2 2 4 2 2" xfId="3879" xr:uid="{00000000-0005-0000-0000-0000560F0000}"/>
    <cellStyle name="20% - Accent2 5 2 2 4 3" xfId="3880" xr:uid="{00000000-0005-0000-0000-0000570F0000}"/>
    <cellStyle name="20% - Accent2 5 2 2 5" xfId="3881" xr:uid="{00000000-0005-0000-0000-0000580F0000}"/>
    <cellStyle name="20% - Accent2 5 2 2 5 2" xfId="3882" xr:uid="{00000000-0005-0000-0000-0000590F0000}"/>
    <cellStyle name="20% - Accent2 5 2 2 6" xfId="3883" xr:uid="{00000000-0005-0000-0000-00005A0F0000}"/>
    <cellStyle name="20% - Accent2 5 2 3" xfId="3884" xr:uid="{00000000-0005-0000-0000-00005B0F0000}"/>
    <cellStyle name="20% - Accent2 5 2 3 2" xfId="3885" xr:uid="{00000000-0005-0000-0000-00005C0F0000}"/>
    <cellStyle name="20% - Accent2 5 2 3 2 2" xfId="3886" xr:uid="{00000000-0005-0000-0000-00005D0F0000}"/>
    <cellStyle name="20% - Accent2 5 2 3 2 2 2" xfId="3887" xr:uid="{00000000-0005-0000-0000-00005E0F0000}"/>
    <cellStyle name="20% - Accent2 5 2 3 2 2 2 2" xfId="3888" xr:uid="{00000000-0005-0000-0000-00005F0F0000}"/>
    <cellStyle name="20% - Accent2 5 2 3 2 2 3" xfId="3889" xr:uid="{00000000-0005-0000-0000-0000600F0000}"/>
    <cellStyle name="20% - Accent2 5 2 3 2 3" xfId="3890" xr:uid="{00000000-0005-0000-0000-0000610F0000}"/>
    <cellStyle name="20% - Accent2 5 2 3 2 3 2" xfId="3891" xr:uid="{00000000-0005-0000-0000-0000620F0000}"/>
    <cellStyle name="20% - Accent2 5 2 3 2 4" xfId="3892" xr:uid="{00000000-0005-0000-0000-0000630F0000}"/>
    <cellStyle name="20% - Accent2 5 2 3 3" xfId="3893" xr:uid="{00000000-0005-0000-0000-0000640F0000}"/>
    <cellStyle name="20% - Accent2 5 2 3 3 2" xfId="3894" xr:uid="{00000000-0005-0000-0000-0000650F0000}"/>
    <cellStyle name="20% - Accent2 5 2 3 3 2 2" xfId="3895" xr:uid="{00000000-0005-0000-0000-0000660F0000}"/>
    <cellStyle name="20% - Accent2 5 2 3 3 3" xfId="3896" xr:uid="{00000000-0005-0000-0000-0000670F0000}"/>
    <cellStyle name="20% - Accent2 5 2 3 4" xfId="3897" xr:uid="{00000000-0005-0000-0000-0000680F0000}"/>
    <cellStyle name="20% - Accent2 5 2 3 4 2" xfId="3898" xr:uid="{00000000-0005-0000-0000-0000690F0000}"/>
    <cellStyle name="20% - Accent2 5 2 3 5" xfId="3899" xr:uid="{00000000-0005-0000-0000-00006A0F0000}"/>
    <cellStyle name="20% - Accent2 5 2 4" xfId="3900" xr:uid="{00000000-0005-0000-0000-00006B0F0000}"/>
    <cellStyle name="20% - Accent2 5 2 4 2" xfId="3901" xr:uid="{00000000-0005-0000-0000-00006C0F0000}"/>
    <cellStyle name="20% - Accent2 5 2 4 2 2" xfId="3902" xr:uid="{00000000-0005-0000-0000-00006D0F0000}"/>
    <cellStyle name="20% - Accent2 5 2 4 2 2 2" xfId="3903" xr:uid="{00000000-0005-0000-0000-00006E0F0000}"/>
    <cellStyle name="20% - Accent2 5 2 4 2 3" xfId="3904" xr:uid="{00000000-0005-0000-0000-00006F0F0000}"/>
    <cellStyle name="20% - Accent2 5 2 4 3" xfId="3905" xr:uid="{00000000-0005-0000-0000-0000700F0000}"/>
    <cellStyle name="20% - Accent2 5 2 4 3 2" xfId="3906" xr:uid="{00000000-0005-0000-0000-0000710F0000}"/>
    <cellStyle name="20% - Accent2 5 2 4 4" xfId="3907" xr:uid="{00000000-0005-0000-0000-0000720F0000}"/>
    <cellStyle name="20% - Accent2 5 2 5" xfId="3908" xr:uid="{00000000-0005-0000-0000-0000730F0000}"/>
    <cellStyle name="20% - Accent2 5 2 5 2" xfId="3909" xr:uid="{00000000-0005-0000-0000-0000740F0000}"/>
    <cellStyle name="20% - Accent2 5 2 5 2 2" xfId="3910" xr:uid="{00000000-0005-0000-0000-0000750F0000}"/>
    <cellStyle name="20% - Accent2 5 2 5 3" xfId="3911" xr:uid="{00000000-0005-0000-0000-0000760F0000}"/>
    <cellStyle name="20% - Accent2 5 2 6" xfId="3912" xr:uid="{00000000-0005-0000-0000-0000770F0000}"/>
    <cellStyle name="20% - Accent2 5 2 6 2" xfId="3913" xr:uid="{00000000-0005-0000-0000-0000780F0000}"/>
    <cellStyle name="20% - Accent2 5 2 7" xfId="3914" xr:uid="{00000000-0005-0000-0000-0000790F0000}"/>
    <cellStyle name="20% - Accent2 5 3" xfId="3915" xr:uid="{00000000-0005-0000-0000-00007A0F0000}"/>
    <cellStyle name="20% - Accent2 5 3 2" xfId="3916" xr:uid="{00000000-0005-0000-0000-00007B0F0000}"/>
    <cellStyle name="20% - Accent2 5 3 2 2" xfId="3917" xr:uid="{00000000-0005-0000-0000-00007C0F0000}"/>
    <cellStyle name="20% - Accent2 5 3 2 2 2" xfId="3918" xr:uid="{00000000-0005-0000-0000-00007D0F0000}"/>
    <cellStyle name="20% - Accent2 5 3 2 2 2 2" xfId="3919" xr:uid="{00000000-0005-0000-0000-00007E0F0000}"/>
    <cellStyle name="20% - Accent2 5 3 2 2 2 2 2" xfId="3920" xr:uid="{00000000-0005-0000-0000-00007F0F0000}"/>
    <cellStyle name="20% - Accent2 5 3 2 2 2 3" xfId="3921" xr:uid="{00000000-0005-0000-0000-0000800F0000}"/>
    <cellStyle name="20% - Accent2 5 3 2 2 3" xfId="3922" xr:uid="{00000000-0005-0000-0000-0000810F0000}"/>
    <cellStyle name="20% - Accent2 5 3 2 2 3 2" xfId="3923" xr:uid="{00000000-0005-0000-0000-0000820F0000}"/>
    <cellStyle name="20% - Accent2 5 3 2 2 4" xfId="3924" xr:uid="{00000000-0005-0000-0000-0000830F0000}"/>
    <cellStyle name="20% - Accent2 5 3 2 3" xfId="3925" xr:uid="{00000000-0005-0000-0000-0000840F0000}"/>
    <cellStyle name="20% - Accent2 5 3 2 3 2" xfId="3926" xr:uid="{00000000-0005-0000-0000-0000850F0000}"/>
    <cellStyle name="20% - Accent2 5 3 2 3 2 2" xfId="3927" xr:uid="{00000000-0005-0000-0000-0000860F0000}"/>
    <cellStyle name="20% - Accent2 5 3 2 3 3" xfId="3928" xr:uid="{00000000-0005-0000-0000-0000870F0000}"/>
    <cellStyle name="20% - Accent2 5 3 2 4" xfId="3929" xr:uid="{00000000-0005-0000-0000-0000880F0000}"/>
    <cellStyle name="20% - Accent2 5 3 2 4 2" xfId="3930" xr:uid="{00000000-0005-0000-0000-0000890F0000}"/>
    <cellStyle name="20% - Accent2 5 3 2 5" xfId="3931" xr:uid="{00000000-0005-0000-0000-00008A0F0000}"/>
    <cellStyle name="20% - Accent2 5 3 3" xfId="3932" xr:uid="{00000000-0005-0000-0000-00008B0F0000}"/>
    <cellStyle name="20% - Accent2 5 3 3 2" xfId="3933" xr:uid="{00000000-0005-0000-0000-00008C0F0000}"/>
    <cellStyle name="20% - Accent2 5 3 3 2 2" xfId="3934" xr:uid="{00000000-0005-0000-0000-00008D0F0000}"/>
    <cellStyle name="20% - Accent2 5 3 3 2 2 2" xfId="3935" xr:uid="{00000000-0005-0000-0000-00008E0F0000}"/>
    <cellStyle name="20% - Accent2 5 3 3 2 3" xfId="3936" xr:uid="{00000000-0005-0000-0000-00008F0F0000}"/>
    <cellStyle name="20% - Accent2 5 3 3 3" xfId="3937" xr:uid="{00000000-0005-0000-0000-0000900F0000}"/>
    <cellStyle name="20% - Accent2 5 3 3 3 2" xfId="3938" xr:uid="{00000000-0005-0000-0000-0000910F0000}"/>
    <cellStyle name="20% - Accent2 5 3 3 4" xfId="3939" xr:uid="{00000000-0005-0000-0000-0000920F0000}"/>
    <cellStyle name="20% - Accent2 5 3 4" xfId="3940" xr:uid="{00000000-0005-0000-0000-0000930F0000}"/>
    <cellStyle name="20% - Accent2 5 3 4 2" xfId="3941" xr:uid="{00000000-0005-0000-0000-0000940F0000}"/>
    <cellStyle name="20% - Accent2 5 3 4 2 2" xfId="3942" xr:uid="{00000000-0005-0000-0000-0000950F0000}"/>
    <cellStyle name="20% - Accent2 5 3 4 3" xfId="3943" xr:uid="{00000000-0005-0000-0000-0000960F0000}"/>
    <cellStyle name="20% - Accent2 5 3 5" xfId="3944" xr:uid="{00000000-0005-0000-0000-0000970F0000}"/>
    <cellStyle name="20% - Accent2 5 3 5 2" xfId="3945" xr:uid="{00000000-0005-0000-0000-0000980F0000}"/>
    <cellStyle name="20% - Accent2 5 3 6" xfId="3946" xr:uid="{00000000-0005-0000-0000-0000990F0000}"/>
    <cellStyle name="20% - Accent2 5 4" xfId="3947" xr:uid="{00000000-0005-0000-0000-00009A0F0000}"/>
    <cellStyle name="20% - Accent2 5 4 2" xfId="3948" xr:uid="{00000000-0005-0000-0000-00009B0F0000}"/>
    <cellStyle name="20% - Accent2 5 4 2 2" xfId="3949" xr:uid="{00000000-0005-0000-0000-00009C0F0000}"/>
    <cellStyle name="20% - Accent2 5 4 2 2 2" xfId="3950" xr:uid="{00000000-0005-0000-0000-00009D0F0000}"/>
    <cellStyle name="20% - Accent2 5 4 2 2 2 2" xfId="3951" xr:uid="{00000000-0005-0000-0000-00009E0F0000}"/>
    <cellStyle name="20% - Accent2 5 4 2 2 3" xfId="3952" xr:uid="{00000000-0005-0000-0000-00009F0F0000}"/>
    <cellStyle name="20% - Accent2 5 4 2 3" xfId="3953" xr:uid="{00000000-0005-0000-0000-0000A00F0000}"/>
    <cellStyle name="20% - Accent2 5 4 2 3 2" xfId="3954" xr:uid="{00000000-0005-0000-0000-0000A10F0000}"/>
    <cellStyle name="20% - Accent2 5 4 2 4" xfId="3955" xr:uid="{00000000-0005-0000-0000-0000A20F0000}"/>
    <cellStyle name="20% - Accent2 5 4 3" xfId="3956" xr:uid="{00000000-0005-0000-0000-0000A30F0000}"/>
    <cellStyle name="20% - Accent2 5 4 3 2" xfId="3957" xr:uid="{00000000-0005-0000-0000-0000A40F0000}"/>
    <cellStyle name="20% - Accent2 5 4 3 2 2" xfId="3958" xr:uid="{00000000-0005-0000-0000-0000A50F0000}"/>
    <cellStyle name="20% - Accent2 5 4 3 3" xfId="3959" xr:uid="{00000000-0005-0000-0000-0000A60F0000}"/>
    <cellStyle name="20% - Accent2 5 4 4" xfId="3960" xr:uid="{00000000-0005-0000-0000-0000A70F0000}"/>
    <cellStyle name="20% - Accent2 5 4 4 2" xfId="3961" xr:uid="{00000000-0005-0000-0000-0000A80F0000}"/>
    <cellStyle name="20% - Accent2 5 4 5" xfId="3962" xr:uid="{00000000-0005-0000-0000-0000A90F0000}"/>
    <cellStyle name="20% - Accent2 5 5" xfId="3963" xr:uid="{00000000-0005-0000-0000-0000AA0F0000}"/>
    <cellStyle name="20% - Accent2 5 5 2" xfId="3964" xr:uid="{00000000-0005-0000-0000-0000AB0F0000}"/>
    <cellStyle name="20% - Accent2 5 5 2 2" xfId="3965" xr:uid="{00000000-0005-0000-0000-0000AC0F0000}"/>
    <cellStyle name="20% - Accent2 5 5 2 2 2" xfId="3966" xr:uid="{00000000-0005-0000-0000-0000AD0F0000}"/>
    <cellStyle name="20% - Accent2 5 5 2 3" xfId="3967" xr:uid="{00000000-0005-0000-0000-0000AE0F0000}"/>
    <cellStyle name="20% - Accent2 5 5 3" xfId="3968" xr:uid="{00000000-0005-0000-0000-0000AF0F0000}"/>
    <cellStyle name="20% - Accent2 5 5 3 2" xfId="3969" xr:uid="{00000000-0005-0000-0000-0000B00F0000}"/>
    <cellStyle name="20% - Accent2 5 5 4" xfId="3970" xr:uid="{00000000-0005-0000-0000-0000B10F0000}"/>
    <cellStyle name="20% - Accent2 5 6" xfId="3971" xr:uid="{00000000-0005-0000-0000-0000B20F0000}"/>
    <cellStyle name="20% - Accent2 5 6 2" xfId="3972" xr:uid="{00000000-0005-0000-0000-0000B30F0000}"/>
    <cellStyle name="20% - Accent2 5 6 2 2" xfId="3973" xr:uid="{00000000-0005-0000-0000-0000B40F0000}"/>
    <cellStyle name="20% - Accent2 5 6 3" xfId="3974" xr:uid="{00000000-0005-0000-0000-0000B50F0000}"/>
    <cellStyle name="20% - Accent2 5 7" xfId="3975" xr:uid="{00000000-0005-0000-0000-0000B60F0000}"/>
    <cellStyle name="20% - Accent2 5 7 2" xfId="3976" xr:uid="{00000000-0005-0000-0000-0000B70F0000}"/>
    <cellStyle name="20% - Accent2 5 8" xfId="3977" xr:uid="{00000000-0005-0000-0000-0000B80F0000}"/>
    <cellStyle name="20% - Accent2 6" xfId="3978" xr:uid="{00000000-0005-0000-0000-0000B90F0000}"/>
    <cellStyle name="20% - Accent2 6 2" xfId="3979" xr:uid="{00000000-0005-0000-0000-0000BA0F0000}"/>
    <cellStyle name="20% - Accent2 6 2 2" xfId="3980" xr:uid="{00000000-0005-0000-0000-0000BB0F0000}"/>
    <cellStyle name="20% - Accent2 6 2 2 2" xfId="3981" xr:uid="{00000000-0005-0000-0000-0000BC0F0000}"/>
    <cellStyle name="20% - Accent2 6 2 2 2 2" xfId="3982" xr:uid="{00000000-0005-0000-0000-0000BD0F0000}"/>
    <cellStyle name="20% - Accent2 6 2 2 2 2 2" xfId="3983" xr:uid="{00000000-0005-0000-0000-0000BE0F0000}"/>
    <cellStyle name="20% - Accent2 6 2 2 2 2 2 2" xfId="3984" xr:uid="{00000000-0005-0000-0000-0000BF0F0000}"/>
    <cellStyle name="20% - Accent2 6 2 2 2 2 3" xfId="3985" xr:uid="{00000000-0005-0000-0000-0000C00F0000}"/>
    <cellStyle name="20% - Accent2 6 2 2 2 3" xfId="3986" xr:uid="{00000000-0005-0000-0000-0000C10F0000}"/>
    <cellStyle name="20% - Accent2 6 2 2 2 3 2" xfId="3987" xr:uid="{00000000-0005-0000-0000-0000C20F0000}"/>
    <cellStyle name="20% - Accent2 6 2 2 2 4" xfId="3988" xr:uid="{00000000-0005-0000-0000-0000C30F0000}"/>
    <cellStyle name="20% - Accent2 6 2 2 3" xfId="3989" xr:uid="{00000000-0005-0000-0000-0000C40F0000}"/>
    <cellStyle name="20% - Accent2 6 2 2 3 2" xfId="3990" xr:uid="{00000000-0005-0000-0000-0000C50F0000}"/>
    <cellStyle name="20% - Accent2 6 2 2 3 2 2" xfId="3991" xr:uid="{00000000-0005-0000-0000-0000C60F0000}"/>
    <cellStyle name="20% - Accent2 6 2 2 3 3" xfId="3992" xr:uid="{00000000-0005-0000-0000-0000C70F0000}"/>
    <cellStyle name="20% - Accent2 6 2 2 4" xfId="3993" xr:uid="{00000000-0005-0000-0000-0000C80F0000}"/>
    <cellStyle name="20% - Accent2 6 2 2 4 2" xfId="3994" xr:uid="{00000000-0005-0000-0000-0000C90F0000}"/>
    <cellStyle name="20% - Accent2 6 2 2 5" xfId="3995" xr:uid="{00000000-0005-0000-0000-0000CA0F0000}"/>
    <cellStyle name="20% - Accent2 6 2 3" xfId="3996" xr:uid="{00000000-0005-0000-0000-0000CB0F0000}"/>
    <cellStyle name="20% - Accent2 6 2 3 2" xfId="3997" xr:uid="{00000000-0005-0000-0000-0000CC0F0000}"/>
    <cellStyle name="20% - Accent2 6 2 3 2 2" xfId="3998" xr:uid="{00000000-0005-0000-0000-0000CD0F0000}"/>
    <cellStyle name="20% - Accent2 6 2 3 2 2 2" xfId="3999" xr:uid="{00000000-0005-0000-0000-0000CE0F0000}"/>
    <cellStyle name="20% - Accent2 6 2 3 2 3" xfId="4000" xr:uid="{00000000-0005-0000-0000-0000CF0F0000}"/>
    <cellStyle name="20% - Accent2 6 2 3 3" xfId="4001" xr:uid="{00000000-0005-0000-0000-0000D00F0000}"/>
    <cellStyle name="20% - Accent2 6 2 3 3 2" xfId="4002" xr:uid="{00000000-0005-0000-0000-0000D10F0000}"/>
    <cellStyle name="20% - Accent2 6 2 3 4" xfId="4003" xr:uid="{00000000-0005-0000-0000-0000D20F0000}"/>
    <cellStyle name="20% - Accent2 6 2 4" xfId="4004" xr:uid="{00000000-0005-0000-0000-0000D30F0000}"/>
    <cellStyle name="20% - Accent2 6 2 4 2" xfId="4005" xr:uid="{00000000-0005-0000-0000-0000D40F0000}"/>
    <cellStyle name="20% - Accent2 6 2 4 2 2" xfId="4006" xr:uid="{00000000-0005-0000-0000-0000D50F0000}"/>
    <cellStyle name="20% - Accent2 6 2 4 3" xfId="4007" xr:uid="{00000000-0005-0000-0000-0000D60F0000}"/>
    <cellStyle name="20% - Accent2 6 2 5" xfId="4008" xr:uid="{00000000-0005-0000-0000-0000D70F0000}"/>
    <cellStyle name="20% - Accent2 6 2 5 2" xfId="4009" xr:uid="{00000000-0005-0000-0000-0000D80F0000}"/>
    <cellStyle name="20% - Accent2 6 2 6" xfId="4010" xr:uid="{00000000-0005-0000-0000-0000D90F0000}"/>
    <cellStyle name="20% - Accent2 6 3" xfId="4011" xr:uid="{00000000-0005-0000-0000-0000DA0F0000}"/>
    <cellStyle name="20% - Accent2 6 3 2" xfId="4012" xr:uid="{00000000-0005-0000-0000-0000DB0F0000}"/>
    <cellStyle name="20% - Accent2 6 3 2 2" xfId="4013" xr:uid="{00000000-0005-0000-0000-0000DC0F0000}"/>
    <cellStyle name="20% - Accent2 6 3 2 2 2" xfId="4014" xr:uid="{00000000-0005-0000-0000-0000DD0F0000}"/>
    <cellStyle name="20% - Accent2 6 3 2 2 2 2" xfId="4015" xr:uid="{00000000-0005-0000-0000-0000DE0F0000}"/>
    <cellStyle name="20% - Accent2 6 3 2 2 3" xfId="4016" xr:uid="{00000000-0005-0000-0000-0000DF0F0000}"/>
    <cellStyle name="20% - Accent2 6 3 2 3" xfId="4017" xr:uid="{00000000-0005-0000-0000-0000E00F0000}"/>
    <cellStyle name="20% - Accent2 6 3 2 3 2" xfId="4018" xr:uid="{00000000-0005-0000-0000-0000E10F0000}"/>
    <cellStyle name="20% - Accent2 6 3 2 4" xfId="4019" xr:uid="{00000000-0005-0000-0000-0000E20F0000}"/>
    <cellStyle name="20% - Accent2 6 3 3" xfId="4020" xr:uid="{00000000-0005-0000-0000-0000E30F0000}"/>
    <cellStyle name="20% - Accent2 6 3 3 2" xfId="4021" xr:uid="{00000000-0005-0000-0000-0000E40F0000}"/>
    <cellStyle name="20% - Accent2 6 3 3 2 2" xfId="4022" xr:uid="{00000000-0005-0000-0000-0000E50F0000}"/>
    <cellStyle name="20% - Accent2 6 3 3 3" xfId="4023" xr:uid="{00000000-0005-0000-0000-0000E60F0000}"/>
    <cellStyle name="20% - Accent2 6 3 4" xfId="4024" xr:uid="{00000000-0005-0000-0000-0000E70F0000}"/>
    <cellStyle name="20% - Accent2 6 3 4 2" xfId="4025" xr:uid="{00000000-0005-0000-0000-0000E80F0000}"/>
    <cellStyle name="20% - Accent2 6 3 5" xfId="4026" xr:uid="{00000000-0005-0000-0000-0000E90F0000}"/>
    <cellStyle name="20% - Accent2 6 4" xfId="4027" xr:uid="{00000000-0005-0000-0000-0000EA0F0000}"/>
    <cellStyle name="20% - Accent2 6 4 2" xfId="4028" xr:uid="{00000000-0005-0000-0000-0000EB0F0000}"/>
    <cellStyle name="20% - Accent2 6 4 2 2" xfId="4029" xr:uid="{00000000-0005-0000-0000-0000EC0F0000}"/>
    <cellStyle name="20% - Accent2 6 4 2 2 2" xfId="4030" xr:uid="{00000000-0005-0000-0000-0000ED0F0000}"/>
    <cellStyle name="20% - Accent2 6 4 2 3" xfId="4031" xr:uid="{00000000-0005-0000-0000-0000EE0F0000}"/>
    <cellStyle name="20% - Accent2 6 4 3" xfId="4032" xr:uid="{00000000-0005-0000-0000-0000EF0F0000}"/>
    <cellStyle name="20% - Accent2 6 4 3 2" xfId="4033" xr:uid="{00000000-0005-0000-0000-0000F00F0000}"/>
    <cellStyle name="20% - Accent2 6 4 4" xfId="4034" xr:uid="{00000000-0005-0000-0000-0000F10F0000}"/>
    <cellStyle name="20% - Accent2 6 5" xfId="4035" xr:uid="{00000000-0005-0000-0000-0000F20F0000}"/>
    <cellStyle name="20% - Accent2 6 5 2" xfId="4036" xr:uid="{00000000-0005-0000-0000-0000F30F0000}"/>
    <cellStyle name="20% - Accent2 6 5 2 2" xfId="4037" xr:uid="{00000000-0005-0000-0000-0000F40F0000}"/>
    <cellStyle name="20% - Accent2 6 5 3" xfId="4038" xr:uid="{00000000-0005-0000-0000-0000F50F0000}"/>
    <cellStyle name="20% - Accent2 6 6" xfId="4039" xr:uid="{00000000-0005-0000-0000-0000F60F0000}"/>
    <cellStyle name="20% - Accent2 6 6 2" xfId="4040" xr:uid="{00000000-0005-0000-0000-0000F70F0000}"/>
    <cellStyle name="20% - Accent2 6 7" xfId="4041" xr:uid="{00000000-0005-0000-0000-0000F80F0000}"/>
    <cellStyle name="20% - Accent2 7" xfId="4042" xr:uid="{00000000-0005-0000-0000-0000F90F0000}"/>
    <cellStyle name="20% - Accent2 7 2" xfId="4043" xr:uid="{00000000-0005-0000-0000-0000FA0F0000}"/>
    <cellStyle name="20% - Accent2 7 2 2" xfId="4044" xr:uid="{00000000-0005-0000-0000-0000FB0F0000}"/>
    <cellStyle name="20% - Accent2 7 2 2 2" xfId="4045" xr:uid="{00000000-0005-0000-0000-0000FC0F0000}"/>
    <cellStyle name="20% - Accent2 7 2 2 2 2" xfId="4046" xr:uid="{00000000-0005-0000-0000-0000FD0F0000}"/>
    <cellStyle name="20% - Accent2 7 2 2 2 2 2" xfId="4047" xr:uid="{00000000-0005-0000-0000-0000FE0F0000}"/>
    <cellStyle name="20% - Accent2 7 2 2 2 3" xfId="4048" xr:uid="{00000000-0005-0000-0000-0000FF0F0000}"/>
    <cellStyle name="20% - Accent2 7 2 2 3" xfId="4049" xr:uid="{00000000-0005-0000-0000-000000100000}"/>
    <cellStyle name="20% - Accent2 7 2 2 3 2" xfId="4050" xr:uid="{00000000-0005-0000-0000-000001100000}"/>
    <cellStyle name="20% - Accent2 7 2 2 4" xfId="4051" xr:uid="{00000000-0005-0000-0000-000002100000}"/>
    <cellStyle name="20% - Accent2 7 2 3" xfId="4052" xr:uid="{00000000-0005-0000-0000-000003100000}"/>
    <cellStyle name="20% - Accent2 7 2 3 2" xfId="4053" xr:uid="{00000000-0005-0000-0000-000004100000}"/>
    <cellStyle name="20% - Accent2 7 2 3 2 2" xfId="4054" xr:uid="{00000000-0005-0000-0000-000005100000}"/>
    <cellStyle name="20% - Accent2 7 2 3 3" xfId="4055" xr:uid="{00000000-0005-0000-0000-000006100000}"/>
    <cellStyle name="20% - Accent2 7 2 4" xfId="4056" xr:uid="{00000000-0005-0000-0000-000007100000}"/>
    <cellStyle name="20% - Accent2 7 2 4 2" xfId="4057" xr:uid="{00000000-0005-0000-0000-000008100000}"/>
    <cellStyle name="20% - Accent2 7 2 5" xfId="4058" xr:uid="{00000000-0005-0000-0000-000009100000}"/>
    <cellStyle name="20% - Accent2 7 3" xfId="4059" xr:uid="{00000000-0005-0000-0000-00000A100000}"/>
    <cellStyle name="20% - Accent2 7 3 2" xfId="4060" xr:uid="{00000000-0005-0000-0000-00000B100000}"/>
    <cellStyle name="20% - Accent2 7 3 2 2" xfId="4061" xr:uid="{00000000-0005-0000-0000-00000C100000}"/>
    <cellStyle name="20% - Accent2 7 3 2 2 2" xfId="4062" xr:uid="{00000000-0005-0000-0000-00000D100000}"/>
    <cellStyle name="20% - Accent2 7 3 2 3" xfId="4063" xr:uid="{00000000-0005-0000-0000-00000E100000}"/>
    <cellStyle name="20% - Accent2 7 3 3" xfId="4064" xr:uid="{00000000-0005-0000-0000-00000F100000}"/>
    <cellStyle name="20% - Accent2 7 3 3 2" xfId="4065" xr:uid="{00000000-0005-0000-0000-000010100000}"/>
    <cellStyle name="20% - Accent2 7 3 4" xfId="4066" xr:uid="{00000000-0005-0000-0000-000011100000}"/>
    <cellStyle name="20% - Accent2 7 4" xfId="4067" xr:uid="{00000000-0005-0000-0000-000012100000}"/>
    <cellStyle name="20% - Accent2 7 4 2" xfId="4068" xr:uid="{00000000-0005-0000-0000-000013100000}"/>
    <cellStyle name="20% - Accent2 7 4 2 2" xfId="4069" xr:uid="{00000000-0005-0000-0000-000014100000}"/>
    <cellStyle name="20% - Accent2 7 4 3" xfId="4070" xr:uid="{00000000-0005-0000-0000-000015100000}"/>
    <cellStyle name="20% - Accent2 7 5" xfId="4071" xr:uid="{00000000-0005-0000-0000-000016100000}"/>
    <cellStyle name="20% - Accent2 7 5 2" xfId="4072" xr:uid="{00000000-0005-0000-0000-000017100000}"/>
    <cellStyle name="20% - Accent2 7 6" xfId="4073" xr:uid="{00000000-0005-0000-0000-000018100000}"/>
    <cellStyle name="20% - Accent2 8" xfId="4074" xr:uid="{00000000-0005-0000-0000-000019100000}"/>
    <cellStyle name="20% - Accent2 8 2" xfId="4075" xr:uid="{00000000-0005-0000-0000-00001A100000}"/>
    <cellStyle name="20% - Accent2 8 2 2" xfId="4076" xr:uid="{00000000-0005-0000-0000-00001B100000}"/>
    <cellStyle name="20% - Accent2 8 2 2 2" xfId="4077" xr:uid="{00000000-0005-0000-0000-00001C100000}"/>
    <cellStyle name="20% - Accent2 8 2 2 2 2" xfId="4078" xr:uid="{00000000-0005-0000-0000-00001D100000}"/>
    <cellStyle name="20% - Accent2 8 2 2 3" xfId="4079" xr:uid="{00000000-0005-0000-0000-00001E100000}"/>
    <cellStyle name="20% - Accent2 8 2 3" xfId="4080" xr:uid="{00000000-0005-0000-0000-00001F100000}"/>
    <cellStyle name="20% - Accent2 8 2 3 2" xfId="4081" xr:uid="{00000000-0005-0000-0000-000020100000}"/>
    <cellStyle name="20% - Accent2 8 2 4" xfId="4082" xr:uid="{00000000-0005-0000-0000-000021100000}"/>
    <cellStyle name="20% - Accent2 8 3" xfId="4083" xr:uid="{00000000-0005-0000-0000-000022100000}"/>
    <cellStyle name="20% - Accent2 8 3 2" xfId="4084" xr:uid="{00000000-0005-0000-0000-000023100000}"/>
    <cellStyle name="20% - Accent2 8 3 2 2" xfId="4085" xr:uid="{00000000-0005-0000-0000-000024100000}"/>
    <cellStyle name="20% - Accent2 8 3 3" xfId="4086" xr:uid="{00000000-0005-0000-0000-000025100000}"/>
    <cellStyle name="20% - Accent2 8 4" xfId="4087" xr:uid="{00000000-0005-0000-0000-000026100000}"/>
    <cellStyle name="20% - Accent2 8 4 2" xfId="4088" xr:uid="{00000000-0005-0000-0000-000027100000}"/>
    <cellStyle name="20% - Accent2 8 5" xfId="4089" xr:uid="{00000000-0005-0000-0000-000028100000}"/>
    <cellStyle name="20% - Accent2 9" xfId="4090" xr:uid="{00000000-0005-0000-0000-000029100000}"/>
    <cellStyle name="20% - Accent2 9 2" xfId="4091" xr:uid="{00000000-0005-0000-0000-00002A100000}"/>
    <cellStyle name="20% - Accent2 9 2 2" xfId="4092" xr:uid="{00000000-0005-0000-0000-00002B100000}"/>
    <cellStyle name="20% - Accent2 9 2 2 2" xfId="4093" xr:uid="{00000000-0005-0000-0000-00002C100000}"/>
    <cellStyle name="20% - Accent2 9 2 3" xfId="4094" xr:uid="{00000000-0005-0000-0000-00002D100000}"/>
    <cellStyle name="20% - Accent2 9 3" xfId="4095" xr:uid="{00000000-0005-0000-0000-00002E100000}"/>
    <cellStyle name="20% - Accent2 9 3 2" xfId="4096" xr:uid="{00000000-0005-0000-0000-00002F100000}"/>
    <cellStyle name="20% - Accent2 9 4" xfId="4097" xr:uid="{00000000-0005-0000-0000-000030100000}"/>
    <cellStyle name="20% - Accent3 10" xfId="4098" xr:uid="{00000000-0005-0000-0000-000031100000}"/>
    <cellStyle name="20% - Accent3 10 2" xfId="4099" xr:uid="{00000000-0005-0000-0000-000032100000}"/>
    <cellStyle name="20% - Accent3 10 2 2" xfId="4100" xr:uid="{00000000-0005-0000-0000-000033100000}"/>
    <cellStyle name="20% - Accent3 10 3" xfId="4101" xr:uid="{00000000-0005-0000-0000-000034100000}"/>
    <cellStyle name="20% - Accent3 11" xfId="4102" xr:uid="{00000000-0005-0000-0000-000035100000}"/>
    <cellStyle name="20% - Accent3 11 2" xfId="4103" xr:uid="{00000000-0005-0000-0000-000036100000}"/>
    <cellStyle name="20% - Accent3 12" xfId="4104" xr:uid="{00000000-0005-0000-0000-000037100000}"/>
    <cellStyle name="20% - Accent3 13" xfId="4105" xr:uid="{00000000-0005-0000-0000-000038100000}"/>
    <cellStyle name="20% - Accent3 2" xfId="4106" xr:uid="{00000000-0005-0000-0000-000039100000}"/>
    <cellStyle name="20% - Accent3 2 10" xfId="4107" xr:uid="{00000000-0005-0000-0000-00003A100000}"/>
    <cellStyle name="20% - Accent3 2 10 2" xfId="4108" xr:uid="{00000000-0005-0000-0000-00003B100000}"/>
    <cellStyle name="20% - Accent3 2 11" xfId="4109" xr:uid="{00000000-0005-0000-0000-00003C100000}"/>
    <cellStyle name="20% - Accent3 2 2" xfId="4110" xr:uid="{00000000-0005-0000-0000-00003D100000}"/>
    <cellStyle name="20% - Accent3 2 2 10" xfId="4111" xr:uid="{00000000-0005-0000-0000-00003E100000}"/>
    <cellStyle name="20% - Accent3 2 2 2" xfId="4112" xr:uid="{00000000-0005-0000-0000-00003F100000}"/>
    <cellStyle name="20% - Accent3 2 2 2 2" xfId="4113" xr:uid="{00000000-0005-0000-0000-000040100000}"/>
    <cellStyle name="20% - Accent3 2 2 2 2 2" xfId="4114" xr:uid="{00000000-0005-0000-0000-000041100000}"/>
    <cellStyle name="20% - Accent3 2 2 2 2 2 2" xfId="4115" xr:uid="{00000000-0005-0000-0000-000042100000}"/>
    <cellStyle name="20% - Accent3 2 2 2 2 2 2 2" xfId="4116" xr:uid="{00000000-0005-0000-0000-000043100000}"/>
    <cellStyle name="20% - Accent3 2 2 2 2 2 2 2 2" xfId="4117" xr:uid="{00000000-0005-0000-0000-000044100000}"/>
    <cellStyle name="20% - Accent3 2 2 2 2 2 2 2 2 2" xfId="4118" xr:uid="{00000000-0005-0000-0000-000045100000}"/>
    <cellStyle name="20% - Accent3 2 2 2 2 2 2 2 2 2 2" xfId="4119" xr:uid="{00000000-0005-0000-0000-000046100000}"/>
    <cellStyle name="20% - Accent3 2 2 2 2 2 2 2 2 2 2 2" xfId="4120" xr:uid="{00000000-0005-0000-0000-000047100000}"/>
    <cellStyle name="20% - Accent3 2 2 2 2 2 2 2 2 2 3" xfId="4121" xr:uid="{00000000-0005-0000-0000-000048100000}"/>
    <cellStyle name="20% - Accent3 2 2 2 2 2 2 2 2 3" xfId="4122" xr:uid="{00000000-0005-0000-0000-000049100000}"/>
    <cellStyle name="20% - Accent3 2 2 2 2 2 2 2 2 3 2" xfId="4123" xr:uid="{00000000-0005-0000-0000-00004A100000}"/>
    <cellStyle name="20% - Accent3 2 2 2 2 2 2 2 2 4" xfId="4124" xr:uid="{00000000-0005-0000-0000-00004B100000}"/>
    <cellStyle name="20% - Accent3 2 2 2 2 2 2 2 3" xfId="4125" xr:uid="{00000000-0005-0000-0000-00004C100000}"/>
    <cellStyle name="20% - Accent3 2 2 2 2 2 2 2 3 2" xfId="4126" xr:uid="{00000000-0005-0000-0000-00004D100000}"/>
    <cellStyle name="20% - Accent3 2 2 2 2 2 2 2 3 2 2" xfId="4127" xr:uid="{00000000-0005-0000-0000-00004E100000}"/>
    <cellStyle name="20% - Accent3 2 2 2 2 2 2 2 3 3" xfId="4128" xr:uid="{00000000-0005-0000-0000-00004F100000}"/>
    <cellStyle name="20% - Accent3 2 2 2 2 2 2 2 4" xfId="4129" xr:uid="{00000000-0005-0000-0000-000050100000}"/>
    <cellStyle name="20% - Accent3 2 2 2 2 2 2 2 4 2" xfId="4130" xr:uid="{00000000-0005-0000-0000-000051100000}"/>
    <cellStyle name="20% - Accent3 2 2 2 2 2 2 2 5" xfId="4131" xr:uid="{00000000-0005-0000-0000-000052100000}"/>
    <cellStyle name="20% - Accent3 2 2 2 2 2 2 3" xfId="4132" xr:uid="{00000000-0005-0000-0000-000053100000}"/>
    <cellStyle name="20% - Accent3 2 2 2 2 2 2 3 2" xfId="4133" xr:uid="{00000000-0005-0000-0000-000054100000}"/>
    <cellStyle name="20% - Accent3 2 2 2 2 2 2 3 2 2" xfId="4134" xr:uid="{00000000-0005-0000-0000-000055100000}"/>
    <cellStyle name="20% - Accent3 2 2 2 2 2 2 3 2 2 2" xfId="4135" xr:uid="{00000000-0005-0000-0000-000056100000}"/>
    <cellStyle name="20% - Accent3 2 2 2 2 2 2 3 2 3" xfId="4136" xr:uid="{00000000-0005-0000-0000-000057100000}"/>
    <cellStyle name="20% - Accent3 2 2 2 2 2 2 3 3" xfId="4137" xr:uid="{00000000-0005-0000-0000-000058100000}"/>
    <cellStyle name="20% - Accent3 2 2 2 2 2 2 3 3 2" xfId="4138" xr:uid="{00000000-0005-0000-0000-000059100000}"/>
    <cellStyle name="20% - Accent3 2 2 2 2 2 2 3 4" xfId="4139" xr:uid="{00000000-0005-0000-0000-00005A100000}"/>
    <cellStyle name="20% - Accent3 2 2 2 2 2 2 4" xfId="4140" xr:uid="{00000000-0005-0000-0000-00005B100000}"/>
    <cellStyle name="20% - Accent3 2 2 2 2 2 2 4 2" xfId="4141" xr:uid="{00000000-0005-0000-0000-00005C100000}"/>
    <cellStyle name="20% - Accent3 2 2 2 2 2 2 4 2 2" xfId="4142" xr:uid="{00000000-0005-0000-0000-00005D100000}"/>
    <cellStyle name="20% - Accent3 2 2 2 2 2 2 4 3" xfId="4143" xr:uid="{00000000-0005-0000-0000-00005E100000}"/>
    <cellStyle name="20% - Accent3 2 2 2 2 2 2 5" xfId="4144" xr:uid="{00000000-0005-0000-0000-00005F100000}"/>
    <cellStyle name="20% - Accent3 2 2 2 2 2 2 5 2" xfId="4145" xr:uid="{00000000-0005-0000-0000-000060100000}"/>
    <cellStyle name="20% - Accent3 2 2 2 2 2 2 6" xfId="4146" xr:uid="{00000000-0005-0000-0000-000061100000}"/>
    <cellStyle name="20% - Accent3 2 2 2 2 2 3" xfId="4147" xr:uid="{00000000-0005-0000-0000-000062100000}"/>
    <cellStyle name="20% - Accent3 2 2 2 2 2 3 2" xfId="4148" xr:uid="{00000000-0005-0000-0000-000063100000}"/>
    <cellStyle name="20% - Accent3 2 2 2 2 2 3 2 2" xfId="4149" xr:uid="{00000000-0005-0000-0000-000064100000}"/>
    <cellStyle name="20% - Accent3 2 2 2 2 2 3 2 2 2" xfId="4150" xr:uid="{00000000-0005-0000-0000-000065100000}"/>
    <cellStyle name="20% - Accent3 2 2 2 2 2 3 2 2 2 2" xfId="4151" xr:uid="{00000000-0005-0000-0000-000066100000}"/>
    <cellStyle name="20% - Accent3 2 2 2 2 2 3 2 2 3" xfId="4152" xr:uid="{00000000-0005-0000-0000-000067100000}"/>
    <cellStyle name="20% - Accent3 2 2 2 2 2 3 2 3" xfId="4153" xr:uid="{00000000-0005-0000-0000-000068100000}"/>
    <cellStyle name="20% - Accent3 2 2 2 2 2 3 2 3 2" xfId="4154" xr:uid="{00000000-0005-0000-0000-000069100000}"/>
    <cellStyle name="20% - Accent3 2 2 2 2 2 3 2 4" xfId="4155" xr:uid="{00000000-0005-0000-0000-00006A100000}"/>
    <cellStyle name="20% - Accent3 2 2 2 2 2 3 3" xfId="4156" xr:uid="{00000000-0005-0000-0000-00006B100000}"/>
    <cellStyle name="20% - Accent3 2 2 2 2 2 3 3 2" xfId="4157" xr:uid="{00000000-0005-0000-0000-00006C100000}"/>
    <cellStyle name="20% - Accent3 2 2 2 2 2 3 3 2 2" xfId="4158" xr:uid="{00000000-0005-0000-0000-00006D100000}"/>
    <cellStyle name="20% - Accent3 2 2 2 2 2 3 3 3" xfId="4159" xr:uid="{00000000-0005-0000-0000-00006E100000}"/>
    <cellStyle name="20% - Accent3 2 2 2 2 2 3 4" xfId="4160" xr:uid="{00000000-0005-0000-0000-00006F100000}"/>
    <cellStyle name="20% - Accent3 2 2 2 2 2 3 4 2" xfId="4161" xr:uid="{00000000-0005-0000-0000-000070100000}"/>
    <cellStyle name="20% - Accent3 2 2 2 2 2 3 5" xfId="4162" xr:uid="{00000000-0005-0000-0000-000071100000}"/>
    <cellStyle name="20% - Accent3 2 2 2 2 2 4" xfId="4163" xr:uid="{00000000-0005-0000-0000-000072100000}"/>
    <cellStyle name="20% - Accent3 2 2 2 2 2 4 2" xfId="4164" xr:uid="{00000000-0005-0000-0000-000073100000}"/>
    <cellStyle name="20% - Accent3 2 2 2 2 2 4 2 2" xfId="4165" xr:uid="{00000000-0005-0000-0000-000074100000}"/>
    <cellStyle name="20% - Accent3 2 2 2 2 2 4 2 2 2" xfId="4166" xr:uid="{00000000-0005-0000-0000-000075100000}"/>
    <cellStyle name="20% - Accent3 2 2 2 2 2 4 2 3" xfId="4167" xr:uid="{00000000-0005-0000-0000-000076100000}"/>
    <cellStyle name="20% - Accent3 2 2 2 2 2 4 3" xfId="4168" xr:uid="{00000000-0005-0000-0000-000077100000}"/>
    <cellStyle name="20% - Accent3 2 2 2 2 2 4 3 2" xfId="4169" xr:uid="{00000000-0005-0000-0000-000078100000}"/>
    <cellStyle name="20% - Accent3 2 2 2 2 2 4 4" xfId="4170" xr:uid="{00000000-0005-0000-0000-000079100000}"/>
    <cellStyle name="20% - Accent3 2 2 2 2 2 5" xfId="4171" xr:uid="{00000000-0005-0000-0000-00007A100000}"/>
    <cellStyle name="20% - Accent3 2 2 2 2 2 5 2" xfId="4172" xr:uid="{00000000-0005-0000-0000-00007B100000}"/>
    <cellStyle name="20% - Accent3 2 2 2 2 2 5 2 2" xfId="4173" xr:uid="{00000000-0005-0000-0000-00007C100000}"/>
    <cellStyle name="20% - Accent3 2 2 2 2 2 5 3" xfId="4174" xr:uid="{00000000-0005-0000-0000-00007D100000}"/>
    <cellStyle name="20% - Accent3 2 2 2 2 2 6" xfId="4175" xr:uid="{00000000-0005-0000-0000-00007E100000}"/>
    <cellStyle name="20% - Accent3 2 2 2 2 2 6 2" xfId="4176" xr:uid="{00000000-0005-0000-0000-00007F100000}"/>
    <cellStyle name="20% - Accent3 2 2 2 2 2 7" xfId="4177" xr:uid="{00000000-0005-0000-0000-000080100000}"/>
    <cellStyle name="20% - Accent3 2 2 2 2 3" xfId="4178" xr:uid="{00000000-0005-0000-0000-000081100000}"/>
    <cellStyle name="20% - Accent3 2 2 2 2 3 2" xfId="4179" xr:uid="{00000000-0005-0000-0000-000082100000}"/>
    <cellStyle name="20% - Accent3 2 2 2 2 3 2 2" xfId="4180" xr:uid="{00000000-0005-0000-0000-000083100000}"/>
    <cellStyle name="20% - Accent3 2 2 2 2 3 2 2 2" xfId="4181" xr:uid="{00000000-0005-0000-0000-000084100000}"/>
    <cellStyle name="20% - Accent3 2 2 2 2 3 2 2 2 2" xfId="4182" xr:uid="{00000000-0005-0000-0000-000085100000}"/>
    <cellStyle name="20% - Accent3 2 2 2 2 3 2 2 2 2 2" xfId="4183" xr:uid="{00000000-0005-0000-0000-000086100000}"/>
    <cellStyle name="20% - Accent3 2 2 2 2 3 2 2 2 3" xfId="4184" xr:uid="{00000000-0005-0000-0000-000087100000}"/>
    <cellStyle name="20% - Accent3 2 2 2 2 3 2 2 3" xfId="4185" xr:uid="{00000000-0005-0000-0000-000088100000}"/>
    <cellStyle name="20% - Accent3 2 2 2 2 3 2 2 3 2" xfId="4186" xr:uid="{00000000-0005-0000-0000-000089100000}"/>
    <cellStyle name="20% - Accent3 2 2 2 2 3 2 2 4" xfId="4187" xr:uid="{00000000-0005-0000-0000-00008A100000}"/>
    <cellStyle name="20% - Accent3 2 2 2 2 3 2 3" xfId="4188" xr:uid="{00000000-0005-0000-0000-00008B100000}"/>
    <cellStyle name="20% - Accent3 2 2 2 2 3 2 3 2" xfId="4189" xr:uid="{00000000-0005-0000-0000-00008C100000}"/>
    <cellStyle name="20% - Accent3 2 2 2 2 3 2 3 2 2" xfId="4190" xr:uid="{00000000-0005-0000-0000-00008D100000}"/>
    <cellStyle name="20% - Accent3 2 2 2 2 3 2 3 3" xfId="4191" xr:uid="{00000000-0005-0000-0000-00008E100000}"/>
    <cellStyle name="20% - Accent3 2 2 2 2 3 2 4" xfId="4192" xr:uid="{00000000-0005-0000-0000-00008F100000}"/>
    <cellStyle name="20% - Accent3 2 2 2 2 3 2 4 2" xfId="4193" xr:uid="{00000000-0005-0000-0000-000090100000}"/>
    <cellStyle name="20% - Accent3 2 2 2 2 3 2 5" xfId="4194" xr:uid="{00000000-0005-0000-0000-000091100000}"/>
    <cellStyle name="20% - Accent3 2 2 2 2 3 3" xfId="4195" xr:uid="{00000000-0005-0000-0000-000092100000}"/>
    <cellStyle name="20% - Accent3 2 2 2 2 3 3 2" xfId="4196" xr:uid="{00000000-0005-0000-0000-000093100000}"/>
    <cellStyle name="20% - Accent3 2 2 2 2 3 3 2 2" xfId="4197" xr:uid="{00000000-0005-0000-0000-000094100000}"/>
    <cellStyle name="20% - Accent3 2 2 2 2 3 3 2 2 2" xfId="4198" xr:uid="{00000000-0005-0000-0000-000095100000}"/>
    <cellStyle name="20% - Accent3 2 2 2 2 3 3 2 3" xfId="4199" xr:uid="{00000000-0005-0000-0000-000096100000}"/>
    <cellStyle name="20% - Accent3 2 2 2 2 3 3 3" xfId="4200" xr:uid="{00000000-0005-0000-0000-000097100000}"/>
    <cellStyle name="20% - Accent3 2 2 2 2 3 3 3 2" xfId="4201" xr:uid="{00000000-0005-0000-0000-000098100000}"/>
    <cellStyle name="20% - Accent3 2 2 2 2 3 3 4" xfId="4202" xr:uid="{00000000-0005-0000-0000-000099100000}"/>
    <cellStyle name="20% - Accent3 2 2 2 2 3 4" xfId="4203" xr:uid="{00000000-0005-0000-0000-00009A100000}"/>
    <cellStyle name="20% - Accent3 2 2 2 2 3 4 2" xfId="4204" xr:uid="{00000000-0005-0000-0000-00009B100000}"/>
    <cellStyle name="20% - Accent3 2 2 2 2 3 4 2 2" xfId="4205" xr:uid="{00000000-0005-0000-0000-00009C100000}"/>
    <cellStyle name="20% - Accent3 2 2 2 2 3 4 3" xfId="4206" xr:uid="{00000000-0005-0000-0000-00009D100000}"/>
    <cellStyle name="20% - Accent3 2 2 2 2 3 5" xfId="4207" xr:uid="{00000000-0005-0000-0000-00009E100000}"/>
    <cellStyle name="20% - Accent3 2 2 2 2 3 5 2" xfId="4208" xr:uid="{00000000-0005-0000-0000-00009F100000}"/>
    <cellStyle name="20% - Accent3 2 2 2 2 3 6" xfId="4209" xr:uid="{00000000-0005-0000-0000-0000A0100000}"/>
    <cellStyle name="20% - Accent3 2 2 2 2 4" xfId="4210" xr:uid="{00000000-0005-0000-0000-0000A1100000}"/>
    <cellStyle name="20% - Accent3 2 2 2 2 4 2" xfId="4211" xr:uid="{00000000-0005-0000-0000-0000A2100000}"/>
    <cellStyle name="20% - Accent3 2 2 2 2 4 2 2" xfId="4212" xr:uid="{00000000-0005-0000-0000-0000A3100000}"/>
    <cellStyle name="20% - Accent3 2 2 2 2 4 2 2 2" xfId="4213" xr:uid="{00000000-0005-0000-0000-0000A4100000}"/>
    <cellStyle name="20% - Accent3 2 2 2 2 4 2 2 2 2" xfId="4214" xr:uid="{00000000-0005-0000-0000-0000A5100000}"/>
    <cellStyle name="20% - Accent3 2 2 2 2 4 2 2 3" xfId="4215" xr:uid="{00000000-0005-0000-0000-0000A6100000}"/>
    <cellStyle name="20% - Accent3 2 2 2 2 4 2 3" xfId="4216" xr:uid="{00000000-0005-0000-0000-0000A7100000}"/>
    <cellStyle name="20% - Accent3 2 2 2 2 4 2 3 2" xfId="4217" xr:uid="{00000000-0005-0000-0000-0000A8100000}"/>
    <cellStyle name="20% - Accent3 2 2 2 2 4 2 4" xfId="4218" xr:uid="{00000000-0005-0000-0000-0000A9100000}"/>
    <cellStyle name="20% - Accent3 2 2 2 2 4 3" xfId="4219" xr:uid="{00000000-0005-0000-0000-0000AA100000}"/>
    <cellStyle name="20% - Accent3 2 2 2 2 4 3 2" xfId="4220" xr:uid="{00000000-0005-0000-0000-0000AB100000}"/>
    <cellStyle name="20% - Accent3 2 2 2 2 4 3 2 2" xfId="4221" xr:uid="{00000000-0005-0000-0000-0000AC100000}"/>
    <cellStyle name="20% - Accent3 2 2 2 2 4 3 3" xfId="4222" xr:uid="{00000000-0005-0000-0000-0000AD100000}"/>
    <cellStyle name="20% - Accent3 2 2 2 2 4 4" xfId="4223" xr:uid="{00000000-0005-0000-0000-0000AE100000}"/>
    <cellStyle name="20% - Accent3 2 2 2 2 4 4 2" xfId="4224" xr:uid="{00000000-0005-0000-0000-0000AF100000}"/>
    <cellStyle name="20% - Accent3 2 2 2 2 4 5" xfId="4225" xr:uid="{00000000-0005-0000-0000-0000B0100000}"/>
    <cellStyle name="20% - Accent3 2 2 2 2 5" xfId="4226" xr:uid="{00000000-0005-0000-0000-0000B1100000}"/>
    <cellStyle name="20% - Accent3 2 2 2 2 5 2" xfId="4227" xr:uid="{00000000-0005-0000-0000-0000B2100000}"/>
    <cellStyle name="20% - Accent3 2 2 2 2 5 2 2" xfId="4228" xr:uid="{00000000-0005-0000-0000-0000B3100000}"/>
    <cellStyle name="20% - Accent3 2 2 2 2 5 2 2 2" xfId="4229" xr:uid="{00000000-0005-0000-0000-0000B4100000}"/>
    <cellStyle name="20% - Accent3 2 2 2 2 5 2 3" xfId="4230" xr:uid="{00000000-0005-0000-0000-0000B5100000}"/>
    <cellStyle name="20% - Accent3 2 2 2 2 5 3" xfId="4231" xr:uid="{00000000-0005-0000-0000-0000B6100000}"/>
    <cellStyle name="20% - Accent3 2 2 2 2 5 3 2" xfId="4232" xr:uid="{00000000-0005-0000-0000-0000B7100000}"/>
    <cellStyle name="20% - Accent3 2 2 2 2 5 4" xfId="4233" xr:uid="{00000000-0005-0000-0000-0000B8100000}"/>
    <cellStyle name="20% - Accent3 2 2 2 2 6" xfId="4234" xr:uid="{00000000-0005-0000-0000-0000B9100000}"/>
    <cellStyle name="20% - Accent3 2 2 2 2 6 2" xfId="4235" xr:uid="{00000000-0005-0000-0000-0000BA100000}"/>
    <cellStyle name="20% - Accent3 2 2 2 2 6 2 2" xfId="4236" xr:uid="{00000000-0005-0000-0000-0000BB100000}"/>
    <cellStyle name="20% - Accent3 2 2 2 2 6 3" xfId="4237" xr:uid="{00000000-0005-0000-0000-0000BC100000}"/>
    <cellStyle name="20% - Accent3 2 2 2 2 7" xfId="4238" xr:uid="{00000000-0005-0000-0000-0000BD100000}"/>
    <cellStyle name="20% - Accent3 2 2 2 2 7 2" xfId="4239" xr:uid="{00000000-0005-0000-0000-0000BE100000}"/>
    <cellStyle name="20% - Accent3 2 2 2 2 8" xfId="4240" xr:uid="{00000000-0005-0000-0000-0000BF100000}"/>
    <cellStyle name="20% - Accent3 2 2 2 3" xfId="4241" xr:uid="{00000000-0005-0000-0000-0000C0100000}"/>
    <cellStyle name="20% - Accent3 2 2 2 3 2" xfId="4242" xr:uid="{00000000-0005-0000-0000-0000C1100000}"/>
    <cellStyle name="20% - Accent3 2 2 2 3 2 2" xfId="4243" xr:uid="{00000000-0005-0000-0000-0000C2100000}"/>
    <cellStyle name="20% - Accent3 2 2 2 3 2 2 2" xfId="4244" xr:uid="{00000000-0005-0000-0000-0000C3100000}"/>
    <cellStyle name="20% - Accent3 2 2 2 3 2 2 2 2" xfId="4245" xr:uid="{00000000-0005-0000-0000-0000C4100000}"/>
    <cellStyle name="20% - Accent3 2 2 2 3 2 2 2 2 2" xfId="4246" xr:uid="{00000000-0005-0000-0000-0000C5100000}"/>
    <cellStyle name="20% - Accent3 2 2 2 3 2 2 2 2 2 2" xfId="4247" xr:uid="{00000000-0005-0000-0000-0000C6100000}"/>
    <cellStyle name="20% - Accent3 2 2 2 3 2 2 2 2 3" xfId="4248" xr:uid="{00000000-0005-0000-0000-0000C7100000}"/>
    <cellStyle name="20% - Accent3 2 2 2 3 2 2 2 3" xfId="4249" xr:uid="{00000000-0005-0000-0000-0000C8100000}"/>
    <cellStyle name="20% - Accent3 2 2 2 3 2 2 2 3 2" xfId="4250" xr:uid="{00000000-0005-0000-0000-0000C9100000}"/>
    <cellStyle name="20% - Accent3 2 2 2 3 2 2 2 4" xfId="4251" xr:uid="{00000000-0005-0000-0000-0000CA100000}"/>
    <cellStyle name="20% - Accent3 2 2 2 3 2 2 3" xfId="4252" xr:uid="{00000000-0005-0000-0000-0000CB100000}"/>
    <cellStyle name="20% - Accent3 2 2 2 3 2 2 3 2" xfId="4253" xr:uid="{00000000-0005-0000-0000-0000CC100000}"/>
    <cellStyle name="20% - Accent3 2 2 2 3 2 2 3 2 2" xfId="4254" xr:uid="{00000000-0005-0000-0000-0000CD100000}"/>
    <cellStyle name="20% - Accent3 2 2 2 3 2 2 3 3" xfId="4255" xr:uid="{00000000-0005-0000-0000-0000CE100000}"/>
    <cellStyle name="20% - Accent3 2 2 2 3 2 2 4" xfId="4256" xr:uid="{00000000-0005-0000-0000-0000CF100000}"/>
    <cellStyle name="20% - Accent3 2 2 2 3 2 2 4 2" xfId="4257" xr:uid="{00000000-0005-0000-0000-0000D0100000}"/>
    <cellStyle name="20% - Accent3 2 2 2 3 2 2 5" xfId="4258" xr:uid="{00000000-0005-0000-0000-0000D1100000}"/>
    <cellStyle name="20% - Accent3 2 2 2 3 2 3" xfId="4259" xr:uid="{00000000-0005-0000-0000-0000D2100000}"/>
    <cellStyle name="20% - Accent3 2 2 2 3 2 3 2" xfId="4260" xr:uid="{00000000-0005-0000-0000-0000D3100000}"/>
    <cellStyle name="20% - Accent3 2 2 2 3 2 3 2 2" xfId="4261" xr:uid="{00000000-0005-0000-0000-0000D4100000}"/>
    <cellStyle name="20% - Accent3 2 2 2 3 2 3 2 2 2" xfId="4262" xr:uid="{00000000-0005-0000-0000-0000D5100000}"/>
    <cellStyle name="20% - Accent3 2 2 2 3 2 3 2 3" xfId="4263" xr:uid="{00000000-0005-0000-0000-0000D6100000}"/>
    <cellStyle name="20% - Accent3 2 2 2 3 2 3 3" xfId="4264" xr:uid="{00000000-0005-0000-0000-0000D7100000}"/>
    <cellStyle name="20% - Accent3 2 2 2 3 2 3 3 2" xfId="4265" xr:uid="{00000000-0005-0000-0000-0000D8100000}"/>
    <cellStyle name="20% - Accent3 2 2 2 3 2 3 4" xfId="4266" xr:uid="{00000000-0005-0000-0000-0000D9100000}"/>
    <cellStyle name="20% - Accent3 2 2 2 3 2 4" xfId="4267" xr:uid="{00000000-0005-0000-0000-0000DA100000}"/>
    <cellStyle name="20% - Accent3 2 2 2 3 2 4 2" xfId="4268" xr:uid="{00000000-0005-0000-0000-0000DB100000}"/>
    <cellStyle name="20% - Accent3 2 2 2 3 2 4 2 2" xfId="4269" xr:uid="{00000000-0005-0000-0000-0000DC100000}"/>
    <cellStyle name="20% - Accent3 2 2 2 3 2 4 3" xfId="4270" xr:uid="{00000000-0005-0000-0000-0000DD100000}"/>
    <cellStyle name="20% - Accent3 2 2 2 3 2 5" xfId="4271" xr:uid="{00000000-0005-0000-0000-0000DE100000}"/>
    <cellStyle name="20% - Accent3 2 2 2 3 2 5 2" xfId="4272" xr:uid="{00000000-0005-0000-0000-0000DF100000}"/>
    <cellStyle name="20% - Accent3 2 2 2 3 2 6" xfId="4273" xr:uid="{00000000-0005-0000-0000-0000E0100000}"/>
    <cellStyle name="20% - Accent3 2 2 2 3 3" xfId="4274" xr:uid="{00000000-0005-0000-0000-0000E1100000}"/>
    <cellStyle name="20% - Accent3 2 2 2 3 3 2" xfId="4275" xr:uid="{00000000-0005-0000-0000-0000E2100000}"/>
    <cellStyle name="20% - Accent3 2 2 2 3 3 2 2" xfId="4276" xr:uid="{00000000-0005-0000-0000-0000E3100000}"/>
    <cellStyle name="20% - Accent3 2 2 2 3 3 2 2 2" xfId="4277" xr:uid="{00000000-0005-0000-0000-0000E4100000}"/>
    <cellStyle name="20% - Accent3 2 2 2 3 3 2 2 2 2" xfId="4278" xr:uid="{00000000-0005-0000-0000-0000E5100000}"/>
    <cellStyle name="20% - Accent3 2 2 2 3 3 2 2 3" xfId="4279" xr:uid="{00000000-0005-0000-0000-0000E6100000}"/>
    <cellStyle name="20% - Accent3 2 2 2 3 3 2 3" xfId="4280" xr:uid="{00000000-0005-0000-0000-0000E7100000}"/>
    <cellStyle name="20% - Accent3 2 2 2 3 3 2 3 2" xfId="4281" xr:uid="{00000000-0005-0000-0000-0000E8100000}"/>
    <cellStyle name="20% - Accent3 2 2 2 3 3 2 4" xfId="4282" xr:uid="{00000000-0005-0000-0000-0000E9100000}"/>
    <cellStyle name="20% - Accent3 2 2 2 3 3 3" xfId="4283" xr:uid="{00000000-0005-0000-0000-0000EA100000}"/>
    <cellStyle name="20% - Accent3 2 2 2 3 3 3 2" xfId="4284" xr:uid="{00000000-0005-0000-0000-0000EB100000}"/>
    <cellStyle name="20% - Accent3 2 2 2 3 3 3 2 2" xfId="4285" xr:uid="{00000000-0005-0000-0000-0000EC100000}"/>
    <cellStyle name="20% - Accent3 2 2 2 3 3 3 3" xfId="4286" xr:uid="{00000000-0005-0000-0000-0000ED100000}"/>
    <cellStyle name="20% - Accent3 2 2 2 3 3 4" xfId="4287" xr:uid="{00000000-0005-0000-0000-0000EE100000}"/>
    <cellStyle name="20% - Accent3 2 2 2 3 3 4 2" xfId="4288" xr:uid="{00000000-0005-0000-0000-0000EF100000}"/>
    <cellStyle name="20% - Accent3 2 2 2 3 3 5" xfId="4289" xr:uid="{00000000-0005-0000-0000-0000F0100000}"/>
    <cellStyle name="20% - Accent3 2 2 2 3 4" xfId="4290" xr:uid="{00000000-0005-0000-0000-0000F1100000}"/>
    <cellStyle name="20% - Accent3 2 2 2 3 4 2" xfId="4291" xr:uid="{00000000-0005-0000-0000-0000F2100000}"/>
    <cellStyle name="20% - Accent3 2 2 2 3 4 2 2" xfId="4292" xr:uid="{00000000-0005-0000-0000-0000F3100000}"/>
    <cellStyle name="20% - Accent3 2 2 2 3 4 2 2 2" xfId="4293" xr:uid="{00000000-0005-0000-0000-0000F4100000}"/>
    <cellStyle name="20% - Accent3 2 2 2 3 4 2 3" xfId="4294" xr:uid="{00000000-0005-0000-0000-0000F5100000}"/>
    <cellStyle name="20% - Accent3 2 2 2 3 4 3" xfId="4295" xr:uid="{00000000-0005-0000-0000-0000F6100000}"/>
    <cellStyle name="20% - Accent3 2 2 2 3 4 3 2" xfId="4296" xr:uid="{00000000-0005-0000-0000-0000F7100000}"/>
    <cellStyle name="20% - Accent3 2 2 2 3 4 4" xfId="4297" xr:uid="{00000000-0005-0000-0000-0000F8100000}"/>
    <cellStyle name="20% - Accent3 2 2 2 3 5" xfId="4298" xr:uid="{00000000-0005-0000-0000-0000F9100000}"/>
    <cellStyle name="20% - Accent3 2 2 2 3 5 2" xfId="4299" xr:uid="{00000000-0005-0000-0000-0000FA100000}"/>
    <cellStyle name="20% - Accent3 2 2 2 3 5 2 2" xfId="4300" xr:uid="{00000000-0005-0000-0000-0000FB100000}"/>
    <cellStyle name="20% - Accent3 2 2 2 3 5 3" xfId="4301" xr:uid="{00000000-0005-0000-0000-0000FC100000}"/>
    <cellStyle name="20% - Accent3 2 2 2 3 6" xfId="4302" xr:uid="{00000000-0005-0000-0000-0000FD100000}"/>
    <cellStyle name="20% - Accent3 2 2 2 3 6 2" xfId="4303" xr:uid="{00000000-0005-0000-0000-0000FE100000}"/>
    <cellStyle name="20% - Accent3 2 2 2 3 7" xfId="4304" xr:uid="{00000000-0005-0000-0000-0000FF100000}"/>
    <cellStyle name="20% - Accent3 2 2 2 4" xfId="4305" xr:uid="{00000000-0005-0000-0000-000000110000}"/>
    <cellStyle name="20% - Accent3 2 2 2 4 2" xfId="4306" xr:uid="{00000000-0005-0000-0000-000001110000}"/>
    <cellStyle name="20% - Accent3 2 2 2 4 2 2" xfId="4307" xr:uid="{00000000-0005-0000-0000-000002110000}"/>
    <cellStyle name="20% - Accent3 2 2 2 4 2 2 2" xfId="4308" xr:uid="{00000000-0005-0000-0000-000003110000}"/>
    <cellStyle name="20% - Accent3 2 2 2 4 2 2 2 2" xfId="4309" xr:uid="{00000000-0005-0000-0000-000004110000}"/>
    <cellStyle name="20% - Accent3 2 2 2 4 2 2 2 2 2" xfId="4310" xr:uid="{00000000-0005-0000-0000-000005110000}"/>
    <cellStyle name="20% - Accent3 2 2 2 4 2 2 2 3" xfId="4311" xr:uid="{00000000-0005-0000-0000-000006110000}"/>
    <cellStyle name="20% - Accent3 2 2 2 4 2 2 3" xfId="4312" xr:uid="{00000000-0005-0000-0000-000007110000}"/>
    <cellStyle name="20% - Accent3 2 2 2 4 2 2 3 2" xfId="4313" xr:uid="{00000000-0005-0000-0000-000008110000}"/>
    <cellStyle name="20% - Accent3 2 2 2 4 2 2 4" xfId="4314" xr:uid="{00000000-0005-0000-0000-000009110000}"/>
    <cellStyle name="20% - Accent3 2 2 2 4 2 3" xfId="4315" xr:uid="{00000000-0005-0000-0000-00000A110000}"/>
    <cellStyle name="20% - Accent3 2 2 2 4 2 3 2" xfId="4316" xr:uid="{00000000-0005-0000-0000-00000B110000}"/>
    <cellStyle name="20% - Accent3 2 2 2 4 2 3 2 2" xfId="4317" xr:uid="{00000000-0005-0000-0000-00000C110000}"/>
    <cellStyle name="20% - Accent3 2 2 2 4 2 3 3" xfId="4318" xr:uid="{00000000-0005-0000-0000-00000D110000}"/>
    <cellStyle name="20% - Accent3 2 2 2 4 2 4" xfId="4319" xr:uid="{00000000-0005-0000-0000-00000E110000}"/>
    <cellStyle name="20% - Accent3 2 2 2 4 2 4 2" xfId="4320" xr:uid="{00000000-0005-0000-0000-00000F110000}"/>
    <cellStyle name="20% - Accent3 2 2 2 4 2 5" xfId="4321" xr:uid="{00000000-0005-0000-0000-000010110000}"/>
    <cellStyle name="20% - Accent3 2 2 2 4 3" xfId="4322" xr:uid="{00000000-0005-0000-0000-000011110000}"/>
    <cellStyle name="20% - Accent3 2 2 2 4 3 2" xfId="4323" xr:uid="{00000000-0005-0000-0000-000012110000}"/>
    <cellStyle name="20% - Accent3 2 2 2 4 3 2 2" xfId="4324" xr:uid="{00000000-0005-0000-0000-000013110000}"/>
    <cellStyle name="20% - Accent3 2 2 2 4 3 2 2 2" xfId="4325" xr:uid="{00000000-0005-0000-0000-000014110000}"/>
    <cellStyle name="20% - Accent3 2 2 2 4 3 2 3" xfId="4326" xr:uid="{00000000-0005-0000-0000-000015110000}"/>
    <cellStyle name="20% - Accent3 2 2 2 4 3 3" xfId="4327" xr:uid="{00000000-0005-0000-0000-000016110000}"/>
    <cellStyle name="20% - Accent3 2 2 2 4 3 3 2" xfId="4328" xr:uid="{00000000-0005-0000-0000-000017110000}"/>
    <cellStyle name="20% - Accent3 2 2 2 4 3 4" xfId="4329" xr:uid="{00000000-0005-0000-0000-000018110000}"/>
    <cellStyle name="20% - Accent3 2 2 2 4 4" xfId="4330" xr:uid="{00000000-0005-0000-0000-000019110000}"/>
    <cellStyle name="20% - Accent3 2 2 2 4 4 2" xfId="4331" xr:uid="{00000000-0005-0000-0000-00001A110000}"/>
    <cellStyle name="20% - Accent3 2 2 2 4 4 2 2" xfId="4332" xr:uid="{00000000-0005-0000-0000-00001B110000}"/>
    <cellStyle name="20% - Accent3 2 2 2 4 4 3" xfId="4333" xr:uid="{00000000-0005-0000-0000-00001C110000}"/>
    <cellStyle name="20% - Accent3 2 2 2 4 5" xfId="4334" xr:uid="{00000000-0005-0000-0000-00001D110000}"/>
    <cellStyle name="20% - Accent3 2 2 2 4 5 2" xfId="4335" xr:uid="{00000000-0005-0000-0000-00001E110000}"/>
    <cellStyle name="20% - Accent3 2 2 2 4 6" xfId="4336" xr:uid="{00000000-0005-0000-0000-00001F110000}"/>
    <cellStyle name="20% - Accent3 2 2 2 5" xfId="4337" xr:uid="{00000000-0005-0000-0000-000020110000}"/>
    <cellStyle name="20% - Accent3 2 2 2 5 2" xfId="4338" xr:uid="{00000000-0005-0000-0000-000021110000}"/>
    <cellStyle name="20% - Accent3 2 2 2 5 2 2" xfId="4339" xr:uid="{00000000-0005-0000-0000-000022110000}"/>
    <cellStyle name="20% - Accent3 2 2 2 5 2 2 2" xfId="4340" xr:uid="{00000000-0005-0000-0000-000023110000}"/>
    <cellStyle name="20% - Accent3 2 2 2 5 2 2 2 2" xfId="4341" xr:uid="{00000000-0005-0000-0000-000024110000}"/>
    <cellStyle name="20% - Accent3 2 2 2 5 2 2 3" xfId="4342" xr:uid="{00000000-0005-0000-0000-000025110000}"/>
    <cellStyle name="20% - Accent3 2 2 2 5 2 3" xfId="4343" xr:uid="{00000000-0005-0000-0000-000026110000}"/>
    <cellStyle name="20% - Accent3 2 2 2 5 2 3 2" xfId="4344" xr:uid="{00000000-0005-0000-0000-000027110000}"/>
    <cellStyle name="20% - Accent3 2 2 2 5 2 4" xfId="4345" xr:uid="{00000000-0005-0000-0000-000028110000}"/>
    <cellStyle name="20% - Accent3 2 2 2 5 3" xfId="4346" xr:uid="{00000000-0005-0000-0000-000029110000}"/>
    <cellStyle name="20% - Accent3 2 2 2 5 3 2" xfId="4347" xr:uid="{00000000-0005-0000-0000-00002A110000}"/>
    <cellStyle name="20% - Accent3 2 2 2 5 3 2 2" xfId="4348" xr:uid="{00000000-0005-0000-0000-00002B110000}"/>
    <cellStyle name="20% - Accent3 2 2 2 5 3 3" xfId="4349" xr:uid="{00000000-0005-0000-0000-00002C110000}"/>
    <cellStyle name="20% - Accent3 2 2 2 5 4" xfId="4350" xr:uid="{00000000-0005-0000-0000-00002D110000}"/>
    <cellStyle name="20% - Accent3 2 2 2 5 4 2" xfId="4351" xr:uid="{00000000-0005-0000-0000-00002E110000}"/>
    <cellStyle name="20% - Accent3 2 2 2 5 5" xfId="4352" xr:uid="{00000000-0005-0000-0000-00002F110000}"/>
    <cellStyle name="20% - Accent3 2 2 2 6" xfId="4353" xr:uid="{00000000-0005-0000-0000-000030110000}"/>
    <cellStyle name="20% - Accent3 2 2 2 6 2" xfId="4354" xr:uid="{00000000-0005-0000-0000-000031110000}"/>
    <cellStyle name="20% - Accent3 2 2 2 6 2 2" xfId="4355" xr:uid="{00000000-0005-0000-0000-000032110000}"/>
    <cellStyle name="20% - Accent3 2 2 2 6 2 2 2" xfId="4356" xr:uid="{00000000-0005-0000-0000-000033110000}"/>
    <cellStyle name="20% - Accent3 2 2 2 6 2 3" xfId="4357" xr:uid="{00000000-0005-0000-0000-000034110000}"/>
    <cellStyle name="20% - Accent3 2 2 2 6 3" xfId="4358" xr:uid="{00000000-0005-0000-0000-000035110000}"/>
    <cellStyle name="20% - Accent3 2 2 2 6 3 2" xfId="4359" xr:uid="{00000000-0005-0000-0000-000036110000}"/>
    <cellStyle name="20% - Accent3 2 2 2 6 4" xfId="4360" xr:uid="{00000000-0005-0000-0000-000037110000}"/>
    <cellStyle name="20% - Accent3 2 2 2 7" xfId="4361" xr:uid="{00000000-0005-0000-0000-000038110000}"/>
    <cellStyle name="20% - Accent3 2 2 2 7 2" xfId="4362" xr:uid="{00000000-0005-0000-0000-000039110000}"/>
    <cellStyle name="20% - Accent3 2 2 2 7 2 2" xfId="4363" xr:uid="{00000000-0005-0000-0000-00003A110000}"/>
    <cellStyle name="20% - Accent3 2 2 2 7 3" xfId="4364" xr:uid="{00000000-0005-0000-0000-00003B110000}"/>
    <cellStyle name="20% - Accent3 2 2 2 8" xfId="4365" xr:uid="{00000000-0005-0000-0000-00003C110000}"/>
    <cellStyle name="20% - Accent3 2 2 2 8 2" xfId="4366" xr:uid="{00000000-0005-0000-0000-00003D110000}"/>
    <cellStyle name="20% - Accent3 2 2 2 9" xfId="4367" xr:uid="{00000000-0005-0000-0000-00003E110000}"/>
    <cellStyle name="20% - Accent3 2 2 3" xfId="4368" xr:uid="{00000000-0005-0000-0000-00003F110000}"/>
    <cellStyle name="20% - Accent3 2 2 3 2" xfId="4369" xr:uid="{00000000-0005-0000-0000-000040110000}"/>
    <cellStyle name="20% - Accent3 2 2 3 2 2" xfId="4370" xr:uid="{00000000-0005-0000-0000-000041110000}"/>
    <cellStyle name="20% - Accent3 2 2 3 2 2 2" xfId="4371" xr:uid="{00000000-0005-0000-0000-000042110000}"/>
    <cellStyle name="20% - Accent3 2 2 3 2 2 2 2" xfId="4372" xr:uid="{00000000-0005-0000-0000-000043110000}"/>
    <cellStyle name="20% - Accent3 2 2 3 2 2 2 2 2" xfId="4373" xr:uid="{00000000-0005-0000-0000-000044110000}"/>
    <cellStyle name="20% - Accent3 2 2 3 2 2 2 2 2 2" xfId="4374" xr:uid="{00000000-0005-0000-0000-000045110000}"/>
    <cellStyle name="20% - Accent3 2 2 3 2 2 2 2 2 2 2" xfId="4375" xr:uid="{00000000-0005-0000-0000-000046110000}"/>
    <cellStyle name="20% - Accent3 2 2 3 2 2 2 2 2 3" xfId="4376" xr:uid="{00000000-0005-0000-0000-000047110000}"/>
    <cellStyle name="20% - Accent3 2 2 3 2 2 2 2 3" xfId="4377" xr:uid="{00000000-0005-0000-0000-000048110000}"/>
    <cellStyle name="20% - Accent3 2 2 3 2 2 2 2 3 2" xfId="4378" xr:uid="{00000000-0005-0000-0000-000049110000}"/>
    <cellStyle name="20% - Accent3 2 2 3 2 2 2 2 4" xfId="4379" xr:uid="{00000000-0005-0000-0000-00004A110000}"/>
    <cellStyle name="20% - Accent3 2 2 3 2 2 2 3" xfId="4380" xr:uid="{00000000-0005-0000-0000-00004B110000}"/>
    <cellStyle name="20% - Accent3 2 2 3 2 2 2 3 2" xfId="4381" xr:uid="{00000000-0005-0000-0000-00004C110000}"/>
    <cellStyle name="20% - Accent3 2 2 3 2 2 2 3 2 2" xfId="4382" xr:uid="{00000000-0005-0000-0000-00004D110000}"/>
    <cellStyle name="20% - Accent3 2 2 3 2 2 2 3 3" xfId="4383" xr:uid="{00000000-0005-0000-0000-00004E110000}"/>
    <cellStyle name="20% - Accent3 2 2 3 2 2 2 4" xfId="4384" xr:uid="{00000000-0005-0000-0000-00004F110000}"/>
    <cellStyle name="20% - Accent3 2 2 3 2 2 2 4 2" xfId="4385" xr:uid="{00000000-0005-0000-0000-000050110000}"/>
    <cellStyle name="20% - Accent3 2 2 3 2 2 2 5" xfId="4386" xr:uid="{00000000-0005-0000-0000-000051110000}"/>
    <cellStyle name="20% - Accent3 2 2 3 2 2 3" xfId="4387" xr:uid="{00000000-0005-0000-0000-000052110000}"/>
    <cellStyle name="20% - Accent3 2 2 3 2 2 3 2" xfId="4388" xr:uid="{00000000-0005-0000-0000-000053110000}"/>
    <cellStyle name="20% - Accent3 2 2 3 2 2 3 2 2" xfId="4389" xr:uid="{00000000-0005-0000-0000-000054110000}"/>
    <cellStyle name="20% - Accent3 2 2 3 2 2 3 2 2 2" xfId="4390" xr:uid="{00000000-0005-0000-0000-000055110000}"/>
    <cellStyle name="20% - Accent3 2 2 3 2 2 3 2 3" xfId="4391" xr:uid="{00000000-0005-0000-0000-000056110000}"/>
    <cellStyle name="20% - Accent3 2 2 3 2 2 3 3" xfId="4392" xr:uid="{00000000-0005-0000-0000-000057110000}"/>
    <cellStyle name="20% - Accent3 2 2 3 2 2 3 3 2" xfId="4393" xr:uid="{00000000-0005-0000-0000-000058110000}"/>
    <cellStyle name="20% - Accent3 2 2 3 2 2 3 4" xfId="4394" xr:uid="{00000000-0005-0000-0000-000059110000}"/>
    <cellStyle name="20% - Accent3 2 2 3 2 2 4" xfId="4395" xr:uid="{00000000-0005-0000-0000-00005A110000}"/>
    <cellStyle name="20% - Accent3 2 2 3 2 2 4 2" xfId="4396" xr:uid="{00000000-0005-0000-0000-00005B110000}"/>
    <cellStyle name="20% - Accent3 2 2 3 2 2 4 2 2" xfId="4397" xr:uid="{00000000-0005-0000-0000-00005C110000}"/>
    <cellStyle name="20% - Accent3 2 2 3 2 2 4 3" xfId="4398" xr:uid="{00000000-0005-0000-0000-00005D110000}"/>
    <cellStyle name="20% - Accent3 2 2 3 2 2 5" xfId="4399" xr:uid="{00000000-0005-0000-0000-00005E110000}"/>
    <cellStyle name="20% - Accent3 2 2 3 2 2 5 2" xfId="4400" xr:uid="{00000000-0005-0000-0000-00005F110000}"/>
    <cellStyle name="20% - Accent3 2 2 3 2 2 6" xfId="4401" xr:uid="{00000000-0005-0000-0000-000060110000}"/>
    <cellStyle name="20% - Accent3 2 2 3 2 3" xfId="4402" xr:uid="{00000000-0005-0000-0000-000061110000}"/>
    <cellStyle name="20% - Accent3 2 2 3 2 3 2" xfId="4403" xr:uid="{00000000-0005-0000-0000-000062110000}"/>
    <cellStyle name="20% - Accent3 2 2 3 2 3 2 2" xfId="4404" xr:uid="{00000000-0005-0000-0000-000063110000}"/>
    <cellStyle name="20% - Accent3 2 2 3 2 3 2 2 2" xfId="4405" xr:uid="{00000000-0005-0000-0000-000064110000}"/>
    <cellStyle name="20% - Accent3 2 2 3 2 3 2 2 2 2" xfId="4406" xr:uid="{00000000-0005-0000-0000-000065110000}"/>
    <cellStyle name="20% - Accent3 2 2 3 2 3 2 2 3" xfId="4407" xr:uid="{00000000-0005-0000-0000-000066110000}"/>
    <cellStyle name="20% - Accent3 2 2 3 2 3 2 3" xfId="4408" xr:uid="{00000000-0005-0000-0000-000067110000}"/>
    <cellStyle name="20% - Accent3 2 2 3 2 3 2 3 2" xfId="4409" xr:uid="{00000000-0005-0000-0000-000068110000}"/>
    <cellStyle name="20% - Accent3 2 2 3 2 3 2 4" xfId="4410" xr:uid="{00000000-0005-0000-0000-000069110000}"/>
    <cellStyle name="20% - Accent3 2 2 3 2 3 3" xfId="4411" xr:uid="{00000000-0005-0000-0000-00006A110000}"/>
    <cellStyle name="20% - Accent3 2 2 3 2 3 3 2" xfId="4412" xr:uid="{00000000-0005-0000-0000-00006B110000}"/>
    <cellStyle name="20% - Accent3 2 2 3 2 3 3 2 2" xfId="4413" xr:uid="{00000000-0005-0000-0000-00006C110000}"/>
    <cellStyle name="20% - Accent3 2 2 3 2 3 3 3" xfId="4414" xr:uid="{00000000-0005-0000-0000-00006D110000}"/>
    <cellStyle name="20% - Accent3 2 2 3 2 3 4" xfId="4415" xr:uid="{00000000-0005-0000-0000-00006E110000}"/>
    <cellStyle name="20% - Accent3 2 2 3 2 3 4 2" xfId="4416" xr:uid="{00000000-0005-0000-0000-00006F110000}"/>
    <cellStyle name="20% - Accent3 2 2 3 2 3 5" xfId="4417" xr:uid="{00000000-0005-0000-0000-000070110000}"/>
    <cellStyle name="20% - Accent3 2 2 3 2 4" xfId="4418" xr:uid="{00000000-0005-0000-0000-000071110000}"/>
    <cellStyle name="20% - Accent3 2 2 3 2 4 2" xfId="4419" xr:uid="{00000000-0005-0000-0000-000072110000}"/>
    <cellStyle name="20% - Accent3 2 2 3 2 4 2 2" xfId="4420" xr:uid="{00000000-0005-0000-0000-000073110000}"/>
    <cellStyle name="20% - Accent3 2 2 3 2 4 2 2 2" xfId="4421" xr:uid="{00000000-0005-0000-0000-000074110000}"/>
    <cellStyle name="20% - Accent3 2 2 3 2 4 2 3" xfId="4422" xr:uid="{00000000-0005-0000-0000-000075110000}"/>
    <cellStyle name="20% - Accent3 2 2 3 2 4 3" xfId="4423" xr:uid="{00000000-0005-0000-0000-000076110000}"/>
    <cellStyle name="20% - Accent3 2 2 3 2 4 3 2" xfId="4424" xr:uid="{00000000-0005-0000-0000-000077110000}"/>
    <cellStyle name="20% - Accent3 2 2 3 2 4 4" xfId="4425" xr:uid="{00000000-0005-0000-0000-000078110000}"/>
    <cellStyle name="20% - Accent3 2 2 3 2 5" xfId="4426" xr:uid="{00000000-0005-0000-0000-000079110000}"/>
    <cellStyle name="20% - Accent3 2 2 3 2 5 2" xfId="4427" xr:uid="{00000000-0005-0000-0000-00007A110000}"/>
    <cellStyle name="20% - Accent3 2 2 3 2 5 2 2" xfId="4428" xr:uid="{00000000-0005-0000-0000-00007B110000}"/>
    <cellStyle name="20% - Accent3 2 2 3 2 5 3" xfId="4429" xr:uid="{00000000-0005-0000-0000-00007C110000}"/>
    <cellStyle name="20% - Accent3 2 2 3 2 6" xfId="4430" xr:uid="{00000000-0005-0000-0000-00007D110000}"/>
    <cellStyle name="20% - Accent3 2 2 3 2 6 2" xfId="4431" xr:uid="{00000000-0005-0000-0000-00007E110000}"/>
    <cellStyle name="20% - Accent3 2 2 3 2 7" xfId="4432" xr:uid="{00000000-0005-0000-0000-00007F110000}"/>
    <cellStyle name="20% - Accent3 2 2 3 3" xfId="4433" xr:uid="{00000000-0005-0000-0000-000080110000}"/>
    <cellStyle name="20% - Accent3 2 2 3 3 2" xfId="4434" xr:uid="{00000000-0005-0000-0000-000081110000}"/>
    <cellStyle name="20% - Accent3 2 2 3 3 2 2" xfId="4435" xr:uid="{00000000-0005-0000-0000-000082110000}"/>
    <cellStyle name="20% - Accent3 2 2 3 3 2 2 2" xfId="4436" xr:uid="{00000000-0005-0000-0000-000083110000}"/>
    <cellStyle name="20% - Accent3 2 2 3 3 2 2 2 2" xfId="4437" xr:uid="{00000000-0005-0000-0000-000084110000}"/>
    <cellStyle name="20% - Accent3 2 2 3 3 2 2 2 2 2" xfId="4438" xr:uid="{00000000-0005-0000-0000-000085110000}"/>
    <cellStyle name="20% - Accent3 2 2 3 3 2 2 2 3" xfId="4439" xr:uid="{00000000-0005-0000-0000-000086110000}"/>
    <cellStyle name="20% - Accent3 2 2 3 3 2 2 3" xfId="4440" xr:uid="{00000000-0005-0000-0000-000087110000}"/>
    <cellStyle name="20% - Accent3 2 2 3 3 2 2 3 2" xfId="4441" xr:uid="{00000000-0005-0000-0000-000088110000}"/>
    <cellStyle name="20% - Accent3 2 2 3 3 2 2 4" xfId="4442" xr:uid="{00000000-0005-0000-0000-000089110000}"/>
    <cellStyle name="20% - Accent3 2 2 3 3 2 3" xfId="4443" xr:uid="{00000000-0005-0000-0000-00008A110000}"/>
    <cellStyle name="20% - Accent3 2 2 3 3 2 3 2" xfId="4444" xr:uid="{00000000-0005-0000-0000-00008B110000}"/>
    <cellStyle name="20% - Accent3 2 2 3 3 2 3 2 2" xfId="4445" xr:uid="{00000000-0005-0000-0000-00008C110000}"/>
    <cellStyle name="20% - Accent3 2 2 3 3 2 3 3" xfId="4446" xr:uid="{00000000-0005-0000-0000-00008D110000}"/>
    <cellStyle name="20% - Accent3 2 2 3 3 2 4" xfId="4447" xr:uid="{00000000-0005-0000-0000-00008E110000}"/>
    <cellStyle name="20% - Accent3 2 2 3 3 2 4 2" xfId="4448" xr:uid="{00000000-0005-0000-0000-00008F110000}"/>
    <cellStyle name="20% - Accent3 2 2 3 3 2 5" xfId="4449" xr:uid="{00000000-0005-0000-0000-000090110000}"/>
    <cellStyle name="20% - Accent3 2 2 3 3 3" xfId="4450" xr:uid="{00000000-0005-0000-0000-000091110000}"/>
    <cellStyle name="20% - Accent3 2 2 3 3 3 2" xfId="4451" xr:uid="{00000000-0005-0000-0000-000092110000}"/>
    <cellStyle name="20% - Accent3 2 2 3 3 3 2 2" xfId="4452" xr:uid="{00000000-0005-0000-0000-000093110000}"/>
    <cellStyle name="20% - Accent3 2 2 3 3 3 2 2 2" xfId="4453" xr:uid="{00000000-0005-0000-0000-000094110000}"/>
    <cellStyle name="20% - Accent3 2 2 3 3 3 2 3" xfId="4454" xr:uid="{00000000-0005-0000-0000-000095110000}"/>
    <cellStyle name="20% - Accent3 2 2 3 3 3 3" xfId="4455" xr:uid="{00000000-0005-0000-0000-000096110000}"/>
    <cellStyle name="20% - Accent3 2 2 3 3 3 3 2" xfId="4456" xr:uid="{00000000-0005-0000-0000-000097110000}"/>
    <cellStyle name="20% - Accent3 2 2 3 3 3 4" xfId="4457" xr:uid="{00000000-0005-0000-0000-000098110000}"/>
    <cellStyle name="20% - Accent3 2 2 3 3 4" xfId="4458" xr:uid="{00000000-0005-0000-0000-000099110000}"/>
    <cellStyle name="20% - Accent3 2 2 3 3 4 2" xfId="4459" xr:uid="{00000000-0005-0000-0000-00009A110000}"/>
    <cellStyle name="20% - Accent3 2 2 3 3 4 2 2" xfId="4460" xr:uid="{00000000-0005-0000-0000-00009B110000}"/>
    <cellStyle name="20% - Accent3 2 2 3 3 4 3" xfId="4461" xr:uid="{00000000-0005-0000-0000-00009C110000}"/>
    <cellStyle name="20% - Accent3 2 2 3 3 5" xfId="4462" xr:uid="{00000000-0005-0000-0000-00009D110000}"/>
    <cellStyle name="20% - Accent3 2 2 3 3 5 2" xfId="4463" xr:uid="{00000000-0005-0000-0000-00009E110000}"/>
    <cellStyle name="20% - Accent3 2 2 3 3 6" xfId="4464" xr:uid="{00000000-0005-0000-0000-00009F110000}"/>
    <cellStyle name="20% - Accent3 2 2 3 4" xfId="4465" xr:uid="{00000000-0005-0000-0000-0000A0110000}"/>
    <cellStyle name="20% - Accent3 2 2 3 4 2" xfId="4466" xr:uid="{00000000-0005-0000-0000-0000A1110000}"/>
    <cellStyle name="20% - Accent3 2 2 3 4 2 2" xfId="4467" xr:uid="{00000000-0005-0000-0000-0000A2110000}"/>
    <cellStyle name="20% - Accent3 2 2 3 4 2 2 2" xfId="4468" xr:uid="{00000000-0005-0000-0000-0000A3110000}"/>
    <cellStyle name="20% - Accent3 2 2 3 4 2 2 2 2" xfId="4469" xr:uid="{00000000-0005-0000-0000-0000A4110000}"/>
    <cellStyle name="20% - Accent3 2 2 3 4 2 2 3" xfId="4470" xr:uid="{00000000-0005-0000-0000-0000A5110000}"/>
    <cellStyle name="20% - Accent3 2 2 3 4 2 3" xfId="4471" xr:uid="{00000000-0005-0000-0000-0000A6110000}"/>
    <cellStyle name="20% - Accent3 2 2 3 4 2 3 2" xfId="4472" xr:uid="{00000000-0005-0000-0000-0000A7110000}"/>
    <cellStyle name="20% - Accent3 2 2 3 4 2 4" xfId="4473" xr:uid="{00000000-0005-0000-0000-0000A8110000}"/>
    <cellStyle name="20% - Accent3 2 2 3 4 3" xfId="4474" xr:uid="{00000000-0005-0000-0000-0000A9110000}"/>
    <cellStyle name="20% - Accent3 2 2 3 4 3 2" xfId="4475" xr:uid="{00000000-0005-0000-0000-0000AA110000}"/>
    <cellStyle name="20% - Accent3 2 2 3 4 3 2 2" xfId="4476" xr:uid="{00000000-0005-0000-0000-0000AB110000}"/>
    <cellStyle name="20% - Accent3 2 2 3 4 3 3" xfId="4477" xr:uid="{00000000-0005-0000-0000-0000AC110000}"/>
    <cellStyle name="20% - Accent3 2 2 3 4 4" xfId="4478" xr:uid="{00000000-0005-0000-0000-0000AD110000}"/>
    <cellStyle name="20% - Accent3 2 2 3 4 4 2" xfId="4479" xr:uid="{00000000-0005-0000-0000-0000AE110000}"/>
    <cellStyle name="20% - Accent3 2 2 3 4 5" xfId="4480" xr:uid="{00000000-0005-0000-0000-0000AF110000}"/>
    <cellStyle name="20% - Accent3 2 2 3 5" xfId="4481" xr:uid="{00000000-0005-0000-0000-0000B0110000}"/>
    <cellStyle name="20% - Accent3 2 2 3 5 2" xfId="4482" xr:uid="{00000000-0005-0000-0000-0000B1110000}"/>
    <cellStyle name="20% - Accent3 2 2 3 5 2 2" xfId="4483" xr:uid="{00000000-0005-0000-0000-0000B2110000}"/>
    <cellStyle name="20% - Accent3 2 2 3 5 2 2 2" xfId="4484" xr:uid="{00000000-0005-0000-0000-0000B3110000}"/>
    <cellStyle name="20% - Accent3 2 2 3 5 2 3" xfId="4485" xr:uid="{00000000-0005-0000-0000-0000B4110000}"/>
    <cellStyle name="20% - Accent3 2 2 3 5 3" xfId="4486" xr:uid="{00000000-0005-0000-0000-0000B5110000}"/>
    <cellStyle name="20% - Accent3 2 2 3 5 3 2" xfId="4487" xr:uid="{00000000-0005-0000-0000-0000B6110000}"/>
    <cellStyle name="20% - Accent3 2 2 3 5 4" xfId="4488" xr:uid="{00000000-0005-0000-0000-0000B7110000}"/>
    <cellStyle name="20% - Accent3 2 2 3 6" xfId="4489" xr:uid="{00000000-0005-0000-0000-0000B8110000}"/>
    <cellStyle name="20% - Accent3 2 2 3 6 2" xfId="4490" xr:uid="{00000000-0005-0000-0000-0000B9110000}"/>
    <cellStyle name="20% - Accent3 2 2 3 6 2 2" xfId="4491" xr:uid="{00000000-0005-0000-0000-0000BA110000}"/>
    <cellStyle name="20% - Accent3 2 2 3 6 3" xfId="4492" xr:uid="{00000000-0005-0000-0000-0000BB110000}"/>
    <cellStyle name="20% - Accent3 2 2 3 7" xfId="4493" xr:uid="{00000000-0005-0000-0000-0000BC110000}"/>
    <cellStyle name="20% - Accent3 2 2 3 7 2" xfId="4494" xr:uid="{00000000-0005-0000-0000-0000BD110000}"/>
    <cellStyle name="20% - Accent3 2 2 3 8" xfId="4495" xr:uid="{00000000-0005-0000-0000-0000BE110000}"/>
    <cellStyle name="20% - Accent3 2 2 4" xfId="4496" xr:uid="{00000000-0005-0000-0000-0000BF110000}"/>
    <cellStyle name="20% - Accent3 2 2 4 2" xfId="4497" xr:uid="{00000000-0005-0000-0000-0000C0110000}"/>
    <cellStyle name="20% - Accent3 2 2 4 2 2" xfId="4498" xr:uid="{00000000-0005-0000-0000-0000C1110000}"/>
    <cellStyle name="20% - Accent3 2 2 4 2 2 2" xfId="4499" xr:uid="{00000000-0005-0000-0000-0000C2110000}"/>
    <cellStyle name="20% - Accent3 2 2 4 2 2 2 2" xfId="4500" xr:uid="{00000000-0005-0000-0000-0000C3110000}"/>
    <cellStyle name="20% - Accent3 2 2 4 2 2 2 2 2" xfId="4501" xr:uid="{00000000-0005-0000-0000-0000C4110000}"/>
    <cellStyle name="20% - Accent3 2 2 4 2 2 2 2 2 2" xfId="4502" xr:uid="{00000000-0005-0000-0000-0000C5110000}"/>
    <cellStyle name="20% - Accent3 2 2 4 2 2 2 2 3" xfId="4503" xr:uid="{00000000-0005-0000-0000-0000C6110000}"/>
    <cellStyle name="20% - Accent3 2 2 4 2 2 2 3" xfId="4504" xr:uid="{00000000-0005-0000-0000-0000C7110000}"/>
    <cellStyle name="20% - Accent3 2 2 4 2 2 2 3 2" xfId="4505" xr:uid="{00000000-0005-0000-0000-0000C8110000}"/>
    <cellStyle name="20% - Accent3 2 2 4 2 2 2 4" xfId="4506" xr:uid="{00000000-0005-0000-0000-0000C9110000}"/>
    <cellStyle name="20% - Accent3 2 2 4 2 2 3" xfId="4507" xr:uid="{00000000-0005-0000-0000-0000CA110000}"/>
    <cellStyle name="20% - Accent3 2 2 4 2 2 3 2" xfId="4508" xr:uid="{00000000-0005-0000-0000-0000CB110000}"/>
    <cellStyle name="20% - Accent3 2 2 4 2 2 3 2 2" xfId="4509" xr:uid="{00000000-0005-0000-0000-0000CC110000}"/>
    <cellStyle name="20% - Accent3 2 2 4 2 2 3 3" xfId="4510" xr:uid="{00000000-0005-0000-0000-0000CD110000}"/>
    <cellStyle name="20% - Accent3 2 2 4 2 2 4" xfId="4511" xr:uid="{00000000-0005-0000-0000-0000CE110000}"/>
    <cellStyle name="20% - Accent3 2 2 4 2 2 4 2" xfId="4512" xr:uid="{00000000-0005-0000-0000-0000CF110000}"/>
    <cellStyle name="20% - Accent3 2 2 4 2 2 5" xfId="4513" xr:uid="{00000000-0005-0000-0000-0000D0110000}"/>
    <cellStyle name="20% - Accent3 2 2 4 2 3" xfId="4514" xr:uid="{00000000-0005-0000-0000-0000D1110000}"/>
    <cellStyle name="20% - Accent3 2 2 4 2 3 2" xfId="4515" xr:uid="{00000000-0005-0000-0000-0000D2110000}"/>
    <cellStyle name="20% - Accent3 2 2 4 2 3 2 2" xfId="4516" xr:uid="{00000000-0005-0000-0000-0000D3110000}"/>
    <cellStyle name="20% - Accent3 2 2 4 2 3 2 2 2" xfId="4517" xr:uid="{00000000-0005-0000-0000-0000D4110000}"/>
    <cellStyle name="20% - Accent3 2 2 4 2 3 2 3" xfId="4518" xr:uid="{00000000-0005-0000-0000-0000D5110000}"/>
    <cellStyle name="20% - Accent3 2 2 4 2 3 3" xfId="4519" xr:uid="{00000000-0005-0000-0000-0000D6110000}"/>
    <cellStyle name="20% - Accent3 2 2 4 2 3 3 2" xfId="4520" xr:uid="{00000000-0005-0000-0000-0000D7110000}"/>
    <cellStyle name="20% - Accent3 2 2 4 2 3 4" xfId="4521" xr:uid="{00000000-0005-0000-0000-0000D8110000}"/>
    <cellStyle name="20% - Accent3 2 2 4 2 4" xfId="4522" xr:uid="{00000000-0005-0000-0000-0000D9110000}"/>
    <cellStyle name="20% - Accent3 2 2 4 2 4 2" xfId="4523" xr:uid="{00000000-0005-0000-0000-0000DA110000}"/>
    <cellStyle name="20% - Accent3 2 2 4 2 4 2 2" xfId="4524" xr:uid="{00000000-0005-0000-0000-0000DB110000}"/>
    <cellStyle name="20% - Accent3 2 2 4 2 4 3" xfId="4525" xr:uid="{00000000-0005-0000-0000-0000DC110000}"/>
    <cellStyle name="20% - Accent3 2 2 4 2 5" xfId="4526" xr:uid="{00000000-0005-0000-0000-0000DD110000}"/>
    <cellStyle name="20% - Accent3 2 2 4 2 5 2" xfId="4527" xr:uid="{00000000-0005-0000-0000-0000DE110000}"/>
    <cellStyle name="20% - Accent3 2 2 4 2 6" xfId="4528" xr:uid="{00000000-0005-0000-0000-0000DF110000}"/>
    <cellStyle name="20% - Accent3 2 2 4 3" xfId="4529" xr:uid="{00000000-0005-0000-0000-0000E0110000}"/>
    <cellStyle name="20% - Accent3 2 2 4 3 2" xfId="4530" xr:uid="{00000000-0005-0000-0000-0000E1110000}"/>
    <cellStyle name="20% - Accent3 2 2 4 3 2 2" xfId="4531" xr:uid="{00000000-0005-0000-0000-0000E2110000}"/>
    <cellStyle name="20% - Accent3 2 2 4 3 2 2 2" xfId="4532" xr:uid="{00000000-0005-0000-0000-0000E3110000}"/>
    <cellStyle name="20% - Accent3 2 2 4 3 2 2 2 2" xfId="4533" xr:uid="{00000000-0005-0000-0000-0000E4110000}"/>
    <cellStyle name="20% - Accent3 2 2 4 3 2 2 3" xfId="4534" xr:uid="{00000000-0005-0000-0000-0000E5110000}"/>
    <cellStyle name="20% - Accent3 2 2 4 3 2 3" xfId="4535" xr:uid="{00000000-0005-0000-0000-0000E6110000}"/>
    <cellStyle name="20% - Accent3 2 2 4 3 2 3 2" xfId="4536" xr:uid="{00000000-0005-0000-0000-0000E7110000}"/>
    <cellStyle name="20% - Accent3 2 2 4 3 2 4" xfId="4537" xr:uid="{00000000-0005-0000-0000-0000E8110000}"/>
    <cellStyle name="20% - Accent3 2 2 4 3 3" xfId="4538" xr:uid="{00000000-0005-0000-0000-0000E9110000}"/>
    <cellStyle name="20% - Accent3 2 2 4 3 3 2" xfId="4539" xr:uid="{00000000-0005-0000-0000-0000EA110000}"/>
    <cellStyle name="20% - Accent3 2 2 4 3 3 2 2" xfId="4540" xr:uid="{00000000-0005-0000-0000-0000EB110000}"/>
    <cellStyle name="20% - Accent3 2 2 4 3 3 3" xfId="4541" xr:uid="{00000000-0005-0000-0000-0000EC110000}"/>
    <cellStyle name="20% - Accent3 2 2 4 3 4" xfId="4542" xr:uid="{00000000-0005-0000-0000-0000ED110000}"/>
    <cellStyle name="20% - Accent3 2 2 4 3 4 2" xfId="4543" xr:uid="{00000000-0005-0000-0000-0000EE110000}"/>
    <cellStyle name="20% - Accent3 2 2 4 3 5" xfId="4544" xr:uid="{00000000-0005-0000-0000-0000EF110000}"/>
    <cellStyle name="20% - Accent3 2 2 4 4" xfId="4545" xr:uid="{00000000-0005-0000-0000-0000F0110000}"/>
    <cellStyle name="20% - Accent3 2 2 4 4 2" xfId="4546" xr:uid="{00000000-0005-0000-0000-0000F1110000}"/>
    <cellStyle name="20% - Accent3 2 2 4 4 2 2" xfId="4547" xr:uid="{00000000-0005-0000-0000-0000F2110000}"/>
    <cellStyle name="20% - Accent3 2 2 4 4 2 2 2" xfId="4548" xr:uid="{00000000-0005-0000-0000-0000F3110000}"/>
    <cellStyle name="20% - Accent3 2 2 4 4 2 3" xfId="4549" xr:uid="{00000000-0005-0000-0000-0000F4110000}"/>
    <cellStyle name="20% - Accent3 2 2 4 4 3" xfId="4550" xr:uid="{00000000-0005-0000-0000-0000F5110000}"/>
    <cellStyle name="20% - Accent3 2 2 4 4 3 2" xfId="4551" xr:uid="{00000000-0005-0000-0000-0000F6110000}"/>
    <cellStyle name="20% - Accent3 2 2 4 4 4" xfId="4552" xr:uid="{00000000-0005-0000-0000-0000F7110000}"/>
    <cellStyle name="20% - Accent3 2 2 4 5" xfId="4553" xr:uid="{00000000-0005-0000-0000-0000F8110000}"/>
    <cellStyle name="20% - Accent3 2 2 4 5 2" xfId="4554" xr:uid="{00000000-0005-0000-0000-0000F9110000}"/>
    <cellStyle name="20% - Accent3 2 2 4 5 2 2" xfId="4555" xr:uid="{00000000-0005-0000-0000-0000FA110000}"/>
    <cellStyle name="20% - Accent3 2 2 4 5 3" xfId="4556" xr:uid="{00000000-0005-0000-0000-0000FB110000}"/>
    <cellStyle name="20% - Accent3 2 2 4 6" xfId="4557" xr:uid="{00000000-0005-0000-0000-0000FC110000}"/>
    <cellStyle name="20% - Accent3 2 2 4 6 2" xfId="4558" xr:uid="{00000000-0005-0000-0000-0000FD110000}"/>
    <cellStyle name="20% - Accent3 2 2 4 7" xfId="4559" xr:uid="{00000000-0005-0000-0000-0000FE110000}"/>
    <cellStyle name="20% - Accent3 2 2 5" xfId="4560" xr:uid="{00000000-0005-0000-0000-0000FF110000}"/>
    <cellStyle name="20% - Accent3 2 2 5 2" xfId="4561" xr:uid="{00000000-0005-0000-0000-000000120000}"/>
    <cellStyle name="20% - Accent3 2 2 5 2 2" xfId="4562" xr:uid="{00000000-0005-0000-0000-000001120000}"/>
    <cellStyle name="20% - Accent3 2 2 5 2 2 2" xfId="4563" xr:uid="{00000000-0005-0000-0000-000002120000}"/>
    <cellStyle name="20% - Accent3 2 2 5 2 2 2 2" xfId="4564" xr:uid="{00000000-0005-0000-0000-000003120000}"/>
    <cellStyle name="20% - Accent3 2 2 5 2 2 2 2 2" xfId="4565" xr:uid="{00000000-0005-0000-0000-000004120000}"/>
    <cellStyle name="20% - Accent3 2 2 5 2 2 2 3" xfId="4566" xr:uid="{00000000-0005-0000-0000-000005120000}"/>
    <cellStyle name="20% - Accent3 2 2 5 2 2 3" xfId="4567" xr:uid="{00000000-0005-0000-0000-000006120000}"/>
    <cellStyle name="20% - Accent3 2 2 5 2 2 3 2" xfId="4568" xr:uid="{00000000-0005-0000-0000-000007120000}"/>
    <cellStyle name="20% - Accent3 2 2 5 2 2 4" xfId="4569" xr:uid="{00000000-0005-0000-0000-000008120000}"/>
    <cellStyle name="20% - Accent3 2 2 5 2 3" xfId="4570" xr:uid="{00000000-0005-0000-0000-000009120000}"/>
    <cellStyle name="20% - Accent3 2 2 5 2 3 2" xfId="4571" xr:uid="{00000000-0005-0000-0000-00000A120000}"/>
    <cellStyle name="20% - Accent3 2 2 5 2 3 2 2" xfId="4572" xr:uid="{00000000-0005-0000-0000-00000B120000}"/>
    <cellStyle name="20% - Accent3 2 2 5 2 3 3" xfId="4573" xr:uid="{00000000-0005-0000-0000-00000C120000}"/>
    <cellStyle name="20% - Accent3 2 2 5 2 4" xfId="4574" xr:uid="{00000000-0005-0000-0000-00000D120000}"/>
    <cellStyle name="20% - Accent3 2 2 5 2 4 2" xfId="4575" xr:uid="{00000000-0005-0000-0000-00000E120000}"/>
    <cellStyle name="20% - Accent3 2 2 5 2 5" xfId="4576" xr:uid="{00000000-0005-0000-0000-00000F120000}"/>
    <cellStyle name="20% - Accent3 2 2 5 3" xfId="4577" xr:uid="{00000000-0005-0000-0000-000010120000}"/>
    <cellStyle name="20% - Accent3 2 2 5 3 2" xfId="4578" xr:uid="{00000000-0005-0000-0000-000011120000}"/>
    <cellStyle name="20% - Accent3 2 2 5 3 2 2" xfId="4579" xr:uid="{00000000-0005-0000-0000-000012120000}"/>
    <cellStyle name="20% - Accent3 2 2 5 3 2 2 2" xfId="4580" xr:uid="{00000000-0005-0000-0000-000013120000}"/>
    <cellStyle name="20% - Accent3 2 2 5 3 2 3" xfId="4581" xr:uid="{00000000-0005-0000-0000-000014120000}"/>
    <cellStyle name="20% - Accent3 2 2 5 3 3" xfId="4582" xr:uid="{00000000-0005-0000-0000-000015120000}"/>
    <cellStyle name="20% - Accent3 2 2 5 3 3 2" xfId="4583" xr:uid="{00000000-0005-0000-0000-000016120000}"/>
    <cellStyle name="20% - Accent3 2 2 5 3 4" xfId="4584" xr:uid="{00000000-0005-0000-0000-000017120000}"/>
    <cellStyle name="20% - Accent3 2 2 5 4" xfId="4585" xr:uid="{00000000-0005-0000-0000-000018120000}"/>
    <cellStyle name="20% - Accent3 2 2 5 4 2" xfId="4586" xr:uid="{00000000-0005-0000-0000-000019120000}"/>
    <cellStyle name="20% - Accent3 2 2 5 4 2 2" xfId="4587" xr:uid="{00000000-0005-0000-0000-00001A120000}"/>
    <cellStyle name="20% - Accent3 2 2 5 4 3" xfId="4588" xr:uid="{00000000-0005-0000-0000-00001B120000}"/>
    <cellStyle name="20% - Accent3 2 2 5 5" xfId="4589" xr:uid="{00000000-0005-0000-0000-00001C120000}"/>
    <cellStyle name="20% - Accent3 2 2 5 5 2" xfId="4590" xr:uid="{00000000-0005-0000-0000-00001D120000}"/>
    <cellStyle name="20% - Accent3 2 2 5 6" xfId="4591" xr:uid="{00000000-0005-0000-0000-00001E120000}"/>
    <cellStyle name="20% - Accent3 2 2 6" xfId="4592" xr:uid="{00000000-0005-0000-0000-00001F120000}"/>
    <cellStyle name="20% - Accent3 2 2 6 2" xfId="4593" xr:uid="{00000000-0005-0000-0000-000020120000}"/>
    <cellStyle name="20% - Accent3 2 2 6 2 2" xfId="4594" xr:uid="{00000000-0005-0000-0000-000021120000}"/>
    <cellStyle name="20% - Accent3 2 2 6 2 2 2" xfId="4595" xr:uid="{00000000-0005-0000-0000-000022120000}"/>
    <cellStyle name="20% - Accent3 2 2 6 2 2 2 2" xfId="4596" xr:uid="{00000000-0005-0000-0000-000023120000}"/>
    <cellStyle name="20% - Accent3 2 2 6 2 2 3" xfId="4597" xr:uid="{00000000-0005-0000-0000-000024120000}"/>
    <cellStyle name="20% - Accent3 2 2 6 2 3" xfId="4598" xr:uid="{00000000-0005-0000-0000-000025120000}"/>
    <cellStyle name="20% - Accent3 2 2 6 2 3 2" xfId="4599" xr:uid="{00000000-0005-0000-0000-000026120000}"/>
    <cellStyle name="20% - Accent3 2 2 6 2 4" xfId="4600" xr:uid="{00000000-0005-0000-0000-000027120000}"/>
    <cellStyle name="20% - Accent3 2 2 6 3" xfId="4601" xr:uid="{00000000-0005-0000-0000-000028120000}"/>
    <cellStyle name="20% - Accent3 2 2 6 3 2" xfId="4602" xr:uid="{00000000-0005-0000-0000-000029120000}"/>
    <cellStyle name="20% - Accent3 2 2 6 3 2 2" xfId="4603" xr:uid="{00000000-0005-0000-0000-00002A120000}"/>
    <cellStyle name="20% - Accent3 2 2 6 3 3" xfId="4604" xr:uid="{00000000-0005-0000-0000-00002B120000}"/>
    <cellStyle name="20% - Accent3 2 2 6 4" xfId="4605" xr:uid="{00000000-0005-0000-0000-00002C120000}"/>
    <cellStyle name="20% - Accent3 2 2 6 4 2" xfId="4606" xr:uid="{00000000-0005-0000-0000-00002D120000}"/>
    <cellStyle name="20% - Accent3 2 2 6 5" xfId="4607" xr:uid="{00000000-0005-0000-0000-00002E120000}"/>
    <cellStyle name="20% - Accent3 2 2 7" xfId="4608" xr:uid="{00000000-0005-0000-0000-00002F120000}"/>
    <cellStyle name="20% - Accent3 2 2 7 2" xfId="4609" xr:uid="{00000000-0005-0000-0000-000030120000}"/>
    <cellStyle name="20% - Accent3 2 2 7 2 2" xfId="4610" xr:uid="{00000000-0005-0000-0000-000031120000}"/>
    <cellStyle name="20% - Accent3 2 2 7 2 2 2" xfId="4611" xr:uid="{00000000-0005-0000-0000-000032120000}"/>
    <cellStyle name="20% - Accent3 2 2 7 2 3" xfId="4612" xr:uid="{00000000-0005-0000-0000-000033120000}"/>
    <cellStyle name="20% - Accent3 2 2 7 3" xfId="4613" xr:uid="{00000000-0005-0000-0000-000034120000}"/>
    <cellStyle name="20% - Accent3 2 2 7 3 2" xfId="4614" xr:uid="{00000000-0005-0000-0000-000035120000}"/>
    <cellStyle name="20% - Accent3 2 2 7 4" xfId="4615" xr:uid="{00000000-0005-0000-0000-000036120000}"/>
    <cellStyle name="20% - Accent3 2 2 8" xfId="4616" xr:uid="{00000000-0005-0000-0000-000037120000}"/>
    <cellStyle name="20% - Accent3 2 2 8 2" xfId="4617" xr:uid="{00000000-0005-0000-0000-000038120000}"/>
    <cellStyle name="20% - Accent3 2 2 8 2 2" xfId="4618" xr:uid="{00000000-0005-0000-0000-000039120000}"/>
    <cellStyle name="20% - Accent3 2 2 8 3" xfId="4619" xr:uid="{00000000-0005-0000-0000-00003A120000}"/>
    <cellStyle name="20% - Accent3 2 2 9" xfId="4620" xr:uid="{00000000-0005-0000-0000-00003B120000}"/>
    <cellStyle name="20% - Accent3 2 2 9 2" xfId="4621" xr:uid="{00000000-0005-0000-0000-00003C120000}"/>
    <cellStyle name="20% - Accent3 2 3" xfId="4622" xr:uid="{00000000-0005-0000-0000-00003D120000}"/>
    <cellStyle name="20% - Accent3 2 3 2" xfId="4623" xr:uid="{00000000-0005-0000-0000-00003E120000}"/>
    <cellStyle name="20% - Accent3 2 3 2 2" xfId="4624" xr:uid="{00000000-0005-0000-0000-00003F120000}"/>
    <cellStyle name="20% - Accent3 2 3 2 2 2" xfId="4625" xr:uid="{00000000-0005-0000-0000-000040120000}"/>
    <cellStyle name="20% - Accent3 2 3 2 2 2 2" xfId="4626" xr:uid="{00000000-0005-0000-0000-000041120000}"/>
    <cellStyle name="20% - Accent3 2 3 2 2 2 2 2" xfId="4627" xr:uid="{00000000-0005-0000-0000-000042120000}"/>
    <cellStyle name="20% - Accent3 2 3 2 2 2 2 2 2" xfId="4628" xr:uid="{00000000-0005-0000-0000-000043120000}"/>
    <cellStyle name="20% - Accent3 2 3 2 2 2 2 2 2 2" xfId="4629" xr:uid="{00000000-0005-0000-0000-000044120000}"/>
    <cellStyle name="20% - Accent3 2 3 2 2 2 2 2 2 2 2" xfId="4630" xr:uid="{00000000-0005-0000-0000-000045120000}"/>
    <cellStyle name="20% - Accent3 2 3 2 2 2 2 2 2 3" xfId="4631" xr:uid="{00000000-0005-0000-0000-000046120000}"/>
    <cellStyle name="20% - Accent3 2 3 2 2 2 2 2 3" xfId="4632" xr:uid="{00000000-0005-0000-0000-000047120000}"/>
    <cellStyle name="20% - Accent3 2 3 2 2 2 2 2 3 2" xfId="4633" xr:uid="{00000000-0005-0000-0000-000048120000}"/>
    <cellStyle name="20% - Accent3 2 3 2 2 2 2 2 4" xfId="4634" xr:uid="{00000000-0005-0000-0000-000049120000}"/>
    <cellStyle name="20% - Accent3 2 3 2 2 2 2 3" xfId="4635" xr:uid="{00000000-0005-0000-0000-00004A120000}"/>
    <cellStyle name="20% - Accent3 2 3 2 2 2 2 3 2" xfId="4636" xr:uid="{00000000-0005-0000-0000-00004B120000}"/>
    <cellStyle name="20% - Accent3 2 3 2 2 2 2 3 2 2" xfId="4637" xr:uid="{00000000-0005-0000-0000-00004C120000}"/>
    <cellStyle name="20% - Accent3 2 3 2 2 2 2 3 3" xfId="4638" xr:uid="{00000000-0005-0000-0000-00004D120000}"/>
    <cellStyle name="20% - Accent3 2 3 2 2 2 2 4" xfId="4639" xr:uid="{00000000-0005-0000-0000-00004E120000}"/>
    <cellStyle name="20% - Accent3 2 3 2 2 2 2 4 2" xfId="4640" xr:uid="{00000000-0005-0000-0000-00004F120000}"/>
    <cellStyle name="20% - Accent3 2 3 2 2 2 2 5" xfId="4641" xr:uid="{00000000-0005-0000-0000-000050120000}"/>
    <cellStyle name="20% - Accent3 2 3 2 2 2 3" xfId="4642" xr:uid="{00000000-0005-0000-0000-000051120000}"/>
    <cellStyle name="20% - Accent3 2 3 2 2 2 3 2" xfId="4643" xr:uid="{00000000-0005-0000-0000-000052120000}"/>
    <cellStyle name="20% - Accent3 2 3 2 2 2 3 2 2" xfId="4644" xr:uid="{00000000-0005-0000-0000-000053120000}"/>
    <cellStyle name="20% - Accent3 2 3 2 2 2 3 2 2 2" xfId="4645" xr:uid="{00000000-0005-0000-0000-000054120000}"/>
    <cellStyle name="20% - Accent3 2 3 2 2 2 3 2 3" xfId="4646" xr:uid="{00000000-0005-0000-0000-000055120000}"/>
    <cellStyle name="20% - Accent3 2 3 2 2 2 3 3" xfId="4647" xr:uid="{00000000-0005-0000-0000-000056120000}"/>
    <cellStyle name="20% - Accent3 2 3 2 2 2 3 3 2" xfId="4648" xr:uid="{00000000-0005-0000-0000-000057120000}"/>
    <cellStyle name="20% - Accent3 2 3 2 2 2 3 4" xfId="4649" xr:uid="{00000000-0005-0000-0000-000058120000}"/>
    <cellStyle name="20% - Accent3 2 3 2 2 2 4" xfId="4650" xr:uid="{00000000-0005-0000-0000-000059120000}"/>
    <cellStyle name="20% - Accent3 2 3 2 2 2 4 2" xfId="4651" xr:uid="{00000000-0005-0000-0000-00005A120000}"/>
    <cellStyle name="20% - Accent3 2 3 2 2 2 4 2 2" xfId="4652" xr:uid="{00000000-0005-0000-0000-00005B120000}"/>
    <cellStyle name="20% - Accent3 2 3 2 2 2 4 3" xfId="4653" xr:uid="{00000000-0005-0000-0000-00005C120000}"/>
    <cellStyle name="20% - Accent3 2 3 2 2 2 5" xfId="4654" xr:uid="{00000000-0005-0000-0000-00005D120000}"/>
    <cellStyle name="20% - Accent3 2 3 2 2 2 5 2" xfId="4655" xr:uid="{00000000-0005-0000-0000-00005E120000}"/>
    <cellStyle name="20% - Accent3 2 3 2 2 2 6" xfId="4656" xr:uid="{00000000-0005-0000-0000-00005F120000}"/>
    <cellStyle name="20% - Accent3 2 3 2 2 3" xfId="4657" xr:uid="{00000000-0005-0000-0000-000060120000}"/>
    <cellStyle name="20% - Accent3 2 3 2 2 3 2" xfId="4658" xr:uid="{00000000-0005-0000-0000-000061120000}"/>
    <cellStyle name="20% - Accent3 2 3 2 2 3 2 2" xfId="4659" xr:uid="{00000000-0005-0000-0000-000062120000}"/>
    <cellStyle name="20% - Accent3 2 3 2 2 3 2 2 2" xfId="4660" xr:uid="{00000000-0005-0000-0000-000063120000}"/>
    <cellStyle name="20% - Accent3 2 3 2 2 3 2 2 2 2" xfId="4661" xr:uid="{00000000-0005-0000-0000-000064120000}"/>
    <cellStyle name="20% - Accent3 2 3 2 2 3 2 2 3" xfId="4662" xr:uid="{00000000-0005-0000-0000-000065120000}"/>
    <cellStyle name="20% - Accent3 2 3 2 2 3 2 3" xfId="4663" xr:uid="{00000000-0005-0000-0000-000066120000}"/>
    <cellStyle name="20% - Accent3 2 3 2 2 3 2 3 2" xfId="4664" xr:uid="{00000000-0005-0000-0000-000067120000}"/>
    <cellStyle name="20% - Accent3 2 3 2 2 3 2 4" xfId="4665" xr:uid="{00000000-0005-0000-0000-000068120000}"/>
    <cellStyle name="20% - Accent3 2 3 2 2 3 3" xfId="4666" xr:uid="{00000000-0005-0000-0000-000069120000}"/>
    <cellStyle name="20% - Accent3 2 3 2 2 3 3 2" xfId="4667" xr:uid="{00000000-0005-0000-0000-00006A120000}"/>
    <cellStyle name="20% - Accent3 2 3 2 2 3 3 2 2" xfId="4668" xr:uid="{00000000-0005-0000-0000-00006B120000}"/>
    <cellStyle name="20% - Accent3 2 3 2 2 3 3 3" xfId="4669" xr:uid="{00000000-0005-0000-0000-00006C120000}"/>
    <cellStyle name="20% - Accent3 2 3 2 2 3 4" xfId="4670" xr:uid="{00000000-0005-0000-0000-00006D120000}"/>
    <cellStyle name="20% - Accent3 2 3 2 2 3 4 2" xfId="4671" xr:uid="{00000000-0005-0000-0000-00006E120000}"/>
    <cellStyle name="20% - Accent3 2 3 2 2 3 5" xfId="4672" xr:uid="{00000000-0005-0000-0000-00006F120000}"/>
    <cellStyle name="20% - Accent3 2 3 2 2 4" xfId="4673" xr:uid="{00000000-0005-0000-0000-000070120000}"/>
    <cellStyle name="20% - Accent3 2 3 2 2 4 2" xfId="4674" xr:uid="{00000000-0005-0000-0000-000071120000}"/>
    <cellStyle name="20% - Accent3 2 3 2 2 4 2 2" xfId="4675" xr:uid="{00000000-0005-0000-0000-000072120000}"/>
    <cellStyle name="20% - Accent3 2 3 2 2 4 2 2 2" xfId="4676" xr:uid="{00000000-0005-0000-0000-000073120000}"/>
    <cellStyle name="20% - Accent3 2 3 2 2 4 2 3" xfId="4677" xr:uid="{00000000-0005-0000-0000-000074120000}"/>
    <cellStyle name="20% - Accent3 2 3 2 2 4 3" xfId="4678" xr:uid="{00000000-0005-0000-0000-000075120000}"/>
    <cellStyle name="20% - Accent3 2 3 2 2 4 3 2" xfId="4679" xr:uid="{00000000-0005-0000-0000-000076120000}"/>
    <cellStyle name="20% - Accent3 2 3 2 2 4 4" xfId="4680" xr:uid="{00000000-0005-0000-0000-000077120000}"/>
    <cellStyle name="20% - Accent3 2 3 2 2 5" xfId="4681" xr:uid="{00000000-0005-0000-0000-000078120000}"/>
    <cellStyle name="20% - Accent3 2 3 2 2 5 2" xfId="4682" xr:uid="{00000000-0005-0000-0000-000079120000}"/>
    <cellStyle name="20% - Accent3 2 3 2 2 5 2 2" xfId="4683" xr:uid="{00000000-0005-0000-0000-00007A120000}"/>
    <cellStyle name="20% - Accent3 2 3 2 2 5 3" xfId="4684" xr:uid="{00000000-0005-0000-0000-00007B120000}"/>
    <cellStyle name="20% - Accent3 2 3 2 2 6" xfId="4685" xr:uid="{00000000-0005-0000-0000-00007C120000}"/>
    <cellStyle name="20% - Accent3 2 3 2 2 6 2" xfId="4686" xr:uid="{00000000-0005-0000-0000-00007D120000}"/>
    <cellStyle name="20% - Accent3 2 3 2 2 7" xfId="4687" xr:uid="{00000000-0005-0000-0000-00007E120000}"/>
    <cellStyle name="20% - Accent3 2 3 2 3" xfId="4688" xr:uid="{00000000-0005-0000-0000-00007F120000}"/>
    <cellStyle name="20% - Accent3 2 3 2 3 2" xfId="4689" xr:uid="{00000000-0005-0000-0000-000080120000}"/>
    <cellStyle name="20% - Accent3 2 3 2 3 2 2" xfId="4690" xr:uid="{00000000-0005-0000-0000-000081120000}"/>
    <cellStyle name="20% - Accent3 2 3 2 3 2 2 2" xfId="4691" xr:uid="{00000000-0005-0000-0000-000082120000}"/>
    <cellStyle name="20% - Accent3 2 3 2 3 2 2 2 2" xfId="4692" xr:uid="{00000000-0005-0000-0000-000083120000}"/>
    <cellStyle name="20% - Accent3 2 3 2 3 2 2 2 2 2" xfId="4693" xr:uid="{00000000-0005-0000-0000-000084120000}"/>
    <cellStyle name="20% - Accent3 2 3 2 3 2 2 2 3" xfId="4694" xr:uid="{00000000-0005-0000-0000-000085120000}"/>
    <cellStyle name="20% - Accent3 2 3 2 3 2 2 3" xfId="4695" xr:uid="{00000000-0005-0000-0000-000086120000}"/>
    <cellStyle name="20% - Accent3 2 3 2 3 2 2 3 2" xfId="4696" xr:uid="{00000000-0005-0000-0000-000087120000}"/>
    <cellStyle name="20% - Accent3 2 3 2 3 2 2 4" xfId="4697" xr:uid="{00000000-0005-0000-0000-000088120000}"/>
    <cellStyle name="20% - Accent3 2 3 2 3 2 3" xfId="4698" xr:uid="{00000000-0005-0000-0000-000089120000}"/>
    <cellStyle name="20% - Accent3 2 3 2 3 2 3 2" xfId="4699" xr:uid="{00000000-0005-0000-0000-00008A120000}"/>
    <cellStyle name="20% - Accent3 2 3 2 3 2 3 2 2" xfId="4700" xr:uid="{00000000-0005-0000-0000-00008B120000}"/>
    <cellStyle name="20% - Accent3 2 3 2 3 2 3 3" xfId="4701" xr:uid="{00000000-0005-0000-0000-00008C120000}"/>
    <cellStyle name="20% - Accent3 2 3 2 3 2 4" xfId="4702" xr:uid="{00000000-0005-0000-0000-00008D120000}"/>
    <cellStyle name="20% - Accent3 2 3 2 3 2 4 2" xfId="4703" xr:uid="{00000000-0005-0000-0000-00008E120000}"/>
    <cellStyle name="20% - Accent3 2 3 2 3 2 5" xfId="4704" xr:uid="{00000000-0005-0000-0000-00008F120000}"/>
    <cellStyle name="20% - Accent3 2 3 2 3 3" xfId="4705" xr:uid="{00000000-0005-0000-0000-000090120000}"/>
    <cellStyle name="20% - Accent3 2 3 2 3 3 2" xfId="4706" xr:uid="{00000000-0005-0000-0000-000091120000}"/>
    <cellStyle name="20% - Accent3 2 3 2 3 3 2 2" xfId="4707" xr:uid="{00000000-0005-0000-0000-000092120000}"/>
    <cellStyle name="20% - Accent3 2 3 2 3 3 2 2 2" xfId="4708" xr:uid="{00000000-0005-0000-0000-000093120000}"/>
    <cellStyle name="20% - Accent3 2 3 2 3 3 2 3" xfId="4709" xr:uid="{00000000-0005-0000-0000-000094120000}"/>
    <cellStyle name="20% - Accent3 2 3 2 3 3 3" xfId="4710" xr:uid="{00000000-0005-0000-0000-000095120000}"/>
    <cellStyle name="20% - Accent3 2 3 2 3 3 3 2" xfId="4711" xr:uid="{00000000-0005-0000-0000-000096120000}"/>
    <cellStyle name="20% - Accent3 2 3 2 3 3 4" xfId="4712" xr:uid="{00000000-0005-0000-0000-000097120000}"/>
    <cellStyle name="20% - Accent3 2 3 2 3 4" xfId="4713" xr:uid="{00000000-0005-0000-0000-000098120000}"/>
    <cellStyle name="20% - Accent3 2 3 2 3 4 2" xfId="4714" xr:uid="{00000000-0005-0000-0000-000099120000}"/>
    <cellStyle name="20% - Accent3 2 3 2 3 4 2 2" xfId="4715" xr:uid="{00000000-0005-0000-0000-00009A120000}"/>
    <cellStyle name="20% - Accent3 2 3 2 3 4 3" xfId="4716" xr:uid="{00000000-0005-0000-0000-00009B120000}"/>
    <cellStyle name="20% - Accent3 2 3 2 3 5" xfId="4717" xr:uid="{00000000-0005-0000-0000-00009C120000}"/>
    <cellStyle name="20% - Accent3 2 3 2 3 5 2" xfId="4718" xr:uid="{00000000-0005-0000-0000-00009D120000}"/>
    <cellStyle name="20% - Accent3 2 3 2 3 6" xfId="4719" xr:uid="{00000000-0005-0000-0000-00009E120000}"/>
    <cellStyle name="20% - Accent3 2 3 2 4" xfId="4720" xr:uid="{00000000-0005-0000-0000-00009F120000}"/>
    <cellStyle name="20% - Accent3 2 3 2 4 2" xfId="4721" xr:uid="{00000000-0005-0000-0000-0000A0120000}"/>
    <cellStyle name="20% - Accent3 2 3 2 4 2 2" xfId="4722" xr:uid="{00000000-0005-0000-0000-0000A1120000}"/>
    <cellStyle name="20% - Accent3 2 3 2 4 2 2 2" xfId="4723" xr:uid="{00000000-0005-0000-0000-0000A2120000}"/>
    <cellStyle name="20% - Accent3 2 3 2 4 2 2 2 2" xfId="4724" xr:uid="{00000000-0005-0000-0000-0000A3120000}"/>
    <cellStyle name="20% - Accent3 2 3 2 4 2 2 3" xfId="4725" xr:uid="{00000000-0005-0000-0000-0000A4120000}"/>
    <cellStyle name="20% - Accent3 2 3 2 4 2 3" xfId="4726" xr:uid="{00000000-0005-0000-0000-0000A5120000}"/>
    <cellStyle name="20% - Accent3 2 3 2 4 2 3 2" xfId="4727" xr:uid="{00000000-0005-0000-0000-0000A6120000}"/>
    <cellStyle name="20% - Accent3 2 3 2 4 2 4" xfId="4728" xr:uid="{00000000-0005-0000-0000-0000A7120000}"/>
    <cellStyle name="20% - Accent3 2 3 2 4 3" xfId="4729" xr:uid="{00000000-0005-0000-0000-0000A8120000}"/>
    <cellStyle name="20% - Accent3 2 3 2 4 3 2" xfId="4730" xr:uid="{00000000-0005-0000-0000-0000A9120000}"/>
    <cellStyle name="20% - Accent3 2 3 2 4 3 2 2" xfId="4731" xr:uid="{00000000-0005-0000-0000-0000AA120000}"/>
    <cellStyle name="20% - Accent3 2 3 2 4 3 3" xfId="4732" xr:uid="{00000000-0005-0000-0000-0000AB120000}"/>
    <cellStyle name="20% - Accent3 2 3 2 4 4" xfId="4733" xr:uid="{00000000-0005-0000-0000-0000AC120000}"/>
    <cellStyle name="20% - Accent3 2 3 2 4 4 2" xfId="4734" xr:uid="{00000000-0005-0000-0000-0000AD120000}"/>
    <cellStyle name="20% - Accent3 2 3 2 4 5" xfId="4735" xr:uid="{00000000-0005-0000-0000-0000AE120000}"/>
    <cellStyle name="20% - Accent3 2 3 2 5" xfId="4736" xr:uid="{00000000-0005-0000-0000-0000AF120000}"/>
    <cellStyle name="20% - Accent3 2 3 2 5 2" xfId="4737" xr:uid="{00000000-0005-0000-0000-0000B0120000}"/>
    <cellStyle name="20% - Accent3 2 3 2 5 2 2" xfId="4738" xr:uid="{00000000-0005-0000-0000-0000B1120000}"/>
    <cellStyle name="20% - Accent3 2 3 2 5 2 2 2" xfId="4739" xr:uid="{00000000-0005-0000-0000-0000B2120000}"/>
    <cellStyle name="20% - Accent3 2 3 2 5 2 3" xfId="4740" xr:uid="{00000000-0005-0000-0000-0000B3120000}"/>
    <cellStyle name="20% - Accent3 2 3 2 5 3" xfId="4741" xr:uid="{00000000-0005-0000-0000-0000B4120000}"/>
    <cellStyle name="20% - Accent3 2 3 2 5 3 2" xfId="4742" xr:uid="{00000000-0005-0000-0000-0000B5120000}"/>
    <cellStyle name="20% - Accent3 2 3 2 5 4" xfId="4743" xr:uid="{00000000-0005-0000-0000-0000B6120000}"/>
    <cellStyle name="20% - Accent3 2 3 2 6" xfId="4744" xr:uid="{00000000-0005-0000-0000-0000B7120000}"/>
    <cellStyle name="20% - Accent3 2 3 2 6 2" xfId="4745" xr:uid="{00000000-0005-0000-0000-0000B8120000}"/>
    <cellStyle name="20% - Accent3 2 3 2 6 2 2" xfId="4746" xr:uid="{00000000-0005-0000-0000-0000B9120000}"/>
    <cellStyle name="20% - Accent3 2 3 2 6 3" xfId="4747" xr:uid="{00000000-0005-0000-0000-0000BA120000}"/>
    <cellStyle name="20% - Accent3 2 3 2 7" xfId="4748" xr:uid="{00000000-0005-0000-0000-0000BB120000}"/>
    <cellStyle name="20% - Accent3 2 3 2 7 2" xfId="4749" xr:uid="{00000000-0005-0000-0000-0000BC120000}"/>
    <cellStyle name="20% - Accent3 2 3 2 8" xfId="4750" xr:uid="{00000000-0005-0000-0000-0000BD120000}"/>
    <cellStyle name="20% - Accent3 2 3 3" xfId="4751" xr:uid="{00000000-0005-0000-0000-0000BE120000}"/>
    <cellStyle name="20% - Accent3 2 3 3 2" xfId="4752" xr:uid="{00000000-0005-0000-0000-0000BF120000}"/>
    <cellStyle name="20% - Accent3 2 3 3 2 2" xfId="4753" xr:uid="{00000000-0005-0000-0000-0000C0120000}"/>
    <cellStyle name="20% - Accent3 2 3 3 2 2 2" xfId="4754" xr:uid="{00000000-0005-0000-0000-0000C1120000}"/>
    <cellStyle name="20% - Accent3 2 3 3 2 2 2 2" xfId="4755" xr:uid="{00000000-0005-0000-0000-0000C2120000}"/>
    <cellStyle name="20% - Accent3 2 3 3 2 2 2 2 2" xfId="4756" xr:uid="{00000000-0005-0000-0000-0000C3120000}"/>
    <cellStyle name="20% - Accent3 2 3 3 2 2 2 2 2 2" xfId="4757" xr:uid="{00000000-0005-0000-0000-0000C4120000}"/>
    <cellStyle name="20% - Accent3 2 3 3 2 2 2 2 3" xfId="4758" xr:uid="{00000000-0005-0000-0000-0000C5120000}"/>
    <cellStyle name="20% - Accent3 2 3 3 2 2 2 3" xfId="4759" xr:uid="{00000000-0005-0000-0000-0000C6120000}"/>
    <cellStyle name="20% - Accent3 2 3 3 2 2 2 3 2" xfId="4760" xr:uid="{00000000-0005-0000-0000-0000C7120000}"/>
    <cellStyle name="20% - Accent3 2 3 3 2 2 2 4" xfId="4761" xr:uid="{00000000-0005-0000-0000-0000C8120000}"/>
    <cellStyle name="20% - Accent3 2 3 3 2 2 3" xfId="4762" xr:uid="{00000000-0005-0000-0000-0000C9120000}"/>
    <cellStyle name="20% - Accent3 2 3 3 2 2 3 2" xfId="4763" xr:uid="{00000000-0005-0000-0000-0000CA120000}"/>
    <cellStyle name="20% - Accent3 2 3 3 2 2 3 2 2" xfId="4764" xr:uid="{00000000-0005-0000-0000-0000CB120000}"/>
    <cellStyle name="20% - Accent3 2 3 3 2 2 3 3" xfId="4765" xr:uid="{00000000-0005-0000-0000-0000CC120000}"/>
    <cellStyle name="20% - Accent3 2 3 3 2 2 4" xfId="4766" xr:uid="{00000000-0005-0000-0000-0000CD120000}"/>
    <cellStyle name="20% - Accent3 2 3 3 2 2 4 2" xfId="4767" xr:uid="{00000000-0005-0000-0000-0000CE120000}"/>
    <cellStyle name="20% - Accent3 2 3 3 2 2 5" xfId="4768" xr:uid="{00000000-0005-0000-0000-0000CF120000}"/>
    <cellStyle name="20% - Accent3 2 3 3 2 3" xfId="4769" xr:uid="{00000000-0005-0000-0000-0000D0120000}"/>
    <cellStyle name="20% - Accent3 2 3 3 2 3 2" xfId="4770" xr:uid="{00000000-0005-0000-0000-0000D1120000}"/>
    <cellStyle name="20% - Accent3 2 3 3 2 3 2 2" xfId="4771" xr:uid="{00000000-0005-0000-0000-0000D2120000}"/>
    <cellStyle name="20% - Accent3 2 3 3 2 3 2 2 2" xfId="4772" xr:uid="{00000000-0005-0000-0000-0000D3120000}"/>
    <cellStyle name="20% - Accent3 2 3 3 2 3 2 3" xfId="4773" xr:uid="{00000000-0005-0000-0000-0000D4120000}"/>
    <cellStyle name="20% - Accent3 2 3 3 2 3 3" xfId="4774" xr:uid="{00000000-0005-0000-0000-0000D5120000}"/>
    <cellStyle name="20% - Accent3 2 3 3 2 3 3 2" xfId="4775" xr:uid="{00000000-0005-0000-0000-0000D6120000}"/>
    <cellStyle name="20% - Accent3 2 3 3 2 3 4" xfId="4776" xr:uid="{00000000-0005-0000-0000-0000D7120000}"/>
    <cellStyle name="20% - Accent3 2 3 3 2 4" xfId="4777" xr:uid="{00000000-0005-0000-0000-0000D8120000}"/>
    <cellStyle name="20% - Accent3 2 3 3 2 4 2" xfId="4778" xr:uid="{00000000-0005-0000-0000-0000D9120000}"/>
    <cellStyle name="20% - Accent3 2 3 3 2 4 2 2" xfId="4779" xr:uid="{00000000-0005-0000-0000-0000DA120000}"/>
    <cellStyle name="20% - Accent3 2 3 3 2 4 3" xfId="4780" xr:uid="{00000000-0005-0000-0000-0000DB120000}"/>
    <cellStyle name="20% - Accent3 2 3 3 2 5" xfId="4781" xr:uid="{00000000-0005-0000-0000-0000DC120000}"/>
    <cellStyle name="20% - Accent3 2 3 3 2 5 2" xfId="4782" xr:uid="{00000000-0005-0000-0000-0000DD120000}"/>
    <cellStyle name="20% - Accent3 2 3 3 2 6" xfId="4783" xr:uid="{00000000-0005-0000-0000-0000DE120000}"/>
    <cellStyle name="20% - Accent3 2 3 3 3" xfId="4784" xr:uid="{00000000-0005-0000-0000-0000DF120000}"/>
    <cellStyle name="20% - Accent3 2 3 3 3 2" xfId="4785" xr:uid="{00000000-0005-0000-0000-0000E0120000}"/>
    <cellStyle name="20% - Accent3 2 3 3 3 2 2" xfId="4786" xr:uid="{00000000-0005-0000-0000-0000E1120000}"/>
    <cellStyle name="20% - Accent3 2 3 3 3 2 2 2" xfId="4787" xr:uid="{00000000-0005-0000-0000-0000E2120000}"/>
    <cellStyle name="20% - Accent3 2 3 3 3 2 2 2 2" xfId="4788" xr:uid="{00000000-0005-0000-0000-0000E3120000}"/>
    <cellStyle name="20% - Accent3 2 3 3 3 2 2 3" xfId="4789" xr:uid="{00000000-0005-0000-0000-0000E4120000}"/>
    <cellStyle name="20% - Accent3 2 3 3 3 2 3" xfId="4790" xr:uid="{00000000-0005-0000-0000-0000E5120000}"/>
    <cellStyle name="20% - Accent3 2 3 3 3 2 3 2" xfId="4791" xr:uid="{00000000-0005-0000-0000-0000E6120000}"/>
    <cellStyle name="20% - Accent3 2 3 3 3 2 4" xfId="4792" xr:uid="{00000000-0005-0000-0000-0000E7120000}"/>
    <cellStyle name="20% - Accent3 2 3 3 3 3" xfId="4793" xr:uid="{00000000-0005-0000-0000-0000E8120000}"/>
    <cellStyle name="20% - Accent3 2 3 3 3 3 2" xfId="4794" xr:uid="{00000000-0005-0000-0000-0000E9120000}"/>
    <cellStyle name="20% - Accent3 2 3 3 3 3 2 2" xfId="4795" xr:uid="{00000000-0005-0000-0000-0000EA120000}"/>
    <cellStyle name="20% - Accent3 2 3 3 3 3 3" xfId="4796" xr:uid="{00000000-0005-0000-0000-0000EB120000}"/>
    <cellStyle name="20% - Accent3 2 3 3 3 4" xfId="4797" xr:uid="{00000000-0005-0000-0000-0000EC120000}"/>
    <cellStyle name="20% - Accent3 2 3 3 3 4 2" xfId="4798" xr:uid="{00000000-0005-0000-0000-0000ED120000}"/>
    <cellStyle name="20% - Accent3 2 3 3 3 5" xfId="4799" xr:uid="{00000000-0005-0000-0000-0000EE120000}"/>
    <cellStyle name="20% - Accent3 2 3 3 4" xfId="4800" xr:uid="{00000000-0005-0000-0000-0000EF120000}"/>
    <cellStyle name="20% - Accent3 2 3 3 4 2" xfId="4801" xr:uid="{00000000-0005-0000-0000-0000F0120000}"/>
    <cellStyle name="20% - Accent3 2 3 3 4 2 2" xfId="4802" xr:uid="{00000000-0005-0000-0000-0000F1120000}"/>
    <cellStyle name="20% - Accent3 2 3 3 4 2 2 2" xfId="4803" xr:uid="{00000000-0005-0000-0000-0000F2120000}"/>
    <cellStyle name="20% - Accent3 2 3 3 4 2 3" xfId="4804" xr:uid="{00000000-0005-0000-0000-0000F3120000}"/>
    <cellStyle name="20% - Accent3 2 3 3 4 3" xfId="4805" xr:uid="{00000000-0005-0000-0000-0000F4120000}"/>
    <cellStyle name="20% - Accent3 2 3 3 4 3 2" xfId="4806" xr:uid="{00000000-0005-0000-0000-0000F5120000}"/>
    <cellStyle name="20% - Accent3 2 3 3 4 4" xfId="4807" xr:uid="{00000000-0005-0000-0000-0000F6120000}"/>
    <cellStyle name="20% - Accent3 2 3 3 5" xfId="4808" xr:uid="{00000000-0005-0000-0000-0000F7120000}"/>
    <cellStyle name="20% - Accent3 2 3 3 5 2" xfId="4809" xr:uid="{00000000-0005-0000-0000-0000F8120000}"/>
    <cellStyle name="20% - Accent3 2 3 3 5 2 2" xfId="4810" xr:uid="{00000000-0005-0000-0000-0000F9120000}"/>
    <cellStyle name="20% - Accent3 2 3 3 5 3" xfId="4811" xr:uid="{00000000-0005-0000-0000-0000FA120000}"/>
    <cellStyle name="20% - Accent3 2 3 3 6" xfId="4812" xr:uid="{00000000-0005-0000-0000-0000FB120000}"/>
    <cellStyle name="20% - Accent3 2 3 3 6 2" xfId="4813" xr:uid="{00000000-0005-0000-0000-0000FC120000}"/>
    <cellStyle name="20% - Accent3 2 3 3 7" xfId="4814" xr:uid="{00000000-0005-0000-0000-0000FD120000}"/>
    <cellStyle name="20% - Accent3 2 3 4" xfId="4815" xr:uid="{00000000-0005-0000-0000-0000FE120000}"/>
    <cellStyle name="20% - Accent3 2 3 4 2" xfId="4816" xr:uid="{00000000-0005-0000-0000-0000FF120000}"/>
    <cellStyle name="20% - Accent3 2 3 4 2 2" xfId="4817" xr:uid="{00000000-0005-0000-0000-000000130000}"/>
    <cellStyle name="20% - Accent3 2 3 4 2 2 2" xfId="4818" xr:uid="{00000000-0005-0000-0000-000001130000}"/>
    <cellStyle name="20% - Accent3 2 3 4 2 2 2 2" xfId="4819" xr:uid="{00000000-0005-0000-0000-000002130000}"/>
    <cellStyle name="20% - Accent3 2 3 4 2 2 2 2 2" xfId="4820" xr:uid="{00000000-0005-0000-0000-000003130000}"/>
    <cellStyle name="20% - Accent3 2 3 4 2 2 2 3" xfId="4821" xr:uid="{00000000-0005-0000-0000-000004130000}"/>
    <cellStyle name="20% - Accent3 2 3 4 2 2 3" xfId="4822" xr:uid="{00000000-0005-0000-0000-000005130000}"/>
    <cellStyle name="20% - Accent3 2 3 4 2 2 3 2" xfId="4823" xr:uid="{00000000-0005-0000-0000-000006130000}"/>
    <cellStyle name="20% - Accent3 2 3 4 2 2 4" xfId="4824" xr:uid="{00000000-0005-0000-0000-000007130000}"/>
    <cellStyle name="20% - Accent3 2 3 4 2 3" xfId="4825" xr:uid="{00000000-0005-0000-0000-000008130000}"/>
    <cellStyle name="20% - Accent3 2 3 4 2 3 2" xfId="4826" xr:uid="{00000000-0005-0000-0000-000009130000}"/>
    <cellStyle name="20% - Accent3 2 3 4 2 3 2 2" xfId="4827" xr:uid="{00000000-0005-0000-0000-00000A130000}"/>
    <cellStyle name="20% - Accent3 2 3 4 2 3 3" xfId="4828" xr:uid="{00000000-0005-0000-0000-00000B130000}"/>
    <cellStyle name="20% - Accent3 2 3 4 2 4" xfId="4829" xr:uid="{00000000-0005-0000-0000-00000C130000}"/>
    <cellStyle name="20% - Accent3 2 3 4 2 4 2" xfId="4830" xr:uid="{00000000-0005-0000-0000-00000D130000}"/>
    <cellStyle name="20% - Accent3 2 3 4 2 5" xfId="4831" xr:uid="{00000000-0005-0000-0000-00000E130000}"/>
    <cellStyle name="20% - Accent3 2 3 4 3" xfId="4832" xr:uid="{00000000-0005-0000-0000-00000F130000}"/>
    <cellStyle name="20% - Accent3 2 3 4 3 2" xfId="4833" xr:uid="{00000000-0005-0000-0000-000010130000}"/>
    <cellStyle name="20% - Accent3 2 3 4 3 2 2" xfId="4834" xr:uid="{00000000-0005-0000-0000-000011130000}"/>
    <cellStyle name="20% - Accent3 2 3 4 3 2 2 2" xfId="4835" xr:uid="{00000000-0005-0000-0000-000012130000}"/>
    <cellStyle name="20% - Accent3 2 3 4 3 2 3" xfId="4836" xr:uid="{00000000-0005-0000-0000-000013130000}"/>
    <cellStyle name="20% - Accent3 2 3 4 3 3" xfId="4837" xr:uid="{00000000-0005-0000-0000-000014130000}"/>
    <cellStyle name="20% - Accent3 2 3 4 3 3 2" xfId="4838" xr:uid="{00000000-0005-0000-0000-000015130000}"/>
    <cellStyle name="20% - Accent3 2 3 4 3 4" xfId="4839" xr:uid="{00000000-0005-0000-0000-000016130000}"/>
    <cellStyle name="20% - Accent3 2 3 4 4" xfId="4840" xr:uid="{00000000-0005-0000-0000-000017130000}"/>
    <cellStyle name="20% - Accent3 2 3 4 4 2" xfId="4841" xr:uid="{00000000-0005-0000-0000-000018130000}"/>
    <cellStyle name="20% - Accent3 2 3 4 4 2 2" xfId="4842" xr:uid="{00000000-0005-0000-0000-000019130000}"/>
    <cellStyle name="20% - Accent3 2 3 4 4 3" xfId="4843" xr:uid="{00000000-0005-0000-0000-00001A130000}"/>
    <cellStyle name="20% - Accent3 2 3 4 5" xfId="4844" xr:uid="{00000000-0005-0000-0000-00001B130000}"/>
    <cellStyle name="20% - Accent3 2 3 4 5 2" xfId="4845" xr:uid="{00000000-0005-0000-0000-00001C130000}"/>
    <cellStyle name="20% - Accent3 2 3 4 6" xfId="4846" xr:uid="{00000000-0005-0000-0000-00001D130000}"/>
    <cellStyle name="20% - Accent3 2 3 5" xfId="4847" xr:uid="{00000000-0005-0000-0000-00001E130000}"/>
    <cellStyle name="20% - Accent3 2 3 5 2" xfId="4848" xr:uid="{00000000-0005-0000-0000-00001F130000}"/>
    <cellStyle name="20% - Accent3 2 3 5 2 2" xfId="4849" xr:uid="{00000000-0005-0000-0000-000020130000}"/>
    <cellStyle name="20% - Accent3 2 3 5 2 2 2" xfId="4850" xr:uid="{00000000-0005-0000-0000-000021130000}"/>
    <cellStyle name="20% - Accent3 2 3 5 2 2 2 2" xfId="4851" xr:uid="{00000000-0005-0000-0000-000022130000}"/>
    <cellStyle name="20% - Accent3 2 3 5 2 2 3" xfId="4852" xr:uid="{00000000-0005-0000-0000-000023130000}"/>
    <cellStyle name="20% - Accent3 2 3 5 2 3" xfId="4853" xr:uid="{00000000-0005-0000-0000-000024130000}"/>
    <cellStyle name="20% - Accent3 2 3 5 2 3 2" xfId="4854" xr:uid="{00000000-0005-0000-0000-000025130000}"/>
    <cellStyle name="20% - Accent3 2 3 5 2 4" xfId="4855" xr:uid="{00000000-0005-0000-0000-000026130000}"/>
    <cellStyle name="20% - Accent3 2 3 5 3" xfId="4856" xr:uid="{00000000-0005-0000-0000-000027130000}"/>
    <cellStyle name="20% - Accent3 2 3 5 3 2" xfId="4857" xr:uid="{00000000-0005-0000-0000-000028130000}"/>
    <cellStyle name="20% - Accent3 2 3 5 3 2 2" xfId="4858" xr:uid="{00000000-0005-0000-0000-000029130000}"/>
    <cellStyle name="20% - Accent3 2 3 5 3 3" xfId="4859" xr:uid="{00000000-0005-0000-0000-00002A130000}"/>
    <cellStyle name="20% - Accent3 2 3 5 4" xfId="4860" xr:uid="{00000000-0005-0000-0000-00002B130000}"/>
    <cellStyle name="20% - Accent3 2 3 5 4 2" xfId="4861" xr:uid="{00000000-0005-0000-0000-00002C130000}"/>
    <cellStyle name="20% - Accent3 2 3 5 5" xfId="4862" xr:uid="{00000000-0005-0000-0000-00002D130000}"/>
    <cellStyle name="20% - Accent3 2 3 6" xfId="4863" xr:uid="{00000000-0005-0000-0000-00002E130000}"/>
    <cellStyle name="20% - Accent3 2 3 6 2" xfId="4864" xr:uid="{00000000-0005-0000-0000-00002F130000}"/>
    <cellStyle name="20% - Accent3 2 3 6 2 2" xfId="4865" xr:uid="{00000000-0005-0000-0000-000030130000}"/>
    <cellStyle name="20% - Accent3 2 3 6 2 2 2" xfId="4866" xr:uid="{00000000-0005-0000-0000-000031130000}"/>
    <cellStyle name="20% - Accent3 2 3 6 2 3" xfId="4867" xr:uid="{00000000-0005-0000-0000-000032130000}"/>
    <cellStyle name="20% - Accent3 2 3 6 3" xfId="4868" xr:uid="{00000000-0005-0000-0000-000033130000}"/>
    <cellStyle name="20% - Accent3 2 3 6 3 2" xfId="4869" xr:uid="{00000000-0005-0000-0000-000034130000}"/>
    <cellStyle name="20% - Accent3 2 3 6 4" xfId="4870" xr:uid="{00000000-0005-0000-0000-000035130000}"/>
    <cellStyle name="20% - Accent3 2 3 7" xfId="4871" xr:uid="{00000000-0005-0000-0000-000036130000}"/>
    <cellStyle name="20% - Accent3 2 3 7 2" xfId="4872" xr:uid="{00000000-0005-0000-0000-000037130000}"/>
    <cellStyle name="20% - Accent3 2 3 7 2 2" xfId="4873" xr:uid="{00000000-0005-0000-0000-000038130000}"/>
    <cellStyle name="20% - Accent3 2 3 7 3" xfId="4874" xr:uid="{00000000-0005-0000-0000-000039130000}"/>
    <cellStyle name="20% - Accent3 2 3 8" xfId="4875" xr:uid="{00000000-0005-0000-0000-00003A130000}"/>
    <cellStyle name="20% - Accent3 2 3 8 2" xfId="4876" xr:uid="{00000000-0005-0000-0000-00003B130000}"/>
    <cellStyle name="20% - Accent3 2 3 9" xfId="4877" xr:uid="{00000000-0005-0000-0000-00003C130000}"/>
    <cellStyle name="20% - Accent3 2 4" xfId="4878" xr:uid="{00000000-0005-0000-0000-00003D130000}"/>
    <cellStyle name="20% - Accent3 2 4 2" xfId="4879" xr:uid="{00000000-0005-0000-0000-00003E130000}"/>
    <cellStyle name="20% - Accent3 2 4 2 2" xfId="4880" xr:uid="{00000000-0005-0000-0000-00003F130000}"/>
    <cellStyle name="20% - Accent3 2 4 2 2 2" xfId="4881" xr:uid="{00000000-0005-0000-0000-000040130000}"/>
    <cellStyle name="20% - Accent3 2 4 2 2 2 2" xfId="4882" xr:uid="{00000000-0005-0000-0000-000041130000}"/>
    <cellStyle name="20% - Accent3 2 4 2 2 2 2 2" xfId="4883" xr:uid="{00000000-0005-0000-0000-000042130000}"/>
    <cellStyle name="20% - Accent3 2 4 2 2 2 2 2 2" xfId="4884" xr:uid="{00000000-0005-0000-0000-000043130000}"/>
    <cellStyle name="20% - Accent3 2 4 2 2 2 2 2 2 2" xfId="4885" xr:uid="{00000000-0005-0000-0000-000044130000}"/>
    <cellStyle name="20% - Accent3 2 4 2 2 2 2 2 3" xfId="4886" xr:uid="{00000000-0005-0000-0000-000045130000}"/>
    <cellStyle name="20% - Accent3 2 4 2 2 2 2 3" xfId="4887" xr:uid="{00000000-0005-0000-0000-000046130000}"/>
    <cellStyle name="20% - Accent3 2 4 2 2 2 2 3 2" xfId="4888" xr:uid="{00000000-0005-0000-0000-000047130000}"/>
    <cellStyle name="20% - Accent3 2 4 2 2 2 2 4" xfId="4889" xr:uid="{00000000-0005-0000-0000-000048130000}"/>
    <cellStyle name="20% - Accent3 2 4 2 2 2 3" xfId="4890" xr:uid="{00000000-0005-0000-0000-000049130000}"/>
    <cellStyle name="20% - Accent3 2 4 2 2 2 3 2" xfId="4891" xr:uid="{00000000-0005-0000-0000-00004A130000}"/>
    <cellStyle name="20% - Accent3 2 4 2 2 2 3 2 2" xfId="4892" xr:uid="{00000000-0005-0000-0000-00004B130000}"/>
    <cellStyle name="20% - Accent3 2 4 2 2 2 3 3" xfId="4893" xr:uid="{00000000-0005-0000-0000-00004C130000}"/>
    <cellStyle name="20% - Accent3 2 4 2 2 2 4" xfId="4894" xr:uid="{00000000-0005-0000-0000-00004D130000}"/>
    <cellStyle name="20% - Accent3 2 4 2 2 2 4 2" xfId="4895" xr:uid="{00000000-0005-0000-0000-00004E130000}"/>
    <cellStyle name="20% - Accent3 2 4 2 2 2 5" xfId="4896" xr:uid="{00000000-0005-0000-0000-00004F130000}"/>
    <cellStyle name="20% - Accent3 2 4 2 2 3" xfId="4897" xr:uid="{00000000-0005-0000-0000-000050130000}"/>
    <cellStyle name="20% - Accent3 2 4 2 2 3 2" xfId="4898" xr:uid="{00000000-0005-0000-0000-000051130000}"/>
    <cellStyle name="20% - Accent3 2 4 2 2 3 2 2" xfId="4899" xr:uid="{00000000-0005-0000-0000-000052130000}"/>
    <cellStyle name="20% - Accent3 2 4 2 2 3 2 2 2" xfId="4900" xr:uid="{00000000-0005-0000-0000-000053130000}"/>
    <cellStyle name="20% - Accent3 2 4 2 2 3 2 3" xfId="4901" xr:uid="{00000000-0005-0000-0000-000054130000}"/>
    <cellStyle name="20% - Accent3 2 4 2 2 3 3" xfId="4902" xr:uid="{00000000-0005-0000-0000-000055130000}"/>
    <cellStyle name="20% - Accent3 2 4 2 2 3 3 2" xfId="4903" xr:uid="{00000000-0005-0000-0000-000056130000}"/>
    <cellStyle name="20% - Accent3 2 4 2 2 3 4" xfId="4904" xr:uid="{00000000-0005-0000-0000-000057130000}"/>
    <cellStyle name="20% - Accent3 2 4 2 2 4" xfId="4905" xr:uid="{00000000-0005-0000-0000-000058130000}"/>
    <cellStyle name="20% - Accent3 2 4 2 2 4 2" xfId="4906" xr:uid="{00000000-0005-0000-0000-000059130000}"/>
    <cellStyle name="20% - Accent3 2 4 2 2 4 2 2" xfId="4907" xr:uid="{00000000-0005-0000-0000-00005A130000}"/>
    <cellStyle name="20% - Accent3 2 4 2 2 4 3" xfId="4908" xr:uid="{00000000-0005-0000-0000-00005B130000}"/>
    <cellStyle name="20% - Accent3 2 4 2 2 5" xfId="4909" xr:uid="{00000000-0005-0000-0000-00005C130000}"/>
    <cellStyle name="20% - Accent3 2 4 2 2 5 2" xfId="4910" xr:uid="{00000000-0005-0000-0000-00005D130000}"/>
    <cellStyle name="20% - Accent3 2 4 2 2 6" xfId="4911" xr:uid="{00000000-0005-0000-0000-00005E130000}"/>
    <cellStyle name="20% - Accent3 2 4 2 3" xfId="4912" xr:uid="{00000000-0005-0000-0000-00005F130000}"/>
    <cellStyle name="20% - Accent3 2 4 2 3 2" xfId="4913" xr:uid="{00000000-0005-0000-0000-000060130000}"/>
    <cellStyle name="20% - Accent3 2 4 2 3 2 2" xfId="4914" xr:uid="{00000000-0005-0000-0000-000061130000}"/>
    <cellStyle name="20% - Accent3 2 4 2 3 2 2 2" xfId="4915" xr:uid="{00000000-0005-0000-0000-000062130000}"/>
    <cellStyle name="20% - Accent3 2 4 2 3 2 2 2 2" xfId="4916" xr:uid="{00000000-0005-0000-0000-000063130000}"/>
    <cellStyle name="20% - Accent3 2 4 2 3 2 2 3" xfId="4917" xr:uid="{00000000-0005-0000-0000-000064130000}"/>
    <cellStyle name="20% - Accent3 2 4 2 3 2 3" xfId="4918" xr:uid="{00000000-0005-0000-0000-000065130000}"/>
    <cellStyle name="20% - Accent3 2 4 2 3 2 3 2" xfId="4919" xr:uid="{00000000-0005-0000-0000-000066130000}"/>
    <cellStyle name="20% - Accent3 2 4 2 3 2 4" xfId="4920" xr:uid="{00000000-0005-0000-0000-000067130000}"/>
    <cellStyle name="20% - Accent3 2 4 2 3 3" xfId="4921" xr:uid="{00000000-0005-0000-0000-000068130000}"/>
    <cellStyle name="20% - Accent3 2 4 2 3 3 2" xfId="4922" xr:uid="{00000000-0005-0000-0000-000069130000}"/>
    <cellStyle name="20% - Accent3 2 4 2 3 3 2 2" xfId="4923" xr:uid="{00000000-0005-0000-0000-00006A130000}"/>
    <cellStyle name="20% - Accent3 2 4 2 3 3 3" xfId="4924" xr:uid="{00000000-0005-0000-0000-00006B130000}"/>
    <cellStyle name="20% - Accent3 2 4 2 3 4" xfId="4925" xr:uid="{00000000-0005-0000-0000-00006C130000}"/>
    <cellStyle name="20% - Accent3 2 4 2 3 4 2" xfId="4926" xr:uid="{00000000-0005-0000-0000-00006D130000}"/>
    <cellStyle name="20% - Accent3 2 4 2 3 5" xfId="4927" xr:uid="{00000000-0005-0000-0000-00006E130000}"/>
    <cellStyle name="20% - Accent3 2 4 2 4" xfId="4928" xr:uid="{00000000-0005-0000-0000-00006F130000}"/>
    <cellStyle name="20% - Accent3 2 4 2 4 2" xfId="4929" xr:uid="{00000000-0005-0000-0000-000070130000}"/>
    <cellStyle name="20% - Accent3 2 4 2 4 2 2" xfId="4930" xr:uid="{00000000-0005-0000-0000-000071130000}"/>
    <cellStyle name="20% - Accent3 2 4 2 4 2 2 2" xfId="4931" xr:uid="{00000000-0005-0000-0000-000072130000}"/>
    <cellStyle name="20% - Accent3 2 4 2 4 2 3" xfId="4932" xr:uid="{00000000-0005-0000-0000-000073130000}"/>
    <cellStyle name="20% - Accent3 2 4 2 4 3" xfId="4933" xr:uid="{00000000-0005-0000-0000-000074130000}"/>
    <cellStyle name="20% - Accent3 2 4 2 4 3 2" xfId="4934" xr:uid="{00000000-0005-0000-0000-000075130000}"/>
    <cellStyle name="20% - Accent3 2 4 2 4 4" xfId="4935" xr:uid="{00000000-0005-0000-0000-000076130000}"/>
    <cellStyle name="20% - Accent3 2 4 2 5" xfId="4936" xr:uid="{00000000-0005-0000-0000-000077130000}"/>
    <cellStyle name="20% - Accent3 2 4 2 5 2" xfId="4937" xr:uid="{00000000-0005-0000-0000-000078130000}"/>
    <cellStyle name="20% - Accent3 2 4 2 5 2 2" xfId="4938" xr:uid="{00000000-0005-0000-0000-000079130000}"/>
    <cellStyle name="20% - Accent3 2 4 2 5 3" xfId="4939" xr:uid="{00000000-0005-0000-0000-00007A130000}"/>
    <cellStyle name="20% - Accent3 2 4 2 6" xfId="4940" xr:uid="{00000000-0005-0000-0000-00007B130000}"/>
    <cellStyle name="20% - Accent3 2 4 2 6 2" xfId="4941" xr:uid="{00000000-0005-0000-0000-00007C130000}"/>
    <cellStyle name="20% - Accent3 2 4 2 7" xfId="4942" xr:uid="{00000000-0005-0000-0000-00007D130000}"/>
    <cellStyle name="20% - Accent3 2 4 3" xfId="4943" xr:uid="{00000000-0005-0000-0000-00007E130000}"/>
    <cellStyle name="20% - Accent3 2 4 3 2" xfId="4944" xr:uid="{00000000-0005-0000-0000-00007F130000}"/>
    <cellStyle name="20% - Accent3 2 4 3 2 2" xfId="4945" xr:uid="{00000000-0005-0000-0000-000080130000}"/>
    <cellStyle name="20% - Accent3 2 4 3 2 2 2" xfId="4946" xr:uid="{00000000-0005-0000-0000-000081130000}"/>
    <cellStyle name="20% - Accent3 2 4 3 2 2 2 2" xfId="4947" xr:uid="{00000000-0005-0000-0000-000082130000}"/>
    <cellStyle name="20% - Accent3 2 4 3 2 2 2 2 2" xfId="4948" xr:uid="{00000000-0005-0000-0000-000083130000}"/>
    <cellStyle name="20% - Accent3 2 4 3 2 2 2 3" xfId="4949" xr:uid="{00000000-0005-0000-0000-000084130000}"/>
    <cellStyle name="20% - Accent3 2 4 3 2 2 3" xfId="4950" xr:uid="{00000000-0005-0000-0000-000085130000}"/>
    <cellStyle name="20% - Accent3 2 4 3 2 2 3 2" xfId="4951" xr:uid="{00000000-0005-0000-0000-000086130000}"/>
    <cellStyle name="20% - Accent3 2 4 3 2 2 4" xfId="4952" xr:uid="{00000000-0005-0000-0000-000087130000}"/>
    <cellStyle name="20% - Accent3 2 4 3 2 3" xfId="4953" xr:uid="{00000000-0005-0000-0000-000088130000}"/>
    <cellStyle name="20% - Accent3 2 4 3 2 3 2" xfId="4954" xr:uid="{00000000-0005-0000-0000-000089130000}"/>
    <cellStyle name="20% - Accent3 2 4 3 2 3 2 2" xfId="4955" xr:uid="{00000000-0005-0000-0000-00008A130000}"/>
    <cellStyle name="20% - Accent3 2 4 3 2 3 3" xfId="4956" xr:uid="{00000000-0005-0000-0000-00008B130000}"/>
    <cellStyle name="20% - Accent3 2 4 3 2 4" xfId="4957" xr:uid="{00000000-0005-0000-0000-00008C130000}"/>
    <cellStyle name="20% - Accent3 2 4 3 2 4 2" xfId="4958" xr:uid="{00000000-0005-0000-0000-00008D130000}"/>
    <cellStyle name="20% - Accent3 2 4 3 2 5" xfId="4959" xr:uid="{00000000-0005-0000-0000-00008E130000}"/>
    <cellStyle name="20% - Accent3 2 4 3 3" xfId="4960" xr:uid="{00000000-0005-0000-0000-00008F130000}"/>
    <cellStyle name="20% - Accent3 2 4 3 3 2" xfId="4961" xr:uid="{00000000-0005-0000-0000-000090130000}"/>
    <cellStyle name="20% - Accent3 2 4 3 3 2 2" xfId="4962" xr:uid="{00000000-0005-0000-0000-000091130000}"/>
    <cellStyle name="20% - Accent3 2 4 3 3 2 2 2" xfId="4963" xr:uid="{00000000-0005-0000-0000-000092130000}"/>
    <cellStyle name="20% - Accent3 2 4 3 3 2 3" xfId="4964" xr:uid="{00000000-0005-0000-0000-000093130000}"/>
    <cellStyle name="20% - Accent3 2 4 3 3 3" xfId="4965" xr:uid="{00000000-0005-0000-0000-000094130000}"/>
    <cellStyle name="20% - Accent3 2 4 3 3 3 2" xfId="4966" xr:uid="{00000000-0005-0000-0000-000095130000}"/>
    <cellStyle name="20% - Accent3 2 4 3 3 4" xfId="4967" xr:uid="{00000000-0005-0000-0000-000096130000}"/>
    <cellStyle name="20% - Accent3 2 4 3 4" xfId="4968" xr:uid="{00000000-0005-0000-0000-000097130000}"/>
    <cellStyle name="20% - Accent3 2 4 3 4 2" xfId="4969" xr:uid="{00000000-0005-0000-0000-000098130000}"/>
    <cellStyle name="20% - Accent3 2 4 3 4 2 2" xfId="4970" xr:uid="{00000000-0005-0000-0000-000099130000}"/>
    <cellStyle name="20% - Accent3 2 4 3 4 3" xfId="4971" xr:uid="{00000000-0005-0000-0000-00009A130000}"/>
    <cellStyle name="20% - Accent3 2 4 3 5" xfId="4972" xr:uid="{00000000-0005-0000-0000-00009B130000}"/>
    <cellStyle name="20% - Accent3 2 4 3 5 2" xfId="4973" xr:uid="{00000000-0005-0000-0000-00009C130000}"/>
    <cellStyle name="20% - Accent3 2 4 3 6" xfId="4974" xr:uid="{00000000-0005-0000-0000-00009D130000}"/>
    <cellStyle name="20% - Accent3 2 4 4" xfId="4975" xr:uid="{00000000-0005-0000-0000-00009E130000}"/>
    <cellStyle name="20% - Accent3 2 4 4 2" xfId="4976" xr:uid="{00000000-0005-0000-0000-00009F130000}"/>
    <cellStyle name="20% - Accent3 2 4 4 2 2" xfId="4977" xr:uid="{00000000-0005-0000-0000-0000A0130000}"/>
    <cellStyle name="20% - Accent3 2 4 4 2 2 2" xfId="4978" xr:uid="{00000000-0005-0000-0000-0000A1130000}"/>
    <cellStyle name="20% - Accent3 2 4 4 2 2 2 2" xfId="4979" xr:uid="{00000000-0005-0000-0000-0000A2130000}"/>
    <cellStyle name="20% - Accent3 2 4 4 2 2 3" xfId="4980" xr:uid="{00000000-0005-0000-0000-0000A3130000}"/>
    <cellStyle name="20% - Accent3 2 4 4 2 3" xfId="4981" xr:uid="{00000000-0005-0000-0000-0000A4130000}"/>
    <cellStyle name="20% - Accent3 2 4 4 2 3 2" xfId="4982" xr:uid="{00000000-0005-0000-0000-0000A5130000}"/>
    <cellStyle name="20% - Accent3 2 4 4 2 4" xfId="4983" xr:uid="{00000000-0005-0000-0000-0000A6130000}"/>
    <cellStyle name="20% - Accent3 2 4 4 3" xfId="4984" xr:uid="{00000000-0005-0000-0000-0000A7130000}"/>
    <cellStyle name="20% - Accent3 2 4 4 3 2" xfId="4985" xr:uid="{00000000-0005-0000-0000-0000A8130000}"/>
    <cellStyle name="20% - Accent3 2 4 4 3 2 2" xfId="4986" xr:uid="{00000000-0005-0000-0000-0000A9130000}"/>
    <cellStyle name="20% - Accent3 2 4 4 3 3" xfId="4987" xr:uid="{00000000-0005-0000-0000-0000AA130000}"/>
    <cellStyle name="20% - Accent3 2 4 4 4" xfId="4988" xr:uid="{00000000-0005-0000-0000-0000AB130000}"/>
    <cellStyle name="20% - Accent3 2 4 4 4 2" xfId="4989" xr:uid="{00000000-0005-0000-0000-0000AC130000}"/>
    <cellStyle name="20% - Accent3 2 4 4 5" xfId="4990" xr:uid="{00000000-0005-0000-0000-0000AD130000}"/>
    <cellStyle name="20% - Accent3 2 4 5" xfId="4991" xr:uid="{00000000-0005-0000-0000-0000AE130000}"/>
    <cellStyle name="20% - Accent3 2 4 5 2" xfId="4992" xr:uid="{00000000-0005-0000-0000-0000AF130000}"/>
    <cellStyle name="20% - Accent3 2 4 5 2 2" xfId="4993" xr:uid="{00000000-0005-0000-0000-0000B0130000}"/>
    <cellStyle name="20% - Accent3 2 4 5 2 2 2" xfId="4994" xr:uid="{00000000-0005-0000-0000-0000B1130000}"/>
    <cellStyle name="20% - Accent3 2 4 5 2 3" xfId="4995" xr:uid="{00000000-0005-0000-0000-0000B2130000}"/>
    <cellStyle name="20% - Accent3 2 4 5 3" xfId="4996" xr:uid="{00000000-0005-0000-0000-0000B3130000}"/>
    <cellStyle name="20% - Accent3 2 4 5 3 2" xfId="4997" xr:uid="{00000000-0005-0000-0000-0000B4130000}"/>
    <cellStyle name="20% - Accent3 2 4 5 4" xfId="4998" xr:uid="{00000000-0005-0000-0000-0000B5130000}"/>
    <cellStyle name="20% - Accent3 2 4 6" xfId="4999" xr:uid="{00000000-0005-0000-0000-0000B6130000}"/>
    <cellStyle name="20% - Accent3 2 4 6 2" xfId="5000" xr:uid="{00000000-0005-0000-0000-0000B7130000}"/>
    <cellStyle name="20% - Accent3 2 4 6 2 2" xfId="5001" xr:uid="{00000000-0005-0000-0000-0000B8130000}"/>
    <cellStyle name="20% - Accent3 2 4 6 3" xfId="5002" xr:uid="{00000000-0005-0000-0000-0000B9130000}"/>
    <cellStyle name="20% - Accent3 2 4 7" xfId="5003" xr:uid="{00000000-0005-0000-0000-0000BA130000}"/>
    <cellStyle name="20% - Accent3 2 4 7 2" xfId="5004" xr:uid="{00000000-0005-0000-0000-0000BB130000}"/>
    <cellStyle name="20% - Accent3 2 4 8" xfId="5005" xr:uid="{00000000-0005-0000-0000-0000BC130000}"/>
    <cellStyle name="20% - Accent3 2 5" xfId="5006" xr:uid="{00000000-0005-0000-0000-0000BD130000}"/>
    <cellStyle name="20% - Accent3 2 5 2" xfId="5007" xr:uid="{00000000-0005-0000-0000-0000BE130000}"/>
    <cellStyle name="20% - Accent3 2 5 2 2" xfId="5008" xr:uid="{00000000-0005-0000-0000-0000BF130000}"/>
    <cellStyle name="20% - Accent3 2 5 2 2 2" xfId="5009" xr:uid="{00000000-0005-0000-0000-0000C0130000}"/>
    <cellStyle name="20% - Accent3 2 5 2 2 2 2" xfId="5010" xr:uid="{00000000-0005-0000-0000-0000C1130000}"/>
    <cellStyle name="20% - Accent3 2 5 2 2 2 2 2" xfId="5011" xr:uid="{00000000-0005-0000-0000-0000C2130000}"/>
    <cellStyle name="20% - Accent3 2 5 2 2 2 2 2 2" xfId="5012" xr:uid="{00000000-0005-0000-0000-0000C3130000}"/>
    <cellStyle name="20% - Accent3 2 5 2 2 2 2 3" xfId="5013" xr:uid="{00000000-0005-0000-0000-0000C4130000}"/>
    <cellStyle name="20% - Accent3 2 5 2 2 2 3" xfId="5014" xr:uid="{00000000-0005-0000-0000-0000C5130000}"/>
    <cellStyle name="20% - Accent3 2 5 2 2 2 3 2" xfId="5015" xr:uid="{00000000-0005-0000-0000-0000C6130000}"/>
    <cellStyle name="20% - Accent3 2 5 2 2 2 4" xfId="5016" xr:uid="{00000000-0005-0000-0000-0000C7130000}"/>
    <cellStyle name="20% - Accent3 2 5 2 2 3" xfId="5017" xr:uid="{00000000-0005-0000-0000-0000C8130000}"/>
    <cellStyle name="20% - Accent3 2 5 2 2 3 2" xfId="5018" xr:uid="{00000000-0005-0000-0000-0000C9130000}"/>
    <cellStyle name="20% - Accent3 2 5 2 2 3 2 2" xfId="5019" xr:uid="{00000000-0005-0000-0000-0000CA130000}"/>
    <cellStyle name="20% - Accent3 2 5 2 2 3 3" xfId="5020" xr:uid="{00000000-0005-0000-0000-0000CB130000}"/>
    <cellStyle name="20% - Accent3 2 5 2 2 4" xfId="5021" xr:uid="{00000000-0005-0000-0000-0000CC130000}"/>
    <cellStyle name="20% - Accent3 2 5 2 2 4 2" xfId="5022" xr:uid="{00000000-0005-0000-0000-0000CD130000}"/>
    <cellStyle name="20% - Accent3 2 5 2 2 5" xfId="5023" xr:uid="{00000000-0005-0000-0000-0000CE130000}"/>
    <cellStyle name="20% - Accent3 2 5 2 3" xfId="5024" xr:uid="{00000000-0005-0000-0000-0000CF130000}"/>
    <cellStyle name="20% - Accent3 2 5 2 3 2" xfId="5025" xr:uid="{00000000-0005-0000-0000-0000D0130000}"/>
    <cellStyle name="20% - Accent3 2 5 2 3 2 2" xfId="5026" xr:uid="{00000000-0005-0000-0000-0000D1130000}"/>
    <cellStyle name="20% - Accent3 2 5 2 3 2 2 2" xfId="5027" xr:uid="{00000000-0005-0000-0000-0000D2130000}"/>
    <cellStyle name="20% - Accent3 2 5 2 3 2 3" xfId="5028" xr:uid="{00000000-0005-0000-0000-0000D3130000}"/>
    <cellStyle name="20% - Accent3 2 5 2 3 3" xfId="5029" xr:uid="{00000000-0005-0000-0000-0000D4130000}"/>
    <cellStyle name="20% - Accent3 2 5 2 3 3 2" xfId="5030" xr:uid="{00000000-0005-0000-0000-0000D5130000}"/>
    <cellStyle name="20% - Accent3 2 5 2 3 4" xfId="5031" xr:uid="{00000000-0005-0000-0000-0000D6130000}"/>
    <cellStyle name="20% - Accent3 2 5 2 4" xfId="5032" xr:uid="{00000000-0005-0000-0000-0000D7130000}"/>
    <cellStyle name="20% - Accent3 2 5 2 4 2" xfId="5033" xr:uid="{00000000-0005-0000-0000-0000D8130000}"/>
    <cellStyle name="20% - Accent3 2 5 2 4 2 2" xfId="5034" xr:uid="{00000000-0005-0000-0000-0000D9130000}"/>
    <cellStyle name="20% - Accent3 2 5 2 4 3" xfId="5035" xr:uid="{00000000-0005-0000-0000-0000DA130000}"/>
    <cellStyle name="20% - Accent3 2 5 2 5" xfId="5036" xr:uid="{00000000-0005-0000-0000-0000DB130000}"/>
    <cellStyle name="20% - Accent3 2 5 2 5 2" xfId="5037" xr:uid="{00000000-0005-0000-0000-0000DC130000}"/>
    <cellStyle name="20% - Accent3 2 5 2 6" xfId="5038" xr:uid="{00000000-0005-0000-0000-0000DD130000}"/>
    <cellStyle name="20% - Accent3 2 5 3" xfId="5039" xr:uid="{00000000-0005-0000-0000-0000DE130000}"/>
    <cellStyle name="20% - Accent3 2 5 3 2" xfId="5040" xr:uid="{00000000-0005-0000-0000-0000DF130000}"/>
    <cellStyle name="20% - Accent3 2 5 3 2 2" xfId="5041" xr:uid="{00000000-0005-0000-0000-0000E0130000}"/>
    <cellStyle name="20% - Accent3 2 5 3 2 2 2" xfId="5042" xr:uid="{00000000-0005-0000-0000-0000E1130000}"/>
    <cellStyle name="20% - Accent3 2 5 3 2 2 2 2" xfId="5043" xr:uid="{00000000-0005-0000-0000-0000E2130000}"/>
    <cellStyle name="20% - Accent3 2 5 3 2 2 3" xfId="5044" xr:uid="{00000000-0005-0000-0000-0000E3130000}"/>
    <cellStyle name="20% - Accent3 2 5 3 2 3" xfId="5045" xr:uid="{00000000-0005-0000-0000-0000E4130000}"/>
    <cellStyle name="20% - Accent3 2 5 3 2 3 2" xfId="5046" xr:uid="{00000000-0005-0000-0000-0000E5130000}"/>
    <cellStyle name="20% - Accent3 2 5 3 2 4" xfId="5047" xr:uid="{00000000-0005-0000-0000-0000E6130000}"/>
    <cellStyle name="20% - Accent3 2 5 3 3" xfId="5048" xr:uid="{00000000-0005-0000-0000-0000E7130000}"/>
    <cellStyle name="20% - Accent3 2 5 3 3 2" xfId="5049" xr:uid="{00000000-0005-0000-0000-0000E8130000}"/>
    <cellStyle name="20% - Accent3 2 5 3 3 2 2" xfId="5050" xr:uid="{00000000-0005-0000-0000-0000E9130000}"/>
    <cellStyle name="20% - Accent3 2 5 3 3 3" xfId="5051" xr:uid="{00000000-0005-0000-0000-0000EA130000}"/>
    <cellStyle name="20% - Accent3 2 5 3 4" xfId="5052" xr:uid="{00000000-0005-0000-0000-0000EB130000}"/>
    <cellStyle name="20% - Accent3 2 5 3 4 2" xfId="5053" xr:uid="{00000000-0005-0000-0000-0000EC130000}"/>
    <cellStyle name="20% - Accent3 2 5 3 5" xfId="5054" xr:uid="{00000000-0005-0000-0000-0000ED130000}"/>
    <cellStyle name="20% - Accent3 2 5 4" xfId="5055" xr:uid="{00000000-0005-0000-0000-0000EE130000}"/>
    <cellStyle name="20% - Accent3 2 5 4 2" xfId="5056" xr:uid="{00000000-0005-0000-0000-0000EF130000}"/>
    <cellStyle name="20% - Accent3 2 5 4 2 2" xfId="5057" xr:uid="{00000000-0005-0000-0000-0000F0130000}"/>
    <cellStyle name="20% - Accent3 2 5 4 2 2 2" xfId="5058" xr:uid="{00000000-0005-0000-0000-0000F1130000}"/>
    <cellStyle name="20% - Accent3 2 5 4 2 3" xfId="5059" xr:uid="{00000000-0005-0000-0000-0000F2130000}"/>
    <cellStyle name="20% - Accent3 2 5 4 3" xfId="5060" xr:uid="{00000000-0005-0000-0000-0000F3130000}"/>
    <cellStyle name="20% - Accent3 2 5 4 3 2" xfId="5061" xr:uid="{00000000-0005-0000-0000-0000F4130000}"/>
    <cellStyle name="20% - Accent3 2 5 4 4" xfId="5062" xr:uid="{00000000-0005-0000-0000-0000F5130000}"/>
    <cellStyle name="20% - Accent3 2 5 5" xfId="5063" xr:uid="{00000000-0005-0000-0000-0000F6130000}"/>
    <cellStyle name="20% - Accent3 2 5 5 2" xfId="5064" xr:uid="{00000000-0005-0000-0000-0000F7130000}"/>
    <cellStyle name="20% - Accent3 2 5 5 2 2" xfId="5065" xr:uid="{00000000-0005-0000-0000-0000F8130000}"/>
    <cellStyle name="20% - Accent3 2 5 5 3" xfId="5066" xr:uid="{00000000-0005-0000-0000-0000F9130000}"/>
    <cellStyle name="20% - Accent3 2 5 6" xfId="5067" xr:uid="{00000000-0005-0000-0000-0000FA130000}"/>
    <cellStyle name="20% - Accent3 2 5 6 2" xfId="5068" xr:uid="{00000000-0005-0000-0000-0000FB130000}"/>
    <cellStyle name="20% - Accent3 2 5 7" xfId="5069" xr:uid="{00000000-0005-0000-0000-0000FC130000}"/>
    <cellStyle name="20% - Accent3 2 6" xfId="5070" xr:uid="{00000000-0005-0000-0000-0000FD130000}"/>
    <cellStyle name="20% - Accent3 2 6 2" xfId="5071" xr:uid="{00000000-0005-0000-0000-0000FE130000}"/>
    <cellStyle name="20% - Accent3 2 6 2 2" xfId="5072" xr:uid="{00000000-0005-0000-0000-0000FF130000}"/>
    <cellStyle name="20% - Accent3 2 6 2 2 2" xfId="5073" xr:uid="{00000000-0005-0000-0000-000000140000}"/>
    <cellStyle name="20% - Accent3 2 6 2 2 2 2" xfId="5074" xr:uid="{00000000-0005-0000-0000-000001140000}"/>
    <cellStyle name="20% - Accent3 2 6 2 2 2 2 2" xfId="5075" xr:uid="{00000000-0005-0000-0000-000002140000}"/>
    <cellStyle name="20% - Accent3 2 6 2 2 2 3" xfId="5076" xr:uid="{00000000-0005-0000-0000-000003140000}"/>
    <cellStyle name="20% - Accent3 2 6 2 2 3" xfId="5077" xr:uid="{00000000-0005-0000-0000-000004140000}"/>
    <cellStyle name="20% - Accent3 2 6 2 2 3 2" xfId="5078" xr:uid="{00000000-0005-0000-0000-000005140000}"/>
    <cellStyle name="20% - Accent3 2 6 2 2 4" xfId="5079" xr:uid="{00000000-0005-0000-0000-000006140000}"/>
    <cellStyle name="20% - Accent3 2 6 2 3" xfId="5080" xr:uid="{00000000-0005-0000-0000-000007140000}"/>
    <cellStyle name="20% - Accent3 2 6 2 3 2" xfId="5081" xr:uid="{00000000-0005-0000-0000-000008140000}"/>
    <cellStyle name="20% - Accent3 2 6 2 3 2 2" xfId="5082" xr:uid="{00000000-0005-0000-0000-000009140000}"/>
    <cellStyle name="20% - Accent3 2 6 2 3 3" xfId="5083" xr:uid="{00000000-0005-0000-0000-00000A140000}"/>
    <cellStyle name="20% - Accent3 2 6 2 4" xfId="5084" xr:uid="{00000000-0005-0000-0000-00000B140000}"/>
    <cellStyle name="20% - Accent3 2 6 2 4 2" xfId="5085" xr:uid="{00000000-0005-0000-0000-00000C140000}"/>
    <cellStyle name="20% - Accent3 2 6 2 5" xfId="5086" xr:uid="{00000000-0005-0000-0000-00000D140000}"/>
    <cellStyle name="20% - Accent3 2 6 3" xfId="5087" xr:uid="{00000000-0005-0000-0000-00000E140000}"/>
    <cellStyle name="20% - Accent3 2 6 3 2" xfId="5088" xr:uid="{00000000-0005-0000-0000-00000F140000}"/>
    <cellStyle name="20% - Accent3 2 6 3 2 2" xfId="5089" xr:uid="{00000000-0005-0000-0000-000010140000}"/>
    <cellStyle name="20% - Accent3 2 6 3 2 2 2" xfId="5090" xr:uid="{00000000-0005-0000-0000-000011140000}"/>
    <cellStyle name="20% - Accent3 2 6 3 2 3" xfId="5091" xr:uid="{00000000-0005-0000-0000-000012140000}"/>
    <cellStyle name="20% - Accent3 2 6 3 3" xfId="5092" xr:uid="{00000000-0005-0000-0000-000013140000}"/>
    <cellStyle name="20% - Accent3 2 6 3 3 2" xfId="5093" xr:uid="{00000000-0005-0000-0000-000014140000}"/>
    <cellStyle name="20% - Accent3 2 6 3 4" xfId="5094" xr:uid="{00000000-0005-0000-0000-000015140000}"/>
    <cellStyle name="20% - Accent3 2 6 4" xfId="5095" xr:uid="{00000000-0005-0000-0000-000016140000}"/>
    <cellStyle name="20% - Accent3 2 6 4 2" xfId="5096" xr:uid="{00000000-0005-0000-0000-000017140000}"/>
    <cellStyle name="20% - Accent3 2 6 4 2 2" xfId="5097" xr:uid="{00000000-0005-0000-0000-000018140000}"/>
    <cellStyle name="20% - Accent3 2 6 4 3" xfId="5098" xr:uid="{00000000-0005-0000-0000-000019140000}"/>
    <cellStyle name="20% - Accent3 2 6 5" xfId="5099" xr:uid="{00000000-0005-0000-0000-00001A140000}"/>
    <cellStyle name="20% - Accent3 2 6 5 2" xfId="5100" xr:uid="{00000000-0005-0000-0000-00001B140000}"/>
    <cellStyle name="20% - Accent3 2 6 6" xfId="5101" xr:uid="{00000000-0005-0000-0000-00001C140000}"/>
    <cellStyle name="20% - Accent3 2 7" xfId="5102" xr:uid="{00000000-0005-0000-0000-00001D140000}"/>
    <cellStyle name="20% - Accent3 2 7 2" xfId="5103" xr:uid="{00000000-0005-0000-0000-00001E140000}"/>
    <cellStyle name="20% - Accent3 2 7 2 2" xfId="5104" xr:uid="{00000000-0005-0000-0000-00001F140000}"/>
    <cellStyle name="20% - Accent3 2 7 2 2 2" xfId="5105" xr:uid="{00000000-0005-0000-0000-000020140000}"/>
    <cellStyle name="20% - Accent3 2 7 2 2 2 2" xfId="5106" xr:uid="{00000000-0005-0000-0000-000021140000}"/>
    <cellStyle name="20% - Accent3 2 7 2 2 3" xfId="5107" xr:uid="{00000000-0005-0000-0000-000022140000}"/>
    <cellStyle name="20% - Accent3 2 7 2 3" xfId="5108" xr:uid="{00000000-0005-0000-0000-000023140000}"/>
    <cellStyle name="20% - Accent3 2 7 2 3 2" xfId="5109" xr:uid="{00000000-0005-0000-0000-000024140000}"/>
    <cellStyle name="20% - Accent3 2 7 2 4" xfId="5110" xr:uid="{00000000-0005-0000-0000-000025140000}"/>
    <cellStyle name="20% - Accent3 2 7 3" xfId="5111" xr:uid="{00000000-0005-0000-0000-000026140000}"/>
    <cellStyle name="20% - Accent3 2 7 3 2" xfId="5112" xr:uid="{00000000-0005-0000-0000-000027140000}"/>
    <cellStyle name="20% - Accent3 2 7 3 2 2" xfId="5113" xr:uid="{00000000-0005-0000-0000-000028140000}"/>
    <cellStyle name="20% - Accent3 2 7 3 3" xfId="5114" xr:uid="{00000000-0005-0000-0000-000029140000}"/>
    <cellStyle name="20% - Accent3 2 7 4" xfId="5115" xr:uid="{00000000-0005-0000-0000-00002A140000}"/>
    <cellStyle name="20% - Accent3 2 7 4 2" xfId="5116" xr:uid="{00000000-0005-0000-0000-00002B140000}"/>
    <cellStyle name="20% - Accent3 2 7 5" xfId="5117" xr:uid="{00000000-0005-0000-0000-00002C140000}"/>
    <cellStyle name="20% - Accent3 2 8" xfId="5118" xr:uid="{00000000-0005-0000-0000-00002D140000}"/>
    <cellStyle name="20% - Accent3 2 8 2" xfId="5119" xr:uid="{00000000-0005-0000-0000-00002E140000}"/>
    <cellStyle name="20% - Accent3 2 8 2 2" xfId="5120" xr:uid="{00000000-0005-0000-0000-00002F140000}"/>
    <cellStyle name="20% - Accent3 2 8 2 2 2" xfId="5121" xr:uid="{00000000-0005-0000-0000-000030140000}"/>
    <cellStyle name="20% - Accent3 2 8 2 3" xfId="5122" xr:uid="{00000000-0005-0000-0000-000031140000}"/>
    <cellStyle name="20% - Accent3 2 8 3" xfId="5123" xr:uid="{00000000-0005-0000-0000-000032140000}"/>
    <cellStyle name="20% - Accent3 2 8 3 2" xfId="5124" xr:uid="{00000000-0005-0000-0000-000033140000}"/>
    <cellStyle name="20% - Accent3 2 8 4" xfId="5125" xr:uid="{00000000-0005-0000-0000-000034140000}"/>
    <cellStyle name="20% - Accent3 2 9" xfId="5126" xr:uid="{00000000-0005-0000-0000-000035140000}"/>
    <cellStyle name="20% - Accent3 2 9 2" xfId="5127" xr:uid="{00000000-0005-0000-0000-000036140000}"/>
    <cellStyle name="20% - Accent3 2 9 2 2" xfId="5128" xr:uid="{00000000-0005-0000-0000-000037140000}"/>
    <cellStyle name="20% - Accent3 2 9 3" xfId="5129" xr:uid="{00000000-0005-0000-0000-000038140000}"/>
    <cellStyle name="20% - Accent3 3" xfId="5130" xr:uid="{00000000-0005-0000-0000-000039140000}"/>
    <cellStyle name="20% - Accent3 3 10" xfId="5131" xr:uid="{00000000-0005-0000-0000-00003A140000}"/>
    <cellStyle name="20% - Accent3 3 2" xfId="5132" xr:uid="{00000000-0005-0000-0000-00003B140000}"/>
    <cellStyle name="20% - Accent3 3 2 2" xfId="5133" xr:uid="{00000000-0005-0000-0000-00003C140000}"/>
    <cellStyle name="20% - Accent3 3 2 2 2" xfId="5134" xr:uid="{00000000-0005-0000-0000-00003D140000}"/>
    <cellStyle name="20% - Accent3 3 2 2 2 2" xfId="5135" xr:uid="{00000000-0005-0000-0000-00003E140000}"/>
    <cellStyle name="20% - Accent3 3 2 2 2 2 2" xfId="5136" xr:uid="{00000000-0005-0000-0000-00003F140000}"/>
    <cellStyle name="20% - Accent3 3 2 2 2 2 2 2" xfId="5137" xr:uid="{00000000-0005-0000-0000-000040140000}"/>
    <cellStyle name="20% - Accent3 3 2 2 2 2 2 2 2" xfId="5138" xr:uid="{00000000-0005-0000-0000-000041140000}"/>
    <cellStyle name="20% - Accent3 3 2 2 2 2 2 2 2 2" xfId="5139" xr:uid="{00000000-0005-0000-0000-000042140000}"/>
    <cellStyle name="20% - Accent3 3 2 2 2 2 2 2 2 2 2" xfId="5140" xr:uid="{00000000-0005-0000-0000-000043140000}"/>
    <cellStyle name="20% - Accent3 3 2 2 2 2 2 2 2 3" xfId="5141" xr:uid="{00000000-0005-0000-0000-000044140000}"/>
    <cellStyle name="20% - Accent3 3 2 2 2 2 2 2 3" xfId="5142" xr:uid="{00000000-0005-0000-0000-000045140000}"/>
    <cellStyle name="20% - Accent3 3 2 2 2 2 2 2 3 2" xfId="5143" xr:uid="{00000000-0005-0000-0000-000046140000}"/>
    <cellStyle name="20% - Accent3 3 2 2 2 2 2 2 4" xfId="5144" xr:uid="{00000000-0005-0000-0000-000047140000}"/>
    <cellStyle name="20% - Accent3 3 2 2 2 2 2 3" xfId="5145" xr:uid="{00000000-0005-0000-0000-000048140000}"/>
    <cellStyle name="20% - Accent3 3 2 2 2 2 2 3 2" xfId="5146" xr:uid="{00000000-0005-0000-0000-000049140000}"/>
    <cellStyle name="20% - Accent3 3 2 2 2 2 2 3 2 2" xfId="5147" xr:uid="{00000000-0005-0000-0000-00004A140000}"/>
    <cellStyle name="20% - Accent3 3 2 2 2 2 2 3 3" xfId="5148" xr:uid="{00000000-0005-0000-0000-00004B140000}"/>
    <cellStyle name="20% - Accent3 3 2 2 2 2 2 4" xfId="5149" xr:uid="{00000000-0005-0000-0000-00004C140000}"/>
    <cellStyle name="20% - Accent3 3 2 2 2 2 2 4 2" xfId="5150" xr:uid="{00000000-0005-0000-0000-00004D140000}"/>
    <cellStyle name="20% - Accent3 3 2 2 2 2 2 5" xfId="5151" xr:uid="{00000000-0005-0000-0000-00004E140000}"/>
    <cellStyle name="20% - Accent3 3 2 2 2 2 3" xfId="5152" xr:uid="{00000000-0005-0000-0000-00004F140000}"/>
    <cellStyle name="20% - Accent3 3 2 2 2 2 3 2" xfId="5153" xr:uid="{00000000-0005-0000-0000-000050140000}"/>
    <cellStyle name="20% - Accent3 3 2 2 2 2 3 2 2" xfId="5154" xr:uid="{00000000-0005-0000-0000-000051140000}"/>
    <cellStyle name="20% - Accent3 3 2 2 2 2 3 2 2 2" xfId="5155" xr:uid="{00000000-0005-0000-0000-000052140000}"/>
    <cellStyle name="20% - Accent3 3 2 2 2 2 3 2 3" xfId="5156" xr:uid="{00000000-0005-0000-0000-000053140000}"/>
    <cellStyle name="20% - Accent3 3 2 2 2 2 3 3" xfId="5157" xr:uid="{00000000-0005-0000-0000-000054140000}"/>
    <cellStyle name="20% - Accent3 3 2 2 2 2 3 3 2" xfId="5158" xr:uid="{00000000-0005-0000-0000-000055140000}"/>
    <cellStyle name="20% - Accent3 3 2 2 2 2 3 4" xfId="5159" xr:uid="{00000000-0005-0000-0000-000056140000}"/>
    <cellStyle name="20% - Accent3 3 2 2 2 2 4" xfId="5160" xr:uid="{00000000-0005-0000-0000-000057140000}"/>
    <cellStyle name="20% - Accent3 3 2 2 2 2 4 2" xfId="5161" xr:uid="{00000000-0005-0000-0000-000058140000}"/>
    <cellStyle name="20% - Accent3 3 2 2 2 2 4 2 2" xfId="5162" xr:uid="{00000000-0005-0000-0000-000059140000}"/>
    <cellStyle name="20% - Accent3 3 2 2 2 2 4 3" xfId="5163" xr:uid="{00000000-0005-0000-0000-00005A140000}"/>
    <cellStyle name="20% - Accent3 3 2 2 2 2 5" xfId="5164" xr:uid="{00000000-0005-0000-0000-00005B140000}"/>
    <cellStyle name="20% - Accent3 3 2 2 2 2 5 2" xfId="5165" xr:uid="{00000000-0005-0000-0000-00005C140000}"/>
    <cellStyle name="20% - Accent3 3 2 2 2 2 6" xfId="5166" xr:uid="{00000000-0005-0000-0000-00005D140000}"/>
    <cellStyle name="20% - Accent3 3 2 2 2 3" xfId="5167" xr:uid="{00000000-0005-0000-0000-00005E140000}"/>
    <cellStyle name="20% - Accent3 3 2 2 2 3 2" xfId="5168" xr:uid="{00000000-0005-0000-0000-00005F140000}"/>
    <cellStyle name="20% - Accent3 3 2 2 2 3 2 2" xfId="5169" xr:uid="{00000000-0005-0000-0000-000060140000}"/>
    <cellStyle name="20% - Accent3 3 2 2 2 3 2 2 2" xfId="5170" xr:uid="{00000000-0005-0000-0000-000061140000}"/>
    <cellStyle name="20% - Accent3 3 2 2 2 3 2 2 2 2" xfId="5171" xr:uid="{00000000-0005-0000-0000-000062140000}"/>
    <cellStyle name="20% - Accent3 3 2 2 2 3 2 2 3" xfId="5172" xr:uid="{00000000-0005-0000-0000-000063140000}"/>
    <cellStyle name="20% - Accent3 3 2 2 2 3 2 3" xfId="5173" xr:uid="{00000000-0005-0000-0000-000064140000}"/>
    <cellStyle name="20% - Accent3 3 2 2 2 3 2 3 2" xfId="5174" xr:uid="{00000000-0005-0000-0000-000065140000}"/>
    <cellStyle name="20% - Accent3 3 2 2 2 3 2 4" xfId="5175" xr:uid="{00000000-0005-0000-0000-000066140000}"/>
    <cellStyle name="20% - Accent3 3 2 2 2 3 3" xfId="5176" xr:uid="{00000000-0005-0000-0000-000067140000}"/>
    <cellStyle name="20% - Accent3 3 2 2 2 3 3 2" xfId="5177" xr:uid="{00000000-0005-0000-0000-000068140000}"/>
    <cellStyle name="20% - Accent3 3 2 2 2 3 3 2 2" xfId="5178" xr:uid="{00000000-0005-0000-0000-000069140000}"/>
    <cellStyle name="20% - Accent3 3 2 2 2 3 3 3" xfId="5179" xr:uid="{00000000-0005-0000-0000-00006A140000}"/>
    <cellStyle name="20% - Accent3 3 2 2 2 3 4" xfId="5180" xr:uid="{00000000-0005-0000-0000-00006B140000}"/>
    <cellStyle name="20% - Accent3 3 2 2 2 3 4 2" xfId="5181" xr:uid="{00000000-0005-0000-0000-00006C140000}"/>
    <cellStyle name="20% - Accent3 3 2 2 2 3 5" xfId="5182" xr:uid="{00000000-0005-0000-0000-00006D140000}"/>
    <cellStyle name="20% - Accent3 3 2 2 2 4" xfId="5183" xr:uid="{00000000-0005-0000-0000-00006E140000}"/>
    <cellStyle name="20% - Accent3 3 2 2 2 4 2" xfId="5184" xr:uid="{00000000-0005-0000-0000-00006F140000}"/>
    <cellStyle name="20% - Accent3 3 2 2 2 4 2 2" xfId="5185" xr:uid="{00000000-0005-0000-0000-000070140000}"/>
    <cellStyle name="20% - Accent3 3 2 2 2 4 2 2 2" xfId="5186" xr:uid="{00000000-0005-0000-0000-000071140000}"/>
    <cellStyle name="20% - Accent3 3 2 2 2 4 2 3" xfId="5187" xr:uid="{00000000-0005-0000-0000-000072140000}"/>
    <cellStyle name="20% - Accent3 3 2 2 2 4 3" xfId="5188" xr:uid="{00000000-0005-0000-0000-000073140000}"/>
    <cellStyle name="20% - Accent3 3 2 2 2 4 3 2" xfId="5189" xr:uid="{00000000-0005-0000-0000-000074140000}"/>
    <cellStyle name="20% - Accent3 3 2 2 2 4 4" xfId="5190" xr:uid="{00000000-0005-0000-0000-000075140000}"/>
    <cellStyle name="20% - Accent3 3 2 2 2 5" xfId="5191" xr:uid="{00000000-0005-0000-0000-000076140000}"/>
    <cellStyle name="20% - Accent3 3 2 2 2 5 2" xfId="5192" xr:uid="{00000000-0005-0000-0000-000077140000}"/>
    <cellStyle name="20% - Accent3 3 2 2 2 5 2 2" xfId="5193" xr:uid="{00000000-0005-0000-0000-000078140000}"/>
    <cellStyle name="20% - Accent3 3 2 2 2 5 3" xfId="5194" xr:uid="{00000000-0005-0000-0000-000079140000}"/>
    <cellStyle name="20% - Accent3 3 2 2 2 6" xfId="5195" xr:uid="{00000000-0005-0000-0000-00007A140000}"/>
    <cellStyle name="20% - Accent3 3 2 2 2 6 2" xfId="5196" xr:uid="{00000000-0005-0000-0000-00007B140000}"/>
    <cellStyle name="20% - Accent3 3 2 2 2 7" xfId="5197" xr:uid="{00000000-0005-0000-0000-00007C140000}"/>
    <cellStyle name="20% - Accent3 3 2 2 3" xfId="5198" xr:uid="{00000000-0005-0000-0000-00007D140000}"/>
    <cellStyle name="20% - Accent3 3 2 2 3 2" xfId="5199" xr:uid="{00000000-0005-0000-0000-00007E140000}"/>
    <cellStyle name="20% - Accent3 3 2 2 3 2 2" xfId="5200" xr:uid="{00000000-0005-0000-0000-00007F140000}"/>
    <cellStyle name="20% - Accent3 3 2 2 3 2 2 2" xfId="5201" xr:uid="{00000000-0005-0000-0000-000080140000}"/>
    <cellStyle name="20% - Accent3 3 2 2 3 2 2 2 2" xfId="5202" xr:uid="{00000000-0005-0000-0000-000081140000}"/>
    <cellStyle name="20% - Accent3 3 2 2 3 2 2 2 2 2" xfId="5203" xr:uid="{00000000-0005-0000-0000-000082140000}"/>
    <cellStyle name="20% - Accent3 3 2 2 3 2 2 2 3" xfId="5204" xr:uid="{00000000-0005-0000-0000-000083140000}"/>
    <cellStyle name="20% - Accent3 3 2 2 3 2 2 3" xfId="5205" xr:uid="{00000000-0005-0000-0000-000084140000}"/>
    <cellStyle name="20% - Accent3 3 2 2 3 2 2 3 2" xfId="5206" xr:uid="{00000000-0005-0000-0000-000085140000}"/>
    <cellStyle name="20% - Accent3 3 2 2 3 2 2 4" xfId="5207" xr:uid="{00000000-0005-0000-0000-000086140000}"/>
    <cellStyle name="20% - Accent3 3 2 2 3 2 3" xfId="5208" xr:uid="{00000000-0005-0000-0000-000087140000}"/>
    <cellStyle name="20% - Accent3 3 2 2 3 2 3 2" xfId="5209" xr:uid="{00000000-0005-0000-0000-000088140000}"/>
    <cellStyle name="20% - Accent3 3 2 2 3 2 3 2 2" xfId="5210" xr:uid="{00000000-0005-0000-0000-000089140000}"/>
    <cellStyle name="20% - Accent3 3 2 2 3 2 3 3" xfId="5211" xr:uid="{00000000-0005-0000-0000-00008A140000}"/>
    <cellStyle name="20% - Accent3 3 2 2 3 2 4" xfId="5212" xr:uid="{00000000-0005-0000-0000-00008B140000}"/>
    <cellStyle name="20% - Accent3 3 2 2 3 2 4 2" xfId="5213" xr:uid="{00000000-0005-0000-0000-00008C140000}"/>
    <cellStyle name="20% - Accent3 3 2 2 3 2 5" xfId="5214" xr:uid="{00000000-0005-0000-0000-00008D140000}"/>
    <cellStyle name="20% - Accent3 3 2 2 3 3" xfId="5215" xr:uid="{00000000-0005-0000-0000-00008E140000}"/>
    <cellStyle name="20% - Accent3 3 2 2 3 3 2" xfId="5216" xr:uid="{00000000-0005-0000-0000-00008F140000}"/>
    <cellStyle name="20% - Accent3 3 2 2 3 3 2 2" xfId="5217" xr:uid="{00000000-0005-0000-0000-000090140000}"/>
    <cellStyle name="20% - Accent3 3 2 2 3 3 2 2 2" xfId="5218" xr:uid="{00000000-0005-0000-0000-000091140000}"/>
    <cellStyle name="20% - Accent3 3 2 2 3 3 2 3" xfId="5219" xr:uid="{00000000-0005-0000-0000-000092140000}"/>
    <cellStyle name="20% - Accent3 3 2 2 3 3 3" xfId="5220" xr:uid="{00000000-0005-0000-0000-000093140000}"/>
    <cellStyle name="20% - Accent3 3 2 2 3 3 3 2" xfId="5221" xr:uid="{00000000-0005-0000-0000-000094140000}"/>
    <cellStyle name="20% - Accent3 3 2 2 3 3 4" xfId="5222" xr:uid="{00000000-0005-0000-0000-000095140000}"/>
    <cellStyle name="20% - Accent3 3 2 2 3 4" xfId="5223" xr:uid="{00000000-0005-0000-0000-000096140000}"/>
    <cellStyle name="20% - Accent3 3 2 2 3 4 2" xfId="5224" xr:uid="{00000000-0005-0000-0000-000097140000}"/>
    <cellStyle name="20% - Accent3 3 2 2 3 4 2 2" xfId="5225" xr:uid="{00000000-0005-0000-0000-000098140000}"/>
    <cellStyle name="20% - Accent3 3 2 2 3 4 3" xfId="5226" xr:uid="{00000000-0005-0000-0000-000099140000}"/>
    <cellStyle name="20% - Accent3 3 2 2 3 5" xfId="5227" xr:uid="{00000000-0005-0000-0000-00009A140000}"/>
    <cellStyle name="20% - Accent3 3 2 2 3 5 2" xfId="5228" xr:uid="{00000000-0005-0000-0000-00009B140000}"/>
    <cellStyle name="20% - Accent3 3 2 2 3 6" xfId="5229" xr:uid="{00000000-0005-0000-0000-00009C140000}"/>
    <cellStyle name="20% - Accent3 3 2 2 4" xfId="5230" xr:uid="{00000000-0005-0000-0000-00009D140000}"/>
    <cellStyle name="20% - Accent3 3 2 2 4 2" xfId="5231" xr:uid="{00000000-0005-0000-0000-00009E140000}"/>
    <cellStyle name="20% - Accent3 3 2 2 4 2 2" xfId="5232" xr:uid="{00000000-0005-0000-0000-00009F140000}"/>
    <cellStyle name="20% - Accent3 3 2 2 4 2 2 2" xfId="5233" xr:uid="{00000000-0005-0000-0000-0000A0140000}"/>
    <cellStyle name="20% - Accent3 3 2 2 4 2 2 2 2" xfId="5234" xr:uid="{00000000-0005-0000-0000-0000A1140000}"/>
    <cellStyle name="20% - Accent3 3 2 2 4 2 2 3" xfId="5235" xr:uid="{00000000-0005-0000-0000-0000A2140000}"/>
    <cellStyle name="20% - Accent3 3 2 2 4 2 3" xfId="5236" xr:uid="{00000000-0005-0000-0000-0000A3140000}"/>
    <cellStyle name="20% - Accent3 3 2 2 4 2 3 2" xfId="5237" xr:uid="{00000000-0005-0000-0000-0000A4140000}"/>
    <cellStyle name="20% - Accent3 3 2 2 4 2 4" xfId="5238" xr:uid="{00000000-0005-0000-0000-0000A5140000}"/>
    <cellStyle name="20% - Accent3 3 2 2 4 3" xfId="5239" xr:uid="{00000000-0005-0000-0000-0000A6140000}"/>
    <cellStyle name="20% - Accent3 3 2 2 4 3 2" xfId="5240" xr:uid="{00000000-0005-0000-0000-0000A7140000}"/>
    <cellStyle name="20% - Accent3 3 2 2 4 3 2 2" xfId="5241" xr:uid="{00000000-0005-0000-0000-0000A8140000}"/>
    <cellStyle name="20% - Accent3 3 2 2 4 3 3" xfId="5242" xr:uid="{00000000-0005-0000-0000-0000A9140000}"/>
    <cellStyle name="20% - Accent3 3 2 2 4 4" xfId="5243" xr:uid="{00000000-0005-0000-0000-0000AA140000}"/>
    <cellStyle name="20% - Accent3 3 2 2 4 4 2" xfId="5244" xr:uid="{00000000-0005-0000-0000-0000AB140000}"/>
    <cellStyle name="20% - Accent3 3 2 2 4 5" xfId="5245" xr:uid="{00000000-0005-0000-0000-0000AC140000}"/>
    <cellStyle name="20% - Accent3 3 2 2 5" xfId="5246" xr:uid="{00000000-0005-0000-0000-0000AD140000}"/>
    <cellStyle name="20% - Accent3 3 2 2 5 2" xfId="5247" xr:uid="{00000000-0005-0000-0000-0000AE140000}"/>
    <cellStyle name="20% - Accent3 3 2 2 5 2 2" xfId="5248" xr:uid="{00000000-0005-0000-0000-0000AF140000}"/>
    <cellStyle name="20% - Accent3 3 2 2 5 2 2 2" xfId="5249" xr:uid="{00000000-0005-0000-0000-0000B0140000}"/>
    <cellStyle name="20% - Accent3 3 2 2 5 2 3" xfId="5250" xr:uid="{00000000-0005-0000-0000-0000B1140000}"/>
    <cellStyle name="20% - Accent3 3 2 2 5 3" xfId="5251" xr:uid="{00000000-0005-0000-0000-0000B2140000}"/>
    <cellStyle name="20% - Accent3 3 2 2 5 3 2" xfId="5252" xr:uid="{00000000-0005-0000-0000-0000B3140000}"/>
    <cellStyle name="20% - Accent3 3 2 2 5 4" xfId="5253" xr:uid="{00000000-0005-0000-0000-0000B4140000}"/>
    <cellStyle name="20% - Accent3 3 2 2 6" xfId="5254" xr:uid="{00000000-0005-0000-0000-0000B5140000}"/>
    <cellStyle name="20% - Accent3 3 2 2 6 2" xfId="5255" xr:uid="{00000000-0005-0000-0000-0000B6140000}"/>
    <cellStyle name="20% - Accent3 3 2 2 6 2 2" xfId="5256" xr:uid="{00000000-0005-0000-0000-0000B7140000}"/>
    <cellStyle name="20% - Accent3 3 2 2 6 3" xfId="5257" xr:uid="{00000000-0005-0000-0000-0000B8140000}"/>
    <cellStyle name="20% - Accent3 3 2 2 7" xfId="5258" xr:uid="{00000000-0005-0000-0000-0000B9140000}"/>
    <cellStyle name="20% - Accent3 3 2 2 7 2" xfId="5259" xr:uid="{00000000-0005-0000-0000-0000BA140000}"/>
    <cellStyle name="20% - Accent3 3 2 2 8" xfId="5260" xr:uid="{00000000-0005-0000-0000-0000BB140000}"/>
    <cellStyle name="20% - Accent3 3 2 3" xfId="5261" xr:uid="{00000000-0005-0000-0000-0000BC140000}"/>
    <cellStyle name="20% - Accent3 3 2 3 2" xfId="5262" xr:uid="{00000000-0005-0000-0000-0000BD140000}"/>
    <cellStyle name="20% - Accent3 3 2 3 2 2" xfId="5263" xr:uid="{00000000-0005-0000-0000-0000BE140000}"/>
    <cellStyle name="20% - Accent3 3 2 3 2 2 2" xfId="5264" xr:uid="{00000000-0005-0000-0000-0000BF140000}"/>
    <cellStyle name="20% - Accent3 3 2 3 2 2 2 2" xfId="5265" xr:uid="{00000000-0005-0000-0000-0000C0140000}"/>
    <cellStyle name="20% - Accent3 3 2 3 2 2 2 2 2" xfId="5266" xr:uid="{00000000-0005-0000-0000-0000C1140000}"/>
    <cellStyle name="20% - Accent3 3 2 3 2 2 2 2 2 2" xfId="5267" xr:uid="{00000000-0005-0000-0000-0000C2140000}"/>
    <cellStyle name="20% - Accent3 3 2 3 2 2 2 2 3" xfId="5268" xr:uid="{00000000-0005-0000-0000-0000C3140000}"/>
    <cellStyle name="20% - Accent3 3 2 3 2 2 2 3" xfId="5269" xr:uid="{00000000-0005-0000-0000-0000C4140000}"/>
    <cellStyle name="20% - Accent3 3 2 3 2 2 2 3 2" xfId="5270" xr:uid="{00000000-0005-0000-0000-0000C5140000}"/>
    <cellStyle name="20% - Accent3 3 2 3 2 2 2 4" xfId="5271" xr:uid="{00000000-0005-0000-0000-0000C6140000}"/>
    <cellStyle name="20% - Accent3 3 2 3 2 2 3" xfId="5272" xr:uid="{00000000-0005-0000-0000-0000C7140000}"/>
    <cellStyle name="20% - Accent3 3 2 3 2 2 3 2" xfId="5273" xr:uid="{00000000-0005-0000-0000-0000C8140000}"/>
    <cellStyle name="20% - Accent3 3 2 3 2 2 3 2 2" xfId="5274" xr:uid="{00000000-0005-0000-0000-0000C9140000}"/>
    <cellStyle name="20% - Accent3 3 2 3 2 2 3 3" xfId="5275" xr:uid="{00000000-0005-0000-0000-0000CA140000}"/>
    <cellStyle name="20% - Accent3 3 2 3 2 2 4" xfId="5276" xr:uid="{00000000-0005-0000-0000-0000CB140000}"/>
    <cellStyle name="20% - Accent3 3 2 3 2 2 4 2" xfId="5277" xr:uid="{00000000-0005-0000-0000-0000CC140000}"/>
    <cellStyle name="20% - Accent3 3 2 3 2 2 5" xfId="5278" xr:uid="{00000000-0005-0000-0000-0000CD140000}"/>
    <cellStyle name="20% - Accent3 3 2 3 2 3" xfId="5279" xr:uid="{00000000-0005-0000-0000-0000CE140000}"/>
    <cellStyle name="20% - Accent3 3 2 3 2 3 2" xfId="5280" xr:uid="{00000000-0005-0000-0000-0000CF140000}"/>
    <cellStyle name="20% - Accent3 3 2 3 2 3 2 2" xfId="5281" xr:uid="{00000000-0005-0000-0000-0000D0140000}"/>
    <cellStyle name="20% - Accent3 3 2 3 2 3 2 2 2" xfId="5282" xr:uid="{00000000-0005-0000-0000-0000D1140000}"/>
    <cellStyle name="20% - Accent3 3 2 3 2 3 2 3" xfId="5283" xr:uid="{00000000-0005-0000-0000-0000D2140000}"/>
    <cellStyle name="20% - Accent3 3 2 3 2 3 3" xfId="5284" xr:uid="{00000000-0005-0000-0000-0000D3140000}"/>
    <cellStyle name="20% - Accent3 3 2 3 2 3 3 2" xfId="5285" xr:uid="{00000000-0005-0000-0000-0000D4140000}"/>
    <cellStyle name="20% - Accent3 3 2 3 2 3 4" xfId="5286" xr:uid="{00000000-0005-0000-0000-0000D5140000}"/>
    <cellStyle name="20% - Accent3 3 2 3 2 4" xfId="5287" xr:uid="{00000000-0005-0000-0000-0000D6140000}"/>
    <cellStyle name="20% - Accent3 3 2 3 2 4 2" xfId="5288" xr:uid="{00000000-0005-0000-0000-0000D7140000}"/>
    <cellStyle name="20% - Accent3 3 2 3 2 4 2 2" xfId="5289" xr:uid="{00000000-0005-0000-0000-0000D8140000}"/>
    <cellStyle name="20% - Accent3 3 2 3 2 4 3" xfId="5290" xr:uid="{00000000-0005-0000-0000-0000D9140000}"/>
    <cellStyle name="20% - Accent3 3 2 3 2 5" xfId="5291" xr:uid="{00000000-0005-0000-0000-0000DA140000}"/>
    <cellStyle name="20% - Accent3 3 2 3 2 5 2" xfId="5292" xr:uid="{00000000-0005-0000-0000-0000DB140000}"/>
    <cellStyle name="20% - Accent3 3 2 3 2 6" xfId="5293" xr:uid="{00000000-0005-0000-0000-0000DC140000}"/>
    <cellStyle name="20% - Accent3 3 2 3 3" xfId="5294" xr:uid="{00000000-0005-0000-0000-0000DD140000}"/>
    <cellStyle name="20% - Accent3 3 2 3 3 2" xfId="5295" xr:uid="{00000000-0005-0000-0000-0000DE140000}"/>
    <cellStyle name="20% - Accent3 3 2 3 3 2 2" xfId="5296" xr:uid="{00000000-0005-0000-0000-0000DF140000}"/>
    <cellStyle name="20% - Accent3 3 2 3 3 2 2 2" xfId="5297" xr:uid="{00000000-0005-0000-0000-0000E0140000}"/>
    <cellStyle name="20% - Accent3 3 2 3 3 2 2 2 2" xfId="5298" xr:uid="{00000000-0005-0000-0000-0000E1140000}"/>
    <cellStyle name="20% - Accent3 3 2 3 3 2 2 3" xfId="5299" xr:uid="{00000000-0005-0000-0000-0000E2140000}"/>
    <cellStyle name="20% - Accent3 3 2 3 3 2 3" xfId="5300" xr:uid="{00000000-0005-0000-0000-0000E3140000}"/>
    <cellStyle name="20% - Accent3 3 2 3 3 2 3 2" xfId="5301" xr:uid="{00000000-0005-0000-0000-0000E4140000}"/>
    <cellStyle name="20% - Accent3 3 2 3 3 2 4" xfId="5302" xr:uid="{00000000-0005-0000-0000-0000E5140000}"/>
    <cellStyle name="20% - Accent3 3 2 3 3 3" xfId="5303" xr:uid="{00000000-0005-0000-0000-0000E6140000}"/>
    <cellStyle name="20% - Accent3 3 2 3 3 3 2" xfId="5304" xr:uid="{00000000-0005-0000-0000-0000E7140000}"/>
    <cellStyle name="20% - Accent3 3 2 3 3 3 2 2" xfId="5305" xr:uid="{00000000-0005-0000-0000-0000E8140000}"/>
    <cellStyle name="20% - Accent3 3 2 3 3 3 3" xfId="5306" xr:uid="{00000000-0005-0000-0000-0000E9140000}"/>
    <cellStyle name="20% - Accent3 3 2 3 3 4" xfId="5307" xr:uid="{00000000-0005-0000-0000-0000EA140000}"/>
    <cellStyle name="20% - Accent3 3 2 3 3 4 2" xfId="5308" xr:uid="{00000000-0005-0000-0000-0000EB140000}"/>
    <cellStyle name="20% - Accent3 3 2 3 3 5" xfId="5309" xr:uid="{00000000-0005-0000-0000-0000EC140000}"/>
    <cellStyle name="20% - Accent3 3 2 3 4" xfId="5310" xr:uid="{00000000-0005-0000-0000-0000ED140000}"/>
    <cellStyle name="20% - Accent3 3 2 3 4 2" xfId="5311" xr:uid="{00000000-0005-0000-0000-0000EE140000}"/>
    <cellStyle name="20% - Accent3 3 2 3 4 2 2" xfId="5312" xr:uid="{00000000-0005-0000-0000-0000EF140000}"/>
    <cellStyle name="20% - Accent3 3 2 3 4 2 2 2" xfId="5313" xr:uid="{00000000-0005-0000-0000-0000F0140000}"/>
    <cellStyle name="20% - Accent3 3 2 3 4 2 3" xfId="5314" xr:uid="{00000000-0005-0000-0000-0000F1140000}"/>
    <cellStyle name="20% - Accent3 3 2 3 4 3" xfId="5315" xr:uid="{00000000-0005-0000-0000-0000F2140000}"/>
    <cellStyle name="20% - Accent3 3 2 3 4 3 2" xfId="5316" xr:uid="{00000000-0005-0000-0000-0000F3140000}"/>
    <cellStyle name="20% - Accent3 3 2 3 4 4" xfId="5317" xr:uid="{00000000-0005-0000-0000-0000F4140000}"/>
    <cellStyle name="20% - Accent3 3 2 3 5" xfId="5318" xr:uid="{00000000-0005-0000-0000-0000F5140000}"/>
    <cellStyle name="20% - Accent3 3 2 3 5 2" xfId="5319" xr:uid="{00000000-0005-0000-0000-0000F6140000}"/>
    <cellStyle name="20% - Accent3 3 2 3 5 2 2" xfId="5320" xr:uid="{00000000-0005-0000-0000-0000F7140000}"/>
    <cellStyle name="20% - Accent3 3 2 3 5 3" xfId="5321" xr:uid="{00000000-0005-0000-0000-0000F8140000}"/>
    <cellStyle name="20% - Accent3 3 2 3 6" xfId="5322" xr:uid="{00000000-0005-0000-0000-0000F9140000}"/>
    <cellStyle name="20% - Accent3 3 2 3 6 2" xfId="5323" xr:uid="{00000000-0005-0000-0000-0000FA140000}"/>
    <cellStyle name="20% - Accent3 3 2 3 7" xfId="5324" xr:uid="{00000000-0005-0000-0000-0000FB140000}"/>
    <cellStyle name="20% - Accent3 3 2 4" xfId="5325" xr:uid="{00000000-0005-0000-0000-0000FC140000}"/>
    <cellStyle name="20% - Accent3 3 2 4 2" xfId="5326" xr:uid="{00000000-0005-0000-0000-0000FD140000}"/>
    <cellStyle name="20% - Accent3 3 2 4 2 2" xfId="5327" xr:uid="{00000000-0005-0000-0000-0000FE140000}"/>
    <cellStyle name="20% - Accent3 3 2 4 2 2 2" xfId="5328" xr:uid="{00000000-0005-0000-0000-0000FF140000}"/>
    <cellStyle name="20% - Accent3 3 2 4 2 2 2 2" xfId="5329" xr:uid="{00000000-0005-0000-0000-000000150000}"/>
    <cellStyle name="20% - Accent3 3 2 4 2 2 2 2 2" xfId="5330" xr:uid="{00000000-0005-0000-0000-000001150000}"/>
    <cellStyle name="20% - Accent3 3 2 4 2 2 2 3" xfId="5331" xr:uid="{00000000-0005-0000-0000-000002150000}"/>
    <cellStyle name="20% - Accent3 3 2 4 2 2 3" xfId="5332" xr:uid="{00000000-0005-0000-0000-000003150000}"/>
    <cellStyle name="20% - Accent3 3 2 4 2 2 3 2" xfId="5333" xr:uid="{00000000-0005-0000-0000-000004150000}"/>
    <cellStyle name="20% - Accent3 3 2 4 2 2 4" xfId="5334" xr:uid="{00000000-0005-0000-0000-000005150000}"/>
    <cellStyle name="20% - Accent3 3 2 4 2 3" xfId="5335" xr:uid="{00000000-0005-0000-0000-000006150000}"/>
    <cellStyle name="20% - Accent3 3 2 4 2 3 2" xfId="5336" xr:uid="{00000000-0005-0000-0000-000007150000}"/>
    <cellStyle name="20% - Accent3 3 2 4 2 3 2 2" xfId="5337" xr:uid="{00000000-0005-0000-0000-000008150000}"/>
    <cellStyle name="20% - Accent3 3 2 4 2 3 3" xfId="5338" xr:uid="{00000000-0005-0000-0000-000009150000}"/>
    <cellStyle name="20% - Accent3 3 2 4 2 4" xfId="5339" xr:uid="{00000000-0005-0000-0000-00000A150000}"/>
    <cellStyle name="20% - Accent3 3 2 4 2 4 2" xfId="5340" xr:uid="{00000000-0005-0000-0000-00000B150000}"/>
    <cellStyle name="20% - Accent3 3 2 4 2 5" xfId="5341" xr:uid="{00000000-0005-0000-0000-00000C150000}"/>
    <cellStyle name="20% - Accent3 3 2 4 3" xfId="5342" xr:uid="{00000000-0005-0000-0000-00000D150000}"/>
    <cellStyle name="20% - Accent3 3 2 4 3 2" xfId="5343" xr:uid="{00000000-0005-0000-0000-00000E150000}"/>
    <cellStyle name="20% - Accent3 3 2 4 3 2 2" xfId="5344" xr:uid="{00000000-0005-0000-0000-00000F150000}"/>
    <cellStyle name="20% - Accent3 3 2 4 3 2 2 2" xfId="5345" xr:uid="{00000000-0005-0000-0000-000010150000}"/>
    <cellStyle name="20% - Accent3 3 2 4 3 2 3" xfId="5346" xr:uid="{00000000-0005-0000-0000-000011150000}"/>
    <cellStyle name="20% - Accent3 3 2 4 3 3" xfId="5347" xr:uid="{00000000-0005-0000-0000-000012150000}"/>
    <cellStyle name="20% - Accent3 3 2 4 3 3 2" xfId="5348" xr:uid="{00000000-0005-0000-0000-000013150000}"/>
    <cellStyle name="20% - Accent3 3 2 4 3 4" xfId="5349" xr:uid="{00000000-0005-0000-0000-000014150000}"/>
    <cellStyle name="20% - Accent3 3 2 4 4" xfId="5350" xr:uid="{00000000-0005-0000-0000-000015150000}"/>
    <cellStyle name="20% - Accent3 3 2 4 4 2" xfId="5351" xr:uid="{00000000-0005-0000-0000-000016150000}"/>
    <cellStyle name="20% - Accent3 3 2 4 4 2 2" xfId="5352" xr:uid="{00000000-0005-0000-0000-000017150000}"/>
    <cellStyle name="20% - Accent3 3 2 4 4 3" xfId="5353" xr:uid="{00000000-0005-0000-0000-000018150000}"/>
    <cellStyle name="20% - Accent3 3 2 4 5" xfId="5354" xr:uid="{00000000-0005-0000-0000-000019150000}"/>
    <cellStyle name="20% - Accent3 3 2 4 5 2" xfId="5355" xr:uid="{00000000-0005-0000-0000-00001A150000}"/>
    <cellStyle name="20% - Accent3 3 2 4 6" xfId="5356" xr:uid="{00000000-0005-0000-0000-00001B150000}"/>
    <cellStyle name="20% - Accent3 3 2 5" xfId="5357" xr:uid="{00000000-0005-0000-0000-00001C150000}"/>
    <cellStyle name="20% - Accent3 3 2 5 2" xfId="5358" xr:uid="{00000000-0005-0000-0000-00001D150000}"/>
    <cellStyle name="20% - Accent3 3 2 5 2 2" xfId="5359" xr:uid="{00000000-0005-0000-0000-00001E150000}"/>
    <cellStyle name="20% - Accent3 3 2 5 2 2 2" xfId="5360" xr:uid="{00000000-0005-0000-0000-00001F150000}"/>
    <cellStyle name="20% - Accent3 3 2 5 2 2 2 2" xfId="5361" xr:uid="{00000000-0005-0000-0000-000020150000}"/>
    <cellStyle name="20% - Accent3 3 2 5 2 2 3" xfId="5362" xr:uid="{00000000-0005-0000-0000-000021150000}"/>
    <cellStyle name="20% - Accent3 3 2 5 2 3" xfId="5363" xr:uid="{00000000-0005-0000-0000-000022150000}"/>
    <cellStyle name="20% - Accent3 3 2 5 2 3 2" xfId="5364" xr:uid="{00000000-0005-0000-0000-000023150000}"/>
    <cellStyle name="20% - Accent3 3 2 5 2 4" xfId="5365" xr:uid="{00000000-0005-0000-0000-000024150000}"/>
    <cellStyle name="20% - Accent3 3 2 5 3" xfId="5366" xr:uid="{00000000-0005-0000-0000-000025150000}"/>
    <cellStyle name="20% - Accent3 3 2 5 3 2" xfId="5367" xr:uid="{00000000-0005-0000-0000-000026150000}"/>
    <cellStyle name="20% - Accent3 3 2 5 3 2 2" xfId="5368" xr:uid="{00000000-0005-0000-0000-000027150000}"/>
    <cellStyle name="20% - Accent3 3 2 5 3 3" xfId="5369" xr:uid="{00000000-0005-0000-0000-000028150000}"/>
    <cellStyle name="20% - Accent3 3 2 5 4" xfId="5370" xr:uid="{00000000-0005-0000-0000-000029150000}"/>
    <cellStyle name="20% - Accent3 3 2 5 4 2" xfId="5371" xr:uid="{00000000-0005-0000-0000-00002A150000}"/>
    <cellStyle name="20% - Accent3 3 2 5 5" xfId="5372" xr:uid="{00000000-0005-0000-0000-00002B150000}"/>
    <cellStyle name="20% - Accent3 3 2 6" xfId="5373" xr:uid="{00000000-0005-0000-0000-00002C150000}"/>
    <cellStyle name="20% - Accent3 3 2 6 2" xfId="5374" xr:uid="{00000000-0005-0000-0000-00002D150000}"/>
    <cellStyle name="20% - Accent3 3 2 6 2 2" xfId="5375" xr:uid="{00000000-0005-0000-0000-00002E150000}"/>
    <cellStyle name="20% - Accent3 3 2 6 2 2 2" xfId="5376" xr:uid="{00000000-0005-0000-0000-00002F150000}"/>
    <cellStyle name="20% - Accent3 3 2 6 2 3" xfId="5377" xr:uid="{00000000-0005-0000-0000-000030150000}"/>
    <cellStyle name="20% - Accent3 3 2 6 3" xfId="5378" xr:uid="{00000000-0005-0000-0000-000031150000}"/>
    <cellStyle name="20% - Accent3 3 2 6 3 2" xfId="5379" xr:uid="{00000000-0005-0000-0000-000032150000}"/>
    <cellStyle name="20% - Accent3 3 2 6 4" xfId="5380" xr:uid="{00000000-0005-0000-0000-000033150000}"/>
    <cellStyle name="20% - Accent3 3 2 7" xfId="5381" xr:uid="{00000000-0005-0000-0000-000034150000}"/>
    <cellStyle name="20% - Accent3 3 2 7 2" xfId="5382" xr:uid="{00000000-0005-0000-0000-000035150000}"/>
    <cellStyle name="20% - Accent3 3 2 7 2 2" xfId="5383" xr:uid="{00000000-0005-0000-0000-000036150000}"/>
    <cellStyle name="20% - Accent3 3 2 7 3" xfId="5384" xr:uid="{00000000-0005-0000-0000-000037150000}"/>
    <cellStyle name="20% - Accent3 3 2 8" xfId="5385" xr:uid="{00000000-0005-0000-0000-000038150000}"/>
    <cellStyle name="20% - Accent3 3 2 8 2" xfId="5386" xr:uid="{00000000-0005-0000-0000-000039150000}"/>
    <cellStyle name="20% - Accent3 3 2 9" xfId="5387" xr:uid="{00000000-0005-0000-0000-00003A150000}"/>
    <cellStyle name="20% - Accent3 3 3" xfId="5388" xr:uid="{00000000-0005-0000-0000-00003B150000}"/>
    <cellStyle name="20% - Accent3 3 3 2" xfId="5389" xr:uid="{00000000-0005-0000-0000-00003C150000}"/>
    <cellStyle name="20% - Accent3 3 3 2 2" xfId="5390" xr:uid="{00000000-0005-0000-0000-00003D150000}"/>
    <cellStyle name="20% - Accent3 3 3 2 2 2" xfId="5391" xr:uid="{00000000-0005-0000-0000-00003E150000}"/>
    <cellStyle name="20% - Accent3 3 3 2 2 2 2" xfId="5392" xr:uid="{00000000-0005-0000-0000-00003F150000}"/>
    <cellStyle name="20% - Accent3 3 3 2 2 2 2 2" xfId="5393" xr:uid="{00000000-0005-0000-0000-000040150000}"/>
    <cellStyle name="20% - Accent3 3 3 2 2 2 2 2 2" xfId="5394" xr:uid="{00000000-0005-0000-0000-000041150000}"/>
    <cellStyle name="20% - Accent3 3 3 2 2 2 2 2 2 2" xfId="5395" xr:uid="{00000000-0005-0000-0000-000042150000}"/>
    <cellStyle name="20% - Accent3 3 3 2 2 2 2 2 3" xfId="5396" xr:uid="{00000000-0005-0000-0000-000043150000}"/>
    <cellStyle name="20% - Accent3 3 3 2 2 2 2 3" xfId="5397" xr:uid="{00000000-0005-0000-0000-000044150000}"/>
    <cellStyle name="20% - Accent3 3 3 2 2 2 2 3 2" xfId="5398" xr:uid="{00000000-0005-0000-0000-000045150000}"/>
    <cellStyle name="20% - Accent3 3 3 2 2 2 2 4" xfId="5399" xr:uid="{00000000-0005-0000-0000-000046150000}"/>
    <cellStyle name="20% - Accent3 3 3 2 2 2 3" xfId="5400" xr:uid="{00000000-0005-0000-0000-000047150000}"/>
    <cellStyle name="20% - Accent3 3 3 2 2 2 3 2" xfId="5401" xr:uid="{00000000-0005-0000-0000-000048150000}"/>
    <cellStyle name="20% - Accent3 3 3 2 2 2 3 2 2" xfId="5402" xr:uid="{00000000-0005-0000-0000-000049150000}"/>
    <cellStyle name="20% - Accent3 3 3 2 2 2 3 3" xfId="5403" xr:uid="{00000000-0005-0000-0000-00004A150000}"/>
    <cellStyle name="20% - Accent3 3 3 2 2 2 4" xfId="5404" xr:uid="{00000000-0005-0000-0000-00004B150000}"/>
    <cellStyle name="20% - Accent3 3 3 2 2 2 4 2" xfId="5405" xr:uid="{00000000-0005-0000-0000-00004C150000}"/>
    <cellStyle name="20% - Accent3 3 3 2 2 2 5" xfId="5406" xr:uid="{00000000-0005-0000-0000-00004D150000}"/>
    <cellStyle name="20% - Accent3 3 3 2 2 3" xfId="5407" xr:uid="{00000000-0005-0000-0000-00004E150000}"/>
    <cellStyle name="20% - Accent3 3 3 2 2 3 2" xfId="5408" xr:uid="{00000000-0005-0000-0000-00004F150000}"/>
    <cellStyle name="20% - Accent3 3 3 2 2 3 2 2" xfId="5409" xr:uid="{00000000-0005-0000-0000-000050150000}"/>
    <cellStyle name="20% - Accent3 3 3 2 2 3 2 2 2" xfId="5410" xr:uid="{00000000-0005-0000-0000-000051150000}"/>
    <cellStyle name="20% - Accent3 3 3 2 2 3 2 3" xfId="5411" xr:uid="{00000000-0005-0000-0000-000052150000}"/>
    <cellStyle name="20% - Accent3 3 3 2 2 3 3" xfId="5412" xr:uid="{00000000-0005-0000-0000-000053150000}"/>
    <cellStyle name="20% - Accent3 3 3 2 2 3 3 2" xfId="5413" xr:uid="{00000000-0005-0000-0000-000054150000}"/>
    <cellStyle name="20% - Accent3 3 3 2 2 3 4" xfId="5414" xr:uid="{00000000-0005-0000-0000-000055150000}"/>
    <cellStyle name="20% - Accent3 3 3 2 2 4" xfId="5415" xr:uid="{00000000-0005-0000-0000-000056150000}"/>
    <cellStyle name="20% - Accent3 3 3 2 2 4 2" xfId="5416" xr:uid="{00000000-0005-0000-0000-000057150000}"/>
    <cellStyle name="20% - Accent3 3 3 2 2 4 2 2" xfId="5417" xr:uid="{00000000-0005-0000-0000-000058150000}"/>
    <cellStyle name="20% - Accent3 3 3 2 2 4 3" xfId="5418" xr:uid="{00000000-0005-0000-0000-000059150000}"/>
    <cellStyle name="20% - Accent3 3 3 2 2 5" xfId="5419" xr:uid="{00000000-0005-0000-0000-00005A150000}"/>
    <cellStyle name="20% - Accent3 3 3 2 2 5 2" xfId="5420" xr:uid="{00000000-0005-0000-0000-00005B150000}"/>
    <cellStyle name="20% - Accent3 3 3 2 2 6" xfId="5421" xr:uid="{00000000-0005-0000-0000-00005C150000}"/>
    <cellStyle name="20% - Accent3 3 3 2 3" xfId="5422" xr:uid="{00000000-0005-0000-0000-00005D150000}"/>
    <cellStyle name="20% - Accent3 3 3 2 3 2" xfId="5423" xr:uid="{00000000-0005-0000-0000-00005E150000}"/>
    <cellStyle name="20% - Accent3 3 3 2 3 2 2" xfId="5424" xr:uid="{00000000-0005-0000-0000-00005F150000}"/>
    <cellStyle name="20% - Accent3 3 3 2 3 2 2 2" xfId="5425" xr:uid="{00000000-0005-0000-0000-000060150000}"/>
    <cellStyle name="20% - Accent3 3 3 2 3 2 2 2 2" xfId="5426" xr:uid="{00000000-0005-0000-0000-000061150000}"/>
    <cellStyle name="20% - Accent3 3 3 2 3 2 2 3" xfId="5427" xr:uid="{00000000-0005-0000-0000-000062150000}"/>
    <cellStyle name="20% - Accent3 3 3 2 3 2 3" xfId="5428" xr:uid="{00000000-0005-0000-0000-000063150000}"/>
    <cellStyle name="20% - Accent3 3 3 2 3 2 3 2" xfId="5429" xr:uid="{00000000-0005-0000-0000-000064150000}"/>
    <cellStyle name="20% - Accent3 3 3 2 3 2 4" xfId="5430" xr:uid="{00000000-0005-0000-0000-000065150000}"/>
    <cellStyle name="20% - Accent3 3 3 2 3 3" xfId="5431" xr:uid="{00000000-0005-0000-0000-000066150000}"/>
    <cellStyle name="20% - Accent3 3 3 2 3 3 2" xfId="5432" xr:uid="{00000000-0005-0000-0000-000067150000}"/>
    <cellStyle name="20% - Accent3 3 3 2 3 3 2 2" xfId="5433" xr:uid="{00000000-0005-0000-0000-000068150000}"/>
    <cellStyle name="20% - Accent3 3 3 2 3 3 3" xfId="5434" xr:uid="{00000000-0005-0000-0000-000069150000}"/>
    <cellStyle name="20% - Accent3 3 3 2 3 4" xfId="5435" xr:uid="{00000000-0005-0000-0000-00006A150000}"/>
    <cellStyle name="20% - Accent3 3 3 2 3 4 2" xfId="5436" xr:uid="{00000000-0005-0000-0000-00006B150000}"/>
    <cellStyle name="20% - Accent3 3 3 2 3 5" xfId="5437" xr:uid="{00000000-0005-0000-0000-00006C150000}"/>
    <cellStyle name="20% - Accent3 3 3 2 4" xfId="5438" xr:uid="{00000000-0005-0000-0000-00006D150000}"/>
    <cellStyle name="20% - Accent3 3 3 2 4 2" xfId="5439" xr:uid="{00000000-0005-0000-0000-00006E150000}"/>
    <cellStyle name="20% - Accent3 3 3 2 4 2 2" xfId="5440" xr:uid="{00000000-0005-0000-0000-00006F150000}"/>
    <cellStyle name="20% - Accent3 3 3 2 4 2 2 2" xfId="5441" xr:uid="{00000000-0005-0000-0000-000070150000}"/>
    <cellStyle name="20% - Accent3 3 3 2 4 2 3" xfId="5442" xr:uid="{00000000-0005-0000-0000-000071150000}"/>
    <cellStyle name="20% - Accent3 3 3 2 4 3" xfId="5443" xr:uid="{00000000-0005-0000-0000-000072150000}"/>
    <cellStyle name="20% - Accent3 3 3 2 4 3 2" xfId="5444" xr:uid="{00000000-0005-0000-0000-000073150000}"/>
    <cellStyle name="20% - Accent3 3 3 2 4 4" xfId="5445" xr:uid="{00000000-0005-0000-0000-000074150000}"/>
    <cellStyle name="20% - Accent3 3 3 2 5" xfId="5446" xr:uid="{00000000-0005-0000-0000-000075150000}"/>
    <cellStyle name="20% - Accent3 3 3 2 5 2" xfId="5447" xr:uid="{00000000-0005-0000-0000-000076150000}"/>
    <cellStyle name="20% - Accent3 3 3 2 5 2 2" xfId="5448" xr:uid="{00000000-0005-0000-0000-000077150000}"/>
    <cellStyle name="20% - Accent3 3 3 2 5 3" xfId="5449" xr:uid="{00000000-0005-0000-0000-000078150000}"/>
    <cellStyle name="20% - Accent3 3 3 2 6" xfId="5450" xr:uid="{00000000-0005-0000-0000-000079150000}"/>
    <cellStyle name="20% - Accent3 3 3 2 6 2" xfId="5451" xr:uid="{00000000-0005-0000-0000-00007A150000}"/>
    <cellStyle name="20% - Accent3 3 3 2 7" xfId="5452" xr:uid="{00000000-0005-0000-0000-00007B150000}"/>
    <cellStyle name="20% - Accent3 3 3 3" xfId="5453" xr:uid="{00000000-0005-0000-0000-00007C150000}"/>
    <cellStyle name="20% - Accent3 3 3 3 2" xfId="5454" xr:uid="{00000000-0005-0000-0000-00007D150000}"/>
    <cellStyle name="20% - Accent3 3 3 3 2 2" xfId="5455" xr:uid="{00000000-0005-0000-0000-00007E150000}"/>
    <cellStyle name="20% - Accent3 3 3 3 2 2 2" xfId="5456" xr:uid="{00000000-0005-0000-0000-00007F150000}"/>
    <cellStyle name="20% - Accent3 3 3 3 2 2 2 2" xfId="5457" xr:uid="{00000000-0005-0000-0000-000080150000}"/>
    <cellStyle name="20% - Accent3 3 3 3 2 2 2 2 2" xfId="5458" xr:uid="{00000000-0005-0000-0000-000081150000}"/>
    <cellStyle name="20% - Accent3 3 3 3 2 2 2 3" xfId="5459" xr:uid="{00000000-0005-0000-0000-000082150000}"/>
    <cellStyle name="20% - Accent3 3 3 3 2 2 3" xfId="5460" xr:uid="{00000000-0005-0000-0000-000083150000}"/>
    <cellStyle name="20% - Accent3 3 3 3 2 2 3 2" xfId="5461" xr:uid="{00000000-0005-0000-0000-000084150000}"/>
    <cellStyle name="20% - Accent3 3 3 3 2 2 4" xfId="5462" xr:uid="{00000000-0005-0000-0000-000085150000}"/>
    <cellStyle name="20% - Accent3 3 3 3 2 3" xfId="5463" xr:uid="{00000000-0005-0000-0000-000086150000}"/>
    <cellStyle name="20% - Accent3 3 3 3 2 3 2" xfId="5464" xr:uid="{00000000-0005-0000-0000-000087150000}"/>
    <cellStyle name="20% - Accent3 3 3 3 2 3 2 2" xfId="5465" xr:uid="{00000000-0005-0000-0000-000088150000}"/>
    <cellStyle name="20% - Accent3 3 3 3 2 3 3" xfId="5466" xr:uid="{00000000-0005-0000-0000-000089150000}"/>
    <cellStyle name="20% - Accent3 3 3 3 2 4" xfId="5467" xr:uid="{00000000-0005-0000-0000-00008A150000}"/>
    <cellStyle name="20% - Accent3 3 3 3 2 4 2" xfId="5468" xr:uid="{00000000-0005-0000-0000-00008B150000}"/>
    <cellStyle name="20% - Accent3 3 3 3 2 5" xfId="5469" xr:uid="{00000000-0005-0000-0000-00008C150000}"/>
    <cellStyle name="20% - Accent3 3 3 3 3" xfId="5470" xr:uid="{00000000-0005-0000-0000-00008D150000}"/>
    <cellStyle name="20% - Accent3 3 3 3 3 2" xfId="5471" xr:uid="{00000000-0005-0000-0000-00008E150000}"/>
    <cellStyle name="20% - Accent3 3 3 3 3 2 2" xfId="5472" xr:uid="{00000000-0005-0000-0000-00008F150000}"/>
    <cellStyle name="20% - Accent3 3 3 3 3 2 2 2" xfId="5473" xr:uid="{00000000-0005-0000-0000-000090150000}"/>
    <cellStyle name="20% - Accent3 3 3 3 3 2 3" xfId="5474" xr:uid="{00000000-0005-0000-0000-000091150000}"/>
    <cellStyle name="20% - Accent3 3 3 3 3 3" xfId="5475" xr:uid="{00000000-0005-0000-0000-000092150000}"/>
    <cellStyle name="20% - Accent3 3 3 3 3 3 2" xfId="5476" xr:uid="{00000000-0005-0000-0000-000093150000}"/>
    <cellStyle name="20% - Accent3 3 3 3 3 4" xfId="5477" xr:uid="{00000000-0005-0000-0000-000094150000}"/>
    <cellStyle name="20% - Accent3 3 3 3 4" xfId="5478" xr:uid="{00000000-0005-0000-0000-000095150000}"/>
    <cellStyle name="20% - Accent3 3 3 3 4 2" xfId="5479" xr:uid="{00000000-0005-0000-0000-000096150000}"/>
    <cellStyle name="20% - Accent3 3 3 3 4 2 2" xfId="5480" xr:uid="{00000000-0005-0000-0000-000097150000}"/>
    <cellStyle name="20% - Accent3 3 3 3 4 3" xfId="5481" xr:uid="{00000000-0005-0000-0000-000098150000}"/>
    <cellStyle name="20% - Accent3 3 3 3 5" xfId="5482" xr:uid="{00000000-0005-0000-0000-000099150000}"/>
    <cellStyle name="20% - Accent3 3 3 3 5 2" xfId="5483" xr:uid="{00000000-0005-0000-0000-00009A150000}"/>
    <cellStyle name="20% - Accent3 3 3 3 6" xfId="5484" xr:uid="{00000000-0005-0000-0000-00009B150000}"/>
    <cellStyle name="20% - Accent3 3 3 4" xfId="5485" xr:uid="{00000000-0005-0000-0000-00009C150000}"/>
    <cellStyle name="20% - Accent3 3 3 4 2" xfId="5486" xr:uid="{00000000-0005-0000-0000-00009D150000}"/>
    <cellStyle name="20% - Accent3 3 3 4 2 2" xfId="5487" xr:uid="{00000000-0005-0000-0000-00009E150000}"/>
    <cellStyle name="20% - Accent3 3 3 4 2 2 2" xfId="5488" xr:uid="{00000000-0005-0000-0000-00009F150000}"/>
    <cellStyle name="20% - Accent3 3 3 4 2 2 2 2" xfId="5489" xr:uid="{00000000-0005-0000-0000-0000A0150000}"/>
    <cellStyle name="20% - Accent3 3 3 4 2 2 3" xfId="5490" xr:uid="{00000000-0005-0000-0000-0000A1150000}"/>
    <cellStyle name="20% - Accent3 3 3 4 2 3" xfId="5491" xr:uid="{00000000-0005-0000-0000-0000A2150000}"/>
    <cellStyle name="20% - Accent3 3 3 4 2 3 2" xfId="5492" xr:uid="{00000000-0005-0000-0000-0000A3150000}"/>
    <cellStyle name="20% - Accent3 3 3 4 2 4" xfId="5493" xr:uid="{00000000-0005-0000-0000-0000A4150000}"/>
    <cellStyle name="20% - Accent3 3 3 4 3" xfId="5494" xr:uid="{00000000-0005-0000-0000-0000A5150000}"/>
    <cellStyle name="20% - Accent3 3 3 4 3 2" xfId="5495" xr:uid="{00000000-0005-0000-0000-0000A6150000}"/>
    <cellStyle name="20% - Accent3 3 3 4 3 2 2" xfId="5496" xr:uid="{00000000-0005-0000-0000-0000A7150000}"/>
    <cellStyle name="20% - Accent3 3 3 4 3 3" xfId="5497" xr:uid="{00000000-0005-0000-0000-0000A8150000}"/>
    <cellStyle name="20% - Accent3 3 3 4 4" xfId="5498" xr:uid="{00000000-0005-0000-0000-0000A9150000}"/>
    <cellStyle name="20% - Accent3 3 3 4 4 2" xfId="5499" xr:uid="{00000000-0005-0000-0000-0000AA150000}"/>
    <cellStyle name="20% - Accent3 3 3 4 5" xfId="5500" xr:uid="{00000000-0005-0000-0000-0000AB150000}"/>
    <cellStyle name="20% - Accent3 3 3 5" xfId="5501" xr:uid="{00000000-0005-0000-0000-0000AC150000}"/>
    <cellStyle name="20% - Accent3 3 3 5 2" xfId="5502" xr:uid="{00000000-0005-0000-0000-0000AD150000}"/>
    <cellStyle name="20% - Accent3 3 3 5 2 2" xfId="5503" xr:uid="{00000000-0005-0000-0000-0000AE150000}"/>
    <cellStyle name="20% - Accent3 3 3 5 2 2 2" xfId="5504" xr:uid="{00000000-0005-0000-0000-0000AF150000}"/>
    <cellStyle name="20% - Accent3 3 3 5 2 3" xfId="5505" xr:uid="{00000000-0005-0000-0000-0000B0150000}"/>
    <cellStyle name="20% - Accent3 3 3 5 3" xfId="5506" xr:uid="{00000000-0005-0000-0000-0000B1150000}"/>
    <cellStyle name="20% - Accent3 3 3 5 3 2" xfId="5507" xr:uid="{00000000-0005-0000-0000-0000B2150000}"/>
    <cellStyle name="20% - Accent3 3 3 5 4" xfId="5508" xr:uid="{00000000-0005-0000-0000-0000B3150000}"/>
    <cellStyle name="20% - Accent3 3 3 6" xfId="5509" xr:uid="{00000000-0005-0000-0000-0000B4150000}"/>
    <cellStyle name="20% - Accent3 3 3 6 2" xfId="5510" xr:uid="{00000000-0005-0000-0000-0000B5150000}"/>
    <cellStyle name="20% - Accent3 3 3 6 2 2" xfId="5511" xr:uid="{00000000-0005-0000-0000-0000B6150000}"/>
    <cellStyle name="20% - Accent3 3 3 6 3" xfId="5512" xr:uid="{00000000-0005-0000-0000-0000B7150000}"/>
    <cellStyle name="20% - Accent3 3 3 7" xfId="5513" xr:uid="{00000000-0005-0000-0000-0000B8150000}"/>
    <cellStyle name="20% - Accent3 3 3 7 2" xfId="5514" xr:uid="{00000000-0005-0000-0000-0000B9150000}"/>
    <cellStyle name="20% - Accent3 3 3 8" xfId="5515" xr:uid="{00000000-0005-0000-0000-0000BA150000}"/>
    <cellStyle name="20% - Accent3 3 4" xfId="5516" xr:uid="{00000000-0005-0000-0000-0000BB150000}"/>
    <cellStyle name="20% - Accent3 3 4 2" xfId="5517" xr:uid="{00000000-0005-0000-0000-0000BC150000}"/>
    <cellStyle name="20% - Accent3 3 4 2 2" xfId="5518" xr:uid="{00000000-0005-0000-0000-0000BD150000}"/>
    <cellStyle name="20% - Accent3 3 4 2 2 2" xfId="5519" xr:uid="{00000000-0005-0000-0000-0000BE150000}"/>
    <cellStyle name="20% - Accent3 3 4 2 2 2 2" xfId="5520" xr:uid="{00000000-0005-0000-0000-0000BF150000}"/>
    <cellStyle name="20% - Accent3 3 4 2 2 2 2 2" xfId="5521" xr:uid="{00000000-0005-0000-0000-0000C0150000}"/>
    <cellStyle name="20% - Accent3 3 4 2 2 2 2 2 2" xfId="5522" xr:uid="{00000000-0005-0000-0000-0000C1150000}"/>
    <cellStyle name="20% - Accent3 3 4 2 2 2 2 3" xfId="5523" xr:uid="{00000000-0005-0000-0000-0000C2150000}"/>
    <cellStyle name="20% - Accent3 3 4 2 2 2 3" xfId="5524" xr:uid="{00000000-0005-0000-0000-0000C3150000}"/>
    <cellStyle name="20% - Accent3 3 4 2 2 2 3 2" xfId="5525" xr:uid="{00000000-0005-0000-0000-0000C4150000}"/>
    <cellStyle name="20% - Accent3 3 4 2 2 2 4" xfId="5526" xr:uid="{00000000-0005-0000-0000-0000C5150000}"/>
    <cellStyle name="20% - Accent3 3 4 2 2 3" xfId="5527" xr:uid="{00000000-0005-0000-0000-0000C6150000}"/>
    <cellStyle name="20% - Accent3 3 4 2 2 3 2" xfId="5528" xr:uid="{00000000-0005-0000-0000-0000C7150000}"/>
    <cellStyle name="20% - Accent3 3 4 2 2 3 2 2" xfId="5529" xr:uid="{00000000-0005-0000-0000-0000C8150000}"/>
    <cellStyle name="20% - Accent3 3 4 2 2 3 3" xfId="5530" xr:uid="{00000000-0005-0000-0000-0000C9150000}"/>
    <cellStyle name="20% - Accent3 3 4 2 2 4" xfId="5531" xr:uid="{00000000-0005-0000-0000-0000CA150000}"/>
    <cellStyle name="20% - Accent3 3 4 2 2 4 2" xfId="5532" xr:uid="{00000000-0005-0000-0000-0000CB150000}"/>
    <cellStyle name="20% - Accent3 3 4 2 2 5" xfId="5533" xr:uid="{00000000-0005-0000-0000-0000CC150000}"/>
    <cellStyle name="20% - Accent3 3 4 2 3" xfId="5534" xr:uid="{00000000-0005-0000-0000-0000CD150000}"/>
    <cellStyle name="20% - Accent3 3 4 2 3 2" xfId="5535" xr:uid="{00000000-0005-0000-0000-0000CE150000}"/>
    <cellStyle name="20% - Accent3 3 4 2 3 2 2" xfId="5536" xr:uid="{00000000-0005-0000-0000-0000CF150000}"/>
    <cellStyle name="20% - Accent3 3 4 2 3 2 2 2" xfId="5537" xr:uid="{00000000-0005-0000-0000-0000D0150000}"/>
    <cellStyle name="20% - Accent3 3 4 2 3 2 3" xfId="5538" xr:uid="{00000000-0005-0000-0000-0000D1150000}"/>
    <cellStyle name="20% - Accent3 3 4 2 3 3" xfId="5539" xr:uid="{00000000-0005-0000-0000-0000D2150000}"/>
    <cellStyle name="20% - Accent3 3 4 2 3 3 2" xfId="5540" xr:uid="{00000000-0005-0000-0000-0000D3150000}"/>
    <cellStyle name="20% - Accent3 3 4 2 3 4" xfId="5541" xr:uid="{00000000-0005-0000-0000-0000D4150000}"/>
    <cellStyle name="20% - Accent3 3 4 2 4" xfId="5542" xr:uid="{00000000-0005-0000-0000-0000D5150000}"/>
    <cellStyle name="20% - Accent3 3 4 2 4 2" xfId="5543" xr:uid="{00000000-0005-0000-0000-0000D6150000}"/>
    <cellStyle name="20% - Accent3 3 4 2 4 2 2" xfId="5544" xr:uid="{00000000-0005-0000-0000-0000D7150000}"/>
    <cellStyle name="20% - Accent3 3 4 2 4 3" xfId="5545" xr:uid="{00000000-0005-0000-0000-0000D8150000}"/>
    <cellStyle name="20% - Accent3 3 4 2 5" xfId="5546" xr:uid="{00000000-0005-0000-0000-0000D9150000}"/>
    <cellStyle name="20% - Accent3 3 4 2 5 2" xfId="5547" xr:uid="{00000000-0005-0000-0000-0000DA150000}"/>
    <cellStyle name="20% - Accent3 3 4 2 6" xfId="5548" xr:uid="{00000000-0005-0000-0000-0000DB150000}"/>
    <cellStyle name="20% - Accent3 3 4 3" xfId="5549" xr:uid="{00000000-0005-0000-0000-0000DC150000}"/>
    <cellStyle name="20% - Accent3 3 4 3 2" xfId="5550" xr:uid="{00000000-0005-0000-0000-0000DD150000}"/>
    <cellStyle name="20% - Accent3 3 4 3 2 2" xfId="5551" xr:uid="{00000000-0005-0000-0000-0000DE150000}"/>
    <cellStyle name="20% - Accent3 3 4 3 2 2 2" xfId="5552" xr:uid="{00000000-0005-0000-0000-0000DF150000}"/>
    <cellStyle name="20% - Accent3 3 4 3 2 2 2 2" xfId="5553" xr:uid="{00000000-0005-0000-0000-0000E0150000}"/>
    <cellStyle name="20% - Accent3 3 4 3 2 2 3" xfId="5554" xr:uid="{00000000-0005-0000-0000-0000E1150000}"/>
    <cellStyle name="20% - Accent3 3 4 3 2 3" xfId="5555" xr:uid="{00000000-0005-0000-0000-0000E2150000}"/>
    <cellStyle name="20% - Accent3 3 4 3 2 3 2" xfId="5556" xr:uid="{00000000-0005-0000-0000-0000E3150000}"/>
    <cellStyle name="20% - Accent3 3 4 3 2 4" xfId="5557" xr:uid="{00000000-0005-0000-0000-0000E4150000}"/>
    <cellStyle name="20% - Accent3 3 4 3 3" xfId="5558" xr:uid="{00000000-0005-0000-0000-0000E5150000}"/>
    <cellStyle name="20% - Accent3 3 4 3 3 2" xfId="5559" xr:uid="{00000000-0005-0000-0000-0000E6150000}"/>
    <cellStyle name="20% - Accent3 3 4 3 3 2 2" xfId="5560" xr:uid="{00000000-0005-0000-0000-0000E7150000}"/>
    <cellStyle name="20% - Accent3 3 4 3 3 3" xfId="5561" xr:uid="{00000000-0005-0000-0000-0000E8150000}"/>
    <cellStyle name="20% - Accent3 3 4 3 4" xfId="5562" xr:uid="{00000000-0005-0000-0000-0000E9150000}"/>
    <cellStyle name="20% - Accent3 3 4 3 4 2" xfId="5563" xr:uid="{00000000-0005-0000-0000-0000EA150000}"/>
    <cellStyle name="20% - Accent3 3 4 3 5" xfId="5564" xr:uid="{00000000-0005-0000-0000-0000EB150000}"/>
    <cellStyle name="20% - Accent3 3 4 4" xfId="5565" xr:uid="{00000000-0005-0000-0000-0000EC150000}"/>
    <cellStyle name="20% - Accent3 3 4 4 2" xfId="5566" xr:uid="{00000000-0005-0000-0000-0000ED150000}"/>
    <cellStyle name="20% - Accent3 3 4 4 2 2" xfId="5567" xr:uid="{00000000-0005-0000-0000-0000EE150000}"/>
    <cellStyle name="20% - Accent3 3 4 4 2 2 2" xfId="5568" xr:uid="{00000000-0005-0000-0000-0000EF150000}"/>
    <cellStyle name="20% - Accent3 3 4 4 2 3" xfId="5569" xr:uid="{00000000-0005-0000-0000-0000F0150000}"/>
    <cellStyle name="20% - Accent3 3 4 4 3" xfId="5570" xr:uid="{00000000-0005-0000-0000-0000F1150000}"/>
    <cellStyle name="20% - Accent3 3 4 4 3 2" xfId="5571" xr:uid="{00000000-0005-0000-0000-0000F2150000}"/>
    <cellStyle name="20% - Accent3 3 4 4 4" xfId="5572" xr:uid="{00000000-0005-0000-0000-0000F3150000}"/>
    <cellStyle name="20% - Accent3 3 4 5" xfId="5573" xr:uid="{00000000-0005-0000-0000-0000F4150000}"/>
    <cellStyle name="20% - Accent3 3 4 5 2" xfId="5574" xr:uid="{00000000-0005-0000-0000-0000F5150000}"/>
    <cellStyle name="20% - Accent3 3 4 5 2 2" xfId="5575" xr:uid="{00000000-0005-0000-0000-0000F6150000}"/>
    <cellStyle name="20% - Accent3 3 4 5 3" xfId="5576" xr:uid="{00000000-0005-0000-0000-0000F7150000}"/>
    <cellStyle name="20% - Accent3 3 4 6" xfId="5577" xr:uid="{00000000-0005-0000-0000-0000F8150000}"/>
    <cellStyle name="20% - Accent3 3 4 6 2" xfId="5578" xr:uid="{00000000-0005-0000-0000-0000F9150000}"/>
    <cellStyle name="20% - Accent3 3 4 7" xfId="5579" xr:uid="{00000000-0005-0000-0000-0000FA150000}"/>
    <cellStyle name="20% - Accent3 3 5" xfId="5580" xr:uid="{00000000-0005-0000-0000-0000FB150000}"/>
    <cellStyle name="20% - Accent3 3 5 2" xfId="5581" xr:uid="{00000000-0005-0000-0000-0000FC150000}"/>
    <cellStyle name="20% - Accent3 3 5 2 2" xfId="5582" xr:uid="{00000000-0005-0000-0000-0000FD150000}"/>
    <cellStyle name="20% - Accent3 3 5 2 2 2" xfId="5583" xr:uid="{00000000-0005-0000-0000-0000FE150000}"/>
    <cellStyle name="20% - Accent3 3 5 2 2 2 2" xfId="5584" xr:uid="{00000000-0005-0000-0000-0000FF150000}"/>
    <cellStyle name="20% - Accent3 3 5 2 2 2 2 2" xfId="5585" xr:uid="{00000000-0005-0000-0000-000000160000}"/>
    <cellStyle name="20% - Accent3 3 5 2 2 2 3" xfId="5586" xr:uid="{00000000-0005-0000-0000-000001160000}"/>
    <cellStyle name="20% - Accent3 3 5 2 2 3" xfId="5587" xr:uid="{00000000-0005-0000-0000-000002160000}"/>
    <cellStyle name="20% - Accent3 3 5 2 2 3 2" xfId="5588" xr:uid="{00000000-0005-0000-0000-000003160000}"/>
    <cellStyle name="20% - Accent3 3 5 2 2 4" xfId="5589" xr:uid="{00000000-0005-0000-0000-000004160000}"/>
    <cellStyle name="20% - Accent3 3 5 2 3" xfId="5590" xr:uid="{00000000-0005-0000-0000-000005160000}"/>
    <cellStyle name="20% - Accent3 3 5 2 3 2" xfId="5591" xr:uid="{00000000-0005-0000-0000-000006160000}"/>
    <cellStyle name="20% - Accent3 3 5 2 3 2 2" xfId="5592" xr:uid="{00000000-0005-0000-0000-000007160000}"/>
    <cellStyle name="20% - Accent3 3 5 2 3 3" xfId="5593" xr:uid="{00000000-0005-0000-0000-000008160000}"/>
    <cellStyle name="20% - Accent3 3 5 2 4" xfId="5594" xr:uid="{00000000-0005-0000-0000-000009160000}"/>
    <cellStyle name="20% - Accent3 3 5 2 4 2" xfId="5595" xr:uid="{00000000-0005-0000-0000-00000A160000}"/>
    <cellStyle name="20% - Accent3 3 5 2 5" xfId="5596" xr:uid="{00000000-0005-0000-0000-00000B160000}"/>
    <cellStyle name="20% - Accent3 3 5 3" xfId="5597" xr:uid="{00000000-0005-0000-0000-00000C160000}"/>
    <cellStyle name="20% - Accent3 3 5 3 2" xfId="5598" xr:uid="{00000000-0005-0000-0000-00000D160000}"/>
    <cellStyle name="20% - Accent3 3 5 3 2 2" xfId="5599" xr:uid="{00000000-0005-0000-0000-00000E160000}"/>
    <cellStyle name="20% - Accent3 3 5 3 2 2 2" xfId="5600" xr:uid="{00000000-0005-0000-0000-00000F160000}"/>
    <cellStyle name="20% - Accent3 3 5 3 2 3" xfId="5601" xr:uid="{00000000-0005-0000-0000-000010160000}"/>
    <cellStyle name="20% - Accent3 3 5 3 3" xfId="5602" xr:uid="{00000000-0005-0000-0000-000011160000}"/>
    <cellStyle name="20% - Accent3 3 5 3 3 2" xfId="5603" xr:uid="{00000000-0005-0000-0000-000012160000}"/>
    <cellStyle name="20% - Accent3 3 5 3 4" xfId="5604" xr:uid="{00000000-0005-0000-0000-000013160000}"/>
    <cellStyle name="20% - Accent3 3 5 4" xfId="5605" xr:uid="{00000000-0005-0000-0000-000014160000}"/>
    <cellStyle name="20% - Accent3 3 5 4 2" xfId="5606" xr:uid="{00000000-0005-0000-0000-000015160000}"/>
    <cellStyle name="20% - Accent3 3 5 4 2 2" xfId="5607" xr:uid="{00000000-0005-0000-0000-000016160000}"/>
    <cellStyle name="20% - Accent3 3 5 4 3" xfId="5608" xr:uid="{00000000-0005-0000-0000-000017160000}"/>
    <cellStyle name="20% - Accent3 3 5 5" xfId="5609" xr:uid="{00000000-0005-0000-0000-000018160000}"/>
    <cellStyle name="20% - Accent3 3 5 5 2" xfId="5610" xr:uid="{00000000-0005-0000-0000-000019160000}"/>
    <cellStyle name="20% - Accent3 3 5 6" xfId="5611" xr:uid="{00000000-0005-0000-0000-00001A160000}"/>
    <cellStyle name="20% - Accent3 3 6" xfId="5612" xr:uid="{00000000-0005-0000-0000-00001B160000}"/>
    <cellStyle name="20% - Accent3 3 6 2" xfId="5613" xr:uid="{00000000-0005-0000-0000-00001C160000}"/>
    <cellStyle name="20% - Accent3 3 6 2 2" xfId="5614" xr:uid="{00000000-0005-0000-0000-00001D160000}"/>
    <cellStyle name="20% - Accent3 3 6 2 2 2" xfId="5615" xr:uid="{00000000-0005-0000-0000-00001E160000}"/>
    <cellStyle name="20% - Accent3 3 6 2 2 2 2" xfId="5616" xr:uid="{00000000-0005-0000-0000-00001F160000}"/>
    <cellStyle name="20% - Accent3 3 6 2 2 3" xfId="5617" xr:uid="{00000000-0005-0000-0000-000020160000}"/>
    <cellStyle name="20% - Accent3 3 6 2 3" xfId="5618" xr:uid="{00000000-0005-0000-0000-000021160000}"/>
    <cellStyle name="20% - Accent3 3 6 2 3 2" xfId="5619" xr:uid="{00000000-0005-0000-0000-000022160000}"/>
    <cellStyle name="20% - Accent3 3 6 2 4" xfId="5620" xr:uid="{00000000-0005-0000-0000-000023160000}"/>
    <cellStyle name="20% - Accent3 3 6 3" xfId="5621" xr:uid="{00000000-0005-0000-0000-000024160000}"/>
    <cellStyle name="20% - Accent3 3 6 3 2" xfId="5622" xr:uid="{00000000-0005-0000-0000-000025160000}"/>
    <cellStyle name="20% - Accent3 3 6 3 2 2" xfId="5623" xr:uid="{00000000-0005-0000-0000-000026160000}"/>
    <cellStyle name="20% - Accent3 3 6 3 3" xfId="5624" xr:uid="{00000000-0005-0000-0000-000027160000}"/>
    <cellStyle name="20% - Accent3 3 6 4" xfId="5625" xr:uid="{00000000-0005-0000-0000-000028160000}"/>
    <cellStyle name="20% - Accent3 3 6 4 2" xfId="5626" xr:uid="{00000000-0005-0000-0000-000029160000}"/>
    <cellStyle name="20% - Accent3 3 6 5" xfId="5627" xr:uid="{00000000-0005-0000-0000-00002A160000}"/>
    <cellStyle name="20% - Accent3 3 7" xfId="5628" xr:uid="{00000000-0005-0000-0000-00002B160000}"/>
    <cellStyle name="20% - Accent3 3 7 2" xfId="5629" xr:uid="{00000000-0005-0000-0000-00002C160000}"/>
    <cellStyle name="20% - Accent3 3 7 2 2" xfId="5630" xr:uid="{00000000-0005-0000-0000-00002D160000}"/>
    <cellStyle name="20% - Accent3 3 7 2 2 2" xfId="5631" xr:uid="{00000000-0005-0000-0000-00002E160000}"/>
    <cellStyle name="20% - Accent3 3 7 2 3" xfId="5632" xr:uid="{00000000-0005-0000-0000-00002F160000}"/>
    <cellStyle name="20% - Accent3 3 7 3" xfId="5633" xr:uid="{00000000-0005-0000-0000-000030160000}"/>
    <cellStyle name="20% - Accent3 3 7 3 2" xfId="5634" xr:uid="{00000000-0005-0000-0000-000031160000}"/>
    <cellStyle name="20% - Accent3 3 7 4" xfId="5635" xr:uid="{00000000-0005-0000-0000-000032160000}"/>
    <cellStyle name="20% - Accent3 3 8" xfId="5636" xr:uid="{00000000-0005-0000-0000-000033160000}"/>
    <cellStyle name="20% - Accent3 3 8 2" xfId="5637" xr:uid="{00000000-0005-0000-0000-000034160000}"/>
    <cellStyle name="20% - Accent3 3 8 2 2" xfId="5638" xr:uid="{00000000-0005-0000-0000-000035160000}"/>
    <cellStyle name="20% - Accent3 3 8 3" xfId="5639" xr:uid="{00000000-0005-0000-0000-000036160000}"/>
    <cellStyle name="20% - Accent3 3 9" xfId="5640" xr:uid="{00000000-0005-0000-0000-000037160000}"/>
    <cellStyle name="20% - Accent3 3 9 2" xfId="5641" xr:uid="{00000000-0005-0000-0000-000038160000}"/>
    <cellStyle name="20% - Accent3 4" xfId="5642" xr:uid="{00000000-0005-0000-0000-000039160000}"/>
    <cellStyle name="20% - Accent3 4 2" xfId="5643" xr:uid="{00000000-0005-0000-0000-00003A160000}"/>
    <cellStyle name="20% - Accent3 4 2 2" xfId="5644" xr:uid="{00000000-0005-0000-0000-00003B160000}"/>
    <cellStyle name="20% - Accent3 4 2 2 2" xfId="5645" xr:uid="{00000000-0005-0000-0000-00003C160000}"/>
    <cellStyle name="20% - Accent3 4 2 2 2 2" xfId="5646" xr:uid="{00000000-0005-0000-0000-00003D160000}"/>
    <cellStyle name="20% - Accent3 4 2 2 2 2 2" xfId="5647" xr:uid="{00000000-0005-0000-0000-00003E160000}"/>
    <cellStyle name="20% - Accent3 4 2 2 2 2 2 2" xfId="5648" xr:uid="{00000000-0005-0000-0000-00003F160000}"/>
    <cellStyle name="20% - Accent3 4 2 2 2 2 2 2 2" xfId="5649" xr:uid="{00000000-0005-0000-0000-000040160000}"/>
    <cellStyle name="20% - Accent3 4 2 2 2 2 2 2 2 2" xfId="5650" xr:uid="{00000000-0005-0000-0000-000041160000}"/>
    <cellStyle name="20% - Accent3 4 2 2 2 2 2 2 3" xfId="5651" xr:uid="{00000000-0005-0000-0000-000042160000}"/>
    <cellStyle name="20% - Accent3 4 2 2 2 2 2 3" xfId="5652" xr:uid="{00000000-0005-0000-0000-000043160000}"/>
    <cellStyle name="20% - Accent3 4 2 2 2 2 2 3 2" xfId="5653" xr:uid="{00000000-0005-0000-0000-000044160000}"/>
    <cellStyle name="20% - Accent3 4 2 2 2 2 2 4" xfId="5654" xr:uid="{00000000-0005-0000-0000-000045160000}"/>
    <cellStyle name="20% - Accent3 4 2 2 2 2 3" xfId="5655" xr:uid="{00000000-0005-0000-0000-000046160000}"/>
    <cellStyle name="20% - Accent3 4 2 2 2 2 3 2" xfId="5656" xr:uid="{00000000-0005-0000-0000-000047160000}"/>
    <cellStyle name="20% - Accent3 4 2 2 2 2 3 2 2" xfId="5657" xr:uid="{00000000-0005-0000-0000-000048160000}"/>
    <cellStyle name="20% - Accent3 4 2 2 2 2 3 3" xfId="5658" xr:uid="{00000000-0005-0000-0000-000049160000}"/>
    <cellStyle name="20% - Accent3 4 2 2 2 2 4" xfId="5659" xr:uid="{00000000-0005-0000-0000-00004A160000}"/>
    <cellStyle name="20% - Accent3 4 2 2 2 2 4 2" xfId="5660" xr:uid="{00000000-0005-0000-0000-00004B160000}"/>
    <cellStyle name="20% - Accent3 4 2 2 2 2 5" xfId="5661" xr:uid="{00000000-0005-0000-0000-00004C160000}"/>
    <cellStyle name="20% - Accent3 4 2 2 2 3" xfId="5662" xr:uid="{00000000-0005-0000-0000-00004D160000}"/>
    <cellStyle name="20% - Accent3 4 2 2 2 3 2" xfId="5663" xr:uid="{00000000-0005-0000-0000-00004E160000}"/>
    <cellStyle name="20% - Accent3 4 2 2 2 3 2 2" xfId="5664" xr:uid="{00000000-0005-0000-0000-00004F160000}"/>
    <cellStyle name="20% - Accent3 4 2 2 2 3 2 2 2" xfId="5665" xr:uid="{00000000-0005-0000-0000-000050160000}"/>
    <cellStyle name="20% - Accent3 4 2 2 2 3 2 3" xfId="5666" xr:uid="{00000000-0005-0000-0000-000051160000}"/>
    <cellStyle name="20% - Accent3 4 2 2 2 3 3" xfId="5667" xr:uid="{00000000-0005-0000-0000-000052160000}"/>
    <cellStyle name="20% - Accent3 4 2 2 2 3 3 2" xfId="5668" xr:uid="{00000000-0005-0000-0000-000053160000}"/>
    <cellStyle name="20% - Accent3 4 2 2 2 3 4" xfId="5669" xr:uid="{00000000-0005-0000-0000-000054160000}"/>
    <cellStyle name="20% - Accent3 4 2 2 2 4" xfId="5670" xr:uid="{00000000-0005-0000-0000-000055160000}"/>
    <cellStyle name="20% - Accent3 4 2 2 2 4 2" xfId="5671" xr:uid="{00000000-0005-0000-0000-000056160000}"/>
    <cellStyle name="20% - Accent3 4 2 2 2 4 2 2" xfId="5672" xr:uid="{00000000-0005-0000-0000-000057160000}"/>
    <cellStyle name="20% - Accent3 4 2 2 2 4 3" xfId="5673" xr:uid="{00000000-0005-0000-0000-000058160000}"/>
    <cellStyle name="20% - Accent3 4 2 2 2 5" xfId="5674" xr:uid="{00000000-0005-0000-0000-000059160000}"/>
    <cellStyle name="20% - Accent3 4 2 2 2 5 2" xfId="5675" xr:uid="{00000000-0005-0000-0000-00005A160000}"/>
    <cellStyle name="20% - Accent3 4 2 2 2 6" xfId="5676" xr:uid="{00000000-0005-0000-0000-00005B160000}"/>
    <cellStyle name="20% - Accent3 4 2 2 3" xfId="5677" xr:uid="{00000000-0005-0000-0000-00005C160000}"/>
    <cellStyle name="20% - Accent3 4 2 2 3 2" xfId="5678" xr:uid="{00000000-0005-0000-0000-00005D160000}"/>
    <cellStyle name="20% - Accent3 4 2 2 3 2 2" xfId="5679" xr:uid="{00000000-0005-0000-0000-00005E160000}"/>
    <cellStyle name="20% - Accent3 4 2 2 3 2 2 2" xfId="5680" xr:uid="{00000000-0005-0000-0000-00005F160000}"/>
    <cellStyle name="20% - Accent3 4 2 2 3 2 2 2 2" xfId="5681" xr:uid="{00000000-0005-0000-0000-000060160000}"/>
    <cellStyle name="20% - Accent3 4 2 2 3 2 2 3" xfId="5682" xr:uid="{00000000-0005-0000-0000-000061160000}"/>
    <cellStyle name="20% - Accent3 4 2 2 3 2 3" xfId="5683" xr:uid="{00000000-0005-0000-0000-000062160000}"/>
    <cellStyle name="20% - Accent3 4 2 2 3 2 3 2" xfId="5684" xr:uid="{00000000-0005-0000-0000-000063160000}"/>
    <cellStyle name="20% - Accent3 4 2 2 3 2 4" xfId="5685" xr:uid="{00000000-0005-0000-0000-000064160000}"/>
    <cellStyle name="20% - Accent3 4 2 2 3 3" xfId="5686" xr:uid="{00000000-0005-0000-0000-000065160000}"/>
    <cellStyle name="20% - Accent3 4 2 2 3 3 2" xfId="5687" xr:uid="{00000000-0005-0000-0000-000066160000}"/>
    <cellStyle name="20% - Accent3 4 2 2 3 3 2 2" xfId="5688" xr:uid="{00000000-0005-0000-0000-000067160000}"/>
    <cellStyle name="20% - Accent3 4 2 2 3 3 3" xfId="5689" xr:uid="{00000000-0005-0000-0000-000068160000}"/>
    <cellStyle name="20% - Accent3 4 2 2 3 4" xfId="5690" xr:uid="{00000000-0005-0000-0000-000069160000}"/>
    <cellStyle name="20% - Accent3 4 2 2 3 4 2" xfId="5691" xr:uid="{00000000-0005-0000-0000-00006A160000}"/>
    <cellStyle name="20% - Accent3 4 2 2 3 5" xfId="5692" xr:uid="{00000000-0005-0000-0000-00006B160000}"/>
    <cellStyle name="20% - Accent3 4 2 2 4" xfId="5693" xr:uid="{00000000-0005-0000-0000-00006C160000}"/>
    <cellStyle name="20% - Accent3 4 2 2 4 2" xfId="5694" xr:uid="{00000000-0005-0000-0000-00006D160000}"/>
    <cellStyle name="20% - Accent3 4 2 2 4 2 2" xfId="5695" xr:uid="{00000000-0005-0000-0000-00006E160000}"/>
    <cellStyle name="20% - Accent3 4 2 2 4 2 2 2" xfId="5696" xr:uid="{00000000-0005-0000-0000-00006F160000}"/>
    <cellStyle name="20% - Accent3 4 2 2 4 2 3" xfId="5697" xr:uid="{00000000-0005-0000-0000-000070160000}"/>
    <cellStyle name="20% - Accent3 4 2 2 4 3" xfId="5698" xr:uid="{00000000-0005-0000-0000-000071160000}"/>
    <cellStyle name="20% - Accent3 4 2 2 4 3 2" xfId="5699" xr:uid="{00000000-0005-0000-0000-000072160000}"/>
    <cellStyle name="20% - Accent3 4 2 2 4 4" xfId="5700" xr:uid="{00000000-0005-0000-0000-000073160000}"/>
    <cellStyle name="20% - Accent3 4 2 2 5" xfId="5701" xr:uid="{00000000-0005-0000-0000-000074160000}"/>
    <cellStyle name="20% - Accent3 4 2 2 5 2" xfId="5702" xr:uid="{00000000-0005-0000-0000-000075160000}"/>
    <cellStyle name="20% - Accent3 4 2 2 5 2 2" xfId="5703" xr:uid="{00000000-0005-0000-0000-000076160000}"/>
    <cellStyle name="20% - Accent3 4 2 2 5 3" xfId="5704" xr:uid="{00000000-0005-0000-0000-000077160000}"/>
    <cellStyle name="20% - Accent3 4 2 2 6" xfId="5705" xr:uid="{00000000-0005-0000-0000-000078160000}"/>
    <cellStyle name="20% - Accent3 4 2 2 6 2" xfId="5706" xr:uid="{00000000-0005-0000-0000-000079160000}"/>
    <cellStyle name="20% - Accent3 4 2 2 7" xfId="5707" xr:uid="{00000000-0005-0000-0000-00007A160000}"/>
    <cellStyle name="20% - Accent3 4 2 3" xfId="5708" xr:uid="{00000000-0005-0000-0000-00007B160000}"/>
    <cellStyle name="20% - Accent3 4 2 3 2" xfId="5709" xr:uid="{00000000-0005-0000-0000-00007C160000}"/>
    <cellStyle name="20% - Accent3 4 2 3 2 2" xfId="5710" xr:uid="{00000000-0005-0000-0000-00007D160000}"/>
    <cellStyle name="20% - Accent3 4 2 3 2 2 2" xfId="5711" xr:uid="{00000000-0005-0000-0000-00007E160000}"/>
    <cellStyle name="20% - Accent3 4 2 3 2 2 2 2" xfId="5712" xr:uid="{00000000-0005-0000-0000-00007F160000}"/>
    <cellStyle name="20% - Accent3 4 2 3 2 2 2 2 2" xfId="5713" xr:uid="{00000000-0005-0000-0000-000080160000}"/>
    <cellStyle name="20% - Accent3 4 2 3 2 2 2 3" xfId="5714" xr:uid="{00000000-0005-0000-0000-000081160000}"/>
    <cellStyle name="20% - Accent3 4 2 3 2 2 3" xfId="5715" xr:uid="{00000000-0005-0000-0000-000082160000}"/>
    <cellStyle name="20% - Accent3 4 2 3 2 2 3 2" xfId="5716" xr:uid="{00000000-0005-0000-0000-000083160000}"/>
    <cellStyle name="20% - Accent3 4 2 3 2 2 4" xfId="5717" xr:uid="{00000000-0005-0000-0000-000084160000}"/>
    <cellStyle name="20% - Accent3 4 2 3 2 3" xfId="5718" xr:uid="{00000000-0005-0000-0000-000085160000}"/>
    <cellStyle name="20% - Accent3 4 2 3 2 3 2" xfId="5719" xr:uid="{00000000-0005-0000-0000-000086160000}"/>
    <cellStyle name="20% - Accent3 4 2 3 2 3 2 2" xfId="5720" xr:uid="{00000000-0005-0000-0000-000087160000}"/>
    <cellStyle name="20% - Accent3 4 2 3 2 3 3" xfId="5721" xr:uid="{00000000-0005-0000-0000-000088160000}"/>
    <cellStyle name="20% - Accent3 4 2 3 2 4" xfId="5722" xr:uid="{00000000-0005-0000-0000-000089160000}"/>
    <cellStyle name="20% - Accent3 4 2 3 2 4 2" xfId="5723" xr:uid="{00000000-0005-0000-0000-00008A160000}"/>
    <cellStyle name="20% - Accent3 4 2 3 2 5" xfId="5724" xr:uid="{00000000-0005-0000-0000-00008B160000}"/>
    <cellStyle name="20% - Accent3 4 2 3 3" xfId="5725" xr:uid="{00000000-0005-0000-0000-00008C160000}"/>
    <cellStyle name="20% - Accent3 4 2 3 3 2" xfId="5726" xr:uid="{00000000-0005-0000-0000-00008D160000}"/>
    <cellStyle name="20% - Accent3 4 2 3 3 2 2" xfId="5727" xr:uid="{00000000-0005-0000-0000-00008E160000}"/>
    <cellStyle name="20% - Accent3 4 2 3 3 2 2 2" xfId="5728" xr:uid="{00000000-0005-0000-0000-00008F160000}"/>
    <cellStyle name="20% - Accent3 4 2 3 3 2 3" xfId="5729" xr:uid="{00000000-0005-0000-0000-000090160000}"/>
    <cellStyle name="20% - Accent3 4 2 3 3 3" xfId="5730" xr:uid="{00000000-0005-0000-0000-000091160000}"/>
    <cellStyle name="20% - Accent3 4 2 3 3 3 2" xfId="5731" xr:uid="{00000000-0005-0000-0000-000092160000}"/>
    <cellStyle name="20% - Accent3 4 2 3 3 4" xfId="5732" xr:uid="{00000000-0005-0000-0000-000093160000}"/>
    <cellStyle name="20% - Accent3 4 2 3 4" xfId="5733" xr:uid="{00000000-0005-0000-0000-000094160000}"/>
    <cellStyle name="20% - Accent3 4 2 3 4 2" xfId="5734" xr:uid="{00000000-0005-0000-0000-000095160000}"/>
    <cellStyle name="20% - Accent3 4 2 3 4 2 2" xfId="5735" xr:uid="{00000000-0005-0000-0000-000096160000}"/>
    <cellStyle name="20% - Accent3 4 2 3 4 3" xfId="5736" xr:uid="{00000000-0005-0000-0000-000097160000}"/>
    <cellStyle name="20% - Accent3 4 2 3 5" xfId="5737" xr:uid="{00000000-0005-0000-0000-000098160000}"/>
    <cellStyle name="20% - Accent3 4 2 3 5 2" xfId="5738" xr:uid="{00000000-0005-0000-0000-000099160000}"/>
    <cellStyle name="20% - Accent3 4 2 3 6" xfId="5739" xr:uid="{00000000-0005-0000-0000-00009A160000}"/>
    <cellStyle name="20% - Accent3 4 2 4" xfId="5740" xr:uid="{00000000-0005-0000-0000-00009B160000}"/>
    <cellStyle name="20% - Accent3 4 2 4 2" xfId="5741" xr:uid="{00000000-0005-0000-0000-00009C160000}"/>
    <cellStyle name="20% - Accent3 4 2 4 2 2" xfId="5742" xr:uid="{00000000-0005-0000-0000-00009D160000}"/>
    <cellStyle name="20% - Accent3 4 2 4 2 2 2" xfId="5743" xr:uid="{00000000-0005-0000-0000-00009E160000}"/>
    <cellStyle name="20% - Accent3 4 2 4 2 2 2 2" xfId="5744" xr:uid="{00000000-0005-0000-0000-00009F160000}"/>
    <cellStyle name="20% - Accent3 4 2 4 2 2 3" xfId="5745" xr:uid="{00000000-0005-0000-0000-0000A0160000}"/>
    <cellStyle name="20% - Accent3 4 2 4 2 3" xfId="5746" xr:uid="{00000000-0005-0000-0000-0000A1160000}"/>
    <cellStyle name="20% - Accent3 4 2 4 2 3 2" xfId="5747" xr:uid="{00000000-0005-0000-0000-0000A2160000}"/>
    <cellStyle name="20% - Accent3 4 2 4 2 4" xfId="5748" xr:uid="{00000000-0005-0000-0000-0000A3160000}"/>
    <cellStyle name="20% - Accent3 4 2 4 3" xfId="5749" xr:uid="{00000000-0005-0000-0000-0000A4160000}"/>
    <cellStyle name="20% - Accent3 4 2 4 3 2" xfId="5750" xr:uid="{00000000-0005-0000-0000-0000A5160000}"/>
    <cellStyle name="20% - Accent3 4 2 4 3 2 2" xfId="5751" xr:uid="{00000000-0005-0000-0000-0000A6160000}"/>
    <cellStyle name="20% - Accent3 4 2 4 3 3" xfId="5752" xr:uid="{00000000-0005-0000-0000-0000A7160000}"/>
    <cellStyle name="20% - Accent3 4 2 4 4" xfId="5753" xr:uid="{00000000-0005-0000-0000-0000A8160000}"/>
    <cellStyle name="20% - Accent3 4 2 4 4 2" xfId="5754" xr:uid="{00000000-0005-0000-0000-0000A9160000}"/>
    <cellStyle name="20% - Accent3 4 2 4 5" xfId="5755" xr:uid="{00000000-0005-0000-0000-0000AA160000}"/>
    <cellStyle name="20% - Accent3 4 2 5" xfId="5756" xr:uid="{00000000-0005-0000-0000-0000AB160000}"/>
    <cellStyle name="20% - Accent3 4 2 5 2" xfId="5757" xr:uid="{00000000-0005-0000-0000-0000AC160000}"/>
    <cellStyle name="20% - Accent3 4 2 5 2 2" xfId="5758" xr:uid="{00000000-0005-0000-0000-0000AD160000}"/>
    <cellStyle name="20% - Accent3 4 2 5 2 2 2" xfId="5759" xr:uid="{00000000-0005-0000-0000-0000AE160000}"/>
    <cellStyle name="20% - Accent3 4 2 5 2 3" xfId="5760" xr:uid="{00000000-0005-0000-0000-0000AF160000}"/>
    <cellStyle name="20% - Accent3 4 2 5 3" xfId="5761" xr:uid="{00000000-0005-0000-0000-0000B0160000}"/>
    <cellStyle name="20% - Accent3 4 2 5 3 2" xfId="5762" xr:uid="{00000000-0005-0000-0000-0000B1160000}"/>
    <cellStyle name="20% - Accent3 4 2 5 4" xfId="5763" xr:uid="{00000000-0005-0000-0000-0000B2160000}"/>
    <cellStyle name="20% - Accent3 4 2 6" xfId="5764" xr:uid="{00000000-0005-0000-0000-0000B3160000}"/>
    <cellStyle name="20% - Accent3 4 2 6 2" xfId="5765" xr:uid="{00000000-0005-0000-0000-0000B4160000}"/>
    <cellStyle name="20% - Accent3 4 2 6 2 2" xfId="5766" xr:uid="{00000000-0005-0000-0000-0000B5160000}"/>
    <cellStyle name="20% - Accent3 4 2 6 3" xfId="5767" xr:uid="{00000000-0005-0000-0000-0000B6160000}"/>
    <cellStyle name="20% - Accent3 4 2 7" xfId="5768" xr:uid="{00000000-0005-0000-0000-0000B7160000}"/>
    <cellStyle name="20% - Accent3 4 2 7 2" xfId="5769" xr:uid="{00000000-0005-0000-0000-0000B8160000}"/>
    <cellStyle name="20% - Accent3 4 2 8" xfId="5770" xr:uid="{00000000-0005-0000-0000-0000B9160000}"/>
    <cellStyle name="20% - Accent3 4 3" xfId="5771" xr:uid="{00000000-0005-0000-0000-0000BA160000}"/>
    <cellStyle name="20% - Accent3 4 3 2" xfId="5772" xr:uid="{00000000-0005-0000-0000-0000BB160000}"/>
    <cellStyle name="20% - Accent3 4 3 2 2" xfId="5773" xr:uid="{00000000-0005-0000-0000-0000BC160000}"/>
    <cellStyle name="20% - Accent3 4 3 2 2 2" xfId="5774" xr:uid="{00000000-0005-0000-0000-0000BD160000}"/>
    <cellStyle name="20% - Accent3 4 3 2 2 2 2" xfId="5775" xr:uid="{00000000-0005-0000-0000-0000BE160000}"/>
    <cellStyle name="20% - Accent3 4 3 2 2 2 2 2" xfId="5776" xr:uid="{00000000-0005-0000-0000-0000BF160000}"/>
    <cellStyle name="20% - Accent3 4 3 2 2 2 2 2 2" xfId="5777" xr:uid="{00000000-0005-0000-0000-0000C0160000}"/>
    <cellStyle name="20% - Accent3 4 3 2 2 2 2 3" xfId="5778" xr:uid="{00000000-0005-0000-0000-0000C1160000}"/>
    <cellStyle name="20% - Accent3 4 3 2 2 2 3" xfId="5779" xr:uid="{00000000-0005-0000-0000-0000C2160000}"/>
    <cellStyle name="20% - Accent3 4 3 2 2 2 3 2" xfId="5780" xr:uid="{00000000-0005-0000-0000-0000C3160000}"/>
    <cellStyle name="20% - Accent3 4 3 2 2 2 4" xfId="5781" xr:uid="{00000000-0005-0000-0000-0000C4160000}"/>
    <cellStyle name="20% - Accent3 4 3 2 2 3" xfId="5782" xr:uid="{00000000-0005-0000-0000-0000C5160000}"/>
    <cellStyle name="20% - Accent3 4 3 2 2 3 2" xfId="5783" xr:uid="{00000000-0005-0000-0000-0000C6160000}"/>
    <cellStyle name="20% - Accent3 4 3 2 2 3 2 2" xfId="5784" xr:uid="{00000000-0005-0000-0000-0000C7160000}"/>
    <cellStyle name="20% - Accent3 4 3 2 2 3 3" xfId="5785" xr:uid="{00000000-0005-0000-0000-0000C8160000}"/>
    <cellStyle name="20% - Accent3 4 3 2 2 4" xfId="5786" xr:uid="{00000000-0005-0000-0000-0000C9160000}"/>
    <cellStyle name="20% - Accent3 4 3 2 2 4 2" xfId="5787" xr:uid="{00000000-0005-0000-0000-0000CA160000}"/>
    <cellStyle name="20% - Accent3 4 3 2 2 5" xfId="5788" xr:uid="{00000000-0005-0000-0000-0000CB160000}"/>
    <cellStyle name="20% - Accent3 4 3 2 3" xfId="5789" xr:uid="{00000000-0005-0000-0000-0000CC160000}"/>
    <cellStyle name="20% - Accent3 4 3 2 3 2" xfId="5790" xr:uid="{00000000-0005-0000-0000-0000CD160000}"/>
    <cellStyle name="20% - Accent3 4 3 2 3 2 2" xfId="5791" xr:uid="{00000000-0005-0000-0000-0000CE160000}"/>
    <cellStyle name="20% - Accent3 4 3 2 3 2 2 2" xfId="5792" xr:uid="{00000000-0005-0000-0000-0000CF160000}"/>
    <cellStyle name="20% - Accent3 4 3 2 3 2 3" xfId="5793" xr:uid="{00000000-0005-0000-0000-0000D0160000}"/>
    <cellStyle name="20% - Accent3 4 3 2 3 3" xfId="5794" xr:uid="{00000000-0005-0000-0000-0000D1160000}"/>
    <cellStyle name="20% - Accent3 4 3 2 3 3 2" xfId="5795" xr:uid="{00000000-0005-0000-0000-0000D2160000}"/>
    <cellStyle name="20% - Accent3 4 3 2 3 4" xfId="5796" xr:uid="{00000000-0005-0000-0000-0000D3160000}"/>
    <cellStyle name="20% - Accent3 4 3 2 4" xfId="5797" xr:uid="{00000000-0005-0000-0000-0000D4160000}"/>
    <cellStyle name="20% - Accent3 4 3 2 4 2" xfId="5798" xr:uid="{00000000-0005-0000-0000-0000D5160000}"/>
    <cellStyle name="20% - Accent3 4 3 2 4 2 2" xfId="5799" xr:uid="{00000000-0005-0000-0000-0000D6160000}"/>
    <cellStyle name="20% - Accent3 4 3 2 4 3" xfId="5800" xr:uid="{00000000-0005-0000-0000-0000D7160000}"/>
    <cellStyle name="20% - Accent3 4 3 2 5" xfId="5801" xr:uid="{00000000-0005-0000-0000-0000D8160000}"/>
    <cellStyle name="20% - Accent3 4 3 2 5 2" xfId="5802" xr:uid="{00000000-0005-0000-0000-0000D9160000}"/>
    <cellStyle name="20% - Accent3 4 3 2 6" xfId="5803" xr:uid="{00000000-0005-0000-0000-0000DA160000}"/>
    <cellStyle name="20% - Accent3 4 3 3" xfId="5804" xr:uid="{00000000-0005-0000-0000-0000DB160000}"/>
    <cellStyle name="20% - Accent3 4 3 3 2" xfId="5805" xr:uid="{00000000-0005-0000-0000-0000DC160000}"/>
    <cellStyle name="20% - Accent3 4 3 3 2 2" xfId="5806" xr:uid="{00000000-0005-0000-0000-0000DD160000}"/>
    <cellStyle name="20% - Accent3 4 3 3 2 2 2" xfId="5807" xr:uid="{00000000-0005-0000-0000-0000DE160000}"/>
    <cellStyle name="20% - Accent3 4 3 3 2 2 2 2" xfId="5808" xr:uid="{00000000-0005-0000-0000-0000DF160000}"/>
    <cellStyle name="20% - Accent3 4 3 3 2 2 3" xfId="5809" xr:uid="{00000000-0005-0000-0000-0000E0160000}"/>
    <cellStyle name="20% - Accent3 4 3 3 2 3" xfId="5810" xr:uid="{00000000-0005-0000-0000-0000E1160000}"/>
    <cellStyle name="20% - Accent3 4 3 3 2 3 2" xfId="5811" xr:uid="{00000000-0005-0000-0000-0000E2160000}"/>
    <cellStyle name="20% - Accent3 4 3 3 2 4" xfId="5812" xr:uid="{00000000-0005-0000-0000-0000E3160000}"/>
    <cellStyle name="20% - Accent3 4 3 3 3" xfId="5813" xr:uid="{00000000-0005-0000-0000-0000E4160000}"/>
    <cellStyle name="20% - Accent3 4 3 3 3 2" xfId="5814" xr:uid="{00000000-0005-0000-0000-0000E5160000}"/>
    <cellStyle name="20% - Accent3 4 3 3 3 2 2" xfId="5815" xr:uid="{00000000-0005-0000-0000-0000E6160000}"/>
    <cellStyle name="20% - Accent3 4 3 3 3 3" xfId="5816" xr:uid="{00000000-0005-0000-0000-0000E7160000}"/>
    <cellStyle name="20% - Accent3 4 3 3 4" xfId="5817" xr:uid="{00000000-0005-0000-0000-0000E8160000}"/>
    <cellStyle name="20% - Accent3 4 3 3 4 2" xfId="5818" xr:uid="{00000000-0005-0000-0000-0000E9160000}"/>
    <cellStyle name="20% - Accent3 4 3 3 5" xfId="5819" xr:uid="{00000000-0005-0000-0000-0000EA160000}"/>
    <cellStyle name="20% - Accent3 4 3 4" xfId="5820" xr:uid="{00000000-0005-0000-0000-0000EB160000}"/>
    <cellStyle name="20% - Accent3 4 3 4 2" xfId="5821" xr:uid="{00000000-0005-0000-0000-0000EC160000}"/>
    <cellStyle name="20% - Accent3 4 3 4 2 2" xfId="5822" xr:uid="{00000000-0005-0000-0000-0000ED160000}"/>
    <cellStyle name="20% - Accent3 4 3 4 2 2 2" xfId="5823" xr:uid="{00000000-0005-0000-0000-0000EE160000}"/>
    <cellStyle name="20% - Accent3 4 3 4 2 3" xfId="5824" xr:uid="{00000000-0005-0000-0000-0000EF160000}"/>
    <cellStyle name="20% - Accent3 4 3 4 3" xfId="5825" xr:uid="{00000000-0005-0000-0000-0000F0160000}"/>
    <cellStyle name="20% - Accent3 4 3 4 3 2" xfId="5826" xr:uid="{00000000-0005-0000-0000-0000F1160000}"/>
    <cellStyle name="20% - Accent3 4 3 4 4" xfId="5827" xr:uid="{00000000-0005-0000-0000-0000F2160000}"/>
    <cellStyle name="20% - Accent3 4 3 5" xfId="5828" xr:uid="{00000000-0005-0000-0000-0000F3160000}"/>
    <cellStyle name="20% - Accent3 4 3 5 2" xfId="5829" xr:uid="{00000000-0005-0000-0000-0000F4160000}"/>
    <cellStyle name="20% - Accent3 4 3 5 2 2" xfId="5830" xr:uid="{00000000-0005-0000-0000-0000F5160000}"/>
    <cellStyle name="20% - Accent3 4 3 5 3" xfId="5831" xr:uid="{00000000-0005-0000-0000-0000F6160000}"/>
    <cellStyle name="20% - Accent3 4 3 6" xfId="5832" xr:uid="{00000000-0005-0000-0000-0000F7160000}"/>
    <cellStyle name="20% - Accent3 4 3 6 2" xfId="5833" xr:uid="{00000000-0005-0000-0000-0000F8160000}"/>
    <cellStyle name="20% - Accent3 4 3 7" xfId="5834" xr:uid="{00000000-0005-0000-0000-0000F9160000}"/>
    <cellStyle name="20% - Accent3 4 4" xfId="5835" xr:uid="{00000000-0005-0000-0000-0000FA160000}"/>
    <cellStyle name="20% - Accent3 4 4 2" xfId="5836" xr:uid="{00000000-0005-0000-0000-0000FB160000}"/>
    <cellStyle name="20% - Accent3 4 4 2 2" xfId="5837" xr:uid="{00000000-0005-0000-0000-0000FC160000}"/>
    <cellStyle name="20% - Accent3 4 4 2 2 2" xfId="5838" xr:uid="{00000000-0005-0000-0000-0000FD160000}"/>
    <cellStyle name="20% - Accent3 4 4 2 2 2 2" xfId="5839" xr:uid="{00000000-0005-0000-0000-0000FE160000}"/>
    <cellStyle name="20% - Accent3 4 4 2 2 2 2 2" xfId="5840" xr:uid="{00000000-0005-0000-0000-0000FF160000}"/>
    <cellStyle name="20% - Accent3 4 4 2 2 2 3" xfId="5841" xr:uid="{00000000-0005-0000-0000-000000170000}"/>
    <cellStyle name="20% - Accent3 4 4 2 2 3" xfId="5842" xr:uid="{00000000-0005-0000-0000-000001170000}"/>
    <cellStyle name="20% - Accent3 4 4 2 2 3 2" xfId="5843" xr:uid="{00000000-0005-0000-0000-000002170000}"/>
    <cellStyle name="20% - Accent3 4 4 2 2 4" xfId="5844" xr:uid="{00000000-0005-0000-0000-000003170000}"/>
    <cellStyle name="20% - Accent3 4 4 2 3" xfId="5845" xr:uid="{00000000-0005-0000-0000-000004170000}"/>
    <cellStyle name="20% - Accent3 4 4 2 3 2" xfId="5846" xr:uid="{00000000-0005-0000-0000-000005170000}"/>
    <cellStyle name="20% - Accent3 4 4 2 3 2 2" xfId="5847" xr:uid="{00000000-0005-0000-0000-000006170000}"/>
    <cellStyle name="20% - Accent3 4 4 2 3 3" xfId="5848" xr:uid="{00000000-0005-0000-0000-000007170000}"/>
    <cellStyle name="20% - Accent3 4 4 2 4" xfId="5849" xr:uid="{00000000-0005-0000-0000-000008170000}"/>
    <cellStyle name="20% - Accent3 4 4 2 4 2" xfId="5850" xr:uid="{00000000-0005-0000-0000-000009170000}"/>
    <cellStyle name="20% - Accent3 4 4 2 5" xfId="5851" xr:uid="{00000000-0005-0000-0000-00000A170000}"/>
    <cellStyle name="20% - Accent3 4 4 3" xfId="5852" xr:uid="{00000000-0005-0000-0000-00000B170000}"/>
    <cellStyle name="20% - Accent3 4 4 3 2" xfId="5853" xr:uid="{00000000-0005-0000-0000-00000C170000}"/>
    <cellStyle name="20% - Accent3 4 4 3 2 2" xfId="5854" xr:uid="{00000000-0005-0000-0000-00000D170000}"/>
    <cellStyle name="20% - Accent3 4 4 3 2 2 2" xfId="5855" xr:uid="{00000000-0005-0000-0000-00000E170000}"/>
    <cellStyle name="20% - Accent3 4 4 3 2 3" xfId="5856" xr:uid="{00000000-0005-0000-0000-00000F170000}"/>
    <cellStyle name="20% - Accent3 4 4 3 3" xfId="5857" xr:uid="{00000000-0005-0000-0000-000010170000}"/>
    <cellStyle name="20% - Accent3 4 4 3 3 2" xfId="5858" xr:uid="{00000000-0005-0000-0000-000011170000}"/>
    <cellStyle name="20% - Accent3 4 4 3 4" xfId="5859" xr:uid="{00000000-0005-0000-0000-000012170000}"/>
    <cellStyle name="20% - Accent3 4 4 4" xfId="5860" xr:uid="{00000000-0005-0000-0000-000013170000}"/>
    <cellStyle name="20% - Accent3 4 4 4 2" xfId="5861" xr:uid="{00000000-0005-0000-0000-000014170000}"/>
    <cellStyle name="20% - Accent3 4 4 4 2 2" xfId="5862" xr:uid="{00000000-0005-0000-0000-000015170000}"/>
    <cellStyle name="20% - Accent3 4 4 4 3" xfId="5863" xr:uid="{00000000-0005-0000-0000-000016170000}"/>
    <cellStyle name="20% - Accent3 4 4 5" xfId="5864" xr:uid="{00000000-0005-0000-0000-000017170000}"/>
    <cellStyle name="20% - Accent3 4 4 5 2" xfId="5865" xr:uid="{00000000-0005-0000-0000-000018170000}"/>
    <cellStyle name="20% - Accent3 4 4 6" xfId="5866" xr:uid="{00000000-0005-0000-0000-000019170000}"/>
    <cellStyle name="20% - Accent3 4 5" xfId="5867" xr:uid="{00000000-0005-0000-0000-00001A170000}"/>
    <cellStyle name="20% - Accent3 4 5 2" xfId="5868" xr:uid="{00000000-0005-0000-0000-00001B170000}"/>
    <cellStyle name="20% - Accent3 4 5 2 2" xfId="5869" xr:uid="{00000000-0005-0000-0000-00001C170000}"/>
    <cellStyle name="20% - Accent3 4 5 2 2 2" xfId="5870" xr:uid="{00000000-0005-0000-0000-00001D170000}"/>
    <cellStyle name="20% - Accent3 4 5 2 2 2 2" xfId="5871" xr:uid="{00000000-0005-0000-0000-00001E170000}"/>
    <cellStyle name="20% - Accent3 4 5 2 2 3" xfId="5872" xr:uid="{00000000-0005-0000-0000-00001F170000}"/>
    <cellStyle name="20% - Accent3 4 5 2 3" xfId="5873" xr:uid="{00000000-0005-0000-0000-000020170000}"/>
    <cellStyle name="20% - Accent3 4 5 2 3 2" xfId="5874" xr:uid="{00000000-0005-0000-0000-000021170000}"/>
    <cellStyle name="20% - Accent3 4 5 2 4" xfId="5875" xr:uid="{00000000-0005-0000-0000-000022170000}"/>
    <cellStyle name="20% - Accent3 4 5 3" xfId="5876" xr:uid="{00000000-0005-0000-0000-000023170000}"/>
    <cellStyle name="20% - Accent3 4 5 3 2" xfId="5877" xr:uid="{00000000-0005-0000-0000-000024170000}"/>
    <cellStyle name="20% - Accent3 4 5 3 2 2" xfId="5878" xr:uid="{00000000-0005-0000-0000-000025170000}"/>
    <cellStyle name="20% - Accent3 4 5 3 3" xfId="5879" xr:uid="{00000000-0005-0000-0000-000026170000}"/>
    <cellStyle name="20% - Accent3 4 5 4" xfId="5880" xr:uid="{00000000-0005-0000-0000-000027170000}"/>
    <cellStyle name="20% - Accent3 4 5 4 2" xfId="5881" xr:uid="{00000000-0005-0000-0000-000028170000}"/>
    <cellStyle name="20% - Accent3 4 5 5" xfId="5882" xr:uid="{00000000-0005-0000-0000-000029170000}"/>
    <cellStyle name="20% - Accent3 4 6" xfId="5883" xr:uid="{00000000-0005-0000-0000-00002A170000}"/>
    <cellStyle name="20% - Accent3 4 6 2" xfId="5884" xr:uid="{00000000-0005-0000-0000-00002B170000}"/>
    <cellStyle name="20% - Accent3 4 6 2 2" xfId="5885" xr:uid="{00000000-0005-0000-0000-00002C170000}"/>
    <cellStyle name="20% - Accent3 4 6 2 2 2" xfId="5886" xr:uid="{00000000-0005-0000-0000-00002D170000}"/>
    <cellStyle name="20% - Accent3 4 6 2 3" xfId="5887" xr:uid="{00000000-0005-0000-0000-00002E170000}"/>
    <cellStyle name="20% - Accent3 4 6 3" xfId="5888" xr:uid="{00000000-0005-0000-0000-00002F170000}"/>
    <cellStyle name="20% - Accent3 4 6 3 2" xfId="5889" xr:uid="{00000000-0005-0000-0000-000030170000}"/>
    <cellStyle name="20% - Accent3 4 6 4" xfId="5890" xr:uid="{00000000-0005-0000-0000-000031170000}"/>
    <cellStyle name="20% - Accent3 4 7" xfId="5891" xr:uid="{00000000-0005-0000-0000-000032170000}"/>
    <cellStyle name="20% - Accent3 4 7 2" xfId="5892" xr:uid="{00000000-0005-0000-0000-000033170000}"/>
    <cellStyle name="20% - Accent3 4 7 2 2" xfId="5893" xr:uid="{00000000-0005-0000-0000-000034170000}"/>
    <cellStyle name="20% - Accent3 4 7 3" xfId="5894" xr:uid="{00000000-0005-0000-0000-000035170000}"/>
    <cellStyle name="20% - Accent3 4 8" xfId="5895" xr:uid="{00000000-0005-0000-0000-000036170000}"/>
    <cellStyle name="20% - Accent3 4 8 2" xfId="5896" xr:uid="{00000000-0005-0000-0000-000037170000}"/>
    <cellStyle name="20% - Accent3 4 9" xfId="5897" xr:uid="{00000000-0005-0000-0000-000038170000}"/>
    <cellStyle name="20% - Accent3 5" xfId="5898" xr:uid="{00000000-0005-0000-0000-000039170000}"/>
    <cellStyle name="20% - Accent3 5 2" xfId="5899" xr:uid="{00000000-0005-0000-0000-00003A170000}"/>
    <cellStyle name="20% - Accent3 5 2 2" xfId="5900" xr:uid="{00000000-0005-0000-0000-00003B170000}"/>
    <cellStyle name="20% - Accent3 5 2 2 2" xfId="5901" xr:uid="{00000000-0005-0000-0000-00003C170000}"/>
    <cellStyle name="20% - Accent3 5 2 2 2 2" xfId="5902" xr:uid="{00000000-0005-0000-0000-00003D170000}"/>
    <cellStyle name="20% - Accent3 5 2 2 2 2 2" xfId="5903" xr:uid="{00000000-0005-0000-0000-00003E170000}"/>
    <cellStyle name="20% - Accent3 5 2 2 2 2 2 2" xfId="5904" xr:uid="{00000000-0005-0000-0000-00003F170000}"/>
    <cellStyle name="20% - Accent3 5 2 2 2 2 2 2 2" xfId="5905" xr:uid="{00000000-0005-0000-0000-000040170000}"/>
    <cellStyle name="20% - Accent3 5 2 2 2 2 2 3" xfId="5906" xr:uid="{00000000-0005-0000-0000-000041170000}"/>
    <cellStyle name="20% - Accent3 5 2 2 2 2 3" xfId="5907" xr:uid="{00000000-0005-0000-0000-000042170000}"/>
    <cellStyle name="20% - Accent3 5 2 2 2 2 3 2" xfId="5908" xr:uid="{00000000-0005-0000-0000-000043170000}"/>
    <cellStyle name="20% - Accent3 5 2 2 2 2 4" xfId="5909" xr:uid="{00000000-0005-0000-0000-000044170000}"/>
    <cellStyle name="20% - Accent3 5 2 2 2 3" xfId="5910" xr:uid="{00000000-0005-0000-0000-000045170000}"/>
    <cellStyle name="20% - Accent3 5 2 2 2 3 2" xfId="5911" xr:uid="{00000000-0005-0000-0000-000046170000}"/>
    <cellStyle name="20% - Accent3 5 2 2 2 3 2 2" xfId="5912" xr:uid="{00000000-0005-0000-0000-000047170000}"/>
    <cellStyle name="20% - Accent3 5 2 2 2 3 3" xfId="5913" xr:uid="{00000000-0005-0000-0000-000048170000}"/>
    <cellStyle name="20% - Accent3 5 2 2 2 4" xfId="5914" xr:uid="{00000000-0005-0000-0000-000049170000}"/>
    <cellStyle name="20% - Accent3 5 2 2 2 4 2" xfId="5915" xr:uid="{00000000-0005-0000-0000-00004A170000}"/>
    <cellStyle name="20% - Accent3 5 2 2 2 5" xfId="5916" xr:uid="{00000000-0005-0000-0000-00004B170000}"/>
    <cellStyle name="20% - Accent3 5 2 2 3" xfId="5917" xr:uid="{00000000-0005-0000-0000-00004C170000}"/>
    <cellStyle name="20% - Accent3 5 2 2 3 2" xfId="5918" xr:uid="{00000000-0005-0000-0000-00004D170000}"/>
    <cellStyle name="20% - Accent3 5 2 2 3 2 2" xfId="5919" xr:uid="{00000000-0005-0000-0000-00004E170000}"/>
    <cellStyle name="20% - Accent3 5 2 2 3 2 2 2" xfId="5920" xr:uid="{00000000-0005-0000-0000-00004F170000}"/>
    <cellStyle name="20% - Accent3 5 2 2 3 2 3" xfId="5921" xr:uid="{00000000-0005-0000-0000-000050170000}"/>
    <cellStyle name="20% - Accent3 5 2 2 3 3" xfId="5922" xr:uid="{00000000-0005-0000-0000-000051170000}"/>
    <cellStyle name="20% - Accent3 5 2 2 3 3 2" xfId="5923" xr:uid="{00000000-0005-0000-0000-000052170000}"/>
    <cellStyle name="20% - Accent3 5 2 2 3 4" xfId="5924" xr:uid="{00000000-0005-0000-0000-000053170000}"/>
    <cellStyle name="20% - Accent3 5 2 2 4" xfId="5925" xr:uid="{00000000-0005-0000-0000-000054170000}"/>
    <cellStyle name="20% - Accent3 5 2 2 4 2" xfId="5926" xr:uid="{00000000-0005-0000-0000-000055170000}"/>
    <cellStyle name="20% - Accent3 5 2 2 4 2 2" xfId="5927" xr:uid="{00000000-0005-0000-0000-000056170000}"/>
    <cellStyle name="20% - Accent3 5 2 2 4 3" xfId="5928" xr:uid="{00000000-0005-0000-0000-000057170000}"/>
    <cellStyle name="20% - Accent3 5 2 2 5" xfId="5929" xr:uid="{00000000-0005-0000-0000-000058170000}"/>
    <cellStyle name="20% - Accent3 5 2 2 5 2" xfId="5930" xr:uid="{00000000-0005-0000-0000-000059170000}"/>
    <cellStyle name="20% - Accent3 5 2 2 6" xfId="5931" xr:uid="{00000000-0005-0000-0000-00005A170000}"/>
    <cellStyle name="20% - Accent3 5 2 3" xfId="5932" xr:uid="{00000000-0005-0000-0000-00005B170000}"/>
    <cellStyle name="20% - Accent3 5 2 3 2" xfId="5933" xr:uid="{00000000-0005-0000-0000-00005C170000}"/>
    <cellStyle name="20% - Accent3 5 2 3 2 2" xfId="5934" xr:uid="{00000000-0005-0000-0000-00005D170000}"/>
    <cellStyle name="20% - Accent3 5 2 3 2 2 2" xfId="5935" xr:uid="{00000000-0005-0000-0000-00005E170000}"/>
    <cellStyle name="20% - Accent3 5 2 3 2 2 2 2" xfId="5936" xr:uid="{00000000-0005-0000-0000-00005F170000}"/>
    <cellStyle name="20% - Accent3 5 2 3 2 2 3" xfId="5937" xr:uid="{00000000-0005-0000-0000-000060170000}"/>
    <cellStyle name="20% - Accent3 5 2 3 2 3" xfId="5938" xr:uid="{00000000-0005-0000-0000-000061170000}"/>
    <cellStyle name="20% - Accent3 5 2 3 2 3 2" xfId="5939" xr:uid="{00000000-0005-0000-0000-000062170000}"/>
    <cellStyle name="20% - Accent3 5 2 3 2 4" xfId="5940" xr:uid="{00000000-0005-0000-0000-000063170000}"/>
    <cellStyle name="20% - Accent3 5 2 3 3" xfId="5941" xr:uid="{00000000-0005-0000-0000-000064170000}"/>
    <cellStyle name="20% - Accent3 5 2 3 3 2" xfId="5942" xr:uid="{00000000-0005-0000-0000-000065170000}"/>
    <cellStyle name="20% - Accent3 5 2 3 3 2 2" xfId="5943" xr:uid="{00000000-0005-0000-0000-000066170000}"/>
    <cellStyle name="20% - Accent3 5 2 3 3 3" xfId="5944" xr:uid="{00000000-0005-0000-0000-000067170000}"/>
    <cellStyle name="20% - Accent3 5 2 3 4" xfId="5945" xr:uid="{00000000-0005-0000-0000-000068170000}"/>
    <cellStyle name="20% - Accent3 5 2 3 4 2" xfId="5946" xr:uid="{00000000-0005-0000-0000-000069170000}"/>
    <cellStyle name="20% - Accent3 5 2 3 5" xfId="5947" xr:uid="{00000000-0005-0000-0000-00006A170000}"/>
    <cellStyle name="20% - Accent3 5 2 4" xfId="5948" xr:uid="{00000000-0005-0000-0000-00006B170000}"/>
    <cellStyle name="20% - Accent3 5 2 4 2" xfId="5949" xr:uid="{00000000-0005-0000-0000-00006C170000}"/>
    <cellStyle name="20% - Accent3 5 2 4 2 2" xfId="5950" xr:uid="{00000000-0005-0000-0000-00006D170000}"/>
    <cellStyle name="20% - Accent3 5 2 4 2 2 2" xfId="5951" xr:uid="{00000000-0005-0000-0000-00006E170000}"/>
    <cellStyle name="20% - Accent3 5 2 4 2 3" xfId="5952" xr:uid="{00000000-0005-0000-0000-00006F170000}"/>
    <cellStyle name="20% - Accent3 5 2 4 3" xfId="5953" xr:uid="{00000000-0005-0000-0000-000070170000}"/>
    <cellStyle name="20% - Accent3 5 2 4 3 2" xfId="5954" xr:uid="{00000000-0005-0000-0000-000071170000}"/>
    <cellStyle name="20% - Accent3 5 2 4 4" xfId="5955" xr:uid="{00000000-0005-0000-0000-000072170000}"/>
    <cellStyle name="20% - Accent3 5 2 5" xfId="5956" xr:uid="{00000000-0005-0000-0000-000073170000}"/>
    <cellStyle name="20% - Accent3 5 2 5 2" xfId="5957" xr:uid="{00000000-0005-0000-0000-000074170000}"/>
    <cellStyle name="20% - Accent3 5 2 5 2 2" xfId="5958" xr:uid="{00000000-0005-0000-0000-000075170000}"/>
    <cellStyle name="20% - Accent3 5 2 5 3" xfId="5959" xr:uid="{00000000-0005-0000-0000-000076170000}"/>
    <cellStyle name="20% - Accent3 5 2 6" xfId="5960" xr:uid="{00000000-0005-0000-0000-000077170000}"/>
    <cellStyle name="20% - Accent3 5 2 6 2" xfId="5961" xr:uid="{00000000-0005-0000-0000-000078170000}"/>
    <cellStyle name="20% - Accent3 5 2 7" xfId="5962" xr:uid="{00000000-0005-0000-0000-000079170000}"/>
    <cellStyle name="20% - Accent3 5 3" xfId="5963" xr:uid="{00000000-0005-0000-0000-00007A170000}"/>
    <cellStyle name="20% - Accent3 5 3 2" xfId="5964" xr:uid="{00000000-0005-0000-0000-00007B170000}"/>
    <cellStyle name="20% - Accent3 5 3 2 2" xfId="5965" xr:uid="{00000000-0005-0000-0000-00007C170000}"/>
    <cellStyle name="20% - Accent3 5 3 2 2 2" xfId="5966" xr:uid="{00000000-0005-0000-0000-00007D170000}"/>
    <cellStyle name="20% - Accent3 5 3 2 2 2 2" xfId="5967" xr:uid="{00000000-0005-0000-0000-00007E170000}"/>
    <cellStyle name="20% - Accent3 5 3 2 2 2 2 2" xfId="5968" xr:uid="{00000000-0005-0000-0000-00007F170000}"/>
    <cellStyle name="20% - Accent3 5 3 2 2 2 3" xfId="5969" xr:uid="{00000000-0005-0000-0000-000080170000}"/>
    <cellStyle name="20% - Accent3 5 3 2 2 3" xfId="5970" xr:uid="{00000000-0005-0000-0000-000081170000}"/>
    <cellStyle name="20% - Accent3 5 3 2 2 3 2" xfId="5971" xr:uid="{00000000-0005-0000-0000-000082170000}"/>
    <cellStyle name="20% - Accent3 5 3 2 2 4" xfId="5972" xr:uid="{00000000-0005-0000-0000-000083170000}"/>
    <cellStyle name="20% - Accent3 5 3 2 3" xfId="5973" xr:uid="{00000000-0005-0000-0000-000084170000}"/>
    <cellStyle name="20% - Accent3 5 3 2 3 2" xfId="5974" xr:uid="{00000000-0005-0000-0000-000085170000}"/>
    <cellStyle name="20% - Accent3 5 3 2 3 2 2" xfId="5975" xr:uid="{00000000-0005-0000-0000-000086170000}"/>
    <cellStyle name="20% - Accent3 5 3 2 3 3" xfId="5976" xr:uid="{00000000-0005-0000-0000-000087170000}"/>
    <cellStyle name="20% - Accent3 5 3 2 4" xfId="5977" xr:uid="{00000000-0005-0000-0000-000088170000}"/>
    <cellStyle name="20% - Accent3 5 3 2 4 2" xfId="5978" xr:uid="{00000000-0005-0000-0000-000089170000}"/>
    <cellStyle name="20% - Accent3 5 3 2 5" xfId="5979" xr:uid="{00000000-0005-0000-0000-00008A170000}"/>
    <cellStyle name="20% - Accent3 5 3 3" xfId="5980" xr:uid="{00000000-0005-0000-0000-00008B170000}"/>
    <cellStyle name="20% - Accent3 5 3 3 2" xfId="5981" xr:uid="{00000000-0005-0000-0000-00008C170000}"/>
    <cellStyle name="20% - Accent3 5 3 3 2 2" xfId="5982" xr:uid="{00000000-0005-0000-0000-00008D170000}"/>
    <cellStyle name="20% - Accent3 5 3 3 2 2 2" xfId="5983" xr:uid="{00000000-0005-0000-0000-00008E170000}"/>
    <cellStyle name="20% - Accent3 5 3 3 2 3" xfId="5984" xr:uid="{00000000-0005-0000-0000-00008F170000}"/>
    <cellStyle name="20% - Accent3 5 3 3 3" xfId="5985" xr:uid="{00000000-0005-0000-0000-000090170000}"/>
    <cellStyle name="20% - Accent3 5 3 3 3 2" xfId="5986" xr:uid="{00000000-0005-0000-0000-000091170000}"/>
    <cellStyle name="20% - Accent3 5 3 3 4" xfId="5987" xr:uid="{00000000-0005-0000-0000-000092170000}"/>
    <cellStyle name="20% - Accent3 5 3 4" xfId="5988" xr:uid="{00000000-0005-0000-0000-000093170000}"/>
    <cellStyle name="20% - Accent3 5 3 4 2" xfId="5989" xr:uid="{00000000-0005-0000-0000-000094170000}"/>
    <cellStyle name="20% - Accent3 5 3 4 2 2" xfId="5990" xr:uid="{00000000-0005-0000-0000-000095170000}"/>
    <cellStyle name="20% - Accent3 5 3 4 3" xfId="5991" xr:uid="{00000000-0005-0000-0000-000096170000}"/>
    <cellStyle name="20% - Accent3 5 3 5" xfId="5992" xr:uid="{00000000-0005-0000-0000-000097170000}"/>
    <cellStyle name="20% - Accent3 5 3 5 2" xfId="5993" xr:uid="{00000000-0005-0000-0000-000098170000}"/>
    <cellStyle name="20% - Accent3 5 3 6" xfId="5994" xr:uid="{00000000-0005-0000-0000-000099170000}"/>
    <cellStyle name="20% - Accent3 5 4" xfId="5995" xr:uid="{00000000-0005-0000-0000-00009A170000}"/>
    <cellStyle name="20% - Accent3 5 4 2" xfId="5996" xr:uid="{00000000-0005-0000-0000-00009B170000}"/>
    <cellStyle name="20% - Accent3 5 4 2 2" xfId="5997" xr:uid="{00000000-0005-0000-0000-00009C170000}"/>
    <cellStyle name="20% - Accent3 5 4 2 2 2" xfId="5998" xr:uid="{00000000-0005-0000-0000-00009D170000}"/>
    <cellStyle name="20% - Accent3 5 4 2 2 2 2" xfId="5999" xr:uid="{00000000-0005-0000-0000-00009E170000}"/>
    <cellStyle name="20% - Accent3 5 4 2 2 3" xfId="6000" xr:uid="{00000000-0005-0000-0000-00009F170000}"/>
    <cellStyle name="20% - Accent3 5 4 2 3" xfId="6001" xr:uid="{00000000-0005-0000-0000-0000A0170000}"/>
    <cellStyle name="20% - Accent3 5 4 2 3 2" xfId="6002" xr:uid="{00000000-0005-0000-0000-0000A1170000}"/>
    <cellStyle name="20% - Accent3 5 4 2 4" xfId="6003" xr:uid="{00000000-0005-0000-0000-0000A2170000}"/>
    <cellStyle name="20% - Accent3 5 4 3" xfId="6004" xr:uid="{00000000-0005-0000-0000-0000A3170000}"/>
    <cellStyle name="20% - Accent3 5 4 3 2" xfId="6005" xr:uid="{00000000-0005-0000-0000-0000A4170000}"/>
    <cellStyle name="20% - Accent3 5 4 3 2 2" xfId="6006" xr:uid="{00000000-0005-0000-0000-0000A5170000}"/>
    <cellStyle name="20% - Accent3 5 4 3 3" xfId="6007" xr:uid="{00000000-0005-0000-0000-0000A6170000}"/>
    <cellStyle name="20% - Accent3 5 4 4" xfId="6008" xr:uid="{00000000-0005-0000-0000-0000A7170000}"/>
    <cellStyle name="20% - Accent3 5 4 4 2" xfId="6009" xr:uid="{00000000-0005-0000-0000-0000A8170000}"/>
    <cellStyle name="20% - Accent3 5 4 5" xfId="6010" xr:uid="{00000000-0005-0000-0000-0000A9170000}"/>
    <cellStyle name="20% - Accent3 5 5" xfId="6011" xr:uid="{00000000-0005-0000-0000-0000AA170000}"/>
    <cellStyle name="20% - Accent3 5 5 2" xfId="6012" xr:uid="{00000000-0005-0000-0000-0000AB170000}"/>
    <cellStyle name="20% - Accent3 5 5 2 2" xfId="6013" xr:uid="{00000000-0005-0000-0000-0000AC170000}"/>
    <cellStyle name="20% - Accent3 5 5 2 2 2" xfId="6014" xr:uid="{00000000-0005-0000-0000-0000AD170000}"/>
    <cellStyle name="20% - Accent3 5 5 2 3" xfId="6015" xr:uid="{00000000-0005-0000-0000-0000AE170000}"/>
    <cellStyle name="20% - Accent3 5 5 3" xfId="6016" xr:uid="{00000000-0005-0000-0000-0000AF170000}"/>
    <cellStyle name="20% - Accent3 5 5 3 2" xfId="6017" xr:uid="{00000000-0005-0000-0000-0000B0170000}"/>
    <cellStyle name="20% - Accent3 5 5 4" xfId="6018" xr:uid="{00000000-0005-0000-0000-0000B1170000}"/>
    <cellStyle name="20% - Accent3 5 6" xfId="6019" xr:uid="{00000000-0005-0000-0000-0000B2170000}"/>
    <cellStyle name="20% - Accent3 5 6 2" xfId="6020" xr:uid="{00000000-0005-0000-0000-0000B3170000}"/>
    <cellStyle name="20% - Accent3 5 6 2 2" xfId="6021" xr:uid="{00000000-0005-0000-0000-0000B4170000}"/>
    <cellStyle name="20% - Accent3 5 6 3" xfId="6022" xr:uid="{00000000-0005-0000-0000-0000B5170000}"/>
    <cellStyle name="20% - Accent3 5 7" xfId="6023" xr:uid="{00000000-0005-0000-0000-0000B6170000}"/>
    <cellStyle name="20% - Accent3 5 7 2" xfId="6024" xr:uid="{00000000-0005-0000-0000-0000B7170000}"/>
    <cellStyle name="20% - Accent3 5 8" xfId="6025" xr:uid="{00000000-0005-0000-0000-0000B8170000}"/>
    <cellStyle name="20% - Accent3 6" xfId="6026" xr:uid="{00000000-0005-0000-0000-0000B9170000}"/>
    <cellStyle name="20% - Accent3 6 2" xfId="6027" xr:uid="{00000000-0005-0000-0000-0000BA170000}"/>
    <cellStyle name="20% - Accent3 6 2 2" xfId="6028" xr:uid="{00000000-0005-0000-0000-0000BB170000}"/>
    <cellStyle name="20% - Accent3 6 2 2 2" xfId="6029" xr:uid="{00000000-0005-0000-0000-0000BC170000}"/>
    <cellStyle name="20% - Accent3 6 2 2 2 2" xfId="6030" xr:uid="{00000000-0005-0000-0000-0000BD170000}"/>
    <cellStyle name="20% - Accent3 6 2 2 2 2 2" xfId="6031" xr:uid="{00000000-0005-0000-0000-0000BE170000}"/>
    <cellStyle name="20% - Accent3 6 2 2 2 2 2 2" xfId="6032" xr:uid="{00000000-0005-0000-0000-0000BF170000}"/>
    <cellStyle name="20% - Accent3 6 2 2 2 2 3" xfId="6033" xr:uid="{00000000-0005-0000-0000-0000C0170000}"/>
    <cellStyle name="20% - Accent3 6 2 2 2 3" xfId="6034" xr:uid="{00000000-0005-0000-0000-0000C1170000}"/>
    <cellStyle name="20% - Accent3 6 2 2 2 3 2" xfId="6035" xr:uid="{00000000-0005-0000-0000-0000C2170000}"/>
    <cellStyle name="20% - Accent3 6 2 2 2 4" xfId="6036" xr:uid="{00000000-0005-0000-0000-0000C3170000}"/>
    <cellStyle name="20% - Accent3 6 2 2 3" xfId="6037" xr:uid="{00000000-0005-0000-0000-0000C4170000}"/>
    <cellStyle name="20% - Accent3 6 2 2 3 2" xfId="6038" xr:uid="{00000000-0005-0000-0000-0000C5170000}"/>
    <cellStyle name="20% - Accent3 6 2 2 3 2 2" xfId="6039" xr:uid="{00000000-0005-0000-0000-0000C6170000}"/>
    <cellStyle name="20% - Accent3 6 2 2 3 3" xfId="6040" xr:uid="{00000000-0005-0000-0000-0000C7170000}"/>
    <cellStyle name="20% - Accent3 6 2 2 4" xfId="6041" xr:uid="{00000000-0005-0000-0000-0000C8170000}"/>
    <cellStyle name="20% - Accent3 6 2 2 4 2" xfId="6042" xr:uid="{00000000-0005-0000-0000-0000C9170000}"/>
    <cellStyle name="20% - Accent3 6 2 2 5" xfId="6043" xr:uid="{00000000-0005-0000-0000-0000CA170000}"/>
    <cellStyle name="20% - Accent3 6 2 3" xfId="6044" xr:uid="{00000000-0005-0000-0000-0000CB170000}"/>
    <cellStyle name="20% - Accent3 6 2 3 2" xfId="6045" xr:uid="{00000000-0005-0000-0000-0000CC170000}"/>
    <cellStyle name="20% - Accent3 6 2 3 2 2" xfId="6046" xr:uid="{00000000-0005-0000-0000-0000CD170000}"/>
    <cellStyle name="20% - Accent3 6 2 3 2 2 2" xfId="6047" xr:uid="{00000000-0005-0000-0000-0000CE170000}"/>
    <cellStyle name="20% - Accent3 6 2 3 2 3" xfId="6048" xr:uid="{00000000-0005-0000-0000-0000CF170000}"/>
    <cellStyle name="20% - Accent3 6 2 3 3" xfId="6049" xr:uid="{00000000-0005-0000-0000-0000D0170000}"/>
    <cellStyle name="20% - Accent3 6 2 3 3 2" xfId="6050" xr:uid="{00000000-0005-0000-0000-0000D1170000}"/>
    <cellStyle name="20% - Accent3 6 2 3 4" xfId="6051" xr:uid="{00000000-0005-0000-0000-0000D2170000}"/>
    <cellStyle name="20% - Accent3 6 2 4" xfId="6052" xr:uid="{00000000-0005-0000-0000-0000D3170000}"/>
    <cellStyle name="20% - Accent3 6 2 4 2" xfId="6053" xr:uid="{00000000-0005-0000-0000-0000D4170000}"/>
    <cellStyle name="20% - Accent3 6 2 4 2 2" xfId="6054" xr:uid="{00000000-0005-0000-0000-0000D5170000}"/>
    <cellStyle name="20% - Accent3 6 2 4 3" xfId="6055" xr:uid="{00000000-0005-0000-0000-0000D6170000}"/>
    <cellStyle name="20% - Accent3 6 2 5" xfId="6056" xr:uid="{00000000-0005-0000-0000-0000D7170000}"/>
    <cellStyle name="20% - Accent3 6 2 5 2" xfId="6057" xr:uid="{00000000-0005-0000-0000-0000D8170000}"/>
    <cellStyle name="20% - Accent3 6 2 6" xfId="6058" xr:uid="{00000000-0005-0000-0000-0000D9170000}"/>
    <cellStyle name="20% - Accent3 6 3" xfId="6059" xr:uid="{00000000-0005-0000-0000-0000DA170000}"/>
    <cellStyle name="20% - Accent3 6 3 2" xfId="6060" xr:uid="{00000000-0005-0000-0000-0000DB170000}"/>
    <cellStyle name="20% - Accent3 6 3 2 2" xfId="6061" xr:uid="{00000000-0005-0000-0000-0000DC170000}"/>
    <cellStyle name="20% - Accent3 6 3 2 2 2" xfId="6062" xr:uid="{00000000-0005-0000-0000-0000DD170000}"/>
    <cellStyle name="20% - Accent3 6 3 2 2 2 2" xfId="6063" xr:uid="{00000000-0005-0000-0000-0000DE170000}"/>
    <cellStyle name="20% - Accent3 6 3 2 2 3" xfId="6064" xr:uid="{00000000-0005-0000-0000-0000DF170000}"/>
    <cellStyle name="20% - Accent3 6 3 2 3" xfId="6065" xr:uid="{00000000-0005-0000-0000-0000E0170000}"/>
    <cellStyle name="20% - Accent3 6 3 2 3 2" xfId="6066" xr:uid="{00000000-0005-0000-0000-0000E1170000}"/>
    <cellStyle name="20% - Accent3 6 3 2 4" xfId="6067" xr:uid="{00000000-0005-0000-0000-0000E2170000}"/>
    <cellStyle name="20% - Accent3 6 3 3" xfId="6068" xr:uid="{00000000-0005-0000-0000-0000E3170000}"/>
    <cellStyle name="20% - Accent3 6 3 3 2" xfId="6069" xr:uid="{00000000-0005-0000-0000-0000E4170000}"/>
    <cellStyle name="20% - Accent3 6 3 3 2 2" xfId="6070" xr:uid="{00000000-0005-0000-0000-0000E5170000}"/>
    <cellStyle name="20% - Accent3 6 3 3 3" xfId="6071" xr:uid="{00000000-0005-0000-0000-0000E6170000}"/>
    <cellStyle name="20% - Accent3 6 3 4" xfId="6072" xr:uid="{00000000-0005-0000-0000-0000E7170000}"/>
    <cellStyle name="20% - Accent3 6 3 4 2" xfId="6073" xr:uid="{00000000-0005-0000-0000-0000E8170000}"/>
    <cellStyle name="20% - Accent3 6 3 5" xfId="6074" xr:uid="{00000000-0005-0000-0000-0000E9170000}"/>
    <cellStyle name="20% - Accent3 6 4" xfId="6075" xr:uid="{00000000-0005-0000-0000-0000EA170000}"/>
    <cellStyle name="20% - Accent3 6 4 2" xfId="6076" xr:uid="{00000000-0005-0000-0000-0000EB170000}"/>
    <cellStyle name="20% - Accent3 6 4 2 2" xfId="6077" xr:uid="{00000000-0005-0000-0000-0000EC170000}"/>
    <cellStyle name="20% - Accent3 6 4 2 2 2" xfId="6078" xr:uid="{00000000-0005-0000-0000-0000ED170000}"/>
    <cellStyle name="20% - Accent3 6 4 2 3" xfId="6079" xr:uid="{00000000-0005-0000-0000-0000EE170000}"/>
    <cellStyle name="20% - Accent3 6 4 3" xfId="6080" xr:uid="{00000000-0005-0000-0000-0000EF170000}"/>
    <cellStyle name="20% - Accent3 6 4 3 2" xfId="6081" xr:uid="{00000000-0005-0000-0000-0000F0170000}"/>
    <cellStyle name="20% - Accent3 6 4 4" xfId="6082" xr:uid="{00000000-0005-0000-0000-0000F1170000}"/>
    <cellStyle name="20% - Accent3 6 5" xfId="6083" xr:uid="{00000000-0005-0000-0000-0000F2170000}"/>
    <cellStyle name="20% - Accent3 6 5 2" xfId="6084" xr:uid="{00000000-0005-0000-0000-0000F3170000}"/>
    <cellStyle name="20% - Accent3 6 5 2 2" xfId="6085" xr:uid="{00000000-0005-0000-0000-0000F4170000}"/>
    <cellStyle name="20% - Accent3 6 5 3" xfId="6086" xr:uid="{00000000-0005-0000-0000-0000F5170000}"/>
    <cellStyle name="20% - Accent3 6 6" xfId="6087" xr:uid="{00000000-0005-0000-0000-0000F6170000}"/>
    <cellStyle name="20% - Accent3 6 6 2" xfId="6088" xr:uid="{00000000-0005-0000-0000-0000F7170000}"/>
    <cellStyle name="20% - Accent3 6 7" xfId="6089" xr:uid="{00000000-0005-0000-0000-0000F8170000}"/>
    <cellStyle name="20% - Accent3 7" xfId="6090" xr:uid="{00000000-0005-0000-0000-0000F9170000}"/>
    <cellStyle name="20% - Accent3 7 2" xfId="6091" xr:uid="{00000000-0005-0000-0000-0000FA170000}"/>
    <cellStyle name="20% - Accent3 7 2 2" xfId="6092" xr:uid="{00000000-0005-0000-0000-0000FB170000}"/>
    <cellStyle name="20% - Accent3 7 2 2 2" xfId="6093" xr:uid="{00000000-0005-0000-0000-0000FC170000}"/>
    <cellStyle name="20% - Accent3 7 2 2 2 2" xfId="6094" xr:uid="{00000000-0005-0000-0000-0000FD170000}"/>
    <cellStyle name="20% - Accent3 7 2 2 2 2 2" xfId="6095" xr:uid="{00000000-0005-0000-0000-0000FE170000}"/>
    <cellStyle name="20% - Accent3 7 2 2 2 3" xfId="6096" xr:uid="{00000000-0005-0000-0000-0000FF170000}"/>
    <cellStyle name="20% - Accent3 7 2 2 3" xfId="6097" xr:uid="{00000000-0005-0000-0000-000000180000}"/>
    <cellStyle name="20% - Accent3 7 2 2 3 2" xfId="6098" xr:uid="{00000000-0005-0000-0000-000001180000}"/>
    <cellStyle name="20% - Accent3 7 2 2 4" xfId="6099" xr:uid="{00000000-0005-0000-0000-000002180000}"/>
    <cellStyle name="20% - Accent3 7 2 3" xfId="6100" xr:uid="{00000000-0005-0000-0000-000003180000}"/>
    <cellStyle name="20% - Accent3 7 2 3 2" xfId="6101" xr:uid="{00000000-0005-0000-0000-000004180000}"/>
    <cellStyle name="20% - Accent3 7 2 3 2 2" xfId="6102" xr:uid="{00000000-0005-0000-0000-000005180000}"/>
    <cellStyle name="20% - Accent3 7 2 3 3" xfId="6103" xr:uid="{00000000-0005-0000-0000-000006180000}"/>
    <cellStyle name="20% - Accent3 7 2 4" xfId="6104" xr:uid="{00000000-0005-0000-0000-000007180000}"/>
    <cellStyle name="20% - Accent3 7 2 4 2" xfId="6105" xr:uid="{00000000-0005-0000-0000-000008180000}"/>
    <cellStyle name="20% - Accent3 7 2 5" xfId="6106" xr:uid="{00000000-0005-0000-0000-000009180000}"/>
    <cellStyle name="20% - Accent3 7 3" xfId="6107" xr:uid="{00000000-0005-0000-0000-00000A180000}"/>
    <cellStyle name="20% - Accent3 7 3 2" xfId="6108" xr:uid="{00000000-0005-0000-0000-00000B180000}"/>
    <cellStyle name="20% - Accent3 7 3 2 2" xfId="6109" xr:uid="{00000000-0005-0000-0000-00000C180000}"/>
    <cellStyle name="20% - Accent3 7 3 2 2 2" xfId="6110" xr:uid="{00000000-0005-0000-0000-00000D180000}"/>
    <cellStyle name="20% - Accent3 7 3 2 3" xfId="6111" xr:uid="{00000000-0005-0000-0000-00000E180000}"/>
    <cellStyle name="20% - Accent3 7 3 3" xfId="6112" xr:uid="{00000000-0005-0000-0000-00000F180000}"/>
    <cellStyle name="20% - Accent3 7 3 3 2" xfId="6113" xr:uid="{00000000-0005-0000-0000-000010180000}"/>
    <cellStyle name="20% - Accent3 7 3 4" xfId="6114" xr:uid="{00000000-0005-0000-0000-000011180000}"/>
    <cellStyle name="20% - Accent3 7 4" xfId="6115" xr:uid="{00000000-0005-0000-0000-000012180000}"/>
    <cellStyle name="20% - Accent3 7 4 2" xfId="6116" xr:uid="{00000000-0005-0000-0000-000013180000}"/>
    <cellStyle name="20% - Accent3 7 4 2 2" xfId="6117" xr:uid="{00000000-0005-0000-0000-000014180000}"/>
    <cellStyle name="20% - Accent3 7 4 3" xfId="6118" xr:uid="{00000000-0005-0000-0000-000015180000}"/>
    <cellStyle name="20% - Accent3 7 5" xfId="6119" xr:uid="{00000000-0005-0000-0000-000016180000}"/>
    <cellStyle name="20% - Accent3 7 5 2" xfId="6120" xr:uid="{00000000-0005-0000-0000-000017180000}"/>
    <cellStyle name="20% - Accent3 7 6" xfId="6121" xr:uid="{00000000-0005-0000-0000-000018180000}"/>
    <cellStyle name="20% - Accent3 8" xfId="6122" xr:uid="{00000000-0005-0000-0000-000019180000}"/>
    <cellStyle name="20% - Accent3 8 2" xfId="6123" xr:uid="{00000000-0005-0000-0000-00001A180000}"/>
    <cellStyle name="20% - Accent3 8 2 2" xfId="6124" xr:uid="{00000000-0005-0000-0000-00001B180000}"/>
    <cellStyle name="20% - Accent3 8 2 2 2" xfId="6125" xr:uid="{00000000-0005-0000-0000-00001C180000}"/>
    <cellStyle name="20% - Accent3 8 2 2 2 2" xfId="6126" xr:uid="{00000000-0005-0000-0000-00001D180000}"/>
    <cellStyle name="20% - Accent3 8 2 2 3" xfId="6127" xr:uid="{00000000-0005-0000-0000-00001E180000}"/>
    <cellStyle name="20% - Accent3 8 2 3" xfId="6128" xr:uid="{00000000-0005-0000-0000-00001F180000}"/>
    <cellStyle name="20% - Accent3 8 2 3 2" xfId="6129" xr:uid="{00000000-0005-0000-0000-000020180000}"/>
    <cellStyle name="20% - Accent3 8 2 4" xfId="6130" xr:uid="{00000000-0005-0000-0000-000021180000}"/>
    <cellStyle name="20% - Accent3 8 3" xfId="6131" xr:uid="{00000000-0005-0000-0000-000022180000}"/>
    <cellStyle name="20% - Accent3 8 3 2" xfId="6132" xr:uid="{00000000-0005-0000-0000-000023180000}"/>
    <cellStyle name="20% - Accent3 8 3 2 2" xfId="6133" xr:uid="{00000000-0005-0000-0000-000024180000}"/>
    <cellStyle name="20% - Accent3 8 3 3" xfId="6134" xr:uid="{00000000-0005-0000-0000-000025180000}"/>
    <cellStyle name="20% - Accent3 8 4" xfId="6135" xr:uid="{00000000-0005-0000-0000-000026180000}"/>
    <cellStyle name="20% - Accent3 8 4 2" xfId="6136" xr:uid="{00000000-0005-0000-0000-000027180000}"/>
    <cellStyle name="20% - Accent3 8 5" xfId="6137" xr:uid="{00000000-0005-0000-0000-000028180000}"/>
    <cellStyle name="20% - Accent3 9" xfId="6138" xr:uid="{00000000-0005-0000-0000-000029180000}"/>
    <cellStyle name="20% - Accent3 9 2" xfId="6139" xr:uid="{00000000-0005-0000-0000-00002A180000}"/>
    <cellStyle name="20% - Accent3 9 2 2" xfId="6140" xr:uid="{00000000-0005-0000-0000-00002B180000}"/>
    <cellStyle name="20% - Accent3 9 2 2 2" xfId="6141" xr:uid="{00000000-0005-0000-0000-00002C180000}"/>
    <cellStyle name="20% - Accent3 9 2 3" xfId="6142" xr:uid="{00000000-0005-0000-0000-00002D180000}"/>
    <cellStyle name="20% - Accent3 9 3" xfId="6143" xr:uid="{00000000-0005-0000-0000-00002E180000}"/>
    <cellStyle name="20% - Accent3 9 3 2" xfId="6144" xr:uid="{00000000-0005-0000-0000-00002F180000}"/>
    <cellStyle name="20% - Accent3 9 4" xfId="6145" xr:uid="{00000000-0005-0000-0000-000030180000}"/>
    <cellStyle name="20% - Accent4 10" xfId="6146" xr:uid="{00000000-0005-0000-0000-000031180000}"/>
    <cellStyle name="20% - Accent4 10 2" xfId="6147" xr:uid="{00000000-0005-0000-0000-000032180000}"/>
    <cellStyle name="20% - Accent4 10 2 2" xfId="6148" xr:uid="{00000000-0005-0000-0000-000033180000}"/>
    <cellStyle name="20% - Accent4 10 3" xfId="6149" xr:uid="{00000000-0005-0000-0000-000034180000}"/>
    <cellStyle name="20% - Accent4 11" xfId="6150" xr:uid="{00000000-0005-0000-0000-000035180000}"/>
    <cellStyle name="20% - Accent4 11 2" xfId="6151" xr:uid="{00000000-0005-0000-0000-000036180000}"/>
    <cellStyle name="20% - Accent4 12" xfId="6152" xr:uid="{00000000-0005-0000-0000-000037180000}"/>
    <cellStyle name="20% - Accent4 13" xfId="6153" xr:uid="{00000000-0005-0000-0000-000038180000}"/>
    <cellStyle name="20% - Accent4 2" xfId="6154" xr:uid="{00000000-0005-0000-0000-000039180000}"/>
    <cellStyle name="20% - Accent4 2 10" xfId="6155" xr:uid="{00000000-0005-0000-0000-00003A180000}"/>
    <cellStyle name="20% - Accent4 2 10 2" xfId="6156" xr:uid="{00000000-0005-0000-0000-00003B180000}"/>
    <cellStyle name="20% - Accent4 2 11" xfId="6157" xr:uid="{00000000-0005-0000-0000-00003C180000}"/>
    <cellStyle name="20% - Accent4 2 2" xfId="6158" xr:uid="{00000000-0005-0000-0000-00003D180000}"/>
    <cellStyle name="20% - Accent4 2 2 10" xfId="6159" xr:uid="{00000000-0005-0000-0000-00003E180000}"/>
    <cellStyle name="20% - Accent4 2 2 2" xfId="6160" xr:uid="{00000000-0005-0000-0000-00003F180000}"/>
    <cellStyle name="20% - Accent4 2 2 2 2" xfId="6161" xr:uid="{00000000-0005-0000-0000-000040180000}"/>
    <cellStyle name="20% - Accent4 2 2 2 2 2" xfId="6162" xr:uid="{00000000-0005-0000-0000-000041180000}"/>
    <cellStyle name="20% - Accent4 2 2 2 2 2 2" xfId="6163" xr:uid="{00000000-0005-0000-0000-000042180000}"/>
    <cellStyle name="20% - Accent4 2 2 2 2 2 2 2" xfId="6164" xr:uid="{00000000-0005-0000-0000-000043180000}"/>
    <cellStyle name="20% - Accent4 2 2 2 2 2 2 2 2" xfId="6165" xr:uid="{00000000-0005-0000-0000-000044180000}"/>
    <cellStyle name="20% - Accent4 2 2 2 2 2 2 2 2 2" xfId="6166" xr:uid="{00000000-0005-0000-0000-000045180000}"/>
    <cellStyle name="20% - Accent4 2 2 2 2 2 2 2 2 2 2" xfId="6167" xr:uid="{00000000-0005-0000-0000-000046180000}"/>
    <cellStyle name="20% - Accent4 2 2 2 2 2 2 2 2 2 2 2" xfId="6168" xr:uid="{00000000-0005-0000-0000-000047180000}"/>
    <cellStyle name="20% - Accent4 2 2 2 2 2 2 2 2 2 3" xfId="6169" xr:uid="{00000000-0005-0000-0000-000048180000}"/>
    <cellStyle name="20% - Accent4 2 2 2 2 2 2 2 2 3" xfId="6170" xr:uid="{00000000-0005-0000-0000-000049180000}"/>
    <cellStyle name="20% - Accent4 2 2 2 2 2 2 2 2 3 2" xfId="6171" xr:uid="{00000000-0005-0000-0000-00004A180000}"/>
    <cellStyle name="20% - Accent4 2 2 2 2 2 2 2 2 4" xfId="6172" xr:uid="{00000000-0005-0000-0000-00004B180000}"/>
    <cellStyle name="20% - Accent4 2 2 2 2 2 2 2 3" xfId="6173" xr:uid="{00000000-0005-0000-0000-00004C180000}"/>
    <cellStyle name="20% - Accent4 2 2 2 2 2 2 2 3 2" xfId="6174" xr:uid="{00000000-0005-0000-0000-00004D180000}"/>
    <cellStyle name="20% - Accent4 2 2 2 2 2 2 2 3 2 2" xfId="6175" xr:uid="{00000000-0005-0000-0000-00004E180000}"/>
    <cellStyle name="20% - Accent4 2 2 2 2 2 2 2 3 3" xfId="6176" xr:uid="{00000000-0005-0000-0000-00004F180000}"/>
    <cellStyle name="20% - Accent4 2 2 2 2 2 2 2 4" xfId="6177" xr:uid="{00000000-0005-0000-0000-000050180000}"/>
    <cellStyle name="20% - Accent4 2 2 2 2 2 2 2 4 2" xfId="6178" xr:uid="{00000000-0005-0000-0000-000051180000}"/>
    <cellStyle name="20% - Accent4 2 2 2 2 2 2 2 5" xfId="6179" xr:uid="{00000000-0005-0000-0000-000052180000}"/>
    <cellStyle name="20% - Accent4 2 2 2 2 2 2 3" xfId="6180" xr:uid="{00000000-0005-0000-0000-000053180000}"/>
    <cellStyle name="20% - Accent4 2 2 2 2 2 2 3 2" xfId="6181" xr:uid="{00000000-0005-0000-0000-000054180000}"/>
    <cellStyle name="20% - Accent4 2 2 2 2 2 2 3 2 2" xfId="6182" xr:uid="{00000000-0005-0000-0000-000055180000}"/>
    <cellStyle name="20% - Accent4 2 2 2 2 2 2 3 2 2 2" xfId="6183" xr:uid="{00000000-0005-0000-0000-000056180000}"/>
    <cellStyle name="20% - Accent4 2 2 2 2 2 2 3 2 3" xfId="6184" xr:uid="{00000000-0005-0000-0000-000057180000}"/>
    <cellStyle name="20% - Accent4 2 2 2 2 2 2 3 3" xfId="6185" xr:uid="{00000000-0005-0000-0000-000058180000}"/>
    <cellStyle name="20% - Accent4 2 2 2 2 2 2 3 3 2" xfId="6186" xr:uid="{00000000-0005-0000-0000-000059180000}"/>
    <cellStyle name="20% - Accent4 2 2 2 2 2 2 3 4" xfId="6187" xr:uid="{00000000-0005-0000-0000-00005A180000}"/>
    <cellStyle name="20% - Accent4 2 2 2 2 2 2 4" xfId="6188" xr:uid="{00000000-0005-0000-0000-00005B180000}"/>
    <cellStyle name="20% - Accent4 2 2 2 2 2 2 4 2" xfId="6189" xr:uid="{00000000-0005-0000-0000-00005C180000}"/>
    <cellStyle name="20% - Accent4 2 2 2 2 2 2 4 2 2" xfId="6190" xr:uid="{00000000-0005-0000-0000-00005D180000}"/>
    <cellStyle name="20% - Accent4 2 2 2 2 2 2 4 3" xfId="6191" xr:uid="{00000000-0005-0000-0000-00005E180000}"/>
    <cellStyle name="20% - Accent4 2 2 2 2 2 2 5" xfId="6192" xr:uid="{00000000-0005-0000-0000-00005F180000}"/>
    <cellStyle name="20% - Accent4 2 2 2 2 2 2 5 2" xfId="6193" xr:uid="{00000000-0005-0000-0000-000060180000}"/>
    <cellStyle name="20% - Accent4 2 2 2 2 2 2 6" xfId="6194" xr:uid="{00000000-0005-0000-0000-000061180000}"/>
    <cellStyle name="20% - Accent4 2 2 2 2 2 3" xfId="6195" xr:uid="{00000000-0005-0000-0000-000062180000}"/>
    <cellStyle name="20% - Accent4 2 2 2 2 2 3 2" xfId="6196" xr:uid="{00000000-0005-0000-0000-000063180000}"/>
    <cellStyle name="20% - Accent4 2 2 2 2 2 3 2 2" xfId="6197" xr:uid="{00000000-0005-0000-0000-000064180000}"/>
    <cellStyle name="20% - Accent4 2 2 2 2 2 3 2 2 2" xfId="6198" xr:uid="{00000000-0005-0000-0000-000065180000}"/>
    <cellStyle name="20% - Accent4 2 2 2 2 2 3 2 2 2 2" xfId="6199" xr:uid="{00000000-0005-0000-0000-000066180000}"/>
    <cellStyle name="20% - Accent4 2 2 2 2 2 3 2 2 3" xfId="6200" xr:uid="{00000000-0005-0000-0000-000067180000}"/>
    <cellStyle name="20% - Accent4 2 2 2 2 2 3 2 3" xfId="6201" xr:uid="{00000000-0005-0000-0000-000068180000}"/>
    <cellStyle name="20% - Accent4 2 2 2 2 2 3 2 3 2" xfId="6202" xr:uid="{00000000-0005-0000-0000-000069180000}"/>
    <cellStyle name="20% - Accent4 2 2 2 2 2 3 2 4" xfId="6203" xr:uid="{00000000-0005-0000-0000-00006A180000}"/>
    <cellStyle name="20% - Accent4 2 2 2 2 2 3 3" xfId="6204" xr:uid="{00000000-0005-0000-0000-00006B180000}"/>
    <cellStyle name="20% - Accent4 2 2 2 2 2 3 3 2" xfId="6205" xr:uid="{00000000-0005-0000-0000-00006C180000}"/>
    <cellStyle name="20% - Accent4 2 2 2 2 2 3 3 2 2" xfId="6206" xr:uid="{00000000-0005-0000-0000-00006D180000}"/>
    <cellStyle name="20% - Accent4 2 2 2 2 2 3 3 3" xfId="6207" xr:uid="{00000000-0005-0000-0000-00006E180000}"/>
    <cellStyle name="20% - Accent4 2 2 2 2 2 3 4" xfId="6208" xr:uid="{00000000-0005-0000-0000-00006F180000}"/>
    <cellStyle name="20% - Accent4 2 2 2 2 2 3 4 2" xfId="6209" xr:uid="{00000000-0005-0000-0000-000070180000}"/>
    <cellStyle name="20% - Accent4 2 2 2 2 2 3 5" xfId="6210" xr:uid="{00000000-0005-0000-0000-000071180000}"/>
    <cellStyle name="20% - Accent4 2 2 2 2 2 4" xfId="6211" xr:uid="{00000000-0005-0000-0000-000072180000}"/>
    <cellStyle name="20% - Accent4 2 2 2 2 2 4 2" xfId="6212" xr:uid="{00000000-0005-0000-0000-000073180000}"/>
    <cellStyle name="20% - Accent4 2 2 2 2 2 4 2 2" xfId="6213" xr:uid="{00000000-0005-0000-0000-000074180000}"/>
    <cellStyle name="20% - Accent4 2 2 2 2 2 4 2 2 2" xfId="6214" xr:uid="{00000000-0005-0000-0000-000075180000}"/>
    <cellStyle name="20% - Accent4 2 2 2 2 2 4 2 3" xfId="6215" xr:uid="{00000000-0005-0000-0000-000076180000}"/>
    <cellStyle name="20% - Accent4 2 2 2 2 2 4 3" xfId="6216" xr:uid="{00000000-0005-0000-0000-000077180000}"/>
    <cellStyle name="20% - Accent4 2 2 2 2 2 4 3 2" xfId="6217" xr:uid="{00000000-0005-0000-0000-000078180000}"/>
    <cellStyle name="20% - Accent4 2 2 2 2 2 4 4" xfId="6218" xr:uid="{00000000-0005-0000-0000-000079180000}"/>
    <cellStyle name="20% - Accent4 2 2 2 2 2 5" xfId="6219" xr:uid="{00000000-0005-0000-0000-00007A180000}"/>
    <cellStyle name="20% - Accent4 2 2 2 2 2 5 2" xfId="6220" xr:uid="{00000000-0005-0000-0000-00007B180000}"/>
    <cellStyle name="20% - Accent4 2 2 2 2 2 5 2 2" xfId="6221" xr:uid="{00000000-0005-0000-0000-00007C180000}"/>
    <cellStyle name="20% - Accent4 2 2 2 2 2 5 3" xfId="6222" xr:uid="{00000000-0005-0000-0000-00007D180000}"/>
    <cellStyle name="20% - Accent4 2 2 2 2 2 6" xfId="6223" xr:uid="{00000000-0005-0000-0000-00007E180000}"/>
    <cellStyle name="20% - Accent4 2 2 2 2 2 6 2" xfId="6224" xr:uid="{00000000-0005-0000-0000-00007F180000}"/>
    <cellStyle name="20% - Accent4 2 2 2 2 2 7" xfId="6225" xr:uid="{00000000-0005-0000-0000-000080180000}"/>
    <cellStyle name="20% - Accent4 2 2 2 2 3" xfId="6226" xr:uid="{00000000-0005-0000-0000-000081180000}"/>
    <cellStyle name="20% - Accent4 2 2 2 2 3 2" xfId="6227" xr:uid="{00000000-0005-0000-0000-000082180000}"/>
    <cellStyle name="20% - Accent4 2 2 2 2 3 2 2" xfId="6228" xr:uid="{00000000-0005-0000-0000-000083180000}"/>
    <cellStyle name="20% - Accent4 2 2 2 2 3 2 2 2" xfId="6229" xr:uid="{00000000-0005-0000-0000-000084180000}"/>
    <cellStyle name="20% - Accent4 2 2 2 2 3 2 2 2 2" xfId="6230" xr:uid="{00000000-0005-0000-0000-000085180000}"/>
    <cellStyle name="20% - Accent4 2 2 2 2 3 2 2 2 2 2" xfId="6231" xr:uid="{00000000-0005-0000-0000-000086180000}"/>
    <cellStyle name="20% - Accent4 2 2 2 2 3 2 2 2 3" xfId="6232" xr:uid="{00000000-0005-0000-0000-000087180000}"/>
    <cellStyle name="20% - Accent4 2 2 2 2 3 2 2 3" xfId="6233" xr:uid="{00000000-0005-0000-0000-000088180000}"/>
    <cellStyle name="20% - Accent4 2 2 2 2 3 2 2 3 2" xfId="6234" xr:uid="{00000000-0005-0000-0000-000089180000}"/>
    <cellStyle name="20% - Accent4 2 2 2 2 3 2 2 4" xfId="6235" xr:uid="{00000000-0005-0000-0000-00008A180000}"/>
    <cellStyle name="20% - Accent4 2 2 2 2 3 2 3" xfId="6236" xr:uid="{00000000-0005-0000-0000-00008B180000}"/>
    <cellStyle name="20% - Accent4 2 2 2 2 3 2 3 2" xfId="6237" xr:uid="{00000000-0005-0000-0000-00008C180000}"/>
    <cellStyle name="20% - Accent4 2 2 2 2 3 2 3 2 2" xfId="6238" xr:uid="{00000000-0005-0000-0000-00008D180000}"/>
    <cellStyle name="20% - Accent4 2 2 2 2 3 2 3 3" xfId="6239" xr:uid="{00000000-0005-0000-0000-00008E180000}"/>
    <cellStyle name="20% - Accent4 2 2 2 2 3 2 4" xfId="6240" xr:uid="{00000000-0005-0000-0000-00008F180000}"/>
    <cellStyle name="20% - Accent4 2 2 2 2 3 2 4 2" xfId="6241" xr:uid="{00000000-0005-0000-0000-000090180000}"/>
    <cellStyle name="20% - Accent4 2 2 2 2 3 2 5" xfId="6242" xr:uid="{00000000-0005-0000-0000-000091180000}"/>
    <cellStyle name="20% - Accent4 2 2 2 2 3 3" xfId="6243" xr:uid="{00000000-0005-0000-0000-000092180000}"/>
    <cellStyle name="20% - Accent4 2 2 2 2 3 3 2" xfId="6244" xr:uid="{00000000-0005-0000-0000-000093180000}"/>
    <cellStyle name="20% - Accent4 2 2 2 2 3 3 2 2" xfId="6245" xr:uid="{00000000-0005-0000-0000-000094180000}"/>
    <cellStyle name="20% - Accent4 2 2 2 2 3 3 2 2 2" xfId="6246" xr:uid="{00000000-0005-0000-0000-000095180000}"/>
    <cellStyle name="20% - Accent4 2 2 2 2 3 3 2 3" xfId="6247" xr:uid="{00000000-0005-0000-0000-000096180000}"/>
    <cellStyle name="20% - Accent4 2 2 2 2 3 3 3" xfId="6248" xr:uid="{00000000-0005-0000-0000-000097180000}"/>
    <cellStyle name="20% - Accent4 2 2 2 2 3 3 3 2" xfId="6249" xr:uid="{00000000-0005-0000-0000-000098180000}"/>
    <cellStyle name="20% - Accent4 2 2 2 2 3 3 4" xfId="6250" xr:uid="{00000000-0005-0000-0000-000099180000}"/>
    <cellStyle name="20% - Accent4 2 2 2 2 3 4" xfId="6251" xr:uid="{00000000-0005-0000-0000-00009A180000}"/>
    <cellStyle name="20% - Accent4 2 2 2 2 3 4 2" xfId="6252" xr:uid="{00000000-0005-0000-0000-00009B180000}"/>
    <cellStyle name="20% - Accent4 2 2 2 2 3 4 2 2" xfId="6253" xr:uid="{00000000-0005-0000-0000-00009C180000}"/>
    <cellStyle name="20% - Accent4 2 2 2 2 3 4 3" xfId="6254" xr:uid="{00000000-0005-0000-0000-00009D180000}"/>
    <cellStyle name="20% - Accent4 2 2 2 2 3 5" xfId="6255" xr:uid="{00000000-0005-0000-0000-00009E180000}"/>
    <cellStyle name="20% - Accent4 2 2 2 2 3 5 2" xfId="6256" xr:uid="{00000000-0005-0000-0000-00009F180000}"/>
    <cellStyle name="20% - Accent4 2 2 2 2 3 6" xfId="6257" xr:uid="{00000000-0005-0000-0000-0000A0180000}"/>
    <cellStyle name="20% - Accent4 2 2 2 2 4" xfId="6258" xr:uid="{00000000-0005-0000-0000-0000A1180000}"/>
    <cellStyle name="20% - Accent4 2 2 2 2 4 2" xfId="6259" xr:uid="{00000000-0005-0000-0000-0000A2180000}"/>
    <cellStyle name="20% - Accent4 2 2 2 2 4 2 2" xfId="6260" xr:uid="{00000000-0005-0000-0000-0000A3180000}"/>
    <cellStyle name="20% - Accent4 2 2 2 2 4 2 2 2" xfId="6261" xr:uid="{00000000-0005-0000-0000-0000A4180000}"/>
    <cellStyle name="20% - Accent4 2 2 2 2 4 2 2 2 2" xfId="6262" xr:uid="{00000000-0005-0000-0000-0000A5180000}"/>
    <cellStyle name="20% - Accent4 2 2 2 2 4 2 2 3" xfId="6263" xr:uid="{00000000-0005-0000-0000-0000A6180000}"/>
    <cellStyle name="20% - Accent4 2 2 2 2 4 2 3" xfId="6264" xr:uid="{00000000-0005-0000-0000-0000A7180000}"/>
    <cellStyle name="20% - Accent4 2 2 2 2 4 2 3 2" xfId="6265" xr:uid="{00000000-0005-0000-0000-0000A8180000}"/>
    <cellStyle name="20% - Accent4 2 2 2 2 4 2 4" xfId="6266" xr:uid="{00000000-0005-0000-0000-0000A9180000}"/>
    <cellStyle name="20% - Accent4 2 2 2 2 4 3" xfId="6267" xr:uid="{00000000-0005-0000-0000-0000AA180000}"/>
    <cellStyle name="20% - Accent4 2 2 2 2 4 3 2" xfId="6268" xr:uid="{00000000-0005-0000-0000-0000AB180000}"/>
    <cellStyle name="20% - Accent4 2 2 2 2 4 3 2 2" xfId="6269" xr:uid="{00000000-0005-0000-0000-0000AC180000}"/>
    <cellStyle name="20% - Accent4 2 2 2 2 4 3 3" xfId="6270" xr:uid="{00000000-0005-0000-0000-0000AD180000}"/>
    <cellStyle name="20% - Accent4 2 2 2 2 4 4" xfId="6271" xr:uid="{00000000-0005-0000-0000-0000AE180000}"/>
    <cellStyle name="20% - Accent4 2 2 2 2 4 4 2" xfId="6272" xr:uid="{00000000-0005-0000-0000-0000AF180000}"/>
    <cellStyle name="20% - Accent4 2 2 2 2 4 5" xfId="6273" xr:uid="{00000000-0005-0000-0000-0000B0180000}"/>
    <cellStyle name="20% - Accent4 2 2 2 2 5" xfId="6274" xr:uid="{00000000-0005-0000-0000-0000B1180000}"/>
    <cellStyle name="20% - Accent4 2 2 2 2 5 2" xfId="6275" xr:uid="{00000000-0005-0000-0000-0000B2180000}"/>
    <cellStyle name="20% - Accent4 2 2 2 2 5 2 2" xfId="6276" xr:uid="{00000000-0005-0000-0000-0000B3180000}"/>
    <cellStyle name="20% - Accent4 2 2 2 2 5 2 2 2" xfId="6277" xr:uid="{00000000-0005-0000-0000-0000B4180000}"/>
    <cellStyle name="20% - Accent4 2 2 2 2 5 2 3" xfId="6278" xr:uid="{00000000-0005-0000-0000-0000B5180000}"/>
    <cellStyle name="20% - Accent4 2 2 2 2 5 3" xfId="6279" xr:uid="{00000000-0005-0000-0000-0000B6180000}"/>
    <cellStyle name="20% - Accent4 2 2 2 2 5 3 2" xfId="6280" xr:uid="{00000000-0005-0000-0000-0000B7180000}"/>
    <cellStyle name="20% - Accent4 2 2 2 2 5 4" xfId="6281" xr:uid="{00000000-0005-0000-0000-0000B8180000}"/>
    <cellStyle name="20% - Accent4 2 2 2 2 6" xfId="6282" xr:uid="{00000000-0005-0000-0000-0000B9180000}"/>
    <cellStyle name="20% - Accent4 2 2 2 2 6 2" xfId="6283" xr:uid="{00000000-0005-0000-0000-0000BA180000}"/>
    <cellStyle name="20% - Accent4 2 2 2 2 6 2 2" xfId="6284" xr:uid="{00000000-0005-0000-0000-0000BB180000}"/>
    <cellStyle name="20% - Accent4 2 2 2 2 6 3" xfId="6285" xr:uid="{00000000-0005-0000-0000-0000BC180000}"/>
    <cellStyle name="20% - Accent4 2 2 2 2 7" xfId="6286" xr:uid="{00000000-0005-0000-0000-0000BD180000}"/>
    <cellStyle name="20% - Accent4 2 2 2 2 7 2" xfId="6287" xr:uid="{00000000-0005-0000-0000-0000BE180000}"/>
    <cellStyle name="20% - Accent4 2 2 2 2 8" xfId="6288" xr:uid="{00000000-0005-0000-0000-0000BF180000}"/>
    <cellStyle name="20% - Accent4 2 2 2 3" xfId="6289" xr:uid="{00000000-0005-0000-0000-0000C0180000}"/>
    <cellStyle name="20% - Accent4 2 2 2 3 2" xfId="6290" xr:uid="{00000000-0005-0000-0000-0000C1180000}"/>
    <cellStyle name="20% - Accent4 2 2 2 3 2 2" xfId="6291" xr:uid="{00000000-0005-0000-0000-0000C2180000}"/>
    <cellStyle name="20% - Accent4 2 2 2 3 2 2 2" xfId="6292" xr:uid="{00000000-0005-0000-0000-0000C3180000}"/>
    <cellStyle name="20% - Accent4 2 2 2 3 2 2 2 2" xfId="6293" xr:uid="{00000000-0005-0000-0000-0000C4180000}"/>
    <cellStyle name="20% - Accent4 2 2 2 3 2 2 2 2 2" xfId="6294" xr:uid="{00000000-0005-0000-0000-0000C5180000}"/>
    <cellStyle name="20% - Accent4 2 2 2 3 2 2 2 2 2 2" xfId="6295" xr:uid="{00000000-0005-0000-0000-0000C6180000}"/>
    <cellStyle name="20% - Accent4 2 2 2 3 2 2 2 2 3" xfId="6296" xr:uid="{00000000-0005-0000-0000-0000C7180000}"/>
    <cellStyle name="20% - Accent4 2 2 2 3 2 2 2 3" xfId="6297" xr:uid="{00000000-0005-0000-0000-0000C8180000}"/>
    <cellStyle name="20% - Accent4 2 2 2 3 2 2 2 3 2" xfId="6298" xr:uid="{00000000-0005-0000-0000-0000C9180000}"/>
    <cellStyle name="20% - Accent4 2 2 2 3 2 2 2 4" xfId="6299" xr:uid="{00000000-0005-0000-0000-0000CA180000}"/>
    <cellStyle name="20% - Accent4 2 2 2 3 2 2 3" xfId="6300" xr:uid="{00000000-0005-0000-0000-0000CB180000}"/>
    <cellStyle name="20% - Accent4 2 2 2 3 2 2 3 2" xfId="6301" xr:uid="{00000000-0005-0000-0000-0000CC180000}"/>
    <cellStyle name="20% - Accent4 2 2 2 3 2 2 3 2 2" xfId="6302" xr:uid="{00000000-0005-0000-0000-0000CD180000}"/>
    <cellStyle name="20% - Accent4 2 2 2 3 2 2 3 3" xfId="6303" xr:uid="{00000000-0005-0000-0000-0000CE180000}"/>
    <cellStyle name="20% - Accent4 2 2 2 3 2 2 4" xfId="6304" xr:uid="{00000000-0005-0000-0000-0000CF180000}"/>
    <cellStyle name="20% - Accent4 2 2 2 3 2 2 4 2" xfId="6305" xr:uid="{00000000-0005-0000-0000-0000D0180000}"/>
    <cellStyle name="20% - Accent4 2 2 2 3 2 2 5" xfId="6306" xr:uid="{00000000-0005-0000-0000-0000D1180000}"/>
    <cellStyle name="20% - Accent4 2 2 2 3 2 3" xfId="6307" xr:uid="{00000000-0005-0000-0000-0000D2180000}"/>
    <cellStyle name="20% - Accent4 2 2 2 3 2 3 2" xfId="6308" xr:uid="{00000000-0005-0000-0000-0000D3180000}"/>
    <cellStyle name="20% - Accent4 2 2 2 3 2 3 2 2" xfId="6309" xr:uid="{00000000-0005-0000-0000-0000D4180000}"/>
    <cellStyle name="20% - Accent4 2 2 2 3 2 3 2 2 2" xfId="6310" xr:uid="{00000000-0005-0000-0000-0000D5180000}"/>
    <cellStyle name="20% - Accent4 2 2 2 3 2 3 2 3" xfId="6311" xr:uid="{00000000-0005-0000-0000-0000D6180000}"/>
    <cellStyle name="20% - Accent4 2 2 2 3 2 3 3" xfId="6312" xr:uid="{00000000-0005-0000-0000-0000D7180000}"/>
    <cellStyle name="20% - Accent4 2 2 2 3 2 3 3 2" xfId="6313" xr:uid="{00000000-0005-0000-0000-0000D8180000}"/>
    <cellStyle name="20% - Accent4 2 2 2 3 2 3 4" xfId="6314" xr:uid="{00000000-0005-0000-0000-0000D9180000}"/>
    <cellStyle name="20% - Accent4 2 2 2 3 2 4" xfId="6315" xr:uid="{00000000-0005-0000-0000-0000DA180000}"/>
    <cellStyle name="20% - Accent4 2 2 2 3 2 4 2" xfId="6316" xr:uid="{00000000-0005-0000-0000-0000DB180000}"/>
    <cellStyle name="20% - Accent4 2 2 2 3 2 4 2 2" xfId="6317" xr:uid="{00000000-0005-0000-0000-0000DC180000}"/>
    <cellStyle name="20% - Accent4 2 2 2 3 2 4 3" xfId="6318" xr:uid="{00000000-0005-0000-0000-0000DD180000}"/>
    <cellStyle name="20% - Accent4 2 2 2 3 2 5" xfId="6319" xr:uid="{00000000-0005-0000-0000-0000DE180000}"/>
    <cellStyle name="20% - Accent4 2 2 2 3 2 5 2" xfId="6320" xr:uid="{00000000-0005-0000-0000-0000DF180000}"/>
    <cellStyle name="20% - Accent4 2 2 2 3 2 6" xfId="6321" xr:uid="{00000000-0005-0000-0000-0000E0180000}"/>
    <cellStyle name="20% - Accent4 2 2 2 3 3" xfId="6322" xr:uid="{00000000-0005-0000-0000-0000E1180000}"/>
    <cellStyle name="20% - Accent4 2 2 2 3 3 2" xfId="6323" xr:uid="{00000000-0005-0000-0000-0000E2180000}"/>
    <cellStyle name="20% - Accent4 2 2 2 3 3 2 2" xfId="6324" xr:uid="{00000000-0005-0000-0000-0000E3180000}"/>
    <cellStyle name="20% - Accent4 2 2 2 3 3 2 2 2" xfId="6325" xr:uid="{00000000-0005-0000-0000-0000E4180000}"/>
    <cellStyle name="20% - Accent4 2 2 2 3 3 2 2 2 2" xfId="6326" xr:uid="{00000000-0005-0000-0000-0000E5180000}"/>
    <cellStyle name="20% - Accent4 2 2 2 3 3 2 2 3" xfId="6327" xr:uid="{00000000-0005-0000-0000-0000E6180000}"/>
    <cellStyle name="20% - Accent4 2 2 2 3 3 2 3" xfId="6328" xr:uid="{00000000-0005-0000-0000-0000E7180000}"/>
    <cellStyle name="20% - Accent4 2 2 2 3 3 2 3 2" xfId="6329" xr:uid="{00000000-0005-0000-0000-0000E8180000}"/>
    <cellStyle name="20% - Accent4 2 2 2 3 3 2 4" xfId="6330" xr:uid="{00000000-0005-0000-0000-0000E9180000}"/>
    <cellStyle name="20% - Accent4 2 2 2 3 3 3" xfId="6331" xr:uid="{00000000-0005-0000-0000-0000EA180000}"/>
    <cellStyle name="20% - Accent4 2 2 2 3 3 3 2" xfId="6332" xr:uid="{00000000-0005-0000-0000-0000EB180000}"/>
    <cellStyle name="20% - Accent4 2 2 2 3 3 3 2 2" xfId="6333" xr:uid="{00000000-0005-0000-0000-0000EC180000}"/>
    <cellStyle name="20% - Accent4 2 2 2 3 3 3 3" xfId="6334" xr:uid="{00000000-0005-0000-0000-0000ED180000}"/>
    <cellStyle name="20% - Accent4 2 2 2 3 3 4" xfId="6335" xr:uid="{00000000-0005-0000-0000-0000EE180000}"/>
    <cellStyle name="20% - Accent4 2 2 2 3 3 4 2" xfId="6336" xr:uid="{00000000-0005-0000-0000-0000EF180000}"/>
    <cellStyle name="20% - Accent4 2 2 2 3 3 5" xfId="6337" xr:uid="{00000000-0005-0000-0000-0000F0180000}"/>
    <cellStyle name="20% - Accent4 2 2 2 3 4" xfId="6338" xr:uid="{00000000-0005-0000-0000-0000F1180000}"/>
    <cellStyle name="20% - Accent4 2 2 2 3 4 2" xfId="6339" xr:uid="{00000000-0005-0000-0000-0000F2180000}"/>
    <cellStyle name="20% - Accent4 2 2 2 3 4 2 2" xfId="6340" xr:uid="{00000000-0005-0000-0000-0000F3180000}"/>
    <cellStyle name="20% - Accent4 2 2 2 3 4 2 2 2" xfId="6341" xr:uid="{00000000-0005-0000-0000-0000F4180000}"/>
    <cellStyle name="20% - Accent4 2 2 2 3 4 2 3" xfId="6342" xr:uid="{00000000-0005-0000-0000-0000F5180000}"/>
    <cellStyle name="20% - Accent4 2 2 2 3 4 3" xfId="6343" xr:uid="{00000000-0005-0000-0000-0000F6180000}"/>
    <cellStyle name="20% - Accent4 2 2 2 3 4 3 2" xfId="6344" xr:uid="{00000000-0005-0000-0000-0000F7180000}"/>
    <cellStyle name="20% - Accent4 2 2 2 3 4 4" xfId="6345" xr:uid="{00000000-0005-0000-0000-0000F8180000}"/>
    <cellStyle name="20% - Accent4 2 2 2 3 5" xfId="6346" xr:uid="{00000000-0005-0000-0000-0000F9180000}"/>
    <cellStyle name="20% - Accent4 2 2 2 3 5 2" xfId="6347" xr:uid="{00000000-0005-0000-0000-0000FA180000}"/>
    <cellStyle name="20% - Accent4 2 2 2 3 5 2 2" xfId="6348" xr:uid="{00000000-0005-0000-0000-0000FB180000}"/>
    <cellStyle name="20% - Accent4 2 2 2 3 5 3" xfId="6349" xr:uid="{00000000-0005-0000-0000-0000FC180000}"/>
    <cellStyle name="20% - Accent4 2 2 2 3 6" xfId="6350" xr:uid="{00000000-0005-0000-0000-0000FD180000}"/>
    <cellStyle name="20% - Accent4 2 2 2 3 6 2" xfId="6351" xr:uid="{00000000-0005-0000-0000-0000FE180000}"/>
    <cellStyle name="20% - Accent4 2 2 2 3 7" xfId="6352" xr:uid="{00000000-0005-0000-0000-0000FF180000}"/>
    <cellStyle name="20% - Accent4 2 2 2 4" xfId="6353" xr:uid="{00000000-0005-0000-0000-000000190000}"/>
    <cellStyle name="20% - Accent4 2 2 2 4 2" xfId="6354" xr:uid="{00000000-0005-0000-0000-000001190000}"/>
    <cellStyle name="20% - Accent4 2 2 2 4 2 2" xfId="6355" xr:uid="{00000000-0005-0000-0000-000002190000}"/>
    <cellStyle name="20% - Accent4 2 2 2 4 2 2 2" xfId="6356" xr:uid="{00000000-0005-0000-0000-000003190000}"/>
    <cellStyle name="20% - Accent4 2 2 2 4 2 2 2 2" xfId="6357" xr:uid="{00000000-0005-0000-0000-000004190000}"/>
    <cellStyle name="20% - Accent4 2 2 2 4 2 2 2 2 2" xfId="6358" xr:uid="{00000000-0005-0000-0000-000005190000}"/>
    <cellStyle name="20% - Accent4 2 2 2 4 2 2 2 3" xfId="6359" xr:uid="{00000000-0005-0000-0000-000006190000}"/>
    <cellStyle name="20% - Accent4 2 2 2 4 2 2 3" xfId="6360" xr:uid="{00000000-0005-0000-0000-000007190000}"/>
    <cellStyle name="20% - Accent4 2 2 2 4 2 2 3 2" xfId="6361" xr:uid="{00000000-0005-0000-0000-000008190000}"/>
    <cellStyle name="20% - Accent4 2 2 2 4 2 2 4" xfId="6362" xr:uid="{00000000-0005-0000-0000-000009190000}"/>
    <cellStyle name="20% - Accent4 2 2 2 4 2 3" xfId="6363" xr:uid="{00000000-0005-0000-0000-00000A190000}"/>
    <cellStyle name="20% - Accent4 2 2 2 4 2 3 2" xfId="6364" xr:uid="{00000000-0005-0000-0000-00000B190000}"/>
    <cellStyle name="20% - Accent4 2 2 2 4 2 3 2 2" xfId="6365" xr:uid="{00000000-0005-0000-0000-00000C190000}"/>
    <cellStyle name="20% - Accent4 2 2 2 4 2 3 3" xfId="6366" xr:uid="{00000000-0005-0000-0000-00000D190000}"/>
    <cellStyle name="20% - Accent4 2 2 2 4 2 4" xfId="6367" xr:uid="{00000000-0005-0000-0000-00000E190000}"/>
    <cellStyle name="20% - Accent4 2 2 2 4 2 4 2" xfId="6368" xr:uid="{00000000-0005-0000-0000-00000F190000}"/>
    <cellStyle name="20% - Accent4 2 2 2 4 2 5" xfId="6369" xr:uid="{00000000-0005-0000-0000-000010190000}"/>
    <cellStyle name="20% - Accent4 2 2 2 4 3" xfId="6370" xr:uid="{00000000-0005-0000-0000-000011190000}"/>
    <cellStyle name="20% - Accent4 2 2 2 4 3 2" xfId="6371" xr:uid="{00000000-0005-0000-0000-000012190000}"/>
    <cellStyle name="20% - Accent4 2 2 2 4 3 2 2" xfId="6372" xr:uid="{00000000-0005-0000-0000-000013190000}"/>
    <cellStyle name="20% - Accent4 2 2 2 4 3 2 2 2" xfId="6373" xr:uid="{00000000-0005-0000-0000-000014190000}"/>
    <cellStyle name="20% - Accent4 2 2 2 4 3 2 3" xfId="6374" xr:uid="{00000000-0005-0000-0000-000015190000}"/>
    <cellStyle name="20% - Accent4 2 2 2 4 3 3" xfId="6375" xr:uid="{00000000-0005-0000-0000-000016190000}"/>
    <cellStyle name="20% - Accent4 2 2 2 4 3 3 2" xfId="6376" xr:uid="{00000000-0005-0000-0000-000017190000}"/>
    <cellStyle name="20% - Accent4 2 2 2 4 3 4" xfId="6377" xr:uid="{00000000-0005-0000-0000-000018190000}"/>
    <cellStyle name="20% - Accent4 2 2 2 4 4" xfId="6378" xr:uid="{00000000-0005-0000-0000-000019190000}"/>
    <cellStyle name="20% - Accent4 2 2 2 4 4 2" xfId="6379" xr:uid="{00000000-0005-0000-0000-00001A190000}"/>
    <cellStyle name="20% - Accent4 2 2 2 4 4 2 2" xfId="6380" xr:uid="{00000000-0005-0000-0000-00001B190000}"/>
    <cellStyle name="20% - Accent4 2 2 2 4 4 3" xfId="6381" xr:uid="{00000000-0005-0000-0000-00001C190000}"/>
    <cellStyle name="20% - Accent4 2 2 2 4 5" xfId="6382" xr:uid="{00000000-0005-0000-0000-00001D190000}"/>
    <cellStyle name="20% - Accent4 2 2 2 4 5 2" xfId="6383" xr:uid="{00000000-0005-0000-0000-00001E190000}"/>
    <cellStyle name="20% - Accent4 2 2 2 4 6" xfId="6384" xr:uid="{00000000-0005-0000-0000-00001F190000}"/>
    <cellStyle name="20% - Accent4 2 2 2 5" xfId="6385" xr:uid="{00000000-0005-0000-0000-000020190000}"/>
    <cellStyle name="20% - Accent4 2 2 2 5 2" xfId="6386" xr:uid="{00000000-0005-0000-0000-000021190000}"/>
    <cellStyle name="20% - Accent4 2 2 2 5 2 2" xfId="6387" xr:uid="{00000000-0005-0000-0000-000022190000}"/>
    <cellStyle name="20% - Accent4 2 2 2 5 2 2 2" xfId="6388" xr:uid="{00000000-0005-0000-0000-000023190000}"/>
    <cellStyle name="20% - Accent4 2 2 2 5 2 2 2 2" xfId="6389" xr:uid="{00000000-0005-0000-0000-000024190000}"/>
    <cellStyle name="20% - Accent4 2 2 2 5 2 2 3" xfId="6390" xr:uid="{00000000-0005-0000-0000-000025190000}"/>
    <cellStyle name="20% - Accent4 2 2 2 5 2 3" xfId="6391" xr:uid="{00000000-0005-0000-0000-000026190000}"/>
    <cellStyle name="20% - Accent4 2 2 2 5 2 3 2" xfId="6392" xr:uid="{00000000-0005-0000-0000-000027190000}"/>
    <cellStyle name="20% - Accent4 2 2 2 5 2 4" xfId="6393" xr:uid="{00000000-0005-0000-0000-000028190000}"/>
    <cellStyle name="20% - Accent4 2 2 2 5 3" xfId="6394" xr:uid="{00000000-0005-0000-0000-000029190000}"/>
    <cellStyle name="20% - Accent4 2 2 2 5 3 2" xfId="6395" xr:uid="{00000000-0005-0000-0000-00002A190000}"/>
    <cellStyle name="20% - Accent4 2 2 2 5 3 2 2" xfId="6396" xr:uid="{00000000-0005-0000-0000-00002B190000}"/>
    <cellStyle name="20% - Accent4 2 2 2 5 3 3" xfId="6397" xr:uid="{00000000-0005-0000-0000-00002C190000}"/>
    <cellStyle name="20% - Accent4 2 2 2 5 4" xfId="6398" xr:uid="{00000000-0005-0000-0000-00002D190000}"/>
    <cellStyle name="20% - Accent4 2 2 2 5 4 2" xfId="6399" xr:uid="{00000000-0005-0000-0000-00002E190000}"/>
    <cellStyle name="20% - Accent4 2 2 2 5 5" xfId="6400" xr:uid="{00000000-0005-0000-0000-00002F190000}"/>
    <cellStyle name="20% - Accent4 2 2 2 6" xfId="6401" xr:uid="{00000000-0005-0000-0000-000030190000}"/>
    <cellStyle name="20% - Accent4 2 2 2 6 2" xfId="6402" xr:uid="{00000000-0005-0000-0000-000031190000}"/>
    <cellStyle name="20% - Accent4 2 2 2 6 2 2" xfId="6403" xr:uid="{00000000-0005-0000-0000-000032190000}"/>
    <cellStyle name="20% - Accent4 2 2 2 6 2 2 2" xfId="6404" xr:uid="{00000000-0005-0000-0000-000033190000}"/>
    <cellStyle name="20% - Accent4 2 2 2 6 2 3" xfId="6405" xr:uid="{00000000-0005-0000-0000-000034190000}"/>
    <cellStyle name="20% - Accent4 2 2 2 6 3" xfId="6406" xr:uid="{00000000-0005-0000-0000-000035190000}"/>
    <cellStyle name="20% - Accent4 2 2 2 6 3 2" xfId="6407" xr:uid="{00000000-0005-0000-0000-000036190000}"/>
    <cellStyle name="20% - Accent4 2 2 2 6 4" xfId="6408" xr:uid="{00000000-0005-0000-0000-000037190000}"/>
    <cellStyle name="20% - Accent4 2 2 2 7" xfId="6409" xr:uid="{00000000-0005-0000-0000-000038190000}"/>
    <cellStyle name="20% - Accent4 2 2 2 7 2" xfId="6410" xr:uid="{00000000-0005-0000-0000-000039190000}"/>
    <cellStyle name="20% - Accent4 2 2 2 7 2 2" xfId="6411" xr:uid="{00000000-0005-0000-0000-00003A190000}"/>
    <cellStyle name="20% - Accent4 2 2 2 7 3" xfId="6412" xr:uid="{00000000-0005-0000-0000-00003B190000}"/>
    <cellStyle name="20% - Accent4 2 2 2 8" xfId="6413" xr:uid="{00000000-0005-0000-0000-00003C190000}"/>
    <cellStyle name="20% - Accent4 2 2 2 8 2" xfId="6414" xr:uid="{00000000-0005-0000-0000-00003D190000}"/>
    <cellStyle name="20% - Accent4 2 2 2 9" xfId="6415" xr:uid="{00000000-0005-0000-0000-00003E190000}"/>
    <cellStyle name="20% - Accent4 2 2 3" xfId="6416" xr:uid="{00000000-0005-0000-0000-00003F190000}"/>
    <cellStyle name="20% - Accent4 2 2 3 2" xfId="6417" xr:uid="{00000000-0005-0000-0000-000040190000}"/>
    <cellStyle name="20% - Accent4 2 2 3 2 2" xfId="6418" xr:uid="{00000000-0005-0000-0000-000041190000}"/>
    <cellStyle name="20% - Accent4 2 2 3 2 2 2" xfId="6419" xr:uid="{00000000-0005-0000-0000-000042190000}"/>
    <cellStyle name="20% - Accent4 2 2 3 2 2 2 2" xfId="6420" xr:uid="{00000000-0005-0000-0000-000043190000}"/>
    <cellStyle name="20% - Accent4 2 2 3 2 2 2 2 2" xfId="6421" xr:uid="{00000000-0005-0000-0000-000044190000}"/>
    <cellStyle name="20% - Accent4 2 2 3 2 2 2 2 2 2" xfId="6422" xr:uid="{00000000-0005-0000-0000-000045190000}"/>
    <cellStyle name="20% - Accent4 2 2 3 2 2 2 2 2 2 2" xfId="6423" xr:uid="{00000000-0005-0000-0000-000046190000}"/>
    <cellStyle name="20% - Accent4 2 2 3 2 2 2 2 2 3" xfId="6424" xr:uid="{00000000-0005-0000-0000-000047190000}"/>
    <cellStyle name="20% - Accent4 2 2 3 2 2 2 2 3" xfId="6425" xr:uid="{00000000-0005-0000-0000-000048190000}"/>
    <cellStyle name="20% - Accent4 2 2 3 2 2 2 2 3 2" xfId="6426" xr:uid="{00000000-0005-0000-0000-000049190000}"/>
    <cellStyle name="20% - Accent4 2 2 3 2 2 2 2 4" xfId="6427" xr:uid="{00000000-0005-0000-0000-00004A190000}"/>
    <cellStyle name="20% - Accent4 2 2 3 2 2 2 3" xfId="6428" xr:uid="{00000000-0005-0000-0000-00004B190000}"/>
    <cellStyle name="20% - Accent4 2 2 3 2 2 2 3 2" xfId="6429" xr:uid="{00000000-0005-0000-0000-00004C190000}"/>
    <cellStyle name="20% - Accent4 2 2 3 2 2 2 3 2 2" xfId="6430" xr:uid="{00000000-0005-0000-0000-00004D190000}"/>
    <cellStyle name="20% - Accent4 2 2 3 2 2 2 3 3" xfId="6431" xr:uid="{00000000-0005-0000-0000-00004E190000}"/>
    <cellStyle name="20% - Accent4 2 2 3 2 2 2 4" xfId="6432" xr:uid="{00000000-0005-0000-0000-00004F190000}"/>
    <cellStyle name="20% - Accent4 2 2 3 2 2 2 4 2" xfId="6433" xr:uid="{00000000-0005-0000-0000-000050190000}"/>
    <cellStyle name="20% - Accent4 2 2 3 2 2 2 5" xfId="6434" xr:uid="{00000000-0005-0000-0000-000051190000}"/>
    <cellStyle name="20% - Accent4 2 2 3 2 2 3" xfId="6435" xr:uid="{00000000-0005-0000-0000-000052190000}"/>
    <cellStyle name="20% - Accent4 2 2 3 2 2 3 2" xfId="6436" xr:uid="{00000000-0005-0000-0000-000053190000}"/>
    <cellStyle name="20% - Accent4 2 2 3 2 2 3 2 2" xfId="6437" xr:uid="{00000000-0005-0000-0000-000054190000}"/>
    <cellStyle name="20% - Accent4 2 2 3 2 2 3 2 2 2" xfId="6438" xr:uid="{00000000-0005-0000-0000-000055190000}"/>
    <cellStyle name="20% - Accent4 2 2 3 2 2 3 2 3" xfId="6439" xr:uid="{00000000-0005-0000-0000-000056190000}"/>
    <cellStyle name="20% - Accent4 2 2 3 2 2 3 3" xfId="6440" xr:uid="{00000000-0005-0000-0000-000057190000}"/>
    <cellStyle name="20% - Accent4 2 2 3 2 2 3 3 2" xfId="6441" xr:uid="{00000000-0005-0000-0000-000058190000}"/>
    <cellStyle name="20% - Accent4 2 2 3 2 2 3 4" xfId="6442" xr:uid="{00000000-0005-0000-0000-000059190000}"/>
    <cellStyle name="20% - Accent4 2 2 3 2 2 4" xfId="6443" xr:uid="{00000000-0005-0000-0000-00005A190000}"/>
    <cellStyle name="20% - Accent4 2 2 3 2 2 4 2" xfId="6444" xr:uid="{00000000-0005-0000-0000-00005B190000}"/>
    <cellStyle name="20% - Accent4 2 2 3 2 2 4 2 2" xfId="6445" xr:uid="{00000000-0005-0000-0000-00005C190000}"/>
    <cellStyle name="20% - Accent4 2 2 3 2 2 4 3" xfId="6446" xr:uid="{00000000-0005-0000-0000-00005D190000}"/>
    <cellStyle name="20% - Accent4 2 2 3 2 2 5" xfId="6447" xr:uid="{00000000-0005-0000-0000-00005E190000}"/>
    <cellStyle name="20% - Accent4 2 2 3 2 2 5 2" xfId="6448" xr:uid="{00000000-0005-0000-0000-00005F190000}"/>
    <cellStyle name="20% - Accent4 2 2 3 2 2 6" xfId="6449" xr:uid="{00000000-0005-0000-0000-000060190000}"/>
    <cellStyle name="20% - Accent4 2 2 3 2 3" xfId="6450" xr:uid="{00000000-0005-0000-0000-000061190000}"/>
    <cellStyle name="20% - Accent4 2 2 3 2 3 2" xfId="6451" xr:uid="{00000000-0005-0000-0000-000062190000}"/>
    <cellStyle name="20% - Accent4 2 2 3 2 3 2 2" xfId="6452" xr:uid="{00000000-0005-0000-0000-000063190000}"/>
    <cellStyle name="20% - Accent4 2 2 3 2 3 2 2 2" xfId="6453" xr:uid="{00000000-0005-0000-0000-000064190000}"/>
    <cellStyle name="20% - Accent4 2 2 3 2 3 2 2 2 2" xfId="6454" xr:uid="{00000000-0005-0000-0000-000065190000}"/>
    <cellStyle name="20% - Accent4 2 2 3 2 3 2 2 3" xfId="6455" xr:uid="{00000000-0005-0000-0000-000066190000}"/>
    <cellStyle name="20% - Accent4 2 2 3 2 3 2 3" xfId="6456" xr:uid="{00000000-0005-0000-0000-000067190000}"/>
    <cellStyle name="20% - Accent4 2 2 3 2 3 2 3 2" xfId="6457" xr:uid="{00000000-0005-0000-0000-000068190000}"/>
    <cellStyle name="20% - Accent4 2 2 3 2 3 2 4" xfId="6458" xr:uid="{00000000-0005-0000-0000-000069190000}"/>
    <cellStyle name="20% - Accent4 2 2 3 2 3 3" xfId="6459" xr:uid="{00000000-0005-0000-0000-00006A190000}"/>
    <cellStyle name="20% - Accent4 2 2 3 2 3 3 2" xfId="6460" xr:uid="{00000000-0005-0000-0000-00006B190000}"/>
    <cellStyle name="20% - Accent4 2 2 3 2 3 3 2 2" xfId="6461" xr:uid="{00000000-0005-0000-0000-00006C190000}"/>
    <cellStyle name="20% - Accent4 2 2 3 2 3 3 3" xfId="6462" xr:uid="{00000000-0005-0000-0000-00006D190000}"/>
    <cellStyle name="20% - Accent4 2 2 3 2 3 4" xfId="6463" xr:uid="{00000000-0005-0000-0000-00006E190000}"/>
    <cellStyle name="20% - Accent4 2 2 3 2 3 4 2" xfId="6464" xr:uid="{00000000-0005-0000-0000-00006F190000}"/>
    <cellStyle name="20% - Accent4 2 2 3 2 3 5" xfId="6465" xr:uid="{00000000-0005-0000-0000-000070190000}"/>
    <cellStyle name="20% - Accent4 2 2 3 2 4" xfId="6466" xr:uid="{00000000-0005-0000-0000-000071190000}"/>
    <cellStyle name="20% - Accent4 2 2 3 2 4 2" xfId="6467" xr:uid="{00000000-0005-0000-0000-000072190000}"/>
    <cellStyle name="20% - Accent4 2 2 3 2 4 2 2" xfId="6468" xr:uid="{00000000-0005-0000-0000-000073190000}"/>
    <cellStyle name="20% - Accent4 2 2 3 2 4 2 2 2" xfId="6469" xr:uid="{00000000-0005-0000-0000-000074190000}"/>
    <cellStyle name="20% - Accent4 2 2 3 2 4 2 3" xfId="6470" xr:uid="{00000000-0005-0000-0000-000075190000}"/>
    <cellStyle name="20% - Accent4 2 2 3 2 4 3" xfId="6471" xr:uid="{00000000-0005-0000-0000-000076190000}"/>
    <cellStyle name="20% - Accent4 2 2 3 2 4 3 2" xfId="6472" xr:uid="{00000000-0005-0000-0000-000077190000}"/>
    <cellStyle name="20% - Accent4 2 2 3 2 4 4" xfId="6473" xr:uid="{00000000-0005-0000-0000-000078190000}"/>
    <cellStyle name="20% - Accent4 2 2 3 2 5" xfId="6474" xr:uid="{00000000-0005-0000-0000-000079190000}"/>
    <cellStyle name="20% - Accent4 2 2 3 2 5 2" xfId="6475" xr:uid="{00000000-0005-0000-0000-00007A190000}"/>
    <cellStyle name="20% - Accent4 2 2 3 2 5 2 2" xfId="6476" xr:uid="{00000000-0005-0000-0000-00007B190000}"/>
    <cellStyle name="20% - Accent4 2 2 3 2 5 3" xfId="6477" xr:uid="{00000000-0005-0000-0000-00007C190000}"/>
    <cellStyle name="20% - Accent4 2 2 3 2 6" xfId="6478" xr:uid="{00000000-0005-0000-0000-00007D190000}"/>
    <cellStyle name="20% - Accent4 2 2 3 2 6 2" xfId="6479" xr:uid="{00000000-0005-0000-0000-00007E190000}"/>
    <cellStyle name="20% - Accent4 2 2 3 2 7" xfId="6480" xr:uid="{00000000-0005-0000-0000-00007F190000}"/>
    <cellStyle name="20% - Accent4 2 2 3 3" xfId="6481" xr:uid="{00000000-0005-0000-0000-000080190000}"/>
    <cellStyle name="20% - Accent4 2 2 3 3 2" xfId="6482" xr:uid="{00000000-0005-0000-0000-000081190000}"/>
    <cellStyle name="20% - Accent4 2 2 3 3 2 2" xfId="6483" xr:uid="{00000000-0005-0000-0000-000082190000}"/>
    <cellStyle name="20% - Accent4 2 2 3 3 2 2 2" xfId="6484" xr:uid="{00000000-0005-0000-0000-000083190000}"/>
    <cellStyle name="20% - Accent4 2 2 3 3 2 2 2 2" xfId="6485" xr:uid="{00000000-0005-0000-0000-000084190000}"/>
    <cellStyle name="20% - Accent4 2 2 3 3 2 2 2 2 2" xfId="6486" xr:uid="{00000000-0005-0000-0000-000085190000}"/>
    <cellStyle name="20% - Accent4 2 2 3 3 2 2 2 3" xfId="6487" xr:uid="{00000000-0005-0000-0000-000086190000}"/>
    <cellStyle name="20% - Accent4 2 2 3 3 2 2 3" xfId="6488" xr:uid="{00000000-0005-0000-0000-000087190000}"/>
    <cellStyle name="20% - Accent4 2 2 3 3 2 2 3 2" xfId="6489" xr:uid="{00000000-0005-0000-0000-000088190000}"/>
    <cellStyle name="20% - Accent4 2 2 3 3 2 2 4" xfId="6490" xr:uid="{00000000-0005-0000-0000-000089190000}"/>
    <cellStyle name="20% - Accent4 2 2 3 3 2 3" xfId="6491" xr:uid="{00000000-0005-0000-0000-00008A190000}"/>
    <cellStyle name="20% - Accent4 2 2 3 3 2 3 2" xfId="6492" xr:uid="{00000000-0005-0000-0000-00008B190000}"/>
    <cellStyle name="20% - Accent4 2 2 3 3 2 3 2 2" xfId="6493" xr:uid="{00000000-0005-0000-0000-00008C190000}"/>
    <cellStyle name="20% - Accent4 2 2 3 3 2 3 3" xfId="6494" xr:uid="{00000000-0005-0000-0000-00008D190000}"/>
    <cellStyle name="20% - Accent4 2 2 3 3 2 4" xfId="6495" xr:uid="{00000000-0005-0000-0000-00008E190000}"/>
    <cellStyle name="20% - Accent4 2 2 3 3 2 4 2" xfId="6496" xr:uid="{00000000-0005-0000-0000-00008F190000}"/>
    <cellStyle name="20% - Accent4 2 2 3 3 2 5" xfId="6497" xr:uid="{00000000-0005-0000-0000-000090190000}"/>
    <cellStyle name="20% - Accent4 2 2 3 3 3" xfId="6498" xr:uid="{00000000-0005-0000-0000-000091190000}"/>
    <cellStyle name="20% - Accent4 2 2 3 3 3 2" xfId="6499" xr:uid="{00000000-0005-0000-0000-000092190000}"/>
    <cellStyle name="20% - Accent4 2 2 3 3 3 2 2" xfId="6500" xr:uid="{00000000-0005-0000-0000-000093190000}"/>
    <cellStyle name="20% - Accent4 2 2 3 3 3 2 2 2" xfId="6501" xr:uid="{00000000-0005-0000-0000-000094190000}"/>
    <cellStyle name="20% - Accent4 2 2 3 3 3 2 3" xfId="6502" xr:uid="{00000000-0005-0000-0000-000095190000}"/>
    <cellStyle name="20% - Accent4 2 2 3 3 3 3" xfId="6503" xr:uid="{00000000-0005-0000-0000-000096190000}"/>
    <cellStyle name="20% - Accent4 2 2 3 3 3 3 2" xfId="6504" xr:uid="{00000000-0005-0000-0000-000097190000}"/>
    <cellStyle name="20% - Accent4 2 2 3 3 3 4" xfId="6505" xr:uid="{00000000-0005-0000-0000-000098190000}"/>
    <cellStyle name="20% - Accent4 2 2 3 3 4" xfId="6506" xr:uid="{00000000-0005-0000-0000-000099190000}"/>
    <cellStyle name="20% - Accent4 2 2 3 3 4 2" xfId="6507" xr:uid="{00000000-0005-0000-0000-00009A190000}"/>
    <cellStyle name="20% - Accent4 2 2 3 3 4 2 2" xfId="6508" xr:uid="{00000000-0005-0000-0000-00009B190000}"/>
    <cellStyle name="20% - Accent4 2 2 3 3 4 3" xfId="6509" xr:uid="{00000000-0005-0000-0000-00009C190000}"/>
    <cellStyle name="20% - Accent4 2 2 3 3 5" xfId="6510" xr:uid="{00000000-0005-0000-0000-00009D190000}"/>
    <cellStyle name="20% - Accent4 2 2 3 3 5 2" xfId="6511" xr:uid="{00000000-0005-0000-0000-00009E190000}"/>
    <cellStyle name="20% - Accent4 2 2 3 3 6" xfId="6512" xr:uid="{00000000-0005-0000-0000-00009F190000}"/>
    <cellStyle name="20% - Accent4 2 2 3 4" xfId="6513" xr:uid="{00000000-0005-0000-0000-0000A0190000}"/>
    <cellStyle name="20% - Accent4 2 2 3 4 2" xfId="6514" xr:uid="{00000000-0005-0000-0000-0000A1190000}"/>
    <cellStyle name="20% - Accent4 2 2 3 4 2 2" xfId="6515" xr:uid="{00000000-0005-0000-0000-0000A2190000}"/>
    <cellStyle name="20% - Accent4 2 2 3 4 2 2 2" xfId="6516" xr:uid="{00000000-0005-0000-0000-0000A3190000}"/>
    <cellStyle name="20% - Accent4 2 2 3 4 2 2 2 2" xfId="6517" xr:uid="{00000000-0005-0000-0000-0000A4190000}"/>
    <cellStyle name="20% - Accent4 2 2 3 4 2 2 3" xfId="6518" xr:uid="{00000000-0005-0000-0000-0000A5190000}"/>
    <cellStyle name="20% - Accent4 2 2 3 4 2 3" xfId="6519" xr:uid="{00000000-0005-0000-0000-0000A6190000}"/>
    <cellStyle name="20% - Accent4 2 2 3 4 2 3 2" xfId="6520" xr:uid="{00000000-0005-0000-0000-0000A7190000}"/>
    <cellStyle name="20% - Accent4 2 2 3 4 2 4" xfId="6521" xr:uid="{00000000-0005-0000-0000-0000A8190000}"/>
    <cellStyle name="20% - Accent4 2 2 3 4 3" xfId="6522" xr:uid="{00000000-0005-0000-0000-0000A9190000}"/>
    <cellStyle name="20% - Accent4 2 2 3 4 3 2" xfId="6523" xr:uid="{00000000-0005-0000-0000-0000AA190000}"/>
    <cellStyle name="20% - Accent4 2 2 3 4 3 2 2" xfId="6524" xr:uid="{00000000-0005-0000-0000-0000AB190000}"/>
    <cellStyle name="20% - Accent4 2 2 3 4 3 3" xfId="6525" xr:uid="{00000000-0005-0000-0000-0000AC190000}"/>
    <cellStyle name="20% - Accent4 2 2 3 4 4" xfId="6526" xr:uid="{00000000-0005-0000-0000-0000AD190000}"/>
    <cellStyle name="20% - Accent4 2 2 3 4 4 2" xfId="6527" xr:uid="{00000000-0005-0000-0000-0000AE190000}"/>
    <cellStyle name="20% - Accent4 2 2 3 4 5" xfId="6528" xr:uid="{00000000-0005-0000-0000-0000AF190000}"/>
    <cellStyle name="20% - Accent4 2 2 3 5" xfId="6529" xr:uid="{00000000-0005-0000-0000-0000B0190000}"/>
    <cellStyle name="20% - Accent4 2 2 3 5 2" xfId="6530" xr:uid="{00000000-0005-0000-0000-0000B1190000}"/>
    <cellStyle name="20% - Accent4 2 2 3 5 2 2" xfId="6531" xr:uid="{00000000-0005-0000-0000-0000B2190000}"/>
    <cellStyle name="20% - Accent4 2 2 3 5 2 2 2" xfId="6532" xr:uid="{00000000-0005-0000-0000-0000B3190000}"/>
    <cellStyle name="20% - Accent4 2 2 3 5 2 3" xfId="6533" xr:uid="{00000000-0005-0000-0000-0000B4190000}"/>
    <cellStyle name="20% - Accent4 2 2 3 5 3" xfId="6534" xr:uid="{00000000-0005-0000-0000-0000B5190000}"/>
    <cellStyle name="20% - Accent4 2 2 3 5 3 2" xfId="6535" xr:uid="{00000000-0005-0000-0000-0000B6190000}"/>
    <cellStyle name="20% - Accent4 2 2 3 5 4" xfId="6536" xr:uid="{00000000-0005-0000-0000-0000B7190000}"/>
    <cellStyle name="20% - Accent4 2 2 3 6" xfId="6537" xr:uid="{00000000-0005-0000-0000-0000B8190000}"/>
    <cellStyle name="20% - Accent4 2 2 3 6 2" xfId="6538" xr:uid="{00000000-0005-0000-0000-0000B9190000}"/>
    <cellStyle name="20% - Accent4 2 2 3 6 2 2" xfId="6539" xr:uid="{00000000-0005-0000-0000-0000BA190000}"/>
    <cellStyle name="20% - Accent4 2 2 3 6 3" xfId="6540" xr:uid="{00000000-0005-0000-0000-0000BB190000}"/>
    <cellStyle name="20% - Accent4 2 2 3 7" xfId="6541" xr:uid="{00000000-0005-0000-0000-0000BC190000}"/>
    <cellStyle name="20% - Accent4 2 2 3 7 2" xfId="6542" xr:uid="{00000000-0005-0000-0000-0000BD190000}"/>
    <cellStyle name="20% - Accent4 2 2 3 8" xfId="6543" xr:uid="{00000000-0005-0000-0000-0000BE190000}"/>
    <cellStyle name="20% - Accent4 2 2 4" xfId="6544" xr:uid="{00000000-0005-0000-0000-0000BF190000}"/>
    <cellStyle name="20% - Accent4 2 2 4 2" xfId="6545" xr:uid="{00000000-0005-0000-0000-0000C0190000}"/>
    <cellStyle name="20% - Accent4 2 2 4 2 2" xfId="6546" xr:uid="{00000000-0005-0000-0000-0000C1190000}"/>
    <cellStyle name="20% - Accent4 2 2 4 2 2 2" xfId="6547" xr:uid="{00000000-0005-0000-0000-0000C2190000}"/>
    <cellStyle name="20% - Accent4 2 2 4 2 2 2 2" xfId="6548" xr:uid="{00000000-0005-0000-0000-0000C3190000}"/>
    <cellStyle name="20% - Accent4 2 2 4 2 2 2 2 2" xfId="6549" xr:uid="{00000000-0005-0000-0000-0000C4190000}"/>
    <cellStyle name="20% - Accent4 2 2 4 2 2 2 2 2 2" xfId="6550" xr:uid="{00000000-0005-0000-0000-0000C5190000}"/>
    <cellStyle name="20% - Accent4 2 2 4 2 2 2 2 3" xfId="6551" xr:uid="{00000000-0005-0000-0000-0000C6190000}"/>
    <cellStyle name="20% - Accent4 2 2 4 2 2 2 3" xfId="6552" xr:uid="{00000000-0005-0000-0000-0000C7190000}"/>
    <cellStyle name="20% - Accent4 2 2 4 2 2 2 3 2" xfId="6553" xr:uid="{00000000-0005-0000-0000-0000C8190000}"/>
    <cellStyle name="20% - Accent4 2 2 4 2 2 2 4" xfId="6554" xr:uid="{00000000-0005-0000-0000-0000C9190000}"/>
    <cellStyle name="20% - Accent4 2 2 4 2 2 3" xfId="6555" xr:uid="{00000000-0005-0000-0000-0000CA190000}"/>
    <cellStyle name="20% - Accent4 2 2 4 2 2 3 2" xfId="6556" xr:uid="{00000000-0005-0000-0000-0000CB190000}"/>
    <cellStyle name="20% - Accent4 2 2 4 2 2 3 2 2" xfId="6557" xr:uid="{00000000-0005-0000-0000-0000CC190000}"/>
    <cellStyle name="20% - Accent4 2 2 4 2 2 3 3" xfId="6558" xr:uid="{00000000-0005-0000-0000-0000CD190000}"/>
    <cellStyle name="20% - Accent4 2 2 4 2 2 4" xfId="6559" xr:uid="{00000000-0005-0000-0000-0000CE190000}"/>
    <cellStyle name="20% - Accent4 2 2 4 2 2 4 2" xfId="6560" xr:uid="{00000000-0005-0000-0000-0000CF190000}"/>
    <cellStyle name="20% - Accent4 2 2 4 2 2 5" xfId="6561" xr:uid="{00000000-0005-0000-0000-0000D0190000}"/>
    <cellStyle name="20% - Accent4 2 2 4 2 3" xfId="6562" xr:uid="{00000000-0005-0000-0000-0000D1190000}"/>
    <cellStyle name="20% - Accent4 2 2 4 2 3 2" xfId="6563" xr:uid="{00000000-0005-0000-0000-0000D2190000}"/>
    <cellStyle name="20% - Accent4 2 2 4 2 3 2 2" xfId="6564" xr:uid="{00000000-0005-0000-0000-0000D3190000}"/>
    <cellStyle name="20% - Accent4 2 2 4 2 3 2 2 2" xfId="6565" xr:uid="{00000000-0005-0000-0000-0000D4190000}"/>
    <cellStyle name="20% - Accent4 2 2 4 2 3 2 3" xfId="6566" xr:uid="{00000000-0005-0000-0000-0000D5190000}"/>
    <cellStyle name="20% - Accent4 2 2 4 2 3 3" xfId="6567" xr:uid="{00000000-0005-0000-0000-0000D6190000}"/>
    <cellStyle name="20% - Accent4 2 2 4 2 3 3 2" xfId="6568" xr:uid="{00000000-0005-0000-0000-0000D7190000}"/>
    <cellStyle name="20% - Accent4 2 2 4 2 3 4" xfId="6569" xr:uid="{00000000-0005-0000-0000-0000D8190000}"/>
    <cellStyle name="20% - Accent4 2 2 4 2 4" xfId="6570" xr:uid="{00000000-0005-0000-0000-0000D9190000}"/>
    <cellStyle name="20% - Accent4 2 2 4 2 4 2" xfId="6571" xr:uid="{00000000-0005-0000-0000-0000DA190000}"/>
    <cellStyle name="20% - Accent4 2 2 4 2 4 2 2" xfId="6572" xr:uid="{00000000-0005-0000-0000-0000DB190000}"/>
    <cellStyle name="20% - Accent4 2 2 4 2 4 3" xfId="6573" xr:uid="{00000000-0005-0000-0000-0000DC190000}"/>
    <cellStyle name="20% - Accent4 2 2 4 2 5" xfId="6574" xr:uid="{00000000-0005-0000-0000-0000DD190000}"/>
    <cellStyle name="20% - Accent4 2 2 4 2 5 2" xfId="6575" xr:uid="{00000000-0005-0000-0000-0000DE190000}"/>
    <cellStyle name="20% - Accent4 2 2 4 2 6" xfId="6576" xr:uid="{00000000-0005-0000-0000-0000DF190000}"/>
    <cellStyle name="20% - Accent4 2 2 4 3" xfId="6577" xr:uid="{00000000-0005-0000-0000-0000E0190000}"/>
    <cellStyle name="20% - Accent4 2 2 4 3 2" xfId="6578" xr:uid="{00000000-0005-0000-0000-0000E1190000}"/>
    <cellStyle name="20% - Accent4 2 2 4 3 2 2" xfId="6579" xr:uid="{00000000-0005-0000-0000-0000E2190000}"/>
    <cellStyle name="20% - Accent4 2 2 4 3 2 2 2" xfId="6580" xr:uid="{00000000-0005-0000-0000-0000E3190000}"/>
    <cellStyle name="20% - Accent4 2 2 4 3 2 2 2 2" xfId="6581" xr:uid="{00000000-0005-0000-0000-0000E4190000}"/>
    <cellStyle name="20% - Accent4 2 2 4 3 2 2 3" xfId="6582" xr:uid="{00000000-0005-0000-0000-0000E5190000}"/>
    <cellStyle name="20% - Accent4 2 2 4 3 2 3" xfId="6583" xr:uid="{00000000-0005-0000-0000-0000E6190000}"/>
    <cellStyle name="20% - Accent4 2 2 4 3 2 3 2" xfId="6584" xr:uid="{00000000-0005-0000-0000-0000E7190000}"/>
    <cellStyle name="20% - Accent4 2 2 4 3 2 4" xfId="6585" xr:uid="{00000000-0005-0000-0000-0000E8190000}"/>
    <cellStyle name="20% - Accent4 2 2 4 3 3" xfId="6586" xr:uid="{00000000-0005-0000-0000-0000E9190000}"/>
    <cellStyle name="20% - Accent4 2 2 4 3 3 2" xfId="6587" xr:uid="{00000000-0005-0000-0000-0000EA190000}"/>
    <cellStyle name="20% - Accent4 2 2 4 3 3 2 2" xfId="6588" xr:uid="{00000000-0005-0000-0000-0000EB190000}"/>
    <cellStyle name="20% - Accent4 2 2 4 3 3 3" xfId="6589" xr:uid="{00000000-0005-0000-0000-0000EC190000}"/>
    <cellStyle name="20% - Accent4 2 2 4 3 4" xfId="6590" xr:uid="{00000000-0005-0000-0000-0000ED190000}"/>
    <cellStyle name="20% - Accent4 2 2 4 3 4 2" xfId="6591" xr:uid="{00000000-0005-0000-0000-0000EE190000}"/>
    <cellStyle name="20% - Accent4 2 2 4 3 5" xfId="6592" xr:uid="{00000000-0005-0000-0000-0000EF190000}"/>
    <cellStyle name="20% - Accent4 2 2 4 4" xfId="6593" xr:uid="{00000000-0005-0000-0000-0000F0190000}"/>
    <cellStyle name="20% - Accent4 2 2 4 4 2" xfId="6594" xr:uid="{00000000-0005-0000-0000-0000F1190000}"/>
    <cellStyle name="20% - Accent4 2 2 4 4 2 2" xfId="6595" xr:uid="{00000000-0005-0000-0000-0000F2190000}"/>
    <cellStyle name="20% - Accent4 2 2 4 4 2 2 2" xfId="6596" xr:uid="{00000000-0005-0000-0000-0000F3190000}"/>
    <cellStyle name="20% - Accent4 2 2 4 4 2 3" xfId="6597" xr:uid="{00000000-0005-0000-0000-0000F4190000}"/>
    <cellStyle name="20% - Accent4 2 2 4 4 3" xfId="6598" xr:uid="{00000000-0005-0000-0000-0000F5190000}"/>
    <cellStyle name="20% - Accent4 2 2 4 4 3 2" xfId="6599" xr:uid="{00000000-0005-0000-0000-0000F6190000}"/>
    <cellStyle name="20% - Accent4 2 2 4 4 4" xfId="6600" xr:uid="{00000000-0005-0000-0000-0000F7190000}"/>
    <cellStyle name="20% - Accent4 2 2 4 5" xfId="6601" xr:uid="{00000000-0005-0000-0000-0000F8190000}"/>
    <cellStyle name="20% - Accent4 2 2 4 5 2" xfId="6602" xr:uid="{00000000-0005-0000-0000-0000F9190000}"/>
    <cellStyle name="20% - Accent4 2 2 4 5 2 2" xfId="6603" xr:uid="{00000000-0005-0000-0000-0000FA190000}"/>
    <cellStyle name="20% - Accent4 2 2 4 5 3" xfId="6604" xr:uid="{00000000-0005-0000-0000-0000FB190000}"/>
    <cellStyle name="20% - Accent4 2 2 4 6" xfId="6605" xr:uid="{00000000-0005-0000-0000-0000FC190000}"/>
    <cellStyle name="20% - Accent4 2 2 4 6 2" xfId="6606" xr:uid="{00000000-0005-0000-0000-0000FD190000}"/>
    <cellStyle name="20% - Accent4 2 2 4 7" xfId="6607" xr:uid="{00000000-0005-0000-0000-0000FE190000}"/>
    <cellStyle name="20% - Accent4 2 2 5" xfId="6608" xr:uid="{00000000-0005-0000-0000-0000FF190000}"/>
    <cellStyle name="20% - Accent4 2 2 5 2" xfId="6609" xr:uid="{00000000-0005-0000-0000-0000001A0000}"/>
    <cellStyle name="20% - Accent4 2 2 5 2 2" xfId="6610" xr:uid="{00000000-0005-0000-0000-0000011A0000}"/>
    <cellStyle name="20% - Accent4 2 2 5 2 2 2" xfId="6611" xr:uid="{00000000-0005-0000-0000-0000021A0000}"/>
    <cellStyle name="20% - Accent4 2 2 5 2 2 2 2" xfId="6612" xr:uid="{00000000-0005-0000-0000-0000031A0000}"/>
    <cellStyle name="20% - Accent4 2 2 5 2 2 2 2 2" xfId="6613" xr:uid="{00000000-0005-0000-0000-0000041A0000}"/>
    <cellStyle name="20% - Accent4 2 2 5 2 2 2 3" xfId="6614" xr:uid="{00000000-0005-0000-0000-0000051A0000}"/>
    <cellStyle name="20% - Accent4 2 2 5 2 2 3" xfId="6615" xr:uid="{00000000-0005-0000-0000-0000061A0000}"/>
    <cellStyle name="20% - Accent4 2 2 5 2 2 3 2" xfId="6616" xr:uid="{00000000-0005-0000-0000-0000071A0000}"/>
    <cellStyle name="20% - Accent4 2 2 5 2 2 4" xfId="6617" xr:uid="{00000000-0005-0000-0000-0000081A0000}"/>
    <cellStyle name="20% - Accent4 2 2 5 2 3" xfId="6618" xr:uid="{00000000-0005-0000-0000-0000091A0000}"/>
    <cellStyle name="20% - Accent4 2 2 5 2 3 2" xfId="6619" xr:uid="{00000000-0005-0000-0000-00000A1A0000}"/>
    <cellStyle name="20% - Accent4 2 2 5 2 3 2 2" xfId="6620" xr:uid="{00000000-0005-0000-0000-00000B1A0000}"/>
    <cellStyle name="20% - Accent4 2 2 5 2 3 3" xfId="6621" xr:uid="{00000000-0005-0000-0000-00000C1A0000}"/>
    <cellStyle name="20% - Accent4 2 2 5 2 4" xfId="6622" xr:uid="{00000000-0005-0000-0000-00000D1A0000}"/>
    <cellStyle name="20% - Accent4 2 2 5 2 4 2" xfId="6623" xr:uid="{00000000-0005-0000-0000-00000E1A0000}"/>
    <cellStyle name="20% - Accent4 2 2 5 2 5" xfId="6624" xr:uid="{00000000-0005-0000-0000-00000F1A0000}"/>
    <cellStyle name="20% - Accent4 2 2 5 3" xfId="6625" xr:uid="{00000000-0005-0000-0000-0000101A0000}"/>
    <cellStyle name="20% - Accent4 2 2 5 3 2" xfId="6626" xr:uid="{00000000-0005-0000-0000-0000111A0000}"/>
    <cellStyle name="20% - Accent4 2 2 5 3 2 2" xfId="6627" xr:uid="{00000000-0005-0000-0000-0000121A0000}"/>
    <cellStyle name="20% - Accent4 2 2 5 3 2 2 2" xfId="6628" xr:uid="{00000000-0005-0000-0000-0000131A0000}"/>
    <cellStyle name="20% - Accent4 2 2 5 3 2 3" xfId="6629" xr:uid="{00000000-0005-0000-0000-0000141A0000}"/>
    <cellStyle name="20% - Accent4 2 2 5 3 3" xfId="6630" xr:uid="{00000000-0005-0000-0000-0000151A0000}"/>
    <cellStyle name="20% - Accent4 2 2 5 3 3 2" xfId="6631" xr:uid="{00000000-0005-0000-0000-0000161A0000}"/>
    <cellStyle name="20% - Accent4 2 2 5 3 4" xfId="6632" xr:uid="{00000000-0005-0000-0000-0000171A0000}"/>
    <cellStyle name="20% - Accent4 2 2 5 4" xfId="6633" xr:uid="{00000000-0005-0000-0000-0000181A0000}"/>
    <cellStyle name="20% - Accent4 2 2 5 4 2" xfId="6634" xr:uid="{00000000-0005-0000-0000-0000191A0000}"/>
    <cellStyle name="20% - Accent4 2 2 5 4 2 2" xfId="6635" xr:uid="{00000000-0005-0000-0000-00001A1A0000}"/>
    <cellStyle name="20% - Accent4 2 2 5 4 3" xfId="6636" xr:uid="{00000000-0005-0000-0000-00001B1A0000}"/>
    <cellStyle name="20% - Accent4 2 2 5 5" xfId="6637" xr:uid="{00000000-0005-0000-0000-00001C1A0000}"/>
    <cellStyle name="20% - Accent4 2 2 5 5 2" xfId="6638" xr:uid="{00000000-0005-0000-0000-00001D1A0000}"/>
    <cellStyle name="20% - Accent4 2 2 5 6" xfId="6639" xr:uid="{00000000-0005-0000-0000-00001E1A0000}"/>
    <cellStyle name="20% - Accent4 2 2 6" xfId="6640" xr:uid="{00000000-0005-0000-0000-00001F1A0000}"/>
    <cellStyle name="20% - Accent4 2 2 6 2" xfId="6641" xr:uid="{00000000-0005-0000-0000-0000201A0000}"/>
    <cellStyle name="20% - Accent4 2 2 6 2 2" xfId="6642" xr:uid="{00000000-0005-0000-0000-0000211A0000}"/>
    <cellStyle name="20% - Accent4 2 2 6 2 2 2" xfId="6643" xr:uid="{00000000-0005-0000-0000-0000221A0000}"/>
    <cellStyle name="20% - Accent4 2 2 6 2 2 2 2" xfId="6644" xr:uid="{00000000-0005-0000-0000-0000231A0000}"/>
    <cellStyle name="20% - Accent4 2 2 6 2 2 3" xfId="6645" xr:uid="{00000000-0005-0000-0000-0000241A0000}"/>
    <cellStyle name="20% - Accent4 2 2 6 2 3" xfId="6646" xr:uid="{00000000-0005-0000-0000-0000251A0000}"/>
    <cellStyle name="20% - Accent4 2 2 6 2 3 2" xfId="6647" xr:uid="{00000000-0005-0000-0000-0000261A0000}"/>
    <cellStyle name="20% - Accent4 2 2 6 2 4" xfId="6648" xr:uid="{00000000-0005-0000-0000-0000271A0000}"/>
    <cellStyle name="20% - Accent4 2 2 6 3" xfId="6649" xr:uid="{00000000-0005-0000-0000-0000281A0000}"/>
    <cellStyle name="20% - Accent4 2 2 6 3 2" xfId="6650" xr:uid="{00000000-0005-0000-0000-0000291A0000}"/>
    <cellStyle name="20% - Accent4 2 2 6 3 2 2" xfId="6651" xr:uid="{00000000-0005-0000-0000-00002A1A0000}"/>
    <cellStyle name="20% - Accent4 2 2 6 3 3" xfId="6652" xr:uid="{00000000-0005-0000-0000-00002B1A0000}"/>
    <cellStyle name="20% - Accent4 2 2 6 4" xfId="6653" xr:uid="{00000000-0005-0000-0000-00002C1A0000}"/>
    <cellStyle name="20% - Accent4 2 2 6 4 2" xfId="6654" xr:uid="{00000000-0005-0000-0000-00002D1A0000}"/>
    <cellStyle name="20% - Accent4 2 2 6 5" xfId="6655" xr:uid="{00000000-0005-0000-0000-00002E1A0000}"/>
    <cellStyle name="20% - Accent4 2 2 7" xfId="6656" xr:uid="{00000000-0005-0000-0000-00002F1A0000}"/>
    <cellStyle name="20% - Accent4 2 2 7 2" xfId="6657" xr:uid="{00000000-0005-0000-0000-0000301A0000}"/>
    <cellStyle name="20% - Accent4 2 2 7 2 2" xfId="6658" xr:uid="{00000000-0005-0000-0000-0000311A0000}"/>
    <cellStyle name="20% - Accent4 2 2 7 2 2 2" xfId="6659" xr:uid="{00000000-0005-0000-0000-0000321A0000}"/>
    <cellStyle name="20% - Accent4 2 2 7 2 3" xfId="6660" xr:uid="{00000000-0005-0000-0000-0000331A0000}"/>
    <cellStyle name="20% - Accent4 2 2 7 3" xfId="6661" xr:uid="{00000000-0005-0000-0000-0000341A0000}"/>
    <cellStyle name="20% - Accent4 2 2 7 3 2" xfId="6662" xr:uid="{00000000-0005-0000-0000-0000351A0000}"/>
    <cellStyle name="20% - Accent4 2 2 7 4" xfId="6663" xr:uid="{00000000-0005-0000-0000-0000361A0000}"/>
    <cellStyle name="20% - Accent4 2 2 8" xfId="6664" xr:uid="{00000000-0005-0000-0000-0000371A0000}"/>
    <cellStyle name="20% - Accent4 2 2 8 2" xfId="6665" xr:uid="{00000000-0005-0000-0000-0000381A0000}"/>
    <cellStyle name="20% - Accent4 2 2 8 2 2" xfId="6666" xr:uid="{00000000-0005-0000-0000-0000391A0000}"/>
    <cellStyle name="20% - Accent4 2 2 8 3" xfId="6667" xr:uid="{00000000-0005-0000-0000-00003A1A0000}"/>
    <cellStyle name="20% - Accent4 2 2 9" xfId="6668" xr:uid="{00000000-0005-0000-0000-00003B1A0000}"/>
    <cellStyle name="20% - Accent4 2 2 9 2" xfId="6669" xr:uid="{00000000-0005-0000-0000-00003C1A0000}"/>
    <cellStyle name="20% - Accent4 2 3" xfId="6670" xr:uid="{00000000-0005-0000-0000-00003D1A0000}"/>
    <cellStyle name="20% - Accent4 2 3 2" xfId="6671" xr:uid="{00000000-0005-0000-0000-00003E1A0000}"/>
    <cellStyle name="20% - Accent4 2 3 2 2" xfId="6672" xr:uid="{00000000-0005-0000-0000-00003F1A0000}"/>
    <cellStyle name="20% - Accent4 2 3 2 2 2" xfId="6673" xr:uid="{00000000-0005-0000-0000-0000401A0000}"/>
    <cellStyle name="20% - Accent4 2 3 2 2 2 2" xfId="6674" xr:uid="{00000000-0005-0000-0000-0000411A0000}"/>
    <cellStyle name="20% - Accent4 2 3 2 2 2 2 2" xfId="6675" xr:uid="{00000000-0005-0000-0000-0000421A0000}"/>
    <cellStyle name="20% - Accent4 2 3 2 2 2 2 2 2" xfId="6676" xr:uid="{00000000-0005-0000-0000-0000431A0000}"/>
    <cellStyle name="20% - Accent4 2 3 2 2 2 2 2 2 2" xfId="6677" xr:uid="{00000000-0005-0000-0000-0000441A0000}"/>
    <cellStyle name="20% - Accent4 2 3 2 2 2 2 2 2 2 2" xfId="6678" xr:uid="{00000000-0005-0000-0000-0000451A0000}"/>
    <cellStyle name="20% - Accent4 2 3 2 2 2 2 2 2 3" xfId="6679" xr:uid="{00000000-0005-0000-0000-0000461A0000}"/>
    <cellStyle name="20% - Accent4 2 3 2 2 2 2 2 3" xfId="6680" xr:uid="{00000000-0005-0000-0000-0000471A0000}"/>
    <cellStyle name="20% - Accent4 2 3 2 2 2 2 2 3 2" xfId="6681" xr:uid="{00000000-0005-0000-0000-0000481A0000}"/>
    <cellStyle name="20% - Accent4 2 3 2 2 2 2 2 4" xfId="6682" xr:uid="{00000000-0005-0000-0000-0000491A0000}"/>
    <cellStyle name="20% - Accent4 2 3 2 2 2 2 3" xfId="6683" xr:uid="{00000000-0005-0000-0000-00004A1A0000}"/>
    <cellStyle name="20% - Accent4 2 3 2 2 2 2 3 2" xfId="6684" xr:uid="{00000000-0005-0000-0000-00004B1A0000}"/>
    <cellStyle name="20% - Accent4 2 3 2 2 2 2 3 2 2" xfId="6685" xr:uid="{00000000-0005-0000-0000-00004C1A0000}"/>
    <cellStyle name="20% - Accent4 2 3 2 2 2 2 3 3" xfId="6686" xr:uid="{00000000-0005-0000-0000-00004D1A0000}"/>
    <cellStyle name="20% - Accent4 2 3 2 2 2 2 4" xfId="6687" xr:uid="{00000000-0005-0000-0000-00004E1A0000}"/>
    <cellStyle name="20% - Accent4 2 3 2 2 2 2 4 2" xfId="6688" xr:uid="{00000000-0005-0000-0000-00004F1A0000}"/>
    <cellStyle name="20% - Accent4 2 3 2 2 2 2 5" xfId="6689" xr:uid="{00000000-0005-0000-0000-0000501A0000}"/>
    <cellStyle name="20% - Accent4 2 3 2 2 2 3" xfId="6690" xr:uid="{00000000-0005-0000-0000-0000511A0000}"/>
    <cellStyle name="20% - Accent4 2 3 2 2 2 3 2" xfId="6691" xr:uid="{00000000-0005-0000-0000-0000521A0000}"/>
    <cellStyle name="20% - Accent4 2 3 2 2 2 3 2 2" xfId="6692" xr:uid="{00000000-0005-0000-0000-0000531A0000}"/>
    <cellStyle name="20% - Accent4 2 3 2 2 2 3 2 2 2" xfId="6693" xr:uid="{00000000-0005-0000-0000-0000541A0000}"/>
    <cellStyle name="20% - Accent4 2 3 2 2 2 3 2 3" xfId="6694" xr:uid="{00000000-0005-0000-0000-0000551A0000}"/>
    <cellStyle name="20% - Accent4 2 3 2 2 2 3 3" xfId="6695" xr:uid="{00000000-0005-0000-0000-0000561A0000}"/>
    <cellStyle name="20% - Accent4 2 3 2 2 2 3 3 2" xfId="6696" xr:uid="{00000000-0005-0000-0000-0000571A0000}"/>
    <cellStyle name="20% - Accent4 2 3 2 2 2 3 4" xfId="6697" xr:uid="{00000000-0005-0000-0000-0000581A0000}"/>
    <cellStyle name="20% - Accent4 2 3 2 2 2 4" xfId="6698" xr:uid="{00000000-0005-0000-0000-0000591A0000}"/>
    <cellStyle name="20% - Accent4 2 3 2 2 2 4 2" xfId="6699" xr:uid="{00000000-0005-0000-0000-00005A1A0000}"/>
    <cellStyle name="20% - Accent4 2 3 2 2 2 4 2 2" xfId="6700" xr:uid="{00000000-0005-0000-0000-00005B1A0000}"/>
    <cellStyle name="20% - Accent4 2 3 2 2 2 4 3" xfId="6701" xr:uid="{00000000-0005-0000-0000-00005C1A0000}"/>
    <cellStyle name="20% - Accent4 2 3 2 2 2 5" xfId="6702" xr:uid="{00000000-0005-0000-0000-00005D1A0000}"/>
    <cellStyle name="20% - Accent4 2 3 2 2 2 5 2" xfId="6703" xr:uid="{00000000-0005-0000-0000-00005E1A0000}"/>
    <cellStyle name="20% - Accent4 2 3 2 2 2 6" xfId="6704" xr:uid="{00000000-0005-0000-0000-00005F1A0000}"/>
    <cellStyle name="20% - Accent4 2 3 2 2 3" xfId="6705" xr:uid="{00000000-0005-0000-0000-0000601A0000}"/>
    <cellStyle name="20% - Accent4 2 3 2 2 3 2" xfId="6706" xr:uid="{00000000-0005-0000-0000-0000611A0000}"/>
    <cellStyle name="20% - Accent4 2 3 2 2 3 2 2" xfId="6707" xr:uid="{00000000-0005-0000-0000-0000621A0000}"/>
    <cellStyle name="20% - Accent4 2 3 2 2 3 2 2 2" xfId="6708" xr:uid="{00000000-0005-0000-0000-0000631A0000}"/>
    <cellStyle name="20% - Accent4 2 3 2 2 3 2 2 2 2" xfId="6709" xr:uid="{00000000-0005-0000-0000-0000641A0000}"/>
    <cellStyle name="20% - Accent4 2 3 2 2 3 2 2 3" xfId="6710" xr:uid="{00000000-0005-0000-0000-0000651A0000}"/>
    <cellStyle name="20% - Accent4 2 3 2 2 3 2 3" xfId="6711" xr:uid="{00000000-0005-0000-0000-0000661A0000}"/>
    <cellStyle name="20% - Accent4 2 3 2 2 3 2 3 2" xfId="6712" xr:uid="{00000000-0005-0000-0000-0000671A0000}"/>
    <cellStyle name="20% - Accent4 2 3 2 2 3 2 4" xfId="6713" xr:uid="{00000000-0005-0000-0000-0000681A0000}"/>
    <cellStyle name="20% - Accent4 2 3 2 2 3 3" xfId="6714" xr:uid="{00000000-0005-0000-0000-0000691A0000}"/>
    <cellStyle name="20% - Accent4 2 3 2 2 3 3 2" xfId="6715" xr:uid="{00000000-0005-0000-0000-00006A1A0000}"/>
    <cellStyle name="20% - Accent4 2 3 2 2 3 3 2 2" xfId="6716" xr:uid="{00000000-0005-0000-0000-00006B1A0000}"/>
    <cellStyle name="20% - Accent4 2 3 2 2 3 3 3" xfId="6717" xr:uid="{00000000-0005-0000-0000-00006C1A0000}"/>
    <cellStyle name="20% - Accent4 2 3 2 2 3 4" xfId="6718" xr:uid="{00000000-0005-0000-0000-00006D1A0000}"/>
    <cellStyle name="20% - Accent4 2 3 2 2 3 4 2" xfId="6719" xr:uid="{00000000-0005-0000-0000-00006E1A0000}"/>
    <cellStyle name="20% - Accent4 2 3 2 2 3 5" xfId="6720" xr:uid="{00000000-0005-0000-0000-00006F1A0000}"/>
    <cellStyle name="20% - Accent4 2 3 2 2 4" xfId="6721" xr:uid="{00000000-0005-0000-0000-0000701A0000}"/>
    <cellStyle name="20% - Accent4 2 3 2 2 4 2" xfId="6722" xr:uid="{00000000-0005-0000-0000-0000711A0000}"/>
    <cellStyle name="20% - Accent4 2 3 2 2 4 2 2" xfId="6723" xr:uid="{00000000-0005-0000-0000-0000721A0000}"/>
    <cellStyle name="20% - Accent4 2 3 2 2 4 2 2 2" xfId="6724" xr:uid="{00000000-0005-0000-0000-0000731A0000}"/>
    <cellStyle name="20% - Accent4 2 3 2 2 4 2 3" xfId="6725" xr:uid="{00000000-0005-0000-0000-0000741A0000}"/>
    <cellStyle name="20% - Accent4 2 3 2 2 4 3" xfId="6726" xr:uid="{00000000-0005-0000-0000-0000751A0000}"/>
    <cellStyle name="20% - Accent4 2 3 2 2 4 3 2" xfId="6727" xr:uid="{00000000-0005-0000-0000-0000761A0000}"/>
    <cellStyle name="20% - Accent4 2 3 2 2 4 4" xfId="6728" xr:uid="{00000000-0005-0000-0000-0000771A0000}"/>
    <cellStyle name="20% - Accent4 2 3 2 2 5" xfId="6729" xr:uid="{00000000-0005-0000-0000-0000781A0000}"/>
    <cellStyle name="20% - Accent4 2 3 2 2 5 2" xfId="6730" xr:uid="{00000000-0005-0000-0000-0000791A0000}"/>
    <cellStyle name="20% - Accent4 2 3 2 2 5 2 2" xfId="6731" xr:uid="{00000000-0005-0000-0000-00007A1A0000}"/>
    <cellStyle name="20% - Accent4 2 3 2 2 5 3" xfId="6732" xr:uid="{00000000-0005-0000-0000-00007B1A0000}"/>
    <cellStyle name="20% - Accent4 2 3 2 2 6" xfId="6733" xr:uid="{00000000-0005-0000-0000-00007C1A0000}"/>
    <cellStyle name="20% - Accent4 2 3 2 2 6 2" xfId="6734" xr:uid="{00000000-0005-0000-0000-00007D1A0000}"/>
    <cellStyle name="20% - Accent4 2 3 2 2 7" xfId="6735" xr:uid="{00000000-0005-0000-0000-00007E1A0000}"/>
    <cellStyle name="20% - Accent4 2 3 2 3" xfId="6736" xr:uid="{00000000-0005-0000-0000-00007F1A0000}"/>
    <cellStyle name="20% - Accent4 2 3 2 3 2" xfId="6737" xr:uid="{00000000-0005-0000-0000-0000801A0000}"/>
    <cellStyle name="20% - Accent4 2 3 2 3 2 2" xfId="6738" xr:uid="{00000000-0005-0000-0000-0000811A0000}"/>
    <cellStyle name="20% - Accent4 2 3 2 3 2 2 2" xfId="6739" xr:uid="{00000000-0005-0000-0000-0000821A0000}"/>
    <cellStyle name="20% - Accent4 2 3 2 3 2 2 2 2" xfId="6740" xr:uid="{00000000-0005-0000-0000-0000831A0000}"/>
    <cellStyle name="20% - Accent4 2 3 2 3 2 2 2 2 2" xfId="6741" xr:uid="{00000000-0005-0000-0000-0000841A0000}"/>
    <cellStyle name="20% - Accent4 2 3 2 3 2 2 2 3" xfId="6742" xr:uid="{00000000-0005-0000-0000-0000851A0000}"/>
    <cellStyle name="20% - Accent4 2 3 2 3 2 2 3" xfId="6743" xr:uid="{00000000-0005-0000-0000-0000861A0000}"/>
    <cellStyle name="20% - Accent4 2 3 2 3 2 2 3 2" xfId="6744" xr:uid="{00000000-0005-0000-0000-0000871A0000}"/>
    <cellStyle name="20% - Accent4 2 3 2 3 2 2 4" xfId="6745" xr:uid="{00000000-0005-0000-0000-0000881A0000}"/>
    <cellStyle name="20% - Accent4 2 3 2 3 2 3" xfId="6746" xr:uid="{00000000-0005-0000-0000-0000891A0000}"/>
    <cellStyle name="20% - Accent4 2 3 2 3 2 3 2" xfId="6747" xr:uid="{00000000-0005-0000-0000-00008A1A0000}"/>
    <cellStyle name="20% - Accent4 2 3 2 3 2 3 2 2" xfId="6748" xr:uid="{00000000-0005-0000-0000-00008B1A0000}"/>
    <cellStyle name="20% - Accent4 2 3 2 3 2 3 3" xfId="6749" xr:uid="{00000000-0005-0000-0000-00008C1A0000}"/>
    <cellStyle name="20% - Accent4 2 3 2 3 2 4" xfId="6750" xr:uid="{00000000-0005-0000-0000-00008D1A0000}"/>
    <cellStyle name="20% - Accent4 2 3 2 3 2 4 2" xfId="6751" xr:uid="{00000000-0005-0000-0000-00008E1A0000}"/>
    <cellStyle name="20% - Accent4 2 3 2 3 2 5" xfId="6752" xr:uid="{00000000-0005-0000-0000-00008F1A0000}"/>
    <cellStyle name="20% - Accent4 2 3 2 3 3" xfId="6753" xr:uid="{00000000-0005-0000-0000-0000901A0000}"/>
    <cellStyle name="20% - Accent4 2 3 2 3 3 2" xfId="6754" xr:uid="{00000000-0005-0000-0000-0000911A0000}"/>
    <cellStyle name="20% - Accent4 2 3 2 3 3 2 2" xfId="6755" xr:uid="{00000000-0005-0000-0000-0000921A0000}"/>
    <cellStyle name="20% - Accent4 2 3 2 3 3 2 2 2" xfId="6756" xr:uid="{00000000-0005-0000-0000-0000931A0000}"/>
    <cellStyle name="20% - Accent4 2 3 2 3 3 2 3" xfId="6757" xr:uid="{00000000-0005-0000-0000-0000941A0000}"/>
    <cellStyle name="20% - Accent4 2 3 2 3 3 3" xfId="6758" xr:uid="{00000000-0005-0000-0000-0000951A0000}"/>
    <cellStyle name="20% - Accent4 2 3 2 3 3 3 2" xfId="6759" xr:uid="{00000000-0005-0000-0000-0000961A0000}"/>
    <cellStyle name="20% - Accent4 2 3 2 3 3 4" xfId="6760" xr:uid="{00000000-0005-0000-0000-0000971A0000}"/>
    <cellStyle name="20% - Accent4 2 3 2 3 4" xfId="6761" xr:uid="{00000000-0005-0000-0000-0000981A0000}"/>
    <cellStyle name="20% - Accent4 2 3 2 3 4 2" xfId="6762" xr:uid="{00000000-0005-0000-0000-0000991A0000}"/>
    <cellStyle name="20% - Accent4 2 3 2 3 4 2 2" xfId="6763" xr:uid="{00000000-0005-0000-0000-00009A1A0000}"/>
    <cellStyle name="20% - Accent4 2 3 2 3 4 3" xfId="6764" xr:uid="{00000000-0005-0000-0000-00009B1A0000}"/>
    <cellStyle name="20% - Accent4 2 3 2 3 5" xfId="6765" xr:uid="{00000000-0005-0000-0000-00009C1A0000}"/>
    <cellStyle name="20% - Accent4 2 3 2 3 5 2" xfId="6766" xr:uid="{00000000-0005-0000-0000-00009D1A0000}"/>
    <cellStyle name="20% - Accent4 2 3 2 3 6" xfId="6767" xr:uid="{00000000-0005-0000-0000-00009E1A0000}"/>
    <cellStyle name="20% - Accent4 2 3 2 4" xfId="6768" xr:uid="{00000000-0005-0000-0000-00009F1A0000}"/>
    <cellStyle name="20% - Accent4 2 3 2 4 2" xfId="6769" xr:uid="{00000000-0005-0000-0000-0000A01A0000}"/>
    <cellStyle name="20% - Accent4 2 3 2 4 2 2" xfId="6770" xr:uid="{00000000-0005-0000-0000-0000A11A0000}"/>
    <cellStyle name="20% - Accent4 2 3 2 4 2 2 2" xfId="6771" xr:uid="{00000000-0005-0000-0000-0000A21A0000}"/>
    <cellStyle name="20% - Accent4 2 3 2 4 2 2 2 2" xfId="6772" xr:uid="{00000000-0005-0000-0000-0000A31A0000}"/>
    <cellStyle name="20% - Accent4 2 3 2 4 2 2 3" xfId="6773" xr:uid="{00000000-0005-0000-0000-0000A41A0000}"/>
    <cellStyle name="20% - Accent4 2 3 2 4 2 3" xfId="6774" xr:uid="{00000000-0005-0000-0000-0000A51A0000}"/>
    <cellStyle name="20% - Accent4 2 3 2 4 2 3 2" xfId="6775" xr:uid="{00000000-0005-0000-0000-0000A61A0000}"/>
    <cellStyle name="20% - Accent4 2 3 2 4 2 4" xfId="6776" xr:uid="{00000000-0005-0000-0000-0000A71A0000}"/>
    <cellStyle name="20% - Accent4 2 3 2 4 3" xfId="6777" xr:uid="{00000000-0005-0000-0000-0000A81A0000}"/>
    <cellStyle name="20% - Accent4 2 3 2 4 3 2" xfId="6778" xr:uid="{00000000-0005-0000-0000-0000A91A0000}"/>
    <cellStyle name="20% - Accent4 2 3 2 4 3 2 2" xfId="6779" xr:uid="{00000000-0005-0000-0000-0000AA1A0000}"/>
    <cellStyle name="20% - Accent4 2 3 2 4 3 3" xfId="6780" xr:uid="{00000000-0005-0000-0000-0000AB1A0000}"/>
    <cellStyle name="20% - Accent4 2 3 2 4 4" xfId="6781" xr:uid="{00000000-0005-0000-0000-0000AC1A0000}"/>
    <cellStyle name="20% - Accent4 2 3 2 4 4 2" xfId="6782" xr:uid="{00000000-0005-0000-0000-0000AD1A0000}"/>
    <cellStyle name="20% - Accent4 2 3 2 4 5" xfId="6783" xr:uid="{00000000-0005-0000-0000-0000AE1A0000}"/>
    <cellStyle name="20% - Accent4 2 3 2 5" xfId="6784" xr:uid="{00000000-0005-0000-0000-0000AF1A0000}"/>
    <cellStyle name="20% - Accent4 2 3 2 5 2" xfId="6785" xr:uid="{00000000-0005-0000-0000-0000B01A0000}"/>
    <cellStyle name="20% - Accent4 2 3 2 5 2 2" xfId="6786" xr:uid="{00000000-0005-0000-0000-0000B11A0000}"/>
    <cellStyle name="20% - Accent4 2 3 2 5 2 2 2" xfId="6787" xr:uid="{00000000-0005-0000-0000-0000B21A0000}"/>
    <cellStyle name="20% - Accent4 2 3 2 5 2 3" xfId="6788" xr:uid="{00000000-0005-0000-0000-0000B31A0000}"/>
    <cellStyle name="20% - Accent4 2 3 2 5 3" xfId="6789" xr:uid="{00000000-0005-0000-0000-0000B41A0000}"/>
    <cellStyle name="20% - Accent4 2 3 2 5 3 2" xfId="6790" xr:uid="{00000000-0005-0000-0000-0000B51A0000}"/>
    <cellStyle name="20% - Accent4 2 3 2 5 4" xfId="6791" xr:uid="{00000000-0005-0000-0000-0000B61A0000}"/>
    <cellStyle name="20% - Accent4 2 3 2 6" xfId="6792" xr:uid="{00000000-0005-0000-0000-0000B71A0000}"/>
    <cellStyle name="20% - Accent4 2 3 2 6 2" xfId="6793" xr:uid="{00000000-0005-0000-0000-0000B81A0000}"/>
    <cellStyle name="20% - Accent4 2 3 2 6 2 2" xfId="6794" xr:uid="{00000000-0005-0000-0000-0000B91A0000}"/>
    <cellStyle name="20% - Accent4 2 3 2 6 3" xfId="6795" xr:uid="{00000000-0005-0000-0000-0000BA1A0000}"/>
    <cellStyle name="20% - Accent4 2 3 2 7" xfId="6796" xr:uid="{00000000-0005-0000-0000-0000BB1A0000}"/>
    <cellStyle name="20% - Accent4 2 3 2 7 2" xfId="6797" xr:uid="{00000000-0005-0000-0000-0000BC1A0000}"/>
    <cellStyle name="20% - Accent4 2 3 2 8" xfId="6798" xr:uid="{00000000-0005-0000-0000-0000BD1A0000}"/>
    <cellStyle name="20% - Accent4 2 3 3" xfId="6799" xr:uid="{00000000-0005-0000-0000-0000BE1A0000}"/>
    <cellStyle name="20% - Accent4 2 3 3 2" xfId="6800" xr:uid="{00000000-0005-0000-0000-0000BF1A0000}"/>
    <cellStyle name="20% - Accent4 2 3 3 2 2" xfId="6801" xr:uid="{00000000-0005-0000-0000-0000C01A0000}"/>
    <cellStyle name="20% - Accent4 2 3 3 2 2 2" xfId="6802" xr:uid="{00000000-0005-0000-0000-0000C11A0000}"/>
    <cellStyle name="20% - Accent4 2 3 3 2 2 2 2" xfId="6803" xr:uid="{00000000-0005-0000-0000-0000C21A0000}"/>
    <cellStyle name="20% - Accent4 2 3 3 2 2 2 2 2" xfId="6804" xr:uid="{00000000-0005-0000-0000-0000C31A0000}"/>
    <cellStyle name="20% - Accent4 2 3 3 2 2 2 2 2 2" xfId="6805" xr:uid="{00000000-0005-0000-0000-0000C41A0000}"/>
    <cellStyle name="20% - Accent4 2 3 3 2 2 2 2 3" xfId="6806" xr:uid="{00000000-0005-0000-0000-0000C51A0000}"/>
    <cellStyle name="20% - Accent4 2 3 3 2 2 2 3" xfId="6807" xr:uid="{00000000-0005-0000-0000-0000C61A0000}"/>
    <cellStyle name="20% - Accent4 2 3 3 2 2 2 3 2" xfId="6808" xr:uid="{00000000-0005-0000-0000-0000C71A0000}"/>
    <cellStyle name="20% - Accent4 2 3 3 2 2 2 4" xfId="6809" xr:uid="{00000000-0005-0000-0000-0000C81A0000}"/>
    <cellStyle name="20% - Accent4 2 3 3 2 2 3" xfId="6810" xr:uid="{00000000-0005-0000-0000-0000C91A0000}"/>
    <cellStyle name="20% - Accent4 2 3 3 2 2 3 2" xfId="6811" xr:uid="{00000000-0005-0000-0000-0000CA1A0000}"/>
    <cellStyle name="20% - Accent4 2 3 3 2 2 3 2 2" xfId="6812" xr:uid="{00000000-0005-0000-0000-0000CB1A0000}"/>
    <cellStyle name="20% - Accent4 2 3 3 2 2 3 3" xfId="6813" xr:uid="{00000000-0005-0000-0000-0000CC1A0000}"/>
    <cellStyle name="20% - Accent4 2 3 3 2 2 4" xfId="6814" xr:uid="{00000000-0005-0000-0000-0000CD1A0000}"/>
    <cellStyle name="20% - Accent4 2 3 3 2 2 4 2" xfId="6815" xr:uid="{00000000-0005-0000-0000-0000CE1A0000}"/>
    <cellStyle name="20% - Accent4 2 3 3 2 2 5" xfId="6816" xr:uid="{00000000-0005-0000-0000-0000CF1A0000}"/>
    <cellStyle name="20% - Accent4 2 3 3 2 3" xfId="6817" xr:uid="{00000000-0005-0000-0000-0000D01A0000}"/>
    <cellStyle name="20% - Accent4 2 3 3 2 3 2" xfId="6818" xr:uid="{00000000-0005-0000-0000-0000D11A0000}"/>
    <cellStyle name="20% - Accent4 2 3 3 2 3 2 2" xfId="6819" xr:uid="{00000000-0005-0000-0000-0000D21A0000}"/>
    <cellStyle name="20% - Accent4 2 3 3 2 3 2 2 2" xfId="6820" xr:uid="{00000000-0005-0000-0000-0000D31A0000}"/>
    <cellStyle name="20% - Accent4 2 3 3 2 3 2 3" xfId="6821" xr:uid="{00000000-0005-0000-0000-0000D41A0000}"/>
    <cellStyle name="20% - Accent4 2 3 3 2 3 3" xfId="6822" xr:uid="{00000000-0005-0000-0000-0000D51A0000}"/>
    <cellStyle name="20% - Accent4 2 3 3 2 3 3 2" xfId="6823" xr:uid="{00000000-0005-0000-0000-0000D61A0000}"/>
    <cellStyle name="20% - Accent4 2 3 3 2 3 4" xfId="6824" xr:uid="{00000000-0005-0000-0000-0000D71A0000}"/>
    <cellStyle name="20% - Accent4 2 3 3 2 4" xfId="6825" xr:uid="{00000000-0005-0000-0000-0000D81A0000}"/>
    <cellStyle name="20% - Accent4 2 3 3 2 4 2" xfId="6826" xr:uid="{00000000-0005-0000-0000-0000D91A0000}"/>
    <cellStyle name="20% - Accent4 2 3 3 2 4 2 2" xfId="6827" xr:uid="{00000000-0005-0000-0000-0000DA1A0000}"/>
    <cellStyle name="20% - Accent4 2 3 3 2 4 3" xfId="6828" xr:uid="{00000000-0005-0000-0000-0000DB1A0000}"/>
    <cellStyle name="20% - Accent4 2 3 3 2 5" xfId="6829" xr:uid="{00000000-0005-0000-0000-0000DC1A0000}"/>
    <cellStyle name="20% - Accent4 2 3 3 2 5 2" xfId="6830" xr:uid="{00000000-0005-0000-0000-0000DD1A0000}"/>
    <cellStyle name="20% - Accent4 2 3 3 2 6" xfId="6831" xr:uid="{00000000-0005-0000-0000-0000DE1A0000}"/>
    <cellStyle name="20% - Accent4 2 3 3 3" xfId="6832" xr:uid="{00000000-0005-0000-0000-0000DF1A0000}"/>
    <cellStyle name="20% - Accent4 2 3 3 3 2" xfId="6833" xr:uid="{00000000-0005-0000-0000-0000E01A0000}"/>
    <cellStyle name="20% - Accent4 2 3 3 3 2 2" xfId="6834" xr:uid="{00000000-0005-0000-0000-0000E11A0000}"/>
    <cellStyle name="20% - Accent4 2 3 3 3 2 2 2" xfId="6835" xr:uid="{00000000-0005-0000-0000-0000E21A0000}"/>
    <cellStyle name="20% - Accent4 2 3 3 3 2 2 2 2" xfId="6836" xr:uid="{00000000-0005-0000-0000-0000E31A0000}"/>
    <cellStyle name="20% - Accent4 2 3 3 3 2 2 3" xfId="6837" xr:uid="{00000000-0005-0000-0000-0000E41A0000}"/>
    <cellStyle name="20% - Accent4 2 3 3 3 2 3" xfId="6838" xr:uid="{00000000-0005-0000-0000-0000E51A0000}"/>
    <cellStyle name="20% - Accent4 2 3 3 3 2 3 2" xfId="6839" xr:uid="{00000000-0005-0000-0000-0000E61A0000}"/>
    <cellStyle name="20% - Accent4 2 3 3 3 2 4" xfId="6840" xr:uid="{00000000-0005-0000-0000-0000E71A0000}"/>
    <cellStyle name="20% - Accent4 2 3 3 3 3" xfId="6841" xr:uid="{00000000-0005-0000-0000-0000E81A0000}"/>
    <cellStyle name="20% - Accent4 2 3 3 3 3 2" xfId="6842" xr:uid="{00000000-0005-0000-0000-0000E91A0000}"/>
    <cellStyle name="20% - Accent4 2 3 3 3 3 2 2" xfId="6843" xr:uid="{00000000-0005-0000-0000-0000EA1A0000}"/>
    <cellStyle name="20% - Accent4 2 3 3 3 3 3" xfId="6844" xr:uid="{00000000-0005-0000-0000-0000EB1A0000}"/>
    <cellStyle name="20% - Accent4 2 3 3 3 4" xfId="6845" xr:uid="{00000000-0005-0000-0000-0000EC1A0000}"/>
    <cellStyle name="20% - Accent4 2 3 3 3 4 2" xfId="6846" xr:uid="{00000000-0005-0000-0000-0000ED1A0000}"/>
    <cellStyle name="20% - Accent4 2 3 3 3 5" xfId="6847" xr:uid="{00000000-0005-0000-0000-0000EE1A0000}"/>
    <cellStyle name="20% - Accent4 2 3 3 4" xfId="6848" xr:uid="{00000000-0005-0000-0000-0000EF1A0000}"/>
    <cellStyle name="20% - Accent4 2 3 3 4 2" xfId="6849" xr:uid="{00000000-0005-0000-0000-0000F01A0000}"/>
    <cellStyle name="20% - Accent4 2 3 3 4 2 2" xfId="6850" xr:uid="{00000000-0005-0000-0000-0000F11A0000}"/>
    <cellStyle name="20% - Accent4 2 3 3 4 2 2 2" xfId="6851" xr:uid="{00000000-0005-0000-0000-0000F21A0000}"/>
    <cellStyle name="20% - Accent4 2 3 3 4 2 3" xfId="6852" xr:uid="{00000000-0005-0000-0000-0000F31A0000}"/>
    <cellStyle name="20% - Accent4 2 3 3 4 3" xfId="6853" xr:uid="{00000000-0005-0000-0000-0000F41A0000}"/>
    <cellStyle name="20% - Accent4 2 3 3 4 3 2" xfId="6854" xr:uid="{00000000-0005-0000-0000-0000F51A0000}"/>
    <cellStyle name="20% - Accent4 2 3 3 4 4" xfId="6855" xr:uid="{00000000-0005-0000-0000-0000F61A0000}"/>
    <cellStyle name="20% - Accent4 2 3 3 5" xfId="6856" xr:uid="{00000000-0005-0000-0000-0000F71A0000}"/>
    <cellStyle name="20% - Accent4 2 3 3 5 2" xfId="6857" xr:uid="{00000000-0005-0000-0000-0000F81A0000}"/>
    <cellStyle name="20% - Accent4 2 3 3 5 2 2" xfId="6858" xr:uid="{00000000-0005-0000-0000-0000F91A0000}"/>
    <cellStyle name="20% - Accent4 2 3 3 5 3" xfId="6859" xr:uid="{00000000-0005-0000-0000-0000FA1A0000}"/>
    <cellStyle name="20% - Accent4 2 3 3 6" xfId="6860" xr:uid="{00000000-0005-0000-0000-0000FB1A0000}"/>
    <cellStyle name="20% - Accent4 2 3 3 6 2" xfId="6861" xr:uid="{00000000-0005-0000-0000-0000FC1A0000}"/>
    <cellStyle name="20% - Accent4 2 3 3 7" xfId="6862" xr:uid="{00000000-0005-0000-0000-0000FD1A0000}"/>
    <cellStyle name="20% - Accent4 2 3 4" xfId="6863" xr:uid="{00000000-0005-0000-0000-0000FE1A0000}"/>
    <cellStyle name="20% - Accent4 2 3 4 2" xfId="6864" xr:uid="{00000000-0005-0000-0000-0000FF1A0000}"/>
    <cellStyle name="20% - Accent4 2 3 4 2 2" xfId="6865" xr:uid="{00000000-0005-0000-0000-0000001B0000}"/>
    <cellStyle name="20% - Accent4 2 3 4 2 2 2" xfId="6866" xr:uid="{00000000-0005-0000-0000-0000011B0000}"/>
    <cellStyle name="20% - Accent4 2 3 4 2 2 2 2" xfId="6867" xr:uid="{00000000-0005-0000-0000-0000021B0000}"/>
    <cellStyle name="20% - Accent4 2 3 4 2 2 2 2 2" xfId="6868" xr:uid="{00000000-0005-0000-0000-0000031B0000}"/>
    <cellStyle name="20% - Accent4 2 3 4 2 2 2 3" xfId="6869" xr:uid="{00000000-0005-0000-0000-0000041B0000}"/>
    <cellStyle name="20% - Accent4 2 3 4 2 2 3" xfId="6870" xr:uid="{00000000-0005-0000-0000-0000051B0000}"/>
    <cellStyle name="20% - Accent4 2 3 4 2 2 3 2" xfId="6871" xr:uid="{00000000-0005-0000-0000-0000061B0000}"/>
    <cellStyle name="20% - Accent4 2 3 4 2 2 4" xfId="6872" xr:uid="{00000000-0005-0000-0000-0000071B0000}"/>
    <cellStyle name="20% - Accent4 2 3 4 2 3" xfId="6873" xr:uid="{00000000-0005-0000-0000-0000081B0000}"/>
    <cellStyle name="20% - Accent4 2 3 4 2 3 2" xfId="6874" xr:uid="{00000000-0005-0000-0000-0000091B0000}"/>
    <cellStyle name="20% - Accent4 2 3 4 2 3 2 2" xfId="6875" xr:uid="{00000000-0005-0000-0000-00000A1B0000}"/>
    <cellStyle name="20% - Accent4 2 3 4 2 3 3" xfId="6876" xr:uid="{00000000-0005-0000-0000-00000B1B0000}"/>
    <cellStyle name="20% - Accent4 2 3 4 2 4" xfId="6877" xr:uid="{00000000-0005-0000-0000-00000C1B0000}"/>
    <cellStyle name="20% - Accent4 2 3 4 2 4 2" xfId="6878" xr:uid="{00000000-0005-0000-0000-00000D1B0000}"/>
    <cellStyle name="20% - Accent4 2 3 4 2 5" xfId="6879" xr:uid="{00000000-0005-0000-0000-00000E1B0000}"/>
    <cellStyle name="20% - Accent4 2 3 4 3" xfId="6880" xr:uid="{00000000-0005-0000-0000-00000F1B0000}"/>
    <cellStyle name="20% - Accent4 2 3 4 3 2" xfId="6881" xr:uid="{00000000-0005-0000-0000-0000101B0000}"/>
    <cellStyle name="20% - Accent4 2 3 4 3 2 2" xfId="6882" xr:uid="{00000000-0005-0000-0000-0000111B0000}"/>
    <cellStyle name="20% - Accent4 2 3 4 3 2 2 2" xfId="6883" xr:uid="{00000000-0005-0000-0000-0000121B0000}"/>
    <cellStyle name="20% - Accent4 2 3 4 3 2 3" xfId="6884" xr:uid="{00000000-0005-0000-0000-0000131B0000}"/>
    <cellStyle name="20% - Accent4 2 3 4 3 3" xfId="6885" xr:uid="{00000000-0005-0000-0000-0000141B0000}"/>
    <cellStyle name="20% - Accent4 2 3 4 3 3 2" xfId="6886" xr:uid="{00000000-0005-0000-0000-0000151B0000}"/>
    <cellStyle name="20% - Accent4 2 3 4 3 4" xfId="6887" xr:uid="{00000000-0005-0000-0000-0000161B0000}"/>
    <cellStyle name="20% - Accent4 2 3 4 4" xfId="6888" xr:uid="{00000000-0005-0000-0000-0000171B0000}"/>
    <cellStyle name="20% - Accent4 2 3 4 4 2" xfId="6889" xr:uid="{00000000-0005-0000-0000-0000181B0000}"/>
    <cellStyle name="20% - Accent4 2 3 4 4 2 2" xfId="6890" xr:uid="{00000000-0005-0000-0000-0000191B0000}"/>
    <cellStyle name="20% - Accent4 2 3 4 4 3" xfId="6891" xr:uid="{00000000-0005-0000-0000-00001A1B0000}"/>
    <cellStyle name="20% - Accent4 2 3 4 5" xfId="6892" xr:uid="{00000000-0005-0000-0000-00001B1B0000}"/>
    <cellStyle name="20% - Accent4 2 3 4 5 2" xfId="6893" xr:uid="{00000000-0005-0000-0000-00001C1B0000}"/>
    <cellStyle name="20% - Accent4 2 3 4 6" xfId="6894" xr:uid="{00000000-0005-0000-0000-00001D1B0000}"/>
    <cellStyle name="20% - Accent4 2 3 5" xfId="6895" xr:uid="{00000000-0005-0000-0000-00001E1B0000}"/>
    <cellStyle name="20% - Accent4 2 3 5 2" xfId="6896" xr:uid="{00000000-0005-0000-0000-00001F1B0000}"/>
    <cellStyle name="20% - Accent4 2 3 5 2 2" xfId="6897" xr:uid="{00000000-0005-0000-0000-0000201B0000}"/>
    <cellStyle name="20% - Accent4 2 3 5 2 2 2" xfId="6898" xr:uid="{00000000-0005-0000-0000-0000211B0000}"/>
    <cellStyle name="20% - Accent4 2 3 5 2 2 2 2" xfId="6899" xr:uid="{00000000-0005-0000-0000-0000221B0000}"/>
    <cellStyle name="20% - Accent4 2 3 5 2 2 3" xfId="6900" xr:uid="{00000000-0005-0000-0000-0000231B0000}"/>
    <cellStyle name="20% - Accent4 2 3 5 2 3" xfId="6901" xr:uid="{00000000-0005-0000-0000-0000241B0000}"/>
    <cellStyle name="20% - Accent4 2 3 5 2 3 2" xfId="6902" xr:uid="{00000000-0005-0000-0000-0000251B0000}"/>
    <cellStyle name="20% - Accent4 2 3 5 2 4" xfId="6903" xr:uid="{00000000-0005-0000-0000-0000261B0000}"/>
    <cellStyle name="20% - Accent4 2 3 5 3" xfId="6904" xr:uid="{00000000-0005-0000-0000-0000271B0000}"/>
    <cellStyle name="20% - Accent4 2 3 5 3 2" xfId="6905" xr:uid="{00000000-0005-0000-0000-0000281B0000}"/>
    <cellStyle name="20% - Accent4 2 3 5 3 2 2" xfId="6906" xr:uid="{00000000-0005-0000-0000-0000291B0000}"/>
    <cellStyle name="20% - Accent4 2 3 5 3 3" xfId="6907" xr:uid="{00000000-0005-0000-0000-00002A1B0000}"/>
    <cellStyle name="20% - Accent4 2 3 5 4" xfId="6908" xr:uid="{00000000-0005-0000-0000-00002B1B0000}"/>
    <cellStyle name="20% - Accent4 2 3 5 4 2" xfId="6909" xr:uid="{00000000-0005-0000-0000-00002C1B0000}"/>
    <cellStyle name="20% - Accent4 2 3 5 5" xfId="6910" xr:uid="{00000000-0005-0000-0000-00002D1B0000}"/>
    <cellStyle name="20% - Accent4 2 3 6" xfId="6911" xr:uid="{00000000-0005-0000-0000-00002E1B0000}"/>
    <cellStyle name="20% - Accent4 2 3 6 2" xfId="6912" xr:uid="{00000000-0005-0000-0000-00002F1B0000}"/>
    <cellStyle name="20% - Accent4 2 3 6 2 2" xfId="6913" xr:uid="{00000000-0005-0000-0000-0000301B0000}"/>
    <cellStyle name="20% - Accent4 2 3 6 2 2 2" xfId="6914" xr:uid="{00000000-0005-0000-0000-0000311B0000}"/>
    <cellStyle name="20% - Accent4 2 3 6 2 3" xfId="6915" xr:uid="{00000000-0005-0000-0000-0000321B0000}"/>
    <cellStyle name="20% - Accent4 2 3 6 3" xfId="6916" xr:uid="{00000000-0005-0000-0000-0000331B0000}"/>
    <cellStyle name="20% - Accent4 2 3 6 3 2" xfId="6917" xr:uid="{00000000-0005-0000-0000-0000341B0000}"/>
    <cellStyle name="20% - Accent4 2 3 6 4" xfId="6918" xr:uid="{00000000-0005-0000-0000-0000351B0000}"/>
    <cellStyle name="20% - Accent4 2 3 7" xfId="6919" xr:uid="{00000000-0005-0000-0000-0000361B0000}"/>
    <cellStyle name="20% - Accent4 2 3 7 2" xfId="6920" xr:uid="{00000000-0005-0000-0000-0000371B0000}"/>
    <cellStyle name="20% - Accent4 2 3 7 2 2" xfId="6921" xr:uid="{00000000-0005-0000-0000-0000381B0000}"/>
    <cellStyle name="20% - Accent4 2 3 7 3" xfId="6922" xr:uid="{00000000-0005-0000-0000-0000391B0000}"/>
    <cellStyle name="20% - Accent4 2 3 8" xfId="6923" xr:uid="{00000000-0005-0000-0000-00003A1B0000}"/>
    <cellStyle name="20% - Accent4 2 3 8 2" xfId="6924" xr:uid="{00000000-0005-0000-0000-00003B1B0000}"/>
    <cellStyle name="20% - Accent4 2 3 9" xfId="6925" xr:uid="{00000000-0005-0000-0000-00003C1B0000}"/>
    <cellStyle name="20% - Accent4 2 4" xfId="6926" xr:uid="{00000000-0005-0000-0000-00003D1B0000}"/>
    <cellStyle name="20% - Accent4 2 4 2" xfId="6927" xr:uid="{00000000-0005-0000-0000-00003E1B0000}"/>
    <cellStyle name="20% - Accent4 2 4 2 2" xfId="6928" xr:uid="{00000000-0005-0000-0000-00003F1B0000}"/>
    <cellStyle name="20% - Accent4 2 4 2 2 2" xfId="6929" xr:uid="{00000000-0005-0000-0000-0000401B0000}"/>
    <cellStyle name="20% - Accent4 2 4 2 2 2 2" xfId="6930" xr:uid="{00000000-0005-0000-0000-0000411B0000}"/>
    <cellStyle name="20% - Accent4 2 4 2 2 2 2 2" xfId="6931" xr:uid="{00000000-0005-0000-0000-0000421B0000}"/>
    <cellStyle name="20% - Accent4 2 4 2 2 2 2 2 2" xfId="6932" xr:uid="{00000000-0005-0000-0000-0000431B0000}"/>
    <cellStyle name="20% - Accent4 2 4 2 2 2 2 2 2 2" xfId="6933" xr:uid="{00000000-0005-0000-0000-0000441B0000}"/>
    <cellStyle name="20% - Accent4 2 4 2 2 2 2 2 3" xfId="6934" xr:uid="{00000000-0005-0000-0000-0000451B0000}"/>
    <cellStyle name="20% - Accent4 2 4 2 2 2 2 3" xfId="6935" xr:uid="{00000000-0005-0000-0000-0000461B0000}"/>
    <cellStyle name="20% - Accent4 2 4 2 2 2 2 3 2" xfId="6936" xr:uid="{00000000-0005-0000-0000-0000471B0000}"/>
    <cellStyle name="20% - Accent4 2 4 2 2 2 2 4" xfId="6937" xr:uid="{00000000-0005-0000-0000-0000481B0000}"/>
    <cellStyle name="20% - Accent4 2 4 2 2 2 3" xfId="6938" xr:uid="{00000000-0005-0000-0000-0000491B0000}"/>
    <cellStyle name="20% - Accent4 2 4 2 2 2 3 2" xfId="6939" xr:uid="{00000000-0005-0000-0000-00004A1B0000}"/>
    <cellStyle name="20% - Accent4 2 4 2 2 2 3 2 2" xfId="6940" xr:uid="{00000000-0005-0000-0000-00004B1B0000}"/>
    <cellStyle name="20% - Accent4 2 4 2 2 2 3 3" xfId="6941" xr:uid="{00000000-0005-0000-0000-00004C1B0000}"/>
    <cellStyle name="20% - Accent4 2 4 2 2 2 4" xfId="6942" xr:uid="{00000000-0005-0000-0000-00004D1B0000}"/>
    <cellStyle name="20% - Accent4 2 4 2 2 2 4 2" xfId="6943" xr:uid="{00000000-0005-0000-0000-00004E1B0000}"/>
    <cellStyle name="20% - Accent4 2 4 2 2 2 5" xfId="6944" xr:uid="{00000000-0005-0000-0000-00004F1B0000}"/>
    <cellStyle name="20% - Accent4 2 4 2 2 3" xfId="6945" xr:uid="{00000000-0005-0000-0000-0000501B0000}"/>
    <cellStyle name="20% - Accent4 2 4 2 2 3 2" xfId="6946" xr:uid="{00000000-0005-0000-0000-0000511B0000}"/>
    <cellStyle name="20% - Accent4 2 4 2 2 3 2 2" xfId="6947" xr:uid="{00000000-0005-0000-0000-0000521B0000}"/>
    <cellStyle name="20% - Accent4 2 4 2 2 3 2 2 2" xfId="6948" xr:uid="{00000000-0005-0000-0000-0000531B0000}"/>
    <cellStyle name="20% - Accent4 2 4 2 2 3 2 3" xfId="6949" xr:uid="{00000000-0005-0000-0000-0000541B0000}"/>
    <cellStyle name="20% - Accent4 2 4 2 2 3 3" xfId="6950" xr:uid="{00000000-0005-0000-0000-0000551B0000}"/>
    <cellStyle name="20% - Accent4 2 4 2 2 3 3 2" xfId="6951" xr:uid="{00000000-0005-0000-0000-0000561B0000}"/>
    <cellStyle name="20% - Accent4 2 4 2 2 3 4" xfId="6952" xr:uid="{00000000-0005-0000-0000-0000571B0000}"/>
    <cellStyle name="20% - Accent4 2 4 2 2 4" xfId="6953" xr:uid="{00000000-0005-0000-0000-0000581B0000}"/>
    <cellStyle name="20% - Accent4 2 4 2 2 4 2" xfId="6954" xr:uid="{00000000-0005-0000-0000-0000591B0000}"/>
    <cellStyle name="20% - Accent4 2 4 2 2 4 2 2" xfId="6955" xr:uid="{00000000-0005-0000-0000-00005A1B0000}"/>
    <cellStyle name="20% - Accent4 2 4 2 2 4 3" xfId="6956" xr:uid="{00000000-0005-0000-0000-00005B1B0000}"/>
    <cellStyle name="20% - Accent4 2 4 2 2 5" xfId="6957" xr:uid="{00000000-0005-0000-0000-00005C1B0000}"/>
    <cellStyle name="20% - Accent4 2 4 2 2 5 2" xfId="6958" xr:uid="{00000000-0005-0000-0000-00005D1B0000}"/>
    <cellStyle name="20% - Accent4 2 4 2 2 6" xfId="6959" xr:uid="{00000000-0005-0000-0000-00005E1B0000}"/>
    <cellStyle name="20% - Accent4 2 4 2 3" xfId="6960" xr:uid="{00000000-0005-0000-0000-00005F1B0000}"/>
    <cellStyle name="20% - Accent4 2 4 2 3 2" xfId="6961" xr:uid="{00000000-0005-0000-0000-0000601B0000}"/>
    <cellStyle name="20% - Accent4 2 4 2 3 2 2" xfId="6962" xr:uid="{00000000-0005-0000-0000-0000611B0000}"/>
    <cellStyle name="20% - Accent4 2 4 2 3 2 2 2" xfId="6963" xr:uid="{00000000-0005-0000-0000-0000621B0000}"/>
    <cellStyle name="20% - Accent4 2 4 2 3 2 2 2 2" xfId="6964" xr:uid="{00000000-0005-0000-0000-0000631B0000}"/>
    <cellStyle name="20% - Accent4 2 4 2 3 2 2 3" xfId="6965" xr:uid="{00000000-0005-0000-0000-0000641B0000}"/>
    <cellStyle name="20% - Accent4 2 4 2 3 2 3" xfId="6966" xr:uid="{00000000-0005-0000-0000-0000651B0000}"/>
    <cellStyle name="20% - Accent4 2 4 2 3 2 3 2" xfId="6967" xr:uid="{00000000-0005-0000-0000-0000661B0000}"/>
    <cellStyle name="20% - Accent4 2 4 2 3 2 4" xfId="6968" xr:uid="{00000000-0005-0000-0000-0000671B0000}"/>
    <cellStyle name="20% - Accent4 2 4 2 3 3" xfId="6969" xr:uid="{00000000-0005-0000-0000-0000681B0000}"/>
    <cellStyle name="20% - Accent4 2 4 2 3 3 2" xfId="6970" xr:uid="{00000000-0005-0000-0000-0000691B0000}"/>
    <cellStyle name="20% - Accent4 2 4 2 3 3 2 2" xfId="6971" xr:uid="{00000000-0005-0000-0000-00006A1B0000}"/>
    <cellStyle name="20% - Accent4 2 4 2 3 3 3" xfId="6972" xr:uid="{00000000-0005-0000-0000-00006B1B0000}"/>
    <cellStyle name="20% - Accent4 2 4 2 3 4" xfId="6973" xr:uid="{00000000-0005-0000-0000-00006C1B0000}"/>
    <cellStyle name="20% - Accent4 2 4 2 3 4 2" xfId="6974" xr:uid="{00000000-0005-0000-0000-00006D1B0000}"/>
    <cellStyle name="20% - Accent4 2 4 2 3 5" xfId="6975" xr:uid="{00000000-0005-0000-0000-00006E1B0000}"/>
    <cellStyle name="20% - Accent4 2 4 2 4" xfId="6976" xr:uid="{00000000-0005-0000-0000-00006F1B0000}"/>
    <cellStyle name="20% - Accent4 2 4 2 4 2" xfId="6977" xr:uid="{00000000-0005-0000-0000-0000701B0000}"/>
    <cellStyle name="20% - Accent4 2 4 2 4 2 2" xfId="6978" xr:uid="{00000000-0005-0000-0000-0000711B0000}"/>
    <cellStyle name="20% - Accent4 2 4 2 4 2 2 2" xfId="6979" xr:uid="{00000000-0005-0000-0000-0000721B0000}"/>
    <cellStyle name="20% - Accent4 2 4 2 4 2 3" xfId="6980" xr:uid="{00000000-0005-0000-0000-0000731B0000}"/>
    <cellStyle name="20% - Accent4 2 4 2 4 3" xfId="6981" xr:uid="{00000000-0005-0000-0000-0000741B0000}"/>
    <cellStyle name="20% - Accent4 2 4 2 4 3 2" xfId="6982" xr:uid="{00000000-0005-0000-0000-0000751B0000}"/>
    <cellStyle name="20% - Accent4 2 4 2 4 4" xfId="6983" xr:uid="{00000000-0005-0000-0000-0000761B0000}"/>
    <cellStyle name="20% - Accent4 2 4 2 5" xfId="6984" xr:uid="{00000000-0005-0000-0000-0000771B0000}"/>
    <cellStyle name="20% - Accent4 2 4 2 5 2" xfId="6985" xr:uid="{00000000-0005-0000-0000-0000781B0000}"/>
    <cellStyle name="20% - Accent4 2 4 2 5 2 2" xfId="6986" xr:uid="{00000000-0005-0000-0000-0000791B0000}"/>
    <cellStyle name="20% - Accent4 2 4 2 5 3" xfId="6987" xr:uid="{00000000-0005-0000-0000-00007A1B0000}"/>
    <cellStyle name="20% - Accent4 2 4 2 6" xfId="6988" xr:uid="{00000000-0005-0000-0000-00007B1B0000}"/>
    <cellStyle name="20% - Accent4 2 4 2 6 2" xfId="6989" xr:uid="{00000000-0005-0000-0000-00007C1B0000}"/>
    <cellStyle name="20% - Accent4 2 4 2 7" xfId="6990" xr:uid="{00000000-0005-0000-0000-00007D1B0000}"/>
    <cellStyle name="20% - Accent4 2 4 3" xfId="6991" xr:uid="{00000000-0005-0000-0000-00007E1B0000}"/>
    <cellStyle name="20% - Accent4 2 4 3 2" xfId="6992" xr:uid="{00000000-0005-0000-0000-00007F1B0000}"/>
    <cellStyle name="20% - Accent4 2 4 3 2 2" xfId="6993" xr:uid="{00000000-0005-0000-0000-0000801B0000}"/>
    <cellStyle name="20% - Accent4 2 4 3 2 2 2" xfId="6994" xr:uid="{00000000-0005-0000-0000-0000811B0000}"/>
    <cellStyle name="20% - Accent4 2 4 3 2 2 2 2" xfId="6995" xr:uid="{00000000-0005-0000-0000-0000821B0000}"/>
    <cellStyle name="20% - Accent4 2 4 3 2 2 2 2 2" xfId="6996" xr:uid="{00000000-0005-0000-0000-0000831B0000}"/>
    <cellStyle name="20% - Accent4 2 4 3 2 2 2 3" xfId="6997" xr:uid="{00000000-0005-0000-0000-0000841B0000}"/>
    <cellStyle name="20% - Accent4 2 4 3 2 2 3" xfId="6998" xr:uid="{00000000-0005-0000-0000-0000851B0000}"/>
    <cellStyle name="20% - Accent4 2 4 3 2 2 3 2" xfId="6999" xr:uid="{00000000-0005-0000-0000-0000861B0000}"/>
    <cellStyle name="20% - Accent4 2 4 3 2 2 4" xfId="7000" xr:uid="{00000000-0005-0000-0000-0000871B0000}"/>
    <cellStyle name="20% - Accent4 2 4 3 2 3" xfId="7001" xr:uid="{00000000-0005-0000-0000-0000881B0000}"/>
    <cellStyle name="20% - Accent4 2 4 3 2 3 2" xfId="7002" xr:uid="{00000000-0005-0000-0000-0000891B0000}"/>
    <cellStyle name="20% - Accent4 2 4 3 2 3 2 2" xfId="7003" xr:uid="{00000000-0005-0000-0000-00008A1B0000}"/>
    <cellStyle name="20% - Accent4 2 4 3 2 3 3" xfId="7004" xr:uid="{00000000-0005-0000-0000-00008B1B0000}"/>
    <cellStyle name="20% - Accent4 2 4 3 2 4" xfId="7005" xr:uid="{00000000-0005-0000-0000-00008C1B0000}"/>
    <cellStyle name="20% - Accent4 2 4 3 2 4 2" xfId="7006" xr:uid="{00000000-0005-0000-0000-00008D1B0000}"/>
    <cellStyle name="20% - Accent4 2 4 3 2 5" xfId="7007" xr:uid="{00000000-0005-0000-0000-00008E1B0000}"/>
    <cellStyle name="20% - Accent4 2 4 3 3" xfId="7008" xr:uid="{00000000-0005-0000-0000-00008F1B0000}"/>
    <cellStyle name="20% - Accent4 2 4 3 3 2" xfId="7009" xr:uid="{00000000-0005-0000-0000-0000901B0000}"/>
    <cellStyle name="20% - Accent4 2 4 3 3 2 2" xfId="7010" xr:uid="{00000000-0005-0000-0000-0000911B0000}"/>
    <cellStyle name="20% - Accent4 2 4 3 3 2 2 2" xfId="7011" xr:uid="{00000000-0005-0000-0000-0000921B0000}"/>
    <cellStyle name="20% - Accent4 2 4 3 3 2 3" xfId="7012" xr:uid="{00000000-0005-0000-0000-0000931B0000}"/>
    <cellStyle name="20% - Accent4 2 4 3 3 3" xfId="7013" xr:uid="{00000000-0005-0000-0000-0000941B0000}"/>
    <cellStyle name="20% - Accent4 2 4 3 3 3 2" xfId="7014" xr:uid="{00000000-0005-0000-0000-0000951B0000}"/>
    <cellStyle name="20% - Accent4 2 4 3 3 4" xfId="7015" xr:uid="{00000000-0005-0000-0000-0000961B0000}"/>
    <cellStyle name="20% - Accent4 2 4 3 4" xfId="7016" xr:uid="{00000000-0005-0000-0000-0000971B0000}"/>
    <cellStyle name="20% - Accent4 2 4 3 4 2" xfId="7017" xr:uid="{00000000-0005-0000-0000-0000981B0000}"/>
    <cellStyle name="20% - Accent4 2 4 3 4 2 2" xfId="7018" xr:uid="{00000000-0005-0000-0000-0000991B0000}"/>
    <cellStyle name="20% - Accent4 2 4 3 4 3" xfId="7019" xr:uid="{00000000-0005-0000-0000-00009A1B0000}"/>
    <cellStyle name="20% - Accent4 2 4 3 5" xfId="7020" xr:uid="{00000000-0005-0000-0000-00009B1B0000}"/>
    <cellStyle name="20% - Accent4 2 4 3 5 2" xfId="7021" xr:uid="{00000000-0005-0000-0000-00009C1B0000}"/>
    <cellStyle name="20% - Accent4 2 4 3 6" xfId="7022" xr:uid="{00000000-0005-0000-0000-00009D1B0000}"/>
    <cellStyle name="20% - Accent4 2 4 4" xfId="7023" xr:uid="{00000000-0005-0000-0000-00009E1B0000}"/>
    <cellStyle name="20% - Accent4 2 4 4 2" xfId="7024" xr:uid="{00000000-0005-0000-0000-00009F1B0000}"/>
    <cellStyle name="20% - Accent4 2 4 4 2 2" xfId="7025" xr:uid="{00000000-0005-0000-0000-0000A01B0000}"/>
    <cellStyle name="20% - Accent4 2 4 4 2 2 2" xfId="7026" xr:uid="{00000000-0005-0000-0000-0000A11B0000}"/>
    <cellStyle name="20% - Accent4 2 4 4 2 2 2 2" xfId="7027" xr:uid="{00000000-0005-0000-0000-0000A21B0000}"/>
    <cellStyle name="20% - Accent4 2 4 4 2 2 3" xfId="7028" xr:uid="{00000000-0005-0000-0000-0000A31B0000}"/>
    <cellStyle name="20% - Accent4 2 4 4 2 3" xfId="7029" xr:uid="{00000000-0005-0000-0000-0000A41B0000}"/>
    <cellStyle name="20% - Accent4 2 4 4 2 3 2" xfId="7030" xr:uid="{00000000-0005-0000-0000-0000A51B0000}"/>
    <cellStyle name="20% - Accent4 2 4 4 2 4" xfId="7031" xr:uid="{00000000-0005-0000-0000-0000A61B0000}"/>
    <cellStyle name="20% - Accent4 2 4 4 3" xfId="7032" xr:uid="{00000000-0005-0000-0000-0000A71B0000}"/>
    <cellStyle name="20% - Accent4 2 4 4 3 2" xfId="7033" xr:uid="{00000000-0005-0000-0000-0000A81B0000}"/>
    <cellStyle name="20% - Accent4 2 4 4 3 2 2" xfId="7034" xr:uid="{00000000-0005-0000-0000-0000A91B0000}"/>
    <cellStyle name="20% - Accent4 2 4 4 3 3" xfId="7035" xr:uid="{00000000-0005-0000-0000-0000AA1B0000}"/>
    <cellStyle name="20% - Accent4 2 4 4 4" xfId="7036" xr:uid="{00000000-0005-0000-0000-0000AB1B0000}"/>
    <cellStyle name="20% - Accent4 2 4 4 4 2" xfId="7037" xr:uid="{00000000-0005-0000-0000-0000AC1B0000}"/>
    <cellStyle name="20% - Accent4 2 4 4 5" xfId="7038" xr:uid="{00000000-0005-0000-0000-0000AD1B0000}"/>
    <cellStyle name="20% - Accent4 2 4 5" xfId="7039" xr:uid="{00000000-0005-0000-0000-0000AE1B0000}"/>
    <cellStyle name="20% - Accent4 2 4 5 2" xfId="7040" xr:uid="{00000000-0005-0000-0000-0000AF1B0000}"/>
    <cellStyle name="20% - Accent4 2 4 5 2 2" xfId="7041" xr:uid="{00000000-0005-0000-0000-0000B01B0000}"/>
    <cellStyle name="20% - Accent4 2 4 5 2 2 2" xfId="7042" xr:uid="{00000000-0005-0000-0000-0000B11B0000}"/>
    <cellStyle name="20% - Accent4 2 4 5 2 3" xfId="7043" xr:uid="{00000000-0005-0000-0000-0000B21B0000}"/>
    <cellStyle name="20% - Accent4 2 4 5 3" xfId="7044" xr:uid="{00000000-0005-0000-0000-0000B31B0000}"/>
    <cellStyle name="20% - Accent4 2 4 5 3 2" xfId="7045" xr:uid="{00000000-0005-0000-0000-0000B41B0000}"/>
    <cellStyle name="20% - Accent4 2 4 5 4" xfId="7046" xr:uid="{00000000-0005-0000-0000-0000B51B0000}"/>
    <cellStyle name="20% - Accent4 2 4 6" xfId="7047" xr:uid="{00000000-0005-0000-0000-0000B61B0000}"/>
    <cellStyle name="20% - Accent4 2 4 6 2" xfId="7048" xr:uid="{00000000-0005-0000-0000-0000B71B0000}"/>
    <cellStyle name="20% - Accent4 2 4 6 2 2" xfId="7049" xr:uid="{00000000-0005-0000-0000-0000B81B0000}"/>
    <cellStyle name="20% - Accent4 2 4 6 3" xfId="7050" xr:uid="{00000000-0005-0000-0000-0000B91B0000}"/>
    <cellStyle name="20% - Accent4 2 4 7" xfId="7051" xr:uid="{00000000-0005-0000-0000-0000BA1B0000}"/>
    <cellStyle name="20% - Accent4 2 4 7 2" xfId="7052" xr:uid="{00000000-0005-0000-0000-0000BB1B0000}"/>
    <cellStyle name="20% - Accent4 2 4 8" xfId="7053" xr:uid="{00000000-0005-0000-0000-0000BC1B0000}"/>
    <cellStyle name="20% - Accent4 2 5" xfId="7054" xr:uid="{00000000-0005-0000-0000-0000BD1B0000}"/>
    <cellStyle name="20% - Accent4 2 5 2" xfId="7055" xr:uid="{00000000-0005-0000-0000-0000BE1B0000}"/>
    <cellStyle name="20% - Accent4 2 5 2 2" xfId="7056" xr:uid="{00000000-0005-0000-0000-0000BF1B0000}"/>
    <cellStyle name="20% - Accent4 2 5 2 2 2" xfId="7057" xr:uid="{00000000-0005-0000-0000-0000C01B0000}"/>
    <cellStyle name="20% - Accent4 2 5 2 2 2 2" xfId="7058" xr:uid="{00000000-0005-0000-0000-0000C11B0000}"/>
    <cellStyle name="20% - Accent4 2 5 2 2 2 2 2" xfId="7059" xr:uid="{00000000-0005-0000-0000-0000C21B0000}"/>
    <cellStyle name="20% - Accent4 2 5 2 2 2 2 2 2" xfId="7060" xr:uid="{00000000-0005-0000-0000-0000C31B0000}"/>
    <cellStyle name="20% - Accent4 2 5 2 2 2 2 3" xfId="7061" xr:uid="{00000000-0005-0000-0000-0000C41B0000}"/>
    <cellStyle name="20% - Accent4 2 5 2 2 2 3" xfId="7062" xr:uid="{00000000-0005-0000-0000-0000C51B0000}"/>
    <cellStyle name="20% - Accent4 2 5 2 2 2 3 2" xfId="7063" xr:uid="{00000000-0005-0000-0000-0000C61B0000}"/>
    <cellStyle name="20% - Accent4 2 5 2 2 2 4" xfId="7064" xr:uid="{00000000-0005-0000-0000-0000C71B0000}"/>
    <cellStyle name="20% - Accent4 2 5 2 2 3" xfId="7065" xr:uid="{00000000-0005-0000-0000-0000C81B0000}"/>
    <cellStyle name="20% - Accent4 2 5 2 2 3 2" xfId="7066" xr:uid="{00000000-0005-0000-0000-0000C91B0000}"/>
    <cellStyle name="20% - Accent4 2 5 2 2 3 2 2" xfId="7067" xr:uid="{00000000-0005-0000-0000-0000CA1B0000}"/>
    <cellStyle name="20% - Accent4 2 5 2 2 3 3" xfId="7068" xr:uid="{00000000-0005-0000-0000-0000CB1B0000}"/>
    <cellStyle name="20% - Accent4 2 5 2 2 4" xfId="7069" xr:uid="{00000000-0005-0000-0000-0000CC1B0000}"/>
    <cellStyle name="20% - Accent4 2 5 2 2 4 2" xfId="7070" xr:uid="{00000000-0005-0000-0000-0000CD1B0000}"/>
    <cellStyle name="20% - Accent4 2 5 2 2 5" xfId="7071" xr:uid="{00000000-0005-0000-0000-0000CE1B0000}"/>
    <cellStyle name="20% - Accent4 2 5 2 3" xfId="7072" xr:uid="{00000000-0005-0000-0000-0000CF1B0000}"/>
    <cellStyle name="20% - Accent4 2 5 2 3 2" xfId="7073" xr:uid="{00000000-0005-0000-0000-0000D01B0000}"/>
    <cellStyle name="20% - Accent4 2 5 2 3 2 2" xfId="7074" xr:uid="{00000000-0005-0000-0000-0000D11B0000}"/>
    <cellStyle name="20% - Accent4 2 5 2 3 2 2 2" xfId="7075" xr:uid="{00000000-0005-0000-0000-0000D21B0000}"/>
    <cellStyle name="20% - Accent4 2 5 2 3 2 3" xfId="7076" xr:uid="{00000000-0005-0000-0000-0000D31B0000}"/>
    <cellStyle name="20% - Accent4 2 5 2 3 3" xfId="7077" xr:uid="{00000000-0005-0000-0000-0000D41B0000}"/>
    <cellStyle name="20% - Accent4 2 5 2 3 3 2" xfId="7078" xr:uid="{00000000-0005-0000-0000-0000D51B0000}"/>
    <cellStyle name="20% - Accent4 2 5 2 3 4" xfId="7079" xr:uid="{00000000-0005-0000-0000-0000D61B0000}"/>
    <cellStyle name="20% - Accent4 2 5 2 4" xfId="7080" xr:uid="{00000000-0005-0000-0000-0000D71B0000}"/>
    <cellStyle name="20% - Accent4 2 5 2 4 2" xfId="7081" xr:uid="{00000000-0005-0000-0000-0000D81B0000}"/>
    <cellStyle name="20% - Accent4 2 5 2 4 2 2" xfId="7082" xr:uid="{00000000-0005-0000-0000-0000D91B0000}"/>
    <cellStyle name="20% - Accent4 2 5 2 4 3" xfId="7083" xr:uid="{00000000-0005-0000-0000-0000DA1B0000}"/>
    <cellStyle name="20% - Accent4 2 5 2 5" xfId="7084" xr:uid="{00000000-0005-0000-0000-0000DB1B0000}"/>
    <cellStyle name="20% - Accent4 2 5 2 5 2" xfId="7085" xr:uid="{00000000-0005-0000-0000-0000DC1B0000}"/>
    <cellStyle name="20% - Accent4 2 5 2 6" xfId="7086" xr:uid="{00000000-0005-0000-0000-0000DD1B0000}"/>
    <cellStyle name="20% - Accent4 2 5 3" xfId="7087" xr:uid="{00000000-0005-0000-0000-0000DE1B0000}"/>
    <cellStyle name="20% - Accent4 2 5 3 2" xfId="7088" xr:uid="{00000000-0005-0000-0000-0000DF1B0000}"/>
    <cellStyle name="20% - Accent4 2 5 3 2 2" xfId="7089" xr:uid="{00000000-0005-0000-0000-0000E01B0000}"/>
    <cellStyle name="20% - Accent4 2 5 3 2 2 2" xfId="7090" xr:uid="{00000000-0005-0000-0000-0000E11B0000}"/>
    <cellStyle name="20% - Accent4 2 5 3 2 2 2 2" xfId="7091" xr:uid="{00000000-0005-0000-0000-0000E21B0000}"/>
    <cellStyle name="20% - Accent4 2 5 3 2 2 3" xfId="7092" xr:uid="{00000000-0005-0000-0000-0000E31B0000}"/>
    <cellStyle name="20% - Accent4 2 5 3 2 3" xfId="7093" xr:uid="{00000000-0005-0000-0000-0000E41B0000}"/>
    <cellStyle name="20% - Accent4 2 5 3 2 3 2" xfId="7094" xr:uid="{00000000-0005-0000-0000-0000E51B0000}"/>
    <cellStyle name="20% - Accent4 2 5 3 2 4" xfId="7095" xr:uid="{00000000-0005-0000-0000-0000E61B0000}"/>
    <cellStyle name="20% - Accent4 2 5 3 3" xfId="7096" xr:uid="{00000000-0005-0000-0000-0000E71B0000}"/>
    <cellStyle name="20% - Accent4 2 5 3 3 2" xfId="7097" xr:uid="{00000000-0005-0000-0000-0000E81B0000}"/>
    <cellStyle name="20% - Accent4 2 5 3 3 2 2" xfId="7098" xr:uid="{00000000-0005-0000-0000-0000E91B0000}"/>
    <cellStyle name="20% - Accent4 2 5 3 3 3" xfId="7099" xr:uid="{00000000-0005-0000-0000-0000EA1B0000}"/>
    <cellStyle name="20% - Accent4 2 5 3 4" xfId="7100" xr:uid="{00000000-0005-0000-0000-0000EB1B0000}"/>
    <cellStyle name="20% - Accent4 2 5 3 4 2" xfId="7101" xr:uid="{00000000-0005-0000-0000-0000EC1B0000}"/>
    <cellStyle name="20% - Accent4 2 5 3 5" xfId="7102" xr:uid="{00000000-0005-0000-0000-0000ED1B0000}"/>
    <cellStyle name="20% - Accent4 2 5 4" xfId="7103" xr:uid="{00000000-0005-0000-0000-0000EE1B0000}"/>
    <cellStyle name="20% - Accent4 2 5 4 2" xfId="7104" xr:uid="{00000000-0005-0000-0000-0000EF1B0000}"/>
    <cellStyle name="20% - Accent4 2 5 4 2 2" xfId="7105" xr:uid="{00000000-0005-0000-0000-0000F01B0000}"/>
    <cellStyle name="20% - Accent4 2 5 4 2 2 2" xfId="7106" xr:uid="{00000000-0005-0000-0000-0000F11B0000}"/>
    <cellStyle name="20% - Accent4 2 5 4 2 3" xfId="7107" xr:uid="{00000000-0005-0000-0000-0000F21B0000}"/>
    <cellStyle name="20% - Accent4 2 5 4 3" xfId="7108" xr:uid="{00000000-0005-0000-0000-0000F31B0000}"/>
    <cellStyle name="20% - Accent4 2 5 4 3 2" xfId="7109" xr:uid="{00000000-0005-0000-0000-0000F41B0000}"/>
    <cellStyle name="20% - Accent4 2 5 4 4" xfId="7110" xr:uid="{00000000-0005-0000-0000-0000F51B0000}"/>
    <cellStyle name="20% - Accent4 2 5 5" xfId="7111" xr:uid="{00000000-0005-0000-0000-0000F61B0000}"/>
    <cellStyle name="20% - Accent4 2 5 5 2" xfId="7112" xr:uid="{00000000-0005-0000-0000-0000F71B0000}"/>
    <cellStyle name="20% - Accent4 2 5 5 2 2" xfId="7113" xr:uid="{00000000-0005-0000-0000-0000F81B0000}"/>
    <cellStyle name="20% - Accent4 2 5 5 3" xfId="7114" xr:uid="{00000000-0005-0000-0000-0000F91B0000}"/>
    <cellStyle name="20% - Accent4 2 5 6" xfId="7115" xr:uid="{00000000-0005-0000-0000-0000FA1B0000}"/>
    <cellStyle name="20% - Accent4 2 5 6 2" xfId="7116" xr:uid="{00000000-0005-0000-0000-0000FB1B0000}"/>
    <cellStyle name="20% - Accent4 2 5 7" xfId="7117" xr:uid="{00000000-0005-0000-0000-0000FC1B0000}"/>
    <cellStyle name="20% - Accent4 2 6" xfId="7118" xr:uid="{00000000-0005-0000-0000-0000FD1B0000}"/>
    <cellStyle name="20% - Accent4 2 6 2" xfId="7119" xr:uid="{00000000-0005-0000-0000-0000FE1B0000}"/>
    <cellStyle name="20% - Accent4 2 6 2 2" xfId="7120" xr:uid="{00000000-0005-0000-0000-0000FF1B0000}"/>
    <cellStyle name="20% - Accent4 2 6 2 2 2" xfId="7121" xr:uid="{00000000-0005-0000-0000-0000001C0000}"/>
    <cellStyle name="20% - Accent4 2 6 2 2 2 2" xfId="7122" xr:uid="{00000000-0005-0000-0000-0000011C0000}"/>
    <cellStyle name="20% - Accent4 2 6 2 2 2 2 2" xfId="7123" xr:uid="{00000000-0005-0000-0000-0000021C0000}"/>
    <cellStyle name="20% - Accent4 2 6 2 2 2 3" xfId="7124" xr:uid="{00000000-0005-0000-0000-0000031C0000}"/>
    <cellStyle name="20% - Accent4 2 6 2 2 3" xfId="7125" xr:uid="{00000000-0005-0000-0000-0000041C0000}"/>
    <cellStyle name="20% - Accent4 2 6 2 2 3 2" xfId="7126" xr:uid="{00000000-0005-0000-0000-0000051C0000}"/>
    <cellStyle name="20% - Accent4 2 6 2 2 4" xfId="7127" xr:uid="{00000000-0005-0000-0000-0000061C0000}"/>
    <cellStyle name="20% - Accent4 2 6 2 3" xfId="7128" xr:uid="{00000000-0005-0000-0000-0000071C0000}"/>
    <cellStyle name="20% - Accent4 2 6 2 3 2" xfId="7129" xr:uid="{00000000-0005-0000-0000-0000081C0000}"/>
    <cellStyle name="20% - Accent4 2 6 2 3 2 2" xfId="7130" xr:uid="{00000000-0005-0000-0000-0000091C0000}"/>
    <cellStyle name="20% - Accent4 2 6 2 3 3" xfId="7131" xr:uid="{00000000-0005-0000-0000-00000A1C0000}"/>
    <cellStyle name="20% - Accent4 2 6 2 4" xfId="7132" xr:uid="{00000000-0005-0000-0000-00000B1C0000}"/>
    <cellStyle name="20% - Accent4 2 6 2 4 2" xfId="7133" xr:uid="{00000000-0005-0000-0000-00000C1C0000}"/>
    <cellStyle name="20% - Accent4 2 6 2 5" xfId="7134" xr:uid="{00000000-0005-0000-0000-00000D1C0000}"/>
    <cellStyle name="20% - Accent4 2 6 3" xfId="7135" xr:uid="{00000000-0005-0000-0000-00000E1C0000}"/>
    <cellStyle name="20% - Accent4 2 6 3 2" xfId="7136" xr:uid="{00000000-0005-0000-0000-00000F1C0000}"/>
    <cellStyle name="20% - Accent4 2 6 3 2 2" xfId="7137" xr:uid="{00000000-0005-0000-0000-0000101C0000}"/>
    <cellStyle name="20% - Accent4 2 6 3 2 2 2" xfId="7138" xr:uid="{00000000-0005-0000-0000-0000111C0000}"/>
    <cellStyle name="20% - Accent4 2 6 3 2 3" xfId="7139" xr:uid="{00000000-0005-0000-0000-0000121C0000}"/>
    <cellStyle name="20% - Accent4 2 6 3 3" xfId="7140" xr:uid="{00000000-0005-0000-0000-0000131C0000}"/>
    <cellStyle name="20% - Accent4 2 6 3 3 2" xfId="7141" xr:uid="{00000000-0005-0000-0000-0000141C0000}"/>
    <cellStyle name="20% - Accent4 2 6 3 4" xfId="7142" xr:uid="{00000000-0005-0000-0000-0000151C0000}"/>
    <cellStyle name="20% - Accent4 2 6 4" xfId="7143" xr:uid="{00000000-0005-0000-0000-0000161C0000}"/>
    <cellStyle name="20% - Accent4 2 6 4 2" xfId="7144" xr:uid="{00000000-0005-0000-0000-0000171C0000}"/>
    <cellStyle name="20% - Accent4 2 6 4 2 2" xfId="7145" xr:uid="{00000000-0005-0000-0000-0000181C0000}"/>
    <cellStyle name="20% - Accent4 2 6 4 3" xfId="7146" xr:uid="{00000000-0005-0000-0000-0000191C0000}"/>
    <cellStyle name="20% - Accent4 2 6 5" xfId="7147" xr:uid="{00000000-0005-0000-0000-00001A1C0000}"/>
    <cellStyle name="20% - Accent4 2 6 5 2" xfId="7148" xr:uid="{00000000-0005-0000-0000-00001B1C0000}"/>
    <cellStyle name="20% - Accent4 2 6 6" xfId="7149" xr:uid="{00000000-0005-0000-0000-00001C1C0000}"/>
    <cellStyle name="20% - Accent4 2 7" xfId="7150" xr:uid="{00000000-0005-0000-0000-00001D1C0000}"/>
    <cellStyle name="20% - Accent4 2 7 2" xfId="7151" xr:uid="{00000000-0005-0000-0000-00001E1C0000}"/>
    <cellStyle name="20% - Accent4 2 7 2 2" xfId="7152" xr:uid="{00000000-0005-0000-0000-00001F1C0000}"/>
    <cellStyle name="20% - Accent4 2 7 2 2 2" xfId="7153" xr:uid="{00000000-0005-0000-0000-0000201C0000}"/>
    <cellStyle name="20% - Accent4 2 7 2 2 2 2" xfId="7154" xr:uid="{00000000-0005-0000-0000-0000211C0000}"/>
    <cellStyle name="20% - Accent4 2 7 2 2 3" xfId="7155" xr:uid="{00000000-0005-0000-0000-0000221C0000}"/>
    <cellStyle name="20% - Accent4 2 7 2 3" xfId="7156" xr:uid="{00000000-0005-0000-0000-0000231C0000}"/>
    <cellStyle name="20% - Accent4 2 7 2 3 2" xfId="7157" xr:uid="{00000000-0005-0000-0000-0000241C0000}"/>
    <cellStyle name="20% - Accent4 2 7 2 4" xfId="7158" xr:uid="{00000000-0005-0000-0000-0000251C0000}"/>
    <cellStyle name="20% - Accent4 2 7 3" xfId="7159" xr:uid="{00000000-0005-0000-0000-0000261C0000}"/>
    <cellStyle name="20% - Accent4 2 7 3 2" xfId="7160" xr:uid="{00000000-0005-0000-0000-0000271C0000}"/>
    <cellStyle name="20% - Accent4 2 7 3 2 2" xfId="7161" xr:uid="{00000000-0005-0000-0000-0000281C0000}"/>
    <cellStyle name="20% - Accent4 2 7 3 3" xfId="7162" xr:uid="{00000000-0005-0000-0000-0000291C0000}"/>
    <cellStyle name="20% - Accent4 2 7 4" xfId="7163" xr:uid="{00000000-0005-0000-0000-00002A1C0000}"/>
    <cellStyle name="20% - Accent4 2 7 4 2" xfId="7164" xr:uid="{00000000-0005-0000-0000-00002B1C0000}"/>
    <cellStyle name="20% - Accent4 2 7 5" xfId="7165" xr:uid="{00000000-0005-0000-0000-00002C1C0000}"/>
    <cellStyle name="20% - Accent4 2 8" xfId="7166" xr:uid="{00000000-0005-0000-0000-00002D1C0000}"/>
    <cellStyle name="20% - Accent4 2 8 2" xfId="7167" xr:uid="{00000000-0005-0000-0000-00002E1C0000}"/>
    <cellStyle name="20% - Accent4 2 8 2 2" xfId="7168" xr:uid="{00000000-0005-0000-0000-00002F1C0000}"/>
    <cellStyle name="20% - Accent4 2 8 2 2 2" xfId="7169" xr:uid="{00000000-0005-0000-0000-0000301C0000}"/>
    <cellStyle name="20% - Accent4 2 8 2 3" xfId="7170" xr:uid="{00000000-0005-0000-0000-0000311C0000}"/>
    <cellStyle name="20% - Accent4 2 8 3" xfId="7171" xr:uid="{00000000-0005-0000-0000-0000321C0000}"/>
    <cellStyle name="20% - Accent4 2 8 3 2" xfId="7172" xr:uid="{00000000-0005-0000-0000-0000331C0000}"/>
    <cellStyle name="20% - Accent4 2 8 4" xfId="7173" xr:uid="{00000000-0005-0000-0000-0000341C0000}"/>
    <cellStyle name="20% - Accent4 2 9" xfId="7174" xr:uid="{00000000-0005-0000-0000-0000351C0000}"/>
    <cellStyle name="20% - Accent4 2 9 2" xfId="7175" xr:uid="{00000000-0005-0000-0000-0000361C0000}"/>
    <cellStyle name="20% - Accent4 2 9 2 2" xfId="7176" xr:uid="{00000000-0005-0000-0000-0000371C0000}"/>
    <cellStyle name="20% - Accent4 2 9 3" xfId="7177" xr:uid="{00000000-0005-0000-0000-0000381C0000}"/>
    <cellStyle name="20% - Accent4 3" xfId="7178" xr:uid="{00000000-0005-0000-0000-0000391C0000}"/>
    <cellStyle name="20% - Accent4 3 10" xfId="7179" xr:uid="{00000000-0005-0000-0000-00003A1C0000}"/>
    <cellStyle name="20% - Accent4 3 2" xfId="7180" xr:uid="{00000000-0005-0000-0000-00003B1C0000}"/>
    <cellStyle name="20% - Accent4 3 2 2" xfId="7181" xr:uid="{00000000-0005-0000-0000-00003C1C0000}"/>
    <cellStyle name="20% - Accent4 3 2 2 2" xfId="7182" xr:uid="{00000000-0005-0000-0000-00003D1C0000}"/>
    <cellStyle name="20% - Accent4 3 2 2 2 2" xfId="7183" xr:uid="{00000000-0005-0000-0000-00003E1C0000}"/>
    <cellStyle name="20% - Accent4 3 2 2 2 2 2" xfId="7184" xr:uid="{00000000-0005-0000-0000-00003F1C0000}"/>
    <cellStyle name="20% - Accent4 3 2 2 2 2 2 2" xfId="7185" xr:uid="{00000000-0005-0000-0000-0000401C0000}"/>
    <cellStyle name="20% - Accent4 3 2 2 2 2 2 2 2" xfId="7186" xr:uid="{00000000-0005-0000-0000-0000411C0000}"/>
    <cellStyle name="20% - Accent4 3 2 2 2 2 2 2 2 2" xfId="7187" xr:uid="{00000000-0005-0000-0000-0000421C0000}"/>
    <cellStyle name="20% - Accent4 3 2 2 2 2 2 2 2 2 2" xfId="7188" xr:uid="{00000000-0005-0000-0000-0000431C0000}"/>
    <cellStyle name="20% - Accent4 3 2 2 2 2 2 2 2 3" xfId="7189" xr:uid="{00000000-0005-0000-0000-0000441C0000}"/>
    <cellStyle name="20% - Accent4 3 2 2 2 2 2 2 3" xfId="7190" xr:uid="{00000000-0005-0000-0000-0000451C0000}"/>
    <cellStyle name="20% - Accent4 3 2 2 2 2 2 2 3 2" xfId="7191" xr:uid="{00000000-0005-0000-0000-0000461C0000}"/>
    <cellStyle name="20% - Accent4 3 2 2 2 2 2 2 4" xfId="7192" xr:uid="{00000000-0005-0000-0000-0000471C0000}"/>
    <cellStyle name="20% - Accent4 3 2 2 2 2 2 3" xfId="7193" xr:uid="{00000000-0005-0000-0000-0000481C0000}"/>
    <cellStyle name="20% - Accent4 3 2 2 2 2 2 3 2" xfId="7194" xr:uid="{00000000-0005-0000-0000-0000491C0000}"/>
    <cellStyle name="20% - Accent4 3 2 2 2 2 2 3 2 2" xfId="7195" xr:uid="{00000000-0005-0000-0000-00004A1C0000}"/>
    <cellStyle name="20% - Accent4 3 2 2 2 2 2 3 3" xfId="7196" xr:uid="{00000000-0005-0000-0000-00004B1C0000}"/>
    <cellStyle name="20% - Accent4 3 2 2 2 2 2 4" xfId="7197" xr:uid="{00000000-0005-0000-0000-00004C1C0000}"/>
    <cellStyle name="20% - Accent4 3 2 2 2 2 2 4 2" xfId="7198" xr:uid="{00000000-0005-0000-0000-00004D1C0000}"/>
    <cellStyle name="20% - Accent4 3 2 2 2 2 2 5" xfId="7199" xr:uid="{00000000-0005-0000-0000-00004E1C0000}"/>
    <cellStyle name="20% - Accent4 3 2 2 2 2 3" xfId="7200" xr:uid="{00000000-0005-0000-0000-00004F1C0000}"/>
    <cellStyle name="20% - Accent4 3 2 2 2 2 3 2" xfId="7201" xr:uid="{00000000-0005-0000-0000-0000501C0000}"/>
    <cellStyle name="20% - Accent4 3 2 2 2 2 3 2 2" xfId="7202" xr:uid="{00000000-0005-0000-0000-0000511C0000}"/>
    <cellStyle name="20% - Accent4 3 2 2 2 2 3 2 2 2" xfId="7203" xr:uid="{00000000-0005-0000-0000-0000521C0000}"/>
    <cellStyle name="20% - Accent4 3 2 2 2 2 3 2 3" xfId="7204" xr:uid="{00000000-0005-0000-0000-0000531C0000}"/>
    <cellStyle name="20% - Accent4 3 2 2 2 2 3 3" xfId="7205" xr:uid="{00000000-0005-0000-0000-0000541C0000}"/>
    <cellStyle name="20% - Accent4 3 2 2 2 2 3 3 2" xfId="7206" xr:uid="{00000000-0005-0000-0000-0000551C0000}"/>
    <cellStyle name="20% - Accent4 3 2 2 2 2 3 4" xfId="7207" xr:uid="{00000000-0005-0000-0000-0000561C0000}"/>
    <cellStyle name="20% - Accent4 3 2 2 2 2 4" xfId="7208" xr:uid="{00000000-0005-0000-0000-0000571C0000}"/>
    <cellStyle name="20% - Accent4 3 2 2 2 2 4 2" xfId="7209" xr:uid="{00000000-0005-0000-0000-0000581C0000}"/>
    <cellStyle name="20% - Accent4 3 2 2 2 2 4 2 2" xfId="7210" xr:uid="{00000000-0005-0000-0000-0000591C0000}"/>
    <cellStyle name="20% - Accent4 3 2 2 2 2 4 3" xfId="7211" xr:uid="{00000000-0005-0000-0000-00005A1C0000}"/>
    <cellStyle name="20% - Accent4 3 2 2 2 2 5" xfId="7212" xr:uid="{00000000-0005-0000-0000-00005B1C0000}"/>
    <cellStyle name="20% - Accent4 3 2 2 2 2 5 2" xfId="7213" xr:uid="{00000000-0005-0000-0000-00005C1C0000}"/>
    <cellStyle name="20% - Accent4 3 2 2 2 2 6" xfId="7214" xr:uid="{00000000-0005-0000-0000-00005D1C0000}"/>
    <cellStyle name="20% - Accent4 3 2 2 2 3" xfId="7215" xr:uid="{00000000-0005-0000-0000-00005E1C0000}"/>
    <cellStyle name="20% - Accent4 3 2 2 2 3 2" xfId="7216" xr:uid="{00000000-0005-0000-0000-00005F1C0000}"/>
    <cellStyle name="20% - Accent4 3 2 2 2 3 2 2" xfId="7217" xr:uid="{00000000-0005-0000-0000-0000601C0000}"/>
    <cellStyle name="20% - Accent4 3 2 2 2 3 2 2 2" xfId="7218" xr:uid="{00000000-0005-0000-0000-0000611C0000}"/>
    <cellStyle name="20% - Accent4 3 2 2 2 3 2 2 2 2" xfId="7219" xr:uid="{00000000-0005-0000-0000-0000621C0000}"/>
    <cellStyle name="20% - Accent4 3 2 2 2 3 2 2 3" xfId="7220" xr:uid="{00000000-0005-0000-0000-0000631C0000}"/>
    <cellStyle name="20% - Accent4 3 2 2 2 3 2 3" xfId="7221" xr:uid="{00000000-0005-0000-0000-0000641C0000}"/>
    <cellStyle name="20% - Accent4 3 2 2 2 3 2 3 2" xfId="7222" xr:uid="{00000000-0005-0000-0000-0000651C0000}"/>
    <cellStyle name="20% - Accent4 3 2 2 2 3 2 4" xfId="7223" xr:uid="{00000000-0005-0000-0000-0000661C0000}"/>
    <cellStyle name="20% - Accent4 3 2 2 2 3 3" xfId="7224" xr:uid="{00000000-0005-0000-0000-0000671C0000}"/>
    <cellStyle name="20% - Accent4 3 2 2 2 3 3 2" xfId="7225" xr:uid="{00000000-0005-0000-0000-0000681C0000}"/>
    <cellStyle name="20% - Accent4 3 2 2 2 3 3 2 2" xfId="7226" xr:uid="{00000000-0005-0000-0000-0000691C0000}"/>
    <cellStyle name="20% - Accent4 3 2 2 2 3 3 3" xfId="7227" xr:uid="{00000000-0005-0000-0000-00006A1C0000}"/>
    <cellStyle name="20% - Accent4 3 2 2 2 3 4" xfId="7228" xr:uid="{00000000-0005-0000-0000-00006B1C0000}"/>
    <cellStyle name="20% - Accent4 3 2 2 2 3 4 2" xfId="7229" xr:uid="{00000000-0005-0000-0000-00006C1C0000}"/>
    <cellStyle name="20% - Accent4 3 2 2 2 3 5" xfId="7230" xr:uid="{00000000-0005-0000-0000-00006D1C0000}"/>
    <cellStyle name="20% - Accent4 3 2 2 2 4" xfId="7231" xr:uid="{00000000-0005-0000-0000-00006E1C0000}"/>
    <cellStyle name="20% - Accent4 3 2 2 2 4 2" xfId="7232" xr:uid="{00000000-0005-0000-0000-00006F1C0000}"/>
    <cellStyle name="20% - Accent4 3 2 2 2 4 2 2" xfId="7233" xr:uid="{00000000-0005-0000-0000-0000701C0000}"/>
    <cellStyle name="20% - Accent4 3 2 2 2 4 2 2 2" xfId="7234" xr:uid="{00000000-0005-0000-0000-0000711C0000}"/>
    <cellStyle name="20% - Accent4 3 2 2 2 4 2 3" xfId="7235" xr:uid="{00000000-0005-0000-0000-0000721C0000}"/>
    <cellStyle name="20% - Accent4 3 2 2 2 4 3" xfId="7236" xr:uid="{00000000-0005-0000-0000-0000731C0000}"/>
    <cellStyle name="20% - Accent4 3 2 2 2 4 3 2" xfId="7237" xr:uid="{00000000-0005-0000-0000-0000741C0000}"/>
    <cellStyle name="20% - Accent4 3 2 2 2 4 4" xfId="7238" xr:uid="{00000000-0005-0000-0000-0000751C0000}"/>
    <cellStyle name="20% - Accent4 3 2 2 2 5" xfId="7239" xr:uid="{00000000-0005-0000-0000-0000761C0000}"/>
    <cellStyle name="20% - Accent4 3 2 2 2 5 2" xfId="7240" xr:uid="{00000000-0005-0000-0000-0000771C0000}"/>
    <cellStyle name="20% - Accent4 3 2 2 2 5 2 2" xfId="7241" xr:uid="{00000000-0005-0000-0000-0000781C0000}"/>
    <cellStyle name="20% - Accent4 3 2 2 2 5 3" xfId="7242" xr:uid="{00000000-0005-0000-0000-0000791C0000}"/>
    <cellStyle name="20% - Accent4 3 2 2 2 6" xfId="7243" xr:uid="{00000000-0005-0000-0000-00007A1C0000}"/>
    <cellStyle name="20% - Accent4 3 2 2 2 6 2" xfId="7244" xr:uid="{00000000-0005-0000-0000-00007B1C0000}"/>
    <cellStyle name="20% - Accent4 3 2 2 2 7" xfId="7245" xr:uid="{00000000-0005-0000-0000-00007C1C0000}"/>
    <cellStyle name="20% - Accent4 3 2 2 3" xfId="7246" xr:uid="{00000000-0005-0000-0000-00007D1C0000}"/>
    <cellStyle name="20% - Accent4 3 2 2 3 2" xfId="7247" xr:uid="{00000000-0005-0000-0000-00007E1C0000}"/>
    <cellStyle name="20% - Accent4 3 2 2 3 2 2" xfId="7248" xr:uid="{00000000-0005-0000-0000-00007F1C0000}"/>
    <cellStyle name="20% - Accent4 3 2 2 3 2 2 2" xfId="7249" xr:uid="{00000000-0005-0000-0000-0000801C0000}"/>
    <cellStyle name="20% - Accent4 3 2 2 3 2 2 2 2" xfId="7250" xr:uid="{00000000-0005-0000-0000-0000811C0000}"/>
    <cellStyle name="20% - Accent4 3 2 2 3 2 2 2 2 2" xfId="7251" xr:uid="{00000000-0005-0000-0000-0000821C0000}"/>
    <cellStyle name="20% - Accent4 3 2 2 3 2 2 2 3" xfId="7252" xr:uid="{00000000-0005-0000-0000-0000831C0000}"/>
    <cellStyle name="20% - Accent4 3 2 2 3 2 2 3" xfId="7253" xr:uid="{00000000-0005-0000-0000-0000841C0000}"/>
    <cellStyle name="20% - Accent4 3 2 2 3 2 2 3 2" xfId="7254" xr:uid="{00000000-0005-0000-0000-0000851C0000}"/>
    <cellStyle name="20% - Accent4 3 2 2 3 2 2 4" xfId="7255" xr:uid="{00000000-0005-0000-0000-0000861C0000}"/>
    <cellStyle name="20% - Accent4 3 2 2 3 2 3" xfId="7256" xr:uid="{00000000-0005-0000-0000-0000871C0000}"/>
    <cellStyle name="20% - Accent4 3 2 2 3 2 3 2" xfId="7257" xr:uid="{00000000-0005-0000-0000-0000881C0000}"/>
    <cellStyle name="20% - Accent4 3 2 2 3 2 3 2 2" xfId="7258" xr:uid="{00000000-0005-0000-0000-0000891C0000}"/>
    <cellStyle name="20% - Accent4 3 2 2 3 2 3 3" xfId="7259" xr:uid="{00000000-0005-0000-0000-00008A1C0000}"/>
    <cellStyle name="20% - Accent4 3 2 2 3 2 4" xfId="7260" xr:uid="{00000000-0005-0000-0000-00008B1C0000}"/>
    <cellStyle name="20% - Accent4 3 2 2 3 2 4 2" xfId="7261" xr:uid="{00000000-0005-0000-0000-00008C1C0000}"/>
    <cellStyle name="20% - Accent4 3 2 2 3 2 5" xfId="7262" xr:uid="{00000000-0005-0000-0000-00008D1C0000}"/>
    <cellStyle name="20% - Accent4 3 2 2 3 3" xfId="7263" xr:uid="{00000000-0005-0000-0000-00008E1C0000}"/>
    <cellStyle name="20% - Accent4 3 2 2 3 3 2" xfId="7264" xr:uid="{00000000-0005-0000-0000-00008F1C0000}"/>
    <cellStyle name="20% - Accent4 3 2 2 3 3 2 2" xfId="7265" xr:uid="{00000000-0005-0000-0000-0000901C0000}"/>
    <cellStyle name="20% - Accent4 3 2 2 3 3 2 2 2" xfId="7266" xr:uid="{00000000-0005-0000-0000-0000911C0000}"/>
    <cellStyle name="20% - Accent4 3 2 2 3 3 2 3" xfId="7267" xr:uid="{00000000-0005-0000-0000-0000921C0000}"/>
    <cellStyle name="20% - Accent4 3 2 2 3 3 3" xfId="7268" xr:uid="{00000000-0005-0000-0000-0000931C0000}"/>
    <cellStyle name="20% - Accent4 3 2 2 3 3 3 2" xfId="7269" xr:uid="{00000000-0005-0000-0000-0000941C0000}"/>
    <cellStyle name="20% - Accent4 3 2 2 3 3 4" xfId="7270" xr:uid="{00000000-0005-0000-0000-0000951C0000}"/>
    <cellStyle name="20% - Accent4 3 2 2 3 4" xfId="7271" xr:uid="{00000000-0005-0000-0000-0000961C0000}"/>
    <cellStyle name="20% - Accent4 3 2 2 3 4 2" xfId="7272" xr:uid="{00000000-0005-0000-0000-0000971C0000}"/>
    <cellStyle name="20% - Accent4 3 2 2 3 4 2 2" xfId="7273" xr:uid="{00000000-0005-0000-0000-0000981C0000}"/>
    <cellStyle name="20% - Accent4 3 2 2 3 4 3" xfId="7274" xr:uid="{00000000-0005-0000-0000-0000991C0000}"/>
    <cellStyle name="20% - Accent4 3 2 2 3 5" xfId="7275" xr:uid="{00000000-0005-0000-0000-00009A1C0000}"/>
    <cellStyle name="20% - Accent4 3 2 2 3 5 2" xfId="7276" xr:uid="{00000000-0005-0000-0000-00009B1C0000}"/>
    <cellStyle name="20% - Accent4 3 2 2 3 6" xfId="7277" xr:uid="{00000000-0005-0000-0000-00009C1C0000}"/>
    <cellStyle name="20% - Accent4 3 2 2 4" xfId="7278" xr:uid="{00000000-0005-0000-0000-00009D1C0000}"/>
    <cellStyle name="20% - Accent4 3 2 2 4 2" xfId="7279" xr:uid="{00000000-0005-0000-0000-00009E1C0000}"/>
    <cellStyle name="20% - Accent4 3 2 2 4 2 2" xfId="7280" xr:uid="{00000000-0005-0000-0000-00009F1C0000}"/>
    <cellStyle name="20% - Accent4 3 2 2 4 2 2 2" xfId="7281" xr:uid="{00000000-0005-0000-0000-0000A01C0000}"/>
    <cellStyle name="20% - Accent4 3 2 2 4 2 2 2 2" xfId="7282" xr:uid="{00000000-0005-0000-0000-0000A11C0000}"/>
    <cellStyle name="20% - Accent4 3 2 2 4 2 2 3" xfId="7283" xr:uid="{00000000-0005-0000-0000-0000A21C0000}"/>
    <cellStyle name="20% - Accent4 3 2 2 4 2 3" xfId="7284" xr:uid="{00000000-0005-0000-0000-0000A31C0000}"/>
    <cellStyle name="20% - Accent4 3 2 2 4 2 3 2" xfId="7285" xr:uid="{00000000-0005-0000-0000-0000A41C0000}"/>
    <cellStyle name="20% - Accent4 3 2 2 4 2 4" xfId="7286" xr:uid="{00000000-0005-0000-0000-0000A51C0000}"/>
    <cellStyle name="20% - Accent4 3 2 2 4 3" xfId="7287" xr:uid="{00000000-0005-0000-0000-0000A61C0000}"/>
    <cellStyle name="20% - Accent4 3 2 2 4 3 2" xfId="7288" xr:uid="{00000000-0005-0000-0000-0000A71C0000}"/>
    <cellStyle name="20% - Accent4 3 2 2 4 3 2 2" xfId="7289" xr:uid="{00000000-0005-0000-0000-0000A81C0000}"/>
    <cellStyle name="20% - Accent4 3 2 2 4 3 3" xfId="7290" xr:uid="{00000000-0005-0000-0000-0000A91C0000}"/>
    <cellStyle name="20% - Accent4 3 2 2 4 4" xfId="7291" xr:uid="{00000000-0005-0000-0000-0000AA1C0000}"/>
    <cellStyle name="20% - Accent4 3 2 2 4 4 2" xfId="7292" xr:uid="{00000000-0005-0000-0000-0000AB1C0000}"/>
    <cellStyle name="20% - Accent4 3 2 2 4 5" xfId="7293" xr:uid="{00000000-0005-0000-0000-0000AC1C0000}"/>
    <cellStyle name="20% - Accent4 3 2 2 5" xfId="7294" xr:uid="{00000000-0005-0000-0000-0000AD1C0000}"/>
    <cellStyle name="20% - Accent4 3 2 2 5 2" xfId="7295" xr:uid="{00000000-0005-0000-0000-0000AE1C0000}"/>
    <cellStyle name="20% - Accent4 3 2 2 5 2 2" xfId="7296" xr:uid="{00000000-0005-0000-0000-0000AF1C0000}"/>
    <cellStyle name="20% - Accent4 3 2 2 5 2 2 2" xfId="7297" xr:uid="{00000000-0005-0000-0000-0000B01C0000}"/>
    <cellStyle name="20% - Accent4 3 2 2 5 2 3" xfId="7298" xr:uid="{00000000-0005-0000-0000-0000B11C0000}"/>
    <cellStyle name="20% - Accent4 3 2 2 5 3" xfId="7299" xr:uid="{00000000-0005-0000-0000-0000B21C0000}"/>
    <cellStyle name="20% - Accent4 3 2 2 5 3 2" xfId="7300" xr:uid="{00000000-0005-0000-0000-0000B31C0000}"/>
    <cellStyle name="20% - Accent4 3 2 2 5 4" xfId="7301" xr:uid="{00000000-0005-0000-0000-0000B41C0000}"/>
    <cellStyle name="20% - Accent4 3 2 2 6" xfId="7302" xr:uid="{00000000-0005-0000-0000-0000B51C0000}"/>
    <cellStyle name="20% - Accent4 3 2 2 6 2" xfId="7303" xr:uid="{00000000-0005-0000-0000-0000B61C0000}"/>
    <cellStyle name="20% - Accent4 3 2 2 6 2 2" xfId="7304" xr:uid="{00000000-0005-0000-0000-0000B71C0000}"/>
    <cellStyle name="20% - Accent4 3 2 2 6 3" xfId="7305" xr:uid="{00000000-0005-0000-0000-0000B81C0000}"/>
    <cellStyle name="20% - Accent4 3 2 2 7" xfId="7306" xr:uid="{00000000-0005-0000-0000-0000B91C0000}"/>
    <cellStyle name="20% - Accent4 3 2 2 7 2" xfId="7307" xr:uid="{00000000-0005-0000-0000-0000BA1C0000}"/>
    <cellStyle name="20% - Accent4 3 2 2 8" xfId="7308" xr:uid="{00000000-0005-0000-0000-0000BB1C0000}"/>
    <cellStyle name="20% - Accent4 3 2 3" xfId="7309" xr:uid="{00000000-0005-0000-0000-0000BC1C0000}"/>
    <cellStyle name="20% - Accent4 3 2 3 2" xfId="7310" xr:uid="{00000000-0005-0000-0000-0000BD1C0000}"/>
    <cellStyle name="20% - Accent4 3 2 3 2 2" xfId="7311" xr:uid="{00000000-0005-0000-0000-0000BE1C0000}"/>
    <cellStyle name="20% - Accent4 3 2 3 2 2 2" xfId="7312" xr:uid="{00000000-0005-0000-0000-0000BF1C0000}"/>
    <cellStyle name="20% - Accent4 3 2 3 2 2 2 2" xfId="7313" xr:uid="{00000000-0005-0000-0000-0000C01C0000}"/>
    <cellStyle name="20% - Accent4 3 2 3 2 2 2 2 2" xfId="7314" xr:uid="{00000000-0005-0000-0000-0000C11C0000}"/>
    <cellStyle name="20% - Accent4 3 2 3 2 2 2 2 2 2" xfId="7315" xr:uid="{00000000-0005-0000-0000-0000C21C0000}"/>
    <cellStyle name="20% - Accent4 3 2 3 2 2 2 2 3" xfId="7316" xr:uid="{00000000-0005-0000-0000-0000C31C0000}"/>
    <cellStyle name="20% - Accent4 3 2 3 2 2 2 3" xfId="7317" xr:uid="{00000000-0005-0000-0000-0000C41C0000}"/>
    <cellStyle name="20% - Accent4 3 2 3 2 2 2 3 2" xfId="7318" xr:uid="{00000000-0005-0000-0000-0000C51C0000}"/>
    <cellStyle name="20% - Accent4 3 2 3 2 2 2 4" xfId="7319" xr:uid="{00000000-0005-0000-0000-0000C61C0000}"/>
    <cellStyle name="20% - Accent4 3 2 3 2 2 3" xfId="7320" xr:uid="{00000000-0005-0000-0000-0000C71C0000}"/>
    <cellStyle name="20% - Accent4 3 2 3 2 2 3 2" xfId="7321" xr:uid="{00000000-0005-0000-0000-0000C81C0000}"/>
    <cellStyle name="20% - Accent4 3 2 3 2 2 3 2 2" xfId="7322" xr:uid="{00000000-0005-0000-0000-0000C91C0000}"/>
    <cellStyle name="20% - Accent4 3 2 3 2 2 3 3" xfId="7323" xr:uid="{00000000-0005-0000-0000-0000CA1C0000}"/>
    <cellStyle name="20% - Accent4 3 2 3 2 2 4" xfId="7324" xr:uid="{00000000-0005-0000-0000-0000CB1C0000}"/>
    <cellStyle name="20% - Accent4 3 2 3 2 2 4 2" xfId="7325" xr:uid="{00000000-0005-0000-0000-0000CC1C0000}"/>
    <cellStyle name="20% - Accent4 3 2 3 2 2 5" xfId="7326" xr:uid="{00000000-0005-0000-0000-0000CD1C0000}"/>
    <cellStyle name="20% - Accent4 3 2 3 2 3" xfId="7327" xr:uid="{00000000-0005-0000-0000-0000CE1C0000}"/>
    <cellStyle name="20% - Accent4 3 2 3 2 3 2" xfId="7328" xr:uid="{00000000-0005-0000-0000-0000CF1C0000}"/>
    <cellStyle name="20% - Accent4 3 2 3 2 3 2 2" xfId="7329" xr:uid="{00000000-0005-0000-0000-0000D01C0000}"/>
    <cellStyle name="20% - Accent4 3 2 3 2 3 2 2 2" xfId="7330" xr:uid="{00000000-0005-0000-0000-0000D11C0000}"/>
    <cellStyle name="20% - Accent4 3 2 3 2 3 2 3" xfId="7331" xr:uid="{00000000-0005-0000-0000-0000D21C0000}"/>
    <cellStyle name="20% - Accent4 3 2 3 2 3 3" xfId="7332" xr:uid="{00000000-0005-0000-0000-0000D31C0000}"/>
    <cellStyle name="20% - Accent4 3 2 3 2 3 3 2" xfId="7333" xr:uid="{00000000-0005-0000-0000-0000D41C0000}"/>
    <cellStyle name="20% - Accent4 3 2 3 2 3 4" xfId="7334" xr:uid="{00000000-0005-0000-0000-0000D51C0000}"/>
    <cellStyle name="20% - Accent4 3 2 3 2 4" xfId="7335" xr:uid="{00000000-0005-0000-0000-0000D61C0000}"/>
    <cellStyle name="20% - Accent4 3 2 3 2 4 2" xfId="7336" xr:uid="{00000000-0005-0000-0000-0000D71C0000}"/>
    <cellStyle name="20% - Accent4 3 2 3 2 4 2 2" xfId="7337" xr:uid="{00000000-0005-0000-0000-0000D81C0000}"/>
    <cellStyle name="20% - Accent4 3 2 3 2 4 3" xfId="7338" xr:uid="{00000000-0005-0000-0000-0000D91C0000}"/>
    <cellStyle name="20% - Accent4 3 2 3 2 5" xfId="7339" xr:uid="{00000000-0005-0000-0000-0000DA1C0000}"/>
    <cellStyle name="20% - Accent4 3 2 3 2 5 2" xfId="7340" xr:uid="{00000000-0005-0000-0000-0000DB1C0000}"/>
    <cellStyle name="20% - Accent4 3 2 3 2 6" xfId="7341" xr:uid="{00000000-0005-0000-0000-0000DC1C0000}"/>
    <cellStyle name="20% - Accent4 3 2 3 3" xfId="7342" xr:uid="{00000000-0005-0000-0000-0000DD1C0000}"/>
    <cellStyle name="20% - Accent4 3 2 3 3 2" xfId="7343" xr:uid="{00000000-0005-0000-0000-0000DE1C0000}"/>
    <cellStyle name="20% - Accent4 3 2 3 3 2 2" xfId="7344" xr:uid="{00000000-0005-0000-0000-0000DF1C0000}"/>
    <cellStyle name="20% - Accent4 3 2 3 3 2 2 2" xfId="7345" xr:uid="{00000000-0005-0000-0000-0000E01C0000}"/>
    <cellStyle name="20% - Accent4 3 2 3 3 2 2 2 2" xfId="7346" xr:uid="{00000000-0005-0000-0000-0000E11C0000}"/>
    <cellStyle name="20% - Accent4 3 2 3 3 2 2 3" xfId="7347" xr:uid="{00000000-0005-0000-0000-0000E21C0000}"/>
    <cellStyle name="20% - Accent4 3 2 3 3 2 3" xfId="7348" xr:uid="{00000000-0005-0000-0000-0000E31C0000}"/>
    <cellStyle name="20% - Accent4 3 2 3 3 2 3 2" xfId="7349" xr:uid="{00000000-0005-0000-0000-0000E41C0000}"/>
    <cellStyle name="20% - Accent4 3 2 3 3 2 4" xfId="7350" xr:uid="{00000000-0005-0000-0000-0000E51C0000}"/>
    <cellStyle name="20% - Accent4 3 2 3 3 3" xfId="7351" xr:uid="{00000000-0005-0000-0000-0000E61C0000}"/>
    <cellStyle name="20% - Accent4 3 2 3 3 3 2" xfId="7352" xr:uid="{00000000-0005-0000-0000-0000E71C0000}"/>
    <cellStyle name="20% - Accent4 3 2 3 3 3 2 2" xfId="7353" xr:uid="{00000000-0005-0000-0000-0000E81C0000}"/>
    <cellStyle name="20% - Accent4 3 2 3 3 3 3" xfId="7354" xr:uid="{00000000-0005-0000-0000-0000E91C0000}"/>
    <cellStyle name="20% - Accent4 3 2 3 3 4" xfId="7355" xr:uid="{00000000-0005-0000-0000-0000EA1C0000}"/>
    <cellStyle name="20% - Accent4 3 2 3 3 4 2" xfId="7356" xr:uid="{00000000-0005-0000-0000-0000EB1C0000}"/>
    <cellStyle name="20% - Accent4 3 2 3 3 5" xfId="7357" xr:uid="{00000000-0005-0000-0000-0000EC1C0000}"/>
    <cellStyle name="20% - Accent4 3 2 3 4" xfId="7358" xr:uid="{00000000-0005-0000-0000-0000ED1C0000}"/>
    <cellStyle name="20% - Accent4 3 2 3 4 2" xfId="7359" xr:uid="{00000000-0005-0000-0000-0000EE1C0000}"/>
    <cellStyle name="20% - Accent4 3 2 3 4 2 2" xfId="7360" xr:uid="{00000000-0005-0000-0000-0000EF1C0000}"/>
    <cellStyle name="20% - Accent4 3 2 3 4 2 2 2" xfId="7361" xr:uid="{00000000-0005-0000-0000-0000F01C0000}"/>
    <cellStyle name="20% - Accent4 3 2 3 4 2 3" xfId="7362" xr:uid="{00000000-0005-0000-0000-0000F11C0000}"/>
    <cellStyle name="20% - Accent4 3 2 3 4 3" xfId="7363" xr:uid="{00000000-0005-0000-0000-0000F21C0000}"/>
    <cellStyle name="20% - Accent4 3 2 3 4 3 2" xfId="7364" xr:uid="{00000000-0005-0000-0000-0000F31C0000}"/>
    <cellStyle name="20% - Accent4 3 2 3 4 4" xfId="7365" xr:uid="{00000000-0005-0000-0000-0000F41C0000}"/>
    <cellStyle name="20% - Accent4 3 2 3 5" xfId="7366" xr:uid="{00000000-0005-0000-0000-0000F51C0000}"/>
    <cellStyle name="20% - Accent4 3 2 3 5 2" xfId="7367" xr:uid="{00000000-0005-0000-0000-0000F61C0000}"/>
    <cellStyle name="20% - Accent4 3 2 3 5 2 2" xfId="7368" xr:uid="{00000000-0005-0000-0000-0000F71C0000}"/>
    <cellStyle name="20% - Accent4 3 2 3 5 3" xfId="7369" xr:uid="{00000000-0005-0000-0000-0000F81C0000}"/>
    <cellStyle name="20% - Accent4 3 2 3 6" xfId="7370" xr:uid="{00000000-0005-0000-0000-0000F91C0000}"/>
    <cellStyle name="20% - Accent4 3 2 3 6 2" xfId="7371" xr:uid="{00000000-0005-0000-0000-0000FA1C0000}"/>
    <cellStyle name="20% - Accent4 3 2 3 7" xfId="7372" xr:uid="{00000000-0005-0000-0000-0000FB1C0000}"/>
    <cellStyle name="20% - Accent4 3 2 4" xfId="7373" xr:uid="{00000000-0005-0000-0000-0000FC1C0000}"/>
    <cellStyle name="20% - Accent4 3 2 4 2" xfId="7374" xr:uid="{00000000-0005-0000-0000-0000FD1C0000}"/>
    <cellStyle name="20% - Accent4 3 2 4 2 2" xfId="7375" xr:uid="{00000000-0005-0000-0000-0000FE1C0000}"/>
    <cellStyle name="20% - Accent4 3 2 4 2 2 2" xfId="7376" xr:uid="{00000000-0005-0000-0000-0000FF1C0000}"/>
    <cellStyle name="20% - Accent4 3 2 4 2 2 2 2" xfId="7377" xr:uid="{00000000-0005-0000-0000-0000001D0000}"/>
    <cellStyle name="20% - Accent4 3 2 4 2 2 2 2 2" xfId="7378" xr:uid="{00000000-0005-0000-0000-0000011D0000}"/>
    <cellStyle name="20% - Accent4 3 2 4 2 2 2 3" xfId="7379" xr:uid="{00000000-0005-0000-0000-0000021D0000}"/>
    <cellStyle name="20% - Accent4 3 2 4 2 2 3" xfId="7380" xr:uid="{00000000-0005-0000-0000-0000031D0000}"/>
    <cellStyle name="20% - Accent4 3 2 4 2 2 3 2" xfId="7381" xr:uid="{00000000-0005-0000-0000-0000041D0000}"/>
    <cellStyle name="20% - Accent4 3 2 4 2 2 4" xfId="7382" xr:uid="{00000000-0005-0000-0000-0000051D0000}"/>
    <cellStyle name="20% - Accent4 3 2 4 2 3" xfId="7383" xr:uid="{00000000-0005-0000-0000-0000061D0000}"/>
    <cellStyle name="20% - Accent4 3 2 4 2 3 2" xfId="7384" xr:uid="{00000000-0005-0000-0000-0000071D0000}"/>
    <cellStyle name="20% - Accent4 3 2 4 2 3 2 2" xfId="7385" xr:uid="{00000000-0005-0000-0000-0000081D0000}"/>
    <cellStyle name="20% - Accent4 3 2 4 2 3 3" xfId="7386" xr:uid="{00000000-0005-0000-0000-0000091D0000}"/>
    <cellStyle name="20% - Accent4 3 2 4 2 4" xfId="7387" xr:uid="{00000000-0005-0000-0000-00000A1D0000}"/>
    <cellStyle name="20% - Accent4 3 2 4 2 4 2" xfId="7388" xr:uid="{00000000-0005-0000-0000-00000B1D0000}"/>
    <cellStyle name="20% - Accent4 3 2 4 2 5" xfId="7389" xr:uid="{00000000-0005-0000-0000-00000C1D0000}"/>
    <cellStyle name="20% - Accent4 3 2 4 3" xfId="7390" xr:uid="{00000000-0005-0000-0000-00000D1D0000}"/>
    <cellStyle name="20% - Accent4 3 2 4 3 2" xfId="7391" xr:uid="{00000000-0005-0000-0000-00000E1D0000}"/>
    <cellStyle name="20% - Accent4 3 2 4 3 2 2" xfId="7392" xr:uid="{00000000-0005-0000-0000-00000F1D0000}"/>
    <cellStyle name="20% - Accent4 3 2 4 3 2 2 2" xfId="7393" xr:uid="{00000000-0005-0000-0000-0000101D0000}"/>
    <cellStyle name="20% - Accent4 3 2 4 3 2 3" xfId="7394" xr:uid="{00000000-0005-0000-0000-0000111D0000}"/>
    <cellStyle name="20% - Accent4 3 2 4 3 3" xfId="7395" xr:uid="{00000000-0005-0000-0000-0000121D0000}"/>
    <cellStyle name="20% - Accent4 3 2 4 3 3 2" xfId="7396" xr:uid="{00000000-0005-0000-0000-0000131D0000}"/>
    <cellStyle name="20% - Accent4 3 2 4 3 4" xfId="7397" xr:uid="{00000000-0005-0000-0000-0000141D0000}"/>
    <cellStyle name="20% - Accent4 3 2 4 4" xfId="7398" xr:uid="{00000000-0005-0000-0000-0000151D0000}"/>
    <cellStyle name="20% - Accent4 3 2 4 4 2" xfId="7399" xr:uid="{00000000-0005-0000-0000-0000161D0000}"/>
    <cellStyle name="20% - Accent4 3 2 4 4 2 2" xfId="7400" xr:uid="{00000000-0005-0000-0000-0000171D0000}"/>
    <cellStyle name="20% - Accent4 3 2 4 4 3" xfId="7401" xr:uid="{00000000-0005-0000-0000-0000181D0000}"/>
    <cellStyle name="20% - Accent4 3 2 4 5" xfId="7402" xr:uid="{00000000-0005-0000-0000-0000191D0000}"/>
    <cellStyle name="20% - Accent4 3 2 4 5 2" xfId="7403" xr:uid="{00000000-0005-0000-0000-00001A1D0000}"/>
    <cellStyle name="20% - Accent4 3 2 4 6" xfId="7404" xr:uid="{00000000-0005-0000-0000-00001B1D0000}"/>
    <cellStyle name="20% - Accent4 3 2 5" xfId="7405" xr:uid="{00000000-0005-0000-0000-00001C1D0000}"/>
    <cellStyle name="20% - Accent4 3 2 5 2" xfId="7406" xr:uid="{00000000-0005-0000-0000-00001D1D0000}"/>
    <cellStyle name="20% - Accent4 3 2 5 2 2" xfId="7407" xr:uid="{00000000-0005-0000-0000-00001E1D0000}"/>
    <cellStyle name="20% - Accent4 3 2 5 2 2 2" xfId="7408" xr:uid="{00000000-0005-0000-0000-00001F1D0000}"/>
    <cellStyle name="20% - Accent4 3 2 5 2 2 2 2" xfId="7409" xr:uid="{00000000-0005-0000-0000-0000201D0000}"/>
    <cellStyle name="20% - Accent4 3 2 5 2 2 3" xfId="7410" xr:uid="{00000000-0005-0000-0000-0000211D0000}"/>
    <cellStyle name="20% - Accent4 3 2 5 2 3" xfId="7411" xr:uid="{00000000-0005-0000-0000-0000221D0000}"/>
    <cellStyle name="20% - Accent4 3 2 5 2 3 2" xfId="7412" xr:uid="{00000000-0005-0000-0000-0000231D0000}"/>
    <cellStyle name="20% - Accent4 3 2 5 2 4" xfId="7413" xr:uid="{00000000-0005-0000-0000-0000241D0000}"/>
    <cellStyle name="20% - Accent4 3 2 5 3" xfId="7414" xr:uid="{00000000-0005-0000-0000-0000251D0000}"/>
    <cellStyle name="20% - Accent4 3 2 5 3 2" xfId="7415" xr:uid="{00000000-0005-0000-0000-0000261D0000}"/>
    <cellStyle name="20% - Accent4 3 2 5 3 2 2" xfId="7416" xr:uid="{00000000-0005-0000-0000-0000271D0000}"/>
    <cellStyle name="20% - Accent4 3 2 5 3 3" xfId="7417" xr:uid="{00000000-0005-0000-0000-0000281D0000}"/>
    <cellStyle name="20% - Accent4 3 2 5 4" xfId="7418" xr:uid="{00000000-0005-0000-0000-0000291D0000}"/>
    <cellStyle name="20% - Accent4 3 2 5 4 2" xfId="7419" xr:uid="{00000000-0005-0000-0000-00002A1D0000}"/>
    <cellStyle name="20% - Accent4 3 2 5 5" xfId="7420" xr:uid="{00000000-0005-0000-0000-00002B1D0000}"/>
    <cellStyle name="20% - Accent4 3 2 6" xfId="7421" xr:uid="{00000000-0005-0000-0000-00002C1D0000}"/>
    <cellStyle name="20% - Accent4 3 2 6 2" xfId="7422" xr:uid="{00000000-0005-0000-0000-00002D1D0000}"/>
    <cellStyle name="20% - Accent4 3 2 6 2 2" xfId="7423" xr:uid="{00000000-0005-0000-0000-00002E1D0000}"/>
    <cellStyle name="20% - Accent4 3 2 6 2 2 2" xfId="7424" xr:uid="{00000000-0005-0000-0000-00002F1D0000}"/>
    <cellStyle name="20% - Accent4 3 2 6 2 3" xfId="7425" xr:uid="{00000000-0005-0000-0000-0000301D0000}"/>
    <cellStyle name="20% - Accent4 3 2 6 3" xfId="7426" xr:uid="{00000000-0005-0000-0000-0000311D0000}"/>
    <cellStyle name="20% - Accent4 3 2 6 3 2" xfId="7427" xr:uid="{00000000-0005-0000-0000-0000321D0000}"/>
    <cellStyle name="20% - Accent4 3 2 6 4" xfId="7428" xr:uid="{00000000-0005-0000-0000-0000331D0000}"/>
    <cellStyle name="20% - Accent4 3 2 7" xfId="7429" xr:uid="{00000000-0005-0000-0000-0000341D0000}"/>
    <cellStyle name="20% - Accent4 3 2 7 2" xfId="7430" xr:uid="{00000000-0005-0000-0000-0000351D0000}"/>
    <cellStyle name="20% - Accent4 3 2 7 2 2" xfId="7431" xr:uid="{00000000-0005-0000-0000-0000361D0000}"/>
    <cellStyle name="20% - Accent4 3 2 7 3" xfId="7432" xr:uid="{00000000-0005-0000-0000-0000371D0000}"/>
    <cellStyle name="20% - Accent4 3 2 8" xfId="7433" xr:uid="{00000000-0005-0000-0000-0000381D0000}"/>
    <cellStyle name="20% - Accent4 3 2 8 2" xfId="7434" xr:uid="{00000000-0005-0000-0000-0000391D0000}"/>
    <cellStyle name="20% - Accent4 3 2 9" xfId="7435" xr:uid="{00000000-0005-0000-0000-00003A1D0000}"/>
    <cellStyle name="20% - Accent4 3 3" xfId="7436" xr:uid="{00000000-0005-0000-0000-00003B1D0000}"/>
    <cellStyle name="20% - Accent4 3 3 2" xfId="7437" xr:uid="{00000000-0005-0000-0000-00003C1D0000}"/>
    <cellStyle name="20% - Accent4 3 3 2 2" xfId="7438" xr:uid="{00000000-0005-0000-0000-00003D1D0000}"/>
    <cellStyle name="20% - Accent4 3 3 2 2 2" xfId="7439" xr:uid="{00000000-0005-0000-0000-00003E1D0000}"/>
    <cellStyle name="20% - Accent4 3 3 2 2 2 2" xfId="7440" xr:uid="{00000000-0005-0000-0000-00003F1D0000}"/>
    <cellStyle name="20% - Accent4 3 3 2 2 2 2 2" xfId="7441" xr:uid="{00000000-0005-0000-0000-0000401D0000}"/>
    <cellStyle name="20% - Accent4 3 3 2 2 2 2 2 2" xfId="7442" xr:uid="{00000000-0005-0000-0000-0000411D0000}"/>
    <cellStyle name="20% - Accent4 3 3 2 2 2 2 2 2 2" xfId="7443" xr:uid="{00000000-0005-0000-0000-0000421D0000}"/>
    <cellStyle name="20% - Accent4 3 3 2 2 2 2 2 3" xfId="7444" xr:uid="{00000000-0005-0000-0000-0000431D0000}"/>
    <cellStyle name="20% - Accent4 3 3 2 2 2 2 3" xfId="7445" xr:uid="{00000000-0005-0000-0000-0000441D0000}"/>
    <cellStyle name="20% - Accent4 3 3 2 2 2 2 3 2" xfId="7446" xr:uid="{00000000-0005-0000-0000-0000451D0000}"/>
    <cellStyle name="20% - Accent4 3 3 2 2 2 2 4" xfId="7447" xr:uid="{00000000-0005-0000-0000-0000461D0000}"/>
    <cellStyle name="20% - Accent4 3 3 2 2 2 3" xfId="7448" xr:uid="{00000000-0005-0000-0000-0000471D0000}"/>
    <cellStyle name="20% - Accent4 3 3 2 2 2 3 2" xfId="7449" xr:uid="{00000000-0005-0000-0000-0000481D0000}"/>
    <cellStyle name="20% - Accent4 3 3 2 2 2 3 2 2" xfId="7450" xr:uid="{00000000-0005-0000-0000-0000491D0000}"/>
    <cellStyle name="20% - Accent4 3 3 2 2 2 3 3" xfId="7451" xr:uid="{00000000-0005-0000-0000-00004A1D0000}"/>
    <cellStyle name="20% - Accent4 3 3 2 2 2 4" xfId="7452" xr:uid="{00000000-0005-0000-0000-00004B1D0000}"/>
    <cellStyle name="20% - Accent4 3 3 2 2 2 4 2" xfId="7453" xr:uid="{00000000-0005-0000-0000-00004C1D0000}"/>
    <cellStyle name="20% - Accent4 3 3 2 2 2 5" xfId="7454" xr:uid="{00000000-0005-0000-0000-00004D1D0000}"/>
    <cellStyle name="20% - Accent4 3 3 2 2 3" xfId="7455" xr:uid="{00000000-0005-0000-0000-00004E1D0000}"/>
    <cellStyle name="20% - Accent4 3 3 2 2 3 2" xfId="7456" xr:uid="{00000000-0005-0000-0000-00004F1D0000}"/>
    <cellStyle name="20% - Accent4 3 3 2 2 3 2 2" xfId="7457" xr:uid="{00000000-0005-0000-0000-0000501D0000}"/>
    <cellStyle name="20% - Accent4 3 3 2 2 3 2 2 2" xfId="7458" xr:uid="{00000000-0005-0000-0000-0000511D0000}"/>
    <cellStyle name="20% - Accent4 3 3 2 2 3 2 3" xfId="7459" xr:uid="{00000000-0005-0000-0000-0000521D0000}"/>
    <cellStyle name="20% - Accent4 3 3 2 2 3 3" xfId="7460" xr:uid="{00000000-0005-0000-0000-0000531D0000}"/>
    <cellStyle name="20% - Accent4 3 3 2 2 3 3 2" xfId="7461" xr:uid="{00000000-0005-0000-0000-0000541D0000}"/>
    <cellStyle name="20% - Accent4 3 3 2 2 3 4" xfId="7462" xr:uid="{00000000-0005-0000-0000-0000551D0000}"/>
    <cellStyle name="20% - Accent4 3 3 2 2 4" xfId="7463" xr:uid="{00000000-0005-0000-0000-0000561D0000}"/>
    <cellStyle name="20% - Accent4 3 3 2 2 4 2" xfId="7464" xr:uid="{00000000-0005-0000-0000-0000571D0000}"/>
    <cellStyle name="20% - Accent4 3 3 2 2 4 2 2" xfId="7465" xr:uid="{00000000-0005-0000-0000-0000581D0000}"/>
    <cellStyle name="20% - Accent4 3 3 2 2 4 3" xfId="7466" xr:uid="{00000000-0005-0000-0000-0000591D0000}"/>
    <cellStyle name="20% - Accent4 3 3 2 2 5" xfId="7467" xr:uid="{00000000-0005-0000-0000-00005A1D0000}"/>
    <cellStyle name="20% - Accent4 3 3 2 2 5 2" xfId="7468" xr:uid="{00000000-0005-0000-0000-00005B1D0000}"/>
    <cellStyle name="20% - Accent4 3 3 2 2 6" xfId="7469" xr:uid="{00000000-0005-0000-0000-00005C1D0000}"/>
    <cellStyle name="20% - Accent4 3 3 2 3" xfId="7470" xr:uid="{00000000-0005-0000-0000-00005D1D0000}"/>
    <cellStyle name="20% - Accent4 3 3 2 3 2" xfId="7471" xr:uid="{00000000-0005-0000-0000-00005E1D0000}"/>
    <cellStyle name="20% - Accent4 3 3 2 3 2 2" xfId="7472" xr:uid="{00000000-0005-0000-0000-00005F1D0000}"/>
    <cellStyle name="20% - Accent4 3 3 2 3 2 2 2" xfId="7473" xr:uid="{00000000-0005-0000-0000-0000601D0000}"/>
    <cellStyle name="20% - Accent4 3 3 2 3 2 2 2 2" xfId="7474" xr:uid="{00000000-0005-0000-0000-0000611D0000}"/>
    <cellStyle name="20% - Accent4 3 3 2 3 2 2 3" xfId="7475" xr:uid="{00000000-0005-0000-0000-0000621D0000}"/>
    <cellStyle name="20% - Accent4 3 3 2 3 2 3" xfId="7476" xr:uid="{00000000-0005-0000-0000-0000631D0000}"/>
    <cellStyle name="20% - Accent4 3 3 2 3 2 3 2" xfId="7477" xr:uid="{00000000-0005-0000-0000-0000641D0000}"/>
    <cellStyle name="20% - Accent4 3 3 2 3 2 4" xfId="7478" xr:uid="{00000000-0005-0000-0000-0000651D0000}"/>
    <cellStyle name="20% - Accent4 3 3 2 3 3" xfId="7479" xr:uid="{00000000-0005-0000-0000-0000661D0000}"/>
    <cellStyle name="20% - Accent4 3 3 2 3 3 2" xfId="7480" xr:uid="{00000000-0005-0000-0000-0000671D0000}"/>
    <cellStyle name="20% - Accent4 3 3 2 3 3 2 2" xfId="7481" xr:uid="{00000000-0005-0000-0000-0000681D0000}"/>
    <cellStyle name="20% - Accent4 3 3 2 3 3 3" xfId="7482" xr:uid="{00000000-0005-0000-0000-0000691D0000}"/>
    <cellStyle name="20% - Accent4 3 3 2 3 4" xfId="7483" xr:uid="{00000000-0005-0000-0000-00006A1D0000}"/>
    <cellStyle name="20% - Accent4 3 3 2 3 4 2" xfId="7484" xr:uid="{00000000-0005-0000-0000-00006B1D0000}"/>
    <cellStyle name="20% - Accent4 3 3 2 3 5" xfId="7485" xr:uid="{00000000-0005-0000-0000-00006C1D0000}"/>
    <cellStyle name="20% - Accent4 3 3 2 4" xfId="7486" xr:uid="{00000000-0005-0000-0000-00006D1D0000}"/>
    <cellStyle name="20% - Accent4 3 3 2 4 2" xfId="7487" xr:uid="{00000000-0005-0000-0000-00006E1D0000}"/>
    <cellStyle name="20% - Accent4 3 3 2 4 2 2" xfId="7488" xr:uid="{00000000-0005-0000-0000-00006F1D0000}"/>
    <cellStyle name="20% - Accent4 3 3 2 4 2 2 2" xfId="7489" xr:uid="{00000000-0005-0000-0000-0000701D0000}"/>
    <cellStyle name="20% - Accent4 3 3 2 4 2 3" xfId="7490" xr:uid="{00000000-0005-0000-0000-0000711D0000}"/>
    <cellStyle name="20% - Accent4 3 3 2 4 3" xfId="7491" xr:uid="{00000000-0005-0000-0000-0000721D0000}"/>
    <cellStyle name="20% - Accent4 3 3 2 4 3 2" xfId="7492" xr:uid="{00000000-0005-0000-0000-0000731D0000}"/>
    <cellStyle name="20% - Accent4 3 3 2 4 4" xfId="7493" xr:uid="{00000000-0005-0000-0000-0000741D0000}"/>
    <cellStyle name="20% - Accent4 3 3 2 5" xfId="7494" xr:uid="{00000000-0005-0000-0000-0000751D0000}"/>
    <cellStyle name="20% - Accent4 3 3 2 5 2" xfId="7495" xr:uid="{00000000-0005-0000-0000-0000761D0000}"/>
    <cellStyle name="20% - Accent4 3 3 2 5 2 2" xfId="7496" xr:uid="{00000000-0005-0000-0000-0000771D0000}"/>
    <cellStyle name="20% - Accent4 3 3 2 5 3" xfId="7497" xr:uid="{00000000-0005-0000-0000-0000781D0000}"/>
    <cellStyle name="20% - Accent4 3 3 2 6" xfId="7498" xr:uid="{00000000-0005-0000-0000-0000791D0000}"/>
    <cellStyle name="20% - Accent4 3 3 2 6 2" xfId="7499" xr:uid="{00000000-0005-0000-0000-00007A1D0000}"/>
    <cellStyle name="20% - Accent4 3 3 2 7" xfId="7500" xr:uid="{00000000-0005-0000-0000-00007B1D0000}"/>
    <cellStyle name="20% - Accent4 3 3 3" xfId="7501" xr:uid="{00000000-0005-0000-0000-00007C1D0000}"/>
    <cellStyle name="20% - Accent4 3 3 3 2" xfId="7502" xr:uid="{00000000-0005-0000-0000-00007D1D0000}"/>
    <cellStyle name="20% - Accent4 3 3 3 2 2" xfId="7503" xr:uid="{00000000-0005-0000-0000-00007E1D0000}"/>
    <cellStyle name="20% - Accent4 3 3 3 2 2 2" xfId="7504" xr:uid="{00000000-0005-0000-0000-00007F1D0000}"/>
    <cellStyle name="20% - Accent4 3 3 3 2 2 2 2" xfId="7505" xr:uid="{00000000-0005-0000-0000-0000801D0000}"/>
    <cellStyle name="20% - Accent4 3 3 3 2 2 2 2 2" xfId="7506" xr:uid="{00000000-0005-0000-0000-0000811D0000}"/>
    <cellStyle name="20% - Accent4 3 3 3 2 2 2 3" xfId="7507" xr:uid="{00000000-0005-0000-0000-0000821D0000}"/>
    <cellStyle name="20% - Accent4 3 3 3 2 2 3" xfId="7508" xr:uid="{00000000-0005-0000-0000-0000831D0000}"/>
    <cellStyle name="20% - Accent4 3 3 3 2 2 3 2" xfId="7509" xr:uid="{00000000-0005-0000-0000-0000841D0000}"/>
    <cellStyle name="20% - Accent4 3 3 3 2 2 4" xfId="7510" xr:uid="{00000000-0005-0000-0000-0000851D0000}"/>
    <cellStyle name="20% - Accent4 3 3 3 2 3" xfId="7511" xr:uid="{00000000-0005-0000-0000-0000861D0000}"/>
    <cellStyle name="20% - Accent4 3 3 3 2 3 2" xfId="7512" xr:uid="{00000000-0005-0000-0000-0000871D0000}"/>
    <cellStyle name="20% - Accent4 3 3 3 2 3 2 2" xfId="7513" xr:uid="{00000000-0005-0000-0000-0000881D0000}"/>
    <cellStyle name="20% - Accent4 3 3 3 2 3 3" xfId="7514" xr:uid="{00000000-0005-0000-0000-0000891D0000}"/>
    <cellStyle name="20% - Accent4 3 3 3 2 4" xfId="7515" xr:uid="{00000000-0005-0000-0000-00008A1D0000}"/>
    <cellStyle name="20% - Accent4 3 3 3 2 4 2" xfId="7516" xr:uid="{00000000-0005-0000-0000-00008B1D0000}"/>
    <cellStyle name="20% - Accent4 3 3 3 2 5" xfId="7517" xr:uid="{00000000-0005-0000-0000-00008C1D0000}"/>
    <cellStyle name="20% - Accent4 3 3 3 3" xfId="7518" xr:uid="{00000000-0005-0000-0000-00008D1D0000}"/>
    <cellStyle name="20% - Accent4 3 3 3 3 2" xfId="7519" xr:uid="{00000000-0005-0000-0000-00008E1D0000}"/>
    <cellStyle name="20% - Accent4 3 3 3 3 2 2" xfId="7520" xr:uid="{00000000-0005-0000-0000-00008F1D0000}"/>
    <cellStyle name="20% - Accent4 3 3 3 3 2 2 2" xfId="7521" xr:uid="{00000000-0005-0000-0000-0000901D0000}"/>
    <cellStyle name="20% - Accent4 3 3 3 3 2 3" xfId="7522" xr:uid="{00000000-0005-0000-0000-0000911D0000}"/>
    <cellStyle name="20% - Accent4 3 3 3 3 3" xfId="7523" xr:uid="{00000000-0005-0000-0000-0000921D0000}"/>
    <cellStyle name="20% - Accent4 3 3 3 3 3 2" xfId="7524" xr:uid="{00000000-0005-0000-0000-0000931D0000}"/>
    <cellStyle name="20% - Accent4 3 3 3 3 4" xfId="7525" xr:uid="{00000000-0005-0000-0000-0000941D0000}"/>
    <cellStyle name="20% - Accent4 3 3 3 4" xfId="7526" xr:uid="{00000000-0005-0000-0000-0000951D0000}"/>
    <cellStyle name="20% - Accent4 3 3 3 4 2" xfId="7527" xr:uid="{00000000-0005-0000-0000-0000961D0000}"/>
    <cellStyle name="20% - Accent4 3 3 3 4 2 2" xfId="7528" xr:uid="{00000000-0005-0000-0000-0000971D0000}"/>
    <cellStyle name="20% - Accent4 3 3 3 4 3" xfId="7529" xr:uid="{00000000-0005-0000-0000-0000981D0000}"/>
    <cellStyle name="20% - Accent4 3 3 3 5" xfId="7530" xr:uid="{00000000-0005-0000-0000-0000991D0000}"/>
    <cellStyle name="20% - Accent4 3 3 3 5 2" xfId="7531" xr:uid="{00000000-0005-0000-0000-00009A1D0000}"/>
    <cellStyle name="20% - Accent4 3 3 3 6" xfId="7532" xr:uid="{00000000-0005-0000-0000-00009B1D0000}"/>
    <cellStyle name="20% - Accent4 3 3 4" xfId="7533" xr:uid="{00000000-0005-0000-0000-00009C1D0000}"/>
    <cellStyle name="20% - Accent4 3 3 4 2" xfId="7534" xr:uid="{00000000-0005-0000-0000-00009D1D0000}"/>
    <cellStyle name="20% - Accent4 3 3 4 2 2" xfId="7535" xr:uid="{00000000-0005-0000-0000-00009E1D0000}"/>
    <cellStyle name="20% - Accent4 3 3 4 2 2 2" xfId="7536" xr:uid="{00000000-0005-0000-0000-00009F1D0000}"/>
    <cellStyle name="20% - Accent4 3 3 4 2 2 2 2" xfId="7537" xr:uid="{00000000-0005-0000-0000-0000A01D0000}"/>
    <cellStyle name="20% - Accent4 3 3 4 2 2 3" xfId="7538" xr:uid="{00000000-0005-0000-0000-0000A11D0000}"/>
    <cellStyle name="20% - Accent4 3 3 4 2 3" xfId="7539" xr:uid="{00000000-0005-0000-0000-0000A21D0000}"/>
    <cellStyle name="20% - Accent4 3 3 4 2 3 2" xfId="7540" xr:uid="{00000000-0005-0000-0000-0000A31D0000}"/>
    <cellStyle name="20% - Accent4 3 3 4 2 4" xfId="7541" xr:uid="{00000000-0005-0000-0000-0000A41D0000}"/>
    <cellStyle name="20% - Accent4 3 3 4 3" xfId="7542" xr:uid="{00000000-0005-0000-0000-0000A51D0000}"/>
    <cellStyle name="20% - Accent4 3 3 4 3 2" xfId="7543" xr:uid="{00000000-0005-0000-0000-0000A61D0000}"/>
    <cellStyle name="20% - Accent4 3 3 4 3 2 2" xfId="7544" xr:uid="{00000000-0005-0000-0000-0000A71D0000}"/>
    <cellStyle name="20% - Accent4 3 3 4 3 3" xfId="7545" xr:uid="{00000000-0005-0000-0000-0000A81D0000}"/>
    <cellStyle name="20% - Accent4 3 3 4 4" xfId="7546" xr:uid="{00000000-0005-0000-0000-0000A91D0000}"/>
    <cellStyle name="20% - Accent4 3 3 4 4 2" xfId="7547" xr:uid="{00000000-0005-0000-0000-0000AA1D0000}"/>
    <cellStyle name="20% - Accent4 3 3 4 5" xfId="7548" xr:uid="{00000000-0005-0000-0000-0000AB1D0000}"/>
    <cellStyle name="20% - Accent4 3 3 5" xfId="7549" xr:uid="{00000000-0005-0000-0000-0000AC1D0000}"/>
    <cellStyle name="20% - Accent4 3 3 5 2" xfId="7550" xr:uid="{00000000-0005-0000-0000-0000AD1D0000}"/>
    <cellStyle name="20% - Accent4 3 3 5 2 2" xfId="7551" xr:uid="{00000000-0005-0000-0000-0000AE1D0000}"/>
    <cellStyle name="20% - Accent4 3 3 5 2 2 2" xfId="7552" xr:uid="{00000000-0005-0000-0000-0000AF1D0000}"/>
    <cellStyle name="20% - Accent4 3 3 5 2 3" xfId="7553" xr:uid="{00000000-0005-0000-0000-0000B01D0000}"/>
    <cellStyle name="20% - Accent4 3 3 5 3" xfId="7554" xr:uid="{00000000-0005-0000-0000-0000B11D0000}"/>
    <cellStyle name="20% - Accent4 3 3 5 3 2" xfId="7555" xr:uid="{00000000-0005-0000-0000-0000B21D0000}"/>
    <cellStyle name="20% - Accent4 3 3 5 4" xfId="7556" xr:uid="{00000000-0005-0000-0000-0000B31D0000}"/>
    <cellStyle name="20% - Accent4 3 3 6" xfId="7557" xr:uid="{00000000-0005-0000-0000-0000B41D0000}"/>
    <cellStyle name="20% - Accent4 3 3 6 2" xfId="7558" xr:uid="{00000000-0005-0000-0000-0000B51D0000}"/>
    <cellStyle name="20% - Accent4 3 3 6 2 2" xfId="7559" xr:uid="{00000000-0005-0000-0000-0000B61D0000}"/>
    <cellStyle name="20% - Accent4 3 3 6 3" xfId="7560" xr:uid="{00000000-0005-0000-0000-0000B71D0000}"/>
    <cellStyle name="20% - Accent4 3 3 7" xfId="7561" xr:uid="{00000000-0005-0000-0000-0000B81D0000}"/>
    <cellStyle name="20% - Accent4 3 3 7 2" xfId="7562" xr:uid="{00000000-0005-0000-0000-0000B91D0000}"/>
    <cellStyle name="20% - Accent4 3 3 8" xfId="7563" xr:uid="{00000000-0005-0000-0000-0000BA1D0000}"/>
    <cellStyle name="20% - Accent4 3 4" xfId="7564" xr:uid="{00000000-0005-0000-0000-0000BB1D0000}"/>
    <cellStyle name="20% - Accent4 3 4 2" xfId="7565" xr:uid="{00000000-0005-0000-0000-0000BC1D0000}"/>
    <cellStyle name="20% - Accent4 3 4 2 2" xfId="7566" xr:uid="{00000000-0005-0000-0000-0000BD1D0000}"/>
    <cellStyle name="20% - Accent4 3 4 2 2 2" xfId="7567" xr:uid="{00000000-0005-0000-0000-0000BE1D0000}"/>
    <cellStyle name="20% - Accent4 3 4 2 2 2 2" xfId="7568" xr:uid="{00000000-0005-0000-0000-0000BF1D0000}"/>
    <cellStyle name="20% - Accent4 3 4 2 2 2 2 2" xfId="7569" xr:uid="{00000000-0005-0000-0000-0000C01D0000}"/>
    <cellStyle name="20% - Accent4 3 4 2 2 2 2 2 2" xfId="7570" xr:uid="{00000000-0005-0000-0000-0000C11D0000}"/>
    <cellStyle name="20% - Accent4 3 4 2 2 2 2 3" xfId="7571" xr:uid="{00000000-0005-0000-0000-0000C21D0000}"/>
    <cellStyle name="20% - Accent4 3 4 2 2 2 3" xfId="7572" xr:uid="{00000000-0005-0000-0000-0000C31D0000}"/>
    <cellStyle name="20% - Accent4 3 4 2 2 2 3 2" xfId="7573" xr:uid="{00000000-0005-0000-0000-0000C41D0000}"/>
    <cellStyle name="20% - Accent4 3 4 2 2 2 4" xfId="7574" xr:uid="{00000000-0005-0000-0000-0000C51D0000}"/>
    <cellStyle name="20% - Accent4 3 4 2 2 3" xfId="7575" xr:uid="{00000000-0005-0000-0000-0000C61D0000}"/>
    <cellStyle name="20% - Accent4 3 4 2 2 3 2" xfId="7576" xr:uid="{00000000-0005-0000-0000-0000C71D0000}"/>
    <cellStyle name="20% - Accent4 3 4 2 2 3 2 2" xfId="7577" xr:uid="{00000000-0005-0000-0000-0000C81D0000}"/>
    <cellStyle name="20% - Accent4 3 4 2 2 3 3" xfId="7578" xr:uid="{00000000-0005-0000-0000-0000C91D0000}"/>
    <cellStyle name="20% - Accent4 3 4 2 2 4" xfId="7579" xr:uid="{00000000-0005-0000-0000-0000CA1D0000}"/>
    <cellStyle name="20% - Accent4 3 4 2 2 4 2" xfId="7580" xr:uid="{00000000-0005-0000-0000-0000CB1D0000}"/>
    <cellStyle name="20% - Accent4 3 4 2 2 5" xfId="7581" xr:uid="{00000000-0005-0000-0000-0000CC1D0000}"/>
    <cellStyle name="20% - Accent4 3 4 2 3" xfId="7582" xr:uid="{00000000-0005-0000-0000-0000CD1D0000}"/>
    <cellStyle name="20% - Accent4 3 4 2 3 2" xfId="7583" xr:uid="{00000000-0005-0000-0000-0000CE1D0000}"/>
    <cellStyle name="20% - Accent4 3 4 2 3 2 2" xfId="7584" xr:uid="{00000000-0005-0000-0000-0000CF1D0000}"/>
    <cellStyle name="20% - Accent4 3 4 2 3 2 2 2" xfId="7585" xr:uid="{00000000-0005-0000-0000-0000D01D0000}"/>
    <cellStyle name="20% - Accent4 3 4 2 3 2 3" xfId="7586" xr:uid="{00000000-0005-0000-0000-0000D11D0000}"/>
    <cellStyle name="20% - Accent4 3 4 2 3 3" xfId="7587" xr:uid="{00000000-0005-0000-0000-0000D21D0000}"/>
    <cellStyle name="20% - Accent4 3 4 2 3 3 2" xfId="7588" xr:uid="{00000000-0005-0000-0000-0000D31D0000}"/>
    <cellStyle name="20% - Accent4 3 4 2 3 4" xfId="7589" xr:uid="{00000000-0005-0000-0000-0000D41D0000}"/>
    <cellStyle name="20% - Accent4 3 4 2 4" xfId="7590" xr:uid="{00000000-0005-0000-0000-0000D51D0000}"/>
    <cellStyle name="20% - Accent4 3 4 2 4 2" xfId="7591" xr:uid="{00000000-0005-0000-0000-0000D61D0000}"/>
    <cellStyle name="20% - Accent4 3 4 2 4 2 2" xfId="7592" xr:uid="{00000000-0005-0000-0000-0000D71D0000}"/>
    <cellStyle name="20% - Accent4 3 4 2 4 3" xfId="7593" xr:uid="{00000000-0005-0000-0000-0000D81D0000}"/>
    <cellStyle name="20% - Accent4 3 4 2 5" xfId="7594" xr:uid="{00000000-0005-0000-0000-0000D91D0000}"/>
    <cellStyle name="20% - Accent4 3 4 2 5 2" xfId="7595" xr:uid="{00000000-0005-0000-0000-0000DA1D0000}"/>
    <cellStyle name="20% - Accent4 3 4 2 6" xfId="7596" xr:uid="{00000000-0005-0000-0000-0000DB1D0000}"/>
    <cellStyle name="20% - Accent4 3 4 3" xfId="7597" xr:uid="{00000000-0005-0000-0000-0000DC1D0000}"/>
    <cellStyle name="20% - Accent4 3 4 3 2" xfId="7598" xr:uid="{00000000-0005-0000-0000-0000DD1D0000}"/>
    <cellStyle name="20% - Accent4 3 4 3 2 2" xfId="7599" xr:uid="{00000000-0005-0000-0000-0000DE1D0000}"/>
    <cellStyle name="20% - Accent4 3 4 3 2 2 2" xfId="7600" xr:uid="{00000000-0005-0000-0000-0000DF1D0000}"/>
    <cellStyle name="20% - Accent4 3 4 3 2 2 2 2" xfId="7601" xr:uid="{00000000-0005-0000-0000-0000E01D0000}"/>
    <cellStyle name="20% - Accent4 3 4 3 2 2 3" xfId="7602" xr:uid="{00000000-0005-0000-0000-0000E11D0000}"/>
    <cellStyle name="20% - Accent4 3 4 3 2 3" xfId="7603" xr:uid="{00000000-0005-0000-0000-0000E21D0000}"/>
    <cellStyle name="20% - Accent4 3 4 3 2 3 2" xfId="7604" xr:uid="{00000000-0005-0000-0000-0000E31D0000}"/>
    <cellStyle name="20% - Accent4 3 4 3 2 4" xfId="7605" xr:uid="{00000000-0005-0000-0000-0000E41D0000}"/>
    <cellStyle name="20% - Accent4 3 4 3 3" xfId="7606" xr:uid="{00000000-0005-0000-0000-0000E51D0000}"/>
    <cellStyle name="20% - Accent4 3 4 3 3 2" xfId="7607" xr:uid="{00000000-0005-0000-0000-0000E61D0000}"/>
    <cellStyle name="20% - Accent4 3 4 3 3 2 2" xfId="7608" xr:uid="{00000000-0005-0000-0000-0000E71D0000}"/>
    <cellStyle name="20% - Accent4 3 4 3 3 3" xfId="7609" xr:uid="{00000000-0005-0000-0000-0000E81D0000}"/>
    <cellStyle name="20% - Accent4 3 4 3 4" xfId="7610" xr:uid="{00000000-0005-0000-0000-0000E91D0000}"/>
    <cellStyle name="20% - Accent4 3 4 3 4 2" xfId="7611" xr:uid="{00000000-0005-0000-0000-0000EA1D0000}"/>
    <cellStyle name="20% - Accent4 3 4 3 5" xfId="7612" xr:uid="{00000000-0005-0000-0000-0000EB1D0000}"/>
    <cellStyle name="20% - Accent4 3 4 4" xfId="7613" xr:uid="{00000000-0005-0000-0000-0000EC1D0000}"/>
    <cellStyle name="20% - Accent4 3 4 4 2" xfId="7614" xr:uid="{00000000-0005-0000-0000-0000ED1D0000}"/>
    <cellStyle name="20% - Accent4 3 4 4 2 2" xfId="7615" xr:uid="{00000000-0005-0000-0000-0000EE1D0000}"/>
    <cellStyle name="20% - Accent4 3 4 4 2 2 2" xfId="7616" xr:uid="{00000000-0005-0000-0000-0000EF1D0000}"/>
    <cellStyle name="20% - Accent4 3 4 4 2 3" xfId="7617" xr:uid="{00000000-0005-0000-0000-0000F01D0000}"/>
    <cellStyle name="20% - Accent4 3 4 4 3" xfId="7618" xr:uid="{00000000-0005-0000-0000-0000F11D0000}"/>
    <cellStyle name="20% - Accent4 3 4 4 3 2" xfId="7619" xr:uid="{00000000-0005-0000-0000-0000F21D0000}"/>
    <cellStyle name="20% - Accent4 3 4 4 4" xfId="7620" xr:uid="{00000000-0005-0000-0000-0000F31D0000}"/>
    <cellStyle name="20% - Accent4 3 4 5" xfId="7621" xr:uid="{00000000-0005-0000-0000-0000F41D0000}"/>
    <cellStyle name="20% - Accent4 3 4 5 2" xfId="7622" xr:uid="{00000000-0005-0000-0000-0000F51D0000}"/>
    <cellStyle name="20% - Accent4 3 4 5 2 2" xfId="7623" xr:uid="{00000000-0005-0000-0000-0000F61D0000}"/>
    <cellStyle name="20% - Accent4 3 4 5 3" xfId="7624" xr:uid="{00000000-0005-0000-0000-0000F71D0000}"/>
    <cellStyle name="20% - Accent4 3 4 6" xfId="7625" xr:uid="{00000000-0005-0000-0000-0000F81D0000}"/>
    <cellStyle name="20% - Accent4 3 4 6 2" xfId="7626" xr:uid="{00000000-0005-0000-0000-0000F91D0000}"/>
    <cellStyle name="20% - Accent4 3 4 7" xfId="7627" xr:uid="{00000000-0005-0000-0000-0000FA1D0000}"/>
    <cellStyle name="20% - Accent4 3 5" xfId="7628" xr:uid="{00000000-0005-0000-0000-0000FB1D0000}"/>
    <cellStyle name="20% - Accent4 3 5 2" xfId="7629" xr:uid="{00000000-0005-0000-0000-0000FC1D0000}"/>
    <cellStyle name="20% - Accent4 3 5 2 2" xfId="7630" xr:uid="{00000000-0005-0000-0000-0000FD1D0000}"/>
    <cellStyle name="20% - Accent4 3 5 2 2 2" xfId="7631" xr:uid="{00000000-0005-0000-0000-0000FE1D0000}"/>
    <cellStyle name="20% - Accent4 3 5 2 2 2 2" xfId="7632" xr:uid="{00000000-0005-0000-0000-0000FF1D0000}"/>
    <cellStyle name="20% - Accent4 3 5 2 2 2 2 2" xfId="7633" xr:uid="{00000000-0005-0000-0000-0000001E0000}"/>
    <cellStyle name="20% - Accent4 3 5 2 2 2 3" xfId="7634" xr:uid="{00000000-0005-0000-0000-0000011E0000}"/>
    <cellStyle name="20% - Accent4 3 5 2 2 3" xfId="7635" xr:uid="{00000000-0005-0000-0000-0000021E0000}"/>
    <cellStyle name="20% - Accent4 3 5 2 2 3 2" xfId="7636" xr:uid="{00000000-0005-0000-0000-0000031E0000}"/>
    <cellStyle name="20% - Accent4 3 5 2 2 4" xfId="7637" xr:uid="{00000000-0005-0000-0000-0000041E0000}"/>
    <cellStyle name="20% - Accent4 3 5 2 3" xfId="7638" xr:uid="{00000000-0005-0000-0000-0000051E0000}"/>
    <cellStyle name="20% - Accent4 3 5 2 3 2" xfId="7639" xr:uid="{00000000-0005-0000-0000-0000061E0000}"/>
    <cellStyle name="20% - Accent4 3 5 2 3 2 2" xfId="7640" xr:uid="{00000000-0005-0000-0000-0000071E0000}"/>
    <cellStyle name="20% - Accent4 3 5 2 3 3" xfId="7641" xr:uid="{00000000-0005-0000-0000-0000081E0000}"/>
    <cellStyle name="20% - Accent4 3 5 2 4" xfId="7642" xr:uid="{00000000-0005-0000-0000-0000091E0000}"/>
    <cellStyle name="20% - Accent4 3 5 2 4 2" xfId="7643" xr:uid="{00000000-0005-0000-0000-00000A1E0000}"/>
    <cellStyle name="20% - Accent4 3 5 2 5" xfId="7644" xr:uid="{00000000-0005-0000-0000-00000B1E0000}"/>
    <cellStyle name="20% - Accent4 3 5 3" xfId="7645" xr:uid="{00000000-0005-0000-0000-00000C1E0000}"/>
    <cellStyle name="20% - Accent4 3 5 3 2" xfId="7646" xr:uid="{00000000-0005-0000-0000-00000D1E0000}"/>
    <cellStyle name="20% - Accent4 3 5 3 2 2" xfId="7647" xr:uid="{00000000-0005-0000-0000-00000E1E0000}"/>
    <cellStyle name="20% - Accent4 3 5 3 2 2 2" xfId="7648" xr:uid="{00000000-0005-0000-0000-00000F1E0000}"/>
    <cellStyle name="20% - Accent4 3 5 3 2 3" xfId="7649" xr:uid="{00000000-0005-0000-0000-0000101E0000}"/>
    <cellStyle name="20% - Accent4 3 5 3 3" xfId="7650" xr:uid="{00000000-0005-0000-0000-0000111E0000}"/>
    <cellStyle name="20% - Accent4 3 5 3 3 2" xfId="7651" xr:uid="{00000000-0005-0000-0000-0000121E0000}"/>
    <cellStyle name="20% - Accent4 3 5 3 4" xfId="7652" xr:uid="{00000000-0005-0000-0000-0000131E0000}"/>
    <cellStyle name="20% - Accent4 3 5 4" xfId="7653" xr:uid="{00000000-0005-0000-0000-0000141E0000}"/>
    <cellStyle name="20% - Accent4 3 5 4 2" xfId="7654" xr:uid="{00000000-0005-0000-0000-0000151E0000}"/>
    <cellStyle name="20% - Accent4 3 5 4 2 2" xfId="7655" xr:uid="{00000000-0005-0000-0000-0000161E0000}"/>
    <cellStyle name="20% - Accent4 3 5 4 3" xfId="7656" xr:uid="{00000000-0005-0000-0000-0000171E0000}"/>
    <cellStyle name="20% - Accent4 3 5 5" xfId="7657" xr:uid="{00000000-0005-0000-0000-0000181E0000}"/>
    <cellStyle name="20% - Accent4 3 5 5 2" xfId="7658" xr:uid="{00000000-0005-0000-0000-0000191E0000}"/>
    <cellStyle name="20% - Accent4 3 5 6" xfId="7659" xr:uid="{00000000-0005-0000-0000-00001A1E0000}"/>
    <cellStyle name="20% - Accent4 3 6" xfId="7660" xr:uid="{00000000-0005-0000-0000-00001B1E0000}"/>
    <cellStyle name="20% - Accent4 3 6 2" xfId="7661" xr:uid="{00000000-0005-0000-0000-00001C1E0000}"/>
    <cellStyle name="20% - Accent4 3 6 2 2" xfId="7662" xr:uid="{00000000-0005-0000-0000-00001D1E0000}"/>
    <cellStyle name="20% - Accent4 3 6 2 2 2" xfId="7663" xr:uid="{00000000-0005-0000-0000-00001E1E0000}"/>
    <cellStyle name="20% - Accent4 3 6 2 2 2 2" xfId="7664" xr:uid="{00000000-0005-0000-0000-00001F1E0000}"/>
    <cellStyle name="20% - Accent4 3 6 2 2 3" xfId="7665" xr:uid="{00000000-0005-0000-0000-0000201E0000}"/>
    <cellStyle name="20% - Accent4 3 6 2 3" xfId="7666" xr:uid="{00000000-0005-0000-0000-0000211E0000}"/>
    <cellStyle name="20% - Accent4 3 6 2 3 2" xfId="7667" xr:uid="{00000000-0005-0000-0000-0000221E0000}"/>
    <cellStyle name="20% - Accent4 3 6 2 4" xfId="7668" xr:uid="{00000000-0005-0000-0000-0000231E0000}"/>
    <cellStyle name="20% - Accent4 3 6 3" xfId="7669" xr:uid="{00000000-0005-0000-0000-0000241E0000}"/>
    <cellStyle name="20% - Accent4 3 6 3 2" xfId="7670" xr:uid="{00000000-0005-0000-0000-0000251E0000}"/>
    <cellStyle name="20% - Accent4 3 6 3 2 2" xfId="7671" xr:uid="{00000000-0005-0000-0000-0000261E0000}"/>
    <cellStyle name="20% - Accent4 3 6 3 3" xfId="7672" xr:uid="{00000000-0005-0000-0000-0000271E0000}"/>
    <cellStyle name="20% - Accent4 3 6 4" xfId="7673" xr:uid="{00000000-0005-0000-0000-0000281E0000}"/>
    <cellStyle name="20% - Accent4 3 6 4 2" xfId="7674" xr:uid="{00000000-0005-0000-0000-0000291E0000}"/>
    <cellStyle name="20% - Accent4 3 6 5" xfId="7675" xr:uid="{00000000-0005-0000-0000-00002A1E0000}"/>
    <cellStyle name="20% - Accent4 3 7" xfId="7676" xr:uid="{00000000-0005-0000-0000-00002B1E0000}"/>
    <cellStyle name="20% - Accent4 3 7 2" xfId="7677" xr:uid="{00000000-0005-0000-0000-00002C1E0000}"/>
    <cellStyle name="20% - Accent4 3 7 2 2" xfId="7678" xr:uid="{00000000-0005-0000-0000-00002D1E0000}"/>
    <cellStyle name="20% - Accent4 3 7 2 2 2" xfId="7679" xr:uid="{00000000-0005-0000-0000-00002E1E0000}"/>
    <cellStyle name="20% - Accent4 3 7 2 3" xfId="7680" xr:uid="{00000000-0005-0000-0000-00002F1E0000}"/>
    <cellStyle name="20% - Accent4 3 7 3" xfId="7681" xr:uid="{00000000-0005-0000-0000-0000301E0000}"/>
    <cellStyle name="20% - Accent4 3 7 3 2" xfId="7682" xr:uid="{00000000-0005-0000-0000-0000311E0000}"/>
    <cellStyle name="20% - Accent4 3 7 4" xfId="7683" xr:uid="{00000000-0005-0000-0000-0000321E0000}"/>
    <cellStyle name="20% - Accent4 3 8" xfId="7684" xr:uid="{00000000-0005-0000-0000-0000331E0000}"/>
    <cellStyle name="20% - Accent4 3 8 2" xfId="7685" xr:uid="{00000000-0005-0000-0000-0000341E0000}"/>
    <cellStyle name="20% - Accent4 3 8 2 2" xfId="7686" xr:uid="{00000000-0005-0000-0000-0000351E0000}"/>
    <cellStyle name="20% - Accent4 3 8 3" xfId="7687" xr:uid="{00000000-0005-0000-0000-0000361E0000}"/>
    <cellStyle name="20% - Accent4 3 9" xfId="7688" xr:uid="{00000000-0005-0000-0000-0000371E0000}"/>
    <cellStyle name="20% - Accent4 3 9 2" xfId="7689" xr:uid="{00000000-0005-0000-0000-0000381E0000}"/>
    <cellStyle name="20% - Accent4 4" xfId="7690" xr:uid="{00000000-0005-0000-0000-0000391E0000}"/>
    <cellStyle name="20% - Accent4 4 2" xfId="7691" xr:uid="{00000000-0005-0000-0000-00003A1E0000}"/>
    <cellStyle name="20% - Accent4 4 2 2" xfId="7692" xr:uid="{00000000-0005-0000-0000-00003B1E0000}"/>
    <cellStyle name="20% - Accent4 4 2 2 2" xfId="7693" xr:uid="{00000000-0005-0000-0000-00003C1E0000}"/>
    <cellStyle name="20% - Accent4 4 2 2 2 2" xfId="7694" xr:uid="{00000000-0005-0000-0000-00003D1E0000}"/>
    <cellStyle name="20% - Accent4 4 2 2 2 2 2" xfId="7695" xr:uid="{00000000-0005-0000-0000-00003E1E0000}"/>
    <cellStyle name="20% - Accent4 4 2 2 2 2 2 2" xfId="7696" xr:uid="{00000000-0005-0000-0000-00003F1E0000}"/>
    <cellStyle name="20% - Accent4 4 2 2 2 2 2 2 2" xfId="7697" xr:uid="{00000000-0005-0000-0000-0000401E0000}"/>
    <cellStyle name="20% - Accent4 4 2 2 2 2 2 2 2 2" xfId="7698" xr:uid="{00000000-0005-0000-0000-0000411E0000}"/>
    <cellStyle name="20% - Accent4 4 2 2 2 2 2 2 3" xfId="7699" xr:uid="{00000000-0005-0000-0000-0000421E0000}"/>
    <cellStyle name="20% - Accent4 4 2 2 2 2 2 3" xfId="7700" xr:uid="{00000000-0005-0000-0000-0000431E0000}"/>
    <cellStyle name="20% - Accent4 4 2 2 2 2 2 3 2" xfId="7701" xr:uid="{00000000-0005-0000-0000-0000441E0000}"/>
    <cellStyle name="20% - Accent4 4 2 2 2 2 2 4" xfId="7702" xr:uid="{00000000-0005-0000-0000-0000451E0000}"/>
    <cellStyle name="20% - Accent4 4 2 2 2 2 3" xfId="7703" xr:uid="{00000000-0005-0000-0000-0000461E0000}"/>
    <cellStyle name="20% - Accent4 4 2 2 2 2 3 2" xfId="7704" xr:uid="{00000000-0005-0000-0000-0000471E0000}"/>
    <cellStyle name="20% - Accent4 4 2 2 2 2 3 2 2" xfId="7705" xr:uid="{00000000-0005-0000-0000-0000481E0000}"/>
    <cellStyle name="20% - Accent4 4 2 2 2 2 3 3" xfId="7706" xr:uid="{00000000-0005-0000-0000-0000491E0000}"/>
    <cellStyle name="20% - Accent4 4 2 2 2 2 4" xfId="7707" xr:uid="{00000000-0005-0000-0000-00004A1E0000}"/>
    <cellStyle name="20% - Accent4 4 2 2 2 2 4 2" xfId="7708" xr:uid="{00000000-0005-0000-0000-00004B1E0000}"/>
    <cellStyle name="20% - Accent4 4 2 2 2 2 5" xfId="7709" xr:uid="{00000000-0005-0000-0000-00004C1E0000}"/>
    <cellStyle name="20% - Accent4 4 2 2 2 3" xfId="7710" xr:uid="{00000000-0005-0000-0000-00004D1E0000}"/>
    <cellStyle name="20% - Accent4 4 2 2 2 3 2" xfId="7711" xr:uid="{00000000-0005-0000-0000-00004E1E0000}"/>
    <cellStyle name="20% - Accent4 4 2 2 2 3 2 2" xfId="7712" xr:uid="{00000000-0005-0000-0000-00004F1E0000}"/>
    <cellStyle name="20% - Accent4 4 2 2 2 3 2 2 2" xfId="7713" xr:uid="{00000000-0005-0000-0000-0000501E0000}"/>
    <cellStyle name="20% - Accent4 4 2 2 2 3 2 3" xfId="7714" xr:uid="{00000000-0005-0000-0000-0000511E0000}"/>
    <cellStyle name="20% - Accent4 4 2 2 2 3 3" xfId="7715" xr:uid="{00000000-0005-0000-0000-0000521E0000}"/>
    <cellStyle name="20% - Accent4 4 2 2 2 3 3 2" xfId="7716" xr:uid="{00000000-0005-0000-0000-0000531E0000}"/>
    <cellStyle name="20% - Accent4 4 2 2 2 3 4" xfId="7717" xr:uid="{00000000-0005-0000-0000-0000541E0000}"/>
    <cellStyle name="20% - Accent4 4 2 2 2 4" xfId="7718" xr:uid="{00000000-0005-0000-0000-0000551E0000}"/>
    <cellStyle name="20% - Accent4 4 2 2 2 4 2" xfId="7719" xr:uid="{00000000-0005-0000-0000-0000561E0000}"/>
    <cellStyle name="20% - Accent4 4 2 2 2 4 2 2" xfId="7720" xr:uid="{00000000-0005-0000-0000-0000571E0000}"/>
    <cellStyle name="20% - Accent4 4 2 2 2 4 3" xfId="7721" xr:uid="{00000000-0005-0000-0000-0000581E0000}"/>
    <cellStyle name="20% - Accent4 4 2 2 2 5" xfId="7722" xr:uid="{00000000-0005-0000-0000-0000591E0000}"/>
    <cellStyle name="20% - Accent4 4 2 2 2 5 2" xfId="7723" xr:uid="{00000000-0005-0000-0000-00005A1E0000}"/>
    <cellStyle name="20% - Accent4 4 2 2 2 6" xfId="7724" xr:uid="{00000000-0005-0000-0000-00005B1E0000}"/>
    <cellStyle name="20% - Accent4 4 2 2 3" xfId="7725" xr:uid="{00000000-0005-0000-0000-00005C1E0000}"/>
    <cellStyle name="20% - Accent4 4 2 2 3 2" xfId="7726" xr:uid="{00000000-0005-0000-0000-00005D1E0000}"/>
    <cellStyle name="20% - Accent4 4 2 2 3 2 2" xfId="7727" xr:uid="{00000000-0005-0000-0000-00005E1E0000}"/>
    <cellStyle name="20% - Accent4 4 2 2 3 2 2 2" xfId="7728" xr:uid="{00000000-0005-0000-0000-00005F1E0000}"/>
    <cellStyle name="20% - Accent4 4 2 2 3 2 2 2 2" xfId="7729" xr:uid="{00000000-0005-0000-0000-0000601E0000}"/>
    <cellStyle name="20% - Accent4 4 2 2 3 2 2 3" xfId="7730" xr:uid="{00000000-0005-0000-0000-0000611E0000}"/>
    <cellStyle name="20% - Accent4 4 2 2 3 2 3" xfId="7731" xr:uid="{00000000-0005-0000-0000-0000621E0000}"/>
    <cellStyle name="20% - Accent4 4 2 2 3 2 3 2" xfId="7732" xr:uid="{00000000-0005-0000-0000-0000631E0000}"/>
    <cellStyle name="20% - Accent4 4 2 2 3 2 4" xfId="7733" xr:uid="{00000000-0005-0000-0000-0000641E0000}"/>
    <cellStyle name="20% - Accent4 4 2 2 3 3" xfId="7734" xr:uid="{00000000-0005-0000-0000-0000651E0000}"/>
    <cellStyle name="20% - Accent4 4 2 2 3 3 2" xfId="7735" xr:uid="{00000000-0005-0000-0000-0000661E0000}"/>
    <cellStyle name="20% - Accent4 4 2 2 3 3 2 2" xfId="7736" xr:uid="{00000000-0005-0000-0000-0000671E0000}"/>
    <cellStyle name="20% - Accent4 4 2 2 3 3 3" xfId="7737" xr:uid="{00000000-0005-0000-0000-0000681E0000}"/>
    <cellStyle name="20% - Accent4 4 2 2 3 4" xfId="7738" xr:uid="{00000000-0005-0000-0000-0000691E0000}"/>
    <cellStyle name="20% - Accent4 4 2 2 3 4 2" xfId="7739" xr:uid="{00000000-0005-0000-0000-00006A1E0000}"/>
    <cellStyle name="20% - Accent4 4 2 2 3 5" xfId="7740" xr:uid="{00000000-0005-0000-0000-00006B1E0000}"/>
    <cellStyle name="20% - Accent4 4 2 2 4" xfId="7741" xr:uid="{00000000-0005-0000-0000-00006C1E0000}"/>
    <cellStyle name="20% - Accent4 4 2 2 4 2" xfId="7742" xr:uid="{00000000-0005-0000-0000-00006D1E0000}"/>
    <cellStyle name="20% - Accent4 4 2 2 4 2 2" xfId="7743" xr:uid="{00000000-0005-0000-0000-00006E1E0000}"/>
    <cellStyle name="20% - Accent4 4 2 2 4 2 2 2" xfId="7744" xr:uid="{00000000-0005-0000-0000-00006F1E0000}"/>
    <cellStyle name="20% - Accent4 4 2 2 4 2 3" xfId="7745" xr:uid="{00000000-0005-0000-0000-0000701E0000}"/>
    <cellStyle name="20% - Accent4 4 2 2 4 3" xfId="7746" xr:uid="{00000000-0005-0000-0000-0000711E0000}"/>
    <cellStyle name="20% - Accent4 4 2 2 4 3 2" xfId="7747" xr:uid="{00000000-0005-0000-0000-0000721E0000}"/>
    <cellStyle name="20% - Accent4 4 2 2 4 4" xfId="7748" xr:uid="{00000000-0005-0000-0000-0000731E0000}"/>
    <cellStyle name="20% - Accent4 4 2 2 5" xfId="7749" xr:uid="{00000000-0005-0000-0000-0000741E0000}"/>
    <cellStyle name="20% - Accent4 4 2 2 5 2" xfId="7750" xr:uid="{00000000-0005-0000-0000-0000751E0000}"/>
    <cellStyle name="20% - Accent4 4 2 2 5 2 2" xfId="7751" xr:uid="{00000000-0005-0000-0000-0000761E0000}"/>
    <cellStyle name="20% - Accent4 4 2 2 5 3" xfId="7752" xr:uid="{00000000-0005-0000-0000-0000771E0000}"/>
    <cellStyle name="20% - Accent4 4 2 2 6" xfId="7753" xr:uid="{00000000-0005-0000-0000-0000781E0000}"/>
    <cellStyle name="20% - Accent4 4 2 2 6 2" xfId="7754" xr:uid="{00000000-0005-0000-0000-0000791E0000}"/>
    <cellStyle name="20% - Accent4 4 2 2 7" xfId="7755" xr:uid="{00000000-0005-0000-0000-00007A1E0000}"/>
    <cellStyle name="20% - Accent4 4 2 3" xfId="7756" xr:uid="{00000000-0005-0000-0000-00007B1E0000}"/>
    <cellStyle name="20% - Accent4 4 2 3 2" xfId="7757" xr:uid="{00000000-0005-0000-0000-00007C1E0000}"/>
    <cellStyle name="20% - Accent4 4 2 3 2 2" xfId="7758" xr:uid="{00000000-0005-0000-0000-00007D1E0000}"/>
    <cellStyle name="20% - Accent4 4 2 3 2 2 2" xfId="7759" xr:uid="{00000000-0005-0000-0000-00007E1E0000}"/>
    <cellStyle name="20% - Accent4 4 2 3 2 2 2 2" xfId="7760" xr:uid="{00000000-0005-0000-0000-00007F1E0000}"/>
    <cellStyle name="20% - Accent4 4 2 3 2 2 2 2 2" xfId="7761" xr:uid="{00000000-0005-0000-0000-0000801E0000}"/>
    <cellStyle name="20% - Accent4 4 2 3 2 2 2 3" xfId="7762" xr:uid="{00000000-0005-0000-0000-0000811E0000}"/>
    <cellStyle name="20% - Accent4 4 2 3 2 2 3" xfId="7763" xr:uid="{00000000-0005-0000-0000-0000821E0000}"/>
    <cellStyle name="20% - Accent4 4 2 3 2 2 3 2" xfId="7764" xr:uid="{00000000-0005-0000-0000-0000831E0000}"/>
    <cellStyle name="20% - Accent4 4 2 3 2 2 4" xfId="7765" xr:uid="{00000000-0005-0000-0000-0000841E0000}"/>
    <cellStyle name="20% - Accent4 4 2 3 2 3" xfId="7766" xr:uid="{00000000-0005-0000-0000-0000851E0000}"/>
    <cellStyle name="20% - Accent4 4 2 3 2 3 2" xfId="7767" xr:uid="{00000000-0005-0000-0000-0000861E0000}"/>
    <cellStyle name="20% - Accent4 4 2 3 2 3 2 2" xfId="7768" xr:uid="{00000000-0005-0000-0000-0000871E0000}"/>
    <cellStyle name="20% - Accent4 4 2 3 2 3 3" xfId="7769" xr:uid="{00000000-0005-0000-0000-0000881E0000}"/>
    <cellStyle name="20% - Accent4 4 2 3 2 4" xfId="7770" xr:uid="{00000000-0005-0000-0000-0000891E0000}"/>
    <cellStyle name="20% - Accent4 4 2 3 2 4 2" xfId="7771" xr:uid="{00000000-0005-0000-0000-00008A1E0000}"/>
    <cellStyle name="20% - Accent4 4 2 3 2 5" xfId="7772" xr:uid="{00000000-0005-0000-0000-00008B1E0000}"/>
    <cellStyle name="20% - Accent4 4 2 3 3" xfId="7773" xr:uid="{00000000-0005-0000-0000-00008C1E0000}"/>
    <cellStyle name="20% - Accent4 4 2 3 3 2" xfId="7774" xr:uid="{00000000-0005-0000-0000-00008D1E0000}"/>
    <cellStyle name="20% - Accent4 4 2 3 3 2 2" xfId="7775" xr:uid="{00000000-0005-0000-0000-00008E1E0000}"/>
    <cellStyle name="20% - Accent4 4 2 3 3 2 2 2" xfId="7776" xr:uid="{00000000-0005-0000-0000-00008F1E0000}"/>
    <cellStyle name="20% - Accent4 4 2 3 3 2 3" xfId="7777" xr:uid="{00000000-0005-0000-0000-0000901E0000}"/>
    <cellStyle name="20% - Accent4 4 2 3 3 3" xfId="7778" xr:uid="{00000000-0005-0000-0000-0000911E0000}"/>
    <cellStyle name="20% - Accent4 4 2 3 3 3 2" xfId="7779" xr:uid="{00000000-0005-0000-0000-0000921E0000}"/>
    <cellStyle name="20% - Accent4 4 2 3 3 4" xfId="7780" xr:uid="{00000000-0005-0000-0000-0000931E0000}"/>
    <cellStyle name="20% - Accent4 4 2 3 4" xfId="7781" xr:uid="{00000000-0005-0000-0000-0000941E0000}"/>
    <cellStyle name="20% - Accent4 4 2 3 4 2" xfId="7782" xr:uid="{00000000-0005-0000-0000-0000951E0000}"/>
    <cellStyle name="20% - Accent4 4 2 3 4 2 2" xfId="7783" xr:uid="{00000000-0005-0000-0000-0000961E0000}"/>
    <cellStyle name="20% - Accent4 4 2 3 4 3" xfId="7784" xr:uid="{00000000-0005-0000-0000-0000971E0000}"/>
    <cellStyle name="20% - Accent4 4 2 3 5" xfId="7785" xr:uid="{00000000-0005-0000-0000-0000981E0000}"/>
    <cellStyle name="20% - Accent4 4 2 3 5 2" xfId="7786" xr:uid="{00000000-0005-0000-0000-0000991E0000}"/>
    <cellStyle name="20% - Accent4 4 2 3 6" xfId="7787" xr:uid="{00000000-0005-0000-0000-00009A1E0000}"/>
    <cellStyle name="20% - Accent4 4 2 4" xfId="7788" xr:uid="{00000000-0005-0000-0000-00009B1E0000}"/>
    <cellStyle name="20% - Accent4 4 2 4 2" xfId="7789" xr:uid="{00000000-0005-0000-0000-00009C1E0000}"/>
    <cellStyle name="20% - Accent4 4 2 4 2 2" xfId="7790" xr:uid="{00000000-0005-0000-0000-00009D1E0000}"/>
    <cellStyle name="20% - Accent4 4 2 4 2 2 2" xfId="7791" xr:uid="{00000000-0005-0000-0000-00009E1E0000}"/>
    <cellStyle name="20% - Accent4 4 2 4 2 2 2 2" xfId="7792" xr:uid="{00000000-0005-0000-0000-00009F1E0000}"/>
    <cellStyle name="20% - Accent4 4 2 4 2 2 3" xfId="7793" xr:uid="{00000000-0005-0000-0000-0000A01E0000}"/>
    <cellStyle name="20% - Accent4 4 2 4 2 3" xfId="7794" xr:uid="{00000000-0005-0000-0000-0000A11E0000}"/>
    <cellStyle name="20% - Accent4 4 2 4 2 3 2" xfId="7795" xr:uid="{00000000-0005-0000-0000-0000A21E0000}"/>
    <cellStyle name="20% - Accent4 4 2 4 2 4" xfId="7796" xr:uid="{00000000-0005-0000-0000-0000A31E0000}"/>
    <cellStyle name="20% - Accent4 4 2 4 3" xfId="7797" xr:uid="{00000000-0005-0000-0000-0000A41E0000}"/>
    <cellStyle name="20% - Accent4 4 2 4 3 2" xfId="7798" xr:uid="{00000000-0005-0000-0000-0000A51E0000}"/>
    <cellStyle name="20% - Accent4 4 2 4 3 2 2" xfId="7799" xr:uid="{00000000-0005-0000-0000-0000A61E0000}"/>
    <cellStyle name="20% - Accent4 4 2 4 3 3" xfId="7800" xr:uid="{00000000-0005-0000-0000-0000A71E0000}"/>
    <cellStyle name="20% - Accent4 4 2 4 4" xfId="7801" xr:uid="{00000000-0005-0000-0000-0000A81E0000}"/>
    <cellStyle name="20% - Accent4 4 2 4 4 2" xfId="7802" xr:uid="{00000000-0005-0000-0000-0000A91E0000}"/>
    <cellStyle name="20% - Accent4 4 2 4 5" xfId="7803" xr:uid="{00000000-0005-0000-0000-0000AA1E0000}"/>
    <cellStyle name="20% - Accent4 4 2 5" xfId="7804" xr:uid="{00000000-0005-0000-0000-0000AB1E0000}"/>
    <cellStyle name="20% - Accent4 4 2 5 2" xfId="7805" xr:uid="{00000000-0005-0000-0000-0000AC1E0000}"/>
    <cellStyle name="20% - Accent4 4 2 5 2 2" xfId="7806" xr:uid="{00000000-0005-0000-0000-0000AD1E0000}"/>
    <cellStyle name="20% - Accent4 4 2 5 2 2 2" xfId="7807" xr:uid="{00000000-0005-0000-0000-0000AE1E0000}"/>
    <cellStyle name="20% - Accent4 4 2 5 2 3" xfId="7808" xr:uid="{00000000-0005-0000-0000-0000AF1E0000}"/>
    <cellStyle name="20% - Accent4 4 2 5 3" xfId="7809" xr:uid="{00000000-0005-0000-0000-0000B01E0000}"/>
    <cellStyle name="20% - Accent4 4 2 5 3 2" xfId="7810" xr:uid="{00000000-0005-0000-0000-0000B11E0000}"/>
    <cellStyle name="20% - Accent4 4 2 5 4" xfId="7811" xr:uid="{00000000-0005-0000-0000-0000B21E0000}"/>
    <cellStyle name="20% - Accent4 4 2 6" xfId="7812" xr:uid="{00000000-0005-0000-0000-0000B31E0000}"/>
    <cellStyle name="20% - Accent4 4 2 6 2" xfId="7813" xr:uid="{00000000-0005-0000-0000-0000B41E0000}"/>
    <cellStyle name="20% - Accent4 4 2 6 2 2" xfId="7814" xr:uid="{00000000-0005-0000-0000-0000B51E0000}"/>
    <cellStyle name="20% - Accent4 4 2 6 3" xfId="7815" xr:uid="{00000000-0005-0000-0000-0000B61E0000}"/>
    <cellStyle name="20% - Accent4 4 2 7" xfId="7816" xr:uid="{00000000-0005-0000-0000-0000B71E0000}"/>
    <cellStyle name="20% - Accent4 4 2 7 2" xfId="7817" xr:uid="{00000000-0005-0000-0000-0000B81E0000}"/>
    <cellStyle name="20% - Accent4 4 2 8" xfId="7818" xr:uid="{00000000-0005-0000-0000-0000B91E0000}"/>
    <cellStyle name="20% - Accent4 4 3" xfId="7819" xr:uid="{00000000-0005-0000-0000-0000BA1E0000}"/>
    <cellStyle name="20% - Accent4 4 3 2" xfId="7820" xr:uid="{00000000-0005-0000-0000-0000BB1E0000}"/>
    <cellStyle name="20% - Accent4 4 3 2 2" xfId="7821" xr:uid="{00000000-0005-0000-0000-0000BC1E0000}"/>
    <cellStyle name="20% - Accent4 4 3 2 2 2" xfId="7822" xr:uid="{00000000-0005-0000-0000-0000BD1E0000}"/>
    <cellStyle name="20% - Accent4 4 3 2 2 2 2" xfId="7823" xr:uid="{00000000-0005-0000-0000-0000BE1E0000}"/>
    <cellStyle name="20% - Accent4 4 3 2 2 2 2 2" xfId="7824" xr:uid="{00000000-0005-0000-0000-0000BF1E0000}"/>
    <cellStyle name="20% - Accent4 4 3 2 2 2 2 2 2" xfId="7825" xr:uid="{00000000-0005-0000-0000-0000C01E0000}"/>
    <cellStyle name="20% - Accent4 4 3 2 2 2 2 3" xfId="7826" xr:uid="{00000000-0005-0000-0000-0000C11E0000}"/>
    <cellStyle name="20% - Accent4 4 3 2 2 2 3" xfId="7827" xr:uid="{00000000-0005-0000-0000-0000C21E0000}"/>
    <cellStyle name="20% - Accent4 4 3 2 2 2 3 2" xfId="7828" xr:uid="{00000000-0005-0000-0000-0000C31E0000}"/>
    <cellStyle name="20% - Accent4 4 3 2 2 2 4" xfId="7829" xr:uid="{00000000-0005-0000-0000-0000C41E0000}"/>
    <cellStyle name="20% - Accent4 4 3 2 2 3" xfId="7830" xr:uid="{00000000-0005-0000-0000-0000C51E0000}"/>
    <cellStyle name="20% - Accent4 4 3 2 2 3 2" xfId="7831" xr:uid="{00000000-0005-0000-0000-0000C61E0000}"/>
    <cellStyle name="20% - Accent4 4 3 2 2 3 2 2" xfId="7832" xr:uid="{00000000-0005-0000-0000-0000C71E0000}"/>
    <cellStyle name="20% - Accent4 4 3 2 2 3 3" xfId="7833" xr:uid="{00000000-0005-0000-0000-0000C81E0000}"/>
    <cellStyle name="20% - Accent4 4 3 2 2 4" xfId="7834" xr:uid="{00000000-0005-0000-0000-0000C91E0000}"/>
    <cellStyle name="20% - Accent4 4 3 2 2 4 2" xfId="7835" xr:uid="{00000000-0005-0000-0000-0000CA1E0000}"/>
    <cellStyle name="20% - Accent4 4 3 2 2 5" xfId="7836" xr:uid="{00000000-0005-0000-0000-0000CB1E0000}"/>
    <cellStyle name="20% - Accent4 4 3 2 3" xfId="7837" xr:uid="{00000000-0005-0000-0000-0000CC1E0000}"/>
    <cellStyle name="20% - Accent4 4 3 2 3 2" xfId="7838" xr:uid="{00000000-0005-0000-0000-0000CD1E0000}"/>
    <cellStyle name="20% - Accent4 4 3 2 3 2 2" xfId="7839" xr:uid="{00000000-0005-0000-0000-0000CE1E0000}"/>
    <cellStyle name="20% - Accent4 4 3 2 3 2 2 2" xfId="7840" xr:uid="{00000000-0005-0000-0000-0000CF1E0000}"/>
    <cellStyle name="20% - Accent4 4 3 2 3 2 3" xfId="7841" xr:uid="{00000000-0005-0000-0000-0000D01E0000}"/>
    <cellStyle name="20% - Accent4 4 3 2 3 3" xfId="7842" xr:uid="{00000000-0005-0000-0000-0000D11E0000}"/>
    <cellStyle name="20% - Accent4 4 3 2 3 3 2" xfId="7843" xr:uid="{00000000-0005-0000-0000-0000D21E0000}"/>
    <cellStyle name="20% - Accent4 4 3 2 3 4" xfId="7844" xr:uid="{00000000-0005-0000-0000-0000D31E0000}"/>
    <cellStyle name="20% - Accent4 4 3 2 4" xfId="7845" xr:uid="{00000000-0005-0000-0000-0000D41E0000}"/>
    <cellStyle name="20% - Accent4 4 3 2 4 2" xfId="7846" xr:uid="{00000000-0005-0000-0000-0000D51E0000}"/>
    <cellStyle name="20% - Accent4 4 3 2 4 2 2" xfId="7847" xr:uid="{00000000-0005-0000-0000-0000D61E0000}"/>
    <cellStyle name="20% - Accent4 4 3 2 4 3" xfId="7848" xr:uid="{00000000-0005-0000-0000-0000D71E0000}"/>
    <cellStyle name="20% - Accent4 4 3 2 5" xfId="7849" xr:uid="{00000000-0005-0000-0000-0000D81E0000}"/>
    <cellStyle name="20% - Accent4 4 3 2 5 2" xfId="7850" xr:uid="{00000000-0005-0000-0000-0000D91E0000}"/>
    <cellStyle name="20% - Accent4 4 3 2 6" xfId="7851" xr:uid="{00000000-0005-0000-0000-0000DA1E0000}"/>
    <cellStyle name="20% - Accent4 4 3 3" xfId="7852" xr:uid="{00000000-0005-0000-0000-0000DB1E0000}"/>
    <cellStyle name="20% - Accent4 4 3 3 2" xfId="7853" xr:uid="{00000000-0005-0000-0000-0000DC1E0000}"/>
    <cellStyle name="20% - Accent4 4 3 3 2 2" xfId="7854" xr:uid="{00000000-0005-0000-0000-0000DD1E0000}"/>
    <cellStyle name="20% - Accent4 4 3 3 2 2 2" xfId="7855" xr:uid="{00000000-0005-0000-0000-0000DE1E0000}"/>
    <cellStyle name="20% - Accent4 4 3 3 2 2 2 2" xfId="7856" xr:uid="{00000000-0005-0000-0000-0000DF1E0000}"/>
    <cellStyle name="20% - Accent4 4 3 3 2 2 3" xfId="7857" xr:uid="{00000000-0005-0000-0000-0000E01E0000}"/>
    <cellStyle name="20% - Accent4 4 3 3 2 3" xfId="7858" xr:uid="{00000000-0005-0000-0000-0000E11E0000}"/>
    <cellStyle name="20% - Accent4 4 3 3 2 3 2" xfId="7859" xr:uid="{00000000-0005-0000-0000-0000E21E0000}"/>
    <cellStyle name="20% - Accent4 4 3 3 2 4" xfId="7860" xr:uid="{00000000-0005-0000-0000-0000E31E0000}"/>
    <cellStyle name="20% - Accent4 4 3 3 3" xfId="7861" xr:uid="{00000000-0005-0000-0000-0000E41E0000}"/>
    <cellStyle name="20% - Accent4 4 3 3 3 2" xfId="7862" xr:uid="{00000000-0005-0000-0000-0000E51E0000}"/>
    <cellStyle name="20% - Accent4 4 3 3 3 2 2" xfId="7863" xr:uid="{00000000-0005-0000-0000-0000E61E0000}"/>
    <cellStyle name="20% - Accent4 4 3 3 3 3" xfId="7864" xr:uid="{00000000-0005-0000-0000-0000E71E0000}"/>
    <cellStyle name="20% - Accent4 4 3 3 4" xfId="7865" xr:uid="{00000000-0005-0000-0000-0000E81E0000}"/>
    <cellStyle name="20% - Accent4 4 3 3 4 2" xfId="7866" xr:uid="{00000000-0005-0000-0000-0000E91E0000}"/>
    <cellStyle name="20% - Accent4 4 3 3 5" xfId="7867" xr:uid="{00000000-0005-0000-0000-0000EA1E0000}"/>
    <cellStyle name="20% - Accent4 4 3 4" xfId="7868" xr:uid="{00000000-0005-0000-0000-0000EB1E0000}"/>
    <cellStyle name="20% - Accent4 4 3 4 2" xfId="7869" xr:uid="{00000000-0005-0000-0000-0000EC1E0000}"/>
    <cellStyle name="20% - Accent4 4 3 4 2 2" xfId="7870" xr:uid="{00000000-0005-0000-0000-0000ED1E0000}"/>
    <cellStyle name="20% - Accent4 4 3 4 2 2 2" xfId="7871" xr:uid="{00000000-0005-0000-0000-0000EE1E0000}"/>
    <cellStyle name="20% - Accent4 4 3 4 2 3" xfId="7872" xr:uid="{00000000-0005-0000-0000-0000EF1E0000}"/>
    <cellStyle name="20% - Accent4 4 3 4 3" xfId="7873" xr:uid="{00000000-0005-0000-0000-0000F01E0000}"/>
    <cellStyle name="20% - Accent4 4 3 4 3 2" xfId="7874" xr:uid="{00000000-0005-0000-0000-0000F11E0000}"/>
    <cellStyle name="20% - Accent4 4 3 4 4" xfId="7875" xr:uid="{00000000-0005-0000-0000-0000F21E0000}"/>
    <cellStyle name="20% - Accent4 4 3 5" xfId="7876" xr:uid="{00000000-0005-0000-0000-0000F31E0000}"/>
    <cellStyle name="20% - Accent4 4 3 5 2" xfId="7877" xr:uid="{00000000-0005-0000-0000-0000F41E0000}"/>
    <cellStyle name="20% - Accent4 4 3 5 2 2" xfId="7878" xr:uid="{00000000-0005-0000-0000-0000F51E0000}"/>
    <cellStyle name="20% - Accent4 4 3 5 3" xfId="7879" xr:uid="{00000000-0005-0000-0000-0000F61E0000}"/>
    <cellStyle name="20% - Accent4 4 3 6" xfId="7880" xr:uid="{00000000-0005-0000-0000-0000F71E0000}"/>
    <cellStyle name="20% - Accent4 4 3 6 2" xfId="7881" xr:uid="{00000000-0005-0000-0000-0000F81E0000}"/>
    <cellStyle name="20% - Accent4 4 3 7" xfId="7882" xr:uid="{00000000-0005-0000-0000-0000F91E0000}"/>
    <cellStyle name="20% - Accent4 4 4" xfId="7883" xr:uid="{00000000-0005-0000-0000-0000FA1E0000}"/>
    <cellStyle name="20% - Accent4 4 4 2" xfId="7884" xr:uid="{00000000-0005-0000-0000-0000FB1E0000}"/>
    <cellStyle name="20% - Accent4 4 4 2 2" xfId="7885" xr:uid="{00000000-0005-0000-0000-0000FC1E0000}"/>
    <cellStyle name="20% - Accent4 4 4 2 2 2" xfId="7886" xr:uid="{00000000-0005-0000-0000-0000FD1E0000}"/>
    <cellStyle name="20% - Accent4 4 4 2 2 2 2" xfId="7887" xr:uid="{00000000-0005-0000-0000-0000FE1E0000}"/>
    <cellStyle name="20% - Accent4 4 4 2 2 2 2 2" xfId="7888" xr:uid="{00000000-0005-0000-0000-0000FF1E0000}"/>
    <cellStyle name="20% - Accent4 4 4 2 2 2 3" xfId="7889" xr:uid="{00000000-0005-0000-0000-0000001F0000}"/>
    <cellStyle name="20% - Accent4 4 4 2 2 3" xfId="7890" xr:uid="{00000000-0005-0000-0000-0000011F0000}"/>
    <cellStyle name="20% - Accent4 4 4 2 2 3 2" xfId="7891" xr:uid="{00000000-0005-0000-0000-0000021F0000}"/>
    <cellStyle name="20% - Accent4 4 4 2 2 4" xfId="7892" xr:uid="{00000000-0005-0000-0000-0000031F0000}"/>
    <cellStyle name="20% - Accent4 4 4 2 3" xfId="7893" xr:uid="{00000000-0005-0000-0000-0000041F0000}"/>
    <cellStyle name="20% - Accent4 4 4 2 3 2" xfId="7894" xr:uid="{00000000-0005-0000-0000-0000051F0000}"/>
    <cellStyle name="20% - Accent4 4 4 2 3 2 2" xfId="7895" xr:uid="{00000000-0005-0000-0000-0000061F0000}"/>
    <cellStyle name="20% - Accent4 4 4 2 3 3" xfId="7896" xr:uid="{00000000-0005-0000-0000-0000071F0000}"/>
    <cellStyle name="20% - Accent4 4 4 2 4" xfId="7897" xr:uid="{00000000-0005-0000-0000-0000081F0000}"/>
    <cellStyle name="20% - Accent4 4 4 2 4 2" xfId="7898" xr:uid="{00000000-0005-0000-0000-0000091F0000}"/>
    <cellStyle name="20% - Accent4 4 4 2 5" xfId="7899" xr:uid="{00000000-0005-0000-0000-00000A1F0000}"/>
    <cellStyle name="20% - Accent4 4 4 3" xfId="7900" xr:uid="{00000000-0005-0000-0000-00000B1F0000}"/>
    <cellStyle name="20% - Accent4 4 4 3 2" xfId="7901" xr:uid="{00000000-0005-0000-0000-00000C1F0000}"/>
    <cellStyle name="20% - Accent4 4 4 3 2 2" xfId="7902" xr:uid="{00000000-0005-0000-0000-00000D1F0000}"/>
    <cellStyle name="20% - Accent4 4 4 3 2 2 2" xfId="7903" xr:uid="{00000000-0005-0000-0000-00000E1F0000}"/>
    <cellStyle name="20% - Accent4 4 4 3 2 3" xfId="7904" xr:uid="{00000000-0005-0000-0000-00000F1F0000}"/>
    <cellStyle name="20% - Accent4 4 4 3 3" xfId="7905" xr:uid="{00000000-0005-0000-0000-0000101F0000}"/>
    <cellStyle name="20% - Accent4 4 4 3 3 2" xfId="7906" xr:uid="{00000000-0005-0000-0000-0000111F0000}"/>
    <cellStyle name="20% - Accent4 4 4 3 4" xfId="7907" xr:uid="{00000000-0005-0000-0000-0000121F0000}"/>
    <cellStyle name="20% - Accent4 4 4 4" xfId="7908" xr:uid="{00000000-0005-0000-0000-0000131F0000}"/>
    <cellStyle name="20% - Accent4 4 4 4 2" xfId="7909" xr:uid="{00000000-0005-0000-0000-0000141F0000}"/>
    <cellStyle name="20% - Accent4 4 4 4 2 2" xfId="7910" xr:uid="{00000000-0005-0000-0000-0000151F0000}"/>
    <cellStyle name="20% - Accent4 4 4 4 3" xfId="7911" xr:uid="{00000000-0005-0000-0000-0000161F0000}"/>
    <cellStyle name="20% - Accent4 4 4 5" xfId="7912" xr:uid="{00000000-0005-0000-0000-0000171F0000}"/>
    <cellStyle name="20% - Accent4 4 4 5 2" xfId="7913" xr:uid="{00000000-0005-0000-0000-0000181F0000}"/>
    <cellStyle name="20% - Accent4 4 4 6" xfId="7914" xr:uid="{00000000-0005-0000-0000-0000191F0000}"/>
    <cellStyle name="20% - Accent4 4 5" xfId="7915" xr:uid="{00000000-0005-0000-0000-00001A1F0000}"/>
    <cellStyle name="20% - Accent4 4 5 2" xfId="7916" xr:uid="{00000000-0005-0000-0000-00001B1F0000}"/>
    <cellStyle name="20% - Accent4 4 5 2 2" xfId="7917" xr:uid="{00000000-0005-0000-0000-00001C1F0000}"/>
    <cellStyle name="20% - Accent4 4 5 2 2 2" xfId="7918" xr:uid="{00000000-0005-0000-0000-00001D1F0000}"/>
    <cellStyle name="20% - Accent4 4 5 2 2 2 2" xfId="7919" xr:uid="{00000000-0005-0000-0000-00001E1F0000}"/>
    <cellStyle name="20% - Accent4 4 5 2 2 3" xfId="7920" xr:uid="{00000000-0005-0000-0000-00001F1F0000}"/>
    <cellStyle name="20% - Accent4 4 5 2 3" xfId="7921" xr:uid="{00000000-0005-0000-0000-0000201F0000}"/>
    <cellStyle name="20% - Accent4 4 5 2 3 2" xfId="7922" xr:uid="{00000000-0005-0000-0000-0000211F0000}"/>
    <cellStyle name="20% - Accent4 4 5 2 4" xfId="7923" xr:uid="{00000000-0005-0000-0000-0000221F0000}"/>
    <cellStyle name="20% - Accent4 4 5 3" xfId="7924" xr:uid="{00000000-0005-0000-0000-0000231F0000}"/>
    <cellStyle name="20% - Accent4 4 5 3 2" xfId="7925" xr:uid="{00000000-0005-0000-0000-0000241F0000}"/>
    <cellStyle name="20% - Accent4 4 5 3 2 2" xfId="7926" xr:uid="{00000000-0005-0000-0000-0000251F0000}"/>
    <cellStyle name="20% - Accent4 4 5 3 3" xfId="7927" xr:uid="{00000000-0005-0000-0000-0000261F0000}"/>
    <cellStyle name="20% - Accent4 4 5 4" xfId="7928" xr:uid="{00000000-0005-0000-0000-0000271F0000}"/>
    <cellStyle name="20% - Accent4 4 5 4 2" xfId="7929" xr:uid="{00000000-0005-0000-0000-0000281F0000}"/>
    <cellStyle name="20% - Accent4 4 5 5" xfId="7930" xr:uid="{00000000-0005-0000-0000-0000291F0000}"/>
    <cellStyle name="20% - Accent4 4 6" xfId="7931" xr:uid="{00000000-0005-0000-0000-00002A1F0000}"/>
    <cellStyle name="20% - Accent4 4 6 2" xfId="7932" xr:uid="{00000000-0005-0000-0000-00002B1F0000}"/>
    <cellStyle name="20% - Accent4 4 6 2 2" xfId="7933" xr:uid="{00000000-0005-0000-0000-00002C1F0000}"/>
    <cellStyle name="20% - Accent4 4 6 2 2 2" xfId="7934" xr:uid="{00000000-0005-0000-0000-00002D1F0000}"/>
    <cellStyle name="20% - Accent4 4 6 2 3" xfId="7935" xr:uid="{00000000-0005-0000-0000-00002E1F0000}"/>
    <cellStyle name="20% - Accent4 4 6 3" xfId="7936" xr:uid="{00000000-0005-0000-0000-00002F1F0000}"/>
    <cellStyle name="20% - Accent4 4 6 3 2" xfId="7937" xr:uid="{00000000-0005-0000-0000-0000301F0000}"/>
    <cellStyle name="20% - Accent4 4 6 4" xfId="7938" xr:uid="{00000000-0005-0000-0000-0000311F0000}"/>
    <cellStyle name="20% - Accent4 4 7" xfId="7939" xr:uid="{00000000-0005-0000-0000-0000321F0000}"/>
    <cellStyle name="20% - Accent4 4 7 2" xfId="7940" xr:uid="{00000000-0005-0000-0000-0000331F0000}"/>
    <cellStyle name="20% - Accent4 4 7 2 2" xfId="7941" xr:uid="{00000000-0005-0000-0000-0000341F0000}"/>
    <cellStyle name="20% - Accent4 4 7 3" xfId="7942" xr:uid="{00000000-0005-0000-0000-0000351F0000}"/>
    <cellStyle name="20% - Accent4 4 8" xfId="7943" xr:uid="{00000000-0005-0000-0000-0000361F0000}"/>
    <cellStyle name="20% - Accent4 4 8 2" xfId="7944" xr:uid="{00000000-0005-0000-0000-0000371F0000}"/>
    <cellStyle name="20% - Accent4 4 9" xfId="7945" xr:uid="{00000000-0005-0000-0000-0000381F0000}"/>
    <cellStyle name="20% - Accent4 5" xfId="7946" xr:uid="{00000000-0005-0000-0000-0000391F0000}"/>
    <cellStyle name="20% - Accent4 5 2" xfId="7947" xr:uid="{00000000-0005-0000-0000-00003A1F0000}"/>
    <cellStyle name="20% - Accent4 5 2 2" xfId="7948" xr:uid="{00000000-0005-0000-0000-00003B1F0000}"/>
    <cellStyle name="20% - Accent4 5 2 2 2" xfId="7949" xr:uid="{00000000-0005-0000-0000-00003C1F0000}"/>
    <cellStyle name="20% - Accent4 5 2 2 2 2" xfId="7950" xr:uid="{00000000-0005-0000-0000-00003D1F0000}"/>
    <cellStyle name="20% - Accent4 5 2 2 2 2 2" xfId="7951" xr:uid="{00000000-0005-0000-0000-00003E1F0000}"/>
    <cellStyle name="20% - Accent4 5 2 2 2 2 2 2" xfId="7952" xr:uid="{00000000-0005-0000-0000-00003F1F0000}"/>
    <cellStyle name="20% - Accent4 5 2 2 2 2 2 2 2" xfId="7953" xr:uid="{00000000-0005-0000-0000-0000401F0000}"/>
    <cellStyle name="20% - Accent4 5 2 2 2 2 2 3" xfId="7954" xr:uid="{00000000-0005-0000-0000-0000411F0000}"/>
    <cellStyle name="20% - Accent4 5 2 2 2 2 3" xfId="7955" xr:uid="{00000000-0005-0000-0000-0000421F0000}"/>
    <cellStyle name="20% - Accent4 5 2 2 2 2 3 2" xfId="7956" xr:uid="{00000000-0005-0000-0000-0000431F0000}"/>
    <cellStyle name="20% - Accent4 5 2 2 2 2 4" xfId="7957" xr:uid="{00000000-0005-0000-0000-0000441F0000}"/>
    <cellStyle name="20% - Accent4 5 2 2 2 3" xfId="7958" xr:uid="{00000000-0005-0000-0000-0000451F0000}"/>
    <cellStyle name="20% - Accent4 5 2 2 2 3 2" xfId="7959" xr:uid="{00000000-0005-0000-0000-0000461F0000}"/>
    <cellStyle name="20% - Accent4 5 2 2 2 3 2 2" xfId="7960" xr:uid="{00000000-0005-0000-0000-0000471F0000}"/>
    <cellStyle name="20% - Accent4 5 2 2 2 3 3" xfId="7961" xr:uid="{00000000-0005-0000-0000-0000481F0000}"/>
    <cellStyle name="20% - Accent4 5 2 2 2 4" xfId="7962" xr:uid="{00000000-0005-0000-0000-0000491F0000}"/>
    <cellStyle name="20% - Accent4 5 2 2 2 4 2" xfId="7963" xr:uid="{00000000-0005-0000-0000-00004A1F0000}"/>
    <cellStyle name="20% - Accent4 5 2 2 2 5" xfId="7964" xr:uid="{00000000-0005-0000-0000-00004B1F0000}"/>
    <cellStyle name="20% - Accent4 5 2 2 3" xfId="7965" xr:uid="{00000000-0005-0000-0000-00004C1F0000}"/>
    <cellStyle name="20% - Accent4 5 2 2 3 2" xfId="7966" xr:uid="{00000000-0005-0000-0000-00004D1F0000}"/>
    <cellStyle name="20% - Accent4 5 2 2 3 2 2" xfId="7967" xr:uid="{00000000-0005-0000-0000-00004E1F0000}"/>
    <cellStyle name="20% - Accent4 5 2 2 3 2 2 2" xfId="7968" xr:uid="{00000000-0005-0000-0000-00004F1F0000}"/>
    <cellStyle name="20% - Accent4 5 2 2 3 2 3" xfId="7969" xr:uid="{00000000-0005-0000-0000-0000501F0000}"/>
    <cellStyle name="20% - Accent4 5 2 2 3 3" xfId="7970" xr:uid="{00000000-0005-0000-0000-0000511F0000}"/>
    <cellStyle name="20% - Accent4 5 2 2 3 3 2" xfId="7971" xr:uid="{00000000-0005-0000-0000-0000521F0000}"/>
    <cellStyle name="20% - Accent4 5 2 2 3 4" xfId="7972" xr:uid="{00000000-0005-0000-0000-0000531F0000}"/>
    <cellStyle name="20% - Accent4 5 2 2 4" xfId="7973" xr:uid="{00000000-0005-0000-0000-0000541F0000}"/>
    <cellStyle name="20% - Accent4 5 2 2 4 2" xfId="7974" xr:uid="{00000000-0005-0000-0000-0000551F0000}"/>
    <cellStyle name="20% - Accent4 5 2 2 4 2 2" xfId="7975" xr:uid="{00000000-0005-0000-0000-0000561F0000}"/>
    <cellStyle name="20% - Accent4 5 2 2 4 3" xfId="7976" xr:uid="{00000000-0005-0000-0000-0000571F0000}"/>
    <cellStyle name="20% - Accent4 5 2 2 5" xfId="7977" xr:uid="{00000000-0005-0000-0000-0000581F0000}"/>
    <cellStyle name="20% - Accent4 5 2 2 5 2" xfId="7978" xr:uid="{00000000-0005-0000-0000-0000591F0000}"/>
    <cellStyle name="20% - Accent4 5 2 2 6" xfId="7979" xr:uid="{00000000-0005-0000-0000-00005A1F0000}"/>
    <cellStyle name="20% - Accent4 5 2 3" xfId="7980" xr:uid="{00000000-0005-0000-0000-00005B1F0000}"/>
    <cellStyle name="20% - Accent4 5 2 3 2" xfId="7981" xr:uid="{00000000-0005-0000-0000-00005C1F0000}"/>
    <cellStyle name="20% - Accent4 5 2 3 2 2" xfId="7982" xr:uid="{00000000-0005-0000-0000-00005D1F0000}"/>
    <cellStyle name="20% - Accent4 5 2 3 2 2 2" xfId="7983" xr:uid="{00000000-0005-0000-0000-00005E1F0000}"/>
    <cellStyle name="20% - Accent4 5 2 3 2 2 2 2" xfId="7984" xr:uid="{00000000-0005-0000-0000-00005F1F0000}"/>
    <cellStyle name="20% - Accent4 5 2 3 2 2 3" xfId="7985" xr:uid="{00000000-0005-0000-0000-0000601F0000}"/>
    <cellStyle name="20% - Accent4 5 2 3 2 3" xfId="7986" xr:uid="{00000000-0005-0000-0000-0000611F0000}"/>
    <cellStyle name="20% - Accent4 5 2 3 2 3 2" xfId="7987" xr:uid="{00000000-0005-0000-0000-0000621F0000}"/>
    <cellStyle name="20% - Accent4 5 2 3 2 4" xfId="7988" xr:uid="{00000000-0005-0000-0000-0000631F0000}"/>
    <cellStyle name="20% - Accent4 5 2 3 3" xfId="7989" xr:uid="{00000000-0005-0000-0000-0000641F0000}"/>
    <cellStyle name="20% - Accent4 5 2 3 3 2" xfId="7990" xr:uid="{00000000-0005-0000-0000-0000651F0000}"/>
    <cellStyle name="20% - Accent4 5 2 3 3 2 2" xfId="7991" xr:uid="{00000000-0005-0000-0000-0000661F0000}"/>
    <cellStyle name="20% - Accent4 5 2 3 3 3" xfId="7992" xr:uid="{00000000-0005-0000-0000-0000671F0000}"/>
    <cellStyle name="20% - Accent4 5 2 3 4" xfId="7993" xr:uid="{00000000-0005-0000-0000-0000681F0000}"/>
    <cellStyle name="20% - Accent4 5 2 3 4 2" xfId="7994" xr:uid="{00000000-0005-0000-0000-0000691F0000}"/>
    <cellStyle name="20% - Accent4 5 2 3 5" xfId="7995" xr:uid="{00000000-0005-0000-0000-00006A1F0000}"/>
    <cellStyle name="20% - Accent4 5 2 4" xfId="7996" xr:uid="{00000000-0005-0000-0000-00006B1F0000}"/>
    <cellStyle name="20% - Accent4 5 2 4 2" xfId="7997" xr:uid="{00000000-0005-0000-0000-00006C1F0000}"/>
    <cellStyle name="20% - Accent4 5 2 4 2 2" xfId="7998" xr:uid="{00000000-0005-0000-0000-00006D1F0000}"/>
    <cellStyle name="20% - Accent4 5 2 4 2 2 2" xfId="7999" xr:uid="{00000000-0005-0000-0000-00006E1F0000}"/>
    <cellStyle name="20% - Accent4 5 2 4 2 3" xfId="8000" xr:uid="{00000000-0005-0000-0000-00006F1F0000}"/>
    <cellStyle name="20% - Accent4 5 2 4 3" xfId="8001" xr:uid="{00000000-0005-0000-0000-0000701F0000}"/>
    <cellStyle name="20% - Accent4 5 2 4 3 2" xfId="8002" xr:uid="{00000000-0005-0000-0000-0000711F0000}"/>
    <cellStyle name="20% - Accent4 5 2 4 4" xfId="8003" xr:uid="{00000000-0005-0000-0000-0000721F0000}"/>
    <cellStyle name="20% - Accent4 5 2 5" xfId="8004" xr:uid="{00000000-0005-0000-0000-0000731F0000}"/>
    <cellStyle name="20% - Accent4 5 2 5 2" xfId="8005" xr:uid="{00000000-0005-0000-0000-0000741F0000}"/>
    <cellStyle name="20% - Accent4 5 2 5 2 2" xfId="8006" xr:uid="{00000000-0005-0000-0000-0000751F0000}"/>
    <cellStyle name="20% - Accent4 5 2 5 3" xfId="8007" xr:uid="{00000000-0005-0000-0000-0000761F0000}"/>
    <cellStyle name="20% - Accent4 5 2 6" xfId="8008" xr:uid="{00000000-0005-0000-0000-0000771F0000}"/>
    <cellStyle name="20% - Accent4 5 2 6 2" xfId="8009" xr:uid="{00000000-0005-0000-0000-0000781F0000}"/>
    <cellStyle name="20% - Accent4 5 2 7" xfId="8010" xr:uid="{00000000-0005-0000-0000-0000791F0000}"/>
    <cellStyle name="20% - Accent4 5 3" xfId="8011" xr:uid="{00000000-0005-0000-0000-00007A1F0000}"/>
    <cellStyle name="20% - Accent4 5 3 2" xfId="8012" xr:uid="{00000000-0005-0000-0000-00007B1F0000}"/>
    <cellStyle name="20% - Accent4 5 3 2 2" xfId="8013" xr:uid="{00000000-0005-0000-0000-00007C1F0000}"/>
    <cellStyle name="20% - Accent4 5 3 2 2 2" xfId="8014" xr:uid="{00000000-0005-0000-0000-00007D1F0000}"/>
    <cellStyle name="20% - Accent4 5 3 2 2 2 2" xfId="8015" xr:uid="{00000000-0005-0000-0000-00007E1F0000}"/>
    <cellStyle name="20% - Accent4 5 3 2 2 2 2 2" xfId="8016" xr:uid="{00000000-0005-0000-0000-00007F1F0000}"/>
    <cellStyle name="20% - Accent4 5 3 2 2 2 3" xfId="8017" xr:uid="{00000000-0005-0000-0000-0000801F0000}"/>
    <cellStyle name="20% - Accent4 5 3 2 2 3" xfId="8018" xr:uid="{00000000-0005-0000-0000-0000811F0000}"/>
    <cellStyle name="20% - Accent4 5 3 2 2 3 2" xfId="8019" xr:uid="{00000000-0005-0000-0000-0000821F0000}"/>
    <cellStyle name="20% - Accent4 5 3 2 2 4" xfId="8020" xr:uid="{00000000-0005-0000-0000-0000831F0000}"/>
    <cellStyle name="20% - Accent4 5 3 2 3" xfId="8021" xr:uid="{00000000-0005-0000-0000-0000841F0000}"/>
    <cellStyle name="20% - Accent4 5 3 2 3 2" xfId="8022" xr:uid="{00000000-0005-0000-0000-0000851F0000}"/>
    <cellStyle name="20% - Accent4 5 3 2 3 2 2" xfId="8023" xr:uid="{00000000-0005-0000-0000-0000861F0000}"/>
    <cellStyle name="20% - Accent4 5 3 2 3 3" xfId="8024" xr:uid="{00000000-0005-0000-0000-0000871F0000}"/>
    <cellStyle name="20% - Accent4 5 3 2 4" xfId="8025" xr:uid="{00000000-0005-0000-0000-0000881F0000}"/>
    <cellStyle name="20% - Accent4 5 3 2 4 2" xfId="8026" xr:uid="{00000000-0005-0000-0000-0000891F0000}"/>
    <cellStyle name="20% - Accent4 5 3 2 5" xfId="8027" xr:uid="{00000000-0005-0000-0000-00008A1F0000}"/>
    <cellStyle name="20% - Accent4 5 3 3" xfId="8028" xr:uid="{00000000-0005-0000-0000-00008B1F0000}"/>
    <cellStyle name="20% - Accent4 5 3 3 2" xfId="8029" xr:uid="{00000000-0005-0000-0000-00008C1F0000}"/>
    <cellStyle name="20% - Accent4 5 3 3 2 2" xfId="8030" xr:uid="{00000000-0005-0000-0000-00008D1F0000}"/>
    <cellStyle name="20% - Accent4 5 3 3 2 2 2" xfId="8031" xr:uid="{00000000-0005-0000-0000-00008E1F0000}"/>
    <cellStyle name="20% - Accent4 5 3 3 2 3" xfId="8032" xr:uid="{00000000-0005-0000-0000-00008F1F0000}"/>
    <cellStyle name="20% - Accent4 5 3 3 3" xfId="8033" xr:uid="{00000000-0005-0000-0000-0000901F0000}"/>
    <cellStyle name="20% - Accent4 5 3 3 3 2" xfId="8034" xr:uid="{00000000-0005-0000-0000-0000911F0000}"/>
    <cellStyle name="20% - Accent4 5 3 3 4" xfId="8035" xr:uid="{00000000-0005-0000-0000-0000921F0000}"/>
    <cellStyle name="20% - Accent4 5 3 4" xfId="8036" xr:uid="{00000000-0005-0000-0000-0000931F0000}"/>
    <cellStyle name="20% - Accent4 5 3 4 2" xfId="8037" xr:uid="{00000000-0005-0000-0000-0000941F0000}"/>
    <cellStyle name="20% - Accent4 5 3 4 2 2" xfId="8038" xr:uid="{00000000-0005-0000-0000-0000951F0000}"/>
    <cellStyle name="20% - Accent4 5 3 4 3" xfId="8039" xr:uid="{00000000-0005-0000-0000-0000961F0000}"/>
    <cellStyle name="20% - Accent4 5 3 5" xfId="8040" xr:uid="{00000000-0005-0000-0000-0000971F0000}"/>
    <cellStyle name="20% - Accent4 5 3 5 2" xfId="8041" xr:uid="{00000000-0005-0000-0000-0000981F0000}"/>
    <cellStyle name="20% - Accent4 5 3 6" xfId="8042" xr:uid="{00000000-0005-0000-0000-0000991F0000}"/>
    <cellStyle name="20% - Accent4 5 4" xfId="8043" xr:uid="{00000000-0005-0000-0000-00009A1F0000}"/>
    <cellStyle name="20% - Accent4 5 4 2" xfId="8044" xr:uid="{00000000-0005-0000-0000-00009B1F0000}"/>
    <cellStyle name="20% - Accent4 5 4 2 2" xfId="8045" xr:uid="{00000000-0005-0000-0000-00009C1F0000}"/>
    <cellStyle name="20% - Accent4 5 4 2 2 2" xfId="8046" xr:uid="{00000000-0005-0000-0000-00009D1F0000}"/>
    <cellStyle name="20% - Accent4 5 4 2 2 2 2" xfId="8047" xr:uid="{00000000-0005-0000-0000-00009E1F0000}"/>
    <cellStyle name="20% - Accent4 5 4 2 2 3" xfId="8048" xr:uid="{00000000-0005-0000-0000-00009F1F0000}"/>
    <cellStyle name="20% - Accent4 5 4 2 3" xfId="8049" xr:uid="{00000000-0005-0000-0000-0000A01F0000}"/>
    <cellStyle name="20% - Accent4 5 4 2 3 2" xfId="8050" xr:uid="{00000000-0005-0000-0000-0000A11F0000}"/>
    <cellStyle name="20% - Accent4 5 4 2 4" xfId="8051" xr:uid="{00000000-0005-0000-0000-0000A21F0000}"/>
    <cellStyle name="20% - Accent4 5 4 3" xfId="8052" xr:uid="{00000000-0005-0000-0000-0000A31F0000}"/>
    <cellStyle name="20% - Accent4 5 4 3 2" xfId="8053" xr:uid="{00000000-0005-0000-0000-0000A41F0000}"/>
    <cellStyle name="20% - Accent4 5 4 3 2 2" xfId="8054" xr:uid="{00000000-0005-0000-0000-0000A51F0000}"/>
    <cellStyle name="20% - Accent4 5 4 3 3" xfId="8055" xr:uid="{00000000-0005-0000-0000-0000A61F0000}"/>
    <cellStyle name="20% - Accent4 5 4 4" xfId="8056" xr:uid="{00000000-0005-0000-0000-0000A71F0000}"/>
    <cellStyle name="20% - Accent4 5 4 4 2" xfId="8057" xr:uid="{00000000-0005-0000-0000-0000A81F0000}"/>
    <cellStyle name="20% - Accent4 5 4 5" xfId="8058" xr:uid="{00000000-0005-0000-0000-0000A91F0000}"/>
    <cellStyle name="20% - Accent4 5 5" xfId="8059" xr:uid="{00000000-0005-0000-0000-0000AA1F0000}"/>
    <cellStyle name="20% - Accent4 5 5 2" xfId="8060" xr:uid="{00000000-0005-0000-0000-0000AB1F0000}"/>
    <cellStyle name="20% - Accent4 5 5 2 2" xfId="8061" xr:uid="{00000000-0005-0000-0000-0000AC1F0000}"/>
    <cellStyle name="20% - Accent4 5 5 2 2 2" xfId="8062" xr:uid="{00000000-0005-0000-0000-0000AD1F0000}"/>
    <cellStyle name="20% - Accent4 5 5 2 3" xfId="8063" xr:uid="{00000000-0005-0000-0000-0000AE1F0000}"/>
    <cellStyle name="20% - Accent4 5 5 3" xfId="8064" xr:uid="{00000000-0005-0000-0000-0000AF1F0000}"/>
    <cellStyle name="20% - Accent4 5 5 3 2" xfId="8065" xr:uid="{00000000-0005-0000-0000-0000B01F0000}"/>
    <cellStyle name="20% - Accent4 5 5 4" xfId="8066" xr:uid="{00000000-0005-0000-0000-0000B11F0000}"/>
    <cellStyle name="20% - Accent4 5 6" xfId="8067" xr:uid="{00000000-0005-0000-0000-0000B21F0000}"/>
    <cellStyle name="20% - Accent4 5 6 2" xfId="8068" xr:uid="{00000000-0005-0000-0000-0000B31F0000}"/>
    <cellStyle name="20% - Accent4 5 6 2 2" xfId="8069" xr:uid="{00000000-0005-0000-0000-0000B41F0000}"/>
    <cellStyle name="20% - Accent4 5 6 3" xfId="8070" xr:uid="{00000000-0005-0000-0000-0000B51F0000}"/>
    <cellStyle name="20% - Accent4 5 7" xfId="8071" xr:uid="{00000000-0005-0000-0000-0000B61F0000}"/>
    <cellStyle name="20% - Accent4 5 7 2" xfId="8072" xr:uid="{00000000-0005-0000-0000-0000B71F0000}"/>
    <cellStyle name="20% - Accent4 5 8" xfId="8073" xr:uid="{00000000-0005-0000-0000-0000B81F0000}"/>
    <cellStyle name="20% - Accent4 6" xfId="8074" xr:uid="{00000000-0005-0000-0000-0000B91F0000}"/>
    <cellStyle name="20% - Accent4 6 2" xfId="8075" xr:uid="{00000000-0005-0000-0000-0000BA1F0000}"/>
    <cellStyle name="20% - Accent4 6 2 2" xfId="8076" xr:uid="{00000000-0005-0000-0000-0000BB1F0000}"/>
    <cellStyle name="20% - Accent4 6 2 2 2" xfId="8077" xr:uid="{00000000-0005-0000-0000-0000BC1F0000}"/>
    <cellStyle name="20% - Accent4 6 2 2 2 2" xfId="8078" xr:uid="{00000000-0005-0000-0000-0000BD1F0000}"/>
    <cellStyle name="20% - Accent4 6 2 2 2 2 2" xfId="8079" xr:uid="{00000000-0005-0000-0000-0000BE1F0000}"/>
    <cellStyle name="20% - Accent4 6 2 2 2 2 2 2" xfId="8080" xr:uid="{00000000-0005-0000-0000-0000BF1F0000}"/>
    <cellStyle name="20% - Accent4 6 2 2 2 2 3" xfId="8081" xr:uid="{00000000-0005-0000-0000-0000C01F0000}"/>
    <cellStyle name="20% - Accent4 6 2 2 2 3" xfId="8082" xr:uid="{00000000-0005-0000-0000-0000C11F0000}"/>
    <cellStyle name="20% - Accent4 6 2 2 2 3 2" xfId="8083" xr:uid="{00000000-0005-0000-0000-0000C21F0000}"/>
    <cellStyle name="20% - Accent4 6 2 2 2 4" xfId="8084" xr:uid="{00000000-0005-0000-0000-0000C31F0000}"/>
    <cellStyle name="20% - Accent4 6 2 2 3" xfId="8085" xr:uid="{00000000-0005-0000-0000-0000C41F0000}"/>
    <cellStyle name="20% - Accent4 6 2 2 3 2" xfId="8086" xr:uid="{00000000-0005-0000-0000-0000C51F0000}"/>
    <cellStyle name="20% - Accent4 6 2 2 3 2 2" xfId="8087" xr:uid="{00000000-0005-0000-0000-0000C61F0000}"/>
    <cellStyle name="20% - Accent4 6 2 2 3 3" xfId="8088" xr:uid="{00000000-0005-0000-0000-0000C71F0000}"/>
    <cellStyle name="20% - Accent4 6 2 2 4" xfId="8089" xr:uid="{00000000-0005-0000-0000-0000C81F0000}"/>
    <cellStyle name="20% - Accent4 6 2 2 4 2" xfId="8090" xr:uid="{00000000-0005-0000-0000-0000C91F0000}"/>
    <cellStyle name="20% - Accent4 6 2 2 5" xfId="8091" xr:uid="{00000000-0005-0000-0000-0000CA1F0000}"/>
    <cellStyle name="20% - Accent4 6 2 3" xfId="8092" xr:uid="{00000000-0005-0000-0000-0000CB1F0000}"/>
    <cellStyle name="20% - Accent4 6 2 3 2" xfId="8093" xr:uid="{00000000-0005-0000-0000-0000CC1F0000}"/>
    <cellStyle name="20% - Accent4 6 2 3 2 2" xfId="8094" xr:uid="{00000000-0005-0000-0000-0000CD1F0000}"/>
    <cellStyle name="20% - Accent4 6 2 3 2 2 2" xfId="8095" xr:uid="{00000000-0005-0000-0000-0000CE1F0000}"/>
    <cellStyle name="20% - Accent4 6 2 3 2 3" xfId="8096" xr:uid="{00000000-0005-0000-0000-0000CF1F0000}"/>
    <cellStyle name="20% - Accent4 6 2 3 3" xfId="8097" xr:uid="{00000000-0005-0000-0000-0000D01F0000}"/>
    <cellStyle name="20% - Accent4 6 2 3 3 2" xfId="8098" xr:uid="{00000000-0005-0000-0000-0000D11F0000}"/>
    <cellStyle name="20% - Accent4 6 2 3 4" xfId="8099" xr:uid="{00000000-0005-0000-0000-0000D21F0000}"/>
    <cellStyle name="20% - Accent4 6 2 4" xfId="8100" xr:uid="{00000000-0005-0000-0000-0000D31F0000}"/>
    <cellStyle name="20% - Accent4 6 2 4 2" xfId="8101" xr:uid="{00000000-0005-0000-0000-0000D41F0000}"/>
    <cellStyle name="20% - Accent4 6 2 4 2 2" xfId="8102" xr:uid="{00000000-0005-0000-0000-0000D51F0000}"/>
    <cellStyle name="20% - Accent4 6 2 4 3" xfId="8103" xr:uid="{00000000-0005-0000-0000-0000D61F0000}"/>
    <cellStyle name="20% - Accent4 6 2 5" xfId="8104" xr:uid="{00000000-0005-0000-0000-0000D71F0000}"/>
    <cellStyle name="20% - Accent4 6 2 5 2" xfId="8105" xr:uid="{00000000-0005-0000-0000-0000D81F0000}"/>
    <cellStyle name="20% - Accent4 6 2 6" xfId="8106" xr:uid="{00000000-0005-0000-0000-0000D91F0000}"/>
    <cellStyle name="20% - Accent4 6 3" xfId="8107" xr:uid="{00000000-0005-0000-0000-0000DA1F0000}"/>
    <cellStyle name="20% - Accent4 6 3 2" xfId="8108" xr:uid="{00000000-0005-0000-0000-0000DB1F0000}"/>
    <cellStyle name="20% - Accent4 6 3 2 2" xfId="8109" xr:uid="{00000000-0005-0000-0000-0000DC1F0000}"/>
    <cellStyle name="20% - Accent4 6 3 2 2 2" xfId="8110" xr:uid="{00000000-0005-0000-0000-0000DD1F0000}"/>
    <cellStyle name="20% - Accent4 6 3 2 2 2 2" xfId="8111" xr:uid="{00000000-0005-0000-0000-0000DE1F0000}"/>
    <cellStyle name="20% - Accent4 6 3 2 2 3" xfId="8112" xr:uid="{00000000-0005-0000-0000-0000DF1F0000}"/>
    <cellStyle name="20% - Accent4 6 3 2 3" xfId="8113" xr:uid="{00000000-0005-0000-0000-0000E01F0000}"/>
    <cellStyle name="20% - Accent4 6 3 2 3 2" xfId="8114" xr:uid="{00000000-0005-0000-0000-0000E11F0000}"/>
    <cellStyle name="20% - Accent4 6 3 2 4" xfId="8115" xr:uid="{00000000-0005-0000-0000-0000E21F0000}"/>
    <cellStyle name="20% - Accent4 6 3 3" xfId="8116" xr:uid="{00000000-0005-0000-0000-0000E31F0000}"/>
    <cellStyle name="20% - Accent4 6 3 3 2" xfId="8117" xr:uid="{00000000-0005-0000-0000-0000E41F0000}"/>
    <cellStyle name="20% - Accent4 6 3 3 2 2" xfId="8118" xr:uid="{00000000-0005-0000-0000-0000E51F0000}"/>
    <cellStyle name="20% - Accent4 6 3 3 3" xfId="8119" xr:uid="{00000000-0005-0000-0000-0000E61F0000}"/>
    <cellStyle name="20% - Accent4 6 3 4" xfId="8120" xr:uid="{00000000-0005-0000-0000-0000E71F0000}"/>
    <cellStyle name="20% - Accent4 6 3 4 2" xfId="8121" xr:uid="{00000000-0005-0000-0000-0000E81F0000}"/>
    <cellStyle name="20% - Accent4 6 3 5" xfId="8122" xr:uid="{00000000-0005-0000-0000-0000E91F0000}"/>
    <cellStyle name="20% - Accent4 6 4" xfId="8123" xr:uid="{00000000-0005-0000-0000-0000EA1F0000}"/>
    <cellStyle name="20% - Accent4 6 4 2" xfId="8124" xr:uid="{00000000-0005-0000-0000-0000EB1F0000}"/>
    <cellStyle name="20% - Accent4 6 4 2 2" xfId="8125" xr:uid="{00000000-0005-0000-0000-0000EC1F0000}"/>
    <cellStyle name="20% - Accent4 6 4 2 2 2" xfId="8126" xr:uid="{00000000-0005-0000-0000-0000ED1F0000}"/>
    <cellStyle name="20% - Accent4 6 4 2 3" xfId="8127" xr:uid="{00000000-0005-0000-0000-0000EE1F0000}"/>
    <cellStyle name="20% - Accent4 6 4 3" xfId="8128" xr:uid="{00000000-0005-0000-0000-0000EF1F0000}"/>
    <cellStyle name="20% - Accent4 6 4 3 2" xfId="8129" xr:uid="{00000000-0005-0000-0000-0000F01F0000}"/>
    <cellStyle name="20% - Accent4 6 4 4" xfId="8130" xr:uid="{00000000-0005-0000-0000-0000F11F0000}"/>
    <cellStyle name="20% - Accent4 6 5" xfId="8131" xr:uid="{00000000-0005-0000-0000-0000F21F0000}"/>
    <cellStyle name="20% - Accent4 6 5 2" xfId="8132" xr:uid="{00000000-0005-0000-0000-0000F31F0000}"/>
    <cellStyle name="20% - Accent4 6 5 2 2" xfId="8133" xr:uid="{00000000-0005-0000-0000-0000F41F0000}"/>
    <cellStyle name="20% - Accent4 6 5 3" xfId="8134" xr:uid="{00000000-0005-0000-0000-0000F51F0000}"/>
    <cellStyle name="20% - Accent4 6 6" xfId="8135" xr:uid="{00000000-0005-0000-0000-0000F61F0000}"/>
    <cellStyle name="20% - Accent4 6 6 2" xfId="8136" xr:uid="{00000000-0005-0000-0000-0000F71F0000}"/>
    <cellStyle name="20% - Accent4 6 7" xfId="8137" xr:uid="{00000000-0005-0000-0000-0000F81F0000}"/>
    <cellStyle name="20% - Accent4 7" xfId="8138" xr:uid="{00000000-0005-0000-0000-0000F91F0000}"/>
    <cellStyle name="20% - Accent4 7 2" xfId="8139" xr:uid="{00000000-0005-0000-0000-0000FA1F0000}"/>
    <cellStyle name="20% - Accent4 7 2 2" xfId="8140" xr:uid="{00000000-0005-0000-0000-0000FB1F0000}"/>
    <cellStyle name="20% - Accent4 7 2 2 2" xfId="8141" xr:uid="{00000000-0005-0000-0000-0000FC1F0000}"/>
    <cellStyle name="20% - Accent4 7 2 2 2 2" xfId="8142" xr:uid="{00000000-0005-0000-0000-0000FD1F0000}"/>
    <cellStyle name="20% - Accent4 7 2 2 2 2 2" xfId="8143" xr:uid="{00000000-0005-0000-0000-0000FE1F0000}"/>
    <cellStyle name="20% - Accent4 7 2 2 2 3" xfId="8144" xr:uid="{00000000-0005-0000-0000-0000FF1F0000}"/>
    <cellStyle name="20% - Accent4 7 2 2 3" xfId="8145" xr:uid="{00000000-0005-0000-0000-000000200000}"/>
    <cellStyle name="20% - Accent4 7 2 2 3 2" xfId="8146" xr:uid="{00000000-0005-0000-0000-000001200000}"/>
    <cellStyle name="20% - Accent4 7 2 2 4" xfId="8147" xr:uid="{00000000-0005-0000-0000-000002200000}"/>
    <cellStyle name="20% - Accent4 7 2 3" xfId="8148" xr:uid="{00000000-0005-0000-0000-000003200000}"/>
    <cellStyle name="20% - Accent4 7 2 3 2" xfId="8149" xr:uid="{00000000-0005-0000-0000-000004200000}"/>
    <cellStyle name="20% - Accent4 7 2 3 2 2" xfId="8150" xr:uid="{00000000-0005-0000-0000-000005200000}"/>
    <cellStyle name="20% - Accent4 7 2 3 3" xfId="8151" xr:uid="{00000000-0005-0000-0000-000006200000}"/>
    <cellStyle name="20% - Accent4 7 2 4" xfId="8152" xr:uid="{00000000-0005-0000-0000-000007200000}"/>
    <cellStyle name="20% - Accent4 7 2 4 2" xfId="8153" xr:uid="{00000000-0005-0000-0000-000008200000}"/>
    <cellStyle name="20% - Accent4 7 2 5" xfId="8154" xr:uid="{00000000-0005-0000-0000-000009200000}"/>
    <cellStyle name="20% - Accent4 7 3" xfId="8155" xr:uid="{00000000-0005-0000-0000-00000A200000}"/>
    <cellStyle name="20% - Accent4 7 3 2" xfId="8156" xr:uid="{00000000-0005-0000-0000-00000B200000}"/>
    <cellStyle name="20% - Accent4 7 3 2 2" xfId="8157" xr:uid="{00000000-0005-0000-0000-00000C200000}"/>
    <cellStyle name="20% - Accent4 7 3 2 2 2" xfId="8158" xr:uid="{00000000-0005-0000-0000-00000D200000}"/>
    <cellStyle name="20% - Accent4 7 3 2 3" xfId="8159" xr:uid="{00000000-0005-0000-0000-00000E200000}"/>
    <cellStyle name="20% - Accent4 7 3 3" xfId="8160" xr:uid="{00000000-0005-0000-0000-00000F200000}"/>
    <cellStyle name="20% - Accent4 7 3 3 2" xfId="8161" xr:uid="{00000000-0005-0000-0000-000010200000}"/>
    <cellStyle name="20% - Accent4 7 3 4" xfId="8162" xr:uid="{00000000-0005-0000-0000-000011200000}"/>
    <cellStyle name="20% - Accent4 7 4" xfId="8163" xr:uid="{00000000-0005-0000-0000-000012200000}"/>
    <cellStyle name="20% - Accent4 7 4 2" xfId="8164" xr:uid="{00000000-0005-0000-0000-000013200000}"/>
    <cellStyle name="20% - Accent4 7 4 2 2" xfId="8165" xr:uid="{00000000-0005-0000-0000-000014200000}"/>
    <cellStyle name="20% - Accent4 7 4 3" xfId="8166" xr:uid="{00000000-0005-0000-0000-000015200000}"/>
    <cellStyle name="20% - Accent4 7 5" xfId="8167" xr:uid="{00000000-0005-0000-0000-000016200000}"/>
    <cellStyle name="20% - Accent4 7 5 2" xfId="8168" xr:uid="{00000000-0005-0000-0000-000017200000}"/>
    <cellStyle name="20% - Accent4 7 6" xfId="8169" xr:uid="{00000000-0005-0000-0000-000018200000}"/>
    <cellStyle name="20% - Accent4 8" xfId="8170" xr:uid="{00000000-0005-0000-0000-000019200000}"/>
    <cellStyle name="20% - Accent4 8 2" xfId="8171" xr:uid="{00000000-0005-0000-0000-00001A200000}"/>
    <cellStyle name="20% - Accent4 8 2 2" xfId="8172" xr:uid="{00000000-0005-0000-0000-00001B200000}"/>
    <cellStyle name="20% - Accent4 8 2 2 2" xfId="8173" xr:uid="{00000000-0005-0000-0000-00001C200000}"/>
    <cellStyle name="20% - Accent4 8 2 2 2 2" xfId="8174" xr:uid="{00000000-0005-0000-0000-00001D200000}"/>
    <cellStyle name="20% - Accent4 8 2 2 3" xfId="8175" xr:uid="{00000000-0005-0000-0000-00001E200000}"/>
    <cellStyle name="20% - Accent4 8 2 3" xfId="8176" xr:uid="{00000000-0005-0000-0000-00001F200000}"/>
    <cellStyle name="20% - Accent4 8 2 3 2" xfId="8177" xr:uid="{00000000-0005-0000-0000-000020200000}"/>
    <cellStyle name="20% - Accent4 8 2 4" xfId="8178" xr:uid="{00000000-0005-0000-0000-000021200000}"/>
    <cellStyle name="20% - Accent4 8 3" xfId="8179" xr:uid="{00000000-0005-0000-0000-000022200000}"/>
    <cellStyle name="20% - Accent4 8 3 2" xfId="8180" xr:uid="{00000000-0005-0000-0000-000023200000}"/>
    <cellStyle name="20% - Accent4 8 3 2 2" xfId="8181" xr:uid="{00000000-0005-0000-0000-000024200000}"/>
    <cellStyle name="20% - Accent4 8 3 3" xfId="8182" xr:uid="{00000000-0005-0000-0000-000025200000}"/>
    <cellStyle name="20% - Accent4 8 4" xfId="8183" xr:uid="{00000000-0005-0000-0000-000026200000}"/>
    <cellStyle name="20% - Accent4 8 4 2" xfId="8184" xr:uid="{00000000-0005-0000-0000-000027200000}"/>
    <cellStyle name="20% - Accent4 8 5" xfId="8185" xr:uid="{00000000-0005-0000-0000-000028200000}"/>
    <cellStyle name="20% - Accent4 9" xfId="8186" xr:uid="{00000000-0005-0000-0000-000029200000}"/>
    <cellStyle name="20% - Accent4 9 2" xfId="8187" xr:uid="{00000000-0005-0000-0000-00002A200000}"/>
    <cellStyle name="20% - Accent4 9 2 2" xfId="8188" xr:uid="{00000000-0005-0000-0000-00002B200000}"/>
    <cellStyle name="20% - Accent4 9 2 2 2" xfId="8189" xr:uid="{00000000-0005-0000-0000-00002C200000}"/>
    <cellStyle name="20% - Accent4 9 2 3" xfId="8190" xr:uid="{00000000-0005-0000-0000-00002D200000}"/>
    <cellStyle name="20% - Accent4 9 3" xfId="8191" xr:uid="{00000000-0005-0000-0000-00002E200000}"/>
    <cellStyle name="20% - Accent4 9 3 2" xfId="8192" xr:uid="{00000000-0005-0000-0000-00002F200000}"/>
    <cellStyle name="20% - Accent4 9 4" xfId="8193" xr:uid="{00000000-0005-0000-0000-000030200000}"/>
    <cellStyle name="20% - Accent5 10" xfId="8194" xr:uid="{00000000-0005-0000-0000-000031200000}"/>
    <cellStyle name="20% - Accent5 10 2" xfId="8195" xr:uid="{00000000-0005-0000-0000-000032200000}"/>
    <cellStyle name="20% - Accent5 10 2 2" xfId="8196" xr:uid="{00000000-0005-0000-0000-000033200000}"/>
    <cellStyle name="20% - Accent5 10 3" xfId="8197" xr:uid="{00000000-0005-0000-0000-000034200000}"/>
    <cellStyle name="20% - Accent5 11" xfId="8198" xr:uid="{00000000-0005-0000-0000-000035200000}"/>
    <cellStyle name="20% - Accent5 11 2" xfId="8199" xr:uid="{00000000-0005-0000-0000-000036200000}"/>
    <cellStyle name="20% - Accent5 12" xfId="8200" xr:uid="{00000000-0005-0000-0000-000037200000}"/>
    <cellStyle name="20% - Accent5 13" xfId="8201" xr:uid="{00000000-0005-0000-0000-000038200000}"/>
    <cellStyle name="20% - Accent5 2" xfId="8202" xr:uid="{00000000-0005-0000-0000-000039200000}"/>
    <cellStyle name="20% - Accent5 2 10" xfId="8203" xr:uid="{00000000-0005-0000-0000-00003A200000}"/>
    <cellStyle name="20% - Accent5 2 10 2" xfId="8204" xr:uid="{00000000-0005-0000-0000-00003B200000}"/>
    <cellStyle name="20% - Accent5 2 11" xfId="8205" xr:uid="{00000000-0005-0000-0000-00003C200000}"/>
    <cellStyle name="20% - Accent5 2 2" xfId="8206" xr:uid="{00000000-0005-0000-0000-00003D200000}"/>
    <cellStyle name="20% - Accent5 2 2 10" xfId="8207" xr:uid="{00000000-0005-0000-0000-00003E200000}"/>
    <cellStyle name="20% - Accent5 2 2 2" xfId="8208" xr:uid="{00000000-0005-0000-0000-00003F200000}"/>
    <cellStyle name="20% - Accent5 2 2 2 2" xfId="8209" xr:uid="{00000000-0005-0000-0000-000040200000}"/>
    <cellStyle name="20% - Accent5 2 2 2 2 2" xfId="8210" xr:uid="{00000000-0005-0000-0000-000041200000}"/>
    <cellStyle name="20% - Accent5 2 2 2 2 2 2" xfId="8211" xr:uid="{00000000-0005-0000-0000-000042200000}"/>
    <cellStyle name="20% - Accent5 2 2 2 2 2 2 2" xfId="8212" xr:uid="{00000000-0005-0000-0000-000043200000}"/>
    <cellStyle name="20% - Accent5 2 2 2 2 2 2 2 2" xfId="8213" xr:uid="{00000000-0005-0000-0000-000044200000}"/>
    <cellStyle name="20% - Accent5 2 2 2 2 2 2 2 2 2" xfId="8214" xr:uid="{00000000-0005-0000-0000-000045200000}"/>
    <cellStyle name="20% - Accent5 2 2 2 2 2 2 2 2 2 2" xfId="8215" xr:uid="{00000000-0005-0000-0000-000046200000}"/>
    <cellStyle name="20% - Accent5 2 2 2 2 2 2 2 2 2 2 2" xfId="8216" xr:uid="{00000000-0005-0000-0000-000047200000}"/>
    <cellStyle name="20% - Accent5 2 2 2 2 2 2 2 2 2 3" xfId="8217" xr:uid="{00000000-0005-0000-0000-000048200000}"/>
    <cellStyle name="20% - Accent5 2 2 2 2 2 2 2 2 3" xfId="8218" xr:uid="{00000000-0005-0000-0000-000049200000}"/>
    <cellStyle name="20% - Accent5 2 2 2 2 2 2 2 2 3 2" xfId="8219" xr:uid="{00000000-0005-0000-0000-00004A200000}"/>
    <cellStyle name="20% - Accent5 2 2 2 2 2 2 2 2 4" xfId="8220" xr:uid="{00000000-0005-0000-0000-00004B200000}"/>
    <cellStyle name="20% - Accent5 2 2 2 2 2 2 2 3" xfId="8221" xr:uid="{00000000-0005-0000-0000-00004C200000}"/>
    <cellStyle name="20% - Accent5 2 2 2 2 2 2 2 3 2" xfId="8222" xr:uid="{00000000-0005-0000-0000-00004D200000}"/>
    <cellStyle name="20% - Accent5 2 2 2 2 2 2 2 3 2 2" xfId="8223" xr:uid="{00000000-0005-0000-0000-00004E200000}"/>
    <cellStyle name="20% - Accent5 2 2 2 2 2 2 2 3 3" xfId="8224" xr:uid="{00000000-0005-0000-0000-00004F200000}"/>
    <cellStyle name="20% - Accent5 2 2 2 2 2 2 2 4" xfId="8225" xr:uid="{00000000-0005-0000-0000-000050200000}"/>
    <cellStyle name="20% - Accent5 2 2 2 2 2 2 2 4 2" xfId="8226" xr:uid="{00000000-0005-0000-0000-000051200000}"/>
    <cellStyle name="20% - Accent5 2 2 2 2 2 2 2 5" xfId="8227" xr:uid="{00000000-0005-0000-0000-000052200000}"/>
    <cellStyle name="20% - Accent5 2 2 2 2 2 2 3" xfId="8228" xr:uid="{00000000-0005-0000-0000-000053200000}"/>
    <cellStyle name="20% - Accent5 2 2 2 2 2 2 3 2" xfId="8229" xr:uid="{00000000-0005-0000-0000-000054200000}"/>
    <cellStyle name="20% - Accent5 2 2 2 2 2 2 3 2 2" xfId="8230" xr:uid="{00000000-0005-0000-0000-000055200000}"/>
    <cellStyle name="20% - Accent5 2 2 2 2 2 2 3 2 2 2" xfId="8231" xr:uid="{00000000-0005-0000-0000-000056200000}"/>
    <cellStyle name="20% - Accent5 2 2 2 2 2 2 3 2 3" xfId="8232" xr:uid="{00000000-0005-0000-0000-000057200000}"/>
    <cellStyle name="20% - Accent5 2 2 2 2 2 2 3 3" xfId="8233" xr:uid="{00000000-0005-0000-0000-000058200000}"/>
    <cellStyle name="20% - Accent5 2 2 2 2 2 2 3 3 2" xfId="8234" xr:uid="{00000000-0005-0000-0000-000059200000}"/>
    <cellStyle name="20% - Accent5 2 2 2 2 2 2 3 4" xfId="8235" xr:uid="{00000000-0005-0000-0000-00005A200000}"/>
    <cellStyle name="20% - Accent5 2 2 2 2 2 2 4" xfId="8236" xr:uid="{00000000-0005-0000-0000-00005B200000}"/>
    <cellStyle name="20% - Accent5 2 2 2 2 2 2 4 2" xfId="8237" xr:uid="{00000000-0005-0000-0000-00005C200000}"/>
    <cellStyle name="20% - Accent5 2 2 2 2 2 2 4 2 2" xfId="8238" xr:uid="{00000000-0005-0000-0000-00005D200000}"/>
    <cellStyle name="20% - Accent5 2 2 2 2 2 2 4 3" xfId="8239" xr:uid="{00000000-0005-0000-0000-00005E200000}"/>
    <cellStyle name="20% - Accent5 2 2 2 2 2 2 5" xfId="8240" xr:uid="{00000000-0005-0000-0000-00005F200000}"/>
    <cellStyle name="20% - Accent5 2 2 2 2 2 2 5 2" xfId="8241" xr:uid="{00000000-0005-0000-0000-000060200000}"/>
    <cellStyle name="20% - Accent5 2 2 2 2 2 2 6" xfId="8242" xr:uid="{00000000-0005-0000-0000-000061200000}"/>
    <cellStyle name="20% - Accent5 2 2 2 2 2 3" xfId="8243" xr:uid="{00000000-0005-0000-0000-000062200000}"/>
    <cellStyle name="20% - Accent5 2 2 2 2 2 3 2" xfId="8244" xr:uid="{00000000-0005-0000-0000-000063200000}"/>
    <cellStyle name="20% - Accent5 2 2 2 2 2 3 2 2" xfId="8245" xr:uid="{00000000-0005-0000-0000-000064200000}"/>
    <cellStyle name="20% - Accent5 2 2 2 2 2 3 2 2 2" xfId="8246" xr:uid="{00000000-0005-0000-0000-000065200000}"/>
    <cellStyle name="20% - Accent5 2 2 2 2 2 3 2 2 2 2" xfId="8247" xr:uid="{00000000-0005-0000-0000-000066200000}"/>
    <cellStyle name="20% - Accent5 2 2 2 2 2 3 2 2 3" xfId="8248" xr:uid="{00000000-0005-0000-0000-000067200000}"/>
    <cellStyle name="20% - Accent5 2 2 2 2 2 3 2 3" xfId="8249" xr:uid="{00000000-0005-0000-0000-000068200000}"/>
    <cellStyle name="20% - Accent5 2 2 2 2 2 3 2 3 2" xfId="8250" xr:uid="{00000000-0005-0000-0000-000069200000}"/>
    <cellStyle name="20% - Accent5 2 2 2 2 2 3 2 4" xfId="8251" xr:uid="{00000000-0005-0000-0000-00006A200000}"/>
    <cellStyle name="20% - Accent5 2 2 2 2 2 3 3" xfId="8252" xr:uid="{00000000-0005-0000-0000-00006B200000}"/>
    <cellStyle name="20% - Accent5 2 2 2 2 2 3 3 2" xfId="8253" xr:uid="{00000000-0005-0000-0000-00006C200000}"/>
    <cellStyle name="20% - Accent5 2 2 2 2 2 3 3 2 2" xfId="8254" xr:uid="{00000000-0005-0000-0000-00006D200000}"/>
    <cellStyle name="20% - Accent5 2 2 2 2 2 3 3 3" xfId="8255" xr:uid="{00000000-0005-0000-0000-00006E200000}"/>
    <cellStyle name="20% - Accent5 2 2 2 2 2 3 4" xfId="8256" xr:uid="{00000000-0005-0000-0000-00006F200000}"/>
    <cellStyle name="20% - Accent5 2 2 2 2 2 3 4 2" xfId="8257" xr:uid="{00000000-0005-0000-0000-000070200000}"/>
    <cellStyle name="20% - Accent5 2 2 2 2 2 3 5" xfId="8258" xr:uid="{00000000-0005-0000-0000-000071200000}"/>
    <cellStyle name="20% - Accent5 2 2 2 2 2 4" xfId="8259" xr:uid="{00000000-0005-0000-0000-000072200000}"/>
    <cellStyle name="20% - Accent5 2 2 2 2 2 4 2" xfId="8260" xr:uid="{00000000-0005-0000-0000-000073200000}"/>
    <cellStyle name="20% - Accent5 2 2 2 2 2 4 2 2" xfId="8261" xr:uid="{00000000-0005-0000-0000-000074200000}"/>
    <cellStyle name="20% - Accent5 2 2 2 2 2 4 2 2 2" xfId="8262" xr:uid="{00000000-0005-0000-0000-000075200000}"/>
    <cellStyle name="20% - Accent5 2 2 2 2 2 4 2 3" xfId="8263" xr:uid="{00000000-0005-0000-0000-000076200000}"/>
    <cellStyle name="20% - Accent5 2 2 2 2 2 4 3" xfId="8264" xr:uid="{00000000-0005-0000-0000-000077200000}"/>
    <cellStyle name="20% - Accent5 2 2 2 2 2 4 3 2" xfId="8265" xr:uid="{00000000-0005-0000-0000-000078200000}"/>
    <cellStyle name="20% - Accent5 2 2 2 2 2 4 4" xfId="8266" xr:uid="{00000000-0005-0000-0000-000079200000}"/>
    <cellStyle name="20% - Accent5 2 2 2 2 2 5" xfId="8267" xr:uid="{00000000-0005-0000-0000-00007A200000}"/>
    <cellStyle name="20% - Accent5 2 2 2 2 2 5 2" xfId="8268" xr:uid="{00000000-0005-0000-0000-00007B200000}"/>
    <cellStyle name="20% - Accent5 2 2 2 2 2 5 2 2" xfId="8269" xr:uid="{00000000-0005-0000-0000-00007C200000}"/>
    <cellStyle name="20% - Accent5 2 2 2 2 2 5 3" xfId="8270" xr:uid="{00000000-0005-0000-0000-00007D200000}"/>
    <cellStyle name="20% - Accent5 2 2 2 2 2 6" xfId="8271" xr:uid="{00000000-0005-0000-0000-00007E200000}"/>
    <cellStyle name="20% - Accent5 2 2 2 2 2 6 2" xfId="8272" xr:uid="{00000000-0005-0000-0000-00007F200000}"/>
    <cellStyle name="20% - Accent5 2 2 2 2 2 7" xfId="8273" xr:uid="{00000000-0005-0000-0000-000080200000}"/>
    <cellStyle name="20% - Accent5 2 2 2 2 3" xfId="8274" xr:uid="{00000000-0005-0000-0000-000081200000}"/>
    <cellStyle name="20% - Accent5 2 2 2 2 3 2" xfId="8275" xr:uid="{00000000-0005-0000-0000-000082200000}"/>
    <cellStyle name="20% - Accent5 2 2 2 2 3 2 2" xfId="8276" xr:uid="{00000000-0005-0000-0000-000083200000}"/>
    <cellStyle name="20% - Accent5 2 2 2 2 3 2 2 2" xfId="8277" xr:uid="{00000000-0005-0000-0000-000084200000}"/>
    <cellStyle name="20% - Accent5 2 2 2 2 3 2 2 2 2" xfId="8278" xr:uid="{00000000-0005-0000-0000-000085200000}"/>
    <cellStyle name="20% - Accent5 2 2 2 2 3 2 2 2 2 2" xfId="8279" xr:uid="{00000000-0005-0000-0000-000086200000}"/>
    <cellStyle name="20% - Accent5 2 2 2 2 3 2 2 2 3" xfId="8280" xr:uid="{00000000-0005-0000-0000-000087200000}"/>
    <cellStyle name="20% - Accent5 2 2 2 2 3 2 2 3" xfId="8281" xr:uid="{00000000-0005-0000-0000-000088200000}"/>
    <cellStyle name="20% - Accent5 2 2 2 2 3 2 2 3 2" xfId="8282" xr:uid="{00000000-0005-0000-0000-000089200000}"/>
    <cellStyle name="20% - Accent5 2 2 2 2 3 2 2 4" xfId="8283" xr:uid="{00000000-0005-0000-0000-00008A200000}"/>
    <cellStyle name="20% - Accent5 2 2 2 2 3 2 3" xfId="8284" xr:uid="{00000000-0005-0000-0000-00008B200000}"/>
    <cellStyle name="20% - Accent5 2 2 2 2 3 2 3 2" xfId="8285" xr:uid="{00000000-0005-0000-0000-00008C200000}"/>
    <cellStyle name="20% - Accent5 2 2 2 2 3 2 3 2 2" xfId="8286" xr:uid="{00000000-0005-0000-0000-00008D200000}"/>
    <cellStyle name="20% - Accent5 2 2 2 2 3 2 3 3" xfId="8287" xr:uid="{00000000-0005-0000-0000-00008E200000}"/>
    <cellStyle name="20% - Accent5 2 2 2 2 3 2 4" xfId="8288" xr:uid="{00000000-0005-0000-0000-00008F200000}"/>
    <cellStyle name="20% - Accent5 2 2 2 2 3 2 4 2" xfId="8289" xr:uid="{00000000-0005-0000-0000-000090200000}"/>
    <cellStyle name="20% - Accent5 2 2 2 2 3 2 5" xfId="8290" xr:uid="{00000000-0005-0000-0000-000091200000}"/>
    <cellStyle name="20% - Accent5 2 2 2 2 3 3" xfId="8291" xr:uid="{00000000-0005-0000-0000-000092200000}"/>
    <cellStyle name="20% - Accent5 2 2 2 2 3 3 2" xfId="8292" xr:uid="{00000000-0005-0000-0000-000093200000}"/>
    <cellStyle name="20% - Accent5 2 2 2 2 3 3 2 2" xfId="8293" xr:uid="{00000000-0005-0000-0000-000094200000}"/>
    <cellStyle name="20% - Accent5 2 2 2 2 3 3 2 2 2" xfId="8294" xr:uid="{00000000-0005-0000-0000-000095200000}"/>
    <cellStyle name="20% - Accent5 2 2 2 2 3 3 2 3" xfId="8295" xr:uid="{00000000-0005-0000-0000-000096200000}"/>
    <cellStyle name="20% - Accent5 2 2 2 2 3 3 3" xfId="8296" xr:uid="{00000000-0005-0000-0000-000097200000}"/>
    <cellStyle name="20% - Accent5 2 2 2 2 3 3 3 2" xfId="8297" xr:uid="{00000000-0005-0000-0000-000098200000}"/>
    <cellStyle name="20% - Accent5 2 2 2 2 3 3 4" xfId="8298" xr:uid="{00000000-0005-0000-0000-000099200000}"/>
    <cellStyle name="20% - Accent5 2 2 2 2 3 4" xfId="8299" xr:uid="{00000000-0005-0000-0000-00009A200000}"/>
    <cellStyle name="20% - Accent5 2 2 2 2 3 4 2" xfId="8300" xr:uid="{00000000-0005-0000-0000-00009B200000}"/>
    <cellStyle name="20% - Accent5 2 2 2 2 3 4 2 2" xfId="8301" xr:uid="{00000000-0005-0000-0000-00009C200000}"/>
    <cellStyle name="20% - Accent5 2 2 2 2 3 4 3" xfId="8302" xr:uid="{00000000-0005-0000-0000-00009D200000}"/>
    <cellStyle name="20% - Accent5 2 2 2 2 3 5" xfId="8303" xr:uid="{00000000-0005-0000-0000-00009E200000}"/>
    <cellStyle name="20% - Accent5 2 2 2 2 3 5 2" xfId="8304" xr:uid="{00000000-0005-0000-0000-00009F200000}"/>
    <cellStyle name="20% - Accent5 2 2 2 2 3 6" xfId="8305" xr:uid="{00000000-0005-0000-0000-0000A0200000}"/>
    <cellStyle name="20% - Accent5 2 2 2 2 4" xfId="8306" xr:uid="{00000000-0005-0000-0000-0000A1200000}"/>
    <cellStyle name="20% - Accent5 2 2 2 2 4 2" xfId="8307" xr:uid="{00000000-0005-0000-0000-0000A2200000}"/>
    <cellStyle name="20% - Accent5 2 2 2 2 4 2 2" xfId="8308" xr:uid="{00000000-0005-0000-0000-0000A3200000}"/>
    <cellStyle name="20% - Accent5 2 2 2 2 4 2 2 2" xfId="8309" xr:uid="{00000000-0005-0000-0000-0000A4200000}"/>
    <cellStyle name="20% - Accent5 2 2 2 2 4 2 2 2 2" xfId="8310" xr:uid="{00000000-0005-0000-0000-0000A5200000}"/>
    <cellStyle name="20% - Accent5 2 2 2 2 4 2 2 3" xfId="8311" xr:uid="{00000000-0005-0000-0000-0000A6200000}"/>
    <cellStyle name="20% - Accent5 2 2 2 2 4 2 3" xfId="8312" xr:uid="{00000000-0005-0000-0000-0000A7200000}"/>
    <cellStyle name="20% - Accent5 2 2 2 2 4 2 3 2" xfId="8313" xr:uid="{00000000-0005-0000-0000-0000A8200000}"/>
    <cellStyle name="20% - Accent5 2 2 2 2 4 2 4" xfId="8314" xr:uid="{00000000-0005-0000-0000-0000A9200000}"/>
    <cellStyle name="20% - Accent5 2 2 2 2 4 3" xfId="8315" xr:uid="{00000000-0005-0000-0000-0000AA200000}"/>
    <cellStyle name="20% - Accent5 2 2 2 2 4 3 2" xfId="8316" xr:uid="{00000000-0005-0000-0000-0000AB200000}"/>
    <cellStyle name="20% - Accent5 2 2 2 2 4 3 2 2" xfId="8317" xr:uid="{00000000-0005-0000-0000-0000AC200000}"/>
    <cellStyle name="20% - Accent5 2 2 2 2 4 3 3" xfId="8318" xr:uid="{00000000-0005-0000-0000-0000AD200000}"/>
    <cellStyle name="20% - Accent5 2 2 2 2 4 4" xfId="8319" xr:uid="{00000000-0005-0000-0000-0000AE200000}"/>
    <cellStyle name="20% - Accent5 2 2 2 2 4 4 2" xfId="8320" xr:uid="{00000000-0005-0000-0000-0000AF200000}"/>
    <cellStyle name="20% - Accent5 2 2 2 2 4 5" xfId="8321" xr:uid="{00000000-0005-0000-0000-0000B0200000}"/>
    <cellStyle name="20% - Accent5 2 2 2 2 5" xfId="8322" xr:uid="{00000000-0005-0000-0000-0000B1200000}"/>
    <cellStyle name="20% - Accent5 2 2 2 2 5 2" xfId="8323" xr:uid="{00000000-0005-0000-0000-0000B2200000}"/>
    <cellStyle name="20% - Accent5 2 2 2 2 5 2 2" xfId="8324" xr:uid="{00000000-0005-0000-0000-0000B3200000}"/>
    <cellStyle name="20% - Accent5 2 2 2 2 5 2 2 2" xfId="8325" xr:uid="{00000000-0005-0000-0000-0000B4200000}"/>
    <cellStyle name="20% - Accent5 2 2 2 2 5 2 3" xfId="8326" xr:uid="{00000000-0005-0000-0000-0000B5200000}"/>
    <cellStyle name="20% - Accent5 2 2 2 2 5 3" xfId="8327" xr:uid="{00000000-0005-0000-0000-0000B6200000}"/>
    <cellStyle name="20% - Accent5 2 2 2 2 5 3 2" xfId="8328" xr:uid="{00000000-0005-0000-0000-0000B7200000}"/>
    <cellStyle name="20% - Accent5 2 2 2 2 5 4" xfId="8329" xr:uid="{00000000-0005-0000-0000-0000B8200000}"/>
    <cellStyle name="20% - Accent5 2 2 2 2 6" xfId="8330" xr:uid="{00000000-0005-0000-0000-0000B9200000}"/>
    <cellStyle name="20% - Accent5 2 2 2 2 6 2" xfId="8331" xr:uid="{00000000-0005-0000-0000-0000BA200000}"/>
    <cellStyle name="20% - Accent5 2 2 2 2 6 2 2" xfId="8332" xr:uid="{00000000-0005-0000-0000-0000BB200000}"/>
    <cellStyle name="20% - Accent5 2 2 2 2 6 3" xfId="8333" xr:uid="{00000000-0005-0000-0000-0000BC200000}"/>
    <cellStyle name="20% - Accent5 2 2 2 2 7" xfId="8334" xr:uid="{00000000-0005-0000-0000-0000BD200000}"/>
    <cellStyle name="20% - Accent5 2 2 2 2 7 2" xfId="8335" xr:uid="{00000000-0005-0000-0000-0000BE200000}"/>
    <cellStyle name="20% - Accent5 2 2 2 2 8" xfId="8336" xr:uid="{00000000-0005-0000-0000-0000BF200000}"/>
    <cellStyle name="20% - Accent5 2 2 2 3" xfId="8337" xr:uid="{00000000-0005-0000-0000-0000C0200000}"/>
    <cellStyle name="20% - Accent5 2 2 2 3 2" xfId="8338" xr:uid="{00000000-0005-0000-0000-0000C1200000}"/>
    <cellStyle name="20% - Accent5 2 2 2 3 2 2" xfId="8339" xr:uid="{00000000-0005-0000-0000-0000C2200000}"/>
    <cellStyle name="20% - Accent5 2 2 2 3 2 2 2" xfId="8340" xr:uid="{00000000-0005-0000-0000-0000C3200000}"/>
    <cellStyle name="20% - Accent5 2 2 2 3 2 2 2 2" xfId="8341" xr:uid="{00000000-0005-0000-0000-0000C4200000}"/>
    <cellStyle name="20% - Accent5 2 2 2 3 2 2 2 2 2" xfId="8342" xr:uid="{00000000-0005-0000-0000-0000C5200000}"/>
    <cellStyle name="20% - Accent5 2 2 2 3 2 2 2 2 2 2" xfId="8343" xr:uid="{00000000-0005-0000-0000-0000C6200000}"/>
    <cellStyle name="20% - Accent5 2 2 2 3 2 2 2 2 3" xfId="8344" xr:uid="{00000000-0005-0000-0000-0000C7200000}"/>
    <cellStyle name="20% - Accent5 2 2 2 3 2 2 2 3" xfId="8345" xr:uid="{00000000-0005-0000-0000-0000C8200000}"/>
    <cellStyle name="20% - Accent5 2 2 2 3 2 2 2 3 2" xfId="8346" xr:uid="{00000000-0005-0000-0000-0000C9200000}"/>
    <cellStyle name="20% - Accent5 2 2 2 3 2 2 2 4" xfId="8347" xr:uid="{00000000-0005-0000-0000-0000CA200000}"/>
    <cellStyle name="20% - Accent5 2 2 2 3 2 2 3" xfId="8348" xr:uid="{00000000-0005-0000-0000-0000CB200000}"/>
    <cellStyle name="20% - Accent5 2 2 2 3 2 2 3 2" xfId="8349" xr:uid="{00000000-0005-0000-0000-0000CC200000}"/>
    <cellStyle name="20% - Accent5 2 2 2 3 2 2 3 2 2" xfId="8350" xr:uid="{00000000-0005-0000-0000-0000CD200000}"/>
    <cellStyle name="20% - Accent5 2 2 2 3 2 2 3 3" xfId="8351" xr:uid="{00000000-0005-0000-0000-0000CE200000}"/>
    <cellStyle name="20% - Accent5 2 2 2 3 2 2 4" xfId="8352" xr:uid="{00000000-0005-0000-0000-0000CF200000}"/>
    <cellStyle name="20% - Accent5 2 2 2 3 2 2 4 2" xfId="8353" xr:uid="{00000000-0005-0000-0000-0000D0200000}"/>
    <cellStyle name="20% - Accent5 2 2 2 3 2 2 5" xfId="8354" xr:uid="{00000000-0005-0000-0000-0000D1200000}"/>
    <cellStyle name="20% - Accent5 2 2 2 3 2 3" xfId="8355" xr:uid="{00000000-0005-0000-0000-0000D2200000}"/>
    <cellStyle name="20% - Accent5 2 2 2 3 2 3 2" xfId="8356" xr:uid="{00000000-0005-0000-0000-0000D3200000}"/>
    <cellStyle name="20% - Accent5 2 2 2 3 2 3 2 2" xfId="8357" xr:uid="{00000000-0005-0000-0000-0000D4200000}"/>
    <cellStyle name="20% - Accent5 2 2 2 3 2 3 2 2 2" xfId="8358" xr:uid="{00000000-0005-0000-0000-0000D5200000}"/>
    <cellStyle name="20% - Accent5 2 2 2 3 2 3 2 3" xfId="8359" xr:uid="{00000000-0005-0000-0000-0000D6200000}"/>
    <cellStyle name="20% - Accent5 2 2 2 3 2 3 3" xfId="8360" xr:uid="{00000000-0005-0000-0000-0000D7200000}"/>
    <cellStyle name="20% - Accent5 2 2 2 3 2 3 3 2" xfId="8361" xr:uid="{00000000-0005-0000-0000-0000D8200000}"/>
    <cellStyle name="20% - Accent5 2 2 2 3 2 3 4" xfId="8362" xr:uid="{00000000-0005-0000-0000-0000D9200000}"/>
    <cellStyle name="20% - Accent5 2 2 2 3 2 4" xfId="8363" xr:uid="{00000000-0005-0000-0000-0000DA200000}"/>
    <cellStyle name="20% - Accent5 2 2 2 3 2 4 2" xfId="8364" xr:uid="{00000000-0005-0000-0000-0000DB200000}"/>
    <cellStyle name="20% - Accent5 2 2 2 3 2 4 2 2" xfId="8365" xr:uid="{00000000-0005-0000-0000-0000DC200000}"/>
    <cellStyle name="20% - Accent5 2 2 2 3 2 4 3" xfId="8366" xr:uid="{00000000-0005-0000-0000-0000DD200000}"/>
    <cellStyle name="20% - Accent5 2 2 2 3 2 5" xfId="8367" xr:uid="{00000000-0005-0000-0000-0000DE200000}"/>
    <cellStyle name="20% - Accent5 2 2 2 3 2 5 2" xfId="8368" xr:uid="{00000000-0005-0000-0000-0000DF200000}"/>
    <cellStyle name="20% - Accent5 2 2 2 3 2 6" xfId="8369" xr:uid="{00000000-0005-0000-0000-0000E0200000}"/>
    <cellStyle name="20% - Accent5 2 2 2 3 3" xfId="8370" xr:uid="{00000000-0005-0000-0000-0000E1200000}"/>
    <cellStyle name="20% - Accent5 2 2 2 3 3 2" xfId="8371" xr:uid="{00000000-0005-0000-0000-0000E2200000}"/>
    <cellStyle name="20% - Accent5 2 2 2 3 3 2 2" xfId="8372" xr:uid="{00000000-0005-0000-0000-0000E3200000}"/>
    <cellStyle name="20% - Accent5 2 2 2 3 3 2 2 2" xfId="8373" xr:uid="{00000000-0005-0000-0000-0000E4200000}"/>
    <cellStyle name="20% - Accent5 2 2 2 3 3 2 2 2 2" xfId="8374" xr:uid="{00000000-0005-0000-0000-0000E5200000}"/>
    <cellStyle name="20% - Accent5 2 2 2 3 3 2 2 3" xfId="8375" xr:uid="{00000000-0005-0000-0000-0000E6200000}"/>
    <cellStyle name="20% - Accent5 2 2 2 3 3 2 3" xfId="8376" xr:uid="{00000000-0005-0000-0000-0000E7200000}"/>
    <cellStyle name="20% - Accent5 2 2 2 3 3 2 3 2" xfId="8377" xr:uid="{00000000-0005-0000-0000-0000E8200000}"/>
    <cellStyle name="20% - Accent5 2 2 2 3 3 2 4" xfId="8378" xr:uid="{00000000-0005-0000-0000-0000E9200000}"/>
    <cellStyle name="20% - Accent5 2 2 2 3 3 3" xfId="8379" xr:uid="{00000000-0005-0000-0000-0000EA200000}"/>
    <cellStyle name="20% - Accent5 2 2 2 3 3 3 2" xfId="8380" xr:uid="{00000000-0005-0000-0000-0000EB200000}"/>
    <cellStyle name="20% - Accent5 2 2 2 3 3 3 2 2" xfId="8381" xr:uid="{00000000-0005-0000-0000-0000EC200000}"/>
    <cellStyle name="20% - Accent5 2 2 2 3 3 3 3" xfId="8382" xr:uid="{00000000-0005-0000-0000-0000ED200000}"/>
    <cellStyle name="20% - Accent5 2 2 2 3 3 4" xfId="8383" xr:uid="{00000000-0005-0000-0000-0000EE200000}"/>
    <cellStyle name="20% - Accent5 2 2 2 3 3 4 2" xfId="8384" xr:uid="{00000000-0005-0000-0000-0000EF200000}"/>
    <cellStyle name="20% - Accent5 2 2 2 3 3 5" xfId="8385" xr:uid="{00000000-0005-0000-0000-0000F0200000}"/>
    <cellStyle name="20% - Accent5 2 2 2 3 4" xfId="8386" xr:uid="{00000000-0005-0000-0000-0000F1200000}"/>
    <cellStyle name="20% - Accent5 2 2 2 3 4 2" xfId="8387" xr:uid="{00000000-0005-0000-0000-0000F2200000}"/>
    <cellStyle name="20% - Accent5 2 2 2 3 4 2 2" xfId="8388" xr:uid="{00000000-0005-0000-0000-0000F3200000}"/>
    <cellStyle name="20% - Accent5 2 2 2 3 4 2 2 2" xfId="8389" xr:uid="{00000000-0005-0000-0000-0000F4200000}"/>
    <cellStyle name="20% - Accent5 2 2 2 3 4 2 3" xfId="8390" xr:uid="{00000000-0005-0000-0000-0000F5200000}"/>
    <cellStyle name="20% - Accent5 2 2 2 3 4 3" xfId="8391" xr:uid="{00000000-0005-0000-0000-0000F6200000}"/>
    <cellStyle name="20% - Accent5 2 2 2 3 4 3 2" xfId="8392" xr:uid="{00000000-0005-0000-0000-0000F7200000}"/>
    <cellStyle name="20% - Accent5 2 2 2 3 4 4" xfId="8393" xr:uid="{00000000-0005-0000-0000-0000F8200000}"/>
    <cellStyle name="20% - Accent5 2 2 2 3 5" xfId="8394" xr:uid="{00000000-0005-0000-0000-0000F9200000}"/>
    <cellStyle name="20% - Accent5 2 2 2 3 5 2" xfId="8395" xr:uid="{00000000-0005-0000-0000-0000FA200000}"/>
    <cellStyle name="20% - Accent5 2 2 2 3 5 2 2" xfId="8396" xr:uid="{00000000-0005-0000-0000-0000FB200000}"/>
    <cellStyle name="20% - Accent5 2 2 2 3 5 3" xfId="8397" xr:uid="{00000000-0005-0000-0000-0000FC200000}"/>
    <cellStyle name="20% - Accent5 2 2 2 3 6" xfId="8398" xr:uid="{00000000-0005-0000-0000-0000FD200000}"/>
    <cellStyle name="20% - Accent5 2 2 2 3 6 2" xfId="8399" xr:uid="{00000000-0005-0000-0000-0000FE200000}"/>
    <cellStyle name="20% - Accent5 2 2 2 3 7" xfId="8400" xr:uid="{00000000-0005-0000-0000-0000FF200000}"/>
    <cellStyle name="20% - Accent5 2 2 2 4" xfId="8401" xr:uid="{00000000-0005-0000-0000-000000210000}"/>
    <cellStyle name="20% - Accent5 2 2 2 4 2" xfId="8402" xr:uid="{00000000-0005-0000-0000-000001210000}"/>
    <cellStyle name="20% - Accent5 2 2 2 4 2 2" xfId="8403" xr:uid="{00000000-0005-0000-0000-000002210000}"/>
    <cellStyle name="20% - Accent5 2 2 2 4 2 2 2" xfId="8404" xr:uid="{00000000-0005-0000-0000-000003210000}"/>
    <cellStyle name="20% - Accent5 2 2 2 4 2 2 2 2" xfId="8405" xr:uid="{00000000-0005-0000-0000-000004210000}"/>
    <cellStyle name="20% - Accent5 2 2 2 4 2 2 2 2 2" xfId="8406" xr:uid="{00000000-0005-0000-0000-000005210000}"/>
    <cellStyle name="20% - Accent5 2 2 2 4 2 2 2 3" xfId="8407" xr:uid="{00000000-0005-0000-0000-000006210000}"/>
    <cellStyle name="20% - Accent5 2 2 2 4 2 2 3" xfId="8408" xr:uid="{00000000-0005-0000-0000-000007210000}"/>
    <cellStyle name="20% - Accent5 2 2 2 4 2 2 3 2" xfId="8409" xr:uid="{00000000-0005-0000-0000-000008210000}"/>
    <cellStyle name="20% - Accent5 2 2 2 4 2 2 4" xfId="8410" xr:uid="{00000000-0005-0000-0000-000009210000}"/>
    <cellStyle name="20% - Accent5 2 2 2 4 2 3" xfId="8411" xr:uid="{00000000-0005-0000-0000-00000A210000}"/>
    <cellStyle name="20% - Accent5 2 2 2 4 2 3 2" xfId="8412" xr:uid="{00000000-0005-0000-0000-00000B210000}"/>
    <cellStyle name="20% - Accent5 2 2 2 4 2 3 2 2" xfId="8413" xr:uid="{00000000-0005-0000-0000-00000C210000}"/>
    <cellStyle name="20% - Accent5 2 2 2 4 2 3 3" xfId="8414" xr:uid="{00000000-0005-0000-0000-00000D210000}"/>
    <cellStyle name="20% - Accent5 2 2 2 4 2 4" xfId="8415" xr:uid="{00000000-0005-0000-0000-00000E210000}"/>
    <cellStyle name="20% - Accent5 2 2 2 4 2 4 2" xfId="8416" xr:uid="{00000000-0005-0000-0000-00000F210000}"/>
    <cellStyle name="20% - Accent5 2 2 2 4 2 5" xfId="8417" xr:uid="{00000000-0005-0000-0000-000010210000}"/>
    <cellStyle name="20% - Accent5 2 2 2 4 3" xfId="8418" xr:uid="{00000000-0005-0000-0000-000011210000}"/>
    <cellStyle name="20% - Accent5 2 2 2 4 3 2" xfId="8419" xr:uid="{00000000-0005-0000-0000-000012210000}"/>
    <cellStyle name="20% - Accent5 2 2 2 4 3 2 2" xfId="8420" xr:uid="{00000000-0005-0000-0000-000013210000}"/>
    <cellStyle name="20% - Accent5 2 2 2 4 3 2 2 2" xfId="8421" xr:uid="{00000000-0005-0000-0000-000014210000}"/>
    <cellStyle name="20% - Accent5 2 2 2 4 3 2 3" xfId="8422" xr:uid="{00000000-0005-0000-0000-000015210000}"/>
    <cellStyle name="20% - Accent5 2 2 2 4 3 3" xfId="8423" xr:uid="{00000000-0005-0000-0000-000016210000}"/>
    <cellStyle name="20% - Accent5 2 2 2 4 3 3 2" xfId="8424" xr:uid="{00000000-0005-0000-0000-000017210000}"/>
    <cellStyle name="20% - Accent5 2 2 2 4 3 4" xfId="8425" xr:uid="{00000000-0005-0000-0000-000018210000}"/>
    <cellStyle name="20% - Accent5 2 2 2 4 4" xfId="8426" xr:uid="{00000000-0005-0000-0000-000019210000}"/>
    <cellStyle name="20% - Accent5 2 2 2 4 4 2" xfId="8427" xr:uid="{00000000-0005-0000-0000-00001A210000}"/>
    <cellStyle name="20% - Accent5 2 2 2 4 4 2 2" xfId="8428" xr:uid="{00000000-0005-0000-0000-00001B210000}"/>
    <cellStyle name="20% - Accent5 2 2 2 4 4 3" xfId="8429" xr:uid="{00000000-0005-0000-0000-00001C210000}"/>
    <cellStyle name="20% - Accent5 2 2 2 4 5" xfId="8430" xr:uid="{00000000-0005-0000-0000-00001D210000}"/>
    <cellStyle name="20% - Accent5 2 2 2 4 5 2" xfId="8431" xr:uid="{00000000-0005-0000-0000-00001E210000}"/>
    <cellStyle name="20% - Accent5 2 2 2 4 6" xfId="8432" xr:uid="{00000000-0005-0000-0000-00001F210000}"/>
    <cellStyle name="20% - Accent5 2 2 2 5" xfId="8433" xr:uid="{00000000-0005-0000-0000-000020210000}"/>
    <cellStyle name="20% - Accent5 2 2 2 5 2" xfId="8434" xr:uid="{00000000-0005-0000-0000-000021210000}"/>
    <cellStyle name="20% - Accent5 2 2 2 5 2 2" xfId="8435" xr:uid="{00000000-0005-0000-0000-000022210000}"/>
    <cellStyle name="20% - Accent5 2 2 2 5 2 2 2" xfId="8436" xr:uid="{00000000-0005-0000-0000-000023210000}"/>
    <cellStyle name="20% - Accent5 2 2 2 5 2 2 2 2" xfId="8437" xr:uid="{00000000-0005-0000-0000-000024210000}"/>
    <cellStyle name="20% - Accent5 2 2 2 5 2 2 3" xfId="8438" xr:uid="{00000000-0005-0000-0000-000025210000}"/>
    <cellStyle name="20% - Accent5 2 2 2 5 2 3" xfId="8439" xr:uid="{00000000-0005-0000-0000-000026210000}"/>
    <cellStyle name="20% - Accent5 2 2 2 5 2 3 2" xfId="8440" xr:uid="{00000000-0005-0000-0000-000027210000}"/>
    <cellStyle name="20% - Accent5 2 2 2 5 2 4" xfId="8441" xr:uid="{00000000-0005-0000-0000-000028210000}"/>
    <cellStyle name="20% - Accent5 2 2 2 5 3" xfId="8442" xr:uid="{00000000-0005-0000-0000-000029210000}"/>
    <cellStyle name="20% - Accent5 2 2 2 5 3 2" xfId="8443" xr:uid="{00000000-0005-0000-0000-00002A210000}"/>
    <cellStyle name="20% - Accent5 2 2 2 5 3 2 2" xfId="8444" xr:uid="{00000000-0005-0000-0000-00002B210000}"/>
    <cellStyle name="20% - Accent5 2 2 2 5 3 3" xfId="8445" xr:uid="{00000000-0005-0000-0000-00002C210000}"/>
    <cellStyle name="20% - Accent5 2 2 2 5 4" xfId="8446" xr:uid="{00000000-0005-0000-0000-00002D210000}"/>
    <cellStyle name="20% - Accent5 2 2 2 5 4 2" xfId="8447" xr:uid="{00000000-0005-0000-0000-00002E210000}"/>
    <cellStyle name="20% - Accent5 2 2 2 5 5" xfId="8448" xr:uid="{00000000-0005-0000-0000-00002F210000}"/>
    <cellStyle name="20% - Accent5 2 2 2 6" xfId="8449" xr:uid="{00000000-0005-0000-0000-000030210000}"/>
    <cellStyle name="20% - Accent5 2 2 2 6 2" xfId="8450" xr:uid="{00000000-0005-0000-0000-000031210000}"/>
    <cellStyle name="20% - Accent5 2 2 2 6 2 2" xfId="8451" xr:uid="{00000000-0005-0000-0000-000032210000}"/>
    <cellStyle name="20% - Accent5 2 2 2 6 2 2 2" xfId="8452" xr:uid="{00000000-0005-0000-0000-000033210000}"/>
    <cellStyle name="20% - Accent5 2 2 2 6 2 3" xfId="8453" xr:uid="{00000000-0005-0000-0000-000034210000}"/>
    <cellStyle name="20% - Accent5 2 2 2 6 3" xfId="8454" xr:uid="{00000000-0005-0000-0000-000035210000}"/>
    <cellStyle name="20% - Accent5 2 2 2 6 3 2" xfId="8455" xr:uid="{00000000-0005-0000-0000-000036210000}"/>
    <cellStyle name="20% - Accent5 2 2 2 6 4" xfId="8456" xr:uid="{00000000-0005-0000-0000-000037210000}"/>
    <cellStyle name="20% - Accent5 2 2 2 7" xfId="8457" xr:uid="{00000000-0005-0000-0000-000038210000}"/>
    <cellStyle name="20% - Accent5 2 2 2 7 2" xfId="8458" xr:uid="{00000000-0005-0000-0000-000039210000}"/>
    <cellStyle name="20% - Accent5 2 2 2 7 2 2" xfId="8459" xr:uid="{00000000-0005-0000-0000-00003A210000}"/>
    <cellStyle name="20% - Accent5 2 2 2 7 3" xfId="8460" xr:uid="{00000000-0005-0000-0000-00003B210000}"/>
    <cellStyle name="20% - Accent5 2 2 2 8" xfId="8461" xr:uid="{00000000-0005-0000-0000-00003C210000}"/>
    <cellStyle name="20% - Accent5 2 2 2 8 2" xfId="8462" xr:uid="{00000000-0005-0000-0000-00003D210000}"/>
    <cellStyle name="20% - Accent5 2 2 2 9" xfId="8463" xr:uid="{00000000-0005-0000-0000-00003E210000}"/>
    <cellStyle name="20% - Accent5 2 2 3" xfId="8464" xr:uid="{00000000-0005-0000-0000-00003F210000}"/>
    <cellStyle name="20% - Accent5 2 2 3 2" xfId="8465" xr:uid="{00000000-0005-0000-0000-000040210000}"/>
    <cellStyle name="20% - Accent5 2 2 3 2 2" xfId="8466" xr:uid="{00000000-0005-0000-0000-000041210000}"/>
    <cellStyle name="20% - Accent5 2 2 3 2 2 2" xfId="8467" xr:uid="{00000000-0005-0000-0000-000042210000}"/>
    <cellStyle name="20% - Accent5 2 2 3 2 2 2 2" xfId="8468" xr:uid="{00000000-0005-0000-0000-000043210000}"/>
    <cellStyle name="20% - Accent5 2 2 3 2 2 2 2 2" xfId="8469" xr:uid="{00000000-0005-0000-0000-000044210000}"/>
    <cellStyle name="20% - Accent5 2 2 3 2 2 2 2 2 2" xfId="8470" xr:uid="{00000000-0005-0000-0000-000045210000}"/>
    <cellStyle name="20% - Accent5 2 2 3 2 2 2 2 2 2 2" xfId="8471" xr:uid="{00000000-0005-0000-0000-000046210000}"/>
    <cellStyle name="20% - Accent5 2 2 3 2 2 2 2 2 3" xfId="8472" xr:uid="{00000000-0005-0000-0000-000047210000}"/>
    <cellStyle name="20% - Accent5 2 2 3 2 2 2 2 3" xfId="8473" xr:uid="{00000000-0005-0000-0000-000048210000}"/>
    <cellStyle name="20% - Accent5 2 2 3 2 2 2 2 3 2" xfId="8474" xr:uid="{00000000-0005-0000-0000-000049210000}"/>
    <cellStyle name="20% - Accent5 2 2 3 2 2 2 2 4" xfId="8475" xr:uid="{00000000-0005-0000-0000-00004A210000}"/>
    <cellStyle name="20% - Accent5 2 2 3 2 2 2 3" xfId="8476" xr:uid="{00000000-0005-0000-0000-00004B210000}"/>
    <cellStyle name="20% - Accent5 2 2 3 2 2 2 3 2" xfId="8477" xr:uid="{00000000-0005-0000-0000-00004C210000}"/>
    <cellStyle name="20% - Accent5 2 2 3 2 2 2 3 2 2" xfId="8478" xr:uid="{00000000-0005-0000-0000-00004D210000}"/>
    <cellStyle name="20% - Accent5 2 2 3 2 2 2 3 3" xfId="8479" xr:uid="{00000000-0005-0000-0000-00004E210000}"/>
    <cellStyle name="20% - Accent5 2 2 3 2 2 2 4" xfId="8480" xr:uid="{00000000-0005-0000-0000-00004F210000}"/>
    <cellStyle name="20% - Accent5 2 2 3 2 2 2 4 2" xfId="8481" xr:uid="{00000000-0005-0000-0000-000050210000}"/>
    <cellStyle name="20% - Accent5 2 2 3 2 2 2 5" xfId="8482" xr:uid="{00000000-0005-0000-0000-000051210000}"/>
    <cellStyle name="20% - Accent5 2 2 3 2 2 3" xfId="8483" xr:uid="{00000000-0005-0000-0000-000052210000}"/>
    <cellStyle name="20% - Accent5 2 2 3 2 2 3 2" xfId="8484" xr:uid="{00000000-0005-0000-0000-000053210000}"/>
    <cellStyle name="20% - Accent5 2 2 3 2 2 3 2 2" xfId="8485" xr:uid="{00000000-0005-0000-0000-000054210000}"/>
    <cellStyle name="20% - Accent5 2 2 3 2 2 3 2 2 2" xfId="8486" xr:uid="{00000000-0005-0000-0000-000055210000}"/>
    <cellStyle name="20% - Accent5 2 2 3 2 2 3 2 3" xfId="8487" xr:uid="{00000000-0005-0000-0000-000056210000}"/>
    <cellStyle name="20% - Accent5 2 2 3 2 2 3 3" xfId="8488" xr:uid="{00000000-0005-0000-0000-000057210000}"/>
    <cellStyle name="20% - Accent5 2 2 3 2 2 3 3 2" xfId="8489" xr:uid="{00000000-0005-0000-0000-000058210000}"/>
    <cellStyle name="20% - Accent5 2 2 3 2 2 3 4" xfId="8490" xr:uid="{00000000-0005-0000-0000-000059210000}"/>
    <cellStyle name="20% - Accent5 2 2 3 2 2 4" xfId="8491" xr:uid="{00000000-0005-0000-0000-00005A210000}"/>
    <cellStyle name="20% - Accent5 2 2 3 2 2 4 2" xfId="8492" xr:uid="{00000000-0005-0000-0000-00005B210000}"/>
    <cellStyle name="20% - Accent5 2 2 3 2 2 4 2 2" xfId="8493" xr:uid="{00000000-0005-0000-0000-00005C210000}"/>
    <cellStyle name="20% - Accent5 2 2 3 2 2 4 3" xfId="8494" xr:uid="{00000000-0005-0000-0000-00005D210000}"/>
    <cellStyle name="20% - Accent5 2 2 3 2 2 5" xfId="8495" xr:uid="{00000000-0005-0000-0000-00005E210000}"/>
    <cellStyle name="20% - Accent5 2 2 3 2 2 5 2" xfId="8496" xr:uid="{00000000-0005-0000-0000-00005F210000}"/>
    <cellStyle name="20% - Accent5 2 2 3 2 2 6" xfId="8497" xr:uid="{00000000-0005-0000-0000-000060210000}"/>
    <cellStyle name="20% - Accent5 2 2 3 2 3" xfId="8498" xr:uid="{00000000-0005-0000-0000-000061210000}"/>
    <cellStyle name="20% - Accent5 2 2 3 2 3 2" xfId="8499" xr:uid="{00000000-0005-0000-0000-000062210000}"/>
    <cellStyle name="20% - Accent5 2 2 3 2 3 2 2" xfId="8500" xr:uid="{00000000-0005-0000-0000-000063210000}"/>
    <cellStyle name="20% - Accent5 2 2 3 2 3 2 2 2" xfId="8501" xr:uid="{00000000-0005-0000-0000-000064210000}"/>
    <cellStyle name="20% - Accent5 2 2 3 2 3 2 2 2 2" xfId="8502" xr:uid="{00000000-0005-0000-0000-000065210000}"/>
    <cellStyle name="20% - Accent5 2 2 3 2 3 2 2 3" xfId="8503" xr:uid="{00000000-0005-0000-0000-000066210000}"/>
    <cellStyle name="20% - Accent5 2 2 3 2 3 2 3" xfId="8504" xr:uid="{00000000-0005-0000-0000-000067210000}"/>
    <cellStyle name="20% - Accent5 2 2 3 2 3 2 3 2" xfId="8505" xr:uid="{00000000-0005-0000-0000-000068210000}"/>
    <cellStyle name="20% - Accent5 2 2 3 2 3 2 4" xfId="8506" xr:uid="{00000000-0005-0000-0000-000069210000}"/>
    <cellStyle name="20% - Accent5 2 2 3 2 3 3" xfId="8507" xr:uid="{00000000-0005-0000-0000-00006A210000}"/>
    <cellStyle name="20% - Accent5 2 2 3 2 3 3 2" xfId="8508" xr:uid="{00000000-0005-0000-0000-00006B210000}"/>
    <cellStyle name="20% - Accent5 2 2 3 2 3 3 2 2" xfId="8509" xr:uid="{00000000-0005-0000-0000-00006C210000}"/>
    <cellStyle name="20% - Accent5 2 2 3 2 3 3 3" xfId="8510" xr:uid="{00000000-0005-0000-0000-00006D210000}"/>
    <cellStyle name="20% - Accent5 2 2 3 2 3 4" xfId="8511" xr:uid="{00000000-0005-0000-0000-00006E210000}"/>
    <cellStyle name="20% - Accent5 2 2 3 2 3 4 2" xfId="8512" xr:uid="{00000000-0005-0000-0000-00006F210000}"/>
    <cellStyle name="20% - Accent5 2 2 3 2 3 5" xfId="8513" xr:uid="{00000000-0005-0000-0000-000070210000}"/>
    <cellStyle name="20% - Accent5 2 2 3 2 4" xfId="8514" xr:uid="{00000000-0005-0000-0000-000071210000}"/>
    <cellStyle name="20% - Accent5 2 2 3 2 4 2" xfId="8515" xr:uid="{00000000-0005-0000-0000-000072210000}"/>
    <cellStyle name="20% - Accent5 2 2 3 2 4 2 2" xfId="8516" xr:uid="{00000000-0005-0000-0000-000073210000}"/>
    <cellStyle name="20% - Accent5 2 2 3 2 4 2 2 2" xfId="8517" xr:uid="{00000000-0005-0000-0000-000074210000}"/>
    <cellStyle name="20% - Accent5 2 2 3 2 4 2 3" xfId="8518" xr:uid="{00000000-0005-0000-0000-000075210000}"/>
    <cellStyle name="20% - Accent5 2 2 3 2 4 3" xfId="8519" xr:uid="{00000000-0005-0000-0000-000076210000}"/>
    <cellStyle name="20% - Accent5 2 2 3 2 4 3 2" xfId="8520" xr:uid="{00000000-0005-0000-0000-000077210000}"/>
    <cellStyle name="20% - Accent5 2 2 3 2 4 4" xfId="8521" xr:uid="{00000000-0005-0000-0000-000078210000}"/>
    <cellStyle name="20% - Accent5 2 2 3 2 5" xfId="8522" xr:uid="{00000000-0005-0000-0000-000079210000}"/>
    <cellStyle name="20% - Accent5 2 2 3 2 5 2" xfId="8523" xr:uid="{00000000-0005-0000-0000-00007A210000}"/>
    <cellStyle name="20% - Accent5 2 2 3 2 5 2 2" xfId="8524" xr:uid="{00000000-0005-0000-0000-00007B210000}"/>
    <cellStyle name="20% - Accent5 2 2 3 2 5 3" xfId="8525" xr:uid="{00000000-0005-0000-0000-00007C210000}"/>
    <cellStyle name="20% - Accent5 2 2 3 2 6" xfId="8526" xr:uid="{00000000-0005-0000-0000-00007D210000}"/>
    <cellStyle name="20% - Accent5 2 2 3 2 6 2" xfId="8527" xr:uid="{00000000-0005-0000-0000-00007E210000}"/>
    <cellStyle name="20% - Accent5 2 2 3 2 7" xfId="8528" xr:uid="{00000000-0005-0000-0000-00007F210000}"/>
    <cellStyle name="20% - Accent5 2 2 3 3" xfId="8529" xr:uid="{00000000-0005-0000-0000-000080210000}"/>
    <cellStyle name="20% - Accent5 2 2 3 3 2" xfId="8530" xr:uid="{00000000-0005-0000-0000-000081210000}"/>
    <cellStyle name="20% - Accent5 2 2 3 3 2 2" xfId="8531" xr:uid="{00000000-0005-0000-0000-000082210000}"/>
    <cellStyle name="20% - Accent5 2 2 3 3 2 2 2" xfId="8532" xr:uid="{00000000-0005-0000-0000-000083210000}"/>
    <cellStyle name="20% - Accent5 2 2 3 3 2 2 2 2" xfId="8533" xr:uid="{00000000-0005-0000-0000-000084210000}"/>
    <cellStyle name="20% - Accent5 2 2 3 3 2 2 2 2 2" xfId="8534" xr:uid="{00000000-0005-0000-0000-000085210000}"/>
    <cellStyle name="20% - Accent5 2 2 3 3 2 2 2 3" xfId="8535" xr:uid="{00000000-0005-0000-0000-000086210000}"/>
    <cellStyle name="20% - Accent5 2 2 3 3 2 2 3" xfId="8536" xr:uid="{00000000-0005-0000-0000-000087210000}"/>
    <cellStyle name="20% - Accent5 2 2 3 3 2 2 3 2" xfId="8537" xr:uid="{00000000-0005-0000-0000-000088210000}"/>
    <cellStyle name="20% - Accent5 2 2 3 3 2 2 4" xfId="8538" xr:uid="{00000000-0005-0000-0000-000089210000}"/>
    <cellStyle name="20% - Accent5 2 2 3 3 2 3" xfId="8539" xr:uid="{00000000-0005-0000-0000-00008A210000}"/>
    <cellStyle name="20% - Accent5 2 2 3 3 2 3 2" xfId="8540" xr:uid="{00000000-0005-0000-0000-00008B210000}"/>
    <cellStyle name="20% - Accent5 2 2 3 3 2 3 2 2" xfId="8541" xr:uid="{00000000-0005-0000-0000-00008C210000}"/>
    <cellStyle name="20% - Accent5 2 2 3 3 2 3 3" xfId="8542" xr:uid="{00000000-0005-0000-0000-00008D210000}"/>
    <cellStyle name="20% - Accent5 2 2 3 3 2 4" xfId="8543" xr:uid="{00000000-0005-0000-0000-00008E210000}"/>
    <cellStyle name="20% - Accent5 2 2 3 3 2 4 2" xfId="8544" xr:uid="{00000000-0005-0000-0000-00008F210000}"/>
    <cellStyle name="20% - Accent5 2 2 3 3 2 5" xfId="8545" xr:uid="{00000000-0005-0000-0000-000090210000}"/>
    <cellStyle name="20% - Accent5 2 2 3 3 3" xfId="8546" xr:uid="{00000000-0005-0000-0000-000091210000}"/>
    <cellStyle name="20% - Accent5 2 2 3 3 3 2" xfId="8547" xr:uid="{00000000-0005-0000-0000-000092210000}"/>
    <cellStyle name="20% - Accent5 2 2 3 3 3 2 2" xfId="8548" xr:uid="{00000000-0005-0000-0000-000093210000}"/>
    <cellStyle name="20% - Accent5 2 2 3 3 3 2 2 2" xfId="8549" xr:uid="{00000000-0005-0000-0000-000094210000}"/>
    <cellStyle name="20% - Accent5 2 2 3 3 3 2 3" xfId="8550" xr:uid="{00000000-0005-0000-0000-000095210000}"/>
    <cellStyle name="20% - Accent5 2 2 3 3 3 3" xfId="8551" xr:uid="{00000000-0005-0000-0000-000096210000}"/>
    <cellStyle name="20% - Accent5 2 2 3 3 3 3 2" xfId="8552" xr:uid="{00000000-0005-0000-0000-000097210000}"/>
    <cellStyle name="20% - Accent5 2 2 3 3 3 4" xfId="8553" xr:uid="{00000000-0005-0000-0000-000098210000}"/>
    <cellStyle name="20% - Accent5 2 2 3 3 4" xfId="8554" xr:uid="{00000000-0005-0000-0000-000099210000}"/>
    <cellStyle name="20% - Accent5 2 2 3 3 4 2" xfId="8555" xr:uid="{00000000-0005-0000-0000-00009A210000}"/>
    <cellStyle name="20% - Accent5 2 2 3 3 4 2 2" xfId="8556" xr:uid="{00000000-0005-0000-0000-00009B210000}"/>
    <cellStyle name="20% - Accent5 2 2 3 3 4 3" xfId="8557" xr:uid="{00000000-0005-0000-0000-00009C210000}"/>
    <cellStyle name="20% - Accent5 2 2 3 3 5" xfId="8558" xr:uid="{00000000-0005-0000-0000-00009D210000}"/>
    <cellStyle name="20% - Accent5 2 2 3 3 5 2" xfId="8559" xr:uid="{00000000-0005-0000-0000-00009E210000}"/>
    <cellStyle name="20% - Accent5 2 2 3 3 6" xfId="8560" xr:uid="{00000000-0005-0000-0000-00009F210000}"/>
    <cellStyle name="20% - Accent5 2 2 3 4" xfId="8561" xr:uid="{00000000-0005-0000-0000-0000A0210000}"/>
    <cellStyle name="20% - Accent5 2 2 3 4 2" xfId="8562" xr:uid="{00000000-0005-0000-0000-0000A1210000}"/>
    <cellStyle name="20% - Accent5 2 2 3 4 2 2" xfId="8563" xr:uid="{00000000-0005-0000-0000-0000A2210000}"/>
    <cellStyle name="20% - Accent5 2 2 3 4 2 2 2" xfId="8564" xr:uid="{00000000-0005-0000-0000-0000A3210000}"/>
    <cellStyle name="20% - Accent5 2 2 3 4 2 2 2 2" xfId="8565" xr:uid="{00000000-0005-0000-0000-0000A4210000}"/>
    <cellStyle name="20% - Accent5 2 2 3 4 2 2 3" xfId="8566" xr:uid="{00000000-0005-0000-0000-0000A5210000}"/>
    <cellStyle name="20% - Accent5 2 2 3 4 2 3" xfId="8567" xr:uid="{00000000-0005-0000-0000-0000A6210000}"/>
    <cellStyle name="20% - Accent5 2 2 3 4 2 3 2" xfId="8568" xr:uid="{00000000-0005-0000-0000-0000A7210000}"/>
    <cellStyle name="20% - Accent5 2 2 3 4 2 4" xfId="8569" xr:uid="{00000000-0005-0000-0000-0000A8210000}"/>
    <cellStyle name="20% - Accent5 2 2 3 4 3" xfId="8570" xr:uid="{00000000-0005-0000-0000-0000A9210000}"/>
    <cellStyle name="20% - Accent5 2 2 3 4 3 2" xfId="8571" xr:uid="{00000000-0005-0000-0000-0000AA210000}"/>
    <cellStyle name="20% - Accent5 2 2 3 4 3 2 2" xfId="8572" xr:uid="{00000000-0005-0000-0000-0000AB210000}"/>
    <cellStyle name="20% - Accent5 2 2 3 4 3 3" xfId="8573" xr:uid="{00000000-0005-0000-0000-0000AC210000}"/>
    <cellStyle name="20% - Accent5 2 2 3 4 4" xfId="8574" xr:uid="{00000000-0005-0000-0000-0000AD210000}"/>
    <cellStyle name="20% - Accent5 2 2 3 4 4 2" xfId="8575" xr:uid="{00000000-0005-0000-0000-0000AE210000}"/>
    <cellStyle name="20% - Accent5 2 2 3 4 5" xfId="8576" xr:uid="{00000000-0005-0000-0000-0000AF210000}"/>
    <cellStyle name="20% - Accent5 2 2 3 5" xfId="8577" xr:uid="{00000000-0005-0000-0000-0000B0210000}"/>
    <cellStyle name="20% - Accent5 2 2 3 5 2" xfId="8578" xr:uid="{00000000-0005-0000-0000-0000B1210000}"/>
    <cellStyle name="20% - Accent5 2 2 3 5 2 2" xfId="8579" xr:uid="{00000000-0005-0000-0000-0000B2210000}"/>
    <cellStyle name="20% - Accent5 2 2 3 5 2 2 2" xfId="8580" xr:uid="{00000000-0005-0000-0000-0000B3210000}"/>
    <cellStyle name="20% - Accent5 2 2 3 5 2 3" xfId="8581" xr:uid="{00000000-0005-0000-0000-0000B4210000}"/>
    <cellStyle name="20% - Accent5 2 2 3 5 3" xfId="8582" xr:uid="{00000000-0005-0000-0000-0000B5210000}"/>
    <cellStyle name="20% - Accent5 2 2 3 5 3 2" xfId="8583" xr:uid="{00000000-0005-0000-0000-0000B6210000}"/>
    <cellStyle name="20% - Accent5 2 2 3 5 4" xfId="8584" xr:uid="{00000000-0005-0000-0000-0000B7210000}"/>
    <cellStyle name="20% - Accent5 2 2 3 6" xfId="8585" xr:uid="{00000000-0005-0000-0000-0000B8210000}"/>
    <cellStyle name="20% - Accent5 2 2 3 6 2" xfId="8586" xr:uid="{00000000-0005-0000-0000-0000B9210000}"/>
    <cellStyle name="20% - Accent5 2 2 3 6 2 2" xfId="8587" xr:uid="{00000000-0005-0000-0000-0000BA210000}"/>
    <cellStyle name="20% - Accent5 2 2 3 6 3" xfId="8588" xr:uid="{00000000-0005-0000-0000-0000BB210000}"/>
    <cellStyle name="20% - Accent5 2 2 3 7" xfId="8589" xr:uid="{00000000-0005-0000-0000-0000BC210000}"/>
    <cellStyle name="20% - Accent5 2 2 3 7 2" xfId="8590" xr:uid="{00000000-0005-0000-0000-0000BD210000}"/>
    <cellStyle name="20% - Accent5 2 2 3 8" xfId="8591" xr:uid="{00000000-0005-0000-0000-0000BE210000}"/>
    <cellStyle name="20% - Accent5 2 2 4" xfId="8592" xr:uid="{00000000-0005-0000-0000-0000BF210000}"/>
    <cellStyle name="20% - Accent5 2 2 4 2" xfId="8593" xr:uid="{00000000-0005-0000-0000-0000C0210000}"/>
    <cellStyle name="20% - Accent5 2 2 4 2 2" xfId="8594" xr:uid="{00000000-0005-0000-0000-0000C1210000}"/>
    <cellStyle name="20% - Accent5 2 2 4 2 2 2" xfId="8595" xr:uid="{00000000-0005-0000-0000-0000C2210000}"/>
    <cellStyle name="20% - Accent5 2 2 4 2 2 2 2" xfId="8596" xr:uid="{00000000-0005-0000-0000-0000C3210000}"/>
    <cellStyle name="20% - Accent5 2 2 4 2 2 2 2 2" xfId="8597" xr:uid="{00000000-0005-0000-0000-0000C4210000}"/>
    <cellStyle name="20% - Accent5 2 2 4 2 2 2 2 2 2" xfId="8598" xr:uid="{00000000-0005-0000-0000-0000C5210000}"/>
    <cellStyle name="20% - Accent5 2 2 4 2 2 2 2 3" xfId="8599" xr:uid="{00000000-0005-0000-0000-0000C6210000}"/>
    <cellStyle name="20% - Accent5 2 2 4 2 2 2 3" xfId="8600" xr:uid="{00000000-0005-0000-0000-0000C7210000}"/>
    <cellStyle name="20% - Accent5 2 2 4 2 2 2 3 2" xfId="8601" xr:uid="{00000000-0005-0000-0000-0000C8210000}"/>
    <cellStyle name="20% - Accent5 2 2 4 2 2 2 4" xfId="8602" xr:uid="{00000000-0005-0000-0000-0000C9210000}"/>
    <cellStyle name="20% - Accent5 2 2 4 2 2 3" xfId="8603" xr:uid="{00000000-0005-0000-0000-0000CA210000}"/>
    <cellStyle name="20% - Accent5 2 2 4 2 2 3 2" xfId="8604" xr:uid="{00000000-0005-0000-0000-0000CB210000}"/>
    <cellStyle name="20% - Accent5 2 2 4 2 2 3 2 2" xfId="8605" xr:uid="{00000000-0005-0000-0000-0000CC210000}"/>
    <cellStyle name="20% - Accent5 2 2 4 2 2 3 3" xfId="8606" xr:uid="{00000000-0005-0000-0000-0000CD210000}"/>
    <cellStyle name="20% - Accent5 2 2 4 2 2 4" xfId="8607" xr:uid="{00000000-0005-0000-0000-0000CE210000}"/>
    <cellStyle name="20% - Accent5 2 2 4 2 2 4 2" xfId="8608" xr:uid="{00000000-0005-0000-0000-0000CF210000}"/>
    <cellStyle name="20% - Accent5 2 2 4 2 2 5" xfId="8609" xr:uid="{00000000-0005-0000-0000-0000D0210000}"/>
    <cellStyle name="20% - Accent5 2 2 4 2 3" xfId="8610" xr:uid="{00000000-0005-0000-0000-0000D1210000}"/>
    <cellStyle name="20% - Accent5 2 2 4 2 3 2" xfId="8611" xr:uid="{00000000-0005-0000-0000-0000D2210000}"/>
    <cellStyle name="20% - Accent5 2 2 4 2 3 2 2" xfId="8612" xr:uid="{00000000-0005-0000-0000-0000D3210000}"/>
    <cellStyle name="20% - Accent5 2 2 4 2 3 2 2 2" xfId="8613" xr:uid="{00000000-0005-0000-0000-0000D4210000}"/>
    <cellStyle name="20% - Accent5 2 2 4 2 3 2 3" xfId="8614" xr:uid="{00000000-0005-0000-0000-0000D5210000}"/>
    <cellStyle name="20% - Accent5 2 2 4 2 3 3" xfId="8615" xr:uid="{00000000-0005-0000-0000-0000D6210000}"/>
    <cellStyle name="20% - Accent5 2 2 4 2 3 3 2" xfId="8616" xr:uid="{00000000-0005-0000-0000-0000D7210000}"/>
    <cellStyle name="20% - Accent5 2 2 4 2 3 4" xfId="8617" xr:uid="{00000000-0005-0000-0000-0000D8210000}"/>
    <cellStyle name="20% - Accent5 2 2 4 2 4" xfId="8618" xr:uid="{00000000-0005-0000-0000-0000D9210000}"/>
    <cellStyle name="20% - Accent5 2 2 4 2 4 2" xfId="8619" xr:uid="{00000000-0005-0000-0000-0000DA210000}"/>
    <cellStyle name="20% - Accent5 2 2 4 2 4 2 2" xfId="8620" xr:uid="{00000000-0005-0000-0000-0000DB210000}"/>
    <cellStyle name="20% - Accent5 2 2 4 2 4 3" xfId="8621" xr:uid="{00000000-0005-0000-0000-0000DC210000}"/>
    <cellStyle name="20% - Accent5 2 2 4 2 5" xfId="8622" xr:uid="{00000000-0005-0000-0000-0000DD210000}"/>
    <cellStyle name="20% - Accent5 2 2 4 2 5 2" xfId="8623" xr:uid="{00000000-0005-0000-0000-0000DE210000}"/>
    <cellStyle name="20% - Accent5 2 2 4 2 6" xfId="8624" xr:uid="{00000000-0005-0000-0000-0000DF210000}"/>
    <cellStyle name="20% - Accent5 2 2 4 3" xfId="8625" xr:uid="{00000000-0005-0000-0000-0000E0210000}"/>
    <cellStyle name="20% - Accent5 2 2 4 3 2" xfId="8626" xr:uid="{00000000-0005-0000-0000-0000E1210000}"/>
    <cellStyle name="20% - Accent5 2 2 4 3 2 2" xfId="8627" xr:uid="{00000000-0005-0000-0000-0000E2210000}"/>
    <cellStyle name="20% - Accent5 2 2 4 3 2 2 2" xfId="8628" xr:uid="{00000000-0005-0000-0000-0000E3210000}"/>
    <cellStyle name="20% - Accent5 2 2 4 3 2 2 2 2" xfId="8629" xr:uid="{00000000-0005-0000-0000-0000E4210000}"/>
    <cellStyle name="20% - Accent5 2 2 4 3 2 2 3" xfId="8630" xr:uid="{00000000-0005-0000-0000-0000E5210000}"/>
    <cellStyle name="20% - Accent5 2 2 4 3 2 3" xfId="8631" xr:uid="{00000000-0005-0000-0000-0000E6210000}"/>
    <cellStyle name="20% - Accent5 2 2 4 3 2 3 2" xfId="8632" xr:uid="{00000000-0005-0000-0000-0000E7210000}"/>
    <cellStyle name="20% - Accent5 2 2 4 3 2 4" xfId="8633" xr:uid="{00000000-0005-0000-0000-0000E8210000}"/>
    <cellStyle name="20% - Accent5 2 2 4 3 3" xfId="8634" xr:uid="{00000000-0005-0000-0000-0000E9210000}"/>
    <cellStyle name="20% - Accent5 2 2 4 3 3 2" xfId="8635" xr:uid="{00000000-0005-0000-0000-0000EA210000}"/>
    <cellStyle name="20% - Accent5 2 2 4 3 3 2 2" xfId="8636" xr:uid="{00000000-0005-0000-0000-0000EB210000}"/>
    <cellStyle name="20% - Accent5 2 2 4 3 3 3" xfId="8637" xr:uid="{00000000-0005-0000-0000-0000EC210000}"/>
    <cellStyle name="20% - Accent5 2 2 4 3 4" xfId="8638" xr:uid="{00000000-0005-0000-0000-0000ED210000}"/>
    <cellStyle name="20% - Accent5 2 2 4 3 4 2" xfId="8639" xr:uid="{00000000-0005-0000-0000-0000EE210000}"/>
    <cellStyle name="20% - Accent5 2 2 4 3 5" xfId="8640" xr:uid="{00000000-0005-0000-0000-0000EF210000}"/>
    <cellStyle name="20% - Accent5 2 2 4 4" xfId="8641" xr:uid="{00000000-0005-0000-0000-0000F0210000}"/>
    <cellStyle name="20% - Accent5 2 2 4 4 2" xfId="8642" xr:uid="{00000000-0005-0000-0000-0000F1210000}"/>
    <cellStyle name="20% - Accent5 2 2 4 4 2 2" xfId="8643" xr:uid="{00000000-0005-0000-0000-0000F2210000}"/>
    <cellStyle name="20% - Accent5 2 2 4 4 2 2 2" xfId="8644" xr:uid="{00000000-0005-0000-0000-0000F3210000}"/>
    <cellStyle name="20% - Accent5 2 2 4 4 2 3" xfId="8645" xr:uid="{00000000-0005-0000-0000-0000F4210000}"/>
    <cellStyle name="20% - Accent5 2 2 4 4 3" xfId="8646" xr:uid="{00000000-0005-0000-0000-0000F5210000}"/>
    <cellStyle name="20% - Accent5 2 2 4 4 3 2" xfId="8647" xr:uid="{00000000-0005-0000-0000-0000F6210000}"/>
    <cellStyle name="20% - Accent5 2 2 4 4 4" xfId="8648" xr:uid="{00000000-0005-0000-0000-0000F7210000}"/>
    <cellStyle name="20% - Accent5 2 2 4 5" xfId="8649" xr:uid="{00000000-0005-0000-0000-0000F8210000}"/>
    <cellStyle name="20% - Accent5 2 2 4 5 2" xfId="8650" xr:uid="{00000000-0005-0000-0000-0000F9210000}"/>
    <cellStyle name="20% - Accent5 2 2 4 5 2 2" xfId="8651" xr:uid="{00000000-0005-0000-0000-0000FA210000}"/>
    <cellStyle name="20% - Accent5 2 2 4 5 3" xfId="8652" xr:uid="{00000000-0005-0000-0000-0000FB210000}"/>
    <cellStyle name="20% - Accent5 2 2 4 6" xfId="8653" xr:uid="{00000000-0005-0000-0000-0000FC210000}"/>
    <cellStyle name="20% - Accent5 2 2 4 6 2" xfId="8654" xr:uid="{00000000-0005-0000-0000-0000FD210000}"/>
    <cellStyle name="20% - Accent5 2 2 4 7" xfId="8655" xr:uid="{00000000-0005-0000-0000-0000FE210000}"/>
    <cellStyle name="20% - Accent5 2 2 5" xfId="8656" xr:uid="{00000000-0005-0000-0000-0000FF210000}"/>
    <cellStyle name="20% - Accent5 2 2 5 2" xfId="8657" xr:uid="{00000000-0005-0000-0000-000000220000}"/>
    <cellStyle name="20% - Accent5 2 2 5 2 2" xfId="8658" xr:uid="{00000000-0005-0000-0000-000001220000}"/>
    <cellStyle name="20% - Accent5 2 2 5 2 2 2" xfId="8659" xr:uid="{00000000-0005-0000-0000-000002220000}"/>
    <cellStyle name="20% - Accent5 2 2 5 2 2 2 2" xfId="8660" xr:uid="{00000000-0005-0000-0000-000003220000}"/>
    <cellStyle name="20% - Accent5 2 2 5 2 2 2 2 2" xfId="8661" xr:uid="{00000000-0005-0000-0000-000004220000}"/>
    <cellStyle name="20% - Accent5 2 2 5 2 2 2 3" xfId="8662" xr:uid="{00000000-0005-0000-0000-000005220000}"/>
    <cellStyle name="20% - Accent5 2 2 5 2 2 3" xfId="8663" xr:uid="{00000000-0005-0000-0000-000006220000}"/>
    <cellStyle name="20% - Accent5 2 2 5 2 2 3 2" xfId="8664" xr:uid="{00000000-0005-0000-0000-000007220000}"/>
    <cellStyle name="20% - Accent5 2 2 5 2 2 4" xfId="8665" xr:uid="{00000000-0005-0000-0000-000008220000}"/>
    <cellStyle name="20% - Accent5 2 2 5 2 3" xfId="8666" xr:uid="{00000000-0005-0000-0000-000009220000}"/>
    <cellStyle name="20% - Accent5 2 2 5 2 3 2" xfId="8667" xr:uid="{00000000-0005-0000-0000-00000A220000}"/>
    <cellStyle name="20% - Accent5 2 2 5 2 3 2 2" xfId="8668" xr:uid="{00000000-0005-0000-0000-00000B220000}"/>
    <cellStyle name="20% - Accent5 2 2 5 2 3 3" xfId="8669" xr:uid="{00000000-0005-0000-0000-00000C220000}"/>
    <cellStyle name="20% - Accent5 2 2 5 2 4" xfId="8670" xr:uid="{00000000-0005-0000-0000-00000D220000}"/>
    <cellStyle name="20% - Accent5 2 2 5 2 4 2" xfId="8671" xr:uid="{00000000-0005-0000-0000-00000E220000}"/>
    <cellStyle name="20% - Accent5 2 2 5 2 5" xfId="8672" xr:uid="{00000000-0005-0000-0000-00000F220000}"/>
    <cellStyle name="20% - Accent5 2 2 5 3" xfId="8673" xr:uid="{00000000-0005-0000-0000-000010220000}"/>
    <cellStyle name="20% - Accent5 2 2 5 3 2" xfId="8674" xr:uid="{00000000-0005-0000-0000-000011220000}"/>
    <cellStyle name="20% - Accent5 2 2 5 3 2 2" xfId="8675" xr:uid="{00000000-0005-0000-0000-000012220000}"/>
    <cellStyle name="20% - Accent5 2 2 5 3 2 2 2" xfId="8676" xr:uid="{00000000-0005-0000-0000-000013220000}"/>
    <cellStyle name="20% - Accent5 2 2 5 3 2 3" xfId="8677" xr:uid="{00000000-0005-0000-0000-000014220000}"/>
    <cellStyle name="20% - Accent5 2 2 5 3 3" xfId="8678" xr:uid="{00000000-0005-0000-0000-000015220000}"/>
    <cellStyle name="20% - Accent5 2 2 5 3 3 2" xfId="8679" xr:uid="{00000000-0005-0000-0000-000016220000}"/>
    <cellStyle name="20% - Accent5 2 2 5 3 4" xfId="8680" xr:uid="{00000000-0005-0000-0000-000017220000}"/>
    <cellStyle name="20% - Accent5 2 2 5 4" xfId="8681" xr:uid="{00000000-0005-0000-0000-000018220000}"/>
    <cellStyle name="20% - Accent5 2 2 5 4 2" xfId="8682" xr:uid="{00000000-0005-0000-0000-000019220000}"/>
    <cellStyle name="20% - Accent5 2 2 5 4 2 2" xfId="8683" xr:uid="{00000000-0005-0000-0000-00001A220000}"/>
    <cellStyle name="20% - Accent5 2 2 5 4 3" xfId="8684" xr:uid="{00000000-0005-0000-0000-00001B220000}"/>
    <cellStyle name="20% - Accent5 2 2 5 5" xfId="8685" xr:uid="{00000000-0005-0000-0000-00001C220000}"/>
    <cellStyle name="20% - Accent5 2 2 5 5 2" xfId="8686" xr:uid="{00000000-0005-0000-0000-00001D220000}"/>
    <cellStyle name="20% - Accent5 2 2 5 6" xfId="8687" xr:uid="{00000000-0005-0000-0000-00001E220000}"/>
    <cellStyle name="20% - Accent5 2 2 6" xfId="8688" xr:uid="{00000000-0005-0000-0000-00001F220000}"/>
    <cellStyle name="20% - Accent5 2 2 6 2" xfId="8689" xr:uid="{00000000-0005-0000-0000-000020220000}"/>
    <cellStyle name="20% - Accent5 2 2 6 2 2" xfId="8690" xr:uid="{00000000-0005-0000-0000-000021220000}"/>
    <cellStyle name="20% - Accent5 2 2 6 2 2 2" xfId="8691" xr:uid="{00000000-0005-0000-0000-000022220000}"/>
    <cellStyle name="20% - Accent5 2 2 6 2 2 2 2" xfId="8692" xr:uid="{00000000-0005-0000-0000-000023220000}"/>
    <cellStyle name="20% - Accent5 2 2 6 2 2 3" xfId="8693" xr:uid="{00000000-0005-0000-0000-000024220000}"/>
    <cellStyle name="20% - Accent5 2 2 6 2 3" xfId="8694" xr:uid="{00000000-0005-0000-0000-000025220000}"/>
    <cellStyle name="20% - Accent5 2 2 6 2 3 2" xfId="8695" xr:uid="{00000000-0005-0000-0000-000026220000}"/>
    <cellStyle name="20% - Accent5 2 2 6 2 4" xfId="8696" xr:uid="{00000000-0005-0000-0000-000027220000}"/>
    <cellStyle name="20% - Accent5 2 2 6 3" xfId="8697" xr:uid="{00000000-0005-0000-0000-000028220000}"/>
    <cellStyle name="20% - Accent5 2 2 6 3 2" xfId="8698" xr:uid="{00000000-0005-0000-0000-000029220000}"/>
    <cellStyle name="20% - Accent5 2 2 6 3 2 2" xfId="8699" xr:uid="{00000000-0005-0000-0000-00002A220000}"/>
    <cellStyle name="20% - Accent5 2 2 6 3 3" xfId="8700" xr:uid="{00000000-0005-0000-0000-00002B220000}"/>
    <cellStyle name="20% - Accent5 2 2 6 4" xfId="8701" xr:uid="{00000000-0005-0000-0000-00002C220000}"/>
    <cellStyle name="20% - Accent5 2 2 6 4 2" xfId="8702" xr:uid="{00000000-0005-0000-0000-00002D220000}"/>
    <cellStyle name="20% - Accent5 2 2 6 5" xfId="8703" xr:uid="{00000000-0005-0000-0000-00002E220000}"/>
    <cellStyle name="20% - Accent5 2 2 7" xfId="8704" xr:uid="{00000000-0005-0000-0000-00002F220000}"/>
    <cellStyle name="20% - Accent5 2 2 7 2" xfId="8705" xr:uid="{00000000-0005-0000-0000-000030220000}"/>
    <cellStyle name="20% - Accent5 2 2 7 2 2" xfId="8706" xr:uid="{00000000-0005-0000-0000-000031220000}"/>
    <cellStyle name="20% - Accent5 2 2 7 2 2 2" xfId="8707" xr:uid="{00000000-0005-0000-0000-000032220000}"/>
    <cellStyle name="20% - Accent5 2 2 7 2 3" xfId="8708" xr:uid="{00000000-0005-0000-0000-000033220000}"/>
    <cellStyle name="20% - Accent5 2 2 7 3" xfId="8709" xr:uid="{00000000-0005-0000-0000-000034220000}"/>
    <cellStyle name="20% - Accent5 2 2 7 3 2" xfId="8710" xr:uid="{00000000-0005-0000-0000-000035220000}"/>
    <cellStyle name="20% - Accent5 2 2 7 4" xfId="8711" xr:uid="{00000000-0005-0000-0000-000036220000}"/>
    <cellStyle name="20% - Accent5 2 2 8" xfId="8712" xr:uid="{00000000-0005-0000-0000-000037220000}"/>
    <cellStyle name="20% - Accent5 2 2 8 2" xfId="8713" xr:uid="{00000000-0005-0000-0000-000038220000}"/>
    <cellStyle name="20% - Accent5 2 2 8 2 2" xfId="8714" xr:uid="{00000000-0005-0000-0000-000039220000}"/>
    <cellStyle name="20% - Accent5 2 2 8 3" xfId="8715" xr:uid="{00000000-0005-0000-0000-00003A220000}"/>
    <cellStyle name="20% - Accent5 2 2 9" xfId="8716" xr:uid="{00000000-0005-0000-0000-00003B220000}"/>
    <cellStyle name="20% - Accent5 2 2 9 2" xfId="8717" xr:uid="{00000000-0005-0000-0000-00003C220000}"/>
    <cellStyle name="20% - Accent5 2 3" xfId="8718" xr:uid="{00000000-0005-0000-0000-00003D220000}"/>
    <cellStyle name="20% - Accent5 2 3 2" xfId="8719" xr:uid="{00000000-0005-0000-0000-00003E220000}"/>
    <cellStyle name="20% - Accent5 2 3 2 2" xfId="8720" xr:uid="{00000000-0005-0000-0000-00003F220000}"/>
    <cellStyle name="20% - Accent5 2 3 2 2 2" xfId="8721" xr:uid="{00000000-0005-0000-0000-000040220000}"/>
    <cellStyle name="20% - Accent5 2 3 2 2 2 2" xfId="8722" xr:uid="{00000000-0005-0000-0000-000041220000}"/>
    <cellStyle name="20% - Accent5 2 3 2 2 2 2 2" xfId="8723" xr:uid="{00000000-0005-0000-0000-000042220000}"/>
    <cellStyle name="20% - Accent5 2 3 2 2 2 2 2 2" xfId="8724" xr:uid="{00000000-0005-0000-0000-000043220000}"/>
    <cellStyle name="20% - Accent5 2 3 2 2 2 2 2 2 2" xfId="8725" xr:uid="{00000000-0005-0000-0000-000044220000}"/>
    <cellStyle name="20% - Accent5 2 3 2 2 2 2 2 2 2 2" xfId="8726" xr:uid="{00000000-0005-0000-0000-000045220000}"/>
    <cellStyle name="20% - Accent5 2 3 2 2 2 2 2 2 3" xfId="8727" xr:uid="{00000000-0005-0000-0000-000046220000}"/>
    <cellStyle name="20% - Accent5 2 3 2 2 2 2 2 3" xfId="8728" xr:uid="{00000000-0005-0000-0000-000047220000}"/>
    <cellStyle name="20% - Accent5 2 3 2 2 2 2 2 3 2" xfId="8729" xr:uid="{00000000-0005-0000-0000-000048220000}"/>
    <cellStyle name="20% - Accent5 2 3 2 2 2 2 2 4" xfId="8730" xr:uid="{00000000-0005-0000-0000-000049220000}"/>
    <cellStyle name="20% - Accent5 2 3 2 2 2 2 3" xfId="8731" xr:uid="{00000000-0005-0000-0000-00004A220000}"/>
    <cellStyle name="20% - Accent5 2 3 2 2 2 2 3 2" xfId="8732" xr:uid="{00000000-0005-0000-0000-00004B220000}"/>
    <cellStyle name="20% - Accent5 2 3 2 2 2 2 3 2 2" xfId="8733" xr:uid="{00000000-0005-0000-0000-00004C220000}"/>
    <cellStyle name="20% - Accent5 2 3 2 2 2 2 3 3" xfId="8734" xr:uid="{00000000-0005-0000-0000-00004D220000}"/>
    <cellStyle name="20% - Accent5 2 3 2 2 2 2 4" xfId="8735" xr:uid="{00000000-0005-0000-0000-00004E220000}"/>
    <cellStyle name="20% - Accent5 2 3 2 2 2 2 4 2" xfId="8736" xr:uid="{00000000-0005-0000-0000-00004F220000}"/>
    <cellStyle name="20% - Accent5 2 3 2 2 2 2 5" xfId="8737" xr:uid="{00000000-0005-0000-0000-000050220000}"/>
    <cellStyle name="20% - Accent5 2 3 2 2 2 3" xfId="8738" xr:uid="{00000000-0005-0000-0000-000051220000}"/>
    <cellStyle name="20% - Accent5 2 3 2 2 2 3 2" xfId="8739" xr:uid="{00000000-0005-0000-0000-000052220000}"/>
    <cellStyle name="20% - Accent5 2 3 2 2 2 3 2 2" xfId="8740" xr:uid="{00000000-0005-0000-0000-000053220000}"/>
    <cellStyle name="20% - Accent5 2 3 2 2 2 3 2 2 2" xfId="8741" xr:uid="{00000000-0005-0000-0000-000054220000}"/>
    <cellStyle name="20% - Accent5 2 3 2 2 2 3 2 3" xfId="8742" xr:uid="{00000000-0005-0000-0000-000055220000}"/>
    <cellStyle name="20% - Accent5 2 3 2 2 2 3 3" xfId="8743" xr:uid="{00000000-0005-0000-0000-000056220000}"/>
    <cellStyle name="20% - Accent5 2 3 2 2 2 3 3 2" xfId="8744" xr:uid="{00000000-0005-0000-0000-000057220000}"/>
    <cellStyle name="20% - Accent5 2 3 2 2 2 3 4" xfId="8745" xr:uid="{00000000-0005-0000-0000-000058220000}"/>
    <cellStyle name="20% - Accent5 2 3 2 2 2 4" xfId="8746" xr:uid="{00000000-0005-0000-0000-000059220000}"/>
    <cellStyle name="20% - Accent5 2 3 2 2 2 4 2" xfId="8747" xr:uid="{00000000-0005-0000-0000-00005A220000}"/>
    <cellStyle name="20% - Accent5 2 3 2 2 2 4 2 2" xfId="8748" xr:uid="{00000000-0005-0000-0000-00005B220000}"/>
    <cellStyle name="20% - Accent5 2 3 2 2 2 4 3" xfId="8749" xr:uid="{00000000-0005-0000-0000-00005C220000}"/>
    <cellStyle name="20% - Accent5 2 3 2 2 2 5" xfId="8750" xr:uid="{00000000-0005-0000-0000-00005D220000}"/>
    <cellStyle name="20% - Accent5 2 3 2 2 2 5 2" xfId="8751" xr:uid="{00000000-0005-0000-0000-00005E220000}"/>
    <cellStyle name="20% - Accent5 2 3 2 2 2 6" xfId="8752" xr:uid="{00000000-0005-0000-0000-00005F220000}"/>
    <cellStyle name="20% - Accent5 2 3 2 2 3" xfId="8753" xr:uid="{00000000-0005-0000-0000-000060220000}"/>
    <cellStyle name="20% - Accent5 2 3 2 2 3 2" xfId="8754" xr:uid="{00000000-0005-0000-0000-000061220000}"/>
    <cellStyle name="20% - Accent5 2 3 2 2 3 2 2" xfId="8755" xr:uid="{00000000-0005-0000-0000-000062220000}"/>
    <cellStyle name="20% - Accent5 2 3 2 2 3 2 2 2" xfId="8756" xr:uid="{00000000-0005-0000-0000-000063220000}"/>
    <cellStyle name="20% - Accent5 2 3 2 2 3 2 2 2 2" xfId="8757" xr:uid="{00000000-0005-0000-0000-000064220000}"/>
    <cellStyle name="20% - Accent5 2 3 2 2 3 2 2 3" xfId="8758" xr:uid="{00000000-0005-0000-0000-000065220000}"/>
    <cellStyle name="20% - Accent5 2 3 2 2 3 2 3" xfId="8759" xr:uid="{00000000-0005-0000-0000-000066220000}"/>
    <cellStyle name="20% - Accent5 2 3 2 2 3 2 3 2" xfId="8760" xr:uid="{00000000-0005-0000-0000-000067220000}"/>
    <cellStyle name="20% - Accent5 2 3 2 2 3 2 4" xfId="8761" xr:uid="{00000000-0005-0000-0000-000068220000}"/>
    <cellStyle name="20% - Accent5 2 3 2 2 3 3" xfId="8762" xr:uid="{00000000-0005-0000-0000-000069220000}"/>
    <cellStyle name="20% - Accent5 2 3 2 2 3 3 2" xfId="8763" xr:uid="{00000000-0005-0000-0000-00006A220000}"/>
    <cellStyle name="20% - Accent5 2 3 2 2 3 3 2 2" xfId="8764" xr:uid="{00000000-0005-0000-0000-00006B220000}"/>
    <cellStyle name="20% - Accent5 2 3 2 2 3 3 3" xfId="8765" xr:uid="{00000000-0005-0000-0000-00006C220000}"/>
    <cellStyle name="20% - Accent5 2 3 2 2 3 4" xfId="8766" xr:uid="{00000000-0005-0000-0000-00006D220000}"/>
    <cellStyle name="20% - Accent5 2 3 2 2 3 4 2" xfId="8767" xr:uid="{00000000-0005-0000-0000-00006E220000}"/>
    <cellStyle name="20% - Accent5 2 3 2 2 3 5" xfId="8768" xr:uid="{00000000-0005-0000-0000-00006F220000}"/>
    <cellStyle name="20% - Accent5 2 3 2 2 4" xfId="8769" xr:uid="{00000000-0005-0000-0000-000070220000}"/>
    <cellStyle name="20% - Accent5 2 3 2 2 4 2" xfId="8770" xr:uid="{00000000-0005-0000-0000-000071220000}"/>
    <cellStyle name="20% - Accent5 2 3 2 2 4 2 2" xfId="8771" xr:uid="{00000000-0005-0000-0000-000072220000}"/>
    <cellStyle name="20% - Accent5 2 3 2 2 4 2 2 2" xfId="8772" xr:uid="{00000000-0005-0000-0000-000073220000}"/>
    <cellStyle name="20% - Accent5 2 3 2 2 4 2 3" xfId="8773" xr:uid="{00000000-0005-0000-0000-000074220000}"/>
    <cellStyle name="20% - Accent5 2 3 2 2 4 3" xfId="8774" xr:uid="{00000000-0005-0000-0000-000075220000}"/>
    <cellStyle name="20% - Accent5 2 3 2 2 4 3 2" xfId="8775" xr:uid="{00000000-0005-0000-0000-000076220000}"/>
    <cellStyle name="20% - Accent5 2 3 2 2 4 4" xfId="8776" xr:uid="{00000000-0005-0000-0000-000077220000}"/>
    <cellStyle name="20% - Accent5 2 3 2 2 5" xfId="8777" xr:uid="{00000000-0005-0000-0000-000078220000}"/>
    <cellStyle name="20% - Accent5 2 3 2 2 5 2" xfId="8778" xr:uid="{00000000-0005-0000-0000-000079220000}"/>
    <cellStyle name="20% - Accent5 2 3 2 2 5 2 2" xfId="8779" xr:uid="{00000000-0005-0000-0000-00007A220000}"/>
    <cellStyle name="20% - Accent5 2 3 2 2 5 3" xfId="8780" xr:uid="{00000000-0005-0000-0000-00007B220000}"/>
    <cellStyle name="20% - Accent5 2 3 2 2 6" xfId="8781" xr:uid="{00000000-0005-0000-0000-00007C220000}"/>
    <cellStyle name="20% - Accent5 2 3 2 2 6 2" xfId="8782" xr:uid="{00000000-0005-0000-0000-00007D220000}"/>
    <cellStyle name="20% - Accent5 2 3 2 2 7" xfId="8783" xr:uid="{00000000-0005-0000-0000-00007E220000}"/>
    <cellStyle name="20% - Accent5 2 3 2 3" xfId="8784" xr:uid="{00000000-0005-0000-0000-00007F220000}"/>
    <cellStyle name="20% - Accent5 2 3 2 3 2" xfId="8785" xr:uid="{00000000-0005-0000-0000-000080220000}"/>
    <cellStyle name="20% - Accent5 2 3 2 3 2 2" xfId="8786" xr:uid="{00000000-0005-0000-0000-000081220000}"/>
    <cellStyle name="20% - Accent5 2 3 2 3 2 2 2" xfId="8787" xr:uid="{00000000-0005-0000-0000-000082220000}"/>
    <cellStyle name="20% - Accent5 2 3 2 3 2 2 2 2" xfId="8788" xr:uid="{00000000-0005-0000-0000-000083220000}"/>
    <cellStyle name="20% - Accent5 2 3 2 3 2 2 2 2 2" xfId="8789" xr:uid="{00000000-0005-0000-0000-000084220000}"/>
    <cellStyle name="20% - Accent5 2 3 2 3 2 2 2 3" xfId="8790" xr:uid="{00000000-0005-0000-0000-000085220000}"/>
    <cellStyle name="20% - Accent5 2 3 2 3 2 2 3" xfId="8791" xr:uid="{00000000-0005-0000-0000-000086220000}"/>
    <cellStyle name="20% - Accent5 2 3 2 3 2 2 3 2" xfId="8792" xr:uid="{00000000-0005-0000-0000-000087220000}"/>
    <cellStyle name="20% - Accent5 2 3 2 3 2 2 4" xfId="8793" xr:uid="{00000000-0005-0000-0000-000088220000}"/>
    <cellStyle name="20% - Accent5 2 3 2 3 2 3" xfId="8794" xr:uid="{00000000-0005-0000-0000-000089220000}"/>
    <cellStyle name="20% - Accent5 2 3 2 3 2 3 2" xfId="8795" xr:uid="{00000000-0005-0000-0000-00008A220000}"/>
    <cellStyle name="20% - Accent5 2 3 2 3 2 3 2 2" xfId="8796" xr:uid="{00000000-0005-0000-0000-00008B220000}"/>
    <cellStyle name="20% - Accent5 2 3 2 3 2 3 3" xfId="8797" xr:uid="{00000000-0005-0000-0000-00008C220000}"/>
    <cellStyle name="20% - Accent5 2 3 2 3 2 4" xfId="8798" xr:uid="{00000000-0005-0000-0000-00008D220000}"/>
    <cellStyle name="20% - Accent5 2 3 2 3 2 4 2" xfId="8799" xr:uid="{00000000-0005-0000-0000-00008E220000}"/>
    <cellStyle name="20% - Accent5 2 3 2 3 2 5" xfId="8800" xr:uid="{00000000-0005-0000-0000-00008F220000}"/>
    <cellStyle name="20% - Accent5 2 3 2 3 3" xfId="8801" xr:uid="{00000000-0005-0000-0000-000090220000}"/>
    <cellStyle name="20% - Accent5 2 3 2 3 3 2" xfId="8802" xr:uid="{00000000-0005-0000-0000-000091220000}"/>
    <cellStyle name="20% - Accent5 2 3 2 3 3 2 2" xfId="8803" xr:uid="{00000000-0005-0000-0000-000092220000}"/>
    <cellStyle name="20% - Accent5 2 3 2 3 3 2 2 2" xfId="8804" xr:uid="{00000000-0005-0000-0000-000093220000}"/>
    <cellStyle name="20% - Accent5 2 3 2 3 3 2 3" xfId="8805" xr:uid="{00000000-0005-0000-0000-000094220000}"/>
    <cellStyle name="20% - Accent5 2 3 2 3 3 3" xfId="8806" xr:uid="{00000000-0005-0000-0000-000095220000}"/>
    <cellStyle name="20% - Accent5 2 3 2 3 3 3 2" xfId="8807" xr:uid="{00000000-0005-0000-0000-000096220000}"/>
    <cellStyle name="20% - Accent5 2 3 2 3 3 4" xfId="8808" xr:uid="{00000000-0005-0000-0000-000097220000}"/>
    <cellStyle name="20% - Accent5 2 3 2 3 4" xfId="8809" xr:uid="{00000000-0005-0000-0000-000098220000}"/>
    <cellStyle name="20% - Accent5 2 3 2 3 4 2" xfId="8810" xr:uid="{00000000-0005-0000-0000-000099220000}"/>
    <cellStyle name="20% - Accent5 2 3 2 3 4 2 2" xfId="8811" xr:uid="{00000000-0005-0000-0000-00009A220000}"/>
    <cellStyle name="20% - Accent5 2 3 2 3 4 3" xfId="8812" xr:uid="{00000000-0005-0000-0000-00009B220000}"/>
    <cellStyle name="20% - Accent5 2 3 2 3 5" xfId="8813" xr:uid="{00000000-0005-0000-0000-00009C220000}"/>
    <cellStyle name="20% - Accent5 2 3 2 3 5 2" xfId="8814" xr:uid="{00000000-0005-0000-0000-00009D220000}"/>
    <cellStyle name="20% - Accent5 2 3 2 3 6" xfId="8815" xr:uid="{00000000-0005-0000-0000-00009E220000}"/>
    <cellStyle name="20% - Accent5 2 3 2 4" xfId="8816" xr:uid="{00000000-0005-0000-0000-00009F220000}"/>
    <cellStyle name="20% - Accent5 2 3 2 4 2" xfId="8817" xr:uid="{00000000-0005-0000-0000-0000A0220000}"/>
    <cellStyle name="20% - Accent5 2 3 2 4 2 2" xfId="8818" xr:uid="{00000000-0005-0000-0000-0000A1220000}"/>
    <cellStyle name="20% - Accent5 2 3 2 4 2 2 2" xfId="8819" xr:uid="{00000000-0005-0000-0000-0000A2220000}"/>
    <cellStyle name="20% - Accent5 2 3 2 4 2 2 2 2" xfId="8820" xr:uid="{00000000-0005-0000-0000-0000A3220000}"/>
    <cellStyle name="20% - Accent5 2 3 2 4 2 2 3" xfId="8821" xr:uid="{00000000-0005-0000-0000-0000A4220000}"/>
    <cellStyle name="20% - Accent5 2 3 2 4 2 3" xfId="8822" xr:uid="{00000000-0005-0000-0000-0000A5220000}"/>
    <cellStyle name="20% - Accent5 2 3 2 4 2 3 2" xfId="8823" xr:uid="{00000000-0005-0000-0000-0000A6220000}"/>
    <cellStyle name="20% - Accent5 2 3 2 4 2 4" xfId="8824" xr:uid="{00000000-0005-0000-0000-0000A7220000}"/>
    <cellStyle name="20% - Accent5 2 3 2 4 3" xfId="8825" xr:uid="{00000000-0005-0000-0000-0000A8220000}"/>
    <cellStyle name="20% - Accent5 2 3 2 4 3 2" xfId="8826" xr:uid="{00000000-0005-0000-0000-0000A9220000}"/>
    <cellStyle name="20% - Accent5 2 3 2 4 3 2 2" xfId="8827" xr:uid="{00000000-0005-0000-0000-0000AA220000}"/>
    <cellStyle name="20% - Accent5 2 3 2 4 3 3" xfId="8828" xr:uid="{00000000-0005-0000-0000-0000AB220000}"/>
    <cellStyle name="20% - Accent5 2 3 2 4 4" xfId="8829" xr:uid="{00000000-0005-0000-0000-0000AC220000}"/>
    <cellStyle name="20% - Accent5 2 3 2 4 4 2" xfId="8830" xr:uid="{00000000-0005-0000-0000-0000AD220000}"/>
    <cellStyle name="20% - Accent5 2 3 2 4 5" xfId="8831" xr:uid="{00000000-0005-0000-0000-0000AE220000}"/>
    <cellStyle name="20% - Accent5 2 3 2 5" xfId="8832" xr:uid="{00000000-0005-0000-0000-0000AF220000}"/>
    <cellStyle name="20% - Accent5 2 3 2 5 2" xfId="8833" xr:uid="{00000000-0005-0000-0000-0000B0220000}"/>
    <cellStyle name="20% - Accent5 2 3 2 5 2 2" xfId="8834" xr:uid="{00000000-0005-0000-0000-0000B1220000}"/>
    <cellStyle name="20% - Accent5 2 3 2 5 2 2 2" xfId="8835" xr:uid="{00000000-0005-0000-0000-0000B2220000}"/>
    <cellStyle name="20% - Accent5 2 3 2 5 2 3" xfId="8836" xr:uid="{00000000-0005-0000-0000-0000B3220000}"/>
    <cellStyle name="20% - Accent5 2 3 2 5 3" xfId="8837" xr:uid="{00000000-0005-0000-0000-0000B4220000}"/>
    <cellStyle name="20% - Accent5 2 3 2 5 3 2" xfId="8838" xr:uid="{00000000-0005-0000-0000-0000B5220000}"/>
    <cellStyle name="20% - Accent5 2 3 2 5 4" xfId="8839" xr:uid="{00000000-0005-0000-0000-0000B6220000}"/>
    <cellStyle name="20% - Accent5 2 3 2 6" xfId="8840" xr:uid="{00000000-0005-0000-0000-0000B7220000}"/>
    <cellStyle name="20% - Accent5 2 3 2 6 2" xfId="8841" xr:uid="{00000000-0005-0000-0000-0000B8220000}"/>
    <cellStyle name="20% - Accent5 2 3 2 6 2 2" xfId="8842" xr:uid="{00000000-0005-0000-0000-0000B9220000}"/>
    <cellStyle name="20% - Accent5 2 3 2 6 3" xfId="8843" xr:uid="{00000000-0005-0000-0000-0000BA220000}"/>
    <cellStyle name="20% - Accent5 2 3 2 7" xfId="8844" xr:uid="{00000000-0005-0000-0000-0000BB220000}"/>
    <cellStyle name="20% - Accent5 2 3 2 7 2" xfId="8845" xr:uid="{00000000-0005-0000-0000-0000BC220000}"/>
    <cellStyle name="20% - Accent5 2 3 2 8" xfId="8846" xr:uid="{00000000-0005-0000-0000-0000BD220000}"/>
    <cellStyle name="20% - Accent5 2 3 3" xfId="8847" xr:uid="{00000000-0005-0000-0000-0000BE220000}"/>
    <cellStyle name="20% - Accent5 2 3 3 2" xfId="8848" xr:uid="{00000000-0005-0000-0000-0000BF220000}"/>
    <cellStyle name="20% - Accent5 2 3 3 2 2" xfId="8849" xr:uid="{00000000-0005-0000-0000-0000C0220000}"/>
    <cellStyle name="20% - Accent5 2 3 3 2 2 2" xfId="8850" xr:uid="{00000000-0005-0000-0000-0000C1220000}"/>
    <cellStyle name="20% - Accent5 2 3 3 2 2 2 2" xfId="8851" xr:uid="{00000000-0005-0000-0000-0000C2220000}"/>
    <cellStyle name="20% - Accent5 2 3 3 2 2 2 2 2" xfId="8852" xr:uid="{00000000-0005-0000-0000-0000C3220000}"/>
    <cellStyle name="20% - Accent5 2 3 3 2 2 2 2 2 2" xfId="8853" xr:uid="{00000000-0005-0000-0000-0000C4220000}"/>
    <cellStyle name="20% - Accent5 2 3 3 2 2 2 2 3" xfId="8854" xr:uid="{00000000-0005-0000-0000-0000C5220000}"/>
    <cellStyle name="20% - Accent5 2 3 3 2 2 2 3" xfId="8855" xr:uid="{00000000-0005-0000-0000-0000C6220000}"/>
    <cellStyle name="20% - Accent5 2 3 3 2 2 2 3 2" xfId="8856" xr:uid="{00000000-0005-0000-0000-0000C7220000}"/>
    <cellStyle name="20% - Accent5 2 3 3 2 2 2 4" xfId="8857" xr:uid="{00000000-0005-0000-0000-0000C8220000}"/>
    <cellStyle name="20% - Accent5 2 3 3 2 2 3" xfId="8858" xr:uid="{00000000-0005-0000-0000-0000C9220000}"/>
    <cellStyle name="20% - Accent5 2 3 3 2 2 3 2" xfId="8859" xr:uid="{00000000-0005-0000-0000-0000CA220000}"/>
    <cellStyle name="20% - Accent5 2 3 3 2 2 3 2 2" xfId="8860" xr:uid="{00000000-0005-0000-0000-0000CB220000}"/>
    <cellStyle name="20% - Accent5 2 3 3 2 2 3 3" xfId="8861" xr:uid="{00000000-0005-0000-0000-0000CC220000}"/>
    <cellStyle name="20% - Accent5 2 3 3 2 2 4" xfId="8862" xr:uid="{00000000-0005-0000-0000-0000CD220000}"/>
    <cellStyle name="20% - Accent5 2 3 3 2 2 4 2" xfId="8863" xr:uid="{00000000-0005-0000-0000-0000CE220000}"/>
    <cellStyle name="20% - Accent5 2 3 3 2 2 5" xfId="8864" xr:uid="{00000000-0005-0000-0000-0000CF220000}"/>
    <cellStyle name="20% - Accent5 2 3 3 2 3" xfId="8865" xr:uid="{00000000-0005-0000-0000-0000D0220000}"/>
    <cellStyle name="20% - Accent5 2 3 3 2 3 2" xfId="8866" xr:uid="{00000000-0005-0000-0000-0000D1220000}"/>
    <cellStyle name="20% - Accent5 2 3 3 2 3 2 2" xfId="8867" xr:uid="{00000000-0005-0000-0000-0000D2220000}"/>
    <cellStyle name="20% - Accent5 2 3 3 2 3 2 2 2" xfId="8868" xr:uid="{00000000-0005-0000-0000-0000D3220000}"/>
    <cellStyle name="20% - Accent5 2 3 3 2 3 2 3" xfId="8869" xr:uid="{00000000-0005-0000-0000-0000D4220000}"/>
    <cellStyle name="20% - Accent5 2 3 3 2 3 3" xfId="8870" xr:uid="{00000000-0005-0000-0000-0000D5220000}"/>
    <cellStyle name="20% - Accent5 2 3 3 2 3 3 2" xfId="8871" xr:uid="{00000000-0005-0000-0000-0000D6220000}"/>
    <cellStyle name="20% - Accent5 2 3 3 2 3 4" xfId="8872" xr:uid="{00000000-0005-0000-0000-0000D7220000}"/>
    <cellStyle name="20% - Accent5 2 3 3 2 4" xfId="8873" xr:uid="{00000000-0005-0000-0000-0000D8220000}"/>
    <cellStyle name="20% - Accent5 2 3 3 2 4 2" xfId="8874" xr:uid="{00000000-0005-0000-0000-0000D9220000}"/>
    <cellStyle name="20% - Accent5 2 3 3 2 4 2 2" xfId="8875" xr:uid="{00000000-0005-0000-0000-0000DA220000}"/>
    <cellStyle name="20% - Accent5 2 3 3 2 4 3" xfId="8876" xr:uid="{00000000-0005-0000-0000-0000DB220000}"/>
    <cellStyle name="20% - Accent5 2 3 3 2 5" xfId="8877" xr:uid="{00000000-0005-0000-0000-0000DC220000}"/>
    <cellStyle name="20% - Accent5 2 3 3 2 5 2" xfId="8878" xr:uid="{00000000-0005-0000-0000-0000DD220000}"/>
    <cellStyle name="20% - Accent5 2 3 3 2 6" xfId="8879" xr:uid="{00000000-0005-0000-0000-0000DE220000}"/>
    <cellStyle name="20% - Accent5 2 3 3 3" xfId="8880" xr:uid="{00000000-0005-0000-0000-0000DF220000}"/>
    <cellStyle name="20% - Accent5 2 3 3 3 2" xfId="8881" xr:uid="{00000000-0005-0000-0000-0000E0220000}"/>
    <cellStyle name="20% - Accent5 2 3 3 3 2 2" xfId="8882" xr:uid="{00000000-0005-0000-0000-0000E1220000}"/>
    <cellStyle name="20% - Accent5 2 3 3 3 2 2 2" xfId="8883" xr:uid="{00000000-0005-0000-0000-0000E2220000}"/>
    <cellStyle name="20% - Accent5 2 3 3 3 2 2 2 2" xfId="8884" xr:uid="{00000000-0005-0000-0000-0000E3220000}"/>
    <cellStyle name="20% - Accent5 2 3 3 3 2 2 3" xfId="8885" xr:uid="{00000000-0005-0000-0000-0000E4220000}"/>
    <cellStyle name="20% - Accent5 2 3 3 3 2 3" xfId="8886" xr:uid="{00000000-0005-0000-0000-0000E5220000}"/>
    <cellStyle name="20% - Accent5 2 3 3 3 2 3 2" xfId="8887" xr:uid="{00000000-0005-0000-0000-0000E6220000}"/>
    <cellStyle name="20% - Accent5 2 3 3 3 2 4" xfId="8888" xr:uid="{00000000-0005-0000-0000-0000E7220000}"/>
    <cellStyle name="20% - Accent5 2 3 3 3 3" xfId="8889" xr:uid="{00000000-0005-0000-0000-0000E8220000}"/>
    <cellStyle name="20% - Accent5 2 3 3 3 3 2" xfId="8890" xr:uid="{00000000-0005-0000-0000-0000E9220000}"/>
    <cellStyle name="20% - Accent5 2 3 3 3 3 2 2" xfId="8891" xr:uid="{00000000-0005-0000-0000-0000EA220000}"/>
    <cellStyle name="20% - Accent5 2 3 3 3 3 3" xfId="8892" xr:uid="{00000000-0005-0000-0000-0000EB220000}"/>
    <cellStyle name="20% - Accent5 2 3 3 3 4" xfId="8893" xr:uid="{00000000-0005-0000-0000-0000EC220000}"/>
    <cellStyle name="20% - Accent5 2 3 3 3 4 2" xfId="8894" xr:uid="{00000000-0005-0000-0000-0000ED220000}"/>
    <cellStyle name="20% - Accent5 2 3 3 3 5" xfId="8895" xr:uid="{00000000-0005-0000-0000-0000EE220000}"/>
    <cellStyle name="20% - Accent5 2 3 3 4" xfId="8896" xr:uid="{00000000-0005-0000-0000-0000EF220000}"/>
    <cellStyle name="20% - Accent5 2 3 3 4 2" xfId="8897" xr:uid="{00000000-0005-0000-0000-0000F0220000}"/>
    <cellStyle name="20% - Accent5 2 3 3 4 2 2" xfId="8898" xr:uid="{00000000-0005-0000-0000-0000F1220000}"/>
    <cellStyle name="20% - Accent5 2 3 3 4 2 2 2" xfId="8899" xr:uid="{00000000-0005-0000-0000-0000F2220000}"/>
    <cellStyle name="20% - Accent5 2 3 3 4 2 3" xfId="8900" xr:uid="{00000000-0005-0000-0000-0000F3220000}"/>
    <cellStyle name="20% - Accent5 2 3 3 4 3" xfId="8901" xr:uid="{00000000-0005-0000-0000-0000F4220000}"/>
    <cellStyle name="20% - Accent5 2 3 3 4 3 2" xfId="8902" xr:uid="{00000000-0005-0000-0000-0000F5220000}"/>
    <cellStyle name="20% - Accent5 2 3 3 4 4" xfId="8903" xr:uid="{00000000-0005-0000-0000-0000F6220000}"/>
    <cellStyle name="20% - Accent5 2 3 3 5" xfId="8904" xr:uid="{00000000-0005-0000-0000-0000F7220000}"/>
    <cellStyle name="20% - Accent5 2 3 3 5 2" xfId="8905" xr:uid="{00000000-0005-0000-0000-0000F8220000}"/>
    <cellStyle name="20% - Accent5 2 3 3 5 2 2" xfId="8906" xr:uid="{00000000-0005-0000-0000-0000F9220000}"/>
    <cellStyle name="20% - Accent5 2 3 3 5 3" xfId="8907" xr:uid="{00000000-0005-0000-0000-0000FA220000}"/>
    <cellStyle name="20% - Accent5 2 3 3 6" xfId="8908" xr:uid="{00000000-0005-0000-0000-0000FB220000}"/>
    <cellStyle name="20% - Accent5 2 3 3 6 2" xfId="8909" xr:uid="{00000000-0005-0000-0000-0000FC220000}"/>
    <cellStyle name="20% - Accent5 2 3 3 7" xfId="8910" xr:uid="{00000000-0005-0000-0000-0000FD220000}"/>
    <cellStyle name="20% - Accent5 2 3 4" xfId="8911" xr:uid="{00000000-0005-0000-0000-0000FE220000}"/>
    <cellStyle name="20% - Accent5 2 3 4 2" xfId="8912" xr:uid="{00000000-0005-0000-0000-0000FF220000}"/>
    <cellStyle name="20% - Accent5 2 3 4 2 2" xfId="8913" xr:uid="{00000000-0005-0000-0000-000000230000}"/>
    <cellStyle name="20% - Accent5 2 3 4 2 2 2" xfId="8914" xr:uid="{00000000-0005-0000-0000-000001230000}"/>
    <cellStyle name="20% - Accent5 2 3 4 2 2 2 2" xfId="8915" xr:uid="{00000000-0005-0000-0000-000002230000}"/>
    <cellStyle name="20% - Accent5 2 3 4 2 2 2 2 2" xfId="8916" xr:uid="{00000000-0005-0000-0000-000003230000}"/>
    <cellStyle name="20% - Accent5 2 3 4 2 2 2 3" xfId="8917" xr:uid="{00000000-0005-0000-0000-000004230000}"/>
    <cellStyle name="20% - Accent5 2 3 4 2 2 3" xfId="8918" xr:uid="{00000000-0005-0000-0000-000005230000}"/>
    <cellStyle name="20% - Accent5 2 3 4 2 2 3 2" xfId="8919" xr:uid="{00000000-0005-0000-0000-000006230000}"/>
    <cellStyle name="20% - Accent5 2 3 4 2 2 4" xfId="8920" xr:uid="{00000000-0005-0000-0000-000007230000}"/>
    <cellStyle name="20% - Accent5 2 3 4 2 3" xfId="8921" xr:uid="{00000000-0005-0000-0000-000008230000}"/>
    <cellStyle name="20% - Accent5 2 3 4 2 3 2" xfId="8922" xr:uid="{00000000-0005-0000-0000-000009230000}"/>
    <cellStyle name="20% - Accent5 2 3 4 2 3 2 2" xfId="8923" xr:uid="{00000000-0005-0000-0000-00000A230000}"/>
    <cellStyle name="20% - Accent5 2 3 4 2 3 3" xfId="8924" xr:uid="{00000000-0005-0000-0000-00000B230000}"/>
    <cellStyle name="20% - Accent5 2 3 4 2 4" xfId="8925" xr:uid="{00000000-0005-0000-0000-00000C230000}"/>
    <cellStyle name="20% - Accent5 2 3 4 2 4 2" xfId="8926" xr:uid="{00000000-0005-0000-0000-00000D230000}"/>
    <cellStyle name="20% - Accent5 2 3 4 2 5" xfId="8927" xr:uid="{00000000-0005-0000-0000-00000E230000}"/>
    <cellStyle name="20% - Accent5 2 3 4 3" xfId="8928" xr:uid="{00000000-0005-0000-0000-00000F230000}"/>
    <cellStyle name="20% - Accent5 2 3 4 3 2" xfId="8929" xr:uid="{00000000-0005-0000-0000-000010230000}"/>
    <cellStyle name="20% - Accent5 2 3 4 3 2 2" xfId="8930" xr:uid="{00000000-0005-0000-0000-000011230000}"/>
    <cellStyle name="20% - Accent5 2 3 4 3 2 2 2" xfId="8931" xr:uid="{00000000-0005-0000-0000-000012230000}"/>
    <cellStyle name="20% - Accent5 2 3 4 3 2 3" xfId="8932" xr:uid="{00000000-0005-0000-0000-000013230000}"/>
    <cellStyle name="20% - Accent5 2 3 4 3 3" xfId="8933" xr:uid="{00000000-0005-0000-0000-000014230000}"/>
    <cellStyle name="20% - Accent5 2 3 4 3 3 2" xfId="8934" xr:uid="{00000000-0005-0000-0000-000015230000}"/>
    <cellStyle name="20% - Accent5 2 3 4 3 4" xfId="8935" xr:uid="{00000000-0005-0000-0000-000016230000}"/>
    <cellStyle name="20% - Accent5 2 3 4 4" xfId="8936" xr:uid="{00000000-0005-0000-0000-000017230000}"/>
    <cellStyle name="20% - Accent5 2 3 4 4 2" xfId="8937" xr:uid="{00000000-0005-0000-0000-000018230000}"/>
    <cellStyle name="20% - Accent5 2 3 4 4 2 2" xfId="8938" xr:uid="{00000000-0005-0000-0000-000019230000}"/>
    <cellStyle name="20% - Accent5 2 3 4 4 3" xfId="8939" xr:uid="{00000000-0005-0000-0000-00001A230000}"/>
    <cellStyle name="20% - Accent5 2 3 4 5" xfId="8940" xr:uid="{00000000-0005-0000-0000-00001B230000}"/>
    <cellStyle name="20% - Accent5 2 3 4 5 2" xfId="8941" xr:uid="{00000000-0005-0000-0000-00001C230000}"/>
    <cellStyle name="20% - Accent5 2 3 4 6" xfId="8942" xr:uid="{00000000-0005-0000-0000-00001D230000}"/>
    <cellStyle name="20% - Accent5 2 3 5" xfId="8943" xr:uid="{00000000-0005-0000-0000-00001E230000}"/>
    <cellStyle name="20% - Accent5 2 3 5 2" xfId="8944" xr:uid="{00000000-0005-0000-0000-00001F230000}"/>
    <cellStyle name="20% - Accent5 2 3 5 2 2" xfId="8945" xr:uid="{00000000-0005-0000-0000-000020230000}"/>
    <cellStyle name="20% - Accent5 2 3 5 2 2 2" xfId="8946" xr:uid="{00000000-0005-0000-0000-000021230000}"/>
    <cellStyle name="20% - Accent5 2 3 5 2 2 2 2" xfId="8947" xr:uid="{00000000-0005-0000-0000-000022230000}"/>
    <cellStyle name="20% - Accent5 2 3 5 2 2 3" xfId="8948" xr:uid="{00000000-0005-0000-0000-000023230000}"/>
    <cellStyle name="20% - Accent5 2 3 5 2 3" xfId="8949" xr:uid="{00000000-0005-0000-0000-000024230000}"/>
    <cellStyle name="20% - Accent5 2 3 5 2 3 2" xfId="8950" xr:uid="{00000000-0005-0000-0000-000025230000}"/>
    <cellStyle name="20% - Accent5 2 3 5 2 4" xfId="8951" xr:uid="{00000000-0005-0000-0000-000026230000}"/>
    <cellStyle name="20% - Accent5 2 3 5 3" xfId="8952" xr:uid="{00000000-0005-0000-0000-000027230000}"/>
    <cellStyle name="20% - Accent5 2 3 5 3 2" xfId="8953" xr:uid="{00000000-0005-0000-0000-000028230000}"/>
    <cellStyle name="20% - Accent5 2 3 5 3 2 2" xfId="8954" xr:uid="{00000000-0005-0000-0000-000029230000}"/>
    <cellStyle name="20% - Accent5 2 3 5 3 3" xfId="8955" xr:uid="{00000000-0005-0000-0000-00002A230000}"/>
    <cellStyle name="20% - Accent5 2 3 5 4" xfId="8956" xr:uid="{00000000-0005-0000-0000-00002B230000}"/>
    <cellStyle name="20% - Accent5 2 3 5 4 2" xfId="8957" xr:uid="{00000000-0005-0000-0000-00002C230000}"/>
    <cellStyle name="20% - Accent5 2 3 5 5" xfId="8958" xr:uid="{00000000-0005-0000-0000-00002D230000}"/>
    <cellStyle name="20% - Accent5 2 3 6" xfId="8959" xr:uid="{00000000-0005-0000-0000-00002E230000}"/>
    <cellStyle name="20% - Accent5 2 3 6 2" xfId="8960" xr:uid="{00000000-0005-0000-0000-00002F230000}"/>
    <cellStyle name="20% - Accent5 2 3 6 2 2" xfId="8961" xr:uid="{00000000-0005-0000-0000-000030230000}"/>
    <cellStyle name="20% - Accent5 2 3 6 2 2 2" xfId="8962" xr:uid="{00000000-0005-0000-0000-000031230000}"/>
    <cellStyle name="20% - Accent5 2 3 6 2 3" xfId="8963" xr:uid="{00000000-0005-0000-0000-000032230000}"/>
    <cellStyle name="20% - Accent5 2 3 6 3" xfId="8964" xr:uid="{00000000-0005-0000-0000-000033230000}"/>
    <cellStyle name="20% - Accent5 2 3 6 3 2" xfId="8965" xr:uid="{00000000-0005-0000-0000-000034230000}"/>
    <cellStyle name="20% - Accent5 2 3 6 4" xfId="8966" xr:uid="{00000000-0005-0000-0000-000035230000}"/>
    <cellStyle name="20% - Accent5 2 3 7" xfId="8967" xr:uid="{00000000-0005-0000-0000-000036230000}"/>
    <cellStyle name="20% - Accent5 2 3 7 2" xfId="8968" xr:uid="{00000000-0005-0000-0000-000037230000}"/>
    <cellStyle name="20% - Accent5 2 3 7 2 2" xfId="8969" xr:uid="{00000000-0005-0000-0000-000038230000}"/>
    <cellStyle name="20% - Accent5 2 3 7 3" xfId="8970" xr:uid="{00000000-0005-0000-0000-000039230000}"/>
    <cellStyle name="20% - Accent5 2 3 8" xfId="8971" xr:uid="{00000000-0005-0000-0000-00003A230000}"/>
    <cellStyle name="20% - Accent5 2 3 8 2" xfId="8972" xr:uid="{00000000-0005-0000-0000-00003B230000}"/>
    <cellStyle name="20% - Accent5 2 3 9" xfId="8973" xr:uid="{00000000-0005-0000-0000-00003C230000}"/>
    <cellStyle name="20% - Accent5 2 4" xfId="8974" xr:uid="{00000000-0005-0000-0000-00003D230000}"/>
    <cellStyle name="20% - Accent5 2 4 2" xfId="8975" xr:uid="{00000000-0005-0000-0000-00003E230000}"/>
    <cellStyle name="20% - Accent5 2 4 2 2" xfId="8976" xr:uid="{00000000-0005-0000-0000-00003F230000}"/>
    <cellStyle name="20% - Accent5 2 4 2 2 2" xfId="8977" xr:uid="{00000000-0005-0000-0000-000040230000}"/>
    <cellStyle name="20% - Accent5 2 4 2 2 2 2" xfId="8978" xr:uid="{00000000-0005-0000-0000-000041230000}"/>
    <cellStyle name="20% - Accent5 2 4 2 2 2 2 2" xfId="8979" xr:uid="{00000000-0005-0000-0000-000042230000}"/>
    <cellStyle name="20% - Accent5 2 4 2 2 2 2 2 2" xfId="8980" xr:uid="{00000000-0005-0000-0000-000043230000}"/>
    <cellStyle name="20% - Accent5 2 4 2 2 2 2 2 2 2" xfId="8981" xr:uid="{00000000-0005-0000-0000-000044230000}"/>
    <cellStyle name="20% - Accent5 2 4 2 2 2 2 2 3" xfId="8982" xr:uid="{00000000-0005-0000-0000-000045230000}"/>
    <cellStyle name="20% - Accent5 2 4 2 2 2 2 3" xfId="8983" xr:uid="{00000000-0005-0000-0000-000046230000}"/>
    <cellStyle name="20% - Accent5 2 4 2 2 2 2 3 2" xfId="8984" xr:uid="{00000000-0005-0000-0000-000047230000}"/>
    <cellStyle name="20% - Accent5 2 4 2 2 2 2 4" xfId="8985" xr:uid="{00000000-0005-0000-0000-000048230000}"/>
    <cellStyle name="20% - Accent5 2 4 2 2 2 3" xfId="8986" xr:uid="{00000000-0005-0000-0000-000049230000}"/>
    <cellStyle name="20% - Accent5 2 4 2 2 2 3 2" xfId="8987" xr:uid="{00000000-0005-0000-0000-00004A230000}"/>
    <cellStyle name="20% - Accent5 2 4 2 2 2 3 2 2" xfId="8988" xr:uid="{00000000-0005-0000-0000-00004B230000}"/>
    <cellStyle name="20% - Accent5 2 4 2 2 2 3 3" xfId="8989" xr:uid="{00000000-0005-0000-0000-00004C230000}"/>
    <cellStyle name="20% - Accent5 2 4 2 2 2 4" xfId="8990" xr:uid="{00000000-0005-0000-0000-00004D230000}"/>
    <cellStyle name="20% - Accent5 2 4 2 2 2 4 2" xfId="8991" xr:uid="{00000000-0005-0000-0000-00004E230000}"/>
    <cellStyle name="20% - Accent5 2 4 2 2 2 5" xfId="8992" xr:uid="{00000000-0005-0000-0000-00004F230000}"/>
    <cellStyle name="20% - Accent5 2 4 2 2 3" xfId="8993" xr:uid="{00000000-0005-0000-0000-000050230000}"/>
    <cellStyle name="20% - Accent5 2 4 2 2 3 2" xfId="8994" xr:uid="{00000000-0005-0000-0000-000051230000}"/>
    <cellStyle name="20% - Accent5 2 4 2 2 3 2 2" xfId="8995" xr:uid="{00000000-0005-0000-0000-000052230000}"/>
    <cellStyle name="20% - Accent5 2 4 2 2 3 2 2 2" xfId="8996" xr:uid="{00000000-0005-0000-0000-000053230000}"/>
    <cellStyle name="20% - Accent5 2 4 2 2 3 2 3" xfId="8997" xr:uid="{00000000-0005-0000-0000-000054230000}"/>
    <cellStyle name="20% - Accent5 2 4 2 2 3 3" xfId="8998" xr:uid="{00000000-0005-0000-0000-000055230000}"/>
    <cellStyle name="20% - Accent5 2 4 2 2 3 3 2" xfId="8999" xr:uid="{00000000-0005-0000-0000-000056230000}"/>
    <cellStyle name="20% - Accent5 2 4 2 2 3 4" xfId="9000" xr:uid="{00000000-0005-0000-0000-000057230000}"/>
    <cellStyle name="20% - Accent5 2 4 2 2 4" xfId="9001" xr:uid="{00000000-0005-0000-0000-000058230000}"/>
    <cellStyle name="20% - Accent5 2 4 2 2 4 2" xfId="9002" xr:uid="{00000000-0005-0000-0000-000059230000}"/>
    <cellStyle name="20% - Accent5 2 4 2 2 4 2 2" xfId="9003" xr:uid="{00000000-0005-0000-0000-00005A230000}"/>
    <cellStyle name="20% - Accent5 2 4 2 2 4 3" xfId="9004" xr:uid="{00000000-0005-0000-0000-00005B230000}"/>
    <cellStyle name="20% - Accent5 2 4 2 2 5" xfId="9005" xr:uid="{00000000-0005-0000-0000-00005C230000}"/>
    <cellStyle name="20% - Accent5 2 4 2 2 5 2" xfId="9006" xr:uid="{00000000-0005-0000-0000-00005D230000}"/>
    <cellStyle name="20% - Accent5 2 4 2 2 6" xfId="9007" xr:uid="{00000000-0005-0000-0000-00005E230000}"/>
    <cellStyle name="20% - Accent5 2 4 2 3" xfId="9008" xr:uid="{00000000-0005-0000-0000-00005F230000}"/>
    <cellStyle name="20% - Accent5 2 4 2 3 2" xfId="9009" xr:uid="{00000000-0005-0000-0000-000060230000}"/>
    <cellStyle name="20% - Accent5 2 4 2 3 2 2" xfId="9010" xr:uid="{00000000-0005-0000-0000-000061230000}"/>
    <cellStyle name="20% - Accent5 2 4 2 3 2 2 2" xfId="9011" xr:uid="{00000000-0005-0000-0000-000062230000}"/>
    <cellStyle name="20% - Accent5 2 4 2 3 2 2 2 2" xfId="9012" xr:uid="{00000000-0005-0000-0000-000063230000}"/>
    <cellStyle name="20% - Accent5 2 4 2 3 2 2 3" xfId="9013" xr:uid="{00000000-0005-0000-0000-000064230000}"/>
    <cellStyle name="20% - Accent5 2 4 2 3 2 3" xfId="9014" xr:uid="{00000000-0005-0000-0000-000065230000}"/>
    <cellStyle name="20% - Accent5 2 4 2 3 2 3 2" xfId="9015" xr:uid="{00000000-0005-0000-0000-000066230000}"/>
    <cellStyle name="20% - Accent5 2 4 2 3 2 4" xfId="9016" xr:uid="{00000000-0005-0000-0000-000067230000}"/>
    <cellStyle name="20% - Accent5 2 4 2 3 3" xfId="9017" xr:uid="{00000000-0005-0000-0000-000068230000}"/>
    <cellStyle name="20% - Accent5 2 4 2 3 3 2" xfId="9018" xr:uid="{00000000-0005-0000-0000-000069230000}"/>
    <cellStyle name="20% - Accent5 2 4 2 3 3 2 2" xfId="9019" xr:uid="{00000000-0005-0000-0000-00006A230000}"/>
    <cellStyle name="20% - Accent5 2 4 2 3 3 3" xfId="9020" xr:uid="{00000000-0005-0000-0000-00006B230000}"/>
    <cellStyle name="20% - Accent5 2 4 2 3 4" xfId="9021" xr:uid="{00000000-0005-0000-0000-00006C230000}"/>
    <cellStyle name="20% - Accent5 2 4 2 3 4 2" xfId="9022" xr:uid="{00000000-0005-0000-0000-00006D230000}"/>
    <cellStyle name="20% - Accent5 2 4 2 3 5" xfId="9023" xr:uid="{00000000-0005-0000-0000-00006E230000}"/>
    <cellStyle name="20% - Accent5 2 4 2 4" xfId="9024" xr:uid="{00000000-0005-0000-0000-00006F230000}"/>
    <cellStyle name="20% - Accent5 2 4 2 4 2" xfId="9025" xr:uid="{00000000-0005-0000-0000-000070230000}"/>
    <cellStyle name="20% - Accent5 2 4 2 4 2 2" xfId="9026" xr:uid="{00000000-0005-0000-0000-000071230000}"/>
    <cellStyle name="20% - Accent5 2 4 2 4 2 2 2" xfId="9027" xr:uid="{00000000-0005-0000-0000-000072230000}"/>
    <cellStyle name="20% - Accent5 2 4 2 4 2 3" xfId="9028" xr:uid="{00000000-0005-0000-0000-000073230000}"/>
    <cellStyle name="20% - Accent5 2 4 2 4 3" xfId="9029" xr:uid="{00000000-0005-0000-0000-000074230000}"/>
    <cellStyle name="20% - Accent5 2 4 2 4 3 2" xfId="9030" xr:uid="{00000000-0005-0000-0000-000075230000}"/>
    <cellStyle name="20% - Accent5 2 4 2 4 4" xfId="9031" xr:uid="{00000000-0005-0000-0000-000076230000}"/>
    <cellStyle name="20% - Accent5 2 4 2 5" xfId="9032" xr:uid="{00000000-0005-0000-0000-000077230000}"/>
    <cellStyle name="20% - Accent5 2 4 2 5 2" xfId="9033" xr:uid="{00000000-0005-0000-0000-000078230000}"/>
    <cellStyle name="20% - Accent5 2 4 2 5 2 2" xfId="9034" xr:uid="{00000000-0005-0000-0000-000079230000}"/>
    <cellStyle name="20% - Accent5 2 4 2 5 3" xfId="9035" xr:uid="{00000000-0005-0000-0000-00007A230000}"/>
    <cellStyle name="20% - Accent5 2 4 2 6" xfId="9036" xr:uid="{00000000-0005-0000-0000-00007B230000}"/>
    <cellStyle name="20% - Accent5 2 4 2 6 2" xfId="9037" xr:uid="{00000000-0005-0000-0000-00007C230000}"/>
    <cellStyle name="20% - Accent5 2 4 2 7" xfId="9038" xr:uid="{00000000-0005-0000-0000-00007D230000}"/>
    <cellStyle name="20% - Accent5 2 4 3" xfId="9039" xr:uid="{00000000-0005-0000-0000-00007E230000}"/>
    <cellStyle name="20% - Accent5 2 4 3 2" xfId="9040" xr:uid="{00000000-0005-0000-0000-00007F230000}"/>
    <cellStyle name="20% - Accent5 2 4 3 2 2" xfId="9041" xr:uid="{00000000-0005-0000-0000-000080230000}"/>
    <cellStyle name="20% - Accent5 2 4 3 2 2 2" xfId="9042" xr:uid="{00000000-0005-0000-0000-000081230000}"/>
    <cellStyle name="20% - Accent5 2 4 3 2 2 2 2" xfId="9043" xr:uid="{00000000-0005-0000-0000-000082230000}"/>
    <cellStyle name="20% - Accent5 2 4 3 2 2 2 2 2" xfId="9044" xr:uid="{00000000-0005-0000-0000-000083230000}"/>
    <cellStyle name="20% - Accent5 2 4 3 2 2 2 3" xfId="9045" xr:uid="{00000000-0005-0000-0000-000084230000}"/>
    <cellStyle name="20% - Accent5 2 4 3 2 2 3" xfId="9046" xr:uid="{00000000-0005-0000-0000-000085230000}"/>
    <cellStyle name="20% - Accent5 2 4 3 2 2 3 2" xfId="9047" xr:uid="{00000000-0005-0000-0000-000086230000}"/>
    <cellStyle name="20% - Accent5 2 4 3 2 2 4" xfId="9048" xr:uid="{00000000-0005-0000-0000-000087230000}"/>
    <cellStyle name="20% - Accent5 2 4 3 2 3" xfId="9049" xr:uid="{00000000-0005-0000-0000-000088230000}"/>
    <cellStyle name="20% - Accent5 2 4 3 2 3 2" xfId="9050" xr:uid="{00000000-0005-0000-0000-000089230000}"/>
    <cellStyle name="20% - Accent5 2 4 3 2 3 2 2" xfId="9051" xr:uid="{00000000-0005-0000-0000-00008A230000}"/>
    <cellStyle name="20% - Accent5 2 4 3 2 3 3" xfId="9052" xr:uid="{00000000-0005-0000-0000-00008B230000}"/>
    <cellStyle name="20% - Accent5 2 4 3 2 4" xfId="9053" xr:uid="{00000000-0005-0000-0000-00008C230000}"/>
    <cellStyle name="20% - Accent5 2 4 3 2 4 2" xfId="9054" xr:uid="{00000000-0005-0000-0000-00008D230000}"/>
    <cellStyle name="20% - Accent5 2 4 3 2 5" xfId="9055" xr:uid="{00000000-0005-0000-0000-00008E230000}"/>
    <cellStyle name="20% - Accent5 2 4 3 3" xfId="9056" xr:uid="{00000000-0005-0000-0000-00008F230000}"/>
    <cellStyle name="20% - Accent5 2 4 3 3 2" xfId="9057" xr:uid="{00000000-0005-0000-0000-000090230000}"/>
    <cellStyle name="20% - Accent5 2 4 3 3 2 2" xfId="9058" xr:uid="{00000000-0005-0000-0000-000091230000}"/>
    <cellStyle name="20% - Accent5 2 4 3 3 2 2 2" xfId="9059" xr:uid="{00000000-0005-0000-0000-000092230000}"/>
    <cellStyle name="20% - Accent5 2 4 3 3 2 3" xfId="9060" xr:uid="{00000000-0005-0000-0000-000093230000}"/>
    <cellStyle name="20% - Accent5 2 4 3 3 3" xfId="9061" xr:uid="{00000000-0005-0000-0000-000094230000}"/>
    <cellStyle name="20% - Accent5 2 4 3 3 3 2" xfId="9062" xr:uid="{00000000-0005-0000-0000-000095230000}"/>
    <cellStyle name="20% - Accent5 2 4 3 3 4" xfId="9063" xr:uid="{00000000-0005-0000-0000-000096230000}"/>
    <cellStyle name="20% - Accent5 2 4 3 4" xfId="9064" xr:uid="{00000000-0005-0000-0000-000097230000}"/>
    <cellStyle name="20% - Accent5 2 4 3 4 2" xfId="9065" xr:uid="{00000000-0005-0000-0000-000098230000}"/>
    <cellStyle name="20% - Accent5 2 4 3 4 2 2" xfId="9066" xr:uid="{00000000-0005-0000-0000-000099230000}"/>
    <cellStyle name="20% - Accent5 2 4 3 4 3" xfId="9067" xr:uid="{00000000-0005-0000-0000-00009A230000}"/>
    <cellStyle name="20% - Accent5 2 4 3 5" xfId="9068" xr:uid="{00000000-0005-0000-0000-00009B230000}"/>
    <cellStyle name="20% - Accent5 2 4 3 5 2" xfId="9069" xr:uid="{00000000-0005-0000-0000-00009C230000}"/>
    <cellStyle name="20% - Accent5 2 4 3 6" xfId="9070" xr:uid="{00000000-0005-0000-0000-00009D230000}"/>
    <cellStyle name="20% - Accent5 2 4 4" xfId="9071" xr:uid="{00000000-0005-0000-0000-00009E230000}"/>
    <cellStyle name="20% - Accent5 2 4 4 2" xfId="9072" xr:uid="{00000000-0005-0000-0000-00009F230000}"/>
    <cellStyle name="20% - Accent5 2 4 4 2 2" xfId="9073" xr:uid="{00000000-0005-0000-0000-0000A0230000}"/>
    <cellStyle name="20% - Accent5 2 4 4 2 2 2" xfId="9074" xr:uid="{00000000-0005-0000-0000-0000A1230000}"/>
    <cellStyle name="20% - Accent5 2 4 4 2 2 2 2" xfId="9075" xr:uid="{00000000-0005-0000-0000-0000A2230000}"/>
    <cellStyle name="20% - Accent5 2 4 4 2 2 3" xfId="9076" xr:uid="{00000000-0005-0000-0000-0000A3230000}"/>
    <cellStyle name="20% - Accent5 2 4 4 2 3" xfId="9077" xr:uid="{00000000-0005-0000-0000-0000A4230000}"/>
    <cellStyle name="20% - Accent5 2 4 4 2 3 2" xfId="9078" xr:uid="{00000000-0005-0000-0000-0000A5230000}"/>
    <cellStyle name="20% - Accent5 2 4 4 2 4" xfId="9079" xr:uid="{00000000-0005-0000-0000-0000A6230000}"/>
    <cellStyle name="20% - Accent5 2 4 4 3" xfId="9080" xr:uid="{00000000-0005-0000-0000-0000A7230000}"/>
    <cellStyle name="20% - Accent5 2 4 4 3 2" xfId="9081" xr:uid="{00000000-0005-0000-0000-0000A8230000}"/>
    <cellStyle name="20% - Accent5 2 4 4 3 2 2" xfId="9082" xr:uid="{00000000-0005-0000-0000-0000A9230000}"/>
    <cellStyle name="20% - Accent5 2 4 4 3 3" xfId="9083" xr:uid="{00000000-0005-0000-0000-0000AA230000}"/>
    <cellStyle name="20% - Accent5 2 4 4 4" xfId="9084" xr:uid="{00000000-0005-0000-0000-0000AB230000}"/>
    <cellStyle name="20% - Accent5 2 4 4 4 2" xfId="9085" xr:uid="{00000000-0005-0000-0000-0000AC230000}"/>
    <cellStyle name="20% - Accent5 2 4 4 5" xfId="9086" xr:uid="{00000000-0005-0000-0000-0000AD230000}"/>
    <cellStyle name="20% - Accent5 2 4 5" xfId="9087" xr:uid="{00000000-0005-0000-0000-0000AE230000}"/>
    <cellStyle name="20% - Accent5 2 4 5 2" xfId="9088" xr:uid="{00000000-0005-0000-0000-0000AF230000}"/>
    <cellStyle name="20% - Accent5 2 4 5 2 2" xfId="9089" xr:uid="{00000000-0005-0000-0000-0000B0230000}"/>
    <cellStyle name="20% - Accent5 2 4 5 2 2 2" xfId="9090" xr:uid="{00000000-0005-0000-0000-0000B1230000}"/>
    <cellStyle name="20% - Accent5 2 4 5 2 3" xfId="9091" xr:uid="{00000000-0005-0000-0000-0000B2230000}"/>
    <cellStyle name="20% - Accent5 2 4 5 3" xfId="9092" xr:uid="{00000000-0005-0000-0000-0000B3230000}"/>
    <cellStyle name="20% - Accent5 2 4 5 3 2" xfId="9093" xr:uid="{00000000-0005-0000-0000-0000B4230000}"/>
    <cellStyle name="20% - Accent5 2 4 5 4" xfId="9094" xr:uid="{00000000-0005-0000-0000-0000B5230000}"/>
    <cellStyle name="20% - Accent5 2 4 6" xfId="9095" xr:uid="{00000000-0005-0000-0000-0000B6230000}"/>
    <cellStyle name="20% - Accent5 2 4 6 2" xfId="9096" xr:uid="{00000000-0005-0000-0000-0000B7230000}"/>
    <cellStyle name="20% - Accent5 2 4 6 2 2" xfId="9097" xr:uid="{00000000-0005-0000-0000-0000B8230000}"/>
    <cellStyle name="20% - Accent5 2 4 6 3" xfId="9098" xr:uid="{00000000-0005-0000-0000-0000B9230000}"/>
    <cellStyle name="20% - Accent5 2 4 7" xfId="9099" xr:uid="{00000000-0005-0000-0000-0000BA230000}"/>
    <cellStyle name="20% - Accent5 2 4 7 2" xfId="9100" xr:uid="{00000000-0005-0000-0000-0000BB230000}"/>
    <cellStyle name="20% - Accent5 2 4 8" xfId="9101" xr:uid="{00000000-0005-0000-0000-0000BC230000}"/>
    <cellStyle name="20% - Accent5 2 5" xfId="9102" xr:uid="{00000000-0005-0000-0000-0000BD230000}"/>
    <cellStyle name="20% - Accent5 2 5 2" xfId="9103" xr:uid="{00000000-0005-0000-0000-0000BE230000}"/>
    <cellStyle name="20% - Accent5 2 5 2 2" xfId="9104" xr:uid="{00000000-0005-0000-0000-0000BF230000}"/>
    <cellStyle name="20% - Accent5 2 5 2 2 2" xfId="9105" xr:uid="{00000000-0005-0000-0000-0000C0230000}"/>
    <cellStyle name="20% - Accent5 2 5 2 2 2 2" xfId="9106" xr:uid="{00000000-0005-0000-0000-0000C1230000}"/>
    <cellStyle name="20% - Accent5 2 5 2 2 2 2 2" xfId="9107" xr:uid="{00000000-0005-0000-0000-0000C2230000}"/>
    <cellStyle name="20% - Accent5 2 5 2 2 2 2 2 2" xfId="9108" xr:uid="{00000000-0005-0000-0000-0000C3230000}"/>
    <cellStyle name="20% - Accent5 2 5 2 2 2 2 3" xfId="9109" xr:uid="{00000000-0005-0000-0000-0000C4230000}"/>
    <cellStyle name="20% - Accent5 2 5 2 2 2 3" xfId="9110" xr:uid="{00000000-0005-0000-0000-0000C5230000}"/>
    <cellStyle name="20% - Accent5 2 5 2 2 2 3 2" xfId="9111" xr:uid="{00000000-0005-0000-0000-0000C6230000}"/>
    <cellStyle name="20% - Accent5 2 5 2 2 2 4" xfId="9112" xr:uid="{00000000-0005-0000-0000-0000C7230000}"/>
    <cellStyle name="20% - Accent5 2 5 2 2 3" xfId="9113" xr:uid="{00000000-0005-0000-0000-0000C8230000}"/>
    <cellStyle name="20% - Accent5 2 5 2 2 3 2" xfId="9114" xr:uid="{00000000-0005-0000-0000-0000C9230000}"/>
    <cellStyle name="20% - Accent5 2 5 2 2 3 2 2" xfId="9115" xr:uid="{00000000-0005-0000-0000-0000CA230000}"/>
    <cellStyle name="20% - Accent5 2 5 2 2 3 3" xfId="9116" xr:uid="{00000000-0005-0000-0000-0000CB230000}"/>
    <cellStyle name="20% - Accent5 2 5 2 2 4" xfId="9117" xr:uid="{00000000-0005-0000-0000-0000CC230000}"/>
    <cellStyle name="20% - Accent5 2 5 2 2 4 2" xfId="9118" xr:uid="{00000000-0005-0000-0000-0000CD230000}"/>
    <cellStyle name="20% - Accent5 2 5 2 2 5" xfId="9119" xr:uid="{00000000-0005-0000-0000-0000CE230000}"/>
    <cellStyle name="20% - Accent5 2 5 2 3" xfId="9120" xr:uid="{00000000-0005-0000-0000-0000CF230000}"/>
    <cellStyle name="20% - Accent5 2 5 2 3 2" xfId="9121" xr:uid="{00000000-0005-0000-0000-0000D0230000}"/>
    <cellStyle name="20% - Accent5 2 5 2 3 2 2" xfId="9122" xr:uid="{00000000-0005-0000-0000-0000D1230000}"/>
    <cellStyle name="20% - Accent5 2 5 2 3 2 2 2" xfId="9123" xr:uid="{00000000-0005-0000-0000-0000D2230000}"/>
    <cellStyle name="20% - Accent5 2 5 2 3 2 3" xfId="9124" xr:uid="{00000000-0005-0000-0000-0000D3230000}"/>
    <cellStyle name="20% - Accent5 2 5 2 3 3" xfId="9125" xr:uid="{00000000-0005-0000-0000-0000D4230000}"/>
    <cellStyle name="20% - Accent5 2 5 2 3 3 2" xfId="9126" xr:uid="{00000000-0005-0000-0000-0000D5230000}"/>
    <cellStyle name="20% - Accent5 2 5 2 3 4" xfId="9127" xr:uid="{00000000-0005-0000-0000-0000D6230000}"/>
    <cellStyle name="20% - Accent5 2 5 2 4" xfId="9128" xr:uid="{00000000-0005-0000-0000-0000D7230000}"/>
    <cellStyle name="20% - Accent5 2 5 2 4 2" xfId="9129" xr:uid="{00000000-0005-0000-0000-0000D8230000}"/>
    <cellStyle name="20% - Accent5 2 5 2 4 2 2" xfId="9130" xr:uid="{00000000-0005-0000-0000-0000D9230000}"/>
    <cellStyle name="20% - Accent5 2 5 2 4 3" xfId="9131" xr:uid="{00000000-0005-0000-0000-0000DA230000}"/>
    <cellStyle name="20% - Accent5 2 5 2 5" xfId="9132" xr:uid="{00000000-0005-0000-0000-0000DB230000}"/>
    <cellStyle name="20% - Accent5 2 5 2 5 2" xfId="9133" xr:uid="{00000000-0005-0000-0000-0000DC230000}"/>
    <cellStyle name="20% - Accent5 2 5 2 6" xfId="9134" xr:uid="{00000000-0005-0000-0000-0000DD230000}"/>
    <cellStyle name="20% - Accent5 2 5 3" xfId="9135" xr:uid="{00000000-0005-0000-0000-0000DE230000}"/>
    <cellStyle name="20% - Accent5 2 5 3 2" xfId="9136" xr:uid="{00000000-0005-0000-0000-0000DF230000}"/>
    <cellStyle name="20% - Accent5 2 5 3 2 2" xfId="9137" xr:uid="{00000000-0005-0000-0000-0000E0230000}"/>
    <cellStyle name="20% - Accent5 2 5 3 2 2 2" xfId="9138" xr:uid="{00000000-0005-0000-0000-0000E1230000}"/>
    <cellStyle name="20% - Accent5 2 5 3 2 2 2 2" xfId="9139" xr:uid="{00000000-0005-0000-0000-0000E2230000}"/>
    <cellStyle name="20% - Accent5 2 5 3 2 2 3" xfId="9140" xr:uid="{00000000-0005-0000-0000-0000E3230000}"/>
    <cellStyle name="20% - Accent5 2 5 3 2 3" xfId="9141" xr:uid="{00000000-0005-0000-0000-0000E4230000}"/>
    <cellStyle name="20% - Accent5 2 5 3 2 3 2" xfId="9142" xr:uid="{00000000-0005-0000-0000-0000E5230000}"/>
    <cellStyle name="20% - Accent5 2 5 3 2 4" xfId="9143" xr:uid="{00000000-0005-0000-0000-0000E6230000}"/>
    <cellStyle name="20% - Accent5 2 5 3 3" xfId="9144" xr:uid="{00000000-0005-0000-0000-0000E7230000}"/>
    <cellStyle name="20% - Accent5 2 5 3 3 2" xfId="9145" xr:uid="{00000000-0005-0000-0000-0000E8230000}"/>
    <cellStyle name="20% - Accent5 2 5 3 3 2 2" xfId="9146" xr:uid="{00000000-0005-0000-0000-0000E9230000}"/>
    <cellStyle name="20% - Accent5 2 5 3 3 3" xfId="9147" xr:uid="{00000000-0005-0000-0000-0000EA230000}"/>
    <cellStyle name="20% - Accent5 2 5 3 4" xfId="9148" xr:uid="{00000000-0005-0000-0000-0000EB230000}"/>
    <cellStyle name="20% - Accent5 2 5 3 4 2" xfId="9149" xr:uid="{00000000-0005-0000-0000-0000EC230000}"/>
    <cellStyle name="20% - Accent5 2 5 3 5" xfId="9150" xr:uid="{00000000-0005-0000-0000-0000ED230000}"/>
    <cellStyle name="20% - Accent5 2 5 4" xfId="9151" xr:uid="{00000000-0005-0000-0000-0000EE230000}"/>
    <cellStyle name="20% - Accent5 2 5 4 2" xfId="9152" xr:uid="{00000000-0005-0000-0000-0000EF230000}"/>
    <cellStyle name="20% - Accent5 2 5 4 2 2" xfId="9153" xr:uid="{00000000-0005-0000-0000-0000F0230000}"/>
    <cellStyle name="20% - Accent5 2 5 4 2 2 2" xfId="9154" xr:uid="{00000000-0005-0000-0000-0000F1230000}"/>
    <cellStyle name="20% - Accent5 2 5 4 2 3" xfId="9155" xr:uid="{00000000-0005-0000-0000-0000F2230000}"/>
    <cellStyle name="20% - Accent5 2 5 4 3" xfId="9156" xr:uid="{00000000-0005-0000-0000-0000F3230000}"/>
    <cellStyle name="20% - Accent5 2 5 4 3 2" xfId="9157" xr:uid="{00000000-0005-0000-0000-0000F4230000}"/>
    <cellStyle name="20% - Accent5 2 5 4 4" xfId="9158" xr:uid="{00000000-0005-0000-0000-0000F5230000}"/>
    <cellStyle name="20% - Accent5 2 5 5" xfId="9159" xr:uid="{00000000-0005-0000-0000-0000F6230000}"/>
    <cellStyle name="20% - Accent5 2 5 5 2" xfId="9160" xr:uid="{00000000-0005-0000-0000-0000F7230000}"/>
    <cellStyle name="20% - Accent5 2 5 5 2 2" xfId="9161" xr:uid="{00000000-0005-0000-0000-0000F8230000}"/>
    <cellStyle name="20% - Accent5 2 5 5 3" xfId="9162" xr:uid="{00000000-0005-0000-0000-0000F9230000}"/>
    <cellStyle name="20% - Accent5 2 5 6" xfId="9163" xr:uid="{00000000-0005-0000-0000-0000FA230000}"/>
    <cellStyle name="20% - Accent5 2 5 6 2" xfId="9164" xr:uid="{00000000-0005-0000-0000-0000FB230000}"/>
    <cellStyle name="20% - Accent5 2 5 7" xfId="9165" xr:uid="{00000000-0005-0000-0000-0000FC230000}"/>
    <cellStyle name="20% - Accent5 2 6" xfId="9166" xr:uid="{00000000-0005-0000-0000-0000FD230000}"/>
    <cellStyle name="20% - Accent5 2 6 2" xfId="9167" xr:uid="{00000000-0005-0000-0000-0000FE230000}"/>
    <cellStyle name="20% - Accent5 2 6 2 2" xfId="9168" xr:uid="{00000000-0005-0000-0000-0000FF230000}"/>
    <cellStyle name="20% - Accent5 2 6 2 2 2" xfId="9169" xr:uid="{00000000-0005-0000-0000-000000240000}"/>
    <cellStyle name="20% - Accent5 2 6 2 2 2 2" xfId="9170" xr:uid="{00000000-0005-0000-0000-000001240000}"/>
    <cellStyle name="20% - Accent5 2 6 2 2 2 2 2" xfId="9171" xr:uid="{00000000-0005-0000-0000-000002240000}"/>
    <cellStyle name="20% - Accent5 2 6 2 2 2 3" xfId="9172" xr:uid="{00000000-0005-0000-0000-000003240000}"/>
    <cellStyle name="20% - Accent5 2 6 2 2 3" xfId="9173" xr:uid="{00000000-0005-0000-0000-000004240000}"/>
    <cellStyle name="20% - Accent5 2 6 2 2 3 2" xfId="9174" xr:uid="{00000000-0005-0000-0000-000005240000}"/>
    <cellStyle name="20% - Accent5 2 6 2 2 4" xfId="9175" xr:uid="{00000000-0005-0000-0000-000006240000}"/>
    <cellStyle name="20% - Accent5 2 6 2 3" xfId="9176" xr:uid="{00000000-0005-0000-0000-000007240000}"/>
    <cellStyle name="20% - Accent5 2 6 2 3 2" xfId="9177" xr:uid="{00000000-0005-0000-0000-000008240000}"/>
    <cellStyle name="20% - Accent5 2 6 2 3 2 2" xfId="9178" xr:uid="{00000000-0005-0000-0000-000009240000}"/>
    <cellStyle name="20% - Accent5 2 6 2 3 3" xfId="9179" xr:uid="{00000000-0005-0000-0000-00000A240000}"/>
    <cellStyle name="20% - Accent5 2 6 2 4" xfId="9180" xr:uid="{00000000-0005-0000-0000-00000B240000}"/>
    <cellStyle name="20% - Accent5 2 6 2 4 2" xfId="9181" xr:uid="{00000000-0005-0000-0000-00000C240000}"/>
    <cellStyle name="20% - Accent5 2 6 2 5" xfId="9182" xr:uid="{00000000-0005-0000-0000-00000D240000}"/>
    <cellStyle name="20% - Accent5 2 6 3" xfId="9183" xr:uid="{00000000-0005-0000-0000-00000E240000}"/>
    <cellStyle name="20% - Accent5 2 6 3 2" xfId="9184" xr:uid="{00000000-0005-0000-0000-00000F240000}"/>
    <cellStyle name="20% - Accent5 2 6 3 2 2" xfId="9185" xr:uid="{00000000-0005-0000-0000-000010240000}"/>
    <cellStyle name="20% - Accent5 2 6 3 2 2 2" xfId="9186" xr:uid="{00000000-0005-0000-0000-000011240000}"/>
    <cellStyle name="20% - Accent5 2 6 3 2 3" xfId="9187" xr:uid="{00000000-0005-0000-0000-000012240000}"/>
    <cellStyle name="20% - Accent5 2 6 3 3" xfId="9188" xr:uid="{00000000-0005-0000-0000-000013240000}"/>
    <cellStyle name="20% - Accent5 2 6 3 3 2" xfId="9189" xr:uid="{00000000-0005-0000-0000-000014240000}"/>
    <cellStyle name="20% - Accent5 2 6 3 4" xfId="9190" xr:uid="{00000000-0005-0000-0000-000015240000}"/>
    <cellStyle name="20% - Accent5 2 6 4" xfId="9191" xr:uid="{00000000-0005-0000-0000-000016240000}"/>
    <cellStyle name="20% - Accent5 2 6 4 2" xfId="9192" xr:uid="{00000000-0005-0000-0000-000017240000}"/>
    <cellStyle name="20% - Accent5 2 6 4 2 2" xfId="9193" xr:uid="{00000000-0005-0000-0000-000018240000}"/>
    <cellStyle name="20% - Accent5 2 6 4 3" xfId="9194" xr:uid="{00000000-0005-0000-0000-000019240000}"/>
    <cellStyle name="20% - Accent5 2 6 5" xfId="9195" xr:uid="{00000000-0005-0000-0000-00001A240000}"/>
    <cellStyle name="20% - Accent5 2 6 5 2" xfId="9196" xr:uid="{00000000-0005-0000-0000-00001B240000}"/>
    <cellStyle name="20% - Accent5 2 6 6" xfId="9197" xr:uid="{00000000-0005-0000-0000-00001C240000}"/>
    <cellStyle name="20% - Accent5 2 7" xfId="9198" xr:uid="{00000000-0005-0000-0000-00001D240000}"/>
    <cellStyle name="20% - Accent5 2 7 2" xfId="9199" xr:uid="{00000000-0005-0000-0000-00001E240000}"/>
    <cellStyle name="20% - Accent5 2 7 2 2" xfId="9200" xr:uid="{00000000-0005-0000-0000-00001F240000}"/>
    <cellStyle name="20% - Accent5 2 7 2 2 2" xfId="9201" xr:uid="{00000000-0005-0000-0000-000020240000}"/>
    <cellStyle name="20% - Accent5 2 7 2 2 2 2" xfId="9202" xr:uid="{00000000-0005-0000-0000-000021240000}"/>
    <cellStyle name="20% - Accent5 2 7 2 2 3" xfId="9203" xr:uid="{00000000-0005-0000-0000-000022240000}"/>
    <cellStyle name="20% - Accent5 2 7 2 3" xfId="9204" xr:uid="{00000000-0005-0000-0000-000023240000}"/>
    <cellStyle name="20% - Accent5 2 7 2 3 2" xfId="9205" xr:uid="{00000000-0005-0000-0000-000024240000}"/>
    <cellStyle name="20% - Accent5 2 7 2 4" xfId="9206" xr:uid="{00000000-0005-0000-0000-000025240000}"/>
    <cellStyle name="20% - Accent5 2 7 3" xfId="9207" xr:uid="{00000000-0005-0000-0000-000026240000}"/>
    <cellStyle name="20% - Accent5 2 7 3 2" xfId="9208" xr:uid="{00000000-0005-0000-0000-000027240000}"/>
    <cellStyle name="20% - Accent5 2 7 3 2 2" xfId="9209" xr:uid="{00000000-0005-0000-0000-000028240000}"/>
    <cellStyle name="20% - Accent5 2 7 3 3" xfId="9210" xr:uid="{00000000-0005-0000-0000-000029240000}"/>
    <cellStyle name="20% - Accent5 2 7 4" xfId="9211" xr:uid="{00000000-0005-0000-0000-00002A240000}"/>
    <cellStyle name="20% - Accent5 2 7 4 2" xfId="9212" xr:uid="{00000000-0005-0000-0000-00002B240000}"/>
    <cellStyle name="20% - Accent5 2 7 5" xfId="9213" xr:uid="{00000000-0005-0000-0000-00002C240000}"/>
    <cellStyle name="20% - Accent5 2 8" xfId="9214" xr:uid="{00000000-0005-0000-0000-00002D240000}"/>
    <cellStyle name="20% - Accent5 2 8 2" xfId="9215" xr:uid="{00000000-0005-0000-0000-00002E240000}"/>
    <cellStyle name="20% - Accent5 2 8 2 2" xfId="9216" xr:uid="{00000000-0005-0000-0000-00002F240000}"/>
    <cellStyle name="20% - Accent5 2 8 2 2 2" xfId="9217" xr:uid="{00000000-0005-0000-0000-000030240000}"/>
    <cellStyle name="20% - Accent5 2 8 2 3" xfId="9218" xr:uid="{00000000-0005-0000-0000-000031240000}"/>
    <cellStyle name="20% - Accent5 2 8 3" xfId="9219" xr:uid="{00000000-0005-0000-0000-000032240000}"/>
    <cellStyle name="20% - Accent5 2 8 3 2" xfId="9220" xr:uid="{00000000-0005-0000-0000-000033240000}"/>
    <cellStyle name="20% - Accent5 2 8 4" xfId="9221" xr:uid="{00000000-0005-0000-0000-000034240000}"/>
    <cellStyle name="20% - Accent5 2 9" xfId="9222" xr:uid="{00000000-0005-0000-0000-000035240000}"/>
    <cellStyle name="20% - Accent5 2 9 2" xfId="9223" xr:uid="{00000000-0005-0000-0000-000036240000}"/>
    <cellStyle name="20% - Accent5 2 9 2 2" xfId="9224" xr:uid="{00000000-0005-0000-0000-000037240000}"/>
    <cellStyle name="20% - Accent5 2 9 3" xfId="9225" xr:uid="{00000000-0005-0000-0000-000038240000}"/>
    <cellStyle name="20% - Accent5 3" xfId="9226" xr:uid="{00000000-0005-0000-0000-000039240000}"/>
    <cellStyle name="20% - Accent5 3 10" xfId="9227" xr:uid="{00000000-0005-0000-0000-00003A240000}"/>
    <cellStyle name="20% - Accent5 3 2" xfId="9228" xr:uid="{00000000-0005-0000-0000-00003B240000}"/>
    <cellStyle name="20% - Accent5 3 2 2" xfId="9229" xr:uid="{00000000-0005-0000-0000-00003C240000}"/>
    <cellStyle name="20% - Accent5 3 2 2 2" xfId="9230" xr:uid="{00000000-0005-0000-0000-00003D240000}"/>
    <cellStyle name="20% - Accent5 3 2 2 2 2" xfId="9231" xr:uid="{00000000-0005-0000-0000-00003E240000}"/>
    <cellStyle name="20% - Accent5 3 2 2 2 2 2" xfId="9232" xr:uid="{00000000-0005-0000-0000-00003F240000}"/>
    <cellStyle name="20% - Accent5 3 2 2 2 2 2 2" xfId="9233" xr:uid="{00000000-0005-0000-0000-000040240000}"/>
    <cellStyle name="20% - Accent5 3 2 2 2 2 2 2 2" xfId="9234" xr:uid="{00000000-0005-0000-0000-000041240000}"/>
    <cellStyle name="20% - Accent5 3 2 2 2 2 2 2 2 2" xfId="9235" xr:uid="{00000000-0005-0000-0000-000042240000}"/>
    <cellStyle name="20% - Accent5 3 2 2 2 2 2 2 2 2 2" xfId="9236" xr:uid="{00000000-0005-0000-0000-000043240000}"/>
    <cellStyle name="20% - Accent5 3 2 2 2 2 2 2 2 3" xfId="9237" xr:uid="{00000000-0005-0000-0000-000044240000}"/>
    <cellStyle name="20% - Accent5 3 2 2 2 2 2 2 3" xfId="9238" xr:uid="{00000000-0005-0000-0000-000045240000}"/>
    <cellStyle name="20% - Accent5 3 2 2 2 2 2 2 3 2" xfId="9239" xr:uid="{00000000-0005-0000-0000-000046240000}"/>
    <cellStyle name="20% - Accent5 3 2 2 2 2 2 2 4" xfId="9240" xr:uid="{00000000-0005-0000-0000-000047240000}"/>
    <cellStyle name="20% - Accent5 3 2 2 2 2 2 3" xfId="9241" xr:uid="{00000000-0005-0000-0000-000048240000}"/>
    <cellStyle name="20% - Accent5 3 2 2 2 2 2 3 2" xfId="9242" xr:uid="{00000000-0005-0000-0000-000049240000}"/>
    <cellStyle name="20% - Accent5 3 2 2 2 2 2 3 2 2" xfId="9243" xr:uid="{00000000-0005-0000-0000-00004A240000}"/>
    <cellStyle name="20% - Accent5 3 2 2 2 2 2 3 3" xfId="9244" xr:uid="{00000000-0005-0000-0000-00004B240000}"/>
    <cellStyle name="20% - Accent5 3 2 2 2 2 2 4" xfId="9245" xr:uid="{00000000-0005-0000-0000-00004C240000}"/>
    <cellStyle name="20% - Accent5 3 2 2 2 2 2 4 2" xfId="9246" xr:uid="{00000000-0005-0000-0000-00004D240000}"/>
    <cellStyle name="20% - Accent5 3 2 2 2 2 2 5" xfId="9247" xr:uid="{00000000-0005-0000-0000-00004E240000}"/>
    <cellStyle name="20% - Accent5 3 2 2 2 2 3" xfId="9248" xr:uid="{00000000-0005-0000-0000-00004F240000}"/>
    <cellStyle name="20% - Accent5 3 2 2 2 2 3 2" xfId="9249" xr:uid="{00000000-0005-0000-0000-000050240000}"/>
    <cellStyle name="20% - Accent5 3 2 2 2 2 3 2 2" xfId="9250" xr:uid="{00000000-0005-0000-0000-000051240000}"/>
    <cellStyle name="20% - Accent5 3 2 2 2 2 3 2 2 2" xfId="9251" xr:uid="{00000000-0005-0000-0000-000052240000}"/>
    <cellStyle name="20% - Accent5 3 2 2 2 2 3 2 3" xfId="9252" xr:uid="{00000000-0005-0000-0000-000053240000}"/>
    <cellStyle name="20% - Accent5 3 2 2 2 2 3 3" xfId="9253" xr:uid="{00000000-0005-0000-0000-000054240000}"/>
    <cellStyle name="20% - Accent5 3 2 2 2 2 3 3 2" xfId="9254" xr:uid="{00000000-0005-0000-0000-000055240000}"/>
    <cellStyle name="20% - Accent5 3 2 2 2 2 3 4" xfId="9255" xr:uid="{00000000-0005-0000-0000-000056240000}"/>
    <cellStyle name="20% - Accent5 3 2 2 2 2 4" xfId="9256" xr:uid="{00000000-0005-0000-0000-000057240000}"/>
    <cellStyle name="20% - Accent5 3 2 2 2 2 4 2" xfId="9257" xr:uid="{00000000-0005-0000-0000-000058240000}"/>
    <cellStyle name="20% - Accent5 3 2 2 2 2 4 2 2" xfId="9258" xr:uid="{00000000-0005-0000-0000-000059240000}"/>
    <cellStyle name="20% - Accent5 3 2 2 2 2 4 3" xfId="9259" xr:uid="{00000000-0005-0000-0000-00005A240000}"/>
    <cellStyle name="20% - Accent5 3 2 2 2 2 5" xfId="9260" xr:uid="{00000000-0005-0000-0000-00005B240000}"/>
    <cellStyle name="20% - Accent5 3 2 2 2 2 5 2" xfId="9261" xr:uid="{00000000-0005-0000-0000-00005C240000}"/>
    <cellStyle name="20% - Accent5 3 2 2 2 2 6" xfId="9262" xr:uid="{00000000-0005-0000-0000-00005D240000}"/>
    <cellStyle name="20% - Accent5 3 2 2 2 3" xfId="9263" xr:uid="{00000000-0005-0000-0000-00005E240000}"/>
    <cellStyle name="20% - Accent5 3 2 2 2 3 2" xfId="9264" xr:uid="{00000000-0005-0000-0000-00005F240000}"/>
    <cellStyle name="20% - Accent5 3 2 2 2 3 2 2" xfId="9265" xr:uid="{00000000-0005-0000-0000-000060240000}"/>
    <cellStyle name="20% - Accent5 3 2 2 2 3 2 2 2" xfId="9266" xr:uid="{00000000-0005-0000-0000-000061240000}"/>
    <cellStyle name="20% - Accent5 3 2 2 2 3 2 2 2 2" xfId="9267" xr:uid="{00000000-0005-0000-0000-000062240000}"/>
    <cellStyle name="20% - Accent5 3 2 2 2 3 2 2 3" xfId="9268" xr:uid="{00000000-0005-0000-0000-000063240000}"/>
    <cellStyle name="20% - Accent5 3 2 2 2 3 2 3" xfId="9269" xr:uid="{00000000-0005-0000-0000-000064240000}"/>
    <cellStyle name="20% - Accent5 3 2 2 2 3 2 3 2" xfId="9270" xr:uid="{00000000-0005-0000-0000-000065240000}"/>
    <cellStyle name="20% - Accent5 3 2 2 2 3 2 4" xfId="9271" xr:uid="{00000000-0005-0000-0000-000066240000}"/>
    <cellStyle name="20% - Accent5 3 2 2 2 3 3" xfId="9272" xr:uid="{00000000-0005-0000-0000-000067240000}"/>
    <cellStyle name="20% - Accent5 3 2 2 2 3 3 2" xfId="9273" xr:uid="{00000000-0005-0000-0000-000068240000}"/>
    <cellStyle name="20% - Accent5 3 2 2 2 3 3 2 2" xfId="9274" xr:uid="{00000000-0005-0000-0000-000069240000}"/>
    <cellStyle name="20% - Accent5 3 2 2 2 3 3 3" xfId="9275" xr:uid="{00000000-0005-0000-0000-00006A240000}"/>
    <cellStyle name="20% - Accent5 3 2 2 2 3 4" xfId="9276" xr:uid="{00000000-0005-0000-0000-00006B240000}"/>
    <cellStyle name="20% - Accent5 3 2 2 2 3 4 2" xfId="9277" xr:uid="{00000000-0005-0000-0000-00006C240000}"/>
    <cellStyle name="20% - Accent5 3 2 2 2 3 5" xfId="9278" xr:uid="{00000000-0005-0000-0000-00006D240000}"/>
    <cellStyle name="20% - Accent5 3 2 2 2 4" xfId="9279" xr:uid="{00000000-0005-0000-0000-00006E240000}"/>
    <cellStyle name="20% - Accent5 3 2 2 2 4 2" xfId="9280" xr:uid="{00000000-0005-0000-0000-00006F240000}"/>
    <cellStyle name="20% - Accent5 3 2 2 2 4 2 2" xfId="9281" xr:uid="{00000000-0005-0000-0000-000070240000}"/>
    <cellStyle name="20% - Accent5 3 2 2 2 4 2 2 2" xfId="9282" xr:uid="{00000000-0005-0000-0000-000071240000}"/>
    <cellStyle name="20% - Accent5 3 2 2 2 4 2 3" xfId="9283" xr:uid="{00000000-0005-0000-0000-000072240000}"/>
    <cellStyle name="20% - Accent5 3 2 2 2 4 3" xfId="9284" xr:uid="{00000000-0005-0000-0000-000073240000}"/>
    <cellStyle name="20% - Accent5 3 2 2 2 4 3 2" xfId="9285" xr:uid="{00000000-0005-0000-0000-000074240000}"/>
    <cellStyle name="20% - Accent5 3 2 2 2 4 4" xfId="9286" xr:uid="{00000000-0005-0000-0000-000075240000}"/>
    <cellStyle name="20% - Accent5 3 2 2 2 5" xfId="9287" xr:uid="{00000000-0005-0000-0000-000076240000}"/>
    <cellStyle name="20% - Accent5 3 2 2 2 5 2" xfId="9288" xr:uid="{00000000-0005-0000-0000-000077240000}"/>
    <cellStyle name="20% - Accent5 3 2 2 2 5 2 2" xfId="9289" xr:uid="{00000000-0005-0000-0000-000078240000}"/>
    <cellStyle name="20% - Accent5 3 2 2 2 5 3" xfId="9290" xr:uid="{00000000-0005-0000-0000-000079240000}"/>
    <cellStyle name="20% - Accent5 3 2 2 2 6" xfId="9291" xr:uid="{00000000-0005-0000-0000-00007A240000}"/>
    <cellStyle name="20% - Accent5 3 2 2 2 6 2" xfId="9292" xr:uid="{00000000-0005-0000-0000-00007B240000}"/>
    <cellStyle name="20% - Accent5 3 2 2 2 7" xfId="9293" xr:uid="{00000000-0005-0000-0000-00007C240000}"/>
    <cellStyle name="20% - Accent5 3 2 2 3" xfId="9294" xr:uid="{00000000-0005-0000-0000-00007D240000}"/>
    <cellStyle name="20% - Accent5 3 2 2 3 2" xfId="9295" xr:uid="{00000000-0005-0000-0000-00007E240000}"/>
    <cellStyle name="20% - Accent5 3 2 2 3 2 2" xfId="9296" xr:uid="{00000000-0005-0000-0000-00007F240000}"/>
    <cellStyle name="20% - Accent5 3 2 2 3 2 2 2" xfId="9297" xr:uid="{00000000-0005-0000-0000-000080240000}"/>
    <cellStyle name="20% - Accent5 3 2 2 3 2 2 2 2" xfId="9298" xr:uid="{00000000-0005-0000-0000-000081240000}"/>
    <cellStyle name="20% - Accent5 3 2 2 3 2 2 2 2 2" xfId="9299" xr:uid="{00000000-0005-0000-0000-000082240000}"/>
    <cellStyle name="20% - Accent5 3 2 2 3 2 2 2 3" xfId="9300" xr:uid="{00000000-0005-0000-0000-000083240000}"/>
    <cellStyle name="20% - Accent5 3 2 2 3 2 2 3" xfId="9301" xr:uid="{00000000-0005-0000-0000-000084240000}"/>
    <cellStyle name="20% - Accent5 3 2 2 3 2 2 3 2" xfId="9302" xr:uid="{00000000-0005-0000-0000-000085240000}"/>
    <cellStyle name="20% - Accent5 3 2 2 3 2 2 4" xfId="9303" xr:uid="{00000000-0005-0000-0000-000086240000}"/>
    <cellStyle name="20% - Accent5 3 2 2 3 2 3" xfId="9304" xr:uid="{00000000-0005-0000-0000-000087240000}"/>
    <cellStyle name="20% - Accent5 3 2 2 3 2 3 2" xfId="9305" xr:uid="{00000000-0005-0000-0000-000088240000}"/>
    <cellStyle name="20% - Accent5 3 2 2 3 2 3 2 2" xfId="9306" xr:uid="{00000000-0005-0000-0000-000089240000}"/>
    <cellStyle name="20% - Accent5 3 2 2 3 2 3 3" xfId="9307" xr:uid="{00000000-0005-0000-0000-00008A240000}"/>
    <cellStyle name="20% - Accent5 3 2 2 3 2 4" xfId="9308" xr:uid="{00000000-0005-0000-0000-00008B240000}"/>
    <cellStyle name="20% - Accent5 3 2 2 3 2 4 2" xfId="9309" xr:uid="{00000000-0005-0000-0000-00008C240000}"/>
    <cellStyle name="20% - Accent5 3 2 2 3 2 5" xfId="9310" xr:uid="{00000000-0005-0000-0000-00008D240000}"/>
    <cellStyle name="20% - Accent5 3 2 2 3 3" xfId="9311" xr:uid="{00000000-0005-0000-0000-00008E240000}"/>
    <cellStyle name="20% - Accent5 3 2 2 3 3 2" xfId="9312" xr:uid="{00000000-0005-0000-0000-00008F240000}"/>
    <cellStyle name="20% - Accent5 3 2 2 3 3 2 2" xfId="9313" xr:uid="{00000000-0005-0000-0000-000090240000}"/>
    <cellStyle name="20% - Accent5 3 2 2 3 3 2 2 2" xfId="9314" xr:uid="{00000000-0005-0000-0000-000091240000}"/>
    <cellStyle name="20% - Accent5 3 2 2 3 3 2 3" xfId="9315" xr:uid="{00000000-0005-0000-0000-000092240000}"/>
    <cellStyle name="20% - Accent5 3 2 2 3 3 3" xfId="9316" xr:uid="{00000000-0005-0000-0000-000093240000}"/>
    <cellStyle name="20% - Accent5 3 2 2 3 3 3 2" xfId="9317" xr:uid="{00000000-0005-0000-0000-000094240000}"/>
    <cellStyle name="20% - Accent5 3 2 2 3 3 4" xfId="9318" xr:uid="{00000000-0005-0000-0000-000095240000}"/>
    <cellStyle name="20% - Accent5 3 2 2 3 4" xfId="9319" xr:uid="{00000000-0005-0000-0000-000096240000}"/>
    <cellStyle name="20% - Accent5 3 2 2 3 4 2" xfId="9320" xr:uid="{00000000-0005-0000-0000-000097240000}"/>
    <cellStyle name="20% - Accent5 3 2 2 3 4 2 2" xfId="9321" xr:uid="{00000000-0005-0000-0000-000098240000}"/>
    <cellStyle name="20% - Accent5 3 2 2 3 4 3" xfId="9322" xr:uid="{00000000-0005-0000-0000-000099240000}"/>
    <cellStyle name="20% - Accent5 3 2 2 3 5" xfId="9323" xr:uid="{00000000-0005-0000-0000-00009A240000}"/>
    <cellStyle name="20% - Accent5 3 2 2 3 5 2" xfId="9324" xr:uid="{00000000-0005-0000-0000-00009B240000}"/>
    <cellStyle name="20% - Accent5 3 2 2 3 6" xfId="9325" xr:uid="{00000000-0005-0000-0000-00009C240000}"/>
    <cellStyle name="20% - Accent5 3 2 2 4" xfId="9326" xr:uid="{00000000-0005-0000-0000-00009D240000}"/>
    <cellStyle name="20% - Accent5 3 2 2 4 2" xfId="9327" xr:uid="{00000000-0005-0000-0000-00009E240000}"/>
    <cellStyle name="20% - Accent5 3 2 2 4 2 2" xfId="9328" xr:uid="{00000000-0005-0000-0000-00009F240000}"/>
    <cellStyle name="20% - Accent5 3 2 2 4 2 2 2" xfId="9329" xr:uid="{00000000-0005-0000-0000-0000A0240000}"/>
    <cellStyle name="20% - Accent5 3 2 2 4 2 2 2 2" xfId="9330" xr:uid="{00000000-0005-0000-0000-0000A1240000}"/>
    <cellStyle name="20% - Accent5 3 2 2 4 2 2 3" xfId="9331" xr:uid="{00000000-0005-0000-0000-0000A2240000}"/>
    <cellStyle name="20% - Accent5 3 2 2 4 2 3" xfId="9332" xr:uid="{00000000-0005-0000-0000-0000A3240000}"/>
    <cellStyle name="20% - Accent5 3 2 2 4 2 3 2" xfId="9333" xr:uid="{00000000-0005-0000-0000-0000A4240000}"/>
    <cellStyle name="20% - Accent5 3 2 2 4 2 4" xfId="9334" xr:uid="{00000000-0005-0000-0000-0000A5240000}"/>
    <cellStyle name="20% - Accent5 3 2 2 4 3" xfId="9335" xr:uid="{00000000-0005-0000-0000-0000A6240000}"/>
    <cellStyle name="20% - Accent5 3 2 2 4 3 2" xfId="9336" xr:uid="{00000000-0005-0000-0000-0000A7240000}"/>
    <cellStyle name="20% - Accent5 3 2 2 4 3 2 2" xfId="9337" xr:uid="{00000000-0005-0000-0000-0000A8240000}"/>
    <cellStyle name="20% - Accent5 3 2 2 4 3 3" xfId="9338" xr:uid="{00000000-0005-0000-0000-0000A9240000}"/>
    <cellStyle name="20% - Accent5 3 2 2 4 4" xfId="9339" xr:uid="{00000000-0005-0000-0000-0000AA240000}"/>
    <cellStyle name="20% - Accent5 3 2 2 4 4 2" xfId="9340" xr:uid="{00000000-0005-0000-0000-0000AB240000}"/>
    <cellStyle name="20% - Accent5 3 2 2 4 5" xfId="9341" xr:uid="{00000000-0005-0000-0000-0000AC240000}"/>
    <cellStyle name="20% - Accent5 3 2 2 5" xfId="9342" xr:uid="{00000000-0005-0000-0000-0000AD240000}"/>
    <cellStyle name="20% - Accent5 3 2 2 5 2" xfId="9343" xr:uid="{00000000-0005-0000-0000-0000AE240000}"/>
    <cellStyle name="20% - Accent5 3 2 2 5 2 2" xfId="9344" xr:uid="{00000000-0005-0000-0000-0000AF240000}"/>
    <cellStyle name="20% - Accent5 3 2 2 5 2 2 2" xfId="9345" xr:uid="{00000000-0005-0000-0000-0000B0240000}"/>
    <cellStyle name="20% - Accent5 3 2 2 5 2 3" xfId="9346" xr:uid="{00000000-0005-0000-0000-0000B1240000}"/>
    <cellStyle name="20% - Accent5 3 2 2 5 3" xfId="9347" xr:uid="{00000000-0005-0000-0000-0000B2240000}"/>
    <cellStyle name="20% - Accent5 3 2 2 5 3 2" xfId="9348" xr:uid="{00000000-0005-0000-0000-0000B3240000}"/>
    <cellStyle name="20% - Accent5 3 2 2 5 4" xfId="9349" xr:uid="{00000000-0005-0000-0000-0000B4240000}"/>
    <cellStyle name="20% - Accent5 3 2 2 6" xfId="9350" xr:uid="{00000000-0005-0000-0000-0000B5240000}"/>
    <cellStyle name="20% - Accent5 3 2 2 6 2" xfId="9351" xr:uid="{00000000-0005-0000-0000-0000B6240000}"/>
    <cellStyle name="20% - Accent5 3 2 2 6 2 2" xfId="9352" xr:uid="{00000000-0005-0000-0000-0000B7240000}"/>
    <cellStyle name="20% - Accent5 3 2 2 6 3" xfId="9353" xr:uid="{00000000-0005-0000-0000-0000B8240000}"/>
    <cellStyle name="20% - Accent5 3 2 2 7" xfId="9354" xr:uid="{00000000-0005-0000-0000-0000B9240000}"/>
    <cellStyle name="20% - Accent5 3 2 2 7 2" xfId="9355" xr:uid="{00000000-0005-0000-0000-0000BA240000}"/>
    <cellStyle name="20% - Accent5 3 2 2 8" xfId="9356" xr:uid="{00000000-0005-0000-0000-0000BB240000}"/>
    <cellStyle name="20% - Accent5 3 2 3" xfId="9357" xr:uid="{00000000-0005-0000-0000-0000BC240000}"/>
    <cellStyle name="20% - Accent5 3 2 3 2" xfId="9358" xr:uid="{00000000-0005-0000-0000-0000BD240000}"/>
    <cellStyle name="20% - Accent5 3 2 3 2 2" xfId="9359" xr:uid="{00000000-0005-0000-0000-0000BE240000}"/>
    <cellStyle name="20% - Accent5 3 2 3 2 2 2" xfId="9360" xr:uid="{00000000-0005-0000-0000-0000BF240000}"/>
    <cellStyle name="20% - Accent5 3 2 3 2 2 2 2" xfId="9361" xr:uid="{00000000-0005-0000-0000-0000C0240000}"/>
    <cellStyle name="20% - Accent5 3 2 3 2 2 2 2 2" xfId="9362" xr:uid="{00000000-0005-0000-0000-0000C1240000}"/>
    <cellStyle name="20% - Accent5 3 2 3 2 2 2 2 2 2" xfId="9363" xr:uid="{00000000-0005-0000-0000-0000C2240000}"/>
    <cellStyle name="20% - Accent5 3 2 3 2 2 2 2 3" xfId="9364" xr:uid="{00000000-0005-0000-0000-0000C3240000}"/>
    <cellStyle name="20% - Accent5 3 2 3 2 2 2 3" xfId="9365" xr:uid="{00000000-0005-0000-0000-0000C4240000}"/>
    <cellStyle name="20% - Accent5 3 2 3 2 2 2 3 2" xfId="9366" xr:uid="{00000000-0005-0000-0000-0000C5240000}"/>
    <cellStyle name="20% - Accent5 3 2 3 2 2 2 4" xfId="9367" xr:uid="{00000000-0005-0000-0000-0000C6240000}"/>
    <cellStyle name="20% - Accent5 3 2 3 2 2 3" xfId="9368" xr:uid="{00000000-0005-0000-0000-0000C7240000}"/>
    <cellStyle name="20% - Accent5 3 2 3 2 2 3 2" xfId="9369" xr:uid="{00000000-0005-0000-0000-0000C8240000}"/>
    <cellStyle name="20% - Accent5 3 2 3 2 2 3 2 2" xfId="9370" xr:uid="{00000000-0005-0000-0000-0000C9240000}"/>
    <cellStyle name="20% - Accent5 3 2 3 2 2 3 3" xfId="9371" xr:uid="{00000000-0005-0000-0000-0000CA240000}"/>
    <cellStyle name="20% - Accent5 3 2 3 2 2 4" xfId="9372" xr:uid="{00000000-0005-0000-0000-0000CB240000}"/>
    <cellStyle name="20% - Accent5 3 2 3 2 2 4 2" xfId="9373" xr:uid="{00000000-0005-0000-0000-0000CC240000}"/>
    <cellStyle name="20% - Accent5 3 2 3 2 2 5" xfId="9374" xr:uid="{00000000-0005-0000-0000-0000CD240000}"/>
    <cellStyle name="20% - Accent5 3 2 3 2 3" xfId="9375" xr:uid="{00000000-0005-0000-0000-0000CE240000}"/>
    <cellStyle name="20% - Accent5 3 2 3 2 3 2" xfId="9376" xr:uid="{00000000-0005-0000-0000-0000CF240000}"/>
    <cellStyle name="20% - Accent5 3 2 3 2 3 2 2" xfId="9377" xr:uid="{00000000-0005-0000-0000-0000D0240000}"/>
    <cellStyle name="20% - Accent5 3 2 3 2 3 2 2 2" xfId="9378" xr:uid="{00000000-0005-0000-0000-0000D1240000}"/>
    <cellStyle name="20% - Accent5 3 2 3 2 3 2 3" xfId="9379" xr:uid="{00000000-0005-0000-0000-0000D2240000}"/>
    <cellStyle name="20% - Accent5 3 2 3 2 3 3" xfId="9380" xr:uid="{00000000-0005-0000-0000-0000D3240000}"/>
    <cellStyle name="20% - Accent5 3 2 3 2 3 3 2" xfId="9381" xr:uid="{00000000-0005-0000-0000-0000D4240000}"/>
    <cellStyle name="20% - Accent5 3 2 3 2 3 4" xfId="9382" xr:uid="{00000000-0005-0000-0000-0000D5240000}"/>
    <cellStyle name="20% - Accent5 3 2 3 2 4" xfId="9383" xr:uid="{00000000-0005-0000-0000-0000D6240000}"/>
    <cellStyle name="20% - Accent5 3 2 3 2 4 2" xfId="9384" xr:uid="{00000000-0005-0000-0000-0000D7240000}"/>
    <cellStyle name="20% - Accent5 3 2 3 2 4 2 2" xfId="9385" xr:uid="{00000000-0005-0000-0000-0000D8240000}"/>
    <cellStyle name="20% - Accent5 3 2 3 2 4 3" xfId="9386" xr:uid="{00000000-0005-0000-0000-0000D9240000}"/>
    <cellStyle name="20% - Accent5 3 2 3 2 5" xfId="9387" xr:uid="{00000000-0005-0000-0000-0000DA240000}"/>
    <cellStyle name="20% - Accent5 3 2 3 2 5 2" xfId="9388" xr:uid="{00000000-0005-0000-0000-0000DB240000}"/>
    <cellStyle name="20% - Accent5 3 2 3 2 6" xfId="9389" xr:uid="{00000000-0005-0000-0000-0000DC240000}"/>
    <cellStyle name="20% - Accent5 3 2 3 3" xfId="9390" xr:uid="{00000000-0005-0000-0000-0000DD240000}"/>
    <cellStyle name="20% - Accent5 3 2 3 3 2" xfId="9391" xr:uid="{00000000-0005-0000-0000-0000DE240000}"/>
    <cellStyle name="20% - Accent5 3 2 3 3 2 2" xfId="9392" xr:uid="{00000000-0005-0000-0000-0000DF240000}"/>
    <cellStyle name="20% - Accent5 3 2 3 3 2 2 2" xfId="9393" xr:uid="{00000000-0005-0000-0000-0000E0240000}"/>
    <cellStyle name="20% - Accent5 3 2 3 3 2 2 2 2" xfId="9394" xr:uid="{00000000-0005-0000-0000-0000E1240000}"/>
    <cellStyle name="20% - Accent5 3 2 3 3 2 2 3" xfId="9395" xr:uid="{00000000-0005-0000-0000-0000E2240000}"/>
    <cellStyle name="20% - Accent5 3 2 3 3 2 3" xfId="9396" xr:uid="{00000000-0005-0000-0000-0000E3240000}"/>
    <cellStyle name="20% - Accent5 3 2 3 3 2 3 2" xfId="9397" xr:uid="{00000000-0005-0000-0000-0000E4240000}"/>
    <cellStyle name="20% - Accent5 3 2 3 3 2 4" xfId="9398" xr:uid="{00000000-0005-0000-0000-0000E5240000}"/>
    <cellStyle name="20% - Accent5 3 2 3 3 3" xfId="9399" xr:uid="{00000000-0005-0000-0000-0000E6240000}"/>
    <cellStyle name="20% - Accent5 3 2 3 3 3 2" xfId="9400" xr:uid="{00000000-0005-0000-0000-0000E7240000}"/>
    <cellStyle name="20% - Accent5 3 2 3 3 3 2 2" xfId="9401" xr:uid="{00000000-0005-0000-0000-0000E8240000}"/>
    <cellStyle name="20% - Accent5 3 2 3 3 3 3" xfId="9402" xr:uid="{00000000-0005-0000-0000-0000E9240000}"/>
    <cellStyle name="20% - Accent5 3 2 3 3 4" xfId="9403" xr:uid="{00000000-0005-0000-0000-0000EA240000}"/>
    <cellStyle name="20% - Accent5 3 2 3 3 4 2" xfId="9404" xr:uid="{00000000-0005-0000-0000-0000EB240000}"/>
    <cellStyle name="20% - Accent5 3 2 3 3 5" xfId="9405" xr:uid="{00000000-0005-0000-0000-0000EC240000}"/>
    <cellStyle name="20% - Accent5 3 2 3 4" xfId="9406" xr:uid="{00000000-0005-0000-0000-0000ED240000}"/>
    <cellStyle name="20% - Accent5 3 2 3 4 2" xfId="9407" xr:uid="{00000000-0005-0000-0000-0000EE240000}"/>
    <cellStyle name="20% - Accent5 3 2 3 4 2 2" xfId="9408" xr:uid="{00000000-0005-0000-0000-0000EF240000}"/>
    <cellStyle name="20% - Accent5 3 2 3 4 2 2 2" xfId="9409" xr:uid="{00000000-0005-0000-0000-0000F0240000}"/>
    <cellStyle name="20% - Accent5 3 2 3 4 2 3" xfId="9410" xr:uid="{00000000-0005-0000-0000-0000F1240000}"/>
    <cellStyle name="20% - Accent5 3 2 3 4 3" xfId="9411" xr:uid="{00000000-0005-0000-0000-0000F2240000}"/>
    <cellStyle name="20% - Accent5 3 2 3 4 3 2" xfId="9412" xr:uid="{00000000-0005-0000-0000-0000F3240000}"/>
    <cellStyle name="20% - Accent5 3 2 3 4 4" xfId="9413" xr:uid="{00000000-0005-0000-0000-0000F4240000}"/>
    <cellStyle name="20% - Accent5 3 2 3 5" xfId="9414" xr:uid="{00000000-0005-0000-0000-0000F5240000}"/>
    <cellStyle name="20% - Accent5 3 2 3 5 2" xfId="9415" xr:uid="{00000000-0005-0000-0000-0000F6240000}"/>
    <cellStyle name="20% - Accent5 3 2 3 5 2 2" xfId="9416" xr:uid="{00000000-0005-0000-0000-0000F7240000}"/>
    <cellStyle name="20% - Accent5 3 2 3 5 3" xfId="9417" xr:uid="{00000000-0005-0000-0000-0000F8240000}"/>
    <cellStyle name="20% - Accent5 3 2 3 6" xfId="9418" xr:uid="{00000000-0005-0000-0000-0000F9240000}"/>
    <cellStyle name="20% - Accent5 3 2 3 6 2" xfId="9419" xr:uid="{00000000-0005-0000-0000-0000FA240000}"/>
    <cellStyle name="20% - Accent5 3 2 3 7" xfId="9420" xr:uid="{00000000-0005-0000-0000-0000FB240000}"/>
    <cellStyle name="20% - Accent5 3 2 4" xfId="9421" xr:uid="{00000000-0005-0000-0000-0000FC240000}"/>
    <cellStyle name="20% - Accent5 3 2 4 2" xfId="9422" xr:uid="{00000000-0005-0000-0000-0000FD240000}"/>
    <cellStyle name="20% - Accent5 3 2 4 2 2" xfId="9423" xr:uid="{00000000-0005-0000-0000-0000FE240000}"/>
    <cellStyle name="20% - Accent5 3 2 4 2 2 2" xfId="9424" xr:uid="{00000000-0005-0000-0000-0000FF240000}"/>
    <cellStyle name="20% - Accent5 3 2 4 2 2 2 2" xfId="9425" xr:uid="{00000000-0005-0000-0000-000000250000}"/>
    <cellStyle name="20% - Accent5 3 2 4 2 2 2 2 2" xfId="9426" xr:uid="{00000000-0005-0000-0000-000001250000}"/>
    <cellStyle name="20% - Accent5 3 2 4 2 2 2 3" xfId="9427" xr:uid="{00000000-0005-0000-0000-000002250000}"/>
    <cellStyle name="20% - Accent5 3 2 4 2 2 3" xfId="9428" xr:uid="{00000000-0005-0000-0000-000003250000}"/>
    <cellStyle name="20% - Accent5 3 2 4 2 2 3 2" xfId="9429" xr:uid="{00000000-0005-0000-0000-000004250000}"/>
    <cellStyle name="20% - Accent5 3 2 4 2 2 4" xfId="9430" xr:uid="{00000000-0005-0000-0000-000005250000}"/>
    <cellStyle name="20% - Accent5 3 2 4 2 3" xfId="9431" xr:uid="{00000000-0005-0000-0000-000006250000}"/>
    <cellStyle name="20% - Accent5 3 2 4 2 3 2" xfId="9432" xr:uid="{00000000-0005-0000-0000-000007250000}"/>
    <cellStyle name="20% - Accent5 3 2 4 2 3 2 2" xfId="9433" xr:uid="{00000000-0005-0000-0000-000008250000}"/>
    <cellStyle name="20% - Accent5 3 2 4 2 3 3" xfId="9434" xr:uid="{00000000-0005-0000-0000-000009250000}"/>
    <cellStyle name="20% - Accent5 3 2 4 2 4" xfId="9435" xr:uid="{00000000-0005-0000-0000-00000A250000}"/>
    <cellStyle name="20% - Accent5 3 2 4 2 4 2" xfId="9436" xr:uid="{00000000-0005-0000-0000-00000B250000}"/>
    <cellStyle name="20% - Accent5 3 2 4 2 5" xfId="9437" xr:uid="{00000000-0005-0000-0000-00000C250000}"/>
    <cellStyle name="20% - Accent5 3 2 4 3" xfId="9438" xr:uid="{00000000-0005-0000-0000-00000D250000}"/>
    <cellStyle name="20% - Accent5 3 2 4 3 2" xfId="9439" xr:uid="{00000000-0005-0000-0000-00000E250000}"/>
    <cellStyle name="20% - Accent5 3 2 4 3 2 2" xfId="9440" xr:uid="{00000000-0005-0000-0000-00000F250000}"/>
    <cellStyle name="20% - Accent5 3 2 4 3 2 2 2" xfId="9441" xr:uid="{00000000-0005-0000-0000-000010250000}"/>
    <cellStyle name="20% - Accent5 3 2 4 3 2 3" xfId="9442" xr:uid="{00000000-0005-0000-0000-000011250000}"/>
    <cellStyle name="20% - Accent5 3 2 4 3 3" xfId="9443" xr:uid="{00000000-0005-0000-0000-000012250000}"/>
    <cellStyle name="20% - Accent5 3 2 4 3 3 2" xfId="9444" xr:uid="{00000000-0005-0000-0000-000013250000}"/>
    <cellStyle name="20% - Accent5 3 2 4 3 4" xfId="9445" xr:uid="{00000000-0005-0000-0000-000014250000}"/>
    <cellStyle name="20% - Accent5 3 2 4 4" xfId="9446" xr:uid="{00000000-0005-0000-0000-000015250000}"/>
    <cellStyle name="20% - Accent5 3 2 4 4 2" xfId="9447" xr:uid="{00000000-0005-0000-0000-000016250000}"/>
    <cellStyle name="20% - Accent5 3 2 4 4 2 2" xfId="9448" xr:uid="{00000000-0005-0000-0000-000017250000}"/>
    <cellStyle name="20% - Accent5 3 2 4 4 3" xfId="9449" xr:uid="{00000000-0005-0000-0000-000018250000}"/>
    <cellStyle name="20% - Accent5 3 2 4 5" xfId="9450" xr:uid="{00000000-0005-0000-0000-000019250000}"/>
    <cellStyle name="20% - Accent5 3 2 4 5 2" xfId="9451" xr:uid="{00000000-0005-0000-0000-00001A250000}"/>
    <cellStyle name="20% - Accent5 3 2 4 6" xfId="9452" xr:uid="{00000000-0005-0000-0000-00001B250000}"/>
    <cellStyle name="20% - Accent5 3 2 5" xfId="9453" xr:uid="{00000000-0005-0000-0000-00001C250000}"/>
    <cellStyle name="20% - Accent5 3 2 5 2" xfId="9454" xr:uid="{00000000-0005-0000-0000-00001D250000}"/>
    <cellStyle name="20% - Accent5 3 2 5 2 2" xfId="9455" xr:uid="{00000000-0005-0000-0000-00001E250000}"/>
    <cellStyle name="20% - Accent5 3 2 5 2 2 2" xfId="9456" xr:uid="{00000000-0005-0000-0000-00001F250000}"/>
    <cellStyle name="20% - Accent5 3 2 5 2 2 2 2" xfId="9457" xr:uid="{00000000-0005-0000-0000-000020250000}"/>
    <cellStyle name="20% - Accent5 3 2 5 2 2 3" xfId="9458" xr:uid="{00000000-0005-0000-0000-000021250000}"/>
    <cellStyle name="20% - Accent5 3 2 5 2 3" xfId="9459" xr:uid="{00000000-0005-0000-0000-000022250000}"/>
    <cellStyle name="20% - Accent5 3 2 5 2 3 2" xfId="9460" xr:uid="{00000000-0005-0000-0000-000023250000}"/>
    <cellStyle name="20% - Accent5 3 2 5 2 4" xfId="9461" xr:uid="{00000000-0005-0000-0000-000024250000}"/>
    <cellStyle name="20% - Accent5 3 2 5 3" xfId="9462" xr:uid="{00000000-0005-0000-0000-000025250000}"/>
    <cellStyle name="20% - Accent5 3 2 5 3 2" xfId="9463" xr:uid="{00000000-0005-0000-0000-000026250000}"/>
    <cellStyle name="20% - Accent5 3 2 5 3 2 2" xfId="9464" xr:uid="{00000000-0005-0000-0000-000027250000}"/>
    <cellStyle name="20% - Accent5 3 2 5 3 3" xfId="9465" xr:uid="{00000000-0005-0000-0000-000028250000}"/>
    <cellStyle name="20% - Accent5 3 2 5 4" xfId="9466" xr:uid="{00000000-0005-0000-0000-000029250000}"/>
    <cellStyle name="20% - Accent5 3 2 5 4 2" xfId="9467" xr:uid="{00000000-0005-0000-0000-00002A250000}"/>
    <cellStyle name="20% - Accent5 3 2 5 5" xfId="9468" xr:uid="{00000000-0005-0000-0000-00002B250000}"/>
    <cellStyle name="20% - Accent5 3 2 6" xfId="9469" xr:uid="{00000000-0005-0000-0000-00002C250000}"/>
    <cellStyle name="20% - Accent5 3 2 6 2" xfId="9470" xr:uid="{00000000-0005-0000-0000-00002D250000}"/>
    <cellStyle name="20% - Accent5 3 2 6 2 2" xfId="9471" xr:uid="{00000000-0005-0000-0000-00002E250000}"/>
    <cellStyle name="20% - Accent5 3 2 6 2 2 2" xfId="9472" xr:uid="{00000000-0005-0000-0000-00002F250000}"/>
    <cellStyle name="20% - Accent5 3 2 6 2 3" xfId="9473" xr:uid="{00000000-0005-0000-0000-000030250000}"/>
    <cellStyle name="20% - Accent5 3 2 6 3" xfId="9474" xr:uid="{00000000-0005-0000-0000-000031250000}"/>
    <cellStyle name="20% - Accent5 3 2 6 3 2" xfId="9475" xr:uid="{00000000-0005-0000-0000-000032250000}"/>
    <cellStyle name="20% - Accent5 3 2 6 4" xfId="9476" xr:uid="{00000000-0005-0000-0000-000033250000}"/>
    <cellStyle name="20% - Accent5 3 2 7" xfId="9477" xr:uid="{00000000-0005-0000-0000-000034250000}"/>
    <cellStyle name="20% - Accent5 3 2 7 2" xfId="9478" xr:uid="{00000000-0005-0000-0000-000035250000}"/>
    <cellStyle name="20% - Accent5 3 2 7 2 2" xfId="9479" xr:uid="{00000000-0005-0000-0000-000036250000}"/>
    <cellStyle name="20% - Accent5 3 2 7 3" xfId="9480" xr:uid="{00000000-0005-0000-0000-000037250000}"/>
    <cellStyle name="20% - Accent5 3 2 8" xfId="9481" xr:uid="{00000000-0005-0000-0000-000038250000}"/>
    <cellStyle name="20% - Accent5 3 2 8 2" xfId="9482" xr:uid="{00000000-0005-0000-0000-000039250000}"/>
    <cellStyle name="20% - Accent5 3 2 9" xfId="9483" xr:uid="{00000000-0005-0000-0000-00003A250000}"/>
    <cellStyle name="20% - Accent5 3 3" xfId="9484" xr:uid="{00000000-0005-0000-0000-00003B250000}"/>
    <cellStyle name="20% - Accent5 3 3 2" xfId="9485" xr:uid="{00000000-0005-0000-0000-00003C250000}"/>
    <cellStyle name="20% - Accent5 3 3 2 2" xfId="9486" xr:uid="{00000000-0005-0000-0000-00003D250000}"/>
    <cellStyle name="20% - Accent5 3 3 2 2 2" xfId="9487" xr:uid="{00000000-0005-0000-0000-00003E250000}"/>
    <cellStyle name="20% - Accent5 3 3 2 2 2 2" xfId="9488" xr:uid="{00000000-0005-0000-0000-00003F250000}"/>
    <cellStyle name="20% - Accent5 3 3 2 2 2 2 2" xfId="9489" xr:uid="{00000000-0005-0000-0000-000040250000}"/>
    <cellStyle name="20% - Accent5 3 3 2 2 2 2 2 2" xfId="9490" xr:uid="{00000000-0005-0000-0000-000041250000}"/>
    <cellStyle name="20% - Accent5 3 3 2 2 2 2 2 2 2" xfId="9491" xr:uid="{00000000-0005-0000-0000-000042250000}"/>
    <cellStyle name="20% - Accent5 3 3 2 2 2 2 2 3" xfId="9492" xr:uid="{00000000-0005-0000-0000-000043250000}"/>
    <cellStyle name="20% - Accent5 3 3 2 2 2 2 3" xfId="9493" xr:uid="{00000000-0005-0000-0000-000044250000}"/>
    <cellStyle name="20% - Accent5 3 3 2 2 2 2 3 2" xfId="9494" xr:uid="{00000000-0005-0000-0000-000045250000}"/>
    <cellStyle name="20% - Accent5 3 3 2 2 2 2 4" xfId="9495" xr:uid="{00000000-0005-0000-0000-000046250000}"/>
    <cellStyle name="20% - Accent5 3 3 2 2 2 3" xfId="9496" xr:uid="{00000000-0005-0000-0000-000047250000}"/>
    <cellStyle name="20% - Accent5 3 3 2 2 2 3 2" xfId="9497" xr:uid="{00000000-0005-0000-0000-000048250000}"/>
    <cellStyle name="20% - Accent5 3 3 2 2 2 3 2 2" xfId="9498" xr:uid="{00000000-0005-0000-0000-000049250000}"/>
    <cellStyle name="20% - Accent5 3 3 2 2 2 3 3" xfId="9499" xr:uid="{00000000-0005-0000-0000-00004A250000}"/>
    <cellStyle name="20% - Accent5 3 3 2 2 2 4" xfId="9500" xr:uid="{00000000-0005-0000-0000-00004B250000}"/>
    <cellStyle name="20% - Accent5 3 3 2 2 2 4 2" xfId="9501" xr:uid="{00000000-0005-0000-0000-00004C250000}"/>
    <cellStyle name="20% - Accent5 3 3 2 2 2 5" xfId="9502" xr:uid="{00000000-0005-0000-0000-00004D250000}"/>
    <cellStyle name="20% - Accent5 3 3 2 2 3" xfId="9503" xr:uid="{00000000-0005-0000-0000-00004E250000}"/>
    <cellStyle name="20% - Accent5 3 3 2 2 3 2" xfId="9504" xr:uid="{00000000-0005-0000-0000-00004F250000}"/>
    <cellStyle name="20% - Accent5 3 3 2 2 3 2 2" xfId="9505" xr:uid="{00000000-0005-0000-0000-000050250000}"/>
    <cellStyle name="20% - Accent5 3 3 2 2 3 2 2 2" xfId="9506" xr:uid="{00000000-0005-0000-0000-000051250000}"/>
    <cellStyle name="20% - Accent5 3 3 2 2 3 2 3" xfId="9507" xr:uid="{00000000-0005-0000-0000-000052250000}"/>
    <cellStyle name="20% - Accent5 3 3 2 2 3 3" xfId="9508" xr:uid="{00000000-0005-0000-0000-000053250000}"/>
    <cellStyle name="20% - Accent5 3 3 2 2 3 3 2" xfId="9509" xr:uid="{00000000-0005-0000-0000-000054250000}"/>
    <cellStyle name="20% - Accent5 3 3 2 2 3 4" xfId="9510" xr:uid="{00000000-0005-0000-0000-000055250000}"/>
    <cellStyle name="20% - Accent5 3 3 2 2 4" xfId="9511" xr:uid="{00000000-0005-0000-0000-000056250000}"/>
    <cellStyle name="20% - Accent5 3 3 2 2 4 2" xfId="9512" xr:uid="{00000000-0005-0000-0000-000057250000}"/>
    <cellStyle name="20% - Accent5 3 3 2 2 4 2 2" xfId="9513" xr:uid="{00000000-0005-0000-0000-000058250000}"/>
    <cellStyle name="20% - Accent5 3 3 2 2 4 3" xfId="9514" xr:uid="{00000000-0005-0000-0000-000059250000}"/>
    <cellStyle name="20% - Accent5 3 3 2 2 5" xfId="9515" xr:uid="{00000000-0005-0000-0000-00005A250000}"/>
    <cellStyle name="20% - Accent5 3 3 2 2 5 2" xfId="9516" xr:uid="{00000000-0005-0000-0000-00005B250000}"/>
    <cellStyle name="20% - Accent5 3 3 2 2 6" xfId="9517" xr:uid="{00000000-0005-0000-0000-00005C250000}"/>
    <cellStyle name="20% - Accent5 3 3 2 3" xfId="9518" xr:uid="{00000000-0005-0000-0000-00005D250000}"/>
    <cellStyle name="20% - Accent5 3 3 2 3 2" xfId="9519" xr:uid="{00000000-0005-0000-0000-00005E250000}"/>
    <cellStyle name="20% - Accent5 3 3 2 3 2 2" xfId="9520" xr:uid="{00000000-0005-0000-0000-00005F250000}"/>
    <cellStyle name="20% - Accent5 3 3 2 3 2 2 2" xfId="9521" xr:uid="{00000000-0005-0000-0000-000060250000}"/>
    <cellStyle name="20% - Accent5 3 3 2 3 2 2 2 2" xfId="9522" xr:uid="{00000000-0005-0000-0000-000061250000}"/>
    <cellStyle name="20% - Accent5 3 3 2 3 2 2 3" xfId="9523" xr:uid="{00000000-0005-0000-0000-000062250000}"/>
    <cellStyle name="20% - Accent5 3 3 2 3 2 3" xfId="9524" xr:uid="{00000000-0005-0000-0000-000063250000}"/>
    <cellStyle name="20% - Accent5 3 3 2 3 2 3 2" xfId="9525" xr:uid="{00000000-0005-0000-0000-000064250000}"/>
    <cellStyle name="20% - Accent5 3 3 2 3 2 4" xfId="9526" xr:uid="{00000000-0005-0000-0000-000065250000}"/>
    <cellStyle name="20% - Accent5 3 3 2 3 3" xfId="9527" xr:uid="{00000000-0005-0000-0000-000066250000}"/>
    <cellStyle name="20% - Accent5 3 3 2 3 3 2" xfId="9528" xr:uid="{00000000-0005-0000-0000-000067250000}"/>
    <cellStyle name="20% - Accent5 3 3 2 3 3 2 2" xfId="9529" xr:uid="{00000000-0005-0000-0000-000068250000}"/>
    <cellStyle name="20% - Accent5 3 3 2 3 3 3" xfId="9530" xr:uid="{00000000-0005-0000-0000-000069250000}"/>
    <cellStyle name="20% - Accent5 3 3 2 3 4" xfId="9531" xr:uid="{00000000-0005-0000-0000-00006A250000}"/>
    <cellStyle name="20% - Accent5 3 3 2 3 4 2" xfId="9532" xr:uid="{00000000-0005-0000-0000-00006B250000}"/>
    <cellStyle name="20% - Accent5 3 3 2 3 5" xfId="9533" xr:uid="{00000000-0005-0000-0000-00006C250000}"/>
    <cellStyle name="20% - Accent5 3 3 2 4" xfId="9534" xr:uid="{00000000-0005-0000-0000-00006D250000}"/>
    <cellStyle name="20% - Accent5 3 3 2 4 2" xfId="9535" xr:uid="{00000000-0005-0000-0000-00006E250000}"/>
    <cellStyle name="20% - Accent5 3 3 2 4 2 2" xfId="9536" xr:uid="{00000000-0005-0000-0000-00006F250000}"/>
    <cellStyle name="20% - Accent5 3 3 2 4 2 2 2" xfId="9537" xr:uid="{00000000-0005-0000-0000-000070250000}"/>
    <cellStyle name="20% - Accent5 3 3 2 4 2 3" xfId="9538" xr:uid="{00000000-0005-0000-0000-000071250000}"/>
    <cellStyle name="20% - Accent5 3 3 2 4 3" xfId="9539" xr:uid="{00000000-0005-0000-0000-000072250000}"/>
    <cellStyle name="20% - Accent5 3 3 2 4 3 2" xfId="9540" xr:uid="{00000000-0005-0000-0000-000073250000}"/>
    <cellStyle name="20% - Accent5 3 3 2 4 4" xfId="9541" xr:uid="{00000000-0005-0000-0000-000074250000}"/>
    <cellStyle name="20% - Accent5 3 3 2 5" xfId="9542" xr:uid="{00000000-0005-0000-0000-000075250000}"/>
    <cellStyle name="20% - Accent5 3 3 2 5 2" xfId="9543" xr:uid="{00000000-0005-0000-0000-000076250000}"/>
    <cellStyle name="20% - Accent5 3 3 2 5 2 2" xfId="9544" xr:uid="{00000000-0005-0000-0000-000077250000}"/>
    <cellStyle name="20% - Accent5 3 3 2 5 3" xfId="9545" xr:uid="{00000000-0005-0000-0000-000078250000}"/>
    <cellStyle name="20% - Accent5 3 3 2 6" xfId="9546" xr:uid="{00000000-0005-0000-0000-000079250000}"/>
    <cellStyle name="20% - Accent5 3 3 2 6 2" xfId="9547" xr:uid="{00000000-0005-0000-0000-00007A250000}"/>
    <cellStyle name="20% - Accent5 3 3 2 7" xfId="9548" xr:uid="{00000000-0005-0000-0000-00007B250000}"/>
    <cellStyle name="20% - Accent5 3 3 3" xfId="9549" xr:uid="{00000000-0005-0000-0000-00007C250000}"/>
    <cellStyle name="20% - Accent5 3 3 3 2" xfId="9550" xr:uid="{00000000-0005-0000-0000-00007D250000}"/>
    <cellStyle name="20% - Accent5 3 3 3 2 2" xfId="9551" xr:uid="{00000000-0005-0000-0000-00007E250000}"/>
    <cellStyle name="20% - Accent5 3 3 3 2 2 2" xfId="9552" xr:uid="{00000000-0005-0000-0000-00007F250000}"/>
    <cellStyle name="20% - Accent5 3 3 3 2 2 2 2" xfId="9553" xr:uid="{00000000-0005-0000-0000-000080250000}"/>
    <cellStyle name="20% - Accent5 3 3 3 2 2 2 2 2" xfId="9554" xr:uid="{00000000-0005-0000-0000-000081250000}"/>
    <cellStyle name="20% - Accent5 3 3 3 2 2 2 3" xfId="9555" xr:uid="{00000000-0005-0000-0000-000082250000}"/>
    <cellStyle name="20% - Accent5 3 3 3 2 2 3" xfId="9556" xr:uid="{00000000-0005-0000-0000-000083250000}"/>
    <cellStyle name="20% - Accent5 3 3 3 2 2 3 2" xfId="9557" xr:uid="{00000000-0005-0000-0000-000084250000}"/>
    <cellStyle name="20% - Accent5 3 3 3 2 2 4" xfId="9558" xr:uid="{00000000-0005-0000-0000-000085250000}"/>
    <cellStyle name="20% - Accent5 3 3 3 2 3" xfId="9559" xr:uid="{00000000-0005-0000-0000-000086250000}"/>
    <cellStyle name="20% - Accent5 3 3 3 2 3 2" xfId="9560" xr:uid="{00000000-0005-0000-0000-000087250000}"/>
    <cellStyle name="20% - Accent5 3 3 3 2 3 2 2" xfId="9561" xr:uid="{00000000-0005-0000-0000-000088250000}"/>
    <cellStyle name="20% - Accent5 3 3 3 2 3 3" xfId="9562" xr:uid="{00000000-0005-0000-0000-000089250000}"/>
    <cellStyle name="20% - Accent5 3 3 3 2 4" xfId="9563" xr:uid="{00000000-0005-0000-0000-00008A250000}"/>
    <cellStyle name="20% - Accent5 3 3 3 2 4 2" xfId="9564" xr:uid="{00000000-0005-0000-0000-00008B250000}"/>
    <cellStyle name="20% - Accent5 3 3 3 2 5" xfId="9565" xr:uid="{00000000-0005-0000-0000-00008C250000}"/>
    <cellStyle name="20% - Accent5 3 3 3 3" xfId="9566" xr:uid="{00000000-0005-0000-0000-00008D250000}"/>
    <cellStyle name="20% - Accent5 3 3 3 3 2" xfId="9567" xr:uid="{00000000-0005-0000-0000-00008E250000}"/>
    <cellStyle name="20% - Accent5 3 3 3 3 2 2" xfId="9568" xr:uid="{00000000-0005-0000-0000-00008F250000}"/>
    <cellStyle name="20% - Accent5 3 3 3 3 2 2 2" xfId="9569" xr:uid="{00000000-0005-0000-0000-000090250000}"/>
    <cellStyle name="20% - Accent5 3 3 3 3 2 3" xfId="9570" xr:uid="{00000000-0005-0000-0000-000091250000}"/>
    <cellStyle name="20% - Accent5 3 3 3 3 3" xfId="9571" xr:uid="{00000000-0005-0000-0000-000092250000}"/>
    <cellStyle name="20% - Accent5 3 3 3 3 3 2" xfId="9572" xr:uid="{00000000-0005-0000-0000-000093250000}"/>
    <cellStyle name="20% - Accent5 3 3 3 3 4" xfId="9573" xr:uid="{00000000-0005-0000-0000-000094250000}"/>
    <cellStyle name="20% - Accent5 3 3 3 4" xfId="9574" xr:uid="{00000000-0005-0000-0000-000095250000}"/>
    <cellStyle name="20% - Accent5 3 3 3 4 2" xfId="9575" xr:uid="{00000000-0005-0000-0000-000096250000}"/>
    <cellStyle name="20% - Accent5 3 3 3 4 2 2" xfId="9576" xr:uid="{00000000-0005-0000-0000-000097250000}"/>
    <cellStyle name="20% - Accent5 3 3 3 4 3" xfId="9577" xr:uid="{00000000-0005-0000-0000-000098250000}"/>
    <cellStyle name="20% - Accent5 3 3 3 5" xfId="9578" xr:uid="{00000000-0005-0000-0000-000099250000}"/>
    <cellStyle name="20% - Accent5 3 3 3 5 2" xfId="9579" xr:uid="{00000000-0005-0000-0000-00009A250000}"/>
    <cellStyle name="20% - Accent5 3 3 3 6" xfId="9580" xr:uid="{00000000-0005-0000-0000-00009B250000}"/>
    <cellStyle name="20% - Accent5 3 3 4" xfId="9581" xr:uid="{00000000-0005-0000-0000-00009C250000}"/>
    <cellStyle name="20% - Accent5 3 3 4 2" xfId="9582" xr:uid="{00000000-0005-0000-0000-00009D250000}"/>
    <cellStyle name="20% - Accent5 3 3 4 2 2" xfId="9583" xr:uid="{00000000-0005-0000-0000-00009E250000}"/>
    <cellStyle name="20% - Accent5 3 3 4 2 2 2" xfId="9584" xr:uid="{00000000-0005-0000-0000-00009F250000}"/>
    <cellStyle name="20% - Accent5 3 3 4 2 2 2 2" xfId="9585" xr:uid="{00000000-0005-0000-0000-0000A0250000}"/>
    <cellStyle name="20% - Accent5 3 3 4 2 2 3" xfId="9586" xr:uid="{00000000-0005-0000-0000-0000A1250000}"/>
    <cellStyle name="20% - Accent5 3 3 4 2 3" xfId="9587" xr:uid="{00000000-0005-0000-0000-0000A2250000}"/>
    <cellStyle name="20% - Accent5 3 3 4 2 3 2" xfId="9588" xr:uid="{00000000-0005-0000-0000-0000A3250000}"/>
    <cellStyle name="20% - Accent5 3 3 4 2 4" xfId="9589" xr:uid="{00000000-0005-0000-0000-0000A4250000}"/>
    <cellStyle name="20% - Accent5 3 3 4 3" xfId="9590" xr:uid="{00000000-0005-0000-0000-0000A5250000}"/>
    <cellStyle name="20% - Accent5 3 3 4 3 2" xfId="9591" xr:uid="{00000000-0005-0000-0000-0000A6250000}"/>
    <cellStyle name="20% - Accent5 3 3 4 3 2 2" xfId="9592" xr:uid="{00000000-0005-0000-0000-0000A7250000}"/>
    <cellStyle name="20% - Accent5 3 3 4 3 3" xfId="9593" xr:uid="{00000000-0005-0000-0000-0000A8250000}"/>
    <cellStyle name="20% - Accent5 3 3 4 4" xfId="9594" xr:uid="{00000000-0005-0000-0000-0000A9250000}"/>
    <cellStyle name="20% - Accent5 3 3 4 4 2" xfId="9595" xr:uid="{00000000-0005-0000-0000-0000AA250000}"/>
    <cellStyle name="20% - Accent5 3 3 4 5" xfId="9596" xr:uid="{00000000-0005-0000-0000-0000AB250000}"/>
    <cellStyle name="20% - Accent5 3 3 5" xfId="9597" xr:uid="{00000000-0005-0000-0000-0000AC250000}"/>
    <cellStyle name="20% - Accent5 3 3 5 2" xfId="9598" xr:uid="{00000000-0005-0000-0000-0000AD250000}"/>
    <cellStyle name="20% - Accent5 3 3 5 2 2" xfId="9599" xr:uid="{00000000-0005-0000-0000-0000AE250000}"/>
    <cellStyle name="20% - Accent5 3 3 5 2 2 2" xfId="9600" xr:uid="{00000000-0005-0000-0000-0000AF250000}"/>
    <cellStyle name="20% - Accent5 3 3 5 2 3" xfId="9601" xr:uid="{00000000-0005-0000-0000-0000B0250000}"/>
    <cellStyle name="20% - Accent5 3 3 5 3" xfId="9602" xr:uid="{00000000-0005-0000-0000-0000B1250000}"/>
    <cellStyle name="20% - Accent5 3 3 5 3 2" xfId="9603" xr:uid="{00000000-0005-0000-0000-0000B2250000}"/>
    <cellStyle name="20% - Accent5 3 3 5 4" xfId="9604" xr:uid="{00000000-0005-0000-0000-0000B3250000}"/>
    <cellStyle name="20% - Accent5 3 3 6" xfId="9605" xr:uid="{00000000-0005-0000-0000-0000B4250000}"/>
    <cellStyle name="20% - Accent5 3 3 6 2" xfId="9606" xr:uid="{00000000-0005-0000-0000-0000B5250000}"/>
    <cellStyle name="20% - Accent5 3 3 6 2 2" xfId="9607" xr:uid="{00000000-0005-0000-0000-0000B6250000}"/>
    <cellStyle name="20% - Accent5 3 3 6 3" xfId="9608" xr:uid="{00000000-0005-0000-0000-0000B7250000}"/>
    <cellStyle name="20% - Accent5 3 3 7" xfId="9609" xr:uid="{00000000-0005-0000-0000-0000B8250000}"/>
    <cellStyle name="20% - Accent5 3 3 7 2" xfId="9610" xr:uid="{00000000-0005-0000-0000-0000B9250000}"/>
    <cellStyle name="20% - Accent5 3 3 8" xfId="9611" xr:uid="{00000000-0005-0000-0000-0000BA250000}"/>
    <cellStyle name="20% - Accent5 3 4" xfId="9612" xr:uid="{00000000-0005-0000-0000-0000BB250000}"/>
    <cellStyle name="20% - Accent5 3 4 2" xfId="9613" xr:uid="{00000000-0005-0000-0000-0000BC250000}"/>
    <cellStyle name="20% - Accent5 3 4 2 2" xfId="9614" xr:uid="{00000000-0005-0000-0000-0000BD250000}"/>
    <cellStyle name="20% - Accent5 3 4 2 2 2" xfId="9615" xr:uid="{00000000-0005-0000-0000-0000BE250000}"/>
    <cellStyle name="20% - Accent5 3 4 2 2 2 2" xfId="9616" xr:uid="{00000000-0005-0000-0000-0000BF250000}"/>
    <cellStyle name="20% - Accent5 3 4 2 2 2 2 2" xfId="9617" xr:uid="{00000000-0005-0000-0000-0000C0250000}"/>
    <cellStyle name="20% - Accent5 3 4 2 2 2 2 2 2" xfId="9618" xr:uid="{00000000-0005-0000-0000-0000C1250000}"/>
    <cellStyle name="20% - Accent5 3 4 2 2 2 2 3" xfId="9619" xr:uid="{00000000-0005-0000-0000-0000C2250000}"/>
    <cellStyle name="20% - Accent5 3 4 2 2 2 3" xfId="9620" xr:uid="{00000000-0005-0000-0000-0000C3250000}"/>
    <cellStyle name="20% - Accent5 3 4 2 2 2 3 2" xfId="9621" xr:uid="{00000000-0005-0000-0000-0000C4250000}"/>
    <cellStyle name="20% - Accent5 3 4 2 2 2 4" xfId="9622" xr:uid="{00000000-0005-0000-0000-0000C5250000}"/>
    <cellStyle name="20% - Accent5 3 4 2 2 3" xfId="9623" xr:uid="{00000000-0005-0000-0000-0000C6250000}"/>
    <cellStyle name="20% - Accent5 3 4 2 2 3 2" xfId="9624" xr:uid="{00000000-0005-0000-0000-0000C7250000}"/>
    <cellStyle name="20% - Accent5 3 4 2 2 3 2 2" xfId="9625" xr:uid="{00000000-0005-0000-0000-0000C8250000}"/>
    <cellStyle name="20% - Accent5 3 4 2 2 3 3" xfId="9626" xr:uid="{00000000-0005-0000-0000-0000C9250000}"/>
    <cellStyle name="20% - Accent5 3 4 2 2 4" xfId="9627" xr:uid="{00000000-0005-0000-0000-0000CA250000}"/>
    <cellStyle name="20% - Accent5 3 4 2 2 4 2" xfId="9628" xr:uid="{00000000-0005-0000-0000-0000CB250000}"/>
    <cellStyle name="20% - Accent5 3 4 2 2 5" xfId="9629" xr:uid="{00000000-0005-0000-0000-0000CC250000}"/>
    <cellStyle name="20% - Accent5 3 4 2 3" xfId="9630" xr:uid="{00000000-0005-0000-0000-0000CD250000}"/>
    <cellStyle name="20% - Accent5 3 4 2 3 2" xfId="9631" xr:uid="{00000000-0005-0000-0000-0000CE250000}"/>
    <cellStyle name="20% - Accent5 3 4 2 3 2 2" xfId="9632" xr:uid="{00000000-0005-0000-0000-0000CF250000}"/>
    <cellStyle name="20% - Accent5 3 4 2 3 2 2 2" xfId="9633" xr:uid="{00000000-0005-0000-0000-0000D0250000}"/>
    <cellStyle name="20% - Accent5 3 4 2 3 2 3" xfId="9634" xr:uid="{00000000-0005-0000-0000-0000D1250000}"/>
    <cellStyle name="20% - Accent5 3 4 2 3 3" xfId="9635" xr:uid="{00000000-0005-0000-0000-0000D2250000}"/>
    <cellStyle name="20% - Accent5 3 4 2 3 3 2" xfId="9636" xr:uid="{00000000-0005-0000-0000-0000D3250000}"/>
    <cellStyle name="20% - Accent5 3 4 2 3 4" xfId="9637" xr:uid="{00000000-0005-0000-0000-0000D4250000}"/>
    <cellStyle name="20% - Accent5 3 4 2 4" xfId="9638" xr:uid="{00000000-0005-0000-0000-0000D5250000}"/>
    <cellStyle name="20% - Accent5 3 4 2 4 2" xfId="9639" xr:uid="{00000000-0005-0000-0000-0000D6250000}"/>
    <cellStyle name="20% - Accent5 3 4 2 4 2 2" xfId="9640" xr:uid="{00000000-0005-0000-0000-0000D7250000}"/>
    <cellStyle name="20% - Accent5 3 4 2 4 3" xfId="9641" xr:uid="{00000000-0005-0000-0000-0000D8250000}"/>
    <cellStyle name="20% - Accent5 3 4 2 5" xfId="9642" xr:uid="{00000000-0005-0000-0000-0000D9250000}"/>
    <cellStyle name="20% - Accent5 3 4 2 5 2" xfId="9643" xr:uid="{00000000-0005-0000-0000-0000DA250000}"/>
    <cellStyle name="20% - Accent5 3 4 2 6" xfId="9644" xr:uid="{00000000-0005-0000-0000-0000DB250000}"/>
    <cellStyle name="20% - Accent5 3 4 3" xfId="9645" xr:uid="{00000000-0005-0000-0000-0000DC250000}"/>
    <cellStyle name="20% - Accent5 3 4 3 2" xfId="9646" xr:uid="{00000000-0005-0000-0000-0000DD250000}"/>
    <cellStyle name="20% - Accent5 3 4 3 2 2" xfId="9647" xr:uid="{00000000-0005-0000-0000-0000DE250000}"/>
    <cellStyle name="20% - Accent5 3 4 3 2 2 2" xfId="9648" xr:uid="{00000000-0005-0000-0000-0000DF250000}"/>
    <cellStyle name="20% - Accent5 3 4 3 2 2 2 2" xfId="9649" xr:uid="{00000000-0005-0000-0000-0000E0250000}"/>
    <cellStyle name="20% - Accent5 3 4 3 2 2 3" xfId="9650" xr:uid="{00000000-0005-0000-0000-0000E1250000}"/>
    <cellStyle name="20% - Accent5 3 4 3 2 3" xfId="9651" xr:uid="{00000000-0005-0000-0000-0000E2250000}"/>
    <cellStyle name="20% - Accent5 3 4 3 2 3 2" xfId="9652" xr:uid="{00000000-0005-0000-0000-0000E3250000}"/>
    <cellStyle name="20% - Accent5 3 4 3 2 4" xfId="9653" xr:uid="{00000000-0005-0000-0000-0000E4250000}"/>
    <cellStyle name="20% - Accent5 3 4 3 3" xfId="9654" xr:uid="{00000000-0005-0000-0000-0000E5250000}"/>
    <cellStyle name="20% - Accent5 3 4 3 3 2" xfId="9655" xr:uid="{00000000-0005-0000-0000-0000E6250000}"/>
    <cellStyle name="20% - Accent5 3 4 3 3 2 2" xfId="9656" xr:uid="{00000000-0005-0000-0000-0000E7250000}"/>
    <cellStyle name="20% - Accent5 3 4 3 3 3" xfId="9657" xr:uid="{00000000-0005-0000-0000-0000E8250000}"/>
    <cellStyle name="20% - Accent5 3 4 3 4" xfId="9658" xr:uid="{00000000-0005-0000-0000-0000E9250000}"/>
    <cellStyle name="20% - Accent5 3 4 3 4 2" xfId="9659" xr:uid="{00000000-0005-0000-0000-0000EA250000}"/>
    <cellStyle name="20% - Accent5 3 4 3 5" xfId="9660" xr:uid="{00000000-0005-0000-0000-0000EB250000}"/>
    <cellStyle name="20% - Accent5 3 4 4" xfId="9661" xr:uid="{00000000-0005-0000-0000-0000EC250000}"/>
    <cellStyle name="20% - Accent5 3 4 4 2" xfId="9662" xr:uid="{00000000-0005-0000-0000-0000ED250000}"/>
    <cellStyle name="20% - Accent5 3 4 4 2 2" xfId="9663" xr:uid="{00000000-0005-0000-0000-0000EE250000}"/>
    <cellStyle name="20% - Accent5 3 4 4 2 2 2" xfId="9664" xr:uid="{00000000-0005-0000-0000-0000EF250000}"/>
    <cellStyle name="20% - Accent5 3 4 4 2 3" xfId="9665" xr:uid="{00000000-0005-0000-0000-0000F0250000}"/>
    <cellStyle name="20% - Accent5 3 4 4 3" xfId="9666" xr:uid="{00000000-0005-0000-0000-0000F1250000}"/>
    <cellStyle name="20% - Accent5 3 4 4 3 2" xfId="9667" xr:uid="{00000000-0005-0000-0000-0000F2250000}"/>
    <cellStyle name="20% - Accent5 3 4 4 4" xfId="9668" xr:uid="{00000000-0005-0000-0000-0000F3250000}"/>
    <cellStyle name="20% - Accent5 3 4 5" xfId="9669" xr:uid="{00000000-0005-0000-0000-0000F4250000}"/>
    <cellStyle name="20% - Accent5 3 4 5 2" xfId="9670" xr:uid="{00000000-0005-0000-0000-0000F5250000}"/>
    <cellStyle name="20% - Accent5 3 4 5 2 2" xfId="9671" xr:uid="{00000000-0005-0000-0000-0000F6250000}"/>
    <cellStyle name="20% - Accent5 3 4 5 3" xfId="9672" xr:uid="{00000000-0005-0000-0000-0000F7250000}"/>
    <cellStyle name="20% - Accent5 3 4 6" xfId="9673" xr:uid="{00000000-0005-0000-0000-0000F8250000}"/>
    <cellStyle name="20% - Accent5 3 4 6 2" xfId="9674" xr:uid="{00000000-0005-0000-0000-0000F9250000}"/>
    <cellStyle name="20% - Accent5 3 4 7" xfId="9675" xr:uid="{00000000-0005-0000-0000-0000FA250000}"/>
    <cellStyle name="20% - Accent5 3 5" xfId="9676" xr:uid="{00000000-0005-0000-0000-0000FB250000}"/>
    <cellStyle name="20% - Accent5 3 5 2" xfId="9677" xr:uid="{00000000-0005-0000-0000-0000FC250000}"/>
    <cellStyle name="20% - Accent5 3 5 2 2" xfId="9678" xr:uid="{00000000-0005-0000-0000-0000FD250000}"/>
    <cellStyle name="20% - Accent5 3 5 2 2 2" xfId="9679" xr:uid="{00000000-0005-0000-0000-0000FE250000}"/>
    <cellStyle name="20% - Accent5 3 5 2 2 2 2" xfId="9680" xr:uid="{00000000-0005-0000-0000-0000FF250000}"/>
    <cellStyle name="20% - Accent5 3 5 2 2 2 2 2" xfId="9681" xr:uid="{00000000-0005-0000-0000-000000260000}"/>
    <cellStyle name="20% - Accent5 3 5 2 2 2 3" xfId="9682" xr:uid="{00000000-0005-0000-0000-000001260000}"/>
    <cellStyle name="20% - Accent5 3 5 2 2 3" xfId="9683" xr:uid="{00000000-0005-0000-0000-000002260000}"/>
    <cellStyle name="20% - Accent5 3 5 2 2 3 2" xfId="9684" xr:uid="{00000000-0005-0000-0000-000003260000}"/>
    <cellStyle name="20% - Accent5 3 5 2 2 4" xfId="9685" xr:uid="{00000000-0005-0000-0000-000004260000}"/>
    <cellStyle name="20% - Accent5 3 5 2 3" xfId="9686" xr:uid="{00000000-0005-0000-0000-000005260000}"/>
    <cellStyle name="20% - Accent5 3 5 2 3 2" xfId="9687" xr:uid="{00000000-0005-0000-0000-000006260000}"/>
    <cellStyle name="20% - Accent5 3 5 2 3 2 2" xfId="9688" xr:uid="{00000000-0005-0000-0000-000007260000}"/>
    <cellStyle name="20% - Accent5 3 5 2 3 3" xfId="9689" xr:uid="{00000000-0005-0000-0000-000008260000}"/>
    <cellStyle name="20% - Accent5 3 5 2 4" xfId="9690" xr:uid="{00000000-0005-0000-0000-000009260000}"/>
    <cellStyle name="20% - Accent5 3 5 2 4 2" xfId="9691" xr:uid="{00000000-0005-0000-0000-00000A260000}"/>
    <cellStyle name="20% - Accent5 3 5 2 5" xfId="9692" xr:uid="{00000000-0005-0000-0000-00000B260000}"/>
    <cellStyle name="20% - Accent5 3 5 3" xfId="9693" xr:uid="{00000000-0005-0000-0000-00000C260000}"/>
    <cellStyle name="20% - Accent5 3 5 3 2" xfId="9694" xr:uid="{00000000-0005-0000-0000-00000D260000}"/>
    <cellStyle name="20% - Accent5 3 5 3 2 2" xfId="9695" xr:uid="{00000000-0005-0000-0000-00000E260000}"/>
    <cellStyle name="20% - Accent5 3 5 3 2 2 2" xfId="9696" xr:uid="{00000000-0005-0000-0000-00000F260000}"/>
    <cellStyle name="20% - Accent5 3 5 3 2 3" xfId="9697" xr:uid="{00000000-0005-0000-0000-000010260000}"/>
    <cellStyle name="20% - Accent5 3 5 3 3" xfId="9698" xr:uid="{00000000-0005-0000-0000-000011260000}"/>
    <cellStyle name="20% - Accent5 3 5 3 3 2" xfId="9699" xr:uid="{00000000-0005-0000-0000-000012260000}"/>
    <cellStyle name="20% - Accent5 3 5 3 4" xfId="9700" xr:uid="{00000000-0005-0000-0000-000013260000}"/>
    <cellStyle name="20% - Accent5 3 5 4" xfId="9701" xr:uid="{00000000-0005-0000-0000-000014260000}"/>
    <cellStyle name="20% - Accent5 3 5 4 2" xfId="9702" xr:uid="{00000000-0005-0000-0000-000015260000}"/>
    <cellStyle name="20% - Accent5 3 5 4 2 2" xfId="9703" xr:uid="{00000000-0005-0000-0000-000016260000}"/>
    <cellStyle name="20% - Accent5 3 5 4 3" xfId="9704" xr:uid="{00000000-0005-0000-0000-000017260000}"/>
    <cellStyle name="20% - Accent5 3 5 5" xfId="9705" xr:uid="{00000000-0005-0000-0000-000018260000}"/>
    <cellStyle name="20% - Accent5 3 5 5 2" xfId="9706" xr:uid="{00000000-0005-0000-0000-000019260000}"/>
    <cellStyle name="20% - Accent5 3 5 6" xfId="9707" xr:uid="{00000000-0005-0000-0000-00001A260000}"/>
    <cellStyle name="20% - Accent5 3 6" xfId="9708" xr:uid="{00000000-0005-0000-0000-00001B260000}"/>
    <cellStyle name="20% - Accent5 3 6 2" xfId="9709" xr:uid="{00000000-0005-0000-0000-00001C260000}"/>
    <cellStyle name="20% - Accent5 3 6 2 2" xfId="9710" xr:uid="{00000000-0005-0000-0000-00001D260000}"/>
    <cellStyle name="20% - Accent5 3 6 2 2 2" xfId="9711" xr:uid="{00000000-0005-0000-0000-00001E260000}"/>
    <cellStyle name="20% - Accent5 3 6 2 2 2 2" xfId="9712" xr:uid="{00000000-0005-0000-0000-00001F260000}"/>
    <cellStyle name="20% - Accent5 3 6 2 2 3" xfId="9713" xr:uid="{00000000-0005-0000-0000-000020260000}"/>
    <cellStyle name="20% - Accent5 3 6 2 3" xfId="9714" xr:uid="{00000000-0005-0000-0000-000021260000}"/>
    <cellStyle name="20% - Accent5 3 6 2 3 2" xfId="9715" xr:uid="{00000000-0005-0000-0000-000022260000}"/>
    <cellStyle name="20% - Accent5 3 6 2 4" xfId="9716" xr:uid="{00000000-0005-0000-0000-000023260000}"/>
    <cellStyle name="20% - Accent5 3 6 3" xfId="9717" xr:uid="{00000000-0005-0000-0000-000024260000}"/>
    <cellStyle name="20% - Accent5 3 6 3 2" xfId="9718" xr:uid="{00000000-0005-0000-0000-000025260000}"/>
    <cellStyle name="20% - Accent5 3 6 3 2 2" xfId="9719" xr:uid="{00000000-0005-0000-0000-000026260000}"/>
    <cellStyle name="20% - Accent5 3 6 3 3" xfId="9720" xr:uid="{00000000-0005-0000-0000-000027260000}"/>
    <cellStyle name="20% - Accent5 3 6 4" xfId="9721" xr:uid="{00000000-0005-0000-0000-000028260000}"/>
    <cellStyle name="20% - Accent5 3 6 4 2" xfId="9722" xr:uid="{00000000-0005-0000-0000-000029260000}"/>
    <cellStyle name="20% - Accent5 3 6 5" xfId="9723" xr:uid="{00000000-0005-0000-0000-00002A260000}"/>
    <cellStyle name="20% - Accent5 3 7" xfId="9724" xr:uid="{00000000-0005-0000-0000-00002B260000}"/>
    <cellStyle name="20% - Accent5 3 7 2" xfId="9725" xr:uid="{00000000-0005-0000-0000-00002C260000}"/>
    <cellStyle name="20% - Accent5 3 7 2 2" xfId="9726" xr:uid="{00000000-0005-0000-0000-00002D260000}"/>
    <cellStyle name="20% - Accent5 3 7 2 2 2" xfId="9727" xr:uid="{00000000-0005-0000-0000-00002E260000}"/>
    <cellStyle name="20% - Accent5 3 7 2 3" xfId="9728" xr:uid="{00000000-0005-0000-0000-00002F260000}"/>
    <cellStyle name="20% - Accent5 3 7 3" xfId="9729" xr:uid="{00000000-0005-0000-0000-000030260000}"/>
    <cellStyle name="20% - Accent5 3 7 3 2" xfId="9730" xr:uid="{00000000-0005-0000-0000-000031260000}"/>
    <cellStyle name="20% - Accent5 3 7 4" xfId="9731" xr:uid="{00000000-0005-0000-0000-000032260000}"/>
    <cellStyle name="20% - Accent5 3 8" xfId="9732" xr:uid="{00000000-0005-0000-0000-000033260000}"/>
    <cellStyle name="20% - Accent5 3 8 2" xfId="9733" xr:uid="{00000000-0005-0000-0000-000034260000}"/>
    <cellStyle name="20% - Accent5 3 8 2 2" xfId="9734" xr:uid="{00000000-0005-0000-0000-000035260000}"/>
    <cellStyle name="20% - Accent5 3 8 3" xfId="9735" xr:uid="{00000000-0005-0000-0000-000036260000}"/>
    <cellStyle name="20% - Accent5 3 9" xfId="9736" xr:uid="{00000000-0005-0000-0000-000037260000}"/>
    <cellStyle name="20% - Accent5 3 9 2" xfId="9737" xr:uid="{00000000-0005-0000-0000-000038260000}"/>
    <cellStyle name="20% - Accent5 4" xfId="9738" xr:uid="{00000000-0005-0000-0000-000039260000}"/>
    <cellStyle name="20% - Accent5 4 2" xfId="9739" xr:uid="{00000000-0005-0000-0000-00003A260000}"/>
    <cellStyle name="20% - Accent5 4 2 2" xfId="9740" xr:uid="{00000000-0005-0000-0000-00003B260000}"/>
    <cellStyle name="20% - Accent5 4 2 2 2" xfId="9741" xr:uid="{00000000-0005-0000-0000-00003C260000}"/>
    <cellStyle name="20% - Accent5 4 2 2 2 2" xfId="9742" xr:uid="{00000000-0005-0000-0000-00003D260000}"/>
    <cellStyle name="20% - Accent5 4 2 2 2 2 2" xfId="9743" xr:uid="{00000000-0005-0000-0000-00003E260000}"/>
    <cellStyle name="20% - Accent5 4 2 2 2 2 2 2" xfId="9744" xr:uid="{00000000-0005-0000-0000-00003F260000}"/>
    <cellStyle name="20% - Accent5 4 2 2 2 2 2 2 2" xfId="9745" xr:uid="{00000000-0005-0000-0000-000040260000}"/>
    <cellStyle name="20% - Accent5 4 2 2 2 2 2 2 2 2" xfId="9746" xr:uid="{00000000-0005-0000-0000-000041260000}"/>
    <cellStyle name="20% - Accent5 4 2 2 2 2 2 2 3" xfId="9747" xr:uid="{00000000-0005-0000-0000-000042260000}"/>
    <cellStyle name="20% - Accent5 4 2 2 2 2 2 3" xfId="9748" xr:uid="{00000000-0005-0000-0000-000043260000}"/>
    <cellStyle name="20% - Accent5 4 2 2 2 2 2 3 2" xfId="9749" xr:uid="{00000000-0005-0000-0000-000044260000}"/>
    <cellStyle name="20% - Accent5 4 2 2 2 2 2 4" xfId="9750" xr:uid="{00000000-0005-0000-0000-000045260000}"/>
    <cellStyle name="20% - Accent5 4 2 2 2 2 3" xfId="9751" xr:uid="{00000000-0005-0000-0000-000046260000}"/>
    <cellStyle name="20% - Accent5 4 2 2 2 2 3 2" xfId="9752" xr:uid="{00000000-0005-0000-0000-000047260000}"/>
    <cellStyle name="20% - Accent5 4 2 2 2 2 3 2 2" xfId="9753" xr:uid="{00000000-0005-0000-0000-000048260000}"/>
    <cellStyle name="20% - Accent5 4 2 2 2 2 3 3" xfId="9754" xr:uid="{00000000-0005-0000-0000-000049260000}"/>
    <cellStyle name="20% - Accent5 4 2 2 2 2 4" xfId="9755" xr:uid="{00000000-0005-0000-0000-00004A260000}"/>
    <cellStyle name="20% - Accent5 4 2 2 2 2 4 2" xfId="9756" xr:uid="{00000000-0005-0000-0000-00004B260000}"/>
    <cellStyle name="20% - Accent5 4 2 2 2 2 5" xfId="9757" xr:uid="{00000000-0005-0000-0000-00004C260000}"/>
    <cellStyle name="20% - Accent5 4 2 2 2 3" xfId="9758" xr:uid="{00000000-0005-0000-0000-00004D260000}"/>
    <cellStyle name="20% - Accent5 4 2 2 2 3 2" xfId="9759" xr:uid="{00000000-0005-0000-0000-00004E260000}"/>
    <cellStyle name="20% - Accent5 4 2 2 2 3 2 2" xfId="9760" xr:uid="{00000000-0005-0000-0000-00004F260000}"/>
    <cellStyle name="20% - Accent5 4 2 2 2 3 2 2 2" xfId="9761" xr:uid="{00000000-0005-0000-0000-000050260000}"/>
    <cellStyle name="20% - Accent5 4 2 2 2 3 2 3" xfId="9762" xr:uid="{00000000-0005-0000-0000-000051260000}"/>
    <cellStyle name="20% - Accent5 4 2 2 2 3 3" xfId="9763" xr:uid="{00000000-0005-0000-0000-000052260000}"/>
    <cellStyle name="20% - Accent5 4 2 2 2 3 3 2" xfId="9764" xr:uid="{00000000-0005-0000-0000-000053260000}"/>
    <cellStyle name="20% - Accent5 4 2 2 2 3 4" xfId="9765" xr:uid="{00000000-0005-0000-0000-000054260000}"/>
    <cellStyle name="20% - Accent5 4 2 2 2 4" xfId="9766" xr:uid="{00000000-0005-0000-0000-000055260000}"/>
    <cellStyle name="20% - Accent5 4 2 2 2 4 2" xfId="9767" xr:uid="{00000000-0005-0000-0000-000056260000}"/>
    <cellStyle name="20% - Accent5 4 2 2 2 4 2 2" xfId="9768" xr:uid="{00000000-0005-0000-0000-000057260000}"/>
    <cellStyle name="20% - Accent5 4 2 2 2 4 3" xfId="9769" xr:uid="{00000000-0005-0000-0000-000058260000}"/>
    <cellStyle name="20% - Accent5 4 2 2 2 5" xfId="9770" xr:uid="{00000000-0005-0000-0000-000059260000}"/>
    <cellStyle name="20% - Accent5 4 2 2 2 5 2" xfId="9771" xr:uid="{00000000-0005-0000-0000-00005A260000}"/>
    <cellStyle name="20% - Accent5 4 2 2 2 6" xfId="9772" xr:uid="{00000000-0005-0000-0000-00005B260000}"/>
    <cellStyle name="20% - Accent5 4 2 2 3" xfId="9773" xr:uid="{00000000-0005-0000-0000-00005C260000}"/>
    <cellStyle name="20% - Accent5 4 2 2 3 2" xfId="9774" xr:uid="{00000000-0005-0000-0000-00005D260000}"/>
    <cellStyle name="20% - Accent5 4 2 2 3 2 2" xfId="9775" xr:uid="{00000000-0005-0000-0000-00005E260000}"/>
    <cellStyle name="20% - Accent5 4 2 2 3 2 2 2" xfId="9776" xr:uid="{00000000-0005-0000-0000-00005F260000}"/>
    <cellStyle name="20% - Accent5 4 2 2 3 2 2 2 2" xfId="9777" xr:uid="{00000000-0005-0000-0000-000060260000}"/>
    <cellStyle name="20% - Accent5 4 2 2 3 2 2 3" xfId="9778" xr:uid="{00000000-0005-0000-0000-000061260000}"/>
    <cellStyle name="20% - Accent5 4 2 2 3 2 3" xfId="9779" xr:uid="{00000000-0005-0000-0000-000062260000}"/>
    <cellStyle name="20% - Accent5 4 2 2 3 2 3 2" xfId="9780" xr:uid="{00000000-0005-0000-0000-000063260000}"/>
    <cellStyle name="20% - Accent5 4 2 2 3 2 4" xfId="9781" xr:uid="{00000000-0005-0000-0000-000064260000}"/>
    <cellStyle name="20% - Accent5 4 2 2 3 3" xfId="9782" xr:uid="{00000000-0005-0000-0000-000065260000}"/>
    <cellStyle name="20% - Accent5 4 2 2 3 3 2" xfId="9783" xr:uid="{00000000-0005-0000-0000-000066260000}"/>
    <cellStyle name="20% - Accent5 4 2 2 3 3 2 2" xfId="9784" xr:uid="{00000000-0005-0000-0000-000067260000}"/>
    <cellStyle name="20% - Accent5 4 2 2 3 3 3" xfId="9785" xr:uid="{00000000-0005-0000-0000-000068260000}"/>
    <cellStyle name="20% - Accent5 4 2 2 3 4" xfId="9786" xr:uid="{00000000-0005-0000-0000-000069260000}"/>
    <cellStyle name="20% - Accent5 4 2 2 3 4 2" xfId="9787" xr:uid="{00000000-0005-0000-0000-00006A260000}"/>
    <cellStyle name="20% - Accent5 4 2 2 3 5" xfId="9788" xr:uid="{00000000-0005-0000-0000-00006B260000}"/>
    <cellStyle name="20% - Accent5 4 2 2 4" xfId="9789" xr:uid="{00000000-0005-0000-0000-00006C260000}"/>
    <cellStyle name="20% - Accent5 4 2 2 4 2" xfId="9790" xr:uid="{00000000-0005-0000-0000-00006D260000}"/>
    <cellStyle name="20% - Accent5 4 2 2 4 2 2" xfId="9791" xr:uid="{00000000-0005-0000-0000-00006E260000}"/>
    <cellStyle name="20% - Accent5 4 2 2 4 2 2 2" xfId="9792" xr:uid="{00000000-0005-0000-0000-00006F260000}"/>
    <cellStyle name="20% - Accent5 4 2 2 4 2 3" xfId="9793" xr:uid="{00000000-0005-0000-0000-000070260000}"/>
    <cellStyle name="20% - Accent5 4 2 2 4 3" xfId="9794" xr:uid="{00000000-0005-0000-0000-000071260000}"/>
    <cellStyle name="20% - Accent5 4 2 2 4 3 2" xfId="9795" xr:uid="{00000000-0005-0000-0000-000072260000}"/>
    <cellStyle name="20% - Accent5 4 2 2 4 4" xfId="9796" xr:uid="{00000000-0005-0000-0000-000073260000}"/>
    <cellStyle name="20% - Accent5 4 2 2 5" xfId="9797" xr:uid="{00000000-0005-0000-0000-000074260000}"/>
    <cellStyle name="20% - Accent5 4 2 2 5 2" xfId="9798" xr:uid="{00000000-0005-0000-0000-000075260000}"/>
    <cellStyle name="20% - Accent5 4 2 2 5 2 2" xfId="9799" xr:uid="{00000000-0005-0000-0000-000076260000}"/>
    <cellStyle name="20% - Accent5 4 2 2 5 3" xfId="9800" xr:uid="{00000000-0005-0000-0000-000077260000}"/>
    <cellStyle name="20% - Accent5 4 2 2 6" xfId="9801" xr:uid="{00000000-0005-0000-0000-000078260000}"/>
    <cellStyle name="20% - Accent5 4 2 2 6 2" xfId="9802" xr:uid="{00000000-0005-0000-0000-000079260000}"/>
    <cellStyle name="20% - Accent5 4 2 2 7" xfId="9803" xr:uid="{00000000-0005-0000-0000-00007A260000}"/>
    <cellStyle name="20% - Accent5 4 2 3" xfId="9804" xr:uid="{00000000-0005-0000-0000-00007B260000}"/>
    <cellStyle name="20% - Accent5 4 2 3 2" xfId="9805" xr:uid="{00000000-0005-0000-0000-00007C260000}"/>
    <cellStyle name="20% - Accent5 4 2 3 2 2" xfId="9806" xr:uid="{00000000-0005-0000-0000-00007D260000}"/>
    <cellStyle name="20% - Accent5 4 2 3 2 2 2" xfId="9807" xr:uid="{00000000-0005-0000-0000-00007E260000}"/>
    <cellStyle name="20% - Accent5 4 2 3 2 2 2 2" xfId="9808" xr:uid="{00000000-0005-0000-0000-00007F260000}"/>
    <cellStyle name="20% - Accent5 4 2 3 2 2 2 2 2" xfId="9809" xr:uid="{00000000-0005-0000-0000-000080260000}"/>
    <cellStyle name="20% - Accent5 4 2 3 2 2 2 3" xfId="9810" xr:uid="{00000000-0005-0000-0000-000081260000}"/>
    <cellStyle name="20% - Accent5 4 2 3 2 2 3" xfId="9811" xr:uid="{00000000-0005-0000-0000-000082260000}"/>
    <cellStyle name="20% - Accent5 4 2 3 2 2 3 2" xfId="9812" xr:uid="{00000000-0005-0000-0000-000083260000}"/>
    <cellStyle name="20% - Accent5 4 2 3 2 2 4" xfId="9813" xr:uid="{00000000-0005-0000-0000-000084260000}"/>
    <cellStyle name="20% - Accent5 4 2 3 2 3" xfId="9814" xr:uid="{00000000-0005-0000-0000-000085260000}"/>
    <cellStyle name="20% - Accent5 4 2 3 2 3 2" xfId="9815" xr:uid="{00000000-0005-0000-0000-000086260000}"/>
    <cellStyle name="20% - Accent5 4 2 3 2 3 2 2" xfId="9816" xr:uid="{00000000-0005-0000-0000-000087260000}"/>
    <cellStyle name="20% - Accent5 4 2 3 2 3 3" xfId="9817" xr:uid="{00000000-0005-0000-0000-000088260000}"/>
    <cellStyle name="20% - Accent5 4 2 3 2 4" xfId="9818" xr:uid="{00000000-0005-0000-0000-000089260000}"/>
    <cellStyle name="20% - Accent5 4 2 3 2 4 2" xfId="9819" xr:uid="{00000000-0005-0000-0000-00008A260000}"/>
    <cellStyle name="20% - Accent5 4 2 3 2 5" xfId="9820" xr:uid="{00000000-0005-0000-0000-00008B260000}"/>
    <cellStyle name="20% - Accent5 4 2 3 3" xfId="9821" xr:uid="{00000000-0005-0000-0000-00008C260000}"/>
    <cellStyle name="20% - Accent5 4 2 3 3 2" xfId="9822" xr:uid="{00000000-0005-0000-0000-00008D260000}"/>
    <cellStyle name="20% - Accent5 4 2 3 3 2 2" xfId="9823" xr:uid="{00000000-0005-0000-0000-00008E260000}"/>
    <cellStyle name="20% - Accent5 4 2 3 3 2 2 2" xfId="9824" xr:uid="{00000000-0005-0000-0000-00008F260000}"/>
    <cellStyle name="20% - Accent5 4 2 3 3 2 3" xfId="9825" xr:uid="{00000000-0005-0000-0000-000090260000}"/>
    <cellStyle name="20% - Accent5 4 2 3 3 3" xfId="9826" xr:uid="{00000000-0005-0000-0000-000091260000}"/>
    <cellStyle name="20% - Accent5 4 2 3 3 3 2" xfId="9827" xr:uid="{00000000-0005-0000-0000-000092260000}"/>
    <cellStyle name="20% - Accent5 4 2 3 3 4" xfId="9828" xr:uid="{00000000-0005-0000-0000-000093260000}"/>
    <cellStyle name="20% - Accent5 4 2 3 4" xfId="9829" xr:uid="{00000000-0005-0000-0000-000094260000}"/>
    <cellStyle name="20% - Accent5 4 2 3 4 2" xfId="9830" xr:uid="{00000000-0005-0000-0000-000095260000}"/>
    <cellStyle name="20% - Accent5 4 2 3 4 2 2" xfId="9831" xr:uid="{00000000-0005-0000-0000-000096260000}"/>
    <cellStyle name="20% - Accent5 4 2 3 4 3" xfId="9832" xr:uid="{00000000-0005-0000-0000-000097260000}"/>
    <cellStyle name="20% - Accent5 4 2 3 5" xfId="9833" xr:uid="{00000000-0005-0000-0000-000098260000}"/>
    <cellStyle name="20% - Accent5 4 2 3 5 2" xfId="9834" xr:uid="{00000000-0005-0000-0000-000099260000}"/>
    <cellStyle name="20% - Accent5 4 2 3 6" xfId="9835" xr:uid="{00000000-0005-0000-0000-00009A260000}"/>
    <cellStyle name="20% - Accent5 4 2 4" xfId="9836" xr:uid="{00000000-0005-0000-0000-00009B260000}"/>
    <cellStyle name="20% - Accent5 4 2 4 2" xfId="9837" xr:uid="{00000000-0005-0000-0000-00009C260000}"/>
    <cellStyle name="20% - Accent5 4 2 4 2 2" xfId="9838" xr:uid="{00000000-0005-0000-0000-00009D260000}"/>
    <cellStyle name="20% - Accent5 4 2 4 2 2 2" xfId="9839" xr:uid="{00000000-0005-0000-0000-00009E260000}"/>
    <cellStyle name="20% - Accent5 4 2 4 2 2 2 2" xfId="9840" xr:uid="{00000000-0005-0000-0000-00009F260000}"/>
    <cellStyle name="20% - Accent5 4 2 4 2 2 3" xfId="9841" xr:uid="{00000000-0005-0000-0000-0000A0260000}"/>
    <cellStyle name="20% - Accent5 4 2 4 2 3" xfId="9842" xr:uid="{00000000-0005-0000-0000-0000A1260000}"/>
    <cellStyle name="20% - Accent5 4 2 4 2 3 2" xfId="9843" xr:uid="{00000000-0005-0000-0000-0000A2260000}"/>
    <cellStyle name="20% - Accent5 4 2 4 2 4" xfId="9844" xr:uid="{00000000-0005-0000-0000-0000A3260000}"/>
    <cellStyle name="20% - Accent5 4 2 4 3" xfId="9845" xr:uid="{00000000-0005-0000-0000-0000A4260000}"/>
    <cellStyle name="20% - Accent5 4 2 4 3 2" xfId="9846" xr:uid="{00000000-0005-0000-0000-0000A5260000}"/>
    <cellStyle name="20% - Accent5 4 2 4 3 2 2" xfId="9847" xr:uid="{00000000-0005-0000-0000-0000A6260000}"/>
    <cellStyle name="20% - Accent5 4 2 4 3 3" xfId="9848" xr:uid="{00000000-0005-0000-0000-0000A7260000}"/>
    <cellStyle name="20% - Accent5 4 2 4 4" xfId="9849" xr:uid="{00000000-0005-0000-0000-0000A8260000}"/>
    <cellStyle name="20% - Accent5 4 2 4 4 2" xfId="9850" xr:uid="{00000000-0005-0000-0000-0000A9260000}"/>
    <cellStyle name="20% - Accent5 4 2 4 5" xfId="9851" xr:uid="{00000000-0005-0000-0000-0000AA260000}"/>
    <cellStyle name="20% - Accent5 4 2 5" xfId="9852" xr:uid="{00000000-0005-0000-0000-0000AB260000}"/>
    <cellStyle name="20% - Accent5 4 2 5 2" xfId="9853" xr:uid="{00000000-0005-0000-0000-0000AC260000}"/>
    <cellStyle name="20% - Accent5 4 2 5 2 2" xfId="9854" xr:uid="{00000000-0005-0000-0000-0000AD260000}"/>
    <cellStyle name="20% - Accent5 4 2 5 2 2 2" xfId="9855" xr:uid="{00000000-0005-0000-0000-0000AE260000}"/>
    <cellStyle name="20% - Accent5 4 2 5 2 3" xfId="9856" xr:uid="{00000000-0005-0000-0000-0000AF260000}"/>
    <cellStyle name="20% - Accent5 4 2 5 3" xfId="9857" xr:uid="{00000000-0005-0000-0000-0000B0260000}"/>
    <cellStyle name="20% - Accent5 4 2 5 3 2" xfId="9858" xr:uid="{00000000-0005-0000-0000-0000B1260000}"/>
    <cellStyle name="20% - Accent5 4 2 5 4" xfId="9859" xr:uid="{00000000-0005-0000-0000-0000B2260000}"/>
    <cellStyle name="20% - Accent5 4 2 6" xfId="9860" xr:uid="{00000000-0005-0000-0000-0000B3260000}"/>
    <cellStyle name="20% - Accent5 4 2 6 2" xfId="9861" xr:uid="{00000000-0005-0000-0000-0000B4260000}"/>
    <cellStyle name="20% - Accent5 4 2 6 2 2" xfId="9862" xr:uid="{00000000-0005-0000-0000-0000B5260000}"/>
    <cellStyle name="20% - Accent5 4 2 6 3" xfId="9863" xr:uid="{00000000-0005-0000-0000-0000B6260000}"/>
    <cellStyle name="20% - Accent5 4 2 7" xfId="9864" xr:uid="{00000000-0005-0000-0000-0000B7260000}"/>
    <cellStyle name="20% - Accent5 4 2 7 2" xfId="9865" xr:uid="{00000000-0005-0000-0000-0000B8260000}"/>
    <cellStyle name="20% - Accent5 4 2 8" xfId="9866" xr:uid="{00000000-0005-0000-0000-0000B9260000}"/>
    <cellStyle name="20% - Accent5 4 3" xfId="9867" xr:uid="{00000000-0005-0000-0000-0000BA260000}"/>
    <cellStyle name="20% - Accent5 4 3 2" xfId="9868" xr:uid="{00000000-0005-0000-0000-0000BB260000}"/>
    <cellStyle name="20% - Accent5 4 3 2 2" xfId="9869" xr:uid="{00000000-0005-0000-0000-0000BC260000}"/>
    <cellStyle name="20% - Accent5 4 3 2 2 2" xfId="9870" xr:uid="{00000000-0005-0000-0000-0000BD260000}"/>
    <cellStyle name="20% - Accent5 4 3 2 2 2 2" xfId="9871" xr:uid="{00000000-0005-0000-0000-0000BE260000}"/>
    <cellStyle name="20% - Accent5 4 3 2 2 2 2 2" xfId="9872" xr:uid="{00000000-0005-0000-0000-0000BF260000}"/>
    <cellStyle name="20% - Accent5 4 3 2 2 2 2 2 2" xfId="9873" xr:uid="{00000000-0005-0000-0000-0000C0260000}"/>
    <cellStyle name="20% - Accent5 4 3 2 2 2 2 3" xfId="9874" xr:uid="{00000000-0005-0000-0000-0000C1260000}"/>
    <cellStyle name="20% - Accent5 4 3 2 2 2 3" xfId="9875" xr:uid="{00000000-0005-0000-0000-0000C2260000}"/>
    <cellStyle name="20% - Accent5 4 3 2 2 2 3 2" xfId="9876" xr:uid="{00000000-0005-0000-0000-0000C3260000}"/>
    <cellStyle name="20% - Accent5 4 3 2 2 2 4" xfId="9877" xr:uid="{00000000-0005-0000-0000-0000C4260000}"/>
    <cellStyle name="20% - Accent5 4 3 2 2 3" xfId="9878" xr:uid="{00000000-0005-0000-0000-0000C5260000}"/>
    <cellStyle name="20% - Accent5 4 3 2 2 3 2" xfId="9879" xr:uid="{00000000-0005-0000-0000-0000C6260000}"/>
    <cellStyle name="20% - Accent5 4 3 2 2 3 2 2" xfId="9880" xr:uid="{00000000-0005-0000-0000-0000C7260000}"/>
    <cellStyle name="20% - Accent5 4 3 2 2 3 3" xfId="9881" xr:uid="{00000000-0005-0000-0000-0000C8260000}"/>
    <cellStyle name="20% - Accent5 4 3 2 2 4" xfId="9882" xr:uid="{00000000-0005-0000-0000-0000C9260000}"/>
    <cellStyle name="20% - Accent5 4 3 2 2 4 2" xfId="9883" xr:uid="{00000000-0005-0000-0000-0000CA260000}"/>
    <cellStyle name="20% - Accent5 4 3 2 2 5" xfId="9884" xr:uid="{00000000-0005-0000-0000-0000CB260000}"/>
    <cellStyle name="20% - Accent5 4 3 2 3" xfId="9885" xr:uid="{00000000-0005-0000-0000-0000CC260000}"/>
    <cellStyle name="20% - Accent5 4 3 2 3 2" xfId="9886" xr:uid="{00000000-0005-0000-0000-0000CD260000}"/>
    <cellStyle name="20% - Accent5 4 3 2 3 2 2" xfId="9887" xr:uid="{00000000-0005-0000-0000-0000CE260000}"/>
    <cellStyle name="20% - Accent5 4 3 2 3 2 2 2" xfId="9888" xr:uid="{00000000-0005-0000-0000-0000CF260000}"/>
    <cellStyle name="20% - Accent5 4 3 2 3 2 3" xfId="9889" xr:uid="{00000000-0005-0000-0000-0000D0260000}"/>
    <cellStyle name="20% - Accent5 4 3 2 3 3" xfId="9890" xr:uid="{00000000-0005-0000-0000-0000D1260000}"/>
    <cellStyle name="20% - Accent5 4 3 2 3 3 2" xfId="9891" xr:uid="{00000000-0005-0000-0000-0000D2260000}"/>
    <cellStyle name="20% - Accent5 4 3 2 3 4" xfId="9892" xr:uid="{00000000-0005-0000-0000-0000D3260000}"/>
    <cellStyle name="20% - Accent5 4 3 2 4" xfId="9893" xr:uid="{00000000-0005-0000-0000-0000D4260000}"/>
    <cellStyle name="20% - Accent5 4 3 2 4 2" xfId="9894" xr:uid="{00000000-0005-0000-0000-0000D5260000}"/>
    <cellStyle name="20% - Accent5 4 3 2 4 2 2" xfId="9895" xr:uid="{00000000-0005-0000-0000-0000D6260000}"/>
    <cellStyle name="20% - Accent5 4 3 2 4 3" xfId="9896" xr:uid="{00000000-0005-0000-0000-0000D7260000}"/>
    <cellStyle name="20% - Accent5 4 3 2 5" xfId="9897" xr:uid="{00000000-0005-0000-0000-0000D8260000}"/>
    <cellStyle name="20% - Accent5 4 3 2 5 2" xfId="9898" xr:uid="{00000000-0005-0000-0000-0000D9260000}"/>
    <cellStyle name="20% - Accent5 4 3 2 6" xfId="9899" xr:uid="{00000000-0005-0000-0000-0000DA260000}"/>
    <cellStyle name="20% - Accent5 4 3 3" xfId="9900" xr:uid="{00000000-0005-0000-0000-0000DB260000}"/>
    <cellStyle name="20% - Accent5 4 3 3 2" xfId="9901" xr:uid="{00000000-0005-0000-0000-0000DC260000}"/>
    <cellStyle name="20% - Accent5 4 3 3 2 2" xfId="9902" xr:uid="{00000000-0005-0000-0000-0000DD260000}"/>
    <cellStyle name="20% - Accent5 4 3 3 2 2 2" xfId="9903" xr:uid="{00000000-0005-0000-0000-0000DE260000}"/>
    <cellStyle name="20% - Accent5 4 3 3 2 2 2 2" xfId="9904" xr:uid="{00000000-0005-0000-0000-0000DF260000}"/>
    <cellStyle name="20% - Accent5 4 3 3 2 2 3" xfId="9905" xr:uid="{00000000-0005-0000-0000-0000E0260000}"/>
    <cellStyle name="20% - Accent5 4 3 3 2 3" xfId="9906" xr:uid="{00000000-0005-0000-0000-0000E1260000}"/>
    <cellStyle name="20% - Accent5 4 3 3 2 3 2" xfId="9907" xr:uid="{00000000-0005-0000-0000-0000E2260000}"/>
    <cellStyle name="20% - Accent5 4 3 3 2 4" xfId="9908" xr:uid="{00000000-0005-0000-0000-0000E3260000}"/>
    <cellStyle name="20% - Accent5 4 3 3 3" xfId="9909" xr:uid="{00000000-0005-0000-0000-0000E4260000}"/>
    <cellStyle name="20% - Accent5 4 3 3 3 2" xfId="9910" xr:uid="{00000000-0005-0000-0000-0000E5260000}"/>
    <cellStyle name="20% - Accent5 4 3 3 3 2 2" xfId="9911" xr:uid="{00000000-0005-0000-0000-0000E6260000}"/>
    <cellStyle name="20% - Accent5 4 3 3 3 3" xfId="9912" xr:uid="{00000000-0005-0000-0000-0000E7260000}"/>
    <cellStyle name="20% - Accent5 4 3 3 4" xfId="9913" xr:uid="{00000000-0005-0000-0000-0000E8260000}"/>
    <cellStyle name="20% - Accent5 4 3 3 4 2" xfId="9914" xr:uid="{00000000-0005-0000-0000-0000E9260000}"/>
    <cellStyle name="20% - Accent5 4 3 3 5" xfId="9915" xr:uid="{00000000-0005-0000-0000-0000EA260000}"/>
    <cellStyle name="20% - Accent5 4 3 4" xfId="9916" xr:uid="{00000000-0005-0000-0000-0000EB260000}"/>
    <cellStyle name="20% - Accent5 4 3 4 2" xfId="9917" xr:uid="{00000000-0005-0000-0000-0000EC260000}"/>
    <cellStyle name="20% - Accent5 4 3 4 2 2" xfId="9918" xr:uid="{00000000-0005-0000-0000-0000ED260000}"/>
    <cellStyle name="20% - Accent5 4 3 4 2 2 2" xfId="9919" xr:uid="{00000000-0005-0000-0000-0000EE260000}"/>
    <cellStyle name="20% - Accent5 4 3 4 2 3" xfId="9920" xr:uid="{00000000-0005-0000-0000-0000EF260000}"/>
    <cellStyle name="20% - Accent5 4 3 4 3" xfId="9921" xr:uid="{00000000-0005-0000-0000-0000F0260000}"/>
    <cellStyle name="20% - Accent5 4 3 4 3 2" xfId="9922" xr:uid="{00000000-0005-0000-0000-0000F1260000}"/>
    <cellStyle name="20% - Accent5 4 3 4 4" xfId="9923" xr:uid="{00000000-0005-0000-0000-0000F2260000}"/>
    <cellStyle name="20% - Accent5 4 3 5" xfId="9924" xr:uid="{00000000-0005-0000-0000-0000F3260000}"/>
    <cellStyle name="20% - Accent5 4 3 5 2" xfId="9925" xr:uid="{00000000-0005-0000-0000-0000F4260000}"/>
    <cellStyle name="20% - Accent5 4 3 5 2 2" xfId="9926" xr:uid="{00000000-0005-0000-0000-0000F5260000}"/>
    <cellStyle name="20% - Accent5 4 3 5 3" xfId="9927" xr:uid="{00000000-0005-0000-0000-0000F6260000}"/>
    <cellStyle name="20% - Accent5 4 3 6" xfId="9928" xr:uid="{00000000-0005-0000-0000-0000F7260000}"/>
    <cellStyle name="20% - Accent5 4 3 6 2" xfId="9929" xr:uid="{00000000-0005-0000-0000-0000F8260000}"/>
    <cellStyle name="20% - Accent5 4 3 7" xfId="9930" xr:uid="{00000000-0005-0000-0000-0000F9260000}"/>
    <cellStyle name="20% - Accent5 4 4" xfId="9931" xr:uid="{00000000-0005-0000-0000-0000FA260000}"/>
    <cellStyle name="20% - Accent5 4 4 2" xfId="9932" xr:uid="{00000000-0005-0000-0000-0000FB260000}"/>
    <cellStyle name="20% - Accent5 4 4 2 2" xfId="9933" xr:uid="{00000000-0005-0000-0000-0000FC260000}"/>
    <cellStyle name="20% - Accent5 4 4 2 2 2" xfId="9934" xr:uid="{00000000-0005-0000-0000-0000FD260000}"/>
    <cellStyle name="20% - Accent5 4 4 2 2 2 2" xfId="9935" xr:uid="{00000000-0005-0000-0000-0000FE260000}"/>
    <cellStyle name="20% - Accent5 4 4 2 2 2 2 2" xfId="9936" xr:uid="{00000000-0005-0000-0000-0000FF260000}"/>
    <cellStyle name="20% - Accent5 4 4 2 2 2 3" xfId="9937" xr:uid="{00000000-0005-0000-0000-000000270000}"/>
    <cellStyle name="20% - Accent5 4 4 2 2 3" xfId="9938" xr:uid="{00000000-0005-0000-0000-000001270000}"/>
    <cellStyle name="20% - Accent5 4 4 2 2 3 2" xfId="9939" xr:uid="{00000000-0005-0000-0000-000002270000}"/>
    <cellStyle name="20% - Accent5 4 4 2 2 4" xfId="9940" xr:uid="{00000000-0005-0000-0000-000003270000}"/>
    <cellStyle name="20% - Accent5 4 4 2 3" xfId="9941" xr:uid="{00000000-0005-0000-0000-000004270000}"/>
    <cellStyle name="20% - Accent5 4 4 2 3 2" xfId="9942" xr:uid="{00000000-0005-0000-0000-000005270000}"/>
    <cellStyle name="20% - Accent5 4 4 2 3 2 2" xfId="9943" xr:uid="{00000000-0005-0000-0000-000006270000}"/>
    <cellStyle name="20% - Accent5 4 4 2 3 3" xfId="9944" xr:uid="{00000000-0005-0000-0000-000007270000}"/>
    <cellStyle name="20% - Accent5 4 4 2 4" xfId="9945" xr:uid="{00000000-0005-0000-0000-000008270000}"/>
    <cellStyle name="20% - Accent5 4 4 2 4 2" xfId="9946" xr:uid="{00000000-0005-0000-0000-000009270000}"/>
    <cellStyle name="20% - Accent5 4 4 2 5" xfId="9947" xr:uid="{00000000-0005-0000-0000-00000A270000}"/>
    <cellStyle name="20% - Accent5 4 4 3" xfId="9948" xr:uid="{00000000-0005-0000-0000-00000B270000}"/>
    <cellStyle name="20% - Accent5 4 4 3 2" xfId="9949" xr:uid="{00000000-0005-0000-0000-00000C270000}"/>
    <cellStyle name="20% - Accent5 4 4 3 2 2" xfId="9950" xr:uid="{00000000-0005-0000-0000-00000D270000}"/>
    <cellStyle name="20% - Accent5 4 4 3 2 2 2" xfId="9951" xr:uid="{00000000-0005-0000-0000-00000E270000}"/>
    <cellStyle name="20% - Accent5 4 4 3 2 3" xfId="9952" xr:uid="{00000000-0005-0000-0000-00000F270000}"/>
    <cellStyle name="20% - Accent5 4 4 3 3" xfId="9953" xr:uid="{00000000-0005-0000-0000-000010270000}"/>
    <cellStyle name="20% - Accent5 4 4 3 3 2" xfId="9954" xr:uid="{00000000-0005-0000-0000-000011270000}"/>
    <cellStyle name="20% - Accent5 4 4 3 4" xfId="9955" xr:uid="{00000000-0005-0000-0000-000012270000}"/>
    <cellStyle name="20% - Accent5 4 4 4" xfId="9956" xr:uid="{00000000-0005-0000-0000-000013270000}"/>
    <cellStyle name="20% - Accent5 4 4 4 2" xfId="9957" xr:uid="{00000000-0005-0000-0000-000014270000}"/>
    <cellStyle name="20% - Accent5 4 4 4 2 2" xfId="9958" xr:uid="{00000000-0005-0000-0000-000015270000}"/>
    <cellStyle name="20% - Accent5 4 4 4 3" xfId="9959" xr:uid="{00000000-0005-0000-0000-000016270000}"/>
    <cellStyle name="20% - Accent5 4 4 5" xfId="9960" xr:uid="{00000000-0005-0000-0000-000017270000}"/>
    <cellStyle name="20% - Accent5 4 4 5 2" xfId="9961" xr:uid="{00000000-0005-0000-0000-000018270000}"/>
    <cellStyle name="20% - Accent5 4 4 6" xfId="9962" xr:uid="{00000000-0005-0000-0000-000019270000}"/>
    <cellStyle name="20% - Accent5 4 5" xfId="9963" xr:uid="{00000000-0005-0000-0000-00001A270000}"/>
    <cellStyle name="20% - Accent5 4 5 2" xfId="9964" xr:uid="{00000000-0005-0000-0000-00001B270000}"/>
    <cellStyle name="20% - Accent5 4 5 2 2" xfId="9965" xr:uid="{00000000-0005-0000-0000-00001C270000}"/>
    <cellStyle name="20% - Accent5 4 5 2 2 2" xfId="9966" xr:uid="{00000000-0005-0000-0000-00001D270000}"/>
    <cellStyle name="20% - Accent5 4 5 2 2 2 2" xfId="9967" xr:uid="{00000000-0005-0000-0000-00001E270000}"/>
    <cellStyle name="20% - Accent5 4 5 2 2 3" xfId="9968" xr:uid="{00000000-0005-0000-0000-00001F270000}"/>
    <cellStyle name="20% - Accent5 4 5 2 3" xfId="9969" xr:uid="{00000000-0005-0000-0000-000020270000}"/>
    <cellStyle name="20% - Accent5 4 5 2 3 2" xfId="9970" xr:uid="{00000000-0005-0000-0000-000021270000}"/>
    <cellStyle name="20% - Accent5 4 5 2 4" xfId="9971" xr:uid="{00000000-0005-0000-0000-000022270000}"/>
    <cellStyle name="20% - Accent5 4 5 3" xfId="9972" xr:uid="{00000000-0005-0000-0000-000023270000}"/>
    <cellStyle name="20% - Accent5 4 5 3 2" xfId="9973" xr:uid="{00000000-0005-0000-0000-000024270000}"/>
    <cellStyle name="20% - Accent5 4 5 3 2 2" xfId="9974" xr:uid="{00000000-0005-0000-0000-000025270000}"/>
    <cellStyle name="20% - Accent5 4 5 3 3" xfId="9975" xr:uid="{00000000-0005-0000-0000-000026270000}"/>
    <cellStyle name="20% - Accent5 4 5 4" xfId="9976" xr:uid="{00000000-0005-0000-0000-000027270000}"/>
    <cellStyle name="20% - Accent5 4 5 4 2" xfId="9977" xr:uid="{00000000-0005-0000-0000-000028270000}"/>
    <cellStyle name="20% - Accent5 4 5 5" xfId="9978" xr:uid="{00000000-0005-0000-0000-000029270000}"/>
    <cellStyle name="20% - Accent5 4 6" xfId="9979" xr:uid="{00000000-0005-0000-0000-00002A270000}"/>
    <cellStyle name="20% - Accent5 4 6 2" xfId="9980" xr:uid="{00000000-0005-0000-0000-00002B270000}"/>
    <cellStyle name="20% - Accent5 4 6 2 2" xfId="9981" xr:uid="{00000000-0005-0000-0000-00002C270000}"/>
    <cellStyle name="20% - Accent5 4 6 2 2 2" xfId="9982" xr:uid="{00000000-0005-0000-0000-00002D270000}"/>
    <cellStyle name="20% - Accent5 4 6 2 3" xfId="9983" xr:uid="{00000000-0005-0000-0000-00002E270000}"/>
    <cellStyle name="20% - Accent5 4 6 3" xfId="9984" xr:uid="{00000000-0005-0000-0000-00002F270000}"/>
    <cellStyle name="20% - Accent5 4 6 3 2" xfId="9985" xr:uid="{00000000-0005-0000-0000-000030270000}"/>
    <cellStyle name="20% - Accent5 4 6 4" xfId="9986" xr:uid="{00000000-0005-0000-0000-000031270000}"/>
    <cellStyle name="20% - Accent5 4 7" xfId="9987" xr:uid="{00000000-0005-0000-0000-000032270000}"/>
    <cellStyle name="20% - Accent5 4 7 2" xfId="9988" xr:uid="{00000000-0005-0000-0000-000033270000}"/>
    <cellStyle name="20% - Accent5 4 7 2 2" xfId="9989" xr:uid="{00000000-0005-0000-0000-000034270000}"/>
    <cellStyle name="20% - Accent5 4 7 3" xfId="9990" xr:uid="{00000000-0005-0000-0000-000035270000}"/>
    <cellStyle name="20% - Accent5 4 8" xfId="9991" xr:uid="{00000000-0005-0000-0000-000036270000}"/>
    <cellStyle name="20% - Accent5 4 8 2" xfId="9992" xr:uid="{00000000-0005-0000-0000-000037270000}"/>
    <cellStyle name="20% - Accent5 4 9" xfId="9993" xr:uid="{00000000-0005-0000-0000-000038270000}"/>
    <cellStyle name="20% - Accent5 5" xfId="9994" xr:uid="{00000000-0005-0000-0000-000039270000}"/>
    <cellStyle name="20% - Accent5 5 2" xfId="9995" xr:uid="{00000000-0005-0000-0000-00003A270000}"/>
    <cellStyle name="20% - Accent5 5 2 2" xfId="9996" xr:uid="{00000000-0005-0000-0000-00003B270000}"/>
    <cellStyle name="20% - Accent5 5 2 2 2" xfId="9997" xr:uid="{00000000-0005-0000-0000-00003C270000}"/>
    <cellStyle name="20% - Accent5 5 2 2 2 2" xfId="9998" xr:uid="{00000000-0005-0000-0000-00003D270000}"/>
    <cellStyle name="20% - Accent5 5 2 2 2 2 2" xfId="9999" xr:uid="{00000000-0005-0000-0000-00003E270000}"/>
    <cellStyle name="20% - Accent5 5 2 2 2 2 2 2" xfId="10000" xr:uid="{00000000-0005-0000-0000-00003F270000}"/>
    <cellStyle name="20% - Accent5 5 2 2 2 2 2 2 2" xfId="10001" xr:uid="{00000000-0005-0000-0000-000040270000}"/>
    <cellStyle name="20% - Accent5 5 2 2 2 2 2 3" xfId="10002" xr:uid="{00000000-0005-0000-0000-000041270000}"/>
    <cellStyle name="20% - Accent5 5 2 2 2 2 3" xfId="10003" xr:uid="{00000000-0005-0000-0000-000042270000}"/>
    <cellStyle name="20% - Accent5 5 2 2 2 2 3 2" xfId="10004" xr:uid="{00000000-0005-0000-0000-000043270000}"/>
    <cellStyle name="20% - Accent5 5 2 2 2 2 4" xfId="10005" xr:uid="{00000000-0005-0000-0000-000044270000}"/>
    <cellStyle name="20% - Accent5 5 2 2 2 3" xfId="10006" xr:uid="{00000000-0005-0000-0000-000045270000}"/>
    <cellStyle name="20% - Accent5 5 2 2 2 3 2" xfId="10007" xr:uid="{00000000-0005-0000-0000-000046270000}"/>
    <cellStyle name="20% - Accent5 5 2 2 2 3 2 2" xfId="10008" xr:uid="{00000000-0005-0000-0000-000047270000}"/>
    <cellStyle name="20% - Accent5 5 2 2 2 3 3" xfId="10009" xr:uid="{00000000-0005-0000-0000-000048270000}"/>
    <cellStyle name="20% - Accent5 5 2 2 2 4" xfId="10010" xr:uid="{00000000-0005-0000-0000-000049270000}"/>
    <cellStyle name="20% - Accent5 5 2 2 2 4 2" xfId="10011" xr:uid="{00000000-0005-0000-0000-00004A270000}"/>
    <cellStyle name="20% - Accent5 5 2 2 2 5" xfId="10012" xr:uid="{00000000-0005-0000-0000-00004B270000}"/>
    <cellStyle name="20% - Accent5 5 2 2 3" xfId="10013" xr:uid="{00000000-0005-0000-0000-00004C270000}"/>
    <cellStyle name="20% - Accent5 5 2 2 3 2" xfId="10014" xr:uid="{00000000-0005-0000-0000-00004D270000}"/>
    <cellStyle name="20% - Accent5 5 2 2 3 2 2" xfId="10015" xr:uid="{00000000-0005-0000-0000-00004E270000}"/>
    <cellStyle name="20% - Accent5 5 2 2 3 2 2 2" xfId="10016" xr:uid="{00000000-0005-0000-0000-00004F270000}"/>
    <cellStyle name="20% - Accent5 5 2 2 3 2 3" xfId="10017" xr:uid="{00000000-0005-0000-0000-000050270000}"/>
    <cellStyle name="20% - Accent5 5 2 2 3 3" xfId="10018" xr:uid="{00000000-0005-0000-0000-000051270000}"/>
    <cellStyle name="20% - Accent5 5 2 2 3 3 2" xfId="10019" xr:uid="{00000000-0005-0000-0000-000052270000}"/>
    <cellStyle name="20% - Accent5 5 2 2 3 4" xfId="10020" xr:uid="{00000000-0005-0000-0000-000053270000}"/>
    <cellStyle name="20% - Accent5 5 2 2 4" xfId="10021" xr:uid="{00000000-0005-0000-0000-000054270000}"/>
    <cellStyle name="20% - Accent5 5 2 2 4 2" xfId="10022" xr:uid="{00000000-0005-0000-0000-000055270000}"/>
    <cellStyle name="20% - Accent5 5 2 2 4 2 2" xfId="10023" xr:uid="{00000000-0005-0000-0000-000056270000}"/>
    <cellStyle name="20% - Accent5 5 2 2 4 3" xfId="10024" xr:uid="{00000000-0005-0000-0000-000057270000}"/>
    <cellStyle name="20% - Accent5 5 2 2 5" xfId="10025" xr:uid="{00000000-0005-0000-0000-000058270000}"/>
    <cellStyle name="20% - Accent5 5 2 2 5 2" xfId="10026" xr:uid="{00000000-0005-0000-0000-000059270000}"/>
    <cellStyle name="20% - Accent5 5 2 2 6" xfId="10027" xr:uid="{00000000-0005-0000-0000-00005A270000}"/>
    <cellStyle name="20% - Accent5 5 2 3" xfId="10028" xr:uid="{00000000-0005-0000-0000-00005B270000}"/>
    <cellStyle name="20% - Accent5 5 2 3 2" xfId="10029" xr:uid="{00000000-0005-0000-0000-00005C270000}"/>
    <cellStyle name="20% - Accent5 5 2 3 2 2" xfId="10030" xr:uid="{00000000-0005-0000-0000-00005D270000}"/>
    <cellStyle name="20% - Accent5 5 2 3 2 2 2" xfId="10031" xr:uid="{00000000-0005-0000-0000-00005E270000}"/>
    <cellStyle name="20% - Accent5 5 2 3 2 2 2 2" xfId="10032" xr:uid="{00000000-0005-0000-0000-00005F270000}"/>
    <cellStyle name="20% - Accent5 5 2 3 2 2 3" xfId="10033" xr:uid="{00000000-0005-0000-0000-000060270000}"/>
    <cellStyle name="20% - Accent5 5 2 3 2 3" xfId="10034" xr:uid="{00000000-0005-0000-0000-000061270000}"/>
    <cellStyle name="20% - Accent5 5 2 3 2 3 2" xfId="10035" xr:uid="{00000000-0005-0000-0000-000062270000}"/>
    <cellStyle name="20% - Accent5 5 2 3 2 4" xfId="10036" xr:uid="{00000000-0005-0000-0000-000063270000}"/>
    <cellStyle name="20% - Accent5 5 2 3 3" xfId="10037" xr:uid="{00000000-0005-0000-0000-000064270000}"/>
    <cellStyle name="20% - Accent5 5 2 3 3 2" xfId="10038" xr:uid="{00000000-0005-0000-0000-000065270000}"/>
    <cellStyle name="20% - Accent5 5 2 3 3 2 2" xfId="10039" xr:uid="{00000000-0005-0000-0000-000066270000}"/>
    <cellStyle name="20% - Accent5 5 2 3 3 3" xfId="10040" xr:uid="{00000000-0005-0000-0000-000067270000}"/>
    <cellStyle name="20% - Accent5 5 2 3 4" xfId="10041" xr:uid="{00000000-0005-0000-0000-000068270000}"/>
    <cellStyle name="20% - Accent5 5 2 3 4 2" xfId="10042" xr:uid="{00000000-0005-0000-0000-000069270000}"/>
    <cellStyle name="20% - Accent5 5 2 3 5" xfId="10043" xr:uid="{00000000-0005-0000-0000-00006A270000}"/>
    <cellStyle name="20% - Accent5 5 2 4" xfId="10044" xr:uid="{00000000-0005-0000-0000-00006B270000}"/>
    <cellStyle name="20% - Accent5 5 2 4 2" xfId="10045" xr:uid="{00000000-0005-0000-0000-00006C270000}"/>
    <cellStyle name="20% - Accent5 5 2 4 2 2" xfId="10046" xr:uid="{00000000-0005-0000-0000-00006D270000}"/>
    <cellStyle name="20% - Accent5 5 2 4 2 2 2" xfId="10047" xr:uid="{00000000-0005-0000-0000-00006E270000}"/>
    <cellStyle name="20% - Accent5 5 2 4 2 3" xfId="10048" xr:uid="{00000000-0005-0000-0000-00006F270000}"/>
    <cellStyle name="20% - Accent5 5 2 4 3" xfId="10049" xr:uid="{00000000-0005-0000-0000-000070270000}"/>
    <cellStyle name="20% - Accent5 5 2 4 3 2" xfId="10050" xr:uid="{00000000-0005-0000-0000-000071270000}"/>
    <cellStyle name="20% - Accent5 5 2 4 4" xfId="10051" xr:uid="{00000000-0005-0000-0000-000072270000}"/>
    <cellStyle name="20% - Accent5 5 2 5" xfId="10052" xr:uid="{00000000-0005-0000-0000-000073270000}"/>
    <cellStyle name="20% - Accent5 5 2 5 2" xfId="10053" xr:uid="{00000000-0005-0000-0000-000074270000}"/>
    <cellStyle name="20% - Accent5 5 2 5 2 2" xfId="10054" xr:uid="{00000000-0005-0000-0000-000075270000}"/>
    <cellStyle name="20% - Accent5 5 2 5 3" xfId="10055" xr:uid="{00000000-0005-0000-0000-000076270000}"/>
    <cellStyle name="20% - Accent5 5 2 6" xfId="10056" xr:uid="{00000000-0005-0000-0000-000077270000}"/>
    <cellStyle name="20% - Accent5 5 2 6 2" xfId="10057" xr:uid="{00000000-0005-0000-0000-000078270000}"/>
    <cellStyle name="20% - Accent5 5 2 7" xfId="10058" xr:uid="{00000000-0005-0000-0000-000079270000}"/>
    <cellStyle name="20% - Accent5 5 3" xfId="10059" xr:uid="{00000000-0005-0000-0000-00007A270000}"/>
    <cellStyle name="20% - Accent5 5 3 2" xfId="10060" xr:uid="{00000000-0005-0000-0000-00007B270000}"/>
    <cellStyle name="20% - Accent5 5 3 2 2" xfId="10061" xr:uid="{00000000-0005-0000-0000-00007C270000}"/>
    <cellStyle name="20% - Accent5 5 3 2 2 2" xfId="10062" xr:uid="{00000000-0005-0000-0000-00007D270000}"/>
    <cellStyle name="20% - Accent5 5 3 2 2 2 2" xfId="10063" xr:uid="{00000000-0005-0000-0000-00007E270000}"/>
    <cellStyle name="20% - Accent5 5 3 2 2 2 2 2" xfId="10064" xr:uid="{00000000-0005-0000-0000-00007F270000}"/>
    <cellStyle name="20% - Accent5 5 3 2 2 2 3" xfId="10065" xr:uid="{00000000-0005-0000-0000-000080270000}"/>
    <cellStyle name="20% - Accent5 5 3 2 2 3" xfId="10066" xr:uid="{00000000-0005-0000-0000-000081270000}"/>
    <cellStyle name="20% - Accent5 5 3 2 2 3 2" xfId="10067" xr:uid="{00000000-0005-0000-0000-000082270000}"/>
    <cellStyle name="20% - Accent5 5 3 2 2 4" xfId="10068" xr:uid="{00000000-0005-0000-0000-000083270000}"/>
    <cellStyle name="20% - Accent5 5 3 2 3" xfId="10069" xr:uid="{00000000-0005-0000-0000-000084270000}"/>
    <cellStyle name="20% - Accent5 5 3 2 3 2" xfId="10070" xr:uid="{00000000-0005-0000-0000-000085270000}"/>
    <cellStyle name="20% - Accent5 5 3 2 3 2 2" xfId="10071" xr:uid="{00000000-0005-0000-0000-000086270000}"/>
    <cellStyle name="20% - Accent5 5 3 2 3 3" xfId="10072" xr:uid="{00000000-0005-0000-0000-000087270000}"/>
    <cellStyle name="20% - Accent5 5 3 2 4" xfId="10073" xr:uid="{00000000-0005-0000-0000-000088270000}"/>
    <cellStyle name="20% - Accent5 5 3 2 4 2" xfId="10074" xr:uid="{00000000-0005-0000-0000-000089270000}"/>
    <cellStyle name="20% - Accent5 5 3 2 5" xfId="10075" xr:uid="{00000000-0005-0000-0000-00008A270000}"/>
    <cellStyle name="20% - Accent5 5 3 3" xfId="10076" xr:uid="{00000000-0005-0000-0000-00008B270000}"/>
    <cellStyle name="20% - Accent5 5 3 3 2" xfId="10077" xr:uid="{00000000-0005-0000-0000-00008C270000}"/>
    <cellStyle name="20% - Accent5 5 3 3 2 2" xfId="10078" xr:uid="{00000000-0005-0000-0000-00008D270000}"/>
    <cellStyle name="20% - Accent5 5 3 3 2 2 2" xfId="10079" xr:uid="{00000000-0005-0000-0000-00008E270000}"/>
    <cellStyle name="20% - Accent5 5 3 3 2 3" xfId="10080" xr:uid="{00000000-0005-0000-0000-00008F270000}"/>
    <cellStyle name="20% - Accent5 5 3 3 3" xfId="10081" xr:uid="{00000000-0005-0000-0000-000090270000}"/>
    <cellStyle name="20% - Accent5 5 3 3 3 2" xfId="10082" xr:uid="{00000000-0005-0000-0000-000091270000}"/>
    <cellStyle name="20% - Accent5 5 3 3 4" xfId="10083" xr:uid="{00000000-0005-0000-0000-000092270000}"/>
    <cellStyle name="20% - Accent5 5 3 4" xfId="10084" xr:uid="{00000000-0005-0000-0000-000093270000}"/>
    <cellStyle name="20% - Accent5 5 3 4 2" xfId="10085" xr:uid="{00000000-0005-0000-0000-000094270000}"/>
    <cellStyle name="20% - Accent5 5 3 4 2 2" xfId="10086" xr:uid="{00000000-0005-0000-0000-000095270000}"/>
    <cellStyle name="20% - Accent5 5 3 4 3" xfId="10087" xr:uid="{00000000-0005-0000-0000-000096270000}"/>
    <cellStyle name="20% - Accent5 5 3 5" xfId="10088" xr:uid="{00000000-0005-0000-0000-000097270000}"/>
    <cellStyle name="20% - Accent5 5 3 5 2" xfId="10089" xr:uid="{00000000-0005-0000-0000-000098270000}"/>
    <cellStyle name="20% - Accent5 5 3 6" xfId="10090" xr:uid="{00000000-0005-0000-0000-000099270000}"/>
    <cellStyle name="20% - Accent5 5 4" xfId="10091" xr:uid="{00000000-0005-0000-0000-00009A270000}"/>
    <cellStyle name="20% - Accent5 5 4 2" xfId="10092" xr:uid="{00000000-0005-0000-0000-00009B270000}"/>
    <cellStyle name="20% - Accent5 5 4 2 2" xfId="10093" xr:uid="{00000000-0005-0000-0000-00009C270000}"/>
    <cellStyle name="20% - Accent5 5 4 2 2 2" xfId="10094" xr:uid="{00000000-0005-0000-0000-00009D270000}"/>
    <cellStyle name="20% - Accent5 5 4 2 2 2 2" xfId="10095" xr:uid="{00000000-0005-0000-0000-00009E270000}"/>
    <cellStyle name="20% - Accent5 5 4 2 2 3" xfId="10096" xr:uid="{00000000-0005-0000-0000-00009F270000}"/>
    <cellStyle name="20% - Accent5 5 4 2 3" xfId="10097" xr:uid="{00000000-0005-0000-0000-0000A0270000}"/>
    <cellStyle name="20% - Accent5 5 4 2 3 2" xfId="10098" xr:uid="{00000000-0005-0000-0000-0000A1270000}"/>
    <cellStyle name="20% - Accent5 5 4 2 4" xfId="10099" xr:uid="{00000000-0005-0000-0000-0000A2270000}"/>
    <cellStyle name="20% - Accent5 5 4 3" xfId="10100" xr:uid="{00000000-0005-0000-0000-0000A3270000}"/>
    <cellStyle name="20% - Accent5 5 4 3 2" xfId="10101" xr:uid="{00000000-0005-0000-0000-0000A4270000}"/>
    <cellStyle name="20% - Accent5 5 4 3 2 2" xfId="10102" xr:uid="{00000000-0005-0000-0000-0000A5270000}"/>
    <cellStyle name="20% - Accent5 5 4 3 3" xfId="10103" xr:uid="{00000000-0005-0000-0000-0000A6270000}"/>
    <cellStyle name="20% - Accent5 5 4 4" xfId="10104" xr:uid="{00000000-0005-0000-0000-0000A7270000}"/>
    <cellStyle name="20% - Accent5 5 4 4 2" xfId="10105" xr:uid="{00000000-0005-0000-0000-0000A8270000}"/>
    <cellStyle name="20% - Accent5 5 4 5" xfId="10106" xr:uid="{00000000-0005-0000-0000-0000A9270000}"/>
    <cellStyle name="20% - Accent5 5 5" xfId="10107" xr:uid="{00000000-0005-0000-0000-0000AA270000}"/>
    <cellStyle name="20% - Accent5 5 5 2" xfId="10108" xr:uid="{00000000-0005-0000-0000-0000AB270000}"/>
    <cellStyle name="20% - Accent5 5 5 2 2" xfId="10109" xr:uid="{00000000-0005-0000-0000-0000AC270000}"/>
    <cellStyle name="20% - Accent5 5 5 2 2 2" xfId="10110" xr:uid="{00000000-0005-0000-0000-0000AD270000}"/>
    <cellStyle name="20% - Accent5 5 5 2 3" xfId="10111" xr:uid="{00000000-0005-0000-0000-0000AE270000}"/>
    <cellStyle name="20% - Accent5 5 5 3" xfId="10112" xr:uid="{00000000-0005-0000-0000-0000AF270000}"/>
    <cellStyle name="20% - Accent5 5 5 3 2" xfId="10113" xr:uid="{00000000-0005-0000-0000-0000B0270000}"/>
    <cellStyle name="20% - Accent5 5 5 4" xfId="10114" xr:uid="{00000000-0005-0000-0000-0000B1270000}"/>
    <cellStyle name="20% - Accent5 5 6" xfId="10115" xr:uid="{00000000-0005-0000-0000-0000B2270000}"/>
    <cellStyle name="20% - Accent5 5 6 2" xfId="10116" xr:uid="{00000000-0005-0000-0000-0000B3270000}"/>
    <cellStyle name="20% - Accent5 5 6 2 2" xfId="10117" xr:uid="{00000000-0005-0000-0000-0000B4270000}"/>
    <cellStyle name="20% - Accent5 5 6 3" xfId="10118" xr:uid="{00000000-0005-0000-0000-0000B5270000}"/>
    <cellStyle name="20% - Accent5 5 7" xfId="10119" xr:uid="{00000000-0005-0000-0000-0000B6270000}"/>
    <cellStyle name="20% - Accent5 5 7 2" xfId="10120" xr:uid="{00000000-0005-0000-0000-0000B7270000}"/>
    <cellStyle name="20% - Accent5 5 8" xfId="10121" xr:uid="{00000000-0005-0000-0000-0000B8270000}"/>
    <cellStyle name="20% - Accent5 6" xfId="10122" xr:uid="{00000000-0005-0000-0000-0000B9270000}"/>
    <cellStyle name="20% - Accent5 6 2" xfId="10123" xr:uid="{00000000-0005-0000-0000-0000BA270000}"/>
    <cellStyle name="20% - Accent5 6 2 2" xfId="10124" xr:uid="{00000000-0005-0000-0000-0000BB270000}"/>
    <cellStyle name="20% - Accent5 6 2 2 2" xfId="10125" xr:uid="{00000000-0005-0000-0000-0000BC270000}"/>
    <cellStyle name="20% - Accent5 6 2 2 2 2" xfId="10126" xr:uid="{00000000-0005-0000-0000-0000BD270000}"/>
    <cellStyle name="20% - Accent5 6 2 2 2 2 2" xfId="10127" xr:uid="{00000000-0005-0000-0000-0000BE270000}"/>
    <cellStyle name="20% - Accent5 6 2 2 2 2 2 2" xfId="10128" xr:uid="{00000000-0005-0000-0000-0000BF270000}"/>
    <cellStyle name="20% - Accent5 6 2 2 2 2 3" xfId="10129" xr:uid="{00000000-0005-0000-0000-0000C0270000}"/>
    <cellStyle name="20% - Accent5 6 2 2 2 3" xfId="10130" xr:uid="{00000000-0005-0000-0000-0000C1270000}"/>
    <cellStyle name="20% - Accent5 6 2 2 2 3 2" xfId="10131" xr:uid="{00000000-0005-0000-0000-0000C2270000}"/>
    <cellStyle name="20% - Accent5 6 2 2 2 4" xfId="10132" xr:uid="{00000000-0005-0000-0000-0000C3270000}"/>
    <cellStyle name="20% - Accent5 6 2 2 3" xfId="10133" xr:uid="{00000000-0005-0000-0000-0000C4270000}"/>
    <cellStyle name="20% - Accent5 6 2 2 3 2" xfId="10134" xr:uid="{00000000-0005-0000-0000-0000C5270000}"/>
    <cellStyle name="20% - Accent5 6 2 2 3 2 2" xfId="10135" xr:uid="{00000000-0005-0000-0000-0000C6270000}"/>
    <cellStyle name="20% - Accent5 6 2 2 3 3" xfId="10136" xr:uid="{00000000-0005-0000-0000-0000C7270000}"/>
    <cellStyle name="20% - Accent5 6 2 2 4" xfId="10137" xr:uid="{00000000-0005-0000-0000-0000C8270000}"/>
    <cellStyle name="20% - Accent5 6 2 2 4 2" xfId="10138" xr:uid="{00000000-0005-0000-0000-0000C9270000}"/>
    <cellStyle name="20% - Accent5 6 2 2 5" xfId="10139" xr:uid="{00000000-0005-0000-0000-0000CA270000}"/>
    <cellStyle name="20% - Accent5 6 2 3" xfId="10140" xr:uid="{00000000-0005-0000-0000-0000CB270000}"/>
    <cellStyle name="20% - Accent5 6 2 3 2" xfId="10141" xr:uid="{00000000-0005-0000-0000-0000CC270000}"/>
    <cellStyle name="20% - Accent5 6 2 3 2 2" xfId="10142" xr:uid="{00000000-0005-0000-0000-0000CD270000}"/>
    <cellStyle name="20% - Accent5 6 2 3 2 2 2" xfId="10143" xr:uid="{00000000-0005-0000-0000-0000CE270000}"/>
    <cellStyle name="20% - Accent5 6 2 3 2 3" xfId="10144" xr:uid="{00000000-0005-0000-0000-0000CF270000}"/>
    <cellStyle name="20% - Accent5 6 2 3 3" xfId="10145" xr:uid="{00000000-0005-0000-0000-0000D0270000}"/>
    <cellStyle name="20% - Accent5 6 2 3 3 2" xfId="10146" xr:uid="{00000000-0005-0000-0000-0000D1270000}"/>
    <cellStyle name="20% - Accent5 6 2 3 4" xfId="10147" xr:uid="{00000000-0005-0000-0000-0000D2270000}"/>
    <cellStyle name="20% - Accent5 6 2 4" xfId="10148" xr:uid="{00000000-0005-0000-0000-0000D3270000}"/>
    <cellStyle name="20% - Accent5 6 2 4 2" xfId="10149" xr:uid="{00000000-0005-0000-0000-0000D4270000}"/>
    <cellStyle name="20% - Accent5 6 2 4 2 2" xfId="10150" xr:uid="{00000000-0005-0000-0000-0000D5270000}"/>
    <cellStyle name="20% - Accent5 6 2 4 3" xfId="10151" xr:uid="{00000000-0005-0000-0000-0000D6270000}"/>
    <cellStyle name="20% - Accent5 6 2 5" xfId="10152" xr:uid="{00000000-0005-0000-0000-0000D7270000}"/>
    <cellStyle name="20% - Accent5 6 2 5 2" xfId="10153" xr:uid="{00000000-0005-0000-0000-0000D8270000}"/>
    <cellStyle name="20% - Accent5 6 2 6" xfId="10154" xr:uid="{00000000-0005-0000-0000-0000D9270000}"/>
    <cellStyle name="20% - Accent5 6 3" xfId="10155" xr:uid="{00000000-0005-0000-0000-0000DA270000}"/>
    <cellStyle name="20% - Accent5 6 3 2" xfId="10156" xr:uid="{00000000-0005-0000-0000-0000DB270000}"/>
    <cellStyle name="20% - Accent5 6 3 2 2" xfId="10157" xr:uid="{00000000-0005-0000-0000-0000DC270000}"/>
    <cellStyle name="20% - Accent5 6 3 2 2 2" xfId="10158" xr:uid="{00000000-0005-0000-0000-0000DD270000}"/>
    <cellStyle name="20% - Accent5 6 3 2 2 2 2" xfId="10159" xr:uid="{00000000-0005-0000-0000-0000DE270000}"/>
    <cellStyle name="20% - Accent5 6 3 2 2 3" xfId="10160" xr:uid="{00000000-0005-0000-0000-0000DF270000}"/>
    <cellStyle name="20% - Accent5 6 3 2 3" xfId="10161" xr:uid="{00000000-0005-0000-0000-0000E0270000}"/>
    <cellStyle name="20% - Accent5 6 3 2 3 2" xfId="10162" xr:uid="{00000000-0005-0000-0000-0000E1270000}"/>
    <cellStyle name="20% - Accent5 6 3 2 4" xfId="10163" xr:uid="{00000000-0005-0000-0000-0000E2270000}"/>
    <cellStyle name="20% - Accent5 6 3 3" xfId="10164" xr:uid="{00000000-0005-0000-0000-0000E3270000}"/>
    <cellStyle name="20% - Accent5 6 3 3 2" xfId="10165" xr:uid="{00000000-0005-0000-0000-0000E4270000}"/>
    <cellStyle name="20% - Accent5 6 3 3 2 2" xfId="10166" xr:uid="{00000000-0005-0000-0000-0000E5270000}"/>
    <cellStyle name="20% - Accent5 6 3 3 3" xfId="10167" xr:uid="{00000000-0005-0000-0000-0000E6270000}"/>
    <cellStyle name="20% - Accent5 6 3 4" xfId="10168" xr:uid="{00000000-0005-0000-0000-0000E7270000}"/>
    <cellStyle name="20% - Accent5 6 3 4 2" xfId="10169" xr:uid="{00000000-0005-0000-0000-0000E8270000}"/>
    <cellStyle name="20% - Accent5 6 3 5" xfId="10170" xr:uid="{00000000-0005-0000-0000-0000E9270000}"/>
    <cellStyle name="20% - Accent5 6 4" xfId="10171" xr:uid="{00000000-0005-0000-0000-0000EA270000}"/>
    <cellStyle name="20% - Accent5 6 4 2" xfId="10172" xr:uid="{00000000-0005-0000-0000-0000EB270000}"/>
    <cellStyle name="20% - Accent5 6 4 2 2" xfId="10173" xr:uid="{00000000-0005-0000-0000-0000EC270000}"/>
    <cellStyle name="20% - Accent5 6 4 2 2 2" xfId="10174" xr:uid="{00000000-0005-0000-0000-0000ED270000}"/>
    <cellStyle name="20% - Accent5 6 4 2 3" xfId="10175" xr:uid="{00000000-0005-0000-0000-0000EE270000}"/>
    <cellStyle name="20% - Accent5 6 4 3" xfId="10176" xr:uid="{00000000-0005-0000-0000-0000EF270000}"/>
    <cellStyle name="20% - Accent5 6 4 3 2" xfId="10177" xr:uid="{00000000-0005-0000-0000-0000F0270000}"/>
    <cellStyle name="20% - Accent5 6 4 4" xfId="10178" xr:uid="{00000000-0005-0000-0000-0000F1270000}"/>
    <cellStyle name="20% - Accent5 6 5" xfId="10179" xr:uid="{00000000-0005-0000-0000-0000F2270000}"/>
    <cellStyle name="20% - Accent5 6 5 2" xfId="10180" xr:uid="{00000000-0005-0000-0000-0000F3270000}"/>
    <cellStyle name="20% - Accent5 6 5 2 2" xfId="10181" xr:uid="{00000000-0005-0000-0000-0000F4270000}"/>
    <cellStyle name="20% - Accent5 6 5 3" xfId="10182" xr:uid="{00000000-0005-0000-0000-0000F5270000}"/>
    <cellStyle name="20% - Accent5 6 6" xfId="10183" xr:uid="{00000000-0005-0000-0000-0000F6270000}"/>
    <cellStyle name="20% - Accent5 6 6 2" xfId="10184" xr:uid="{00000000-0005-0000-0000-0000F7270000}"/>
    <cellStyle name="20% - Accent5 6 7" xfId="10185" xr:uid="{00000000-0005-0000-0000-0000F8270000}"/>
    <cellStyle name="20% - Accent5 7" xfId="10186" xr:uid="{00000000-0005-0000-0000-0000F9270000}"/>
    <cellStyle name="20% - Accent5 7 2" xfId="10187" xr:uid="{00000000-0005-0000-0000-0000FA270000}"/>
    <cellStyle name="20% - Accent5 7 2 2" xfId="10188" xr:uid="{00000000-0005-0000-0000-0000FB270000}"/>
    <cellStyle name="20% - Accent5 7 2 2 2" xfId="10189" xr:uid="{00000000-0005-0000-0000-0000FC270000}"/>
    <cellStyle name="20% - Accent5 7 2 2 2 2" xfId="10190" xr:uid="{00000000-0005-0000-0000-0000FD270000}"/>
    <cellStyle name="20% - Accent5 7 2 2 2 2 2" xfId="10191" xr:uid="{00000000-0005-0000-0000-0000FE270000}"/>
    <cellStyle name="20% - Accent5 7 2 2 2 3" xfId="10192" xr:uid="{00000000-0005-0000-0000-0000FF270000}"/>
    <cellStyle name="20% - Accent5 7 2 2 3" xfId="10193" xr:uid="{00000000-0005-0000-0000-000000280000}"/>
    <cellStyle name="20% - Accent5 7 2 2 3 2" xfId="10194" xr:uid="{00000000-0005-0000-0000-000001280000}"/>
    <cellStyle name="20% - Accent5 7 2 2 4" xfId="10195" xr:uid="{00000000-0005-0000-0000-000002280000}"/>
    <cellStyle name="20% - Accent5 7 2 3" xfId="10196" xr:uid="{00000000-0005-0000-0000-000003280000}"/>
    <cellStyle name="20% - Accent5 7 2 3 2" xfId="10197" xr:uid="{00000000-0005-0000-0000-000004280000}"/>
    <cellStyle name="20% - Accent5 7 2 3 2 2" xfId="10198" xr:uid="{00000000-0005-0000-0000-000005280000}"/>
    <cellStyle name="20% - Accent5 7 2 3 3" xfId="10199" xr:uid="{00000000-0005-0000-0000-000006280000}"/>
    <cellStyle name="20% - Accent5 7 2 4" xfId="10200" xr:uid="{00000000-0005-0000-0000-000007280000}"/>
    <cellStyle name="20% - Accent5 7 2 4 2" xfId="10201" xr:uid="{00000000-0005-0000-0000-000008280000}"/>
    <cellStyle name="20% - Accent5 7 2 5" xfId="10202" xr:uid="{00000000-0005-0000-0000-000009280000}"/>
    <cellStyle name="20% - Accent5 7 3" xfId="10203" xr:uid="{00000000-0005-0000-0000-00000A280000}"/>
    <cellStyle name="20% - Accent5 7 3 2" xfId="10204" xr:uid="{00000000-0005-0000-0000-00000B280000}"/>
    <cellStyle name="20% - Accent5 7 3 2 2" xfId="10205" xr:uid="{00000000-0005-0000-0000-00000C280000}"/>
    <cellStyle name="20% - Accent5 7 3 2 2 2" xfId="10206" xr:uid="{00000000-0005-0000-0000-00000D280000}"/>
    <cellStyle name="20% - Accent5 7 3 2 3" xfId="10207" xr:uid="{00000000-0005-0000-0000-00000E280000}"/>
    <cellStyle name="20% - Accent5 7 3 3" xfId="10208" xr:uid="{00000000-0005-0000-0000-00000F280000}"/>
    <cellStyle name="20% - Accent5 7 3 3 2" xfId="10209" xr:uid="{00000000-0005-0000-0000-000010280000}"/>
    <cellStyle name="20% - Accent5 7 3 4" xfId="10210" xr:uid="{00000000-0005-0000-0000-000011280000}"/>
    <cellStyle name="20% - Accent5 7 4" xfId="10211" xr:uid="{00000000-0005-0000-0000-000012280000}"/>
    <cellStyle name="20% - Accent5 7 4 2" xfId="10212" xr:uid="{00000000-0005-0000-0000-000013280000}"/>
    <cellStyle name="20% - Accent5 7 4 2 2" xfId="10213" xr:uid="{00000000-0005-0000-0000-000014280000}"/>
    <cellStyle name="20% - Accent5 7 4 3" xfId="10214" xr:uid="{00000000-0005-0000-0000-000015280000}"/>
    <cellStyle name="20% - Accent5 7 5" xfId="10215" xr:uid="{00000000-0005-0000-0000-000016280000}"/>
    <cellStyle name="20% - Accent5 7 5 2" xfId="10216" xr:uid="{00000000-0005-0000-0000-000017280000}"/>
    <cellStyle name="20% - Accent5 7 6" xfId="10217" xr:uid="{00000000-0005-0000-0000-000018280000}"/>
    <cellStyle name="20% - Accent5 8" xfId="10218" xr:uid="{00000000-0005-0000-0000-000019280000}"/>
    <cellStyle name="20% - Accent5 8 2" xfId="10219" xr:uid="{00000000-0005-0000-0000-00001A280000}"/>
    <cellStyle name="20% - Accent5 8 2 2" xfId="10220" xr:uid="{00000000-0005-0000-0000-00001B280000}"/>
    <cellStyle name="20% - Accent5 8 2 2 2" xfId="10221" xr:uid="{00000000-0005-0000-0000-00001C280000}"/>
    <cellStyle name="20% - Accent5 8 2 2 2 2" xfId="10222" xr:uid="{00000000-0005-0000-0000-00001D280000}"/>
    <cellStyle name="20% - Accent5 8 2 2 3" xfId="10223" xr:uid="{00000000-0005-0000-0000-00001E280000}"/>
    <cellStyle name="20% - Accent5 8 2 3" xfId="10224" xr:uid="{00000000-0005-0000-0000-00001F280000}"/>
    <cellStyle name="20% - Accent5 8 2 3 2" xfId="10225" xr:uid="{00000000-0005-0000-0000-000020280000}"/>
    <cellStyle name="20% - Accent5 8 2 4" xfId="10226" xr:uid="{00000000-0005-0000-0000-000021280000}"/>
    <cellStyle name="20% - Accent5 8 3" xfId="10227" xr:uid="{00000000-0005-0000-0000-000022280000}"/>
    <cellStyle name="20% - Accent5 8 3 2" xfId="10228" xr:uid="{00000000-0005-0000-0000-000023280000}"/>
    <cellStyle name="20% - Accent5 8 3 2 2" xfId="10229" xr:uid="{00000000-0005-0000-0000-000024280000}"/>
    <cellStyle name="20% - Accent5 8 3 3" xfId="10230" xr:uid="{00000000-0005-0000-0000-000025280000}"/>
    <cellStyle name="20% - Accent5 8 4" xfId="10231" xr:uid="{00000000-0005-0000-0000-000026280000}"/>
    <cellStyle name="20% - Accent5 8 4 2" xfId="10232" xr:uid="{00000000-0005-0000-0000-000027280000}"/>
    <cellStyle name="20% - Accent5 8 5" xfId="10233" xr:uid="{00000000-0005-0000-0000-000028280000}"/>
    <cellStyle name="20% - Accent5 9" xfId="10234" xr:uid="{00000000-0005-0000-0000-000029280000}"/>
    <cellStyle name="20% - Accent5 9 2" xfId="10235" xr:uid="{00000000-0005-0000-0000-00002A280000}"/>
    <cellStyle name="20% - Accent5 9 2 2" xfId="10236" xr:uid="{00000000-0005-0000-0000-00002B280000}"/>
    <cellStyle name="20% - Accent5 9 2 2 2" xfId="10237" xr:uid="{00000000-0005-0000-0000-00002C280000}"/>
    <cellStyle name="20% - Accent5 9 2 3" xfId="10238" xr:uid="{00000000-0005-0000-0000-00002D280000}"/>
    <cellStyle name="20% - Accent5 9 3" xfId="10239" xr:uid="{00000000-0005-0000-0000-00002E280000}"/>
    <cellStyle name="20% - Accent5 9 3 2" xfId="10240" xr:uid="{00000000-0005-0000-0000-00002F280000}"/>
    <cellStyle name="20% - Accent5 9 4" xfId="10241" xr:uid="{00000000-0005-0000-0000-000030280000}"/>
    <cellStyle name="20% - Accent6 10" xfId="10242" xr:uid="{00000000-0005-0000-0000-000031280000}"/>
    <cellStyle name="20% - Accent6 10 2" xfId="10243" xr:uid="{00000000-0005-0000-0000-000032280000}"/>
    <cellStyle name="20% - Accent6 10 2 2" xfId="10244" xr:uid="{00000000-0005-0000-0000-000033280000}"/>
    <cellStyle name="20% - Accent6 10 3" xfId="10245" xr:uid="{00000000-0005-0000-0000-000034280000}"/>
    <cellStyle name="20% - Accent6 11" xfId="10246" xr:uid="{00000000-0005-0000-0000-000035280000}"/>
    <cellStyle name="20% - Accent6 11 2" xfId="10247" xr:uid="{00000000-0005-0000-0000-000036280000}"/>
    <cellStyle name="20% - Accent6 12" xfId="10248" xr:uid="{00000000-0005-0000-0000-000037280000}"/>
    <cellStyle name="20% - Accent6 13" xfId="10249" xr:uid="{00000000-0005-0000-0000-000038280000}"/>
    <cellStyle name="20% - Accent6 2" xfId="10250" xr:uid="{00000000-0005-0000-0000-000039280000}"/>
    <cellStyle name="20% - Accent6 2 10" xfId="10251" xr:uid="{00000000-0005-0000-0000-00003A280000}"/>
    <cellStyle name="20% - Accent6 2 10 2" xfId="10252" xr:uid="{00000000-0005-0000-0000-00003B280000}"/>
    <cellStyle name="20% - Accent6 2 11" xfId="10253" xr:uid="{00000000-0005-0000-0000-00003C280000}"/>
    <cellStyle name="20% - Accent6 2 2" xfId="10254" xr:uid="{00000000-0005-0000-0000-00003D280000}"/>
    <cellStyle name="20% - Accent6 2 2 10" xfId="10255" xr:uid="{00000000-0005-0000-0000-00003E280000}"/>
    <cellStyle name="20% - Accent6 2 2 2" xfId="10256" xr:uid="{00000000-0005-0000-0000-00003F280000}"/>
    <cellStyle name="20% - Accent6 2 2 2 2" xfId="10257" xr:uid="{00000000-0005-0000-0000-000040280000}"/>
    <cellStyle name="20% - Accent6 2 2 2 2 2" xfId="10258" xr:uid="{00000000-0005-0000-0000-000041280000}"/>
    <cellStyle name="20% - Accent6 2 2 2 2 2 2" xfId="10259" xr:uid="{00000000-0005-0000-0000-000042280000}"/>
    <cellStyle name="20% - Accent6 2 2 2 2 2 2 2" xfId="10260" xr:uid="{00000000-0005-0000-0000-000043280000}"/>
    <cellStyle name="20% - Accent6 2 2 2 2 2 2 2 2" xfId="10261" xr:uid="{00000000-0005-0000-0000-000044280000}"/>
    <cellStyle name="20% - Accent6 2 2 2 2 2 2 2 2 2" xfId="10262" xr:uid="{00000000-0005-0000-0000-000045280000}"/>
    <cellStyle name="20% - Accent6 2 2 2 2 2 2 2 2 2 2" xfId="10263" xr:uid="{00000000-0005-0000-0000-000046280000}"/>
    <cellStyle name="20% - Accent6 2 2 2 2 2 2 2 2 2 2 2" xfId="10264" xr:uid="{00000000-0005-0000-0000-000047280000}"/>
    <cellStyle name="20% - Accent6 2 2 2 2 2 2 2 2 2 3" xfId="10265" xr:uid="{00000000-0005-0000-0000-000048280000}"/>
    <cellStyle name="20% - Accent6 2 2 2 2 2 2 2 2 3" xfId="10266" xr:uid="{00000000-0005-0000-0000-000049280000}"/>
    <cellStyle name="20% - Accent6 2 2 2 2 2 2 2 2 3 2" xfId="10267" xr:uid="{00000000-0005-0000-0000-00004A280000}"/>
    <cellStyle name="20% - Accent6 2 2 2 2 2 2 2 2 4" xfId="10268" xr:uid="{00000000-0005-0000-0000-00004B280000}"/>
    <cellStyle name="20% - Accent6 2 2 2 2 2 2 2 3" xfId="10269" xr:uid="{00000000-0005-0000-0000-00004C280000}"/>
    <cellStyle name="20% - Accent6 2 2 2 2 2 2 2 3 2" xfId="10270" xr:uid="{00000000-0005-0000-0000-00004D280000}"/>
    <cellStyle name="20% - Accent6 2 2 2 2 2 2 2 3 2 2" xfId="10271" xr:uid="{00000000-0005-0000-0000-00004E280000}"/>
    <cellStyle name="20% - Accent6 2 2 2 2 2 2 2 3 3" xfId="10272" xr:uid="{00000000-0005-0000-0000-00004F280000}"/>
    <cellStyle name="20% - Accent6 2 2 2 2 2 2 2 4" xfId="10273" xr:uid="{00000000-0005-0000-0000-000050280000}"/>
    <cellStyle name="20% - Accent6 2 2 2 2 2 2 2 4 2" xfId="10274" xr:uid="{00000000-0005-0000-0000-000051280000}"/>
    <cellStyle name="20% - Accent6 2 2 2 2 2 2 2 5" xfId="10275" xr:uid="{00000000-0005-0000-0000-000052280000}"/>
    <cellStyle name="20% - Accent6 2 2 2 2 2 2 3" xfId="10276" xr:uid="{00000000-0005-0000-0000-000053280000}"/>
    <cellStyle name="20% - Accent6 2 2 2 2 2 2 3 2" xfId="10277" xr:uid="{00000000-0005-0000-0000-000054280000}"/>
    <cellStyle name="20% - Accent6 2 2 2 2 2 2 3 2 2" xfId="10278" xr:uid="{00000000-0005-0000-0000-000055280000}"/>
    <cellStyle name="20% - Accent6 2 2 2 2 2 2 3 2 2 2" xfId="10279" xr:uid="{00000000-0005-0000-0000-000056280000}"/>
    <cellStyle name="20% - Accent6 2 2 2 2 2 2 3 2 3" xfId="10280" xr:uid="{00000000-0005-0000-0000-000057280000}"/>
    <cellStyle name="20% - Accent6 2 2 2 2 2 2 3 3" xfId="10281" xr:uid="{00000000-0005-0000-0000-000058280000}"/>
    <cellStyle name="20% - Accent6 2 2 2 2 2 2 3 3 2" xfId="10282" xr:uid="{00000000-0005-0000-0000-000059280000}"/>
    <cellStyle name="20% - Accent6 2 2 2 2 2 2 3 4" xfId="10283" xr:uid="{00000000-0005-0000-0000-00005A280000}"/>
    <cellStyle name="20% - Accent6 2 2 2 2 2 2 4" xfId="10284" xr:uid="{00000000-0005-0000-0000-00005B280000}"/>
    <cellStyle name="20% - Accent6 2 2 2 2 2 2 4 2" xfId="10285" xr:uid="{00000000-0005-0000-0000-00005C280000}"/>
    <cellStyle name="20% - Accent6 2 2 2 2 2 2 4 2 2" xfId="10286" xr:uid="{00000000-0005-0000-0000-00005D280000}"/>
    <cellStyle name="20% - Accent6 2 2 2 2 2 2 4 3" xfId="10287" xr:uid="{00000000-0005-0000-0000-00005E280000}"/>
    <cellStyle name="20% - Accent6 2 2 2 2 2 2 5" xfId="10288" xr:uid="{00000000-0005-0000-0000-00005F280000}"/>
    <cellStyle name="20% - Accent6 2 2 2 2 2 2 5 2" xfId="10289" xr:uid="{00000000-0005-0000-0000-000060280000}"/>
    <cellStyle name="20% - Accent6 2 2 2 2 2 2 6" xfId="10290" xr:uid="{00000000-0005-0000-0000-000061280000}"/>
    <cellStyle name="20% - Accent6 2 2 2 2 2 3" xfId="10291" xr:uid="{00000000-0005-0000-0000-000062280000}"/>
    <cellStyle name="20% - Accent6 2 2 2 2 2 3 2" xfId="10292" xr:uid="{00000000-0005-0000-0000-000063280000}"/>
    <cellStyle name="20% - Accent6 2 2 2 2 2 3 2 2" xfId="10293" xr:uid="{00000000-0005-0000-0000-000064280000}"/>
    <cellStyle name="20% - Accent6 2 2 2 2 2 3 2 2 2" xfId="10294" xr:uid="{00000000-0005-0000-0000-000065280000}"/>
    <cellStyle name="20% - Accent6 2 2 2 2 2 3 2 2 2 2" xfId="10295" xr:uid="{00000000-0005-0000-0000-000066280000}"/>
    <cellStyle name="20% - Accent6 2 2 2 2 2 3 2 2 3" xfId="10296" xr:uid="{00000000-0005-0000-0000-000067280000}"/>
    <cellStyle name="20% - Accent6 2 2 2 2 2 3 2 3" xfId="10297" xr:uid="{00000000-0005-0000-0000-000068280000}"/>
    <cellStyle name="20% - Accent6 2 2 2 2 2 3 2 3 2" xfId="10298" xr:uid="{00000000-0005-0000-0000-000069280000}"/>
    <cellStyle name="20% - Accent6 2 2 2 2 2 3 2 4" xfId="10299" xr:uid="{00000000-0005-0000-0000-00006A280000}"/>
    <cellStyle name="20% - Accent6 2 2 2 2 2 3 3" xfId="10300" xr:uid="{00000000-0005-0000-0000-00006B280000}"/>
    <cellStyle name="20% - Accent6 2 2 2 2 2 3 3 2" xfId="10301" xr:uid="{00000000-0005-0000-0000-00006C280000}"/>
    <cellStyle name="20% - Accent6 2 2 2 2 2 3 3 2 2" xfId="10302" xr:uid="{00000000-0005-0000-0000-00006D280000}"/>
    <cellStyle name="20% - Accent6 2 2 2 2 2 3 3 3" xfId="10303" xr:uid="{00000000-0005-0000-0000-00006E280000}"/>
    <cellStyle name="20% - Accent6 2 2 2 2 2 3 4" xfId="10304" xr:uid="{00000000-0005-0000-0000-00006F280000}"/>
    <cellStyle name="20% - Accent6 2 2 2 2 2 3 4 2" xfId="10305" xr:uid="{00000000-0005-0000-0000-000070280000}"/>
    <cellStyle name="20% - Accent6 2 2 2 2 2 3 5" xfId="10306" xr:uid="{00000000-0005-0000-0000-000071280000}"/>
    <cellStyle name="20% - Accent6 2 2 2 2 2 4" xfId="10307" xr:uid="{00000000-0005-0000-0000-000072280000}"/>
    <cellStyle name="20% - Accent6 2 2 2 2 2 4 2" xfId="10308" xr:uid="{00000000-0005-0000-0000-000073280000}"/>
    <cellStyle name="20% - Accent6 2 2 2 2 2 4 2 2" xfId="10309" xr:uid="{00000000-0005-0000-0000-000074280000}"/>
    <cellStyle name="20% - Accent6 2 2 2 2 2 4 2 2 2" xfId="10310" xr:uid="{00000000-0005-0000-0000-000075280000}"/>
    <cellStyle name="20% - Accent6 2 2 2 2 2 4 2 3" xfId="10311" xr:uid="{00000000-0005-0000-0000-000076280000}"/>
    <cellStyle name="20% - Accent6 2 2 2 2 2 4 3" xfId="10312" xr:uid="{00000000-0005-0000-0000-000077280000}"/>
    <cellStyle name="20% - Accent6 2 2 2 2 2 4 3 2" xfId="10313" xr:uid="{00000000-0005-0000-0000-000078280000}"/>
    <cellStyle name="20% - Accent6 2 2 2 2 2 4 4" xfId="10314" xr:uid="{00000000-0005-0000-0000-000079280000}"/>
    <cellStyle name="20% - Accent6 2 2 2 2 2 5" xfId="10315" xr:uid="{00000000-0005-0000-0000-00007A280000}"/>
    <cellStyle name="20% - Accent6 2 2 2 2 2 5 2" xfId="10316" xr:uid="{00000000-0005-0000-0000-00007B280000}"/>
    <cellStyle name="20% - Accent6 2 2 2 2 2 5 2 2" xfId="10317" xr:uid="{00000000-0005-0000-0000-00007C280000}"/>
    <cellStyle name="20% - Accent6 2 2 2 2 2 5 3" xfId="10318" xr:uid="{00000000-0005-0000-0000-00007D280000}"/>
    <cellStyle name="20% - Accent6 2 2 2 2 2 6" xfId="10319" xr:uid="{00000000-0005-0000-0000-00007E280000}"/>
    <cellStyle name="20% - Accent6 2 2 2 2 2 6 2" xfId="10320" xr:uid="{00000000-0005-0000-0000-00007F280000}"/>
    <cellStyle name="20% - Accent6 2 2 2 2 2 7" xfId="10321" xr:uid="{00000000-0005-0000-0000-000080280000}"/>
    <cellStyle name="20% - Accent6 2 2 2 2 3" xfId="10322" xr:uid="{00000000-0005-0000-0000-000081280000}"/>
    <cellStyle name="20% - Accent6 2 2 2 2 3 2" xfId="10323" xr:uid="{00000000-0005-0000-0000-000082280000}"/>
    <cellStyle name="20% - Accent6 2 2 2 2 3 2 2" xfId="10324" xr:uid="{00000000-0005-0000-0000-000083280000}"/>
    <cellStyle name="20% - Accent6 2 2 2 2 3 2 2 2" xfId="10325" xr:uid="{00000000-0005-0000-0000-000084280000}"/>
    <cellStyle name="20% - Accent6 2 2 2 2 3 2 2 2 2" xfId="10326" xr:uid="{00000000-0005-0000-0000-000085280000}"/>
    <cellStyle name="20% - Accent6 2 2 2 2 3 2 2 2 2 2" xfId="10327" xr:uid="{00000000-0005-0000-0000-000086280000}"/>
    <cellStyle name="20% - Accent6 2 2 2 2 3 2 2 2 3" xfId="10328" xr:uid="{00000000-0005-0000-0000-000087280000}"/>
    <cellStyle name="20% - Accent6 2 2 2 2 3 2 2 3" xfId="10329" xr:uid="{00000000-0005-0000-0000-000088280000}"/>
    <cellStyle name="20% - Accent6 2 2 2 2 3 2 2 3 2" xfId="10330" xr:uid="{00000000-0005-0000-0000-000089280000}"/>
    <cellStyle name="20% - Accent6 2 2 2 2 3 2 2 4" xfId="10331" xr:uid="{00000000-0005-0000-0000-00008A280000}"/>
    <cellStyle name="20% - Accent6 2 2 2 2 3 2 3" xfId="10332" xr:uid="{00000000-0005-0000-0000-00008B280000}"/>
    <cellStyle name="20% - Accent6 2 2 2 2 3 2 3 2" xfId="10333" xr:uid="{00000000-0005-0000-0000-00008C280000}"/>
    <cellStyle name="20% - Accent6 2 2 2 2 3 2 3 2 2" xfId="10334" xr:uid="{00000000-0005-0000-0000-00008D280000}"/>
    <cellStyle name="20% - Accent6 2 2 2 2 3 2 3 3" xfId="10335" xr:uid="{00000000-0005-0000-0000-00008E280000}"/>
    <cellStyle name="20% - Accent6 2 2 2 2 3 2 4" xfId="10336" xr:uid="{00000000-0005-0000-0000-00008F280000}"/>
    <cellStyle name="20% - Accent6 2 2 2 2 3 2 4 2" xfId="10337" xr:uid="{00000000-0005-0000-0000-000090280000}"/>
    <cellStyle name="20% - Accent6 2 2 2 2 3 2 5" xfId="10338" xr:uid="{00000000-0005-0000-0000-000091280000}"/>
    <cellStyle name="20% - Accent6 2 2 2 2 3 3" xfId="10339" xr:uid="{00000000-0005-0000-0000-000092280000}"/>
    <cellStyle name="20% - Accent6 2 2 2 2 3 3 2" xfId="10340" xr:uid="{00000000-0005-0000-0000-000093280000}"/>
    <cellStyle name="20% - Accent6 2 2 2 2 3 3 2 2" xfId="10341" xr:uid="{00000000-0005-0000-0000-000094280000}"/>
    <cellStyle name="20% - Accent6 2 2 2 2 3 3 2 2 2" xfId="10342" xr:uid="{00000000-0005-0000-0000-000095280000}"/>
    <cellStyle name="20% - Accent6 2 2 2 2 3 3 2 3" xfId="10343" xr:uid="{00000000-0005-0000-0000-000096280000}"/>
    <cellStyle name="20% - Accent6 2 2 2 2 3 3 3" xfId="10344" xr:uid="{00000000-0005-0000-0000-000097280000}"/>
    <cellStyle name="20% - Accent6 2 2 2 2 3 3 3 2" xfId="10345" xr:uid="{00000000-0005-0000-0000-000098280000}"/>
    <cellStyle name="20% - Accent6 2 2 2 2 3 3 4" xfId="10346" xr:uid="{00000000-0005-0000-0000-000099280000}"/>
    <cellStyle name="20% - Accent6 2 2 2 2 3 4" xfId="10347" xr:uid="{00000000-0005-0000-0000-00009A280000}"/>
    <cellStyle name="20% - Accent6 2 2 2 2 3 4 2" xfId="10348" xr:uid="{00000000-0005-0000-0000-00009B280000}"/>
    <cellStyle name="20% - Accent6 2 2 2 2 3 4 2 2" xfId="10349" xr:uid="{00000000-0005-0000-0000-00009C280000}"/>
    <cellStyle name="20% - Accent6 2 2 2 2 3 4 3" xfId="10350" xr:uid="{00000000-0005-0000-0000-00009D280000}"/>
    <cellStyle name="20% - Accent6 2 2 2 2 3 5" xfId="10351" xr:uid="{00000000-0005-0000-0000-00009E280000}"/>
    <cellStyle name="20% - Accent6 2 2 2 2 3 5 2" xfId="10352" xr:uid="{00000000-0005-0000-0000-00009F280000}"/>
    <cellStyle name="20% - Accent6 2 2 2 2 3 6" xfId="10353" xr:uid="{00000000-0005-0000-0000-0000A0280000}"/>
    <cellStyle name="20% - Accent6 2 2 2 2 4" xfId="10354" xr:uid="{00000000-0005-0000-0000-0000A1280000}"/>
    <cellStyle name="20% - Accent6 2 2 2 2 4 2" xfId="10355" xr:uid="{00000000-0005-0000-0000-0000A2280000}"/>
    <cellStyle name="20% - Accent6 2 2 2 2 4 2 2" xfId="10356" xr:uid="{00000000-0005-0000-0000-0000A3280000}"/>
    <cellStyle name="20% - Accent6 2 2 2 2 4 2 2 2" xfId="10357" xr:uid="{00000000-0005-0000-0000-0000A4280000}"/>
    <cellStyle name="20% - Accent6 2 2 2 2 4 2 2 2 2" xfId="10358" xr:uid="{00000000-0005-0000-0000-0000A5280000}"/>
    <cellStyle name="20% - Accent6 2 2 2 2 4 2 2 3" xfId="10359" xr:uid="{00000000-0005-0000-0000-0000A6280000}"/>
    <cellStyle name="20% - Accent6 2 2 2 2 4 2 3" xfId="10360" xr:uid="{00000000-0005-0000-0000-0000A7280000}"/>
    <cellStyle name="20% - Accent6 2 2 2 2 4 2 3 2" xfId="10361" xr:uid="{00000000-0005-0000-0000-0000A8280000}"/>
    <cellStyle name="20% - Accent6 2 2 2 2 4 2 4" xfId="10362" xr:uid="{00000000-0005-0000-0000-0000A9280000}"/>
    <cellStyle name="20% - Accent6 2 2 2 2 4 3" xfId="10363" xr:uid="{00000000-0005-0000-0000-0000AA280000}"/>
    <cellStyle name="20% - Accent6 2 2 2 2 4 3 2" xfId="10364" xr:uid="{00000000-0005-0000-0000-0000AB280000}"/>
    <cellStyle name="20% - Accent6 2 2 2 2 4 3 2 2" xfId="10365" xr:uid="{00000000-0005-0000-0000-0000AC280000}"/>
    <cellStyle name="20% - Accent6 2 2 2 2 4 3 3" xfId="10366" xr:uid="{00000000-0005-0000-0000-0000AD280000}"/>
    <cellStyle name="20% - Accent6 2 2 2 2 4 4" xfId="10367" xr:uid="{00000000-0005-0000-0000-0000AE280000}"/>
    <cellStyle name="20% - Accent6 2 2 2 2 4 4 2" xfId="10368" xr:uid="{00000000-0005-0000-0000-0000AF280000}"/>
    <cellStyle name="20% - Accent6 2 2 2 2 4 5" xfId="10369" xr:uid="{00000000-0005-0000-0000-0000B0280000}"/>
    <cellStyle name="20% - Accent6 2 2 2 2 5" xfId="10370" xr:uid="{00000000-0005-0000-0000-0000B1280000}"/>
    <cellStyle name="20% - Accent6 2 2 2 2 5 2" xfId="10371" xr:uid="{00000000-0005-0000-0000-0000B2280000}"/>
    <cellStyle name="20% - Accent6 2 2 2 2 5 2 2" xfId="10372" xr:uid="{00000000-0005-0000-0000-0000B3280000}"/>
    <cellStyle name="20% - Accent6 2 2 2 2 5 2 2 2" xfId="10373" xr:uid="{00000000-0005-0000-0000-0000B4280000}"/>
    <cellStyle name="20% - Accent6 2 2 2 2 5 2 3" xfId="10374" xr:uid="{00000000-0005-0000-0000-0000B5280000}"/>
    <cellStyle name="20% - Accent6 2 2 2 2 5 3" xfId="10375" xr:uid="{00000000-0005-0000-0000-0000B6280000}"/>
    <cellStyle name="20% - Accent6 2 2 2 2 5 3 2" xfId="10376" xr:uid="{00000000-0005-0000-0000-0000B7280000}"/>
    <cellStyle name="20% - Accent6 2 2 2 2 5 4" xfId="10377" xr:uid="{00000000-0005-0000-0000-0000B8280000}"/>
    <cellStyle name="20% - Accent6 2 2 2 2 6" xfId="10378" xr:uid="{00000000-0005-0000-0000-0000B9280000}"/>
    <cellStyle name="20% - Accent6 2 2 2 2 6 2" xfId="10379" xr:uid="{00000000-0005-0000-0000-0000BA280000}"/>
    <cellStyle name="20% - Accent6 2 2 2 2 6 2 2" xfId="10380" xr:uid="{00000000-0005-0000-0000-0000BB280000}"/>
    <cellStyle name="20% - Accent6 2 2 2 2 6 3" xfId="10381" xr:uid="{00000000-0005-0000-0000-0000BC280000}"/>
    <cellStyle name="20% - Accent6 2 2 2 2 7" xfId="10382" xr:uid="{00000000-0005-0000-0000-0000BD280000}"/>
    <cellStyle name="20% - Accent6 2 2 2 2 7 2" xfId="10383" xr:uid="{00000000-0005-0000-0000-0000BE280000}"/>
    <cellStyle name="20% - Accent6 2 2 2 2 8" xfId="10384" xr:uid="{00000000-0005-0000-0000-0000BF280000}"/>
    <cellStyle name="20% - Accent6 2 2 2 3" xfId="10385" xr:uid="{00000000-0005-0000-0000-0000C0280000}"/>
    <cellStyle name="20% - Accent6 2 2 2 3 2" xfId="10386" xr:uid="{00000000-0005-0000-0000-0000C1280000}"/>
    <cellStyle name="20% - Accent6 2 2 2 3 2 2" xfId="10387" xr:uid="{00000000-0005-0000-0000-0000C2280000}"/>
    <cellStyle name="20% - Accent6 2 2 2 3 2 2 2" xfId="10388" xr:uid="{00000000-0005-0000-0000-0000C3280000}"/>
    <cellStyle name="20% - Accent6 2 2 2 3 2 2 2 2" xfId="10389" xr:uid="{00000000-0005-0000-0000-0000C4280000}"/>
    <cellStyle name="20% - Accent6 2 2 2 3 2 2 2 2 2" xfId="10390" xr:uid="{00000000-0005-0000-0000-0000C5280000}"/>
    <cellStyle name="20% - Accent6 2 2 2 3 2 2 2 2 2 2" xfId="10391" xr:uid="{00000000-0005-0000-0000-0000C6280000}"/>
    <cellStyle name="20% - Accent6 2 2 2 3 2 2 2 2 3" xfId="10392" xr:uid="{00000000-0005-0000-0000-0000C7280000}"/>
    <cellStyle name="20% - Accent6 2 2 2 3 2 2 2 3" xfId="10393" xr:uid="{00000000-0005-0000-0000-0000C8280000}"/>
    <cellStyle name="20% - Accent6 2 2 2 3 2 2 2 3 2" xfId="10394" xr:uid="{00000000-0005-0000-0000-0000C9280000}"/>
    <cellStyle name="20% - Accent6 2 2 2 3 2 2 2 4" xfId="10395" xr:uid="{00000000-0005-0000-0000-0000CA280000}"/>
    <cellStyle name="20% - Accent6 2 2 2 3 2 2 3" xfId="10396" xr:uid="{00000000-0005-0000-0000-0000CB280000}"/>
    <cellStyle name="20% - Accent6 2 2 2 3 2 2 3 2" xfId="10397" xr:uid="{00000000-0005-0000-0000-0000CC280000}"/>
    <cellStyle name="20% - Accent6 2 2 2 3 2 2 3 2 2" xfId="10398" xr:uid="{00000000-0005-0000-0000-0000CD280000}"/>
    <cellStyle name="20% - Accent6 2 2 2 3 2 2 3 3" xfId="10399" xr:uid="{00000000-0005-0000-0000-0000CE280000}"/>
    <cellStyle name="20% - Accent6 2 2 2 3 2 2 4" xfId="10400" xr:uid="{00000000-0005-0000-0000-0000CF280000}"/>
    <cellStyle name="20% - Accent6 2 2 2 3 2 2 4 2" xfId="10401" xr:uid="{00000000-0005-0000-0000-0000D0280000}"/>
    <cellStyle name="20% - Accent6 2 2 2 3 2 2 5" xfId="10402" xr:uid="{00000000-0005-0000-0000-0000D1280000}"/>
    <cellStyle name="20% - Accent6 2 2 2 3 2 3" xfId="10403" xr:uid="{00000000-0005-0000-0000-0000D2280000}"/>
    <cellStyle name="20% - Accent6 2 2 2 3 2 3 2" xfId="10404" xr:uid="{00000000-0005-0000-0000-0000D3280000}"/>
    <cellStyle name="20% - Accent6 2 2 2 3 2 3 2 2" xfId="10405" xr:uid="{00000000-0005-0000-0000-0000D4280000}"/>
    <cellStyle name="20% - Accent6 2 2 2 3 2 3 2 2 2" xfId="10406" xr:uid="{00000000-0005-0000-0000-0000D5280000}"/>
    <cellStyle name="20% - Accent6 2 2 2 3 2 3 2 3" xfId="10407" xr:uid="{00000000-0005-0000-0000-0000D6280000}"/>
    <cellStyle name="20% - Accent6 2 2 2 3 2 3 3" xfId="10408" xr:uid="{00000000-0005-0000-0000-0000D7280000}"/>
    <cellStyle name="20% - Accent6 2 2 2 3 2 3 3 2" xfId="10409" xr:uid="{00000000-0005-0000-0000-0000D8280000}"/>
    <cellStyle name="20% - Accent6 2 2 2 3 2 3 4" xfId="10410" xr:uid="{00000000-0005-0000-0000-0000D9280000}"/>
    <cellStyle name="20% - Accent6 2 2 2 3 2 4" xfId="10411" xr:uid="{00000000-0005-0000-0000-0000DA280000}"/>
    <cellStyle name="20% - Accent6 2 2 2 3 2 4 2" xfId="10412" xr:uid="{00000000-0005-0000-0000-0000DB280000}"/>
    <cellStyle name="20% - Accent6 2 2 2 3 2 4 2 2" xfId="10413" xr:uid="{00000000-0005-0000-0000-0000DC280000}"/>
    <cellStyle name="20% - Accent6 2 2 2 3 2 4 3" xfId="10414" xr:uid="{00000000-0005-0000-0000-0000DD280000}"/>
    <cellStyle name="20% - Accent6 2 2 2 3 2 5" xfId="10415" xr:uid="{00000000-0005-0000-0000-0000DE280000}"/>
    <cellStyle name="20% - Accent6 2 2 2 3 2 5 2" xfId="10416" xr:uid="{00000000-0005-0000-0000-0000DF280000}"/>
    <cellStyle name="20% - Accent6 2 2 2 3 2 6" xfId="10417" xr:uid="{00000000-0005-0000-0000-0000E0280000}"/>
    <cellStyle name="20% - Accent6 2 2 2 3 3" xfId="10418" xr:uid="{00000000-0005-0000-0000-0000E1280000}"/>
    <cellStyle name="20% - Accent6 2 2 2 3 3 2" xfId="10419" xr:uid="{00000000-0005-0000-0000-0000E2280000}"/>
    <cellStyle name="20% - Accent6 2 2 2 3 3 2 2" xfId="10420" xr:uid="{00000000-0005-0000-0000-0000E3280000}"/>
    <cellStyle name="20% - Accent6 2 2 2 3 3 2 2 2" xfId="10421" xr:uid="{00000000-0005-0000-0000-0000E4280000}"/>
    <cellStyle name="20% - Accent6 2 2 2 3 3 2 2 2 2" xfId="10422" xr:uid="{00000000-0005-0000-0000-0000E5280000}"/>
    <cellStyle name="20% - Accent6 2 2 2 3 3 2 2 3" xfId="10423" xr:uid="{00000000-0005-0000-0000-0000E6280000}"/>
    <cellStyle name="20% - Accent6 2 2 2 3 3 2 3" xfId="10424" xr:uid="{00000000-0005-0000-0000-0000E7280000}"/>
    <cellStyle name="20% - Accent6 2 2 2 3 3 2 3 2" xfId="10425" xr:uid="{00000000-0005-0000-0000-0000E8280000}"/>
    <cellStyle name="20% - Accent6 2 2 2 3 3 2 4" xfId="10426" xr:uid="{00000000-0005-0000-0000-0000E9280000}"/>
    <cellStyle name="20% - Accent6 2 2 2 3 3 3" xfId="10427" xr:uid="{00000000-0005-0000-0000-0000EA280000}"/>
    <cellStyle name="20% - Accent6 2 2 2 3 3 3 2" xfId="10428" xr:uid="{00000000-0005-0000-0000-0000EB280000}"/>
    <cellStyle name="20% - Accent6 2 2 2 3 3 3 2 2" xfId="10429" xr:uid="{00000000-0005-0000-0000-0000EC280000}"/>
    <cellStyle name="20% - Accent6 2 2 2 3 3 3 3" xfId="10430" xr:uid="{00000000-0005-0000-0000-0000ED280000}"/>
    <cellStyle name="20% - Accent6 2 2 2 3 3 4" xfId="10431" xr:uid="{00000000-0005-0000-0000-0000EE280000}"/>
    <cellStyle name="20% - Accent6 2 2 2 3 3 4 2" xfId="10432" xr:uid="{00000000-0005-0000-0000-0000EF280000}"/>
    <cellStyle name="20% - Accent6 2 2 2 3 3 5" xfId="10433" xr:uid="{00000000-0005-0000-0000-0000F0280000}"/>
    <cellStyle name="20% - Accent6 2 2 2 3 4" xfId="10434" xr:uid="{00000000-0005-0000-0000-0000F1280000}"/>
    <cellStyle name="20% - Accent6 2 2 2 3 4 2" xfId="10435" xr:uid="{00000000-0005-0000-0000-0000F2280000}"/>
    <cellStyle name="20% - Accent6 2 2 2 3 4 2 2" xfId="10436" xr:uid="{00000000-0005-0000-0000-0000F3280000}"/>
    <cellStyle name="20% - Accent6 2 2 2 3 4 2 2 2" xfId="10437" xr:uid="{00000000-0005-0000-0000-0000F4280000}"/>
    <cellStyle name="20% - Accent6 2 2 2 3 4 2 3" xfId="10438" xr:uid="{00000000-0005-0000-0000-0000F5280000}"/>
    <cellStyle name="20% - Accent6 2 2 2 3 4 3" xfId="10439" xr:uid="{00000000-0005-0000-0000-0000F6280000}"/>
    <cellStyle name="20% - Accent6 2 2 2 3 4 3 2" xfId="10440" xr:uid="{00000000-0005-0000-0000-0000F7280000}"/>
    <cellStyle name="20% - Accent6 2 2 2 3 4 4" xfId="10441" xr:uid="{00000000-0005-0000-0000-0000F8280000}"/>
    <cellStyle name="20% - Accent6 2 2 2 3 5" xfId="10442" xr:uid="{00000000-0005-0000-0000-0000F9280000}"/>
    <cellStyle name="20% - Accent6 2 2 2 3 5 2" xfId="10443" xr:uid="{00000000-0005-0000-0000-0000FA280000}"/>
    <cellStyle name="20% - Accent6 2 2 2 3 5 2 2" xfId="10444" xr:uid="{00000000-0005-0000-0000-0000FB280000}"/>
    <cellStyle name="20% - Accent6 2 2 2 3 5 3" xfId="10445" xr:uid="{00000000-0005-0000-0000-0000FC280000}"/>
    <cellStyle name="20% - Accent6 2 2 2 3 6" xfId="10446" xr:uid="{00000000-0005-0000-0000-0000FD280000}"/>
    <cellStyle name="20% - Accent6 2 2 2 3 6 2" xfId="10447" xr:uid="{00000000-0005-0000-0000-0000FE280000}"/>
    <cellStyle name="20% - Accent6 2 2 2 3 7" xfId="10448" xr:uid="{00000000-0005-0000-0000-0000FF280000}"/>
    <cellStyle name="20% - Accent6 2 2 2 4" xfId="10449" xr:uid="{00000000-0005-0000-0000-000000290000}"/>
    <cellStyle name="20% - Accent6 2 2 2 4 2" xfId="10450" xr:uid="{00000000-0005-0000-0000-000001290000}"/>
    <cellStyle name="20% - Accent6 2 2 2 4 2 2" xfId="10451" xr:uid="{00000000-0005-0000-0000-000002290000}"/>
    <cellStyle name="20% - Accent6 2 2 2 4 2 2 2" xfId="10452" xr:uid="{00000000-0005-0000-0000-000003290000}"/>
    <cellStyle name="20% - Accent6 2 2 2 4 2 2 2 2" xfId="10453" xr:uid="{00000000-0005-0000-0000-000004290000}"/>
    <cellStyle name="20% - Accent6 2 2 2 4 2 2 2 2 2" xfId="10454" xr:uid="{00000000-0005-0000-0000-000005290000}"/>
    <cellStyle name="20% - Accent6 2 2 2 4 2 2 2 3" xfId="10455" xr:uid="{00000000-0005-0000-0000-000006290000}"/>
    <cellStyle name="20% - Accent6 2 2 2 4 2 2 3" xfId="10456" xr:uid="{00000000-0005-0000-0000-000007290000}"/>
    <cellStyle name="20% - Accent6 2 2 2 4 2 2 3 2" xfId="10457" xr:uid="{00000000-0005-0000-0000-000008290000}"/>
    <cellStyle name="20% - Accent6 2 2 2 4 2 2 4" xfId="10458" xr:uid="{00000000-0005-0000-0000-000009290000}"/>
    <cellStyle name="20% - Accent6 2 2 2 4 2 3" xfId="10459" xr:uid="{00000000-0005-0000-0000-00000A290000}"/>
    <cellStyle name="20% - Accent6 2 2 2 4 2 3 2" xfId="10460" xr:uid="{00000000-0005-0000-0000-00000B290000}"/>
    <cellStyle name="20% - Accent6 2 2 2 4 2 3 2 2" xfId="10461" xr:uid="{00000000-0005-0000-0000-00000C290000}"/>
    <cellStyle name="20% - Accent6 2 2 2 4 2 3 3" xfId="10462" xr:uid="{00000000-0005-0000-0000-00000D290000}"/>
    <cellStyle name="20% - Accent6 2 2 2 4 2 4" xfId="10463" xr:uid="{00000000-0005-0000-0000-00000E290000}"/>
    <cellStyle name="20% - Accent6 2 2 2 4 2 4 2" xfId="10464" xr:uid="{00000000-0005-0000-0000-00000F290000}"/>
    <cellStyle name="20% - Accent6 2 2 2 4 2 5" xfId="10465" xr:uid="{00000000-0005-0000-0000-000010290000}"/>
    <cellStyle name="20% - Accent6 2 2 2 4 3" xfId="10466" xr:uid="{00000000-0005-0000-0000-000011290000}"/>
    <cellStyle name="20% - Accent6 2 2 2 4 3 2" xfId="10467" xr:uid="{00000000-0005-0000-0000-000012290000}"/>
    <cellStyle name="20% - Accent6 2 2 2 4 3 2 2" xfId="10468" xr:uid="{00000000-0005-0000-0000-000013290000}"/>
    <cellStyle name="20% - Accent6 2 2 2 4 3 2 2 2" xfId="10469" xr:uid="{00000000-0005-0000-0000-000014290000}"/>
    <cellStyle name="20% - Accent6 2 2 2 4 3 2 3" xfId="10470" xr:uid="{00000000-0005-0000-0000-000015290000}"/>
    <cellStyle name="20% - Accent6 2 2 2 4 3 3" xfId="10471" xr:uid="{00000000-0005-0000-0000-000016290000}"/>
    <cellStyle name="20% - Accent6 2 2 2 4 3 3 2" xfId="10472" xr:uid="{00000000-0005-0000-0000-000017290000}"/>
    <cellStyle name="20% - Accent6 2 2 2 4 3 4" xfId="10473" xr:uid="{00000000-0005-0000-0000-000018290000}"/>
    <cellStyle name="20% - Accent6 2 2 2 4 4" xfId="10474" xr:uid="{00000000-0005-0000-0000-000019290000}"/>
    <cellStyle name="20% - Accent6 2 2 2 4 4 2" xfId="10475" xr:uid="{00000000-0005-0000-0000-00001A290000}"/>
    <cellStyle name="20% - Accent6 2 2 2 4 4 2 2" xfId="10476" xr:uid="{00000000-0005-0000-0000-00001B290000}"/>
    <cellStyle name="20% - Accent6 2 2 2 4 4 3" xfId="10477" xr:uid="{00000000-0005-0000-0000-00001C290000}"/>
    <cellStyle name="20% - Accent6 2 2 2 4 5" xfId="10478" xr:uid="{00000000-0005-0000-0000-00001D290000}"/>
    <cellStyle name="20% - Accent6 2 2 2 4 5 2" xfId="10479" xr:uid="{00000000-0005-0000-0000-00001E290000}"/>
    <cellStyle name="20% - Accent6 2 2 2 4 6" xfId="10480" xr:uid="{00000000-0005-0000-0000-00001F290000}"/>
    <cellStyle name="20% - Accent6 2 2 2 5" xfId="10481" xr:uid="{00000000-0005-0000-0000-000020290000}"/>
    <cellStyle name="20% - Accent6 2 2 2 5 2" xfId="10482" xr:uid="{00000000-0005-0000-0000-000021290000}"/>
    <cellStyle name="20% - Accent6 2 2 2 5 2 2" xfId="10483" xr:uid="{00000000-0005-0000-0000-000022290000}"/>
    <cellStyle name="20% - Accent6 2 2 2 5 2 2 2" xfId="10484" xr:uid="{00000000-0005-0000-0000-000023290000}"/>
    <cellStyle name="20% - Accent6 2 2 2 5 2 2 2 2" xfId="10485" xr:uid="{00000000-0005-0000-0000-000024290000}"/>
    <cellStyle name="20% - Accent6 2 2 2 5 2 2 3" xfId="10486" xr:uid="{00000000-0005-0000-0000-000025290000}"/>
    <cellStyle name="20% - Accent6 2 2 2 5 2 3" xfId="10487" xr:uid="{00000000-0005-0000-0000-000026290000}"/>
    <cellStyle name="20% - Accent6 2 2 2 5 2 3 2" xfId="10488" xr:uid="{00000000-0005-0000-0000-000027290000}"/>
    <cellStyle name="20% - Accent6 2 2 2 5 2 4" xfId="10489" xr:uid="{00000000-0005-0000-0000-000028290000}"/>
    <cellStyle name="20% - Accent6 2 2 2 5 3" xfId="10490" xr:uid="{00000000-0005-0000-0000-000029290000}"/>
    <cellStyle name="20% - Accent6 2 2 2 5 3 2" xfId="10491" xr:uid="{00000000-0005-0000-0000-00002A290000}"/>
    <cellStyle name="20% - Accent6 2 2 2 5 3 2 2" xfId="10492" xr:uid="{00000000-0005-0000-0000-00002B290000}"/>
    <cellStyle name="20% - Accent6 2 2 2 5 3 3" xfId="10493" xr:uid="{00000000-0005-0000-0000-00002C290000}"/>
    <cellStyle name="20% - Accent6 2 2 2 5 4" xfId="10494" xr:uid="{00000000-0005-0000-0000-00002D290000}"/>
    <cellStyle name="20% - Accent6 2 2 2 5 4 2" xfId="10495" xr:uid="{00000000-0005-0000-0000-00002E290000}"/>
    <cellStyle name="20% - Accent6 2 2 2 5 5" xfId="10496" xr:uid="{00000000-0005-0000-0000-00002F290000}"/>
    <cellStyle name="20% - Accent6 2 2 2 6" xfId="10497" xr:uid="{00000000-0005-0000-0000-000030290000}"/>
    <cellStyle name="20% - Accent6 2 2 2 6 2" xfId="10498" xr:uid="{00000000-0005-0000-0000-000031290000}"/>
    <cellStyle name="20% - Accent6 2 2 2 6 2 2" xfId="10499" xr:uid="{00000000-0005-0000-0000-000032290000}"/>
    <cellStyle name="20% - Accent6 2 2 2 6 2 2 2" xfId="10500" xr:uid="{00000000-0005-0000-0000-000033290000}"/>
    <cellStyle name="20% - Accent6 2 2 2 6 2 3" xfId="10501" xr:uid="{00000000-0005-0000-0000-000034290000}"/>
    <cellStyle name="20% - Accent6 2 2 2 6 3" xfId="10502" xr:uid="{00000000-0005-0000-0000-000035290000}"/>
    <cellStyle name="20% - Accent6 2 2 2 6 3 2" xfId="10503" xr:uid="{00000000-0005-0000-0000-000036290000}"/>
    <cellStyle name="20% - Accent6 2 2 2 6 4" xfId="10504" xr:uid="{00000000-0005-0000-0000-000037290000}"/>
    <cellStyle name="20% - Accent6 2 2 2 7" xfId="10505" xr:uid="{00000000-0005-0000-0000-000038290000}"/>
    <cellStyle name="20% - Accent6 2 2 2 7 2" xfId="10506" xr:uid="{00000000-0005-0000-0000-000039290000}"/>
    <cellStyle name="20% - Accent6 2 2 2 7 2 2" xfId="10507" xr:uid="{00000000-0005-0000-0000-00003A290000}"/>
    <cellStyle name="20% - Accent6 2 2 2 7 3" xfId="10508" xr:uid="{00000000-0005-0000-0000-00003B290000}"/>
    <cellStyle name="20% - Accent6 2 2 2 8" xfId="10509" xr:uid="{00000000-0005-0000-0000-00003C290000}"/>
    <cellStyle name="20% - Accent6 2 2 2 8 2" xfId="10510" xr:uid="{00000000-0005-0000-0000-00003D290000}"/>
    <cellStyle name="20% - Accent6 2 2 2 9" xfId="10511" xr:uid="{00000000-0005-0000-0000-00003E290000}"/>
    <cellStyle name="20% - Accent6 2 2 3" xfId="10512" xr:uid="{00000000-0005-0000-0000-00003F290000}"/>
    <cellStyle name="20% - Accent6 2 2 3 2" xfId="10513" xr:uid="{00000000-0005-0000-0000-000040290000}"/>
    <cellStyle name="20% - Accent6 2 2 3 2 2" xfId="10514" xr:uid="{00000000-0005-0000-0000-000041290000}"/>
    <cellStyle name="20% - Accent6 2 2 3 2 2 2" xfId="10515" xr:uid="{00000000-0005-0000-0000-000042290000}"/>
    <cellStyle name="20% - Accent6 2 2 3 2 2 2 2" xfId="10516" xr:uid="{00000000-0005-0000-0000-000043290000}"/>
    <cellStyle name="20% - Accent6 2 2 3 2 2 2 2 2" xfId="10517" xr:uid="{00000000-0005-0000-0000-000044290000}"/>
    <cellStyle name="20% - Accent6 2 2 3 2 2 2 2 2 2" xfId="10518" xr:uid="{00000000-0005-0000-0000-000045290000}"/>
    <cellStyle name="20% - Accent6 2 2 3 2 2 2 2 2 2 2" xfId="10519" xr:uid="{00000000-0005-0000-0000-000046290000}"/>
    <cellStyle name="20% - Accent6 2 2 3 2 2 2 2 2 3" xfId="10520" xr:uid="{00000000-0005-0000-0000-000047290000}"/>
    <cellStyle name="20% - Accent6 2 2 3 2 2 2 2 3" xfId="10521" xr:uid="{00000000-0005-0000-0000-000048290000}"/>
    <cellStyle name="20% - Accent6 2 2 3 2 2 2 2 3 2" xfId="10522" xr:uid="{00000000-0005-0000-0000-000049290000}"/>
    <cellStyle name="20% - Accent6 2 2 3 2 2 2 2 4" xfId="10523" xr:uid="{00000000-0005-0000-0000-00004A290000}"/>
    <cellStyle name="20% - Accent6 2 2 3 2 2 2 3" xfId="10524" xr:uid="{00000000-0005-0000-0000-00004B290000}"/>
    <cellStyle name="20% - Accent6 2 2 3 2 2 2 3 2" xfId="10525" xr:uid="{00000000-0005-0000-0000-00004C290000}"/>
    <cellStyle name="20% - Accent6 2 2 3 2 2 2 3 2 2" xfId="10526" xr:uid="{00000000-0005-0000-0000-00004D290000}"/>
    <cellStyle name="20% - Accent6 2 2 3 2 2 2 3 3" xfId="10527" xr:uid="{00000000-0005-0000-0000-00004E290000}"/>
    <cellStyle name="20% - Accent6 2 2 3 2 2 2 4" xfId="10528" xr:uid="{00000000-0005-0000-0000-00004F290000}"/>
    <cellStyle name="20% - Accent6 2 2 3 2 2 2 4 2" xfId="10529" xr:uid="{00000000-0005-0000-0000-000050290000}"/>
    <cellStyle name="20% - Accent6 2 2 3 2 2 2 5" xfId="10530" xr:uid="{00000000-0005-0000-0000-000051290000}"/>
    <cellStyle name="20% - Accent6 2 2 3 2 2 3" xfId="10531" xr:uid="{00000000-0005-0000-0000-000052290000}"/>
    <cellStyle name="20% - Accent6 2 2 3 2 2 3 2" xfId="10532" xr:uid="{00000000-0005-0000-0000-000053290000}"/>
    <cellStyle name="20% - Accent6 2 2 3 2 2 3 2 2" xfId="10533" xr:uid="{00000000-0005-0000-0000-000054290000}"/>
    <cellStyle name="20% - Accent6 2 2 3 2 2 3 2 2 2" xfId="10534" xr:uid="{00000000-0005-0000-0000-000055290000}"/>
    <cellStyle name="20% - Accent6 2 2 3 2 2 3 2 3" xfId="10535" xr:uid="{00000000-0005-0000-0000-000056290000}"/>
    <cellStyle name="20% - Accent6 2 2 3 2 2 3 3" xfId="10536" xr:uid="{00000000-0005-0000-0000-000057290000}"/>
    <cellStyle name="20% - Accent6 2 2 3 2 2 3 3 2" xfId="10537" xr:uid="{00000000-0005-0000-0000-000058290000}"/>
    <cellStyle name="20% - Accent6 2 2 3 2 2 3 4" xfId="10538" xr:uid="{00000000-0005-0000-0000-000059290000}"/>
    <cellStyle name="20% - Accent6 2 2 3 2 2 4" xfId="10539" xr:uid="{00000000-0005-0000-0000-00005A290000}"/>
    <cellStyle name="20% - Accent6 2 2 3 2 2 4 2" xfId="10540" xr:uid="{00000000-0005-0000-0000-00005B290000}"/>
    <cellStyle name="20% - Accent6 2 2 3 2 2 4 2 2" xfId="10541" xr:uid="{00000000-0005-0000-0000-00005C290000}"/>
    <cellStyle name="20% - Accent6 2 2 3 2 2 4 3" xfId="10542" xr:uid="{00000000-0005-0000-0000-00005D290000}"/>
    <cellStyle name="20% - Accent6 2 2 3 2 2 5" xfId="10543" xr:uid="{00000000-0005-0000-0000-00005E290000}"/>
    <cellStyle name="20% - Accent6 2 2 3 2 2 5 2" xfId="10544" xr:uid="{00000000-0005-0000-0000-00005F290000}"/>
    <cellStyle name="20% - Accent6 2 2 3 2 2 6" xfId="10545" xr:uid="{00000000-0005-0000-0000-000060290000}"/>
    <cellStyle name="20% - Accent6 2 2 3 2 3" xfId="10546" xr:uid="{00000000-0005-0000-0000-000061290000}"/>
    <cellStyle name="20% - Accent6 2 2 3 2 3 2" xfId="10547" xr:uid="{00000000-0005-0000-0000-000062290000}"/>
    <cellStyle name="20% - Accent6 2 2 3 2 3 2 2" xfId="10548" xr:uid="{00000000-0005-0000-0000-000063290000}"/>
    <cellStyle name="20% - Accent6 2 2 3 2 3 2 2 2" xfId="10549" xr:uid="{00000000-0005-0000-0000-000064290000}"/>
    <cellStyle name="20% - Accent6 2 2 3 2 3 2 2 2 2" xfId="10550" xr:uid="{00000000-0005-0000-0000-000065290000}"/>
    <cellStyle name="20% - Accent6 2 2 3 2 3 2 2 3" xfId="10551" xr:uid="{00000000-0005-0000-0000-000066290000}"/>
    <cellStyle name="20% - Accent6 2 2 3 2 3 2 3" xfId="10552" xr:uid="{00000000-0005-0000-0000-000067290000}"/>
    <cellStyle name="20% - Accent6 2 2 3 2 3 2 3 2" xfId="10553" xr:uid="{00000000-0005-0000-0000-000068290000}"/>
    <cellStyle name="20% - Accent6 2 2 3 2 3 2 4" xfId="10554" xr:uid="{00000000-0005-0000-0000-000069290000}"/>
    <cellStyle name="20% - Accent6 2 2 3 2 3 3" xfId="10555" xr:uid="{00000000-0005-0000-0000-00006A290000}"/>
    <cellStyle name="20% - Accent6 2 2 3 2 3 3 2" xfId="10556" xr:uid="{00000000-0005-0000-0000-00006B290000}"/>
    <cellStyle name="20% - Accent6 2 2 3 2 3 3 2 2" xfId="10557" xr:uid="{00000000-0005-0000-0000-00006C290000}"/>
    <cellStyle name="20% - Accent6 2 2 3 2 3 3 3" xfId="10558" xr:uid="{00000000-0005-0000-0000-00006D290000}"/>
    <cellStyle name="20% - Accent6 2 2 3 2 3 4" xfId="10559" xr:uid="{00000000-0005-0000-0000-00006E290000}"/>
    <cellStyle name="20% - Accent6 2 2 3 2 3 4 2" xfId="10560" xr:uid="{00000000-0005-0000-0000-00006F290000}"/>
    <cellStyle name="20% - Accent6 2 2 3 2 3 5" xfId="10561" xr:uid="{00000000-0005-0000-0000-000070290000}"/>
    <cellStyle name="20% - Accent6 2 2 3 2 4" xfId="10562" xr:uid="{00000000-0005-0000-0000-000071290000}"/>
    <cellStyle name="20% - Accent6 2 2 3 2 4 2" xfId="10563" xr:uid="{00000000-0005-0000-0000-000072290000}"/>
    <cellStyle name="20% - Accent6 2 2 3 2 4 2 2" xfId="10564" xr:uid="{00000000-0005-0000-0000-000073290000}"/>
    <cellStyle name="20% - Accent6 2 2 3 2 4 2 2 2" xfId="10565" xr:uid="{00000000-0005-0000-0000-000074290000}"/>
    <cellStyle name="20% - Accent6 2 2 3 2 4 2 3" xfId="10566" xr:uid="{00000000-0005-0000-0000-000075290000}"/>
    <cellStyle name="20% - Accent6 2 2 3 2 4 3" xfId="10567" xr:uid="{00000000-0005-0000-0000-000076290000}"/>
    <cellStyle name="20% - Accent6 2 2 3 2 4 3 2" xfId="10568" xr:uid="{00000000-0005-0000-0000-000077290000}"/>
    <cellStyle name="20% - Accent6 2 2 3 2 4 4" xfId="10569" xr:uid="{00000000-0005-0000-0000-000078290000}"/>
    <cellStyle name="20% - Accent6 2 2 3 2 5" xfId="10570" xr:uid="{00000000-0005-0000-0000-000079290000}"/>
    <cellStyle name="20% - Accent6 2 2 3 2 5 2" xfId="10571" xr:uid="{00000000-0005-0000-0000-00007A290000}"/>
    <cellStyle name="20% - Accent6 2 2 3 2 5 2 2" xfId="10572" xr:uid="{00000000-0005-0000-0000-00007B290000}"/>
    <cellStyle name="20% - Accent6 2 2 3 2 5 3" xfId="10573" xr:uid="{00000000-0005-0000-0000-00007C290000}"/>
    <cellStyle name="20% - Accent6 2 2 3 2 6" xfId="10574" xr:uid="{00000000-0005-0000-0000-00007D290000}"/>
    <cellStyle name="20% - Accent6 2 2 3 2 6 2" xfId="10575" xr:uid="{00000000-0005-0000-0000-00007E290000}"/>
    <cellStyle name="20% - Accent6 2 2 3 2 7" xfId="10576" xr:uid="{00000000-0005-0000-0000-00007F290000}"/>
    <cellStyle name="20% - Accent6 2 2 3 3" xfId="10577" xr:uid="{00000000-0005-0000-0000-000080290000}"/>
    <cellStyle name="20% - Accent6 2 2 3 3 2" xfId="10578" xr:uid="{00000000-0005-0000-0000-000081290000}"/>
    <cellStyle name="20% - Accent6 2 2 3 3 2 2" xfId="10579" xr:uid="{00000000-0005-0000-0000-000082290000}"/>
    <cellStyle name="20% - Accent6 2 2 3 3 2 2 2" xfId="10580" xr:uid="{00000000-0005-0000-0000-000083290000}"/>
    <cellStyle name="20% - Accent6 2 2 3 3 2 2 2 2" xfId="10581" xr:uid="{00000000-0005-0000-0000-000084290000}"/>
    <cellStyle name="20% - Accent6 2 2 3 3 2 2 2 2 2" xfId="10582" xr:uid="{00000000-0005-0000-0000-000085290000}"/>
    <cellStyle name="20% - Accent6 2 2 3 3 2 2 2 3" xfId="10583" xr:uid="{00000000-0005-0000-0000-000086290000}"/>
    <cellStyle name="20% - Accent6 2 2 3 3 2 2 3" xfId="10584" xr:uid="{00000000-0005-0000-0000-000087290000}"/>
    <cellStyle name="20% - Accent6 2 2 3 3 2 2 3 2" xfId="10585" xr:uid="{00000000-0005-0000-0000-000088290000}"/>
    <cellStyle name="20% - Accent6 2 2 3 3 2 2 4" xfId="10586" xr:uid="{00000000-0005-0000-0000-000089290000}"/>
    <cellStyle name="20% - Accent6 2 2 3 3 2 3" xfId="10587" xr:uid="{00000000-0005-0000-0000-00008A290000}"/>
    <cellStyle name="20% - Accent6 2 2 3 3 2 3 2" xfId="10588" xr:uid="{00000000-0005-0000-0000-00008B290000}"/>
    <cellStyle name="20% - Accent6 2 2 3 3 2 3 2 2" xfId="10589" xr:uid="{00000000-0005-0000-0000-00008C290000}"/>
    <cellStyle name="20% - Accent6 2 2 3 3 2 3 3" xfId="10590" xr:uid="{00000000-0005-0000-0000-00008D290000}"/>
    <cellStyle name="20% - Accent6 2 2 3 3 2 4" xfId="10591" xr:uid="{00000000-0005-0000-0000-00008E290000}"/>
    <cellStyle name="20% - Accent6 2 2 3 3 2 4 2" xfId="10592" xr:uid="{00000000-0005-0000-0000-00008F290000}"/>
    <cellStyle name="20% - Accent6 2 2 3 3 2 5" xfId="10593" xr:uid="{00000000-0005-0000-0000-000090290000}"/>
    <cellStyle name="20% - Accent6 2 2 3 3 3" xfId="10594" xr:uid="{00000000-0005-0000-0000-000091290000}"/>
    <cellStyle name="20% - Accent6 2 2 3 3 3 2" xfId="10595" xr:uid="{00000000-0005-0000-0000-000092290000}"/>
    <cellStyle name="20% - Accent6 2 2 3 3 3 2 2" xfId="10596" xr:uid="{00000000-0005-0000-0000-000093290000}"/>
    <cellStyle name="20% - Accent6 2 2 3 3 3 2 2 2" xfId="10597" xr:uid="{00000000-0005-0000-0000-000094290000}"/>
    <cellStyle name="20% - Accent6 2 2 3 3 3 2 3" xfId="10598" xr:uid="{00000000-0005-0000-0000-000095290000}"/>
    <cellStyle name="20% - Accent6 2 2 3 3 3 3" xfId="10599" xr:uid="{00000000-0005-0000-0000-000096290000}"/>
    <cellStyle name="20% - Accent6 2 2 3 3 3 3 2" xfId="10600" xr:uid="{00000000-0005-0000-0000-000097290000}"/>
    <cellStyle name="20% - Accent6 2 2 3 3 3 4" xfId="10601" xr:uid="{00000000-0005-0000-0000-000098290000}"/>
    <cellStyle name="20% - Accent6 2 2 3 3 4" xfId="10602" xr:uid="{00000000-0005-0000-0000-000099290000}"/>
    <cellStyle name="20% - Accent6 2 2 3 3 4 2" xfId="10603" xr:uid="{00000000-0005-0000-0000-00009A290000}"/>
    <cellStyle name="20% - Accent6 2 2 3 3 4 2 2" xfId="10604" xr:uid="{00000000-0005-0000-0000-00009B290000}"/>
    <cellStyle name="20% - Accent6 2 2 3 3 4 3" xfId="10605" xr:uid="{00000000-0005-0000-0000-00009C290000}"/>
    <cellStyle name="20% - Accent6 2 2 3 3 5" xfId="10606" xr:uid="{00000000-0005-0000-0000-00009D290000}"/>
    <cellStyle name="20% - Accent6 2 2 3 3 5 2" xfId="10607" xr:uid="{00000000-0005-0000-0000-00009E290000}"/>
    <cellStyle name="20% - Accent6 2 2 3 3 6" xfId="10608" xr:uid="{00000000-0005-0000-0000-00009F290000}"/>
    <cellStyle name="20% - Accent6 2 2 3 4" xfId="10609" xr:uid="{00000000-0005-0000-0000-0000A0290000}"/>
    <cellStyle name="20% - Accent6 2 2 3 4 2" xfId="10610" xr:uid="{00000000-0005-0000-0000-0000A1290000}"/>
    <cellStyle name="20% - Accent6 2 2 3 4 2 2" xfId="10611" xr:uid="{00000000-0005-0000-0000-0000A2290000}"/>
    <cellStyle name="20% - Accent6 2 2 3 4 2 2 2" xfId="10612" xr:uid="{00000000-0005-0000-0000-0000A3290000}"/>
    <cellStyle name="20% - Accent6 2 2 3 4 2 2 2 2" xfId="10613" xr:uid="{00000000-0005-0000-0000-0000A4290000}"/>
    <cellStyle name="20% - Accent6 2 2 3 4 2 2 3" xfId="10614" xr:uid="{00000000-0005-0000-0000-0000A5290000}"/>
    <cellStyle name="20% - Accent6 2 2 3 4 2 3" xfId="10615" xr:uid="{00000000-0005-0000-0000-0000A6290000}"/>
    <cellStyle name="20% - Accent6 2 2 3 4 2 3 2" xfId="10616" xr:uid="{00000000-0005-0000-0000-0000A7290000}"/>
    <cellStyle name="20% - Accent6 2 2 3 4 2 4" xfId="10617" xr:uid="{00000000-0005-0000-0000-0000A8290000}"/>
    <cellStyle name="20% - Accent6 2 2 3 4 3" xfId="10618" xr:uid="{00000000-0005-0000-0000-0000A9290000}"/>
    <cellStyle name="20% - Accent6 2 2 3 4 3 2" xfId="10619" xr:uid="{00000000-0005-0000-0000-0000AA290000}"/>
    <cellStyle name="20% - Accent6 2 2 3 4 3 2 2" xfId="10620" xr:uid="{00000000-0005-0000-0000-0000AB290000}"/>
    <cellStyle name="20% - Accent6 2 2 3 4 3 3" xfId="10621" xr:uid="{00000000-0005-0000-0000-0000AC290000}"/>
    <cellStyle name="20% - Accent6 2 2 3 4 4" xfId="10622" xr:uid="{00000000-0005-0000-0000-0000AD290000}"/>
    <cellStyle name="20% - Accent6 2 2 3 4 4 2" xfId="10623" xr:uid="{00000000-0005-0000-0000-0000AE290000}"/>
    <cellStyle name="20% - Accent6 2 2 3 4 5" xfId="10624" xr:uid="{00000000-0005-0000-0000-0000AF290000}"/>
    <cellStyle name="20% - Accent6 2 2 3 5" xfId="10625" xr:uid="{00000000-0005-0000-0000-0000B0290000}"/>
    <cellStyle name="20% - Accent6 2 2 3 5 2" xfId="10626" xr:uid="{00000000-0005-0000-0000-0000B1290000}"/>
    <cellStyle name="20% - Accent6 2 2 3 5 2 2" xfId="10627" xr:uid="{00000000-0005-0000-0000-0000B2290000}"/>
    <cellStyle name="20% - Accent6 2 2 3 5 2 2 2" xfId="10628" xr:uid="{00000000-0005-0000-0000-0000B3290000}"/>
    <cellStyle name="20% - Accent6 2 2 3 5 2 3" xfId="10629" xr:uid="{00000000-0005-0000-0000-0000B4290000}"/>
    <cellStyle name="20% - Accent6 2 2 3 5 3" xfId="10630" xr:uid="{00000000-0005-0000-0000-0000B5290000}"/>
    <cellStyle name="20% - Accent6 2 2 3 5 3 2" xfId="10631" xr:uid="{00000000-0005-0000-0000-0000B6290000}"/>
    <cellStyle name="20% - Accent6 2 2 3 5 4" xfId="10632" xr:uid="{00000000-0005-0000-0000-0000B7290000}"/>
    <cellStyle name="20% - Accent6 2 2 3 6" xfId="10633" xr:uid="{00000000-0005-0000-0000-0000B8290000}"/>
    <cellStyle name="20% - Accent6 2 2 3 6 2" xfId="10634" xr:uid="{00000000-0005-0000-0000-0000B9290000}"/>
    <cellStyle name="20% - Accent6 2 2 3 6 2 2" xfId="10635" xr:uid="{00000000-0005-0000-0000-0000BA290000}"/>
    <cellStyle name="20% - Accent6 2 2 3 6 3" xfId="10636" xr:uid="{00000000-0005-0000-0000-0000BB290000}"/>
    <cellStyle name="20% - Accent6 2 2 3 7" xfId="10637" xr:uid="{00000000-0005-0000-0000-0000BC290000}"/>
    <cellStyle name="20% - Accent6 2 2 3 7 2" xfId="10638" xr:uid="{00000000-0005-0000-0000-0000BD290000}"/>
    <cellStyle name="20% - Accent6 2 2 3 8" xfId="10639" xr:uid="{00000000-0005-0000-0000-0000BE290000}"/>
    <cellStyle name="20% - Accent6 2 2 4" xfId="10640" xr:uid="{00000000-0005-0000-0000-0000BF290000}"/>
    <cellStyle name="20% - Accent6 2 2 4 2" xfId="10641" xr:uid="{00000000-0005-0000-0000-0000C0290000}"/>
    <cellStyle name="20% - Accent6 2 2 4 2 2" xfId="10642" xr:uid="{00000000-0005-0000-0000-0000C1290000}"/>
    <cellStyle name="20% - Accent6 2 2 4 2 2 2" xfId="10643" xr:uid="{00000000-0005-0000-0000-0000C2290000}"/>
    <cellStyle name="20% - Accent6 2 2 4 2 2 2 2" xfId="10644" xr:uid="{00000000-0005-0000-0000-0000C3290000}"/>
    <cellStyle name="20% - Accent6 2 2 4 2 2 2 2 2" xfId="10645" xr:uid="{00000000-0005-0000-0000-0000C4290000}"/>
    <cellStyle name="20% - Accent6 2 2 4 2 2 2 2 2 2" xfId="10646" xr:uid="{00000000-0005-0000-0000-0000C5290000}"/>
    <cellStyle name="20% - Accent6 2 2 4 2 2 2 2 3" xfId="10647" xr:uid="{00000000-0005-0000-0000-0000C6290000}"/>
    <cellStyle name="20% - Accent6 2 2 4 2 2 2 3" xfId="10648" xr:uid="{00000000-0005-0000-0000-0000C7290000}"/>
    <cellStyle name="20% - Accent6 2 2 4 2 2 2 3 2" xfId="10649" xr:uid="{00000000-0005-0000-0000-0000C8290000}"/>
    <cellStyle name="20% - Accent6 2 2 4 2 2 2 4" xfId="10650" xr:uid="{00000000-0005-0000-0000-0000C9290000}"/>
    <cellStyle name="20% - Accent6 2 2 4 2 2 3" xfId="10651" xr:uid="{00000000-0005-0000-0000-0000CA290000}"/>
    <cellStyle name="20% - Accent6 2 2 4 2 2 3 2" xfId="10652" xr:uid="{00000000-0005-0000-0000-0000CB290000}"/>
    <cellStyle name="20% - Accent6 2 2 4 2 2 3 2 2" xfId="10653" xr:uid="{00000000-0005-0000-0000-0000CC290000}"/>
    <cellStyle name="20% - Accent6 2 2 4 2 2 3 3" xfId="10654" xr:uid="{00000000-0005-0000-0000-0000CD290000}"/>
    <cellStyle name="20% - Accent6 2 2 4 2 2 4" xfId="10655" xr:uid="{00000000-0005-0000-0000-0000CE290000}"/>
    <cellStyle name="20% - Accent6 2 2 4 2 2 4 2" xfId="10656" xr:uid="{00000000-0005-0000-0000-0000CF290000}"/>
    <cellStyle name="20% - Accent6 2 2 4 2 2 5" xfId="10657" xr:uid="{00000000-0005-0000-0000-0000D0290000}"/>
    <cellStyle name="20% - Accent6 2 2 4 2 3" xfId="10658" xr:uid="{00000000-0005-0000-0000-0000D1290000}"/>
    <cellStyle name="20% - Accent6 2 2 4 2 3 2" xfId="10659" xr:uid="{00000000-0005-0000-0000-0000D2290000}"/>
    <cellStyle name="20% - Accent6 2 2 4 2 3 2 2" xfId="10660" xr:uid="{00000000-0005-0000-0000-0000D3290000}"/>
    <cellStyle name="20% - Accent6 2 2 4 2 3 2 2 2" xfId="10661" xr:uid="{00000000-0005-0000-0000-0000D4290000}"/>
    <cellStyle name="20% - Accent6 2 2 4 2 3 2 3" xfId="10662" xr:uid="{00000000-0005-0000-0000-0000D5290000}"/>
    <cellStyle name="20% - Accent6 2 2 4 2 3 3" xfId="10663" xr:uid="{00000000-0005-0000-0000-0000D6290000}"/>
    <cellStyle name="20% - Accent6 2 2 4 2 3 3 2" xfId="10664" xr:uid="{00000000-0005-0000-0000-0000D7290000}"/>
    <cellStyle name="20% - Accent6 2 2 4 2 3 4" xfId="10665" xr:uid="{00000000-0005-0000-0000-0000D8290000}"/>
    <cellStyle name="20% - Accent6 2 2 4 2 4" xfId="10666" xr:uid="{00000000-0005-0000-0000-0000D9290000}"/>
    <cellStyle name="20% - Accent6 2 2 4 2 4 2" xfId="10667" xr:uid="{00000000-0005-0000-0000-0000DA290000}"/>
    <cellStyle name="20% - Accent6 2 2 4 2 4 2 2" xfId="10668" xr:uid="{00000000-0005-0000-0000-0000DB290000}"/>
    <cellStyle name="20% - Accent6 2 2 4 2 4 3" xfId="10669" xr:uid="{00000000-0005-0000-0000-0000DC290000}"/>
    <cellStyle name="20% - Accent6 2 2 4 2 5" xfId="10670" xr:uid="{00000000-0005-0000-0000-0000DD290000}"/>
    <cellStyle name="20% - Accent6 2 2 4 2 5 2" xfId="10671" xr:uid="{00000000-0005-0000-0000-0000DE290000}"/>
    <cellStyle name="20% - Accent6 2 2 4 2 6" xfId="10672" xr:uid="{00000000-0005-0000-0000-0000DF290000}"/>
    <cellStyle name="20% - Accent6 2 2 4 3" xfId="10673" xr:uid="{00000000-0005-0000-0000-0000E0290000}"/>
    <cellStyle name="20% - Accent6 2 2 4 3 2" xfId="10674" xr:uid="{00000000-0005-0000-0000-0000E1290000}"/>
    <cellStyle name="20% - Accent6 2 2 4 3 2 2" xfId="10675" xr:uid="{00000000-0005-0000-0000-0000E2290000}"/>
    <cellStyle name="20% - Accent6 2 2 4 3 2 2 2" xfId="10676" xr:uid="{00000000-0005-0000-0000-0000E3290000}"/>
    <cellStyle name="20% - Accent6 2 2 4 3 2 2 2 2" xfId="10677" xr:uid="{00000000-0005-0000-0000-0000E4290000}"/>
    <cellStyle name="20% - Accent6 2 2 4 3 2 2 3" xfId="10678" xr:uid="{00000000-0005-0000-0000-0000E5290000}"/>
    <cellStyle name="20% - Accent6 2 2 4 3 2 3" xfId="10679" xr:uid="{00000000-0005-0000-0000-0000E6290000}"/>
    <cellStyle name="20% - Accent6 2 2 4 3 2 3 2" xfId="10680" xr:uid="{00000000-0005-0000-0000-0000E7290000}"/>
    <cellStyle name="20% - Accent6 2 2 4 3 2 4" xfId="10681" xr:uid="{00000000-0005-0000-0000-0000E8290000}"/>
    <cellStyle name="20% - Accent6 2 2 4 3 3" xfId="10682" xr:uid="{00000000-0005-0000-0000-0000E9290000}"/>
    <cellStyle name="20% - Accent6 2 2 4 3 3 2" xfId="10683" xr:uid="{00000000-0005-0000-0000-0000EA290000}"/>
    <cellStyle name="20% - Accent6 2 2 4 3 3 2 2" xfId="10684" xr:uid="{00000000-0005-0000-0000-0000EB290000}"/>
    <cellStyle name="20% - Accent6 2 2 4 3 3 3" xfId="10685" xr:uid="{00000000-0005-0000-0000-0000EC290000}"/>
    <cellStyle name="20% - Accent6 2 2 4 3 4" xfId="10686" xr:uid="{00000000-0005-0000-0000-0000ED290000}"/>
    <cellStyle name="20% - Accent6 2 2 4 3 4 2" xfId="10687" xr:uid="{00000000-0005-0000-0000-0000EE290000}"/>
    <cellStyle name="20% - Accent6 2 2 4 3 5" xfId="10688" xr:uid="{00000000-0005-0000-0000-0000EF290000}"/>
    <cellStyle name="20% - Accent6 2 2 4 4" xfId="10689" xr:uid="{00000000-0005-0000-0000-0000F0290000}"/>
    <cellStyle name="20% - Accent6 2 2 4 4 2" xfId="10690" xr:uid="{00000000-0005-0000-0000-0000F1290000}"/>
    <cellStyle name="20% - Accent6 2 2 4 4 2 2" xfId="10691" xr:uid="{00000000-0005-0000-0000-0000F2290000}"/>
    <cellStyle name="20% - Accent6 2 2 4 4 2 2 2" xfId="10692" xr:uid="{00000000-0005-0000-0000-0000F3290000}"/>
    <cellStyle name="20% - Accent6 2 2 4 4 2 3" xfId="10693" xr:uid="{00000000-0005-0000-0000-0000F4290000}"/>
    <cellStyle name="20% - Accent6 2 2 4 4 3" xfId="10694" xr:uid="{00000000-0005-0000-0000-0000F5290000}"/>
    <cellStyle name="20% - Accent6 2 2 4 4 3 2" xfId="10695" xr:uid="{00000000-0005-0000-0000-0000F6290000}"/>
    <cellStyle name="20% - Accent6 2 2 4 4 4" xfId="10696" xr:uid="{00000000-0005-0000-0000-0000F7290000}"/>
    <cellStyle name="20% - Accent6 2 2 4 5" xfId="10697" xr:uid="{00000000-0005-0000-0000-0000F8290000}"/>
    <cellStyle name="20% - Accent6 2 2 4 5 2" xfId="10698" xr:uid="{00000000-0005-0000-0000-0000F9290000}"/>
    <cellStyle name="20% - Accent6 2 2 4 5 2 2" xfId="10699" xr:uid="{00000000-0005-0000-0000-0000FA290000}"/>
    <cellStyle name="20% - Accent6 2 2 4 5 3" xfId="10700" xr:uid="{00000000-0005-0000-0000-0000FB290000}"/>
    <cellStyle name="20% - Accent6 2 2 4 6" xfId="10701" xr:uid="{00000000-0005-0000-0000-0000FC290000}"/>
    <cellStyle name="20% - Accent6 2 2 4 6 2" xfId="10702" xr:uid="{00000000-0005-0000-0000-0000FD290000}"/>
    <cellStyle name="20% - Accent6 2 2 4 7" xfId="10703" xr:uid="{00000000-0005-0000-0000-0000FE290000}"/>
    <cellStyle name="20% - Accent6 2 2 5" xfId="10704" xr:uid="{00000000-0005-0000-0000-0000FF290000}"/>
    <cellStyle name="20% - Accent6 2 2 5 2" xfId="10705" xr:uid="{00000000-0005-0000-0000-0000002A0000}"/>
    <cellStyle name="20% - Accent6 2 2 5 2 2" xfId="10706" xr:uid="{00000000-0005-0000-0000-0000012A0000}"/>
    <cellStyle name="20% - Accent6 2 2 5 2 2 2" xfId="10707" xr:uid="{00000000-0005-0000-0000-0000022A0000}"/>
    <cellStyle name="20% - Accent6 2 2 5 2 2 2 2" xfId="10708" xr:uid="{00000000-0005-0000-0000-0000032A0000}"/>
    <cellStyle name="20% - Accent6 2 2 5 2 2 2 2 2" xfId="10709" xr:uid="{00000000-0005-0000-0000-0000042A0000}"/>
    <cellStyle name="20% - Accent6 2 2 5 2 2 2 3" xfId="10710" xr:uid="{00000000-0005-0000-0000-0000052A0000}"/>
    <cellStyle name="20% - Accent6 2 2 5 2 2 3" xfId="10711" xr:uid="{00000000-0005-0000-0000-0000062A0000}"/>
    <cellStyle name="20% - Accent6 2 2 5 2 2 3 2" xfId="10712" xr:uid="{00000000-0005-0000-0000-0000072A0000}"/>
    <cellStyle name="20% - Accent6 2 2 5 2 2 4" xfId="10713" xr:uid="{00000000-0005-0000-0000-0000082A0000}"/>
    <cellStyle name="20% - Accent6 2 2 5 2 3" xfId="10714" xr:uid="{00000000-0005-0000-0000-0000092A0000}"/>
    <cellStyle name="20% - Accent6 2 2 5 2 3 2" xfId="10715" xr:uid="{00000000-0005-0000-0000-00000A2A0000}"/>
    <cellStyle name="20% - Accent6 2 2 5 2 3 2 2" xfId="10716" xr:uid="{00000000-0005-0000-0000-00000B2A0000}"/>
    <cellStyle name="20% - Accent6 2 2 5 2 3 3" xfId="10717" xr:uid="{00000000-0005-0000-0000-00000C2A0000}"/>
    <cellStyle name="20% - Accent6 2 2 5 2 4" xfId="10718" xr:uid="{00000000-0005-0000-0000-00000D2A0000}"/>
    <cellStyle name="20% - Accent6 2 2 5 2 4 2" xfId="10719" xr:uid="{00000000-0005-0000-0000-00000E2A0000}"/>
    <cellStyle name="20% - Accent6 2 2 5 2 5" xfId="10720" xr:uid="{00000000-0005-0000-0000-00000F2A0000}"/>
    <cellStyle name="20% - Accent6 2 2 5 3" xfId="10721" xr:uid="{00000000-0005-0000-0000-0000102A0000}"/>
    <cellStyle name="20% - Accent6 2 2 5 3 2" xfId="10722" xr:uid="{00000000-0005-0000-0000-0000112A0000}"/>
    <cellStyle name="20% - Accent6 2 2 5 3 2 2" xfId="10723" xr:uid="{00000000-0005-0000-0000-0000122A0000}"/>
    <cellStyle name="20% - Accent6 2 2 5 3 2 2 2" xfId="10724" xr:uid="{00000000-0005-0000-0000-0000132A0000}"/>
    <cellStyle name="20% - Accent6 2 2 5 3 2 3" xfId="10725" xr:uid="{00000000-0005-0000-0000-0000142A0000}"/>
    <cellStyle name="20% - Accent6 2 2 5 3 3" xfId="10726" xr:uid="{00000000-0005-0000-0000-0000152A0000}"/>
    <cellStyle name="20% - Accent6 2 2 5 3 3 2" xfId="10727" xr:uid="{00000000-0005-0000-0000-0000162A0000}"/>
    <cellStyle name="20% - Accent6 2 2 5 3 4" xfId="10728" xr:uid="{00000000-0005-0000-0000-0000172A0000}"/>
    <cellStyle name="20% - Accent6 2 2 5 4" xfId="10729" xr:uid="{00000000-0005-0000-0000-0000182A0000}"/>
    <cellStyle name="20% - Accent6 2 2 5 4 2" xfId="10730" xr:uid="{00000000-0005-0000-0000-0000192A0000}"/>
    <cellStyle name="20% - Accent6 2 2 5 4 2 2" xfId="10731" xr:uid="{00000000-0005-0000-0000-00001A2A0000}"/>
    <cellStyle name="20% - Accent6 2 2 5 4 3" xfId="10732" xr:uid="{00000000-0005-0000-0000-00001B2A0000}"/>
    <cellStyle name="20% - Accent6 2 2 5 5" xfId="10733" xr:uid="{00000000-0005-0000-0000-00001C2A0000}"/>
    <cellStyle name="20% - Accent6 2 2 5 5 2" xfId="10734" xr:uid="{00000000-0005-0000-0000-00001D2A0000}"/>
    <cellStyle name="20% - Accent6 2 2 5 6" xfId="10735" xr:uid="{00000000-0005-0000-0000-00001E2A0000}"/>
    <cellStyle name="20% - Accent6 2 2 6" xfId="10736" xr:uid="{00000000-0005-0000-0000-00001F2A0000}"/>
    <cellStyle name="20% - Accent6 2 2 6 2" xfId="10737" xr:uid="{00000000-0005-0000-0000-0000202A0000}"/>
    <cellStyle name="20% - Accent6 2 2 6 2 2" xfId="10738" xr:uid="{00000000-0005-0000-0000-0000212A0000}"/>
    <cellStyle name="20% - Accent6 2 2 6 2 2 2" xfId="10739" xr:uid="{00000000-0005-0000-0000-0000222A0000}"/>
    <cellStyle name="20% - Accent6 2 2 6 2 2 2 2" xfId="10740" xr:uid="{00000000-0005-0000-0000-0000232A0000}"/>
    <cellStyle name="20% - Accent6 2 2 6 2 2 3" xfId="10741" xr:uid="{00000000-0005-0000-0000-0000242A0000}"/>
    <cellStyle name="20% - Accent6 2 2 6 2 3" xfId="10742" xr:uid="{00000000-0005-0000-0000-0000252A0000}"/>
    <cellStyle name="20% - Accent6 2 2 6 2 3 2" xfId="10743" xr:uid="{00000000-0005-0000-0000-0000262A0000}"/>
    <cellStyle name="20% - Accent6 2 2 6 2 4" xfId="10744" xr:uid="{00000000-0005-0000-0000-0000272A0000}"/>
    <cellStyle name="20% - Accent6 2 2 6 3" xfId="10745" xr:uid="{00000000-0005-0000-0000-0000282A0000}"/>
    <cellStyle name="20% - Accent6 2 2 6 3 2" xfId="10746" xr:uid="{00000000-0005-0000-0000-0000292A0000}"/>
    <cellStyle name="20% - Accent6 2 2 6 3 2 2" xfId="10747" xr:uid="{00000000-0005-0000-0000-00002A2A0000}"/>
    <cellStyle name="20% - Accent6 2 2 6 3 3" xfId="10748" xr:uid="{00000000-0005-0000-0000-00002B2A0000}"/>
    <cellStyle name="20% - Accent6 2 2 6 4" xfId="10749" xr:uid="{00000000-0005-0000-0000-00002C2A0000}"/>
    <cellStyle name="20% - Accent6 2 2 6 4 2" xfId="10750" xr:uid="{00000000-0005-0000-0000-00002D2A0000}"/>
    <cellStyle name="20% - Accent6 2 2 6 5" xfId="10751" xr:uid="{00000000-0005-0000-0000-00002E2A0000}"/>
    <cellStyle name="20% - Accent6 2 2 7" xfId="10752" xr:uid="{00000000-0005-0000-0000-00002F2A0000}"/>
    <cellStyle name="20% - Accent6 2 2 7 2" xfId="10753" xr:uid="{00000000-0005-0000-0000-0000302A0000}"/>
    <cellStyle name="20% - Accent6 2 2 7 2 2" xfId="10754" xr:uid="{00000000-0005-0000-0000-0000312A0000}"/>
    <cellStyle name="20% - Accent6 2 2 7 2 2 2" xfId="10755" xr:uid="{00000000-0005-0000-0000-0000322A0000}"/>
    <cellStyle name="20% - Accent6 2 2 7 2 3" xfId="10756" xr:uid="{00000000-0005-0000-0000-0000332A0000}"/>
    <cellStyle name="20% - Accent6 2 2 7 3" xfId="10757" xr:uid="{00000000-0005-0000-0000-0000342A0000}"/>
    <cellStyle name="20% - Accent6 2 2 7 3 2" xfId="10758" xr:uid="{00000000-0005-0000-0000-0000352A0000}"/>
    <cellStyle name="20% - Accent6 2 2 7 4" xfId="10759" xr:uid="{00000000-0005-0000-0000-0000362A0000}"/>
    <cellStyle name="20% - Accent6 2 2 8" xfId="10760" xr:uid="{00000000-0005-0000-0000-0000372A0000}"/>
    <cellStyle name="20% - Accent6 2 2 8 2" xfId="10761" xr:uid="{00000000-0005-0000-0000-0000382A0000}"/>
    <cellStyle name="20% - Accent6 2 2 8 2 2" xfId="10762" xr:uid="{00000000-0005-0000-0000-0000392A0000}"/>
    <cellStyle name="20% - Accent6 2 2 8 3" xfId="10763" xr:uid="{00000000-0005-0000-0000-00003A2A0000}"/>
    <cellStyle name="20% - Accent6 2 2 9" xfId="10764" xr:uid="{00000000-0005-0000-0000-00003B2A0000}"/>
    <cellStyle name="20% - Accent6 2 2 9 2" xfId="10765" xr:uid="{00000000-0005-0000-0000-00003C2A0000}"/>
    <cellStyle name="20% - Accent6 2 3" xfId="10766" xr:uid="{00000000-0005-0000-0000-00003D2A0000}"/>
    <cellStyle name="20% - Accent6 2 3 2" xfId="10767" xr:uid="{00000000-0005-0000-0000-00003E2A0000}"/>
    <cellStyle name="20% - Accent6 2 3 2 2" xfId="10768" xr:uid="{00000000-0005-0000-0000-00003F2A0000}"/>
    <cellStyle name="20% - Accent6 2 3 2 2 2" xfId="10769" xr:uid="{00000000-0005-0000-0000-0000402A0000}"/>
    <cellStyle name="20% - Accent6 2 3 2 2 2 2" xfId="10770" xr:uid="{00000000-0005-0000-0000-0000412A0000}"/>
    <cellStyle name="20% - Accent6 2 3 2 2 2 2 2" xfId="10771" xr:uid="{00000000-0005-0000-0000-0000422A0000}"/>
    <cellStyle name="20% - Accent6 2 3 2 2 2 2 2 2" xfId="10772" xr:uid="{00000000-0005-0000-0000-0000432A0000}"/>
    <cellStyle name="20% - Accent6 2 3 2 2 2 2 2 2 2" xfId="10773" xr:uid="{00000000-0005-0000-0000-0000442A0000}"/>
    <cellStyle name="20% - Accent6 2 3 2 2 2 2 2 2 2 2" xfId="10774" xr:uid="{00000000-0005-0000-0000-0000452A0000}"/>
    <cellStyle name="20% - Accent6 2 3 2 2 2 2 2 2 3" xfId="10775" xr:uid="{00000000-0005-0000-0000-0000462A0000}"/>
    <cellStyle name="20% - Accent6 2 3 2 2 2 2 2 3" xfId="10776" xr:uid="{00000000-0005-0000-0000-0000472A0000}"/>
    <cellStyle name="20% - Accent6 2 3 2 2 2 2 2 3 2" xfId="10777" xr:uid="{00000000-0005-0000-0000-0000482A0000}"/>
    <cellStyle name="20% - Accent6 2 3 2 2 2 2 2 4" xfId="10778" xr:uid="{00000000-0005-0000-0000-0000492A0000}"/>
    <cellStyle name="20% - Accent6 2 3 2 2 2 2 3" xfId="10779" xr:uid="{00000000-0005-0000-0000-00004A2A0000}"/>
    <cellStyle name="20% - Accent6 2 3 2 2 2 2 3 2" xfId="10780" xr:uid="{00000000-0005-0000-0000-00004B2A0000}"/>
    <cellStyle name="20% - Accent6 2 3 2 2 2 2 3 2 2" xfId="10781" xr:uid="{00000000-0005-0000-0000-00004C2A0000}"/>
    <cellStyle name="20% - Accent6 2 3 2 2 2 2 3 3" xfId="10782" xr:uid="{00000000-0005-0000-0000-00004D2A0000}"/>
    <cellStyle name="20% - Accent6 2 3 2 2 2 2 4" xfId="10783" xr:uid="{00000000-0005-0000-0000-00004E2A0000}"/>
    <cellStyle name="20% - Accent6 2 3 2 2 2 2 4 2" xfId="10784" xr:uid="{00000000-0005-0000-0000-00004F2A0000}"/>
    <cellStyle name="20% - Accent6 2 3 2 2 2 2 5" xfId="10785" xr:uid="{00000000-0005-0000-0000-0000502A0000}"/>
    <cellStyle name="20% - Accent6 2 3 2 2 2 3" xfId="10786" xr:uid="{00000000-0005-0000-0000-0000512A0000}"/>
    <cellStyle name="20% - Accent6 2 3 2 2 2 3 2" xfId="10787" xr:uid="{00000000-0005-0000-0000-0000522A0000}"/>
    <cellStyle name="20% - Accent6 2 3 2 2 2 3 2 2" xfId="10788" xr:uid="{00000000-0005-0000-0000-0000532A0000}"/>
    <cellStyle name="20% - Accent6 2 3 2 2 2 3 2 2 2" xfId="10789" xr:uid="{00000000-0005-0000-0000-0000542A0000}"/>
    <cellStyle name="20% - Accent6 2 3 2 2 2 3 2 3" xfId="10790" xr:uid="{00000000-0005-0000-0000-0000552A0000}"/>
    <cellStyle name="20% - Accent6 2 3 2 2 2 3 3" xfId="10791" xr:uid="{00000000-0005-0000-0000-0000562A0000}"/>
    <cellStyle name="20% - Accent6 2 3 2 2 2 3 3 2" xfId="10792" xr:uid="{00000000-0005-0000-0000-0000572A0000}"/>
    <cellStyle name="20% - Accent6 2 3 2 2 2 3 4" xfId="10793" xr:uid="{00000000-0005-0000-0000-0000582A0000}"/>
    <cellStyle name="20% - Accent6 2 3 2 2 2 4" xfId="10794" xr:uid="{00000000-0005-0000-0000-0000592A0000}"/>
    <cellStyle name="20% - Accent6 2 3 2 2 2 4 2" xfId="10795" xr:uid="{00000000-0005-0000-0000-00005A2A0000}"/>
    <cellStyle name="20% - Accent6 2 3 2 2 2 4 2 2" xfId="10796" xr:uid="{00000000-0005-0000-0000-00005B2A0000}"/>
    <cellStyle name="20% - Accent6 2 3 2 2 2 4 3" xfId="10797" xr:uid="{00000000-0005-0000-0000-00005C2A0000}"/>
    <cellStyle name="20% - Accent6 2 3 2 2 2 5" xfId="10798" xr:uid="{00000000-0005-0000-0000-00005D2A0000}"/>
    <cellStyle name="20% - Accent6 2 3 2 2 2 5 2" xfId="10799" xr:uid="{00000000-0005-0000-0000-00005E2A0000}"/>
    <cellStyle name="20% - Accent6 2 3 2 2 2 6" xfId="10800" xr:uid="{00000000-0005-0000-0000-00005F2A0000}"/>
    <cellStyle name="20% - Accent6 2 3 2 2 3" xfId="10801" xr:uid="{00000000-0005-0000-0000-0000602A0000}"/>
    <cellStyle name="20% - Accent6 2 3 2 2 3 2" xfId="10802" xr:uid="{00000000-0005-0000-0000-0000612A0000}"/>
    <cellStyle name="20% - Accent6 2 3 2 2 3 2 2" xfId="10803" xr:uid="{00000000-0005-0000-0000-0000622A0000}"/>
    <cellStyle name="20% - Accent6 2 3 2 2 3 2 2 2" xfId="10804" xr:uid="{00000000-0005-0000-0000-0000632A0000}"/>
    <cellStyle name="20% - Accent6 2 3 2 2 3 2 2 2 2" xfId="10805" xr:uid="{00000000-0005-0000-0000-0000642A0000}"/>
    <cellStyle name="20% - Accent6 2 3 2 2 3 2 2 3" xfId="10806" xr:uid="{00000000-0005-0000-0000-0000652A0000}"/>
    <cellStyle name="20% - Accent6 2 3 2 2 3 2 3" xfId="10807" xr:uid="{00000000-0005-0000-0000-0000662A0000}"/>
    <cellStyle name="20% - Accent6 2 3 2 2 3 2 3 2" xfId="10808" xr:uid="{00000000-0005-0000-0000-0000672A0000}"/>
    <cellStyle name="20% - Accent6 2 3 2 2 3 2 4" xfId="10809" xr:uid="{00000000-0005-0000-0000-0000682A0000}"/>
    <cellStyle name="20% - Accent6 2 3 2 2 3 3" xfId="10810" xr:uid="{00000000-0005-0000-0000-0000692A0000}"/>
    <cellStyle name="20% - Accent6 2 3 2 2 3 3 2" xfId="10811" xr:uid="{00000000-0005-0000-0000-00006A2A0000}"/>
    <cellStyle name="20% - Accent6 2 3 2 2 3 3 2 2" xfId="10812" xr:uid="{00000000-0005-0000-0000-00006B2A0000}"/>
    <cellStyle name="20% - Accent6 2 3 2 2 3 3 3" xfId="10813" xr:uid="{00000000-0005-0000-0000-00006C2A0000}"/>
    <cellStyle name="20% - Accent6 2 3 2 2 3 4" xfId="10814" xr:uid="{00000000-0005-0000-0000-00006D2A0000}"/>
    <cellStyle name="20% - Accent6 2 3 2 2 3 4 2" xfId="10815" xr:uid="{00000000-0005-0000-0000-00006E2A0000}"/>
    <cellStyle name="20% - Accent6 2 3 2 2 3 5" xfId="10816" xr:uid="{00000000-0005-0000-0000-00006F2A0000}"/>
    <cellStyle name="20% - Accent6 2 3 2 2 4" xfId="10817" xr:uid="{00000000-0005-0000-0000-0000702A0000}"/>
    <cellStyle name="20% - Accent6 2 3 2 2 4 2" xfId="10818" xr:uid="{00000000-0005-0000-0000-0000712A0000}"/>
    <cellStyle name="20% - Accent6 2 3 2 2 4 2 2" xfId="10819" xr:uid="{00000000-0005-0000-0000-0000722A0000}"/>
    <cellStyle name="20% - Accent6 2 3 2 2 4 2 2 2" xfId="10820" xr:uid="{00000000-0005-0000-0000-0000732A0000}"/>
    <cellStyle name="20% - Accent6 2 3 2 2 4 2 3" xfId="10821" xr:uid="{00000000-0005-0000-0000-0000742A0000}"/>
    <cellStyle name="20% - Accent6 2 3 2 2 4 3" xfId="10822" xr:uid="{00000000-0005-0000-0000-0000752A0000}"/>
    <cellStyle name="20% - Accent6 2 3 2 2 4 3 2" xfId="10823" xr:uid="{00000000-0005-0000-0000-0000762A0000}"/>
    <cellStyle name="20% - Accent6 2 3 2 2 4 4" xfId="10824" xr:uid="{00000000-0005-0000-0000-0000772A0000}"/>
    <cellStyle name="20% - Accent6 2 3 2 2 5" xfId="10825" xr:uid="{00000000-0005-0000-0000-0000782A0000}"/>
    <cellStyle name="20% - Accent6 2 3 2 2 5 2" xfId="10826" xr:uid="{00000000-0005-0000-0000-0000792A0000}"/>
    <cellStyle name="20% - Accent6 2 3 2 2 5 2 2" xfId="10827" xr:uid="{00000000-0005-0000-0000-00007A2A0000}"/>
    <cellStyle name="20% - Accent6 2 3 2 2 5 3" xfId="10828" xr:uid="{00000000-0005-0000-0000-00007B2A0000}"/>
    <cellStyle name="20% - Accent6 2 3 2 2 6" xfId="10829" xr:uid="{00000000-0005-0000-0000-00007C2A0000}"/>
    <cellStyle name="20% - Accent6 2 3 2 2 6 2" xfId="10830" xr:uid="{00000000-0005-0000-0000-00007D2A0000}"/>
    <cellStyle name="20% - Accent6 2 3 2 2 7" xfId="10831" xr:uid="{00000000-0005-0000-0000-00007E2A0000}"/>
    <cellStyle name="20% - Accent6 2 3 2 3" xfId="10832" xr:uid="{00000000-0005-0000-0000-00007F2A0000}"/>
    <cellStyle name="20% - Accent6 2 3 2 3 2" xfId="10833" xr:uid="{00000000-0005-0000-0000-0000802A0000}"/>
    <cellStyle name="20% - Accent6 2 3 2 3 2 2" xfId="10834" xr:uid="{00000000-0005-0000-0000-0000812A0000}"/>
    <cellStyle name="20% - Accent6 2 3 2 3 2 2 2" xfId="10835" xr:uid="{00000000-0005-0000-0000-0000822A0000}"/>
    <cellStyle name="20% - Accent6 2 3 2 3 2 2 2 2" xfId="10836" xr:uid="{00000000-0005-0000-0000-0000832A0000}"/>
    <cellStyle name="20% - Accent6 2 3 2 3 2 2 2 2 2" xfId="10837" xr:uid="{00000000-0005-0000-0000-0000842A0000}"/>
    <cellStyle name="20% - Accent6 2 3 2 3 2 2 2 3" xfId="10838" xr:uid="{00000000-0005-0000-0000-0000852A0000}"/>
    <cellStyle name="20% - Accent6 2 3 2 3 2 2 3" xfId="10839" xr:uid="{00000000-0005-0000-0000-0000862A0000}"/>
    <cellStyle name="20% - Accent6 2 3 2 3 2 2 3 2" xfId="10840" xr:uid="{00000000-0005-0000-0000-0000872A0000}"/>
    <cellStyle name="20% - Accent6 2 3 2 3 2 2 4" xfId="10841" xr:uid="{00000000-0005-0000-0000-0000882A0000}"/>
    <cellStyle name="20% - Accent6 2 3 2 3 2 3" xfId="10842" xr:uid="{00000000-0005-0000-0000-0000892A0000}"/>
    <cellStyle name="20% - Accent6 2 3 2 3 2 3 2" xfId="10843" xr:uid="{00000000-0005-0000-0000-00008A2A0000}"/>
    <cellStyle name="20% - Accent6 2 3 2 3 2 3 2 2" xfId="10844" xr:uid="{00000000-0005-0000-0000-00008B2A0000}"/>
    <cellStyle name="20% - Accent6 2 3 2 3 2 3 3" xfId="10845" xr:uid="{00000000-0005-0000-0000-00008C2A0000}"/>
    <cellStyle name="20% - Accent6 2 3 2 3 2 4" xfId="10846" xr:uid="{00000000-0005-0000-0000-00008D2A0000}"/>
    <cellStyle name="20% - Accent6 2 3 2 3 2 4 2" xfId="10847" xr:uid="{00000000-0005-0000-0000-00008E2A0000}"/>
    <cellStyle name="20% - Accent6 2 3 2 3 2 5" xfId="10848" xr:uid="{00000000-0005-0000-0000-00008F2A0000}"/>
    <cellStyle name="20% - Accent6 2 3 2 3 3" xfId="10849" xr:uid="{00000000-0005-0000-0000-0000902A0000}"/>
    <cellStyle name="20% - Accent6 2 3 2 3 3 2" xfId="10850" xr:uid="{00000000-0005-0000-0000-0000912A0000}"/>
    <cellStyle name="20% - Accent6 2 3 2 3 3 2 2" xfId="10851" xr:uid="{00000000-0005-0000-0000-0000922A0000}"/>
    <cellStyle name="20% - Accent6 2 3 2 3 3 2 2 2" xfId="10852" xr:uid="{00000000-0005-0000-0000-0000932A0000}"/>
    <cellStyle name="20% - Accent6 2 3 2 3 3 2 3" xfId="10853" xr:uid="{00000000-0005-0000-0000-0000942A0000}"/>
    <cellStyle name="20% - Accent6 2 3 2 3 3 3" xfId="10854" xr:uid="{00000000-0005-0000-0000-0000952A0000}"/>
    <cellStyle name="20% - Accent6 2 3 2 3 3 3 2" xfId="10855" xr:uid="{00000000-0005-0000-0000-0000962A0000}"/>
    <cellStyle name="20% - Accent6 2 3 2 3 3 4" xfId="10856" xr:uid="{00000000-0005-0000-0000-0000972A0000}"/>
    <cellStyle name="20% - Accent6 2 3 2 3 4" xfId="10857" xr:uid="{00000000-0005-0000-0000-0000982A0000}"/>
    <cellStyle name="20% - Accent6 2 3 2 3 4 2" xfId="10858" xr:uid="{00000000-0005-0000-0000-0000992A0000}"/>
    <cellStyle name="20% - Accent6 2 3 2 3 4 2 2" xfId="10859" xr:uid="{00000000-0005-0000-0000-00009A2A0000}"/>
    <cellStyle name="20% - Accent6 2 3 2 3 4 3" xfId="10860" xr:uid="{00000000-0005-0000-0000-00009B2A0000}"/>
    <cellStyle name="20% - Accent6 2 3 2 3 5" xfId="10861" xr:uid="{00000000-0005-0000-0000-00009C2A0000}"/>
    <cellStyle name="20% - Accent6 2 3 2 3 5 2" xfId="10862" xr:uid="{00000000-0005-0000-0000-00009D2A0000}"/>
    <cellStyle name="20% - Accent6 2 3 2 3 6" xfId="10863" xr:uid="{00000000-0005-0000-0000-00009E2A0000}"/>
    <cellStyle name="20% - Accent6 2 3 2 4" xfId="10864" xr:uid="{00000000-0005-0000-0000-00009F2A0000}"/>
    <cellStyle name="20% - Accent6 2 3 2 4 2" xfId="10865" xr:uid="{00000000-0005-0000-0000-0000A02A0000}"/>
    <cellStyle name="20% - Accent6 2 3 2 4 2 2" xfId="10866" xr:uid="{00000000-0005-0000-0000-0000A12A0000}"/>
    <cellStyle name="20% - Accent6 2 3 2 4 2 2 2" xfId="10867" xr:uid="{00000000-0005-0000-0000-0000A22A0000}"/>
    <cellStyle name="20% - Accent6 2 3 2 4 2 2 2 2" xfId="10868" xr:uid="{00000000-0005-0000-0000-0000A32A0000}"/>
    <cellStyle name="20% - Accent6 2 3 2 4 2 2 3" xfId="10869" xr:uid="{00000000-0005-0000-0000-0000A42A0000}"/>
    <cellStyle name="20% - Accent6 2 3 2 4 2 3" xfId="10870" xr:uid="{00000000-0005-0000-0000-0000A52A0000}"/>
    <cellStyle name="20% - Accent6 2 3 2 4 2 3 2" xfId="10871" xr:uid="{00000000-0005-0000-0000-0000A62A0000}"/>
    <cellStyle name="20% - Accent6 2 3 2 4 2 4" xfId="10872" xr:uid="{00000000-0005-0000-0000-0000A72A0000}"/>
    <cellStyle name="20% - Accent6 2 3 2 4 3" xfId="10873" xr:uid="{00000000-0005-0000-0000-0000A82A0000}"/>
    <cellStyle name="20% - Accent6 2 3 2 4 3 2" xfId="10874" xr:uid="{00000000-0005-0000-0000-0000A92A0000}"/>
    <cellStyle name="20% - Accent6 2 3 2 4 3 2 2" xfId="10875" xr:uid="{00000000-0005-0000-0000-0000AA2A0000}"/>
    <cellStyle name="20% - Accent6 2 3 2 4 3 3" xfId="10876" xr:uid="{00000000-0005-0000-0000-0000AB2A0000}"/>
    <cellStyle name="20% - Accent6 2 3 2 4 4" xfId="10877" xr:uid="{00000000-0005-0000-0000-0000AC2A0000}"/>
    <cellStyle name="20% - Accent6 2 3 2 4 4 2" xfId="10878" xr:uid="{00000000-0005-0000-0000-0000AD2A0000}"/>
    <cellStyle name="20% - Accent6 2 3 2 4 5" xfId="10879" xr:uid="{00000000-0005-0000-0000-0000AE2A0000}"/>
    <cellStyle name="20% - Accent6 2 3 2 5" xfId="10880" xr:uid="{00000000-0005-0000-0000-0000AF2A0000}"/>
    <cellStyle name="20% - Accent6 2 3 2 5 2" xfId="10881" xr:uid="{00000000-0005-0000-0000-0000B02A0000}"/>
    <cellStyle name="20% - Accent6 2 3 2 5 2 2" xfId="10882" xr:uid="{00000000-0005-0000-0000-0000B12A0000}"/>
    <cellStyle name="20% - Accent6 2 3 2 5 2 2 2" xfId="10883" xr:uid="{00000000-0005-0000-0000-0000B22A0000}"/>
    <cellStyle name="20% - Accent6 2 3 2 5 2 3" xfId="10884" xr:uid="{00000000-0005-0000-0000-0000B32A0000}"/>
    <cellStyle name="20% - Accent6 2 3 2 5 3" xfId="10885" xr:uid="{00000000-0005-0000-0000-0000B42A0000}"/>
    <cellStyle name="20% - Accent6 2 3 2 5 3 2" xfId="10886" xr:uid="{00000000-0005-0000-0000-0000B52A0000}"/>
    <cellStyle name="20% - Accent6 2 3 2 5 4" xfId="10887" xr:uid="{00000000-0005-0000-0000-0000B62A0000}"/>
    <cellStyle name="20% - Accent6 2 3 2 6" xfId="10888" xr:uid="{00000000-0005-0000-0000-0000B72A0000}"/>
    <cellStyle name="20% - Accent6 2 3 2 6 2" xfId="10889" xr:uid="{00000000-0005-0000-0000-0000B82A0000}"/>
    <cellStyle name="20% - Accent6 2 3 2 6 2 2" xfId="10890" xr:uid="{00000000-0005-0000-0000-0000B92A0000}"/>
    <cellStyle name="20% - Accent6 2 3 2 6 3" xfId="10891" xr:uid="{00000000-0005-0000-0000-0000BA2A0000}"/>
    <cellStyle name="20% - Accent6 2 3 2 7" xfId="10892" xr:uid="{00000000-0005-0000-0000-0000BB2A0000}"/>
    <cellStyle name="20% - Accent6 2 3 2 7 2" xfId="10893" xr:uid="{00000000-0005-0000-0000-0000BC2A0000}"/>
    <cellStyle name="20% - Accent6 2 3 2 8" xfId="10894" xr:uid="{00000000-0005-0000-0000-0000BD2A0000}"/>
    <cellStyle name="20% - Accent6 2 3 3" xfId="10895" xr:uid="{00000000-0005-0000-0000-0000BE2A0000}"/>
    <cellStyle name="20% - Accent6 2 3 3 2" xfId="10896" xr:uid="{00000000-0005-0000-0000-0000BF2A0000}"/>
    <cellStyle name="20% - Accent6 2 3 3 2 2" xfId="10897" xr:uid="{00000000-0005-0000-0000-0000C02A0000}"/>
    <cellStyle name="20% - Accent6 2 3 3 2 2 2" xfId="10898" xr:uid="{00000000-0005-0000-0000-0000C12A0000}"/>
    <cellStyle name="20% - Accent6 2 3 3 2 2 2 2" xfId="10899" xr:uid="{00000000-0005-0000-0000-0000C22A0000}"/>
    <cellStyle name="20% - Accent6 2 3 3 2 2 2 2 2" xfId="10900" xr:uid="{00000000-0005-0000-0000-0000C32A0000}"/>
    <cellStyle name="20% - Accent6 2 3 3 2 2 2 2 2 2" xfId="10901" xr:uid="{00000000-0005-0000-0000-0000C42A0000}"/>
    <cellStyle name="20% - Accent6 2 3 3 2 2 2 2 3" xfId="10902" xr:uid="{00000000-0005-0000-0000-0000C52A0000}"/>
    <cellStyle name="20% - Accent6 2 3 3 2 2 2 3" xfId="10903" xr:uid="{00000000-0005-0000-0000-0000C62A0000}"/>
    <cellStyle name="20% - Accent6 2 3 3 2 2 2 3 2" xfId="10904" xr:uid="{00000000-0005-0000-0000-0000C72A0000}"/>
    <cellStyle name="20% - Accent6 2 3 3 2 2 2 4" xfId="10905" xr:uid="{00000000-0005-0000-0000-0000C82A0000}"/>
    <cellStyle name="20% - Accent6 2 3 3 2 2 3" xfId="10906" xr:uid="{00000000-0005-0000-0000-0000C92A0000}"/>
    <cellStyle name="20% - Accent6 2 3 3 2 2 3 2" xfId="10907" xr:uid="{00000000-0005-0000-0000-0000CA2A0000}"/>
    <cellStyle name="20% - Accent6 2 3 3 2 2 3 2 2" xfId="10908" xr:uid="{00000000-0005-0000-0000-0000CB2A0000}"/>
    <cellStyle name="20% - Accent6 2 3 3 2 2 3 3" xfId="10909" xr:uid="{00000000-0005-0000-0000-0000CC2A0000}"/>
    <cellStyle name="20% - Accent6 2 3 3 2 2 4" xfId="10910" xr:uid="{00000000-0005-0000-0000-0000CD2A0000}"/>
    <cellStyle name="20% - Accent6 2 3 3 2 2 4 2" xfId="10911" xr:uid="{00000000-0005-0000-0000-0000CE2A0000}"/>
    <cellStyle name="20% - Accent6 2 3 3 2 2 5" xfId="10912" xr:uid="{00000000-0005-0000-0000-0000CF2A0000}"/>
    <cellStyle name="20% - Accent6 2 3 3 2 3" xfId="10913" xr:uid="{00000000-0005-0000-0000-0000D02A0000}"/>
    <cellStyle name="20% - Accent6 2 3 3 2 3 2" xfId="10914" xr:uid="{00000000-0005-0000-0000-0000D12A0000}"/>
    <cellStyle name="20% - Accent6 2 3 3 2 3 2 2" xfId="10915" xr:uid="{00000000-0005-0000-0000-0000D22A0000}"/>
    <cellStyle name="20% - Accent6 2 3 3 2 3 2 2 2" xfId="10916" xr:uid="{00000000-0005-0000-0000-0000D32A0000}"/>
    <cellStyle name="20% - Accent6 2 3 3 2 3 2 3" xfId="10917" xr:uid="{00000000-0005-0000-0000-0000D42A0000}"/>
    <cellStyle name="20% - Accent6 2 3 3 2 3 3" xfId="10918" xr:uid="{00000000-0005-0000-0000-0000D52A0000}"/>
    <cellStyle name="20% - Accent6 2 3 3 2 3 3 2" xfId="10919" xr:uid="{00000000-0005-0000-0000-0000D62A0000}"/>
    <cellStyle name="20% - Accent6 2 3 3 2 3 4" xfId="10920" xr:uid="{00000000-0005-0000-0000-0000D72A0000}"/>
    <cellStyle name="20% - Accent6 2 3 3 2 4" xfId="10921" xr:uid="{00000000-0005-0000-0000-0000D82A0000}"/>
    <cellStyle name="20% - Accent6 2 3 3 2 4 2" xfId="10922" xr:uid="{00000000-0005-0000-0000-0000D92A0000}"/>
    <cellStyle name="20% - Accent6 2 3 3 2 4 2 2" xfId="10923" xr:uid="{00000000-0005-0000-0000-0000DA2A0000}"/>
    <cellStyle name="20% - Accent6 2 3 3 2 4 3" xfId="10924" xr:uid="{00000000-0005-0000-0000-0000DB2A0000}"/>
    <cellStyle name="20% - Accent6 2 3 3 2 5" xfId="10925" xr:uid="{00000000-0005-0000-0000-0000DC2A0000}"/>
    <cellStyle name="20% - Accent6 2 3 3 2 5 2" xfId="10926" xr:uid="{00000000-0005-0000-0000-0000DD2A0000}"/>
    <cellStyle name="20% - Accent6 2 3 3 2 6" xfId="10927" xr:uid="{00000000-0005-0000-0000-0000DE2A0000}"/>
    <cellStyle name="20% - Accent6 2 3 3 3" xfId="10928" xr:uid="{00000000-0005-0000-0000-0000DF2A0000}"/>
    <cellStyle name="20% - Accent6 2 3 3 3 2" xfId="10929" xr:uid="{00000000-0005-0000-0000-0000E02A0000}"/>
    <cellStyle name="20% - Accent6 2 3 3 3 2 2" xfId="10930" xr:uid="{00000000-0005-0000-0000-0000E12A0000}"/>
    <cellStyle name="20% - Accent6 2 3 3 3 2 2 2" xfId="10931" xr:uid="{00000000-0005-0000-0000-0000E22A0000}"/>
    <cellStyle name="20% - Accent6 2 3 3 3 2 2 2 2" xfId="10932" xr:uid="{00000000-0005-0000-0000-0000E32A0000}"/>
    <cellStyle name="20% - Accent6 2 3 3 3 2 2 3" xfId="10933" xr:uid="{00000000-0005-0000-0000-0000E42A0000}"/>
    <cellStyle name="20% - Accent6 2 3 3 3 2 3" xfId="10934" xr:uid="{00000000-0005-0000-0000-0000E52A0000}"/>
    <cellStyle name="20% - Accent6 2 3 3 3 2 3 2" xfId="10935" xr:uid="{00000000-0005-0000-0000-0000E62A0000}"/>
    <cellStyle name="20% - Accent6 2 3 3 3 2 4" xfId="10936" xr:uid="{00000000-0005-0000-0000-0000E72A0000}"/>
    <cellStyle name="20% - Accent6 2 3 3 3 3" xfId="10937" xr:uid="{00000000-0005-0000-0000-0000E82A0000}"/>
    <cellStyle name="20% - Accent6 2 3 3 3 3 2" xfId="10938" xr:uid="{00000000-0005-0000-0000-0000E92A0000}"/>
    <cellStyle name="20% - Accent6 2 3 3 3 3 2 2" xfId="10939" xr:uid="{00000000-0005-0000-0000-0000EA2A0000}"/>
    <cellStyle name="20% - Accent6 2 3 3 3 3 3" xfId="10940" xr:uid="{00000000-0005-0000-0000-0000EB2A0000}"/>
    <cellStyle name="20% - Accent6 2 3 3 3 4" xfId="10941" xr:uid="{00000000-0005-0000-0000-0000EC2A0000}"/>
    <cellStyle name="20% - Accent6 2 3 3 3 4 2" xfId="10942" xr:uid="{00000000-0005-0000-0000-0000ED2A0000}"/>
    <cellStyle name="20% - Accent6 2 3 3 3 5" xfId="10943" xr:uid="{00000000-0005-0000-0000-0000EE2A0000}"/>
    <cellStyle name="20% - Accent6 2 3 3 4" xfId="10944" xr:uid="{00000000-0005-0000-0000-0000EF2A0000}"/>
    <cellStyle name="20% - Accent6 2 3 3 4 2" xfId="10945" xr:uid="{00000000-0005-0000-0000-0000F02A0000}"/>
    <cellStyle name="20% - Accent6 2 3 3 4 2 2" xfId="10946" xr:uid="{00000000-0005-0000-0000-0000F12A0000}"/>
    <cellStyle name="20% - Accent6 2 3 3 4 2 2 2" xfId="10947" xr:uid="{00000000-0005-0000-0000-0000F22A0000}"/>
    <cellStyle name="20% - Accent6 2 3 3 4 2 3" xfId="10948" xr:uid="{00000000-0005-0000-0000-0000F32A0000}"/>
    <cellStyle name="20% - Accent6 2 3 3 4 3" xfId="10949" xr:uid="{00000000-0005-0000-0000-0000F42A0000}"/>
    <cellStyle name="20% - Accent6 2 3 3 4 3 2" xfId="10950" xr:uid="{00000000-0005-0000-0000-0000F52A0000}"/>
    <cellStyle name="20% - Accent6 2 3 3 4 4" xfId="10951" xr:uid="{00000000-0005-0000-0000-0000F62A0000}"/>
    <cellStyle name="20% - Accent6 2 3 3 5" xfId="10952" xr:uid="{00000000-0005-0000-0000-0000F72A0000}"/>
    <cellStyle name="20% - Accent6 2 3 3 5 2" xfId="10953" xr:uid="{00000000-0005-0000-0000-0000F82A0000}"/>
    <cellStyle name="20% - Accent6 2 3 3 5 2 2" xfId="10954" xr:uid="{00000000-0005-0000-0000-0000F92A0000}"/>
    <cellStyle name="20% - Accent6 2 3 3 5 3" xfId="10955" xr:uid="{00000000-0005-0000-0000-0000FA2A0000}"/>
    <cellStyle name="20% - Accent6 2 3 3 6" xfId="10956" xr:uid="{00000000-0005-0000-0000-0000FB2A0000}"/>
    <cellStyle name="20% - Accent6 2 3 3 6 2" xfId="10957" xr:uid="{00000000-0005-0000-0000-0000FC2A0000}"/>
    <cellStyle name="20% - Accent6 2 3 3 7" xfId="10958" xr:uid="{00000000-0005-0000-0000-0000FD2A0000}"/>
    <cellStyle name="20% - Accent6 2 3 4" xfId="10959" xr:uid="{00000000-0005-0000-0000-0000FE2A0000}"/>
    <cellStyle name="20% - Accent6 2 3 4 2" xfId="10960" xr:uid="{00000000-0005-0000-0000-0000FF2A0000}"/>
    <cellStyle name="20% - Accent6 2 3 4 2 2" xfId="10961" xr:uid="{00000000-0005-0000-0000-0000002B0000}"/>
    <cellStyle name="20% - Accent6 2 3 4 2 2 2" xfId="10962" xr:uid="{00000000-0005-0000-0000-0000012B0000}"/>
    <cellStyle name="20% - Accent6 2 3 4 2 2 2 2" xfId="10963" xr:uid="{00000000-0005-0000-0000-0000022B0000}"/>
    <cellStyle name="20% - Accent6 2 3 4 2 2 2 2 2" xfId="10964" xr:uid="{00000000-0005-0000-0000-0000032B0000}"/>
    <cellStyle name="20% - Accent6 2 3 4 2 2 2 3" xfId="10965" xr:uid="{00000000-0005-0000-0000-0000042B0000}"/>
    <cellStyle name="20% - Accent6 2 3 4 2 2 3" xfId="10966" xr:uid="{00000000-0005-0000-0000-0000052B0000}"/>
    <cellStyle name="20% - Accent6 2 3 4 2 2 3 2" xfId="10967" xr:uid="{00000000-0005-0000-0000-0000062B0000}"/>
    <cellStyle name="20% - Accent6 2 3 4 2 2 4" xfId="10968" xr:uid="{00000000-0005-0000-0000-0000072B0000}"/>
    <cellStyle name="20% - Accent6 2 3 4 2 3" xfId="10969" xr:uid="{00000000-0005-0000-0000-0000082B0000}"/>
    <cellStyle name="20% - Accent6 2 3 4 2 3 2" xfId="10970" xr:uid="{00000000-0005-0000-0000-0000092B0000}"/>
    <cellStyle name="20% - Accent6 2 3 4 2 3 2 2" xfId="10971" xr:uid="{00000000-0005-0000-0000-00000A2B0000}"/>
    <cellStyle name="20% - Accent6 2 3 4 2 3 3" xfId="10972" xr:uid="{00000000-0005-0000-0000-00000B2B0000}"/>
    <cellStyle name="20% - Accent6 2 3 4 2 4" xfId="10973" xr:uid="{00000000-0005-0000-0000-00000C2B0000}"/>
    <cellStyle name="20% - Accent6 2 3 4 2 4 2" xfId="10974" xr:uid="{00000000-0005-0000-0000-00000D2B0000}"/>
    <cellStyle name="20% - Accent6 2 3 4 2 5" xfId="10975" xr:uid="{00000000-0005-0000-0000-00000E2B0000}"/>
    <cellStyle name="20% - Accent6 2 3 4 3" xfId="10976" xr:uid="{00000000-0005-0000-0000-00000F2B0000}"/>
    <cellStyle name="20% - Accent6 2 3 4 3 2" xfId="10977" xr:uid="{00000000-0005-0000-0000-0000102B0000}"/>
    <cellStyle name="20% - Accent6 2 3 4 3 2 2" xfId="10978" xr:uid="{00000000-0005-0000-0000-0000112B0000}"/>
    <cellStyle name="20% - Accent6 2 3 4 3 2 2 2" xfId="10979" xr:uid="{00000000-0005-0000-0000-0000122B0000}"/>
    <cellStyle name="20% - Accent6 2 3 4 3 2 3" xfId="10980" xr:uid="{00000000-0005-0000-0000-0000132B0000}"/>
    <cellStyle name="20% - Accent6 2 3 4 3 3" xfId="10981" xr:uid="{00000000-0005-0000-0000-0000142B0000}"/>
    <cellStyle name="20% - Accent6 2 3 4 3 3 2" xfId="10982" xr:uid="{00000000-0005-0000-0000-0000152B0000}"/>
    <cellStyle name="20% - Accent6 2 3 4 3 4" xfId="10983" xr:uid="{00000000-0005-0000-0000-0000162B0000}"/>
    <cellStyle name="20% - Accent6 2 3 4 4" xfId="10984" xr:uid="{00000000-0005-0000-0000-0000172B0000}"/>
    <cellStyle name="20% - Accent6 2 3 4 4 2" xfId="10985" xr:uid="{00000000-0005-0000-0000-0000182B0000}"/>
    <cellStyle name="20% - Accent6 2 3 4 4 2 2" xfId="10986" xr:uid="{00000000-0005-0000-0000-0000192B0000}"/>
    <cellStyle name="20% - Accent6 2 3 4 4 3" xfId="10987" xr:uid="{00000000-0005-0000-0000-00001A2B0000}"/>
    <cellStyle name="20% - Accent6 2 3 4 5" xfId="10988" xr:uid="{00000000-0005-0000-0000-00001B2B0000}"/>
    <cellStyle name="20% - Accent6 2 3 4 5 2" xfId="10989" xr:uid="{00000000-0005-0000-0000-00001C2B0000}"/>
    <cellStyle name="20% - Accent6 2 3 4 6" xfId="10990" xr:uid="{00000000-0005-0000-0000-00001D2B0000}"/>
    <cellStyle name="20% - Accent6 2 3 5" xfId="10991" xr:uid="{00000000-0005-0000-0000-00001E2B0000}"/>
    <cellStyle name="20% - Accent6 2 3 5 2" xfId="10992" xr:uid="{00000000-0005-0000-0000-00001F2B0000}"/>
    <cellStyle name="20% - Accent6 2 3 5 2 2" xfId="10993" xr:uid="{00000000-0005-0000-0000-0000202B0000}"/>
    <cellStyle name="20% - Accent6 2 3 5 2 2 2" xfId="10994" xr:uid="{00000000-0005-0000-0000-0000212B0000}"/>
    <cellStyle name="20% - Accent6 2 3 5 2 2 2 2" xfId="10995" xr:uid="{00000000-0005-0000-0000-0000222B0000}"/>
    <cellStyle name="20% - Accent6 2 3 5 2 2 3" xfId="10996" xr:uid="{00000000-0005-0000-0000-0000232B0000}"/>
    <cellStyle name="20% - Accent6 2 3 5 2 3" xfId="10997" xr:uid="{00000000-0005-0000-0000-0000242B0000}"/>
    <cellStyle name="20% - Accent6 2 3 5 2 3 2" xfId="10998" xr:uid="{00000000-0005-0000-0000-0000252B0000}"/>
    <cellStyle name="20% - Accent6 2 3 5 2 4" xfId="10999" xr:uid="{00000000-0005-0000-0000-0000262B0000}"/>
    <cellStyle name="20% - Accent6 2 3 5 3" xfId="11000" xr:uid="{00000000-0005-0000-0000-0000272B0000}"/>
    <cellStyle name="20% - Accent6 2 3 5 3 2" xfId="11001" xr:uid="{00000000-0005-0000-0000-0000282B0000}"/>
    <cellStyle name="20% - Accent6 2 3 5 3 2 2" xfId="11002" xr:uid="{00000000-0005-0000-0000-0000292B0000}"/>
    <cellStyle name="20% - Accent6 2 3 5 3 3" xfId="11003" xr:uid="{00000000-0005-0000-0000-00002A2B0000}"/>
    <cellStyle name="20% - Accent6 2 3 5 4" xfId="11004" xr:uid="{00000000-0005-0000-0000-00002B2B0000}"/>
    <cellStyle name="20% - Accent6 2 3 5 4 2" xfId="11005" xr:uid="{00000000-0005-0000-0000-00002C2B0000}"/>
    <cellStyle name="20% - Accent6 2 3 5 5" xfId="11006" xr:uid="{00000000-0005-0000-0000-00002D2B0000}"/>
    <cellStyle name="20% - Accent6 2 3 6" xfId="11007" xr:uid="{00000000-0005-0000-0000-00002E2B0000}"/>
    <cellStyle name="20% - Accent6 2 3 6 2" xfId="11008" xr:uid="{00000000-0005-0000-0000-00002F2B0000}"/>
    <cellStyle name="20% - Accent6 2 3 6 2 2" xfId="11009" xr:uid="{00000000-0005-0000-0000-0000302B0000}"/>
    <cellStyle name="20% - Accent6 2 3 6 2 2 2" xfId="11010" xr:uid="{00000000-0005-0000-0000-0000312B0000}"/>
    <cellStyle name="20% - Accent6 2 3 6 2 3" xfId="11011" xr:uid="{00000000-0005-0000-0000-0000322B0000}"/>
    <cellStyle name="20% - Accent6 2 3 6 3" xfId="11012" xr:uid="{00000000-0005-0000-0000-0000332B0000}"/>
    <cellStyle name="20% - Accent6 2 3 6 3 2" xfId="11013" xr:uid="{00000000-0005-0000-0000-0000342B0000}"/>
    <cellStyle name="20% - Accent6 2 3 6 4" xfId="11014" xr:uid="{00000000-0005-0000-0000-0000352B0000}"/>
    <cellStyle name="20% - Accent6 2 3 7" xfId="11015" xr:uid="{00000000-0005-0000-0000-0000362B0000}"/>
    <cellStyle name="20% - Accent6 2 3 7 2" xfId="11016" xr:uid="{00000000-0005-0000-0000-0000372B0000}"/>
    <cellStyle name="20% - Accent6 2 3 7 2 2" xfId="11017" xr:uid="{00000000-0005-0000-0000-0000382B0000}"/>
    <cellStyle name="20% - Accent6 2 3 7 3" xfId="11018" xr:uid="{00000000-0005-0000-0000-0000392B0000}"/>
    <cellStyle name="20% - Accent6 2 3 8" xfId="11019" xr:uid="{00000000-0005-0000-0000-00003A2B0000}"/>
    <cellStyle name="20% - Accent6 2 3 8 2" xfId="11020" xr:uid="{00000000-0005-0000-0000-00003B2B0000}"/>
    <cellStyle name="20% - Accent6 2 3 9" xfId="11021" xr:uid="{00000000-0005-0000-0000-00003C2B0000}"/>
    <cellStyle name="20% - Accent6 2 4" xfId="11022" xr:uid="{00000000-0005-0000-0000-00003D2B0000}"/>
    <cellStyle name="20% - Accent6 2 4 2" xfId="11023" xr:uid="{00000000-0005-0000-0000-00003E2B0000}"/>
    <cellStyle name="20% - Accent6 2 4 2 2" xfId="11024" xr:uid="{00000000-0005-0000-0000-00003F2B0000}"/>
    <cellStyle name="20% - Accent6 2 4 2 2 2" xfId="11025" xr:uid="{00000000-0005-0000-0000-0000402B0000}"/>
    <cellStyle name="20% - Accent6 2 4 2 2 2 2" xfId="11026" xr:uid="{00000000-0005-0000-0000-0000412B0000}"/>
    <cellStyle name="20% - Accent6 2 4 2 2 2 2 2" xfId="11027" xr:uid="{00000000-0005-0000-0000-0000422B0000}"/>
    <cellStyle name="20% - Accent6 2 4 2 2 2 2 2 2" xfId="11028" xr:uid="{00000000-0005-0000-0000-0000432B0000}"/>
    <cellStyle name="20% - Accent6 2 4 2 2 2 2 2 2 2" xfId="11029" xr:uid="{00000000-0005-0000-0000-0000442B0000}"/>
    <cellStyle name="20% - Accent6 2 4 2 2 2 2 2 3" xfId="11030" xr:uid="{00000000-0005-0000-0000-0000452B0000}"/>
    <cellStyle name="20% - Accent6 2 4 2 2 2 2 3" xfId="11031" xr:uid="{00000000-0005-0000-0000-0000462B0000}"/>
    <cellStyle name="20% - Accent6 2 4 2 2 2 2 3 2" xfId="11032" xr:uid="{00000000-0005-0000-0000-0000472B0000}"/>
    <cellStyle name="20% - Accent6 2 4 2 2 2 2 4" xfId="11033" xr:uid="{00000000-0005-0000-0000-0000482B0000}"/>
    <cellStyle name="20% - Accent6 2 4 2 2 2 3" xfId="11034" xr:uid="{00000000-0005-0000-0000-0000492B0000}"/>
    <cellStyle name="20% - Accent6 2 4 2 2 2 3 2" xfId="11035" xr:uid="{00000000-0005-0000-0000-00004A2B0000}"/>
    <cellStyle name="20% - Accent6 2 4 2 2 2 3 2 2" xfId="11036" xr:uid="{00000000-0005-0000-0000-00004B2B0000}"/>
    <cellStyle name="20% - Accent6 2 4 2 2 2 3 3" xfId="11037" xr:uid="{00000000-0005-0000-0000-00004C2B0000}"/>
    <cellStyle name="20% - Accent6 2 4 2 2 2 4" xfId="11038" xr:uid="{00000000-0005-0000-0000-00004D2B0000}"/>
    <cellStyle name="20% - Accent6 2 4 2 2 2 4 2" xfId="11039" xr:uid="{00000000-0005-0000-0000-00004E2B0000}"/>
    <cellStyle name="20% - Accent6 2 4 2 2 2 5" xfId="11040" xr:uid="{00000000-0005-0000-0000-00004F2B0000}"/>
    <cellStyle name="20% - Accent6 2 4 2 2 3" xfId="11041" xr:uid="{00000000-0005-0000-0000-0000502B0000}"/>
    <cellStyle name="20% - Accent6 2 4 2 2 3 2" xfId="11042" xr:uid="{00000000-0005-0000-0000-0000512B0000}"/>
    <cellStyle name="20% - Accent6 2 4 2 2 3 2 2" xfId="11043" xr:uid="{00000000-0005-0000-0000-0000522B0000}"/>
    <cellStyle name="20% - Accent6 2 4 2 2 3 2 2 2" xfId="11044" xr:uid="{00000000-0005-0000-0000-0000532B0000}"/>
    <cellStyle name="20% - Accent6 2 4 2 2 3 2 3" xfId="11045" xr:uid="{00000000-0005-0000-0000-0000542B0000}"/>
    <cellStyle name="20% - Accent6 2 4 2 2 3 3" xfId="11046" xr:uid="{00000000-0005-0000-0000-0000552B0000}"/>
    <cellStyle name="20% - Accent6 2 4 2 2 3 3 2" xfId="11047" xr:uid="{00000000-0005-0000-0000-0000562B0000}"/>
    <cellStyle name="20% - Accent6 2 4 2 2 3 4" xfId="11048" xr:uid="{00000000-0005-0000-0000-0000572B0000}"/>
    <cellStyle name="20% - Accent6 2 4 2 2 4" xfId="11049" xr:uid="{00000000-0005-0000-0000-0000582B0000}"/>
    <cellStyle name="20% - Accent6 2 4 2 2 4 2" xfId="11050" xr:uid="{00000000-0005-0000-0000-0000592B0000}"/>
    <cellStyle name="20% - Accent6 2 4 2 2 4 2 2" xfId="11051" xr:uid="{00000000-0005-0000-0000-00005A2B0000}"/>
    <cellStyle name="20% - Accent6 2 4 2 2 4 3" xfId="11052" xr:uid="{00000000-0005-0000-0000-00005B2B0000}"/>
    <cellStyle name="20% - Accent6 2 4 2 2 5" xfId="11053" xr:uid="{00000000-0005-0000-0000-00005C2B0000}"/>
    <cellStyle name="20% - Accent6 2 4 2 2 5 2" xfId="11054" xr:uid="{00000000-0005-0000-0000-00005D2B0000}"/>
    <cellStyle name="20% - Accent6 2 4 2 2 6" xfId="11055" xr:uid="{00000000-0005-0000-0000-00005E2B0000}"/>
    <cellStyle name="20% - Accent6 2 4 2 3" xfId="11056" xr:uid="{00000000-0005-0000-0000-00005F2B0000}"/>
    <cellStyle name="20% - Accent6 2 4 2 3 2" xfId="11057" xr:uid="{00000000-0005-0000-0000-0000602B0000}"/>
    <cellStyle name="20% - Accent6 2 4 2 3 2 2" xfId="11058" xr:uid="{00000000-0005-0000-0000-0000612B0000}"/>
    <cellStyle name="20% - Accent6 2 4 2 3 2 2 2" xfId="11059" xr:uid="{00000000-0005-0000-0000-0000622B0000}"/>
    <cellStyle name="20% - Accent6 2 4 2 3 2 2 2 2" xfId="11060" xr:uid="{00000000-0005-0000-0000-0000632B0000}"/>
    <cellStyle name="20% - Accent6 2 4 2 3 2 2 3" xfId="11061" xr:uid="{00000000-0005-0000-0000-0000642B0000}"/>
    <cellStyle name="20% - Accent6 2 4 2 3 2 3" xfId="11062" xr:uid="{00000000-0005-0000-0000-0000652B0000}"/>
    <cellStyle name="20% - Accent6 2 4 2 3 2 3 2" xfId="11063" xr:uid="{00000000-0005-0000-0000-0000662B0000}"/>
    <cellStyle name="20% - Accent6 2 4 2 3 2 4" xfId="11064" xr:uid="{00000000-0005-0000-0000-0000672B0000}"/>
    <cellStyle name="20% - Accent6 2 4 2 3 3" xfId="11065" xr:uid="{00000000-0005-0000-0000-0000682B0000}"/>
    <cellStyle name="20% - Accent6 2 4 2 3 3 2" xfId="11066" xr:uid="{00000000-0005-0000-0000-0000692B0000}"/>
    <cellStyle name="20% - Accent6 2 4 2 3 3 2 2" xfId="11067" xr:uid="{00000000-0005-0000-0000-00006A2B0000}"/>
    <cellStyle name="20% - Accent6 2 4 2 3 3 3" xfId="11068" xr:uid="{00000000-0005-0000-0000-00006B2B0000}"/>
    <cellStyle name="20% - Accent6 2 4 2 3 4" xfId="11069" xr:uid="{00000000-0005-0000-0000-00006C2B0000}"/>
    <cellStyle name="20% - Accent6 2 4 2 3 4 2" xfId="11070" xr:uid="{00000000-0005-0000-0000-00006D2B0000}"/>
    <cellStyle name="20% - Accent6 2 4 2 3 5" xfId="11071" xr:uid="{00000000-0005-0000-0000-00006E2B0000}"/>
    <cellStyle name="20% - Accent6 2 4 2 4" xfId="11072" xr:uid="{00000000-0005-0000-0000-00006F2B0000}"/>
    <cellStyle name="20% - Accent6 2 4 2 4 2" xfId="11073" xr:uid="{00000000-0005-0000-0000-0000702B0000}"/>
    <cellStyle name="20% - Accent6 2 4 2 4 2 2" xfId="11074" xr:uid="{00000000-0005-0000-0000-0000712B0000}"/>
    <cellStyle name="20% - Accent6 2 4 2 4 2 2 2" xfId="11075" xr:uid="{00000000-0005-0000-0000-0000722B0000}"/>
    <cellStyle name="20% - Accent6 2 4 2 4 2 3" xfId="11076" xr:uid="{00000000-0005-0000-0000-0000732B0000}"/>
    <cellStyle name="20% - Accent6 2 4 2 4 3" xfId="11077" xr:uid="{00000000-0005-0000-0000-0000742B0000}"/>
    <cellStyle name="20% - Accent6 2 4 2 4 3 2" xfId="11078" xr:uid="{00000000-0005-0000-0000-0000752B0000}"/>
    <cellStyle name="20% - Accent6 2 4 2 4 4" xfId="11079" xr:uid="{00000000-0005-0000-0000-0000762B0000}"/>
    <cellStyle name="20% - Accent6 2 4 2 5" xfId="11080" xr:uid="{00000000-0005-0000-0000-0000772B0000}"/>
    <cellStyle name="20% - Accent6 2 4 2 5 2" xfId="11081" xr:uid="{00000000-0005-0000-0000-0000782B0000}"/>
    <cellStyle name="20% - Accent6 2 4 2 5 2 2" xfId="11082" xr:uid="{00000000-0005-0000-0000-0000792B0000}"/>
    <cellStyle name="20% - Accent6 2 4 2 5 3" xfId="11083" xr:uid="{00000000-0005-0000-0000-00007A2B0000}"/>
    <cellStyle name="20% - Accent6 2 4 2 6" xfId="11084" xr:uid="{00000000-0005-0000-0000-00007B2B0000}"/>
    <cellStyle name="20% - Accent6 2 4 2 6 2" xfId="11085" xr:uid="{00000000-0005-0000-0000-00007C2B0000}"/>
    <cellStyle name="20% - Accent6 2 4 2 7" xfId="11086" xr:uid="{00000000-0005-0000-0000-00007D2B0000}"/>
    <cellStyle name="20% - Accent6 2 4 3" xfId="11087" xr:uid="{00000000-0005-0000-0000-00007E2B0000}"/>
    <cellStyle name="20% - Accent6 2 4 3 2" xfId="11088" xr:uid="{00000000-0005-0000-0000-00007F2B0000}"/>
    <cellStyle name="20% - Accent6 2 4 3 2 2" xfId="11089" xr:uid="{00000000-0005-0000-0000-0000802B0000}"/>
    <cellStyle name="20% - Accent6 2 4 3 2 2 2" xfId="11090" xr:uid="{00000000-0005-0000-0000-0000812B0000}"/>
    <cellStyle name="20% - Accent6 2 4 3 2 2 2 2" xfId="11091" xr:uid="{00000000-0005-0000-0000-0000822B0000}"/>
    <cellStyle name="20% - Accent6 2 4 3 2 2 2 2 2" xfId="11092" xr:uid="{00000000-0005-0000-0000-0000832B0000}"/>
    <cellStyle name="20% - Accent6 2 4 3 2 2 2 3" xfId="11093" xr:uid="{00000000-0005-0000-0000-0000842B0000}"/>
    <cellStyle name="20% - Accent6 2 4 3 2 2 3" xfId="11094" xr:uid="{00000000-0005-0000-0000-0000852B0000}"/>
    <cellStyle name="20% - Accent6 2 4 3 2 2 3 2" xfId="11095" xr:uid="{00000000-0005-0000-0000-0000862B0000}"/>
    <cellStyle name="20% - Accent6 2 4 3 2 2 4" xfId="11096" xr:uid="{00000000-0005-0000-0000-0000872B0000}"/>
    <cellStyle name="20% - Accent6 2 4 3 2 3" xfId="11097" xr:uid="{00000000-0005-0000-0000-0000882B0000}"/>
    <cellStyle name="20% - Accent6 2 4 3 2 3 2" xfId="11098" xr:uid="{00000000-0005-0000-0000-0000892B0000}"/>
    <cellStyle name="20% - Accent6 2 4 3 2 3 2 2" xfId="11099" xr:uid="{00000000-0005-0000-0000-00008A2B0000}"/>
    <cellStyle name="20% - Accent6 2 4 3 2 3 3" xfId="11100" xr:uid="{00000000-0005-0000-0000-00008B2B0000}"/>
    <cellStyle name="20% - Accent6 2 4 3 2 4" xfId="11101" xr:uid="{00000000-0005-0000-0000-00008C2B0000}"/>
    <cellStyle name="20% - Accent6 2 4 3 2 4 2" xfId="11102" xr:uid="{00000000-0005-0000-0000-00008D2B0000}"/>
    <cellStyle name="20% - Accent6 2 4 3 2 5" xfId="11103" xr:uid="{00000000-0005-0000-0000-00008E2B0000}"/>
    <cellStyle name="20% - Accent6 2 4 3 3" xfId="11104" xr:uid="{00000000-0005-0000-0000-00008F2B0000}"/>
    <cellStyle name="20% - Accent6 2 4 3 3 2" xfId="11105" xr:uid="{00000000-0005-0000-0000-0000902B0000}"/>
    <cellStyle name="20% - Accent6 2 4 3 3 2 2" xfId="11106" xr:uid="{00000000-0005-0000-0000-0000912B0000}"/>
    <cellStyle name="20% - Accent6 2 4 3 3 2 2 2" xfId="11107" xr:uid="{00000000-0005-0000-0000-0000922B0000}"/>
    <cellStyle name="20% - Accent6 2 4 3 3 2 3" xfId="11108" xr:uid="{00000000-0005-0000-0000-0000932B0000}"/>
    <cellStyle name="20% - Accent6 2 4 3 3 3" xfId="11109" xr:uid="{00000000-0005-0000-0000-0000942B0000}"/>
    <cellStyle name="20% - Accent6 2 4 3 3 3 2" xfId="11110" xr:uid="{00000000-0005-0000-0000-0000952B0000}"/>
    <cellStyle name="20% - Accent6 2 4 3 3 4" xfId="11111" xr:uid="{00000000-0005-0000-0000-0000962B0000}"/>
    <cellStyle name="20% - Accent6 2 4 3 4" xfId="11112" xr:uid="{00000000-0005-0000-0000-0000972B0000}"/>
    <cellStyle name="20% - Accent6 2 4 3 4 2" xfId="11113" xr:uid="{00000000-0005-0000-0000-0000982B0000}"/>
    <cellStyle name="20% - Accent6 2 4 3 4 2 2" xfId="11114" xr:uid="{00000000-0005-0000-0000-0000992B0000}"/>
    <cellStyle name="20% - Accent6 2 4 3 4 3" xfId="11115" xr:uid="{00000000-0005-0000-0000-00009A2B0000}"/>
    <cellStyle name="20% - Accent6 2 4 3 5" xfId="11116" xr:uid="{00000000-0005-0000-0000-00009B2B0000}"/>
    <cellStyle name="20% - Accent6 2 4 3 5 2" xfId="11117" xr:uid="{00000000-0005-0000-0000-00009C2B0000}"/>
    <cellStyle name="20% - Accent6 2 4 3 6" xfId="11118" xr:uid="{00000000-0005-0000-0000-00009D2B0000}"/>
    <cellStyle name="20% - Accent6 2 4 4" xfId="11119" xr:uid="{00000000-0005-0000-0000-00009E2B0000}"/>
    <cellStyle name="20% - Accent6 2 4 4 2" xfId="11120" xr:uid="{00000000-0005-0000-0000-00009F2B0000}"/>
    <cellStyle name="20% - Accent6 2 4 4 2 2" xfId="11121" xr:uid="{00000000-0005-0000-0000-0000A02B0000}"/>
    <cellStyle name="20% - Accent6 2 4 4 2 2 2" xfId="11122" xr:uid="{00000000-0005-0000-0000-0000A12B0000}"/>
    <cellStyle name="20% - Accent6 2 4 4 2 2 2 2" xfId="11123" xr:uid="{00000000-0005-0000-0000-0000A22B0000}"/>
    <cellStyle name="20% - Accent6 2 4 4 2 2 3" xfId="11124" xr:uid="{00000000-0005-0000-0000-0000A32B0000}"/>
    <cellStyle name="20% - Accent6 2 4 4 2 3" xfId="11125" xr:uid="{00000000-0005-0000-0000-0000A42B0000}"/>
    <cellStyle name="20% - Accent6 2 4 4 2 3 2" xfId="11126" xr:uid="{00000000-0005-0000-0000-0000A52B0000}"/>
    <cellStyle name="20% - Accent6 2 4 4 2 4" xfId="11127" xr:uid="{00000000-0005-0000-0000-0000A62B0000}"/>
    <cellStyle name="20% - Accent6 2 4 4 3" xfId="11128" xr:uid="{00000000-0005-0000-0000-0000A72B0000}"/>
    <cellStyle name="20% - Accent6 2 4 4 3 2" xfId="11129" xr:uid="{00000000-0005-0000-0000-0000A82B0000}"/>
    <cellStyle name="20% - Accent6 2 4 4 3 2 2" xfId="11130" xr:uid="{00000000-0005-0000-0000-0000A92B0000}"/>
    <cellStyle name="20% - Accent6 2 4 4 3 3" xfId="11131" xr:uid="{00000000-0005-0000-0000-0000AA2B0000}"/>
    <cellStyle name="20% - Accent6 2 4 4 4" xfId="11132" xr:uid="{00000000-0005-0000-0000-0000AB2B0000}"/>
    <cellStyle name="20% - Accent6 2 4 4 4 2" xfId="11133" xr:uid="{00000000-0005-0000-0000-0000AC2B0000}"/>
    <cellStyle name="20% - Accent6 2 4 4 5" xfId="11134" xr:uid="{00000000-0005-0000-0000-0000AD2B0000}"/>
    <cellStyle name="20% - Accent6 2 4 5" xfId="11135" xr:uid="{00000000-0005-0000-0000-0000AE2B0000}"/>
    <cellStyle name="20% - Accent6 2 4 5 2" xfId="11136" xr:uid="{00000000-0005-0000-0000-0000AF2B0000}"/>
    <cellStyle name="20% - Accent6 2 4 5 2 2" xfId="11137" xr:uid="{00000000-0005-0000-0000-0000B02B0000}"/>
    <cellStyle name="20% - Accent6 2 4 5 2 2 2" xfId="11138" xr:uid="{00000000-0005-0000-0000-0000B12B0000}"/>
    <cellStyle name="20% - Accent6 2 4 5 2 3" xfId="11139" xr:uid="{00000000-0005-0000-0000-0000B22B0000}"/>
    <cellStyle name="20% - Accent6 2 4 5 3" xfId="11140" xr:uid="{00000000-0005-0000-0000-0000B32B0000}"/>
    <cellStyle name="20% - Accent6 2 4 5 3 2" xfId="11141" xr:uid="{00000000-0005-0000-0000-0000B42B0000}"/>
    <cellStyle name="20% - Accent6 2 4 5 4" xfId="11142" xr:uid="{00000000-0005-0000-0000-0000B52B0000}"/>
    <cellStyle name="20% - Accent6 2 4 6" xfId="11143" xr:uid="{00000000-0005-0000-0000-0000B62B0000}"/>
    <cellStyle name="20% - Accent6 2 4 6 2" xfId="11144" xr:uid="{00000000-0005-0000-0000-0000B72B0000}"/>
    <cellStyle name="20% - Accent6 2 4 6 2 2" xfId="11145" xr:uid="{00000000-0005-0000-0000-0000B82B0000}"/>
    <cellStyle name="20% - Accent6 2 4 6 3" xfId="11146" xr:uid="{00000000-0005-0000-0000-0000B92B0000}"/>
    <cellStyle name="20% - Accent6 2 4 7" xfId="11147" xr:uid="{00000000-0005-0000-0000-0000BA2B0000}"/>
    <cellStyle name="20% - Accent6 2 4 7 2" xfId="11148" xr:uid="{00000000-0005-0000-0000-0000BB2B0000}"/>
    <cellStyle name="20% - Accent6 2 4 8" xfId="11149" xr:uid="{00000000-0005-0000-0000-0000BC2B0000}"/>
    <cellStyle name="20% - Accent6 2 5" xfId="11150" xr:uid="{00000000-0005-0000-0000-0000BD2B0000}"/>
    <cellStyle name="20% - Accent6 2 5 2" xfId="11151" xr:uid="{00000000-0005-0000-0000-0000BE2B0000}"/>
    <cellStyle name="20% - Accent6 2 5 2 2" xfId="11152" xr:uid="{00000000-0005-0000-0000-0000BF2B0000}"/>
    <cellStyle name="20% - Accent6 2 5 2 2 2" xfId="11153" xr:uid="{00000000-0005-0000-0000-0000C02B0000}"/>
    <cellStyle name="20% - Accent6 2 5 2 2 2 2" xfId="11154" xr:uid="{00000000-0005-0000-0000-0000C12B0000}"/>
    <cellStyle name="20% - Accent6 2 5 2 2 2 2 2" xfId="11155" xr:uid="{00000000-0005-0000-0000-0000C22B0000}"/>
    <cellStyle name="20% - Accent6 2 5 2 2 2 2 2 2" xfId="11156" xr:uid="{00000000-0005-0000-0000-0000C32B0000}"/>
    <cellStyle name="20% - Accent6 2 5 2 2 2 2 3" xfId="11157" xr:uid="{00000000-0005-0000-0000-0000C42B0000}"/>
    <cellStyle name="20% - Accent6 2 5 2 2 2 3" xfId="11158" xr:uid="{00000000-0005-0000-0000-0000C52B0000}"/>
    <cellStyle name="20% - Accent6 2 5 2 2 2 3 2" xfId="11159" xr:uid="{00000000-0005-0000-0000-0000C62B0000}"/>
    <cellStyle name="20% - Accent6 2 5 2 2 2 4" xfId="11160" xr:uid="{00000000-0005-0000-0000-0000C72B0000}"/>
    <cellStyle name="20% - Accent6 2 5 2 2 3" xfId="11161" xr:uid="{00000000-0005-0000-0000-0000C82B0000}"/>
    <cellStyle name="20% - Accent6 2 5 2 2 3 2" xfId="11162" xr:uid="{00000000-0005-0000-0000-0000C92B0000}"/>
    <cellStyle name="20% - Accent6 2 5 2 2 3 2 2" xfId="11163" xr:uid="{00000000-0005-0000-0000-0000CA2B0000}"/>
    <cellStyle name="20% - Accent6 2 5 2 2 3 3" xfId="11164" xr:uid="{00000000-0005-0000-0000-0000CB2B0000}"/>
    <cellStyle name="20% - Accent6 2 5 2 2 4" xfId="11165" xr:uid="{00000000-0005-0000-0000-0000CC2B0000}"/>
    <cellStyle name="20% - Accent6 2 5 2 2 4 2" xfId="11166" xr:uid="{00000000-0005-0000-0000-0000CD2B0000}"/>
    <cellStyle name="20% - Accent6 2 5 2 2 5" xfId="11167" xr:uid="{00000000-0005-0000-0000-0000CE2B0000}"/>
    <cellStyle name="20% - Accent6 2 5 2 3" xfId="11168" xr:uid="{00000000-0005-0000-0000-0000CF2B0000}"/>
    <cellStyle name="20% - Accent6 2 5 2 3 2" xfId="11169" xr:uid="{00000000-0005-0000-0000-0000D02B0000}"/>
    <cellStyle name="20% - Accent6 2 5 2 3 2 2" xfId="11170" xr:uid="{00000000-0005-0000-0000-0000D12B0000}"/>
    <cellStyle name="20% - Accent6 2 5 2 3 2 2 2" xfId="11171" xr:uid="{00000000-0005-0000-0000-0000D22B0000}"/>
    <cellStyle name="20% - Accent6 2 5 2 3 2 3" xfId="11172" xr:uid="{00000000-0005-0000-0000-0000D32B0000}"/>
    <cellStyle name="20% - Accent6 2 5 2 3 3" xfId="11173" xr:uid="{00000000-0005-0000-0000-0000D42B0000}"/>
    <cellStyle name="20% - Accent6 2 5 2 3 3 2" xfId="11174" xr:uid="{00000000-0005-0000-0000-0000D52B0000}"/>
    <cellStyle name="20% - Accent6 2 5 2 3 4" xfId="11175" xr:uid="{00000000-0005-0000-0000-0000D62B0000}"/>
    <cellStyle name="20% - Accent6 2 5 2 4" xfId="11176" xr:uid="{00000000-0005-0000-0000-0000D72B0000}"/>
    <cellStyle name="20% - Accent6 2 5 2 4 2" xfId="11177" xr:uid="{00000000-0005-0000-0000-0000D82B0000}"/>
    <cellStyle name="20% - Accent6 2 5 2 4 2 2" xfId="11178" xr:uid="{00000000-0005-0000-0000-0000D92B0000}"/>
    <cellStyle name="20% - Accent6 2 5 2 4 3" xfId="11179" xr:uid="{00000000-0005-0000-0000-0000DA2B0000}"/>
    <cellStyle name="20% - Accent6 2 5 2 5" xfId="11180" xr:uid="{00000000-0005-0000-0000-0000DB2B0000}"/>
    <cellStyle name="20% - Accent6 2 5 2 5 2" xfId="11181" xr:uid="{00000000-0005-0000-0000-0000DC2B0000}"/>
    <cellStyle name="20% - Accent6 2 5 2 6" xfId="11182" xr:uid="{00000000-0005-0000-0000-0000DD2B0000}"/>
    <cellStyle name="20% - Accent6 2 5 3" xfId="11183" xr:uid="{00000000-0005-0000-0000-0000DE2B0000}"/>
    <cellStyle name="20% - Accent6 2 5 3 2" xfId="11184" xr:uid="{00000000-0005-0000-0000-0000DF2B0000}"/>
    <cellStyle name="20% - Accent6 2 5 3 2 2" xfId="11185" xr:uid="{00000000-0005-0000-0000-0000E02B0000}"/>
    <cellStyle name="20% - Accent6 2 5 3 2 2 2" xfId="11186" xr:uid="{00000000-0005-0000-0000-0000E12B0000}"/>
    <cellStyle name="20% - Accent6 2 5 3 2 2 2 2" xfId="11187" xr:uid="{00000000-0005-0000-0000-0000E22B0000}"/>
    <cellStyle name="20% - Accent6 2 5 3 2 2 3" xfId="11188" xr:uid="{00000000-0005-0000-0000-0000E32B0000}"/>
    <cellStyle name="20% - Accent6 2 5 3 2 3" xfId="11189" xr:uid="{00000000-0005-0000-0000-0000E42B0000}"/>
    <cellStyle name="20% - Accent6 2 5 3 2 3 2" xfId="11190" xr:uid="{00000000-0005-0000-0000-0000E52B0000}"/>
    <cellStyle name="20% - Accent6 2 5 3 2 4" xfId="11191" xr:uid="{00000000-0005-0000-0000-0000E62B0000}"/>
    <cellStyle name="20% - Accent6 2 5 3 3" xfId="11192" xr:uid="{00000000-0005-0000-0000-0000E72B0000}"/>
    <cellStyle name="20% - Accent6 2 5 3 3 2" xfId="11193" xr:uid="{00000000-0005-0000-0000-0000E82B0000}"/>
    <cellStyle name="20% - Accent6 2 5 3 3 2 2" xfId="11194" xr:uid="{00000000-0005-0000-0000-0000E92B0000}"/>
    <cellStyle name="20% - Accent6 2 5 3 3 3" xfId="11195" xr:uid="{00000000-0005-0000-0000-0000EA2B0000}"/>
    <cellStyle name="20% - Accent6 2 5 3 4" xfId="11196" xr:uid="{00000000-0005-0000-0000-0000EB2B0000}"/>
    <cellStyle name="20% - Accent6 2 5 3 4 2" xfId="11197" xr:uid="{00000000-0005-0000-0000-0000EC2B0000}"/>
    <cellStyle name="20% - Accent6 2 5 3 5" xfId="11198" xr:uid="{00000000-0005-0000-0000-0000ED2B0000}"/>
    <cellStyle name="20% - Accent6 2 5 4" xfId="11199" xr:uid="{00000000-0005-0000-0000-0000EE2B0000}"/>
    <cellStyle name="20% - Accent6 2 5 4 2" xfId="11200" xr:uid="{00000000-0005-0000-0000-0000EF2B0000}"/>
    <cellStyle name="20% - Accent6 2 5 4 2 2" xfId="11201" xr:uid="{00000000-0005-0000-0000-0000F02B0000}"/>
    <cellStyle name="20% - Accent6 2 5 4 2 2 2" xfId="11202" xr:uid="{00000000-0005-0000-0000-0000F12B0000}"/>
    <cellStyle name="20% - Accent6 2 5 4 2 3" xfId="11203" xr:uid="{00000000-0005-0000-0000-0000F22B0000}"/>
    <cellStyle name="20% - Accent6 2 5 4 3" xfId="11204" xr:uid="{00000000-0005-0000-0000-0000F32B0000}"/>
    <cellStyle name="20% - Accent6 2 5 4 3 2" xfId="11205" xr:uid="{00000000-0005-0000-0000-0000F42B0000}"/>
    <cellStyle name="20% - Accent6 2 5 4 4" xfId="11206" xr:uid="{00000000-0005-0000-0000-0000F52B0000}"/>
    <cellStyle name="20% - Accent6 2 5 5" xfId="11207" xr:uid="{00000000-0005-0000-0000-0000F62B0000}"/>
    <cellStyle name="20% - Accent6 2 5 5 2" xfId="11208" xr:uid="{00000000-0005-0000-0000-0000F72B0000}"/>
    <cellStyle name="20% - Accent6 2 5 5 2 2" xfId="11209" xr:uid="{00000000-0005-0000-0000-0000F82B0000}"/>
    <cellStyle name="20% - Accent6 2 5 5 3" xfId="11210" xr:uid="{00000000-0005-0000-0000-0000F92B0000}"/>
    <cellStyle name="20% - Accent6 2 5 6" xfId="11211" xr:uid="{00000000-0005-0000-0000-0000FA2B0000}"/>
    <cellStyle name="20% - Accent6 2 5 6 2" xfId="11212" xr:uid="{00000000-0005-0000-0000-0000FB2B0000}"/>
    <cellStyle name="20% - Accent6 2 5 7" xfId="11213" xr:uid="{00000000-0005-0000-0000-0000FC2B0000}"/>
    <cellStyle name="20% - Accent6 2 6" xfId="11214" xr:uid="{00000000-0005-0000-0000-0000FD2B0000}"/>
    <cellStyle name="20% - Accent6 2 6 2" xfId="11215" xr:uid="{00000000-0005-0000-0000-0000FE2B0000}"/>
    <cellStyle name="20% - Accent6 2 6 2 2" xfId="11216" xr:uid="{00000000-0005-0000-0000-0000FF2B0000}"/>
    <cellStyle name="20% - Accent6 2 6 2 2 2" xfId="11217" xr:uid="{00000000-0005-0000-0000-0000002C0000}"/>
    <cellStyle name="20% - Accent6 2 6 2 2 2 2" xfId="11218" xr:uid="{00000000-0005-0000-0000-0000012C0000}"/>
    <cellStyle name="20% - Accent6 2 6 2 2 2 2 2" xfId="11219" xr:uid="{00000000-0005-0000-0000-0000022C0000}"/>
    <cellStyle name="20% - Accent6 2 6 2 2 2 3" xfId="11220" xr:uid="{00000000-0005-0000-0000-0000032C0000}"/>
    <cellStyle name="20% - Accent6 2 6 2 2 3" xfId="11221" xr:uid="{00000000-0005-0000-0000-0000042C0000}"/>
    <cellStyle name="20% - Accent6 2 6 2 2 3 2" xfId="11222" xr:uid="{00000000-0005-0000-0000-0000052C0000}"/>
    <cellStyle name="20% - Accent6 2 6 2 2 4" xfId="11223" xr:uid="{00000000-0005-0000-0000-0000062C0000}"/>
    <cellStyle name="20% - Accent6 2 6 2 3" xfId="11224" xr:uid="{00000000-0005-0000-0000-0000072C0000}"/>
    <cellStyle name="20% - Accent6 2 6 2 3 2" xfId="11225" xr:uid="{00000000-0005-0000-0000-0000082C0000}"/>
    <cellStyle name="20% - Accent6 2 6 2 3 2 2" xfId="11226" xr:uid="{00000000-0005-0000-0000-0000092C0000}"/>
    <cellStyle name="20% - Accent6 2 6 2 3 3" xfId="11227" xr:uid="{00000000-0005-0000-0000-00000A2C0000}"/>
    <cellStyle name="20% - Accent6 2 6 2 4" xfId="11228" xr:uid="{00000000-0005-0000-0000-00000B2C0000}"/>
    <cellStyle name="20% - Accent6 2 6 2 4 2" xfId="11229" xr:uid="{00000000-0005-0000-0000-00000C2C0000}"/>
    <cellStyle name="20% - Accent6 2 6 2 5" xfId="11230" xr:uid="{00000000-0005-0000-0000-00000D2C0000}"/>
    <cellStyle name="20% - Accent6 2 6 3" xfId="11231" xr:uid="{00000000-0005-0000-0000-00000E2C0000}"/>
    <cellStyle name="20% - Accent6 2 6 3 2" xfId="11232" xr:uid="{00000000-0005-0000-0000-00000F2C0000}"/>
    <cellStyle name="20% - Accent6 2 6 3 2 2" xfId="11233" xr:uid="{00000000-0005-0000-0000-0000102C0000}"/>
    <cellStyle name="20% - Accent6 2 6 3 2 2 2" xfId="11234" xr:uid="{00000000-0005-0000-0000-0000112C0000}"/>
    <cellStyle name="20% - Accent6 2 6 3 2 3" xfId="11235" xr:uid="{00000000-0005-0000-0000-0000122C0000}"/>
    <cellStyle name="20% - Accent6 2 6 3 3" xfId="11236" xr:uid="{00000000-0005-0000-0000-0000132C0000}"/>
    <cellStyle name="20% - Accent6 2 6 3 3 2" xfId="11237" xr:uid="{00000000-0005-0000-0000-0000142C0000}"/>
    <cellStyle name="20% - Accent6 2 6 3 4" xfId="11238" xr:uid="{00000000-0005-0000-0000-0000152C0000}"/>
    <cellStyle name="20% - Accent6 2 6 4" xfId="11239" xr:uid="{00000000-0005-0000-0000-0000162C0000}"/>
    <cellStyle name="20% - Accent6 2 6 4 2" xfId="11240" xr:uid="{00000000-0005-0000-0000-0000172C0000}"/>
    <cellStyle name="20% - Accent6 2 6 4 2 2" xfId="11241" xr:uid="{00000000-0005-0000-0000-0000182C0000}"/>
    <cellStyle name="20% - Accent6 2 6 4 3" xfId="11242" xr:uid="{00000000-0005-0000-0000-0000192C0000}"/>
    <cellStyle name="20% - Accent6 2 6 5" xfId="11243" xr:uid="{00000000-0005-0000-0000-00001A2C0000}"/>
    <cellStyle name="20% - Accent6 2 6 5 2" xfId="11244" xr:uid="{00000000-0005-0000-0000-00001B2C0000}"/>
    <cellStyle name="20% - Accent6 2 6 6" xfId="11245" xr:uid="{00000000-0005-0000-0000-00001C2C0000}"/>
    <cellStyle name="20% - Accent6 2 7" xfId="11246" xr:uid="{00000000-0005-0000-0000-00001D2C0000}"/>
    <cellStyle name="20% - Accent6 2 7 2" xfId="11247" xr:uid="{00000000-0005-0000-0000-00001E2C0000}"/>
    <cellStyle name="20% - Accent6 2 7 2 2" xfId="11248" xr:uid="{00000000-0005-0000-0000-00001F2C0000}"/>
    <cellStyle name="20% - Accent6 2 7 2 2 2" xfId="11249" xr:uid="{00000000-0005-0000-0000-0000202C0000}"/>
    <cellStyle name="20% - Accent6 2 7 2 2 2 2" xfId="11250" xr:uid="{00000000-0005-0000-0000-0000212C0000}"/>
    <cellStyle name="20% - Accent6 2 7 2 2 3" xfId="11251" xr:uid="{00000000-0005-0000-0000-0000222C0000}"/>
    <cellStyle name="20% - Accent6 2 7 2 3" xfId="11252" xr:uid="{00000000-0005-0000-0000-0000232C0000}"/>
    <cellStyle name="20% - Accent6 2 7 2 3 2" xfId="11253" xr:uid="{00000000-0005-0000-0000-0000242C0000}"/>
    <cellStyle name="20% - Accent6 2 7 2 4" xfId="11254" xr:uid="{00000000-0005-0000-0000-0000252C0000}"/>
    <cellStyle name="20% - Accent6 2 7 3" xfId="11255" xr:uid="{00000000-0005-0000-0000-0000262C0000}"/>
    <cellStyle name="20% - Accent6 2 7 3 2" xfId="11256" xr:uid="{00000000-0005-0000-0000-0000272C0000}"/>
    <cellStyle name="20% - Accent6 2 7 3 2 2" xfId="11257" xr:uid="{00000000-0005-0000-0000-0000282C0000}"/>
    <cellStyle name="20% - Accent6 2 7 3 3" xfId="11258" xr:uid="{00000000-0005-0000-0000-0000292C0000}"/>
    <cellStyle name="20% - Accent6 2 7 4" xfId="11259" xr:uid="{00000000-0005-0000-0000-00002A2C0000}"/>
    <cellStyle name="20% - Accent6 2 7 4 2" xfId="11260" xr:uid="{00000000-0005-0000-0000-00002B2C0000}"/>
    <cellStyle name="20% - Accent6 2 7 5" xfId="11261" xr:uid="{00000000-0005-0000-0000-00002C2C0000}"/>
    <cellStyle name="20% - Accent6 2 8" xfId="11262" xr:uid="{00000000-0005-0000-0000-00002D2C0000}"/>
    <cellStyle name="20% - Accent6 2 8 2" xfId="11263" xr:uid="{00000000-0005-0000-0000-00002E2C0000}"/>
    <cellStyle name="20% - Accent6 2 8 2 2" xfId="11264" xr:uid="{00000000-0005-0000-0000-00002F2C0000}"/>
    <cellStyle name="20% - Accent6 2 8 2 2 2" xfId="11265" xr:uid="{00000000-0005-0000-0000-0000302C0000}"/>
    <cellStyle name="20% - Accent6 2 8 2 3" xfId="11266" xr:uid="{00000000-0005-0000-0000-0000312C0000}"/>
    <cellStyle name="20% - Accent6 2 8 3" xfId="11267" xr:uid="{00000000-0005-0000-0000-0000322C0000}"/>
    <cellStyle name="20% - Accent6 2 8 3 2" xfId="11268" xr:uid="{00000000-0005-0000-0000-0000332C0000}"/>
    <cellStyle name="20% - Accent6 2 8 4" xfId="11269" xr:uid="{00000000-0005-0000-0000-0000342C0000}"/>
    <cellStyle name="20% - Accent6 2 9" xfId="11270" xr:uid="{00000000-0005-0000-0000-0000352C0000}"/>
    <cellStyle name="20% - Accent6 2 9 2" xfId="11271" xr:uid="{00000000-0005-0000-0000-0000362C0000}"/>
    <cellStyle name="20% - Accent6 2 9 2 2" xfId="11272" xr:uid="{00000000-0005-0000-0000-0000372C0000}"/>
    <cellStyle name="20% - Accent6 2 9 3" xfId="11273" xr:uid="{00000000-0005-0000-0000-0000382C0000}"/>
    <cellStyle name="20% - Accent6 3" xfId="11274" xr:uid="{00000000-0005-0000-0000-0000392C0000}"/>
    <cellStyle name="20% - Accent6 3 10" xfId="11275" xr:uid="{00000000-0005-0000-0000-00003A2C0000}"/>
    <cellStyle name="20% - Accent6 3 2" xfId="11276" xr:uid="{00000000-0005-0000-0000-00003B2C0000}"/>
    <cellStyle name="20% - Accent6 3 2 2" xfId="11277" xr:uid="{00000000-0005-0000-0000-00003C2C0000}"/>
    <cellStyle name="20% - Accent6 3 2 2 2" xfId="11278" xr:uid="{00000000-0005-0000-0000-00003D2C0000}"/>
    <cellStyle name="20% - Accent6 3 2 2 2 2" xfId="11279" xr:uid="{00000000-0005-0000-0000-00003E2C0000}"/>
    <cellStyle name="20% - Accent6 3 2 2 2 2 2" xfId="11280" xr:uid="{00000000-0005-0000-0000-00003F2C0000}"/>
    <cellStyle name="20% - Accent6 3 2 2 2 2 2 2" xfId="11281" xr:uid="{00000000-0005-0000-0000-0000402C0000}"/>
    <cellStyle name="20% - Accent6 3 2 2 2 2 2 2 2" xfId="11282" xr:uid="{00000000-0005-0000-0000-0000412C0000}"/>
    <cellStyle name="20% - Accent6 3 2 2 2 2 2 2 2 2" xfId="11283" xr:uid="{00000000-0005-0000-0000-0000422C0000}"/>
    <cellStyle name="20% - Accent6 3 2 2 2 2 2 2 2 2 2" xfId="11284" xr:uid="{00000000-0005-0000-0000-0000432C0000}"/>
    <cellStyle name="20% - Accent6 3 2 2 2 2 2 2 2 3" xfId="11285" xr:uid="{00000000-0005-0000-0000-0000442C0000}"/>
    <cellStyle name="20% - Accent6 3 2 2 2 2 2 2 3" xfId="11286" xr:uid="{00000000-0005-0000-0000-0000452C0000}"/>
    <cellStyle name="20% - Accent6 3 2 2 2 2 2 2 3 2" xfId="11287" xr:uid="{00000000-0005-0000-0000-0000462C0000}"/>
    <cellStyle name="20% - Accent6 3 2 2 2 2 2 2 4" xfId="11288" xr:uid="{00000000-0005-0000-0000-0000472C0000}"/>
    <cellStyle name="20% - Accent6 3 2 2 2 2 2 3" xfId="11289" xr:uid="{00000000-0005-0000-0000-0000482C0000}"/>
    <cellStyle name="20% - Accent6 3 2 2 2 2 2 3 2" xfId="11290" xr:uid="{00000000-0005-0000-0000-0000492C0000}"/>
    <cellStyle name="20% - Accent6 3 2 2 2 2 2 3 2 2" xfId="11291" xr:uid="{00000000-0005-0000-0000-00004A2C0000}"/>
    <cellStyle name="20% - Accent6 3 2 2 2 2 2 3 3" xfId="11292" xr:uid="{00000000-0005-0000-0000-00004B2C0000}"/>
    <cellStyle name="20% - Accent6 3 2 2 2 2 2 4" xfId="11293" xr:uid="{00000000-0005-0000-0000-00004C2C0000}"/>
    <cellStyle name="20% - Accent6 3 2 2 2 2 2 4 2" xfId="11294" xr:uid="{00000000-0005-0000-0000-00004D2C0000}"/>
    <cellStyle name="20% - Accent6 3 2 2 2 2 2 5" xfId="11295" xr:uid="{00000000-0005-0000-0000-00004E2C0000}"/>
    <cellStyle name="20% - Accent6 3 2 2 2 2 3" xfId="11296" xr:uid="{00000000-0005-0000-0000-00004F2C0000}"/>
    <cellStyle name="20% - Accent6 3 2 2 2 2 3 2" xfId="11297" xr:uid="{00000000-0005-0000-0000-0000502C0000}"/>
    <cellStyle name="20% - Accent6 3 2 2 2 2 3 2 2" xfId="11298" xr:uid="{00000000-0005-0000-0000-0000512C0000}"/>
    <cellStyle name="20% - Accent6 3 2 2 2 2 3 2 2 2" xfId="11299" xr:uid="{00000000-0005-0000-0000-0000522C0000}"/>
    <cellStyle name="20% - Accent6 3 2 2 2 2 3 2 3" xfId="11300" xr:uid="{00000000-0005-0000-0000-0000532C0000}"/>
    <cellStyle name="20% - Accent6 3 2 2 2 2 3 3" xfId="11301" xr:uid="{00000000-0005-0000-0000-0000542C0000}"/>
    <cellStyle name="20% - Accent6 3 2 2 2 2 3 3 2" xfId="11302" xr:uid="{00000000-0005-0000-0000-0000552C0000}"/>
    <cellStyle name="20% - Accent6 3 2 2 2 2 3 4" xfId="11303" xr:uid="{00000000-0005-0000-0000-0000562C0000}"/>
    <cellStyle name="20% - Accent6 3 2 2 2 2 4" xfId="11304" xr:uid="{00000000-0005-0000-0000-0000572C0000}"/>
    <cellStyle name="20% - Accent6 3 2 2 2 2 4 2" xfId="11305" xr:uid="{00000000-0005-0000-0000-0000582C0000}"/>
    <cellStyle name="20% - Accent6 3 2 2 2 2 4 2 2" xfId="11306" xr:uid="{00000000-0005-0000-0000-0000592C0000}"/>
    <cellStyle name="20% - Accent6 3 2 2 2 2 4 3" xfId="11307" xr:uid="{00000000-0005-0000-0000-00005A2C0000}"/>
    <cellStyle name="20% - Accent6 3 2 2 2 2 5" xfId="11308" xr:uid="{00000000-0005-0000-0000-00005B2C0000}"/>
    <cellStyle name="20% - Accent6 3 2 2 2 2 5 2" xfId="11309" xr:uid="{00000000-0005-0000-0000-00005C2C0000}"/>
    <cellStyle name="20% - Accent6 3 2 2 2 2 6" xfId="11310" xr:uid="{00000000-0005-0000-0000-00005D2C0000}"/>
    <cellStyle name="20% - Accent6 3 2 2 2 3" xfId="11311" xr:uid="{00000000-0005-0000-0000-00005E2C0000}"/>
    <cellStyle name="20% - Accent6 3 2 2 2 3 2" xfId="11312" xr:uid="{00000000-0005-0000-0000-00005F2C0000}"/>
    <cellStyle name="20% - Accent6 3 2 2 2 3 2 2" xfId="11313" xr:uid="{00000000-0005-0000-0000-0000602C0000}"/>
    <cellStyle name="20% - Accent6 3 2 2 2 3 2 2 2" xfId="11314" xr:uid="{00000000-0005-0000-0000-0000612C0000}"/>
    <cellStyle name="20% - Accent6 3 2 2 2 3 2 2 2 2" xfId="11315" xr:uid="{00000000-0005-0000-0000-0000622C0000}"/>
    <cellStyle name="20% - Accent6 3 2 2 2 3 2 2 3" xfId="11316" xr:uid="{00000000-0005-0000-0000-0000632C0000}"/>
    <cellStyle name="20% - Accent6 3 2 2 2 3 2 3" xfId="11317" xr:uid="{00000000-0005-0000-0000-0000642C0000}"/>
    <cellStyle name="20% - Accent6 3 2 2 2 3 2 3 2" xfId="11318" xr:uid="{00000000-0005-0000-0000-0000652C0000}"/>
    <cellStyle name="20% - Accent6 3 2 2 2 3 2 4" xfId="11319" xr:uid="{00000000-0005-0000-0000-0000662C0000}"/>
    <cellStyle name="20% - Accent6 3 2 2 2 3 3" xfId="11320" xr:uid="{00000000-0005-0000-0000-0000672C0000}"/>
    <cellStyle name="20% - Accent6 3 2 2 2 3 3 2" xfId="11321" xr:uid="{00000000-0005-0000-0000-0000682C0000}"/>
    <cellStyle name="20% - Accent6 3 2 2 2 3 3 2 2" xfId="11322" xr:uid="{00000000-0005-0000-0000-0000692C0000}"/>
    <cellStyle name="20% - Accent6 3 2 2 2 3 3 3" xfId="11323" xr:uid="{00000000-0005-0000-0000-00006A2C0000}"/>
    <cellStyle name="20% - Accent6 3 2 2 2 3 4" xfId="11324" xr:uid="{00000000-0005-0000-0000-00006B2C0000}"/>
    <cellStyle name="20% - Accent6 3 2 2 2 3 4 2" xfId="11325" xr:uid="{00000000-0005-0000-0000-00006C2C0000}"/>
    <cellStyle name="20% - Accent6 3 2 2 2 3 5" xfId="11326" xr:uid="{00000000-0005-0000-0000-00006D2C0000}"/>
    <cellStyle name="20% - Accent6 3 2 2 2 4" xfId="11327" xr:uid="{00000000-0005-0000-0000-00006E2C0000}"/>
    <cellStyle name="20% - Accent6 3 2 2 2 4 2" xfId="11328" xr:uid="{00000000-0005-0000-0000-00006F2C0000}"/>
    <cellStyle name="20% - Accent6 3 2 2 2 4 2 2" xfId="11329" xr:uid="{00000000-0005-0000-0000-0000702C0000}"/>
    <cellStyle name="20% - Accent6 3 2 2 2 4 2 2 2" xfId="11330" xr:uid="{00000000-0005-0000-0000-0000712C0000}"/>
    <cellStyle name="20% - Accent6 3 2 2 2 4 2 3" xfId="11331" xr:uid="{00000000-0005-0000-0000-0000722C0000}"/>
    <cellStyle name="20% - Accent6 3 2 2 2 4 3" xfId="11332" xr:uid="{00000000-0005-0000-0000-0000732C0000}"/>
    <cellStyle name="20% - Accent6 3 2 2 2 4 3 2" xfId="11333" xr:uid="{00000000-0005-0000-0000-0000742C0000}"/>
    <cellStyle name="20% - Accent6 3 2 2 2 4 4" xfId="11334" xr:uid="{00000000-0005-0000-0000-0000752C0000}"/>
    <cellStyle name="20% - Accent6 3 2 2 2 5" xfId="11335" xr:uid="{00000000-0005-0000-0000-0000762C0000}"/>
    <cellStyle name="20% - Accent6 3 2 2 2 5 2" xfId="11336" xr:uid="{00000000-0005-0000-0000-0000772C0000}"/>
    <cellStyle name="20% - Accent6 3 2 2 2 5 2 2" xfId="11337" xr:uid="{00000000-0005-0000-0000-0000782C0000}"/>
    <cellStyle name="20% - Accent6 3 2 2 2 5 3" xfId="11338" xr:uid="{00000000-0005-0000-0000-0000792C0000}"/>
    <cellStyle name="20% - Accent6 3 2 2 2 6" xfId="11339" xr:uid="{00000000-0005-0000-0000-00007A2C0000}"/>
    <cellStyle name="20% - Accent6 3 2 2 2 6 2" xfId="11340" xr:uid="{00000000-0005-0000-0000-00007B2C0000}"/>
    <cellStyle name="20% - Accent6 3 2 2 2 7" xfId="11341" xr:uid="{00000000-0005-0000-0000-00007C2C0000}"/>
    <cellStyle name="20% - Accent6 3 2 2 3" xfId="11342" xr:uid="{00000000-0005-0000-0000-00007D2C0000}"/>
    <cellStyle name="20% - Accent6 3 2 2 3 2" xfId="11343" xr:uid="{00000000-0005-0000-0000-00007E2C0000}"/>
    <cellStyle name="20% - Accent6 3 2 2 3 2 2" xfId="11344" xr:uid="{00000000-0005-0000-0000-00007F2C0000}"/>
    <cellStyle name="20% - Accent6 3 2 2 3 2 2 2" xfId="11345" xr:uid="{00000000-0005-0000-0000-0000802C0000}"/>
    <cellStyle name="20% - Accent6 3 2 2 3 2 2 2 2" xfId="11346" xr:uid="{00000000-0005-0000-0000-0000812C0000}"/>
    <cellStyle name="20% - Accent6 3 2 2 3 2 2 2 2 2" xfId="11347" xr:uid="{00000000-0005-0000-0000-0000822C0000}"/>
    <cellStyle name="20% - Accent6 3 2 2 3 2 2 2 3" xfId="11348" xr:uid="{00000000-0005-0000-0000-0000832C0000}"/>
    <cellStyle name="20% - Accent6 3 2 2 3 2 2 3" xfId="11349" xr:uid="{00000000-0005-0000-0000-0000842C0000}"/>
    <cellStyle name="20% - Accent6 3 2 2 3 2 2 3 2" xfId="11350" xr:uid="{00000000-0005-0000-0000-0000852C0000}"/>
    <cellStyle name="20% - Accent6 3 2 2 3 2 2 4" xfId="11351" xr:uid="{00000000-0005-0000-0000-0000862C0000}"/>
    <cellStyle name="20% - Accent6 3 2 2 3 2 3" xfId="11352" xr:uid="{00000000-0005-0000-0000-0000872C0000}"/>
    <cellStyle name="20% - Accent6 3 2 2 3 2 3 2" xfId="11353" xr:uid="{00000000-0005-0000-0000-0000882C0000}"/>
    <cellStyle name="20% - Accent6 3 2 2 3 2 3 2 2" xfId="11354" xr:uid="{00000000-0005-0000-0000-0000892C0000}"/>
    <cellStyle name="20% - Accent6 3 2 2 3 2 3 3" xfId="11355" xr:uid="{00000000-0005-0000-0000-00008A2C0000}"/>
    <cellStyle name="20% - Accent6 3 2 2 3 2 4" xfId="11356" xr:uid="{00000000-0005-0000-0000-00008B2C0000}"/>
    <cellStyle name="20% - Accent6 3 2 2 3 2 4 2" xfId="11357" xr:uid="{00000000-0005-0000-0000-00008C2C0000}"/>
    <cellStyle name="20% - Accent6 3 2 2 3 2 5" xfId="11358" xr:uid="{00000000-0005-0000-0000-00008D2C0000}"/>
    <cellStyle name="20% - Accent6 3 2 2 3 3" xfId="11359" xr:uid="{00000000-0005-0000-0000-00008E2C0000}"/>
    <cellStyle name="20% - Accent6 3 2 2 3 3 2" xfId="11360" xr:uid="{00000000-0005-0000-0000-00008F2C0000}"/>
    <cellStyle name="20% - Accent6 3 2 2 3 3 2 2" xfId="11361" xr:uid="{00000000-0005-0000-0000-0000902C0000}"/>
    <cellStyle name="20% - Accent6 3 2 2 3 3 2 2 2" xfId="11362" xr:uid="{00000000-0005-0000-0000-0000912C0000}"/>
    <cellStyle name="20% - Accent6 3 2 2 3 3 2 3" xfId="11363" xr:uid="{00000000-0005-0000-0000-0000922C0000}"/>
    <cellStyle name="20% - Accent6 3 2 2 3 3 3" xfId="11364" xr:uid="{00000000-0005-0000-0000-0000932C0000}"/>
    <cellStyle name="20% - Accent6 3 2 2 3 3 3 2" xfId="11365" xr:uid="{00000000-0005-0000-0000-0000942C0000}"/>
    <cellStyle name="20% - Accent6 3 2 2 3 3 4" xfId="11366" xr:uid="{00000000-0005-0000-0000-0000952C0000}"/>
    <cellStyle name="20% - Accent6 3 2 2 3 4" xfId="11367" xr:uid="{00000000-0005-0000-0000-0000962C0000}"/>
    <cellStyle name="20% - Accent6 3 2 2 3 4 2" xfId="11368" xr:uid="{00000000-0005-0000-0000-0000972C0000}"/>
    <cellStyle name="20% - Accent6 3 2 2 3 4 2 2" xfId="11369" xr:uid="{00000000-0005-0000-0000-0000982C0000}"/>
    <cellStyle name="20% - Accent6 3 2 2 3 4 3" xfId="11370" xr:uid="{00000000-0005-0000-0000-0000992C0000}"/>
    <cellStyle name="20% - Accent6 3 2 2 3 5" xfId="11371" xr:uid="{00000000-0005-0000-0000-00009A2C0000}"/>
    <cellStyle name="20% - Accent6 3 2 2 3 5 2" xfId="11372" xr:uid="{00000000-0005-0000-0000-00009B2C0000}"/>
    <cellStyle name="20% - Accent6 3 2 2 3 6" xfId="11373" xr:uid="{00000000-0005-0000-0000-00009C2C0000}"/>
    <cellStyle name="20% - Accent6 3 2 2 4" xfId="11374" xr:uid="{00000000-0005-0000-0000-00009D2C0000}"/>
    <cellStyle name="20% - Accent6 3 2 2 4 2" xfId="11375" xr:uid="{00000000-0005-0000-0000-00009E2C0000}"/>
    <cellStyle name="20% - Accent6 3 2 2 4 2 2" xfId="11376" xr:uid="{00000000-0005-0000-0000-00009F2C0000}"/>
    <cellStyle name="20% - Accent6 3 2 2 4 2 2 2" xfId="11377" xr:uid="{00000000-0005-0000-0000-0000A02C0000}"/>
    <cellStyle name="20% - Accent6 3 2 2 4 2 2 2 2" xfId="11378" xr:uid="{00000000-0005-0000-0000-0000A12C0000}"/>
    <cellStyle name="20% - Accent6 3 2 2 4 2 2 3" xfId="11379" xr:uid="{00000000-0005-0000-0000-0000A22C0000}"/>
    <cellStyle name="20% - Accent6 3 2 2 4 2 3" xfId="11380" xr:uid="{00000000-0005-0000-0000-0000A32C0000}"/>
    <cellStyle name="20% - Accent6 3 2 2 4 2 3 2" xfId="11381" xr:uid="{00000000-0005-0000-0000-0000A42C0000}"/>
    <cellStyle name="20% - Accent6 3 2 2 4 2 4" xfId="11382" xr:uid="{00000000-0005-0000-0000-0000A52C0000}"/>
    <cellStyle name="20% - Accent6 3 2 2 4 3" xfId="11383" xr:uid="{00000000-0005-0000-0000-0000A62C0000}"/>
    <cellStyle name="20% - Accent6 3 2 2 4 3 2" xfId="11384" xr:uid="{00000000-0005-0000-0000-0000A72C0000}"/>
    <cellStyle name="20% - Accent6 3 2 2 4 3 2 2" xfId="11385" xr:uid="{00000000-0005-0000-0000-0000A82C0000}"/>
    <cellStyle name="20% - Accent6 3 2 2 4 3 3" xfId="11386" xr:uid="{00000000-0005-0000-0000-0000A92C0000}"/>
    <cellStyle name="20% - Accent6 3 2 2 4 4" xfId="11387" xr:uid="{00000000-0005-0000-0000-0000AA2C0000}"/>
    <cellStyle name="20% - Accent6 3 2 2 4 4 2" xfId="11388" xr:uid="{00000000-0005-0000-0000-0000AB2C0000}"/>
    <cellStyle name="20% - Accent6 3 2 2 4 5" xfId="11389" xr:uid="{00000000-0005-0000-0000-0000AC2C0000}"/>
    <cellStyle name="20% - Accent6 3 2 2 5" xfId="11390" xr:uid="{00000000-0005-0000-0000-0000AD2C0000}"/>
    <cellStyle name="20% - Accent6 3 2 2 5 2" xfId="11391" xr:uid="{00000000-0005-0000-0000-0000AE2C0000}"/>
    <cellStyle name="20% - Accent6 3 2 2 5 2 2" xfId="11392" xr:uid="{00000000-0005-0000-0000-0000AF2C0000}"/>
    <cellStyle name="20% - Accent6 3 2 2 5 2 2 2" xfId="11393" xr:uid="{00000000-0005-0000-0000-0000B02C0000}"/>
    <cellStyle name="20% - Accent6 3 2 2 5 2 3" xfId="11394" xr:uid="{00000000-0005-0000-0000-0000B12C0000}"/>
    <cellStyle name="20% - Accent6 3 2 2 5 3" xfId="11395" xr:uid="{00000000-0005-0000-0000-0000B22C0000}"/>
    <cellStyle name="20% - Accent6 3 2 2 5 3 2" xfId="11396" xr:uid="{00000000-0005-0000-0000-0000B32C0000}"/>
    <cellStyle name="20% - Accent6 3 2 2 5 4" xfId="11397" xr:uid="{00000000-0005-0000-0000-0000B42C0000}"/>
    <cellStyle name="20% - Accent6 3 2 2 6" xfId="11398" xr:uid="{00000000-0005-0000-0000-0000B52C0000}"/>
    <cellStyle name="20% - Accent6 3 2 2 6 2" xfId="11399" xr:uid="{00000000-0005-0000-0000-0000B62C0000}"/>
    <cellStyle name="20% - Accent6 3 2 2 6 2 2" xfId="11400" xr:uid="{00000000-0005-0000-0000-0000B72C0000}"/>
    <cellStyle name="20% - Accent6 3 2 2 6 3" xfId="11401" xr:uid="{00000000-0005-0000-0000-0000B82C0000}"/>
    <cellStyle name="20% - Accent6 3 2 2 7" xfId="11402" xr:uid="{00000000-0005-0000-0000-0000B92C0000}"/>
    <cellStyle name="20% - Accent6 3 2 2 7 2" xfId="11403" xr:uid="{00000000-0005-0000-0000-0000BA2C0000}"/>
    <cellStyle name="20% - Accent6 3 2 2 8" xfId="11404" xr:uid="{00000000-0005-0000-0000-0000BB2C0000}"/>
    <cellStyle name="20% - Accent6 3 2 3" xfId="11405" xr:uid="{00000000-0005-0000-0000-0000BC2C0000}"/>
    <cellStyle name="20% - Accent6 3 2 3 2" xfId="11406" xr:uid="{00000000-0005-0000-0000-0000BD2C0000}"/>
    <cellStyle name="20% - Accent6 3 2 3 2 2" xfId="11407" xr:uid="{00000000-0005-0000-0000-0000BE2C0000}"/>
    <cellStyle name="20% - Accent6 3 2 3 2 2 2" xfId="11408" xr:uid="{00000000-0005-0000-0000-0000BF2C0000}"/>
    <cellStyle name="20% - Accent6 3 2 3 2 2 2 2" xfId="11409" xr:uid="{00000000-0005-0000-0000-0000C02C0000}"/>
    <cellStyle name="20% - Accent6 3 2 3 2 2 2 2 2" xfId="11410" xr:uid="{00000000-0005-0000-0000-0000C12C0000}"/>
    <cellStyle name="20% - Accent6 3 2 3 2 2 2 2 2 2" xfId="11411" xr:uid="{00000000-0005-0000-0000-0000C22C0000}"/>
    <cellStyle name="20% - Accent6 3 2 3 2 2 2 2 3" xfId="11412" xr:uid="{00000000-0005-0000-0000-0000C32C0000}"/>
    <cellStyle name="20% - Accent6 3 2 3 2 2 2 3" xfId="11413" xr:uid="{00000000-0005-0000-0000-0000C42C0000}"/>
    <cellStyle name="20% - Accent6 3 2 3 2 2 2 3 2" xfId="11414" xr:uid="{00000000-0005-0000-0000-0000C52C0000}"/>
    <cellStyle name="20% - Accent6 3 2 3 2 2 2 4" xfId="11415" xr:uid="{00000000-0005-0000-0000-0000C62C0000}"/>
    <cellStyle name="20% - Accent6 3 2 3 2 2 3" xfId="11416" xr:uid="{00000000-0005-0000-0000-0000C72C0000}"/>
    <cellStyle name="20% - Accent6 3 2 3 2 2 3 2" xfId="11417" xr:uid="{00000000-0005-0000-0000-0000C82C0000}"/>
    <cellStyle name="20% - Accent6 3 2 3 2 2 3 2 2" xfId="11418" xr:uid="{00000000-0005-0000-0000-0000C92C0000}"/>
    <cellStyle name="20% - Accent6 3 2 3 2 2 3 3" xfId="11419" xr:uid="{00000000-0005-0000-0000-0000CA2C0000}"/>
    <cellStyle name="20% - Accent6 3 2 3 2 2 4" xfId="11420" xr:uid="{00000000-0005-0000-0000-0000CB2C0000}"/>
    <cellStyle name="20% - Accent6 3 2 3 2 2 4 2" xfId="11421" xr:uid="{00000000-0005-0000-0000-0000CC2C0000}"/>
    <cellStyle name="20% - Accent6 3 2 3 2 2 5" xfId="11422" xr:uid="{00000000-0005-0000-0000-0000CD2C0000}"/>
    <cellStyle name="20% - Accent6 3 2 3 2 3" xfId="11423" xr:uid="{00000000-0005-0000-0000-0000CE2C0000}"/>
    <cellStyle name="20% - Accent6 3 2 3 2 3 2" xfId="11424" xr:uid="{00000000-0005-0000-0000-0000CF2C0000}"/>
    <cellStyle name="20% - Accent6 3 2 3 2 3 2 2" xfId="11425" xr:uid="{00000000-0005-0000-0000-0000D02C0000}"/>
    <cellStyle name="20% - Accent6 3 2 3 2 3 2 2 2" xfId="11426" xr:uid="{00000000-0005-0000-0000-0000D12C0000}"/>
    <cellStyle name="20% - Accent6 3 2 3 2 3 2 3" xfId="11427" xr:uid="{00000000-0005-0000-0000-0000D22C0000}"/>
    <cellStyle name="20% - Accent6 3 2 3 2 3 3" xfId="11428" xr:uid="{00000000-0005-0000-0000-0000D32C0000}"/>
    <cellStyle name="20% - Accent6 3 2 3 2 3 3 2" xfId="11429" xr:uid="{00000000-0005-0000-0000-0000D42C0000}"/>
    <cellStyle name="20% - Accent6 3 2 3 2 3 4" xfId="11430" xr:uid="{00000000-0005-0000-0000-0000D52C0000}"/>
    <cellStyle name="20% - Accent6 3 2 3 2 4" xfId="11431" xr:uid="{00000000-0005-0000-0000-0000D62C0000}"/>
    <cellStyle name="20% - Accent6 3 2 3 2 4 2" xfId="11432" xr:uid="{00000000-0005-0000-0000-0000D72C0000}"/>
    <cellStyle name="20% - Accent6 3 2 3 2 4 2 2" xfId="11433" xr:uid="{00000000-0005-0000-0000-0000D82C0000}"/>
    <cellStyle name="20% - Accent6 3 2 3 2 4 3" xfId="11434" xr:uid="{00000000-0005-0000-0000-0000D92C0000}"/>
    <cellStyle name="20% - Accent6 3 2 3 2 5" xfId="11435" xr:uid="{00000000-0005-0000-0000-0000DA2C0000}"/>
    <cellStyle name="20% - Accent6 3 2 3 2 5 2" xfId="11436" xr:uid="{00000000-0005-0000-0000-0000DB2C0000}"/>
    <cellStyle name="20% - Accent6 3 2 3 2 6" xfId="11437" xr:uid="{00000000-0005-0000-0000-0000DC2C0000}"/>
    <cellStyle name="20% - Accent6 3 2 3 3" xfId="11438" xr:uid="{00000000-0005-0000-0000-0000DD2C0000}"/>
    <cellStyle name="20% - Accent6 3 2 3 3 2" xfId="11439" xr:uid="{00000000-0005-0000-0000-0000DE2C0000}"/>
    <cellStyle name="20% - Accent6 3 2 3 3 2 2" xfId="11440" xr:uid="{00000000-0005-0000-0000-0000DF2C0000}"/>
    <cellStyle name="20% - Accent6 3 2 3 3 2 2 2" xfId="11441" xr:uid="{00000000-0005-0000-0000-0000E02C0000}"/>
    <cellStyle name="20% - Accent6 3 2 3 3 2 2 2 2" xfId="11442" xr:uid="{00000000-0005-0000-0000-0000E12C0000}"/>
    <cellStyle name="20% - Accent6 3 2 3 3 2 2 3" xfId="11443" xr:uid="{00000000-0005-0000-0000-0000E22C0000}"/>
    <cellStyle name="20% - Accent6 3 2 3 3 2 3" xfId="11444" xr:uid="{00000000-0005-0000-0000-0000E32C0000}"/>
    <cellStyle name="20% - Accent6 3 2 3 3 2 3 2" xfId="11445" xr:uid="{00000000-0005-0000-0000-0000E42C0000}"/>
    <cellStyle name="20% - Accent6 3 2 3 3 2 4" xfId="11446" xr:uid="{00000000-0005-0000-0000-0000E52C0000}"/>
    <cellStyle name="20% - Accent6 3 2 3 3 3" xfId="11447" xr:uid="{00000000-0005-0000-0000-0000E62C0000}"/>
    <cellStyle name="20% - Accent6 3 2 3 3 3 2" xfId="11448" xr:uid="{00000000-0005-0000-0000-0000E72C0000}"/>
    <cellStyle name="20% - Accent6 3 2 3 3 3 2 2" xfId="11449" xr:uid="{00000000-0005-0000-0000-0000E82C0000}"/>
    <cellStyle name="20% - Accent6 3 2 3 3 3 3" xfId="11450" xr:uid="{00000000-0005-0000-0000-0000E92C0000}"/>
    <cellStyle name="20% - Accent6 3 2 3 3 4" xfId="11451" xr:uid="{00000000-0005-0000-0000-0000EA2C0000}"/>
    <cellStyle name="20% - Accent6 3 2 3 3 4 2" xfId="11452" xr:uid="{00000000-0005-0000-0000-0000EB2C0000}"/>
    <cellStyle name="20% - Accent6 3 2 3 3 5" xfId="11453" xr:uid="{00000000-0005-0000-0000-0000EC2C0000}"/>
    <cellStyle name="20% - Accent6 3 2 3 4" xfId="11454" xr:uid="{00000000-0005-0000-0000-0000ED2C0000}"/>
    <cellStyle name="20% - Accent6 3 2 3 4 2" xfId="11455" xr:uid="{00000000-0005-0000-0000-0000EE2C0000}"/>
    <cellStyle name="20% - Accent6 3 2 3 4 2 2" xfId="11456" xr:uid="{00000000-0005-0000-0000-0000EF2C0000}"/>
    <cellStyle name="20% - Accent6 3 2 3 4 2 2 2" xfId="11457" xr:uid="{00000000-0005-0000-0000-0000F02C0000}"/>
    <cellStyle name="20% - Accent6 3 2 3 4 2 3" xfId="11458" xr:uid="{00000000-0005-0000-0000-0000F12C0000}"/>
    <cellStyle name="20% - Accent6 3 2 3 4 3" xfId="11459" xr:uid="{00000000-0005-0000-0000-0000F22C0000}"/>
    <cellStyle name="20% - Accent6 3 2 3 4 3 2" xfId="11460" xr:uid="{00000000-0005-0000-0000-0000F32C0000}"/>
    <cellStyle name="20% - Accent6 3 2 3 4 4" xfId="11461" xr:uid="{00000000-0005-0000-0000-0000F42C0000}"/>
    <cellStyle name="20% - Accent6 3 2 3 5" xfId="11462" xr:uid="{00000000-0005-0000-0000-0000F52C0000}"/>
    <cellStyle name="20% - Accent6 3 2 3 5 2" xfId="11463" xr:uid="{00000000-0005-0000-0000-0000F62C0000}"/>
    <cellStyle name="20% - Accent6 3 2 3 5 2 2" xfId="11464" xr:uid="{00000000-0005-0000-0000-0000F72C0000}"/>
    <cellStyle name="20% - Accent6 3 2 3 5 3" xfId="11465" xr:uid="{00000000-0005-0000-0000-0000F82C0000}"/>
    <cellStyle name="20% - Accent6 3 2 3 6" xfId="11466" xr:uid="{00000000-0005-0000-0000-0000F92C0000}"/>
    <cellStyle name="20% - Accent6 3 2 3 6 2" xfId="11467" xr:uid="{00000000-0005-0000-0000-0000FA2C0000}"/>
    <cellStyle name="20% - Accent6 3 2 3 7" xfId="11468" xr:uid="{00000000-0005-0000-0000-0000FB2C0000}"/>
    <cellStyle name="20% - Accent6 3 2 4" xfId="11469" xr:uid="{00000000-0005-0000-0000-0000FC2C0000}"/>
    <cellStyle name="20% - Accent6 3 2 4 2" xfId="11470" xr:uid="{00000000-0005-0000-0000-0000FD2C0000}"/>
    <cellStyle name="20% - Accent6 3 2 4 2 2" xfId="11471" xr:uid="{00000000-0005-0000-0000-0000FE2C0000}"/>
    <cellStyle name="20% - Accent6 3 2 4 2 2 2" xfId="11472" xr:uid="{00000000-0005-0000-0000-0000FF2C0000}"/>
    <cellStyle name="20% - Accent6 3 2 4 2 2 2 2" xfId="11473" xr:uid="{00000000-0005-0000-0000-0000002D0000}"/>
    <cellStyle name="20% - Accent6 3 2 4 2 2 2 2 2" xfId="11474" xr:uid="{00000000-0005-0000-0000-0000012D0000}"/>
    <cellStyle name="20% - Accent6 3 2 4 2 2 2 3" xfId="11475" xr:uid="{00000000-0005-0000-0000-0000022D0000}"/>
    <cellStyle name="20% - Accent6 3 2 4 2 2 3" xfId="11476" xr:uid="{00000000-0005-0000-0000-0000032D0000}"/>
    <cellStyle name="20% - Accent6 3 2 4 2 2 3 2" xfId="11477" xr:uid="{00000000-0005-0000-0000-0000042D0000}"/>
    <cellStyle name="20% - Accent6 3 2 4 2 2 4" xfId="11478" xr:uid="{00000000-0005-0000-0000-0000052D0000}"/>
    <cellStyle name="20% - Accent6 3 2 4 2 3" xfId="11479" xr:uid="{00000000-0005-0000-0000-0000062D0000}"/>
    <cellStyle name="20% - Accent6 3 2 4 2 3 2" xfId="11480" xr:uid="{00000000-0005-0000-0000-0000072D0000}"/>
    <cellStyle name="20% - Accent6 3 2 4 2 3 2 2" xfId="11481" xr:uid="{00000000-0005-0000-0000-0000082D0000}"/>
    <cellStyle name="20% - Accent6 3 2 4 2 3 3" xfId="11482" xr:uid="{00000000-0005-0000-0000-0000092D0000}"/>
    <cellStyle name="20% - Accent6 3 2 4 2 4" xfId="11483" xr:uid="{00000000-0005-0000-0000-00000A2D0000}"/>
    <cellStyle name="20% - Accent6 3 2 4 2 4 2" xfId="11484" xr:uid="{00000000-0005-0000-0000-00000B2D0000}"/>
    <cellStyle name="20% - Accent6 3 2 4 2 5" xfId="11485" xr:uid="{00000000-0005-0000-0000-00000C2D0000}"/>
    <cellStyle name="20% - Accent6 3 2 4 3" xfId="11486" xr:uid="{00000000-0005-0000-0000-00000D2D0000}"/>
    <cellStyle name="20% - Accent6 3 2 4 3 2" xfId="11487" xr:uid="{00000000-0005-0000-0000-00000E2D0000}"/>
    <cellStyle name="20% - Accent6 3 2 4 3 2 2" xfId="11488" xr:uid="{00000000-0005-0000-0000-00000F2D0000}"/>
    <cellStyle name="20% - Accent6 3 2 4 3 2 2 2" xfId="11489" xr:uid="{00000000-0005-0000-0000-0000102D0000}"/>
    <cellStyle name="20% - Accent6 3 2 4 3 2 3" xfId="11490" xr:uid="{00000000-0005-0000-0000-0000112D0000}"/>
    <cellStyle name="20% - Accent6 3 2 4 3 3" xfId="11491" xr:uid="{00000000-0005-0000-0000-0000122D0000}"/>
    <cellStyle name="20% - Accent6 3 2 4 3 3 2" xfId="11492" xr:uid="{00000000-0005-0000-0000-0000132D0000}"/>
    <cellStyle name="20% - Accent6 3 2 4 3 4" xfId="11493" xr:uid="{00000000-0005-0000-0000-0000142D0000}"/>
    <cellStyle name="20% - Accent6 3 2 4 4" xfId="11494" xr:uid="{00000000-0005-0000-0000-0000152D0000}"/>
    <cellStyle name="20% - Accent6 3 2 4 4 2" xfId="11495" xr:uid="{00000000-0005-0000-0000-0000162D0000}"/>
    <cellStyle name="20% - Accent6 3 2 4 4 2 2" xfId="11496" xr:uid="{00000000-0005-0000-0000-0000172D0000}"/>
    <cellStyle name="20% - Accent6 3 2 4 4 3" xfId="11497" xr:uid="{00000000-0005-0000-0000-0000182D0000}"/>
    <cellStyle name="20% - Accent6 3 2 4 5" xfId="11498" xr:uid="{00000000-0005-0000-0000-0000192D0000}"/>
    <cellStyle name="20% - Accent6 3 2 4 5 2" xfId="11499" xr:uid="{00000000-0005-0000-0000-00001A2D0000}"/>
    <cellStyle name="20% - Accent6 3 2 4 6" xfId="11500" xr:uid="{00000000-0005-0000-0000-00001B2D0000}"/>
    <cellStyle name="20% - Accent6 3 2 5" xfId="11501" xr:uid="{00000000-0005-0000-0000-00001C2D0000}"/>
    <cellStyle name="20% - Accent6 3 2 5 2" xfId="11502" xr:uid="{00000000-0005-0000-0000-00001D2D0000}"/>
    <cellStyle name="20% - Accent6 3 2 5 2 2" xfId="11503" xr:uid="{00000000-0005-0000-0000-00001E2D0000}"/>
    <cellStyle name="20% - Accent6 3 2 5 2 2 2" xfId="11504" xr:uid="{00000000-0005-0000-0000-00001F2D0000}"/>
    <cellStyle name="20% - Accent6 3 2 5 2 2 2 2" xfId="11505" xr:uid="{00000000-0005-0000-0000-0000202D0000}"/>
    <cellStyle name="20% - Accent6 3 2 5 2 2 3" xfId="11506" xr:uid="{00000000-0005-0000-0000-0000212D0000}"/>
    <cellStyle name="20% - Accent6 3 2 5 2 3" xfId="11507" xr:uid="{00000000-0005-0000-0000-0000222D0000}"/>
    <cellStyle name="20% - Accent6 3 2 5 2 3 2" xfId="11508" xr:uid="{00000000-0005-0000-0000-0000232D0000}"/>
    <cellStyle name="20% - Accent6 3 2 5 2 4" xfId="11509" xr:uid="{00000000-0005-0000-0000-0000242D0000}"/>
    <cellStyle name="20% - Accent6 3 2 5 3" xfId="11510" xr:uid="{00000000-0005-0000-0000-0000252D0000}"/>
    <cellStyle name="20% - Accent6 3 2 5 3 2" xfId="11511" xr:uid="{00000000-0005-0000-0000-0000262D0000}"/>
    <cellStyle name="20% - Accent6 3 2 5 3 2 2" xfId="11512" xr:uid="{00000000-0005-0000-0000-0000272D0000}"/>
    <cellStyle name="20% - Accent6 3 2 5 3 3" xfId="11513" xr:uid="{00000000-0005-0000-0000-0000282D0000}"/>
    <cellStyle name="20% - Accent6 3 2 5 4" xfId="11514" xr:uid="{00000000-0005-0000-0000-0000292D0000}"/>
    <cellStyle name="20% - Accent6 3 2 5 4 2" xfId="11515" xr:uid="{00000000-0005-0000-0000-00002A2D0000}"/>
    <cellStyle name="20% - Accent6 3 2 5 5" xfId="11516" xr:uid="{00000000-0005-0000-0000-00002B2D0000}"/>
    <cellStyle name="20% - Accent6 3 2 6" xfId="11517" xr:uid="{00000000-0005-0000-0000-00002C2D0000}"/>
    <cellStyle name="20% - Accent6 3 2 6 2" xfId="11518" xr:uid="{00000000-0005-0000-0000-00002D2D0000}"/>
    <cellStyle name="20% - Accent6 3 2 6 2 2" xfId="11519" xr:uid="{00000000-0005-0000-0000-00002E2D0000}"/>
    <cellStyle name="20% - Accent6 3 2 6 2 2 2" xfId="11520" xr:uid="{00000000-0005-0000-0000-00002F2D0000}"/>
    <cellStyle name="20% - Accent6 3 2 6 2 3" xfId="11521" xr:uid="{00000000-0005-0000-0000-0000302D0000}"/>
    <cellStyle name="20% - Accent6 3 2 6 3" xfId="11522" xr:uid="{00000000-0005-0000-0000-0000312D0000}"/>
    <cellStyle name="20% - Accent6 3 2 6 3 2" xfId="11523" xr:uid="{00000000-0005-0000-0000-0000322D0000}"/>
    <cellStyle name="20% - Accent6 3 2 6 4" xfId="11524" xr:uid="{00000000-0005-0000-0000-0000332D0000}"/>
    <cellStyle name="20% - Accent6 3 2 7" xfId="11525" xr:uid="{00000000-0005-0000-0000-0000342D0000}"/>
    <cellStyle name="20% - Accent6 3 2 7 2" xfId="11526" xr:uid="{00000000-0005-0000-0000-0000352D0000}"/>
    <cellStyle name="20% - Accent6 3 2 7 2 2" xfId="11527" xr:uid="{00000000-0005-0000-0000-0000362D0000}"/>
    <cellStyle name="20% - Accent6 3 2 7 3" xfId="11528" xr:uid="{00000000-0005-0000-0000-0000372D0000}"/>
    <cellStyle name="20% - Accent6 3 2 8" xfId="11529" xr:uid="{00000000-0005-0000-0000-0000382D0000}"/>
    <cellStyle name="20% - Accent6 3 2 8 2" xfId="11530" xr:uid="{00000000-0005-0000-0000-0000392D0000}"/>
    <cellStyle name="20% - Accent6 3 2 9" xfId="11531" xr:uid="{00000000-0005-0000-0000-00003A2D0000}"/>
    <cellStyle name="20% - Accent6 3 3" xfId="11532" xr:uid="{00000000-0005-0000-0000-00003B2D0000}"/>
    <cellStyle name="20% - Accent6 3 3 2" xfId="11533" xr:uid="{00000000-0005-0000-0000-00003C2D0000}"/>
    <cellStyle name="20% - Accent6 3 3 2 2" xfId="11534" xr:uid="{00000000-0005-0000-0000-00003D2D0000}"/>
    <cellStyle name="20% - Accent6 3 3 2 2 2" xfId="11535" xr:uid="{00000000-0005-0000-0000-00003E2D0000}"/>
    <cellStyle name="20% - Accent6 3 3 2 2 2 2" xfId="11536" xr:uid="{00000000-0005-0000-0000-00003F2D0000}"/>
    <cellStyle name="20% - Accent6 3 3 2 2 2 2 2" xfId="11537" xr:uid="{00000000-0005-0000-0000-0000402D0000}"/>
    <cellStyle name="20% - Accent6 3 3 2 2 2 2 2 2" xfId="11538" xr:uid="{00000000-0005-0000-0000-0000412D0000}"/>
    <cellStyle name="20% - Accent6 3 3 2 2 2 2 2 2 2" xfId="11539" xr:uid="{00000000-0005-0000-0000-0000422D0000}"/>
    <cellStyle name="20% - Accent6 3 3 2 2 2 2 2 3" xfId="11540" xr:uid="{00000000-0005-0000-0000-0000432D0000}"/>
    <cellStyle name="20% - Accent6 3 3 2 2 2 2 3" xfId="11541" xr:uid="{00000000-0005-0000-0000-0000442D0000}"/>
    <cellStyle name="20% - Accent6 3 3 2 2 2 2 3 2" xfId="11542" xr:uid="{00000000-0005-0000-0000-0000452D0000}"/>
    <cellStyle name="20% - Accent6 3 3 2 2 2 2 4" xfId="11543" xr:uid="{00000000-0005-0000-0000-0000462D0000}"/>
    <cellStyle name="20% - Accent6 3 3 2 2 2 3" xfId="11544" xr:uid="{00000000-0005-0000-0000-0000472D0000}"/>
    <cellStyle name="20% - Accent6 3 3 2 2 2 3 2" xfId="11545" xr:uid="{00000000-0005-0000-0000-0000482D0000}"/>
    <cellStyle name="20% - Accent6 3 3 2 2 2 3 2 2" xfId="11546" xr:uid="{00000000-0005-0000-0000-0000492D0000}"/>
    <cellStyle name="20% - Accent6 3 3 2 2 2 3 3" xfId="11547" xr:uid="{00000000-0005-0000-0000-00004A2D0000}"/>
    <cellStyle name="20% - Accent6 3 3 2 2 2 4" xfId="11548" xr:uid="{00000000-0005-0000-0000-00004B2D0000}"/>
    <cellStyle name="20% - Accent6 3 3 2 2 2 4 2" xfId="11549" xr:uid="{00000000-0005-0000-0000-00004C2D0000}"/>
    <cellStyle name="20% - Accent6 3 3 2 2 2 5" xfId="11550" xr:uid="{00000000-0005-0000-0000-00004D2D0000}"/>
    <cellStyle name="20% - Accent6 3 3 2 2 3" xfId="11551" xr:uid="{00000000-0005-0000-0000-00004E2D0000}"/>
    <cellStyle name="20% - Accent6 3 3 2 2 3 2" xfId="11552" xr:uid="{00000000-0005-0000-0000-00004F2D0000}"/>
    <cellStyle name="20% - Accent6 3 3 2 2 3 2 2" xfId="11553" xr:uid="{00000000-0005-0000-0000-0000502D0000}"/>
    <cellStyle name="20% - Accent6 3 3 2 2 3 2 2 2" xfId="11554" xr:uid="{00000000-0005-0000-0000-0000512D0000}"/>
    <cellStyle name="20% - Accent6 3 3 2 2 3 2 3" xfId="11555" xr:uid="{00000000-0005-0000-0000-0000522D0000}"/>
    <cellStyle name="20% - Accent6 3 3 2 2 3 3" xfId="11556" xr:uid="{00000000-0005-0000-0000-0000532D0000}"/>
    <cellStyle name="20% - Accent6 3 3 2 2 3 3 2" xfId="11557" xr:uid="{00000000-0005-0000-0000-0000542D0000}"/>
    <cellStyle name="20% - Accent6 3 3 2 2 3 4" xfId="11558" xr:uid="{00000000-0005-0000-0000-0000552D0000}"/>
    <cellStyle name="20% - Accent6 3 3 2 2 4" xfId="11559" xr:uid="{00000000-0005-0000-0000-0000562D0000}"/>
    <cellStyle name="20% - Accent6 3 3 2 2 4 2" xfId="11560" xr:uid="{00000000-0005-0000-0000-0000572D0000}"/>
    <cellStyle name="20% - Accent6 3 3 2 2 4 2 2" xfId="11561" xr:uid="{00000000-0005-0000-0000-0000582D0000}"/>
    <cellStyle name="20% - Accent6 3 3 2 2 4 3" xfId="11562" xr:uid="{00000000-0005-0000-0000-0000592D0000}"/>
    <cellStyle name="20% - Accent6 3 3 2 2 5" xfId="11563" xr:uid="{00000000-0005-0000-0000-00005A2D0000}"/>
    <cellStyle name="20% - Accent6 3 3 2 2 5 2" xfId="11564" xr:uid="{00000000-0005-0000-0000-00005B2D0000}"/>
    <cellStyle name="20% - Accent6 3 3 2 2 6" xfId="11565" xr:uid="{00000000-0005-0000-0000-00005C2D0000}"/>
    <cellStyle name="20% - Accent6 3 3 2 3" xfId="11566" xr:uid="{00000000-0005-0000-0000-00005D2D0000}"/>
    <cellStyle name="20% - Accent6 3 3 2 3 2" xfId="11567" xr:uid="{00000000-0005-0000-0000-00005E2D0000}"/>
    <cellStyle name="20% - Accent6 3 3 2 3 2 2" xfId="11568" xr:uid="{00000000-0005-0000-0000-00005F2D0000}"/>
    <cellStyle name="20% - Accent6 3 3 2 3 2 2 2" xfId="11569" xr:uid="{00000000-0005-0000-0000-0000602D0000}"/>
    <cellStyle name="20% - Accent6 3 3 2 3 2 2 2 2" xfId="11570" xr:uid="{00000000-0005-0000-0000-0000612D0000}"/>
    <cellStyle name="20% - Accent6 3 3 2 3 2 2 3" xfId="11571" xr:uid="{00000000-0005-0000-0000-0000622D0000}"/>
    <cellStyle name="20% - Accent6 3 3 2 3 2 3" xfId="11572" xr:uid="{00000000-0005-0000-0000-0000632D0000}"/>
    <cellStyle name="20% - Accent6 3 3 2 3 2 3 2" xfId="11573" xr:uid="{00000000-0005-0000-0000-0000642D0000}"/>
    <cellStyle name="20% - Accent6 3 3 2 3 2 4" xfId="11574" xr:uid="{00000000-0005-0000-0000-0000652D0000}"/>
    <cellStyle name="20% - Accent6 3 3 2 3 3" xfId="11575" xr:uid="{00000000-0005-0000-0000-0000662D0000}"/>
    <cellStyle name="20% - Accent6 3 3 2 3 3 2" xfId="11576" xr:uid="{00000000-0005-0000-0000-0000672D0000}"/>
    <cellStyle name="20% - Accent6 3 3 2 3 3 2 2" xfId="11577" xr:uid="{00000000-0005-0000-0000-0000682D0000}"/>
    <cellStyle name="20% - Accent6 3 3 2 3 3 3" xfId="11578" xr:uid="{00000000-0005-0000-0000-0000692D0000}"/>
    <cellStyle name="20% - Accent6 3 3 2 3 4" xfId="11579" xr:uid="{00000000-0005-0000-0000-00006A2D0000}"/>
    <cellStyle name="20% - Accent6 3 3 2 3 4 2" xfId="11580" xr:uid="{00000000-0005-0000-0000-00006B2D0000}"/>
    <cellStyle name="20% - Accent6 3 3 2 3 5" xfId="11581" xr:uid="{00000000-0005-0000-0000-00006C2D0000}"/>
    <cellStyle name="20% - Accent6 3 3 2 4" xfId="11582" xr:uid="{00000000-0005-0000-0000-00006D2D0000}"/>
    <cellStyle name="20% - Accent6 3 3 2 4 2" xfId="11583" xr:uid="{00000000-0005-0000-0000-00006E2D0000}"/>
    <cellStyle name="20% - Accent6 3 3 2 4 2 2" xfId="11584" xr:uid="{00000000-0005-0000-0000-00006F2D0000}"/>
    <cellStyle name="20% - Accent6 3 3 2 4 2 2 2" xfId="11585" xr:uid="{00000000-0005-0000-0000-0000702D0000}"/>
    <cellStyle name="20% - Accent6 3 3 2 4 2 3" xfId="11586" xr:uid="{00000000-0005-0000-0000-0000712D0000}"/>
    <cellStyle name="20% - Accent6 3 3 2 4 3" xfId="11587" xr:uid="{00000000-0005-0000-0000-0000722D0000}"/>
    <cellStyle name="20% - Accent6 3 3 2 4 3 2" xfId="11588" xr:uid="{00000000-0005-0000-0000-0000732D0000}"/>
    <cellStyle name="20% - Accent6 3 3 2 4 4" xfId="11589" xr:uid="{00000000-0005-0000-0000-0000742D0000}"/>
    <cellStyle name="20% - Accent6 3 3 2 5" xfId="11590" xr:uid="{00000000-0005-0000-0000-0000752D0000}"/>
    <cellStyle name="20% - Accent6 3 3 2 5 2" xfId="11591" xr:uid="{00000000-0005-0000-0000-0000762D0000}"/>
    <cellStyle name="20% - Accent6 3 3 2 5 2 2" xfId="11592" xr:uid="{00000000-0005-0000-0000-0000772D0000}"/>
    <cellStyle name="20% - Accent6 3 3 2 5 3" xfId="11593" xr:uid="{00000000-0005-0000-0000-0000782D0000}"/>
    <cellStyle name="20% - Accent6 3 3 2 6" xfId="11594" xr:uid="{00000000-0005-0000-0000-0000792D0000}"/>
    <cellStyle name="20% - Accent6 3 3 2 6 2" xfId="11595" xr:uid="{00000000-0005-0000-0000-00007A2D0000}"/>
    <cellStyle name="20% - Accent6 3 3 2 7" xfId="11596" xr:uid="{00000000-0005-0000-0000-00007B2D0000}"/>
    <cellStyle name="20% - Accent6 3 3 3" xfId="11597" xr:uid="{00000000-0005-0000-0000-00007C2D0000}"/>
    <cellStyle name="20% - Accent6 3 3 3 2" xfId="11598" xr:uid="{00000000-0005-0000-0000-00007D2D0000}"/>
    <cellStyle name="20% - Accent6 3 3 3 2 2" xfId="11599" xr:uid="{00000000-0005-0000-0000-00007E2D0000}"/>
    <cellStyle name="20% - Accent6 3 3 3 2 2 2" xfId="11600" xr:uid="{00000000-0005-0000-0000-00007F2D0000}"/>
    <cellStyle name="20% - Accent6 3 3 3 2 2 2 2" xfId="11601" xr:uid="{00000000-0005-0000-0000-0000802D0000}"/>
    <cellStyle name="20% - Accent6 3 3 3 2 2 2 2 2" xfId="11602" xr:uid="{00000000-0005-0000-0000-0000812D0000}"/>
    <cellStyle name="20% - Accent6 3 3 3 2 2 2 3" xfId="11603" xr:uid="{00000000-0005-0000-0000-0000822D0000}"/>
    <cellStyle name="20% - Accent6 3 3 3 2 2 3" xfId="11604" xr:uid="{00000000-0005-0000-0000-0000832D0000}"/>
    <cellStyle name="20% - Accent6 3 3 3 2 2 3 2" xfId="11605" xr:uid="{00000000-0005-0000-0000-0000842D0000}"/>
    <cellStyle name="20% - Accent6 3 3 3 2 2 4" xfId="11606" xr:uid="{00000000-0005-0000-0000-0000852D0000}"/>
    <cellStyle name="20% - Accent6 3 3 3 2 3" xfId="11607" xr:uid="{00000000-0005-0000-0000-0000862D0000}"/>
    <cellStyle name="20% - Accent6 3 3 3 2 3 2" xfId="11608" xr:uid="{00000000-0005-0000-0000-0000872D0000}"/>
    <cellStyle name="20% - Accent6 3 3 3 2 3 2 2" xfId="11609" xr:uid="{00000000-0005-0000-0000-0000882D0000}"/>
    <cellStyle name="20% - Accent6 3 3 3 2 3 3" xfId="11610" xr:uid="{00000000-0005-0000-0000-0000892D0000}"/>
    <cellStyle name="20% - Accent6 3 3 3 2 4" xfId="11611" xr:uid="{00000000-0005-0000-0000-00008A2D0000}"/>
    <cellStyle name="20% - Accent6 3 3 3 2 4 2" xfId="11612" xr:uid="{00000000-0005-0000-0000-00008B2D0000}"/>
    <cellStyle name="20% - Accent6 3 3 3 2 5" xfId="11613" xr:uid="{00000000-0005-0000-0000-00008C2D0000}"/>
    <cellStyle name="20% - Accent6 3 3 3 3" xfId="11614" xr:uid="{00000000-0005-0000-0000-00008D2D0000}"/>
    <cellStyle name="20% - Accent6 3 3 3 3 2" xfId="11615" xr:uid="{00000000-0005-0000-0000-00008E2D0000}"/>
    <cellStyle name="20% - Accent6 3 3 3 3 2 2" xfId="11616" xr:uid="{00000000-0005-0000-0000-00008F2D0000}"/>
    <cellStyle name="20% - Accent6 3 3 3 3 2 2 2" xfId="11617" xr:uid="{00000000-0005-0000-0000-0000902D0000}"/>
    <cellStyle name="20% - Accent6 3 3 3 3 2 3" xfId="11618" xr:uid="{00000000-0005-0000-0000-0000912D0000}"/>
    <cellStyle name="20% - Accent6 3 3 3 3 3" xfId="11619" xr:uid="{00000000-0005-0000-0000-0000922D0000}"/>
    <cellStyle name="20% - Accent6 3 3 3 3 3 2" xfId="11620" xr:uid="{00000000-0005-0000-0000-0000932D0000}"/>
    <cellStyle name="20% - Accent6 3 3 3 3 4" xfId="11621" xr:uid="{00000000-0005-0000-0000-0000942D0000}"/>
    <cellStyle name="20% - Accent6 3 3 3 4" xfId="11622" xr:uid="{00000000-0005-0000-0000-0000952D0000}"/>
    <cellStyle name="20% - Accent6 3 3 3 4 2" xfId="11623" xr:uid="{00000000-0005-0000-0000-0000962D0000}"/>
    <cellStyle name="20% - Accent6 3 3 3 4 2 2" xfId="11624" xr:uid="{00000000-0005-0000-0000-0000972D0000}"/>
    <cellStyle name="20% - Accent6 3 3 3 4 3" xfId="11625" xr:uid="{00000000-0005-0000-0000-0000982D0000}"/>
    <cellStyle name="20% - Accent6 3 3 3 5" xfId="11626" xr:uid="{00000000-0005-0000-0000-0000992D0000}"/>
    <cellStyle name="20% - Accent6 3 3 3 5 2" xfId="11627" xr:uid="{00000000-0005-0000-0000-00009A2D0000}"/>
    <cellStyle name="20% - Accent6 3 3 3 6" xfId="11628" xr:uid="{00000000-0005-0000-0000-00009B2D0000}"/>
    <cellStyle name="20% - Accent6 3 3 4" xfId="11629" xr:uid="{00000000-0005-0000-0000-00009C2D0000}"/>
    <cellStyle name="20% - Accent6 3 3 4 2" xfId="11630" xr:uid="{00000000-0005-0000-0000-00009D2D0000}"/>
    <cellStyle name="20% - Accent6 3 3 4 2 2" xfId="11631" xr:uid="{00000000-0005-0000-0000-00009E2D0000}"/>
    <cellStyle name="20% - Accent6 3 3 4 2 2 2" xfId="11632" xr:uid="{00000000-0005-0000-0000-00009F2D0000}"/>
    <cellStyle name="20% - Accent6 3 3 4 2 2 2 2" xfId="11633" xr:uid="{00000000-0005-0000-0000-0000A02D0000}"/>
    <cellStyle name="20% - Accent6 3 3 4 2 2 3" xfId="11634" xr:uid="{00000000-0005-0000-0000-0000A12D0000}"/>
    <cellStyle name="20% - Accent6 3 3 4 2 3" xfId="11635" xr:uid="{00000000-0005-0000-0000-0000A22D0000}"/>
    <cellStyle name="20% - Accent6 3 3 4 2 3 2" xfId="11636" xr:uid="{00000000-0005-0000-0000-0000A32D0000}"/>
    <cellStyle name="20% - Accent6 3 3 4 2 4" xfId="11637" xr:uid="{00000000-0005-0000-0000-0000A42D0000}"/>
    <cellStyle name="20% - Accent6 3 3 4 3" xfId="11638" xr:uid="{00000000-0005-0000-0000-0000A52D0000}"/>
    <cellStyle name="20% - Accent6 3 3 4 3 2" xfId="11639" xr:uid="{00000000-0005-0000-0000-0000A62D0000}"/>
    <cellStyle name="20% - Accent6 3 3 4 3 2 2" xfId="11640" xr:uid="{00000000-0005-0000-0000-0000A72D0000}"/>
    <cellStyle name="20% - Accent6 3 3 4 3 3" xfId="11641" xr:uid="{00000000-0005-0000-0000-0000A82D0000}"/>
    <cellStyle name="20% - Accent6 3 3 4 4" xfId="11642" xr:uid="{00000000-0005-0000-0000-0000A92D0000}"/>
    <cellStyle name="20% - Accent6 3 3 4 4 2" xfId="11643" xr:uid="{00000000-0005-0000-0000-0000AA2D0000}"/>
    <cellStyle name="20% - Accent6 3 3 4 5" xfId="11644" xr:uid="{00000000-0005-0000-0000-0000AB2D0000}"/>
    <cellStyle name="20% - Accent6 3 3 5" xfId="11645" xr:uid="{00000000-0005-0000-0000-0000AC2D0000}"/>
    <cellStyle name="20% - Accent6 3 3 5 2" xfId="11646" xr:uid="{00000000-0005-0000-0000-0000AD2D0000}"/>
    <cellStyle name="20% - Accent6 3 3 5 2 2" xfId="11647" xr:uid="{00000000-0005-0000-0000-0000AE2D0000}"/>
    <cellStyle name="20% - Accent6 3 3 5 2 2 2" xfId="11648" xr:uid="{00000000-0005-0000-0000-0000AF2D0000}"/>
    <cellStyle name="20% - Accent6 3 3 5 2 3" xfId="11649" xr:uid="{00000000-0005-0000-0000-0000B02D0000}"/>
    <cellStyle name="20% - Accent6 3 3 5 3" xfId="11650" xr:uid="{00000000-0005-0000-0000-0000B12D0000}"/>
    <cellStyle name="20% - Accent6 3 3 5 3 2" xfId="11651" xr:uid="{00000000-0005-0000-0000-0000B22D0000}"/>
    <cellStyle name="20% - Accent6 3 3 5 4" xfId="11652" xr:uid="{00000000-0005-0000-0000-0000B32D0000}"/>
    <cellStyle name="20% - Accent6 3 3 6" xfId="11653" xr:uid="{00000000-0005-0000-0000-0000B42D0000}"/>
    <cellStyle name="20% - Accent6 3 3 6 2" xfId="11654" xr:uid="{00000000-0005-0000-0000-0000B52D0000}"/>
    <cellStyle name="20% - Accent6 3 3 6 2 2" xfId="11655" xr:uid="{00000000-0005-0000-0000-0000B62D0000}"/>
    <cellStyle name="20% - Accent6 3 3 6 3" xfId="11656" xr:uid="{00000000-0005-0000-0000-0000B72D0000}"/>
    <cellStyle name="20% - Accent6 3 3 7" xfId="11657" xr:uid="{00000000-0005-0000-0000-0000B82D0000}"/>
    <cellStyle name="20% - Accent6 3 3 7 2" xfId="11658" xr:uid="{00000000-0005-0000-0000-0000B92D0000}"/>
    <cellStyle name="20% - Accent6 3 3 8" xfId="11659" xr:uid="{00000000-0005-0000-0000-0000BA2D0000}"/>
    <cellStyle name="20% - Accent6 3 4" xfId="11660" xr:uid="{00000000-0005-0000-0000-0000BB2D0000}"/>
    <cellStyle name="20% - Accent6 3 4 2" xfId="11661" xr:uid="{00000000-0005-0000-0000-0000BC2D0000}"/>
    <cellStyle name="20% - Accent6 3 4 2 2" xfId="11662" xr:uid="{00000000-0005-0000-0000-0000BD2D0000}"/>
    <cellStyle name="20% - Accent6 3 4 2 2 2" xfId="11663" xr:uid="{00000000-0005-0000-0000-0000BE2D0000}"/>
    <cellStyle name="20% - Accent6 3 4 2 2 2 2" xfId="11664" xr:uid="{00000000-0005-0000-0000-0000BF2D0000}"/>
    <cellStyle name="20% - Accent6 3 4 2 2 2 2 2" xfId="11665" xr:uid="{00000000-0005-0000-0000-0000C02D0000}"/>
    <cellStyle name="20% - Accent6 3 4 2 2 2 2 2 2" xfId="11666" xr:uid="{00000000-0005-0000-0000-0000C12D0000}"/>
    <cellStyle name="20% - Accent6 3 4 2 2 2 2 3" xfId="11667" xr:uid="{00000000-0005-0000-0000-0000C22D0000}"/>
    <cellStyle name="20% - Accent6 3 4 2 2 2 3" xfId="11668" xr:uid="{00000000-0005-0000-0000-0000C32D0000}"/>
    <cellStyle name="20% - Accent6 3 4 2 2 2 3 2" xfId="11669" xr:uid="{00000000-0005-0000-0000-0000C42D0000}"/>
    <cellStyle name="20% - Accent6 3 4 2 2 2 4" xfId="11670" xr:uid="{00000000-0005-0000-0000-0000C52D0000}"/>
    <cellStyle name="20% - Accent6 3 4 2 2 3" xfId="11671" xr:uid="{00000000-0005-0000-0000-0000C62D0000}"/>
    <cellStyle name="20% - Accent6 3 4 2 2 3 2" xfId="11672" xr:uid="{00000000-0005-0000-0000-0000C72D0000}"/>
    <cellStyle name="20% - Accent6 3 4 2 2 3 2 2" xfId="11673" xr:uid="{00000000-0005-0000-0000-0000C82D0000}"/>
    <cellStyle name="20% - Accent6 3 4 2 2 3 3" xfId="11674" xr:uid="{00000000-0005-0000-0000-0000C92D0000}"/>
    <cellStyle name="20% - Accent6 3 4 2 2 4" xfId="11675" xr:uid="{00000000-0005-0000-0000-0000CA2D0000}"/>
    <cellStyle name="20% - Accent6 3 4 2 2 4 2" xfId="11676" xr:uid="{00000000-0005-0000-0000-0000CB2D0000}"/>
    <cellStyle name="20% - Accent6 3 4 2 2 5" xfId="11677" xr:uid="{00000000-0005-0000-0000-0000CC2D0000}"/>
    <cellStyle name="20% - Accent6 3 4 2 3" xfId="11678" xr:uid="{00000000-0005-0000-0000-0000CD2D0000}"/>
    <cellStyle name="20% - Accent6 3 4 2 3 2" xfId="11679" xr:uid="{00000000-0005-0000-0000-0000CE2D0000}"/>
    <cellStyle name="20% - Accent6 3 4 2 3 2 2" xfId="11680" xr:uid="{00000000-0005-0000-0000-0000CF2D0000}"/>
    <cellStyle name="20% - Accent6 3 4 2 3 2 2 2" xfId="11681" xr:uid="{00000000-0005-0000-0000-0000D02D0000}"/>
    <cellStyle name="20% - Accent6 3 4 2 3 2 3" xfId="11682" xr:uid="{00000000-0005-0000-0000-0000D12D0000}"/>
    <cellStyle name="20% - Accent6 3 4 2 3 3" xfId="11683" xr:uid="{00000000-0005-0000-0000-0000D22D0000}"/>
    <cellStyle name="20% - Accent6 3 4 2 3 3 2" xfId="11684" xr:uid="{00000000-0005-0000-0000-0000D32D0000}"/>
    <cellStyle name="20% - Accent6 3 4 2 3 4" xfId="11685" xr:uid="{00000000-0005-0000-0000-0000D42D0000}"/>
    <cellStyle name="20% - Accent6 3 4 2 4" xfId="11686" xr:uid="{00000000-0005-0000-0000-0000D52D0000}"/>
    <cellStyle name="20% - Accent6 3 4 2 4 2" xfId="11687" xr:uid="{00000000-0005-0000-0000-0000D62D0000}"/>
    <cellStyle name="20% - Accent6 3 4 2 4 2 2" xfId="11688" xr:uid="{00000000-0005-0000-0000-0000D72D0000}"/>
    <cellStyle name="20% - Accent6 3 4 2 4 3" xfId="11689" xr:uid="{00000000-0005-0000-0000-0000D82D0000}"/>
    <cellStyle name="20% - Accent6 3 4 2 5" xfId="11690" xr:uid="{00000000-0005-0000-0000-0000D92D0000}"/>
    <cellStyle name="20% - Accent6 3 4 2 5 2" xfId="11691" xr:uid="{00000000-0005-0000-0000-0000DA2D0000}"/>
    <cellStyle name="20% - Accent6 3 4 2 6" xfId="11692" xr:uid="{00000000-0005-0000-0000-0000DB2D0000}"/>
    <cellStyle name="20% - Accent6 3 4 3" xfId="11693" xr:uid="{00000000-0005-0000-0000-0000DC2D0000}"/>
    <cellStyle name="20% - Accent6 3 4 3 2" xfId="11694" xr:uid="{00000000-0005-0000-0000-0000DD2D0000}"/>
    <cellStyle name="20% - Accent6 3 4 3 2 2" xfId="11695" xr:uid="{00000000-0005-0000-0000-0000DE2D0000}"/>
    <cellStyle name="20% - Accent6 3 4 3 2 2 2" xfId="11696" xr:uid="{00000000-0005-0000-0000-0000DF2D0000}"/>
    <cellStyle name="20% - Accent6 3 4 3 2 2 2 2" xfId="11697" xr:uid="{00000000-0005-0000-0000-0000E02D0000}"/>
    <cellStyle name="20% - Accent6 3 4 3 2 2 3" xfId="11698" xr:uid="{00000000-0005-0000-0000-0000E12D0000}"/>
    <cellStyle name="20% - Accent6 3 4 3 2 3" xfId="11699" xr:uid="{00000000-0005-0000-0000-0000E22D0000}"/>
    <cellStyle name="20% - Accent6 3 4 3 2 3 2" xfId="11700" xr:uid="{00000000-0005-0000-0000-0000E32D0000}"/>
    <cellStyle name="20% - Accent6 3 4 3 2 4" xfId="11701" xr:uid="{00000000-0005-0000-0000-0000E42D0000}"/>
    <cellStyle name="20% - Accent6 3 4 3 3" xfId="11702" xr:uid="{00000000-0005-0000-0000-0000E52D0000}"/>
    <cellStyle name="20% - Accent6 3 4 3 3 2" xfId="11703" xr:uid="{00000000-0005-0000-0000-0000E62D0000}"/>
    <cellStyle name="20% - Accent6 3 4 3 3 2 2" xfId="11704" xr:uid="{00000000-0005-0000-0000-0000E72D0000}"/>
    <cellStyle name="20% - Accent6 3 4 3 3 3" xfId="11705" xr:uid="{00000000-0005-0000-0000-0000E82D0000}"/>
    <cellStyle name="20% - Accent6 3 4 3 4" xfId="11706" xr:uid="{00000000-0005-0000-0000-0000E92D0000}"/>
    <cellStyle name="20% - Accent6 3 4 3 4 2" xfId="11707" xr:uid="{00000000-0005-0000-0000-0000EA2D0000}"/>
    <cellStyle name="20% - Accent6 3 4 3 5" xfId="11708" xr:uid="{00000000-0005-0000-0000-0000EB2D0000}"/>
    <cellStyle name="20% - Accent6 3 4 4" xfId="11709" xr:uid="{00000000-0005-0000-0000-0000EC2D0000}"/>
    <cellStyle name="20% - Accent6 3 4 4 2" xfId="11710" xr:uid="{00000000-0005-0000-0000-0000ED2D0000}"/>
    <cellStyle name="20% - Accent6 3 4 4 2 2" xfId="11711" xr:uid="{00000000-0005-0000-0000-0000EE2D0000}"/>
    <cellStyle name="20% - Accent6 3 4 4 2 2 2" xfId="11712" xr:uid="{00000000-0005-0000-0000-0000EF2D0000}"/>
    <cellStyle name="20% - Accent6 3 4 4 2 3" xfId="11713" xr:uid="{00000000-0005-0000-0000-0000F02D0000}"/>
    <cellStyle name="20% - Accent6 3 4 4 3" xfId="11714" xr:uid="{00000000-0005-0000-0000-0000F12D0000}"/>
    <cellStyle name="20% - Accent6 3 4 4 3 2" xfId="11715" xr:uid="{00000000-0005-0000-0000-0000F22D0000}"/>
    <cellStyle name="20% - Accent6 3 4 4 4" xfId="11716" xr:uid="{00000000-0005-0000-0000-0000F32D0000}"/>
    <cellStyle name="20% - Accent6 3 4 5" xfId="11717" xr:uid="{00000000-0005-0000-0000-0000F42D0000}"/>
    <cellStyle name="20% - Accent6 3 4 5 2" xfId="11718" xr:uid="{00000000-0005-0000-0000-0000F52D0000}"/>
    <cellStyle name="20% - Accent6 3 4 5 2 2" xfId="11719" xr:uid="{00000000-0005-0000-0000-0000F62D0000}"/>
    <cellStyle name="20% - Accent6 3 4 5 3" xfId="11720" xr:uid="{00000000-0005-0000-0000-0000F72D0000}"/>
    <cellStyle name="20% - Accent6 3 4 6" xfId="11721" xr:uid="{00000000-0005-0000-0000-0000F82D0000}"/>
    <cellStyle name="20% - Accent6 3 4 6 2" xfId="11722" xr:uid="{00000000-0005-0000-0000-0000F92D0000}"/>
    <cellStyle name="20% - Accent6 3 4 7" xfId="11723" xr:uid="{00000000-0005-0000-0000-0000FA2D0000}"/>
    <cellStyle name="20% - Accent6 3 5" xfId="11724" xr:uid="{00000000-0005-0000-0000-0000FB2D0000}"/>
    <cellStyle name="20% - Accent6 3 5 2" xfId="11725" xr:uid="{00000000-0005-0000-0000-0000FC2D0000}"/>
    <cellStyle name="20% - Accent6 3 5 2 2" xfId="11726" xr:uid="{00000000-0005-0000-0000-0000FD2D0000}"/>
    <cellStyle name="20% - Accent6 3 5 2 2 2" xfId="11727" xr:uid="{00000000-0005-0000-0000-0000FE2D0000}"/>
    <cellStyle name="20% - Accent6 3 5 2 2 2 2" xfId="11728" xr:uid="{00000000-0005-0000-0000-0000FF2D0000}"/>
    <cellStyle name="20% - Accent6 3 5 2 2 2 2 2" xfId="11729" xr:uid="{00000000-0005-0000-0000-0000002E0000}"/>
    <cellStyle name="20% - Accent6 3 5 2 2 2 3" xfId="11730" xr:uid="{00000000-0005-0000-0000-0000012E0000}"/>
    <cellStyle name="20% - Accent6 3 5 2 2 3" xfId="11731" xr:uid="{00000000-0005-0000-0000-0000022E0000}"/>
    <cellStyle name="20% - Accent6 3 5 2 2 3 2" xfId="11732" xr:uid="{00000000-0005-0000-0000-0000032E0000}"/>
    <cellStyle name="20% - Accent6 3 5 2 2 4" xfId="11733" xr:uid="{00000000-0005-0000-0000-0000042E0000}"/>
    <cellStyle name="20% - Accent6 3 5 2 3" xfId="11734" xr:uid="{00000000-0005-0000-0000-0000052E0000}"/>
    <cellStyle name="20% - Accent6 3 5 2 3 2" xfId="11735" xr:uid="{00000000-0005-0000-0000-0000062E0000}"/>
    <cellStyle name="20% - Accent6 3 5 2 3 2 2" xfId="11736" xr:uid="{00000000-0005-0000-0000-0000072E0000}"/>
    <cellStyle name="20% - Accent6 3 5 2 3 3" xfId="11737" xr:uid="{00000000-0005-0000-0000-0000082E0000}"/>
    <cellStyle name="20% - Accent6 3 5 2 4" xfId="11738" xr:uid="{00000000-0005-0000-0000-0000092E0000}"/>
    <cellStyle name="20% - Accent6 3 5 2 4 2" xfId="11739" xr:uid="{00000000-0005-0000-0000-00000A2E0000}"/>
    <cellStyle name="20% - Accent6 3 5 2 5" xfId="11740" xr:uid="{00000000-0005-0000-0000-00000B2E0000}"/>
    <cellStyle name="20% - Accent6 3 5 3" xfId="11741" xr:uid="{00000000-0005-0000-0000-00000C2E0000}"/>
    <cellStyle name="20% - Accent6 3 5 3 2" xfId="11742" xr:uid="{00000000-0005-0000-0000-00000D2E0000}"/>
    <cellStyle name="20% - Accent6 3 5 3 2 2" xfId="11743" xr:uid="{00000000-0005-0000-0000-00000E2E0000}"/>
    <cellStyle name="20% - Accent6 3 5 3 2 2 2" xfId="11744" xr:uid="{00000000-0005-0000-0000-00000F2E0000}"/>
    <cellStyle name="20% - Accent6 3 5 3 2 3" xfId="11745" xr:uid="{00000000-0005-0000-0000-0000102E0000}"/>
    <cellStyle name="20% - Accent6 3 5 3 3" xfId="11746" xr:uid="{00000000-0005-0000-0000-0000112E0000}"/>
    <cellStyle name="20% - Accent6 3 5 3 3 2" xfId="11747" xr:uid="{00000000-0005-0000-0000-0000122E0000}"/>
    <cellStyle name="20% - Accent6 3 5 3 4" xfId="11748" xr:uid="{00000000-0005-0000-0000-0000132E0000}"/>
    <cellStyle name="20% - Accent6 3 5 4" xfId="11749" xr:uid="{00000000-0005-0000-0000-0000142E0000}"/>
    <cellStyle name="20% - Accent6 3 5 4 2" xfId="11750" xr:uid="{00000000-0005-0000-0000-0000152E0000}"/>
    <cellStyle name="20% - Accent6 3 5 4 2 2" xfId="11751" xr:uid="{00000000-0005-0000-0000-0000162E0000}"/>
    <cellStyle name="20% - Accent6 3 5 4 3" xfId="11752" xr:uid="{00000000-0005-0000-0000-0000172E0000}"/>
    <cellStyle name="20% - Accent6 3 5 5" xfId="11753" xr:uid="{00000000-0005-0000-0000-0000182E0000}"/>
    <cellStyle name="20% - Accent6 3 5 5 2" xfId="11754" xr:uid="{00000000-0005-0000-0000-0000192E0000}"/>
    <cellStyle name="20% - Accent6 3 5 6" xfId="11755" xr:uid="{00000000-0005-0000-0000-00001A2E0000}"/>
    <cellStyle name="20% - Accent6 3 6" xfId="11756" xr:uid="{00000000-0005-0000-0000-00001B2E0000}"/>
    <cellStyle name="20% - Accent6 3 6 2" xfId="11757" xr:uid="{00000000-0005-0000-0000-00001C2E0000}"/>
    <cellStyle name="20% - Accent6 3 6 2 2" xfId="11758" xr:uid="{00000000-0005-0000-0000-00001D2E0000}"/>
    <cellStyle name="20% - Accent6 3 6 2 2 2" xfId="11759" xr:uid="{00000000-0005-0000-0000-00001E2E0000}"/>
    <cellStyle name="20% - Accent6 3 6 2 2 2 2" xfId="11760" xr:uid="{00000000-0005-0000-0000-00001F2E0000}"/>
    <cellStyle name="20% - Accent6 3 6 2 2 3" xfId="11761" xr:uid="{00000000-0005-0000-0000-0000202E0000}"/>
    <cellStyle name="20% - Accent6 3 6 2 3" xfId="11762" xr:uid="{00000000-0005-0000-0000-0000212E0000}"/>
    <cellStyle name="20% - Accent6 3 6 2 3 2" xfId="11763" xr:uid="{00000000-0005-0000-0000-0000222E0000}"/>
    <cellStyle name="20% - Accent6 3 6 2 4" xfId="11764" xr:uid="{00000000-0005-0000-0000-0000232E0000}"/>
    <cellStyle name="20% - Accent6 3 6 3" xfId="11765" xr:uid="{00000000-0005-0000-0000-0000242E0000}"/>
    <cellStyle name="20% - Accent6 3 6 3 2" xfId="11766" xr:uid="{00000000-0005-0000-0000-0000252E0000}"/>
    <cellStyle name="20% - Accent6 3 6 3 2 2" xfId="11767" xr:uid="{00000000-0005-0000-0000-0000262E0000}"/>
    <cellStyle name="20% - Accent6 3 6 3 3" xfId="11768" xr:uid="{00000000-0005-0000-0000-0000272E0000}"/>
    <cellStyle name="20% - Accent6 3 6 4" xfId="11769" xr:uid="{00000000-0005-0000-0000-0000282E0000}"/>
    <cellStyle name="20% - Accent6 3 6 4 2" xfId="11770" xr:uid="{00000000-0005-0000-0000-0000292E0000}"/>
    <cellStyle name="20% - Accent6 3 6 5" xfId="11771" xr:uid="{00000000-0005-0000-0000-00002A2E0000}"/>
    <cellStyle name="20% - Accent6 3 7" xfId="11772" xr:uid="{00000000-0005-0000-0000-00002B2E0000}"/>
    <cellStyle name="20% - Accent6 3 7 2" xfId="11773" xr:uid="{00000000-0005-0000-0000-00002C2E0000}"/>
    <cellStyle name="20% - Accent6 3 7 2 2" xfId="11774" xr:uid="{00000000-0005-0000-0000-00002D2E0000}"/>
    <cellStyle name="20% - Accent6 3 7 2 2 2" xfId="11775" xr:uid="{00000000-0005-0000-0000-00002E2E0000}"/>
    <cellStyle name="20% - Accent6 3 7 2 3" xfId="11776" xr:uid="{00000000-0005-0000-0000-00002F2E0000}"/>
    <cellStyle name="20% - Accent6 3 7 3" xfId="11777" xr:uid="{00000000-0005-0000-0000-0000302E0000}"/>
    <cellStyle name="20% - Accent6 3 7 3 2" xfId="11778" xr:uid="{00000000-0005-0000-0000-0000312E0000}"/>
    <cellStyle name="20% - Accent6 3 7 4" xfId="11779" xr:uid="{00000000-0005-0000-0000-0000322E0000}"/>
    <cellStyle name="20% - Accent6 3 8" xfId="11780" xr:uid="{00000000-0005-0000-0000-0000332E0000}"/>
    <cellStyle name="20% - Accent6 3 8 2" xfId="11781" xr:uid="{00000000-0005-0000-0000-0000342E0000}"/>
    <cellStyle name="20% - Accent6 3 8 2 2" xfId="11782" xr:uid="{00000000-0005-0000-0000-0000352E0000}"/>
    <cellStyle name="20% - Accent6 3 8 3" xfId="11783" xr:uid="{00000000-0005-0000-0000-0000362E0000}"/>
    <cellStyle name="20% - Accent6 3 9" xfId="11784" xr:uid="{00000000-0005-0000-0000-0000372E0000}"/>
    <cellStyle name="20% - Accent6 3 9 2" xfId="11785" xr:uid="{00000000-0005-0000-0000-0000382E0000}"/>
    <cellStyle name="20% - Accent6 4" xfId="11786" xr:uid="{00000000-0005-0000-0000-0000392E0000}"/>
    <cellStyle name="20% - Accent6 4 2" xfId="11787" xr:uid="{00000000-0005-0000-0000-00003A2E0000}"/>
    <cellStyle name="20% - Accent6 4 2 2" xfId="11788" xr:uid="{00000000-0005-0000-0000-00003B2E0000}"/>
    <cellStyle name="20% - Accent6 4 2 2 2" xfId="11789" xr:uid="{00000000-0005-0000-0000-00003C2E0000}"/>
    <cellStyle name="20% - Accent6 4 2 2 2 2" xfId="11790" xr:uid="{00000000-0005-0000-0000-00003D2E0000}"/>
    <cellStyle name="20% - Accent6 4 2 2 2 2 2" xfId="11791" xr:uid="{00000000-0005-0000-0000-00003E2E0000}"/>
    <cellStyle name="20% - Accent6 4 2 2 2 2 2 2" xfId="11792" xr:uid="{00000000-0005-0000-0000-00003F2E0000}"/>
    <cellStyle name="20% - Accent6 4 2 2 2 2 2 2 2" xfId="11793" xr:uid="{00000000-0005-0000-0000-0000402E0000}"/>
    <cellStyle name="20% - Accent6 4 2 2 2 2 2 2 2 2" xfId="11794" xr:uid="{00000000-0005-0000-0000-0000412E0000}"/>
    <cellStyle name="20% - Accent6 4 2 2 2 2 2 2 3" xfId="11795" xr:uid="{00000000-0005-0000-0000-0000422E0000}"/>
    <cellStyle name="20% - Accent6 4 2 2 2 2 2 3" xfId="11796" xr:uid="{00000000-0005-0000-0000-0000432E0000}"/>
    <cellStyle name="20% - Accent6 4 2 2 2 2 2 3 2" xfId="11797" xr:uid="{00000000-0005-0000-0000-0000442E0000}"/>
    <cellStyle name="20% - Accent6 4 2 2 2 2 2 4" xfId="11798" xr:uid="{00000000-0005-0000-0000-0000452E0000}"/>
    <cellStyle name="20% - Accent6 4 2 2 2 2 3" xfId="11799" xr:uid="{00000000-0005-0000-0000-0000462E0000}"/>
    <cellStyle name="20% - Accent6 4 2 2 2 2 3 2" xfId="11800" xr:uid="{00000000-0005-0000-0000-0000472E0000}"/>
    <cellStyle name="20% - Accent6 4 2 2 2 2 3 2 2" xfId="11801" xr:uid="{00000000-0005-0000-0000-0000482E0000}"/>
    <cellStyle name="20% - Accent6 4 2 2 2 2 3 3" xfId="11802" xr:uid="{00000000-0005-0000-0000-0000492E0000}"/>
    <cellStyle name="20% - Accent6 4 2 2 2 2 4" xfId="11803" xr:uid="{00000000-0005-0000-0000-00004A2E0000}"/>
    <cellStyle name="20% - Accent6 4 2 2 2 2 4 2" xfId="11804" xr:uid="{00000000-0005-0000-0000-00004B2E0000}"/>
    <cellStyle name="20% - Accent6 4 2 2 2 2 5" xfId="11805" xr:uid="{00000000-0005-0000-0000-00004C2E0000}"/>
    <cellStyle name="20% - Accent6 4 2 2 2 3" xfId="11806" xr:uid="{00000000-0005-0000-0000-00004D2E0000}"/>
    <cellStyle name="20% - Accent6 4 2 2 2 3 2" xfId="11807" xr:uid="{00000000-0005-0000-0000-00004E2E0000}"/>
    <cellStyle name="20% - Accent6 4 2 2 2 3 2 2" xfId="11808" xr:uid="{00000000-0005-0000-0000-00004F2E0000}"/>
    <cellStyle name="20% - Accent6 4 2 2 2 3 2 2 2" xfId="11809" xr:uid="{00000000-0005-0000-0000-0000502E0000}"/>
    <cellStyle name="20% - Accent6 4 2 2 2 3 2 3" xfId="11810" xr:uid="{00000000-0005-0000-0000-0000512E0000}"/>
    <cellStyle name="20% - Accent6 4 2 2 2 3 3" xfId="11811" xr:uid="{00000000-0005-0000-0000-0000522E0000}"/>
    <cellStyle name="20% - Accent6 4 2 2 2 3 3 2" xfId="11812" xr:uid="{00000000-0005-0000-0000-0000532E0000}"/>
    <cellStyle name="20% - Accent6 4 2 2 2 3 4" xfId="11813" xr:uid="{00000000-0005-0000-0000-0000542E0000}"/>
    <cellStyle name="20% - Accent6 4 2 2 2 4" xfId="11814" xr:uid="{00000000-0005-0000-0000-0000552E0000}"/>
    <cellStyle name="20% - Accent6 4 2 2 2 4 2" xfId="11815" xr:uid="{00000000-0005-0000-0000-0000562E0000}"/>
    <cellStyle name="20% - Accent6 4 2 2 2 4 2 2" xfId="11816" xr:uid="{00000000-0005-0000-0000-0000572E0000}"/>
    <cellStyle name="20% - Accent6 4 2 2 2 4 3" xfId="11817" xr:uid="{00000000-0005-0000-0000-0000582E0000}"/>
    <cellStyle name="20% - Accent6 4 2 2 2 5" xfId="11818" xr:uid="{00000000-0005-0000-0000-0000592E0000}"/>
    <cellStyle name="20% - Accent6 4 2 2 2 5 2" xfId="11819" xr:uid="{00000000-0005-0000-0000-00005A2E0000}"/>
    <cellStyle name="20% - Accent6 4 2 2 2 6" xfId="11820" xr:uid="{00000000-0005-0000-0000-00005B2E0000}"/>
    <cellStyle name="20% - Accent6 4 2 2 3" xfId="11821" xr:uid="{00000000-0005-0000-0000-00005C2E0000}"/>
    <cellStyle name="20% - Accent6 4 2 2 3 2" xfId="11822" xr:uid="{00000000-0005-0000-0000-00005D2E0000}"/>
    <cellStyle name="20% - Accent6 4 2 2 3 2 2" xfId="11823" xr:uid="{00000000-0005-0000-0000-00005E2E0000}"/>
    <cellStyle name="20% - Accent6 4 2 2 3 2 2 2" xfId="11824" xr:uid="{00000000-0005-0000-0000-00005F2E0000}"/>
    <cellStyle name="20% - Accent6 4 2 2 3 2 2 2 2" xfId="11825" xr:uid="{00000000-0005-0000-0000-0000602E0000}"/>
    <cellStyle name="20% - Accent6 4 2 2 3 2 2 3" xfId="11826" xr:uid="{00000000-0005-0000-0000-0000612E0000}"/>
    <cellStyle name="20% - Accent6 4 2 2 3 2 3" xfId="11827" xr:uid="{00000000-0005-0000-0000-0000622E0000}"/>
    <cellStyle name="20% - Accent6 4 2 2 3 2 3 2" xfId="11828" xr:uid="{00000000-0005-0000-0000-0000632E0000}"/>
    <cellStyle name="20% - Accent6 4 2 2 3 2 4" xfId="11829" xr:uid="{00000000-0005-0000-0000-0000642E0000}"/>
    <cellStyle name="20% - Accent6 4 2 2 3 3" xfId="11830" xr:uid="{00000000-0005-0000-0000-0000652E0000}"/>
    <cellStyle name="20% - Accent6 4 2 2 3 3 2" xfId="11831" xr:uid="{00000000-0005-0000-0000-0000662E0000}"/>
    <cellStyle name="20% - Accent6 4 2 2 3 3 2 2" xfId="11832" xr:uid="{00000000-0005-0000-0000-0000672E0000}"/>
    <cellStyle name="20% - Accent6 4 2 2 3 3 3" xfId="11833" xr:uid="{00000000-0005-0000-0000-0000682E0000}"/>
    <cellStyle name="20% - Accent6 4 2 2 3 4" xfId="11834" xr:uid="{00000000-0005-0000-0000-0000692E0000}"/>
    <cellStyle name="20% - Accent6 4 2 2 3 4 2" xfId="11835" xr:uid="{00000000-0005-0000-0000-00006A2E0000}"/>
    <cellStyle name="20% - Accent6 4 2 2 3 5" xfId="11836" xr:uid="{00000000-0005-0000-0000-00006B2E0000}"/>
    <cellStyle name="20% - Accent6 4 2 2 4" xfId="11837" xr:uid="{00000000-0005-0000-0000-00006C2E0000}"/>
    <cellStyle name="20% - Accent6 4 2 2 4 2" xfId="11838" xr:uid="{00000000-0005-0000-0000-00006D2E0000}"/>
    <cellStyle name="20% - Accent6 4 2 2 4 2 2" xfId="11839" xr:uid="{00000000-0005-0000-0000-00006E2E0000}"/>
    <cellStyle name="20% - Accent6 4 2 2 4 2 2 2" xfId="11840" xr:uid="{00000000-0005-0000-0000-00006F2E0000}"/>
    <cellStyle name="20% - Accent6 4 2 2 4 2 3" xfId="11841" xr:uid="{00000000-0005-0000-0000-0000702E0000}"/>
    <cellStyle name="20% - Accent6 4 2 2 4 3" xfId="11842" xr:uid="{00000000-0005-0000-0000-0000712E0000}"/>
    <cellStyle name="20% - Accent6 4 2 2 4 3 2" xfId="11843" xr:uid="{00000000-0005-0000-0000-0000722E0000}"/>
    <cellStyle name="20% - Accent6 4 2 2 4 4" xfId="11844" xr:uid="{00000000-0005-0000-0000-0000732E0000}"/>
    <cellStyle name="20% - Accent6 4 2 2 5" xfId="11845" xr:uid="{00000000-0005-0000-0000-0000742E0000}"/>
    <cellStyle name="20% - Accent6 4 2 2 5 2" xfId="11846" xr:uid="{00000000-0005-0000-0000-0000752E0000}"/>
    <cellStyle name="20% - Accent6 4 2 2 5 2 2" xfId="11847" xr:uid="{00000000-0005-0000-0000-0000762E0000}"/>
    <cellStyle name="20% - Accent6 4 2 2 5 3" xfId="11848" xr:uid="{00000000-0005-0000-0000-0000772E0000}"/>
    <cellStyle name="20% - Accent6 4 2 2 6" xfId="11849" xr:uid="{00000000-0005-0000-0000-0000782E0000}"/>
    <cellStyle name="20% - Accent6 4 2 2 6 2" xfId="11850" xr:uid="{00000000-0005-0000-0000-0000792E0000}"/>
    <cellStyle name="20% - Accent6 4 2 2 7" xfId="11851" xr:uid="{00000000-0005-0000-0000-00007A2E0000}"/>
    <cellStyle name="20% - Accent6 4 2 3" xfId="11852" xr:uid="{00000000-0005-0000-0000-00007B2E0000}"/>
    <cellStyle name="20% - Accent6 4 2 3 2" xfId="11853" xr:uid="{00000000-0005-0000-0000-00007C2E0000}"/>
    <cellStyle name="20% - Accent6 4 2 3 2 2" xfId="11854" xr:uid="{00000000-0005-0000-0000-00007D2E0000}"/>
    <cellStyle name="20% - Accent6 4 2 3 2 2 2" xfId="11855" xr:uid="{00000000-0005-0000-0000-00007E2E0000}"/>
    <cellStyle name="20% - Accent6 4 2 3 2 2 2 2" xfId="11856" xr:uid="{00000000-0005-0000-0000-00007F2E0000}"/>
    <cellStyle name="20% - Accent6 4 2 3 2 2 2 2 2" xfId="11857" xr:uid="{00000000-0005-0000-0000-0000802E0000}"/>
    <cellStyle name="20% - Accent6 4 2 3 2 2 2 3" xfId="11858" xr:uid="{00000000-0005-0000-0000-0000812E0000}"/>
    <cellStyle name="20% - Accent6 4 2 3 2 2 3" xfId="11859" xr:uid="{00000000-0005-0000-0000-0000822E0000}"/>
    <cellStyle name="20% - Accent6 4 2 3 2 2 3 2" xfId="11860" xr:uid="{00000000-0005-0000-0000-0000832E0000}"/>
    <cellStyle name="20% - Accent6 4 2 3 2 2 4" xfId="11861" xr:uid="{00000000-0005-0000-0000-0000842E0000}"/>
    <cellStyle name="20% - Accent6 4 2 3 2 3" xfId="11862" xr:uid="{00000000-0005-0000-0000-0000852E0000}"/>
    <cellStyle name="20% - Accent6 4 2 3 2 3 2" xfId="11863" xr:uid="{00000000-0005-0000-0000-0000862E0000}"/>
    <cellStyle name="20% - Accent6 4 2 3 2 3 2 2" xfId="11864" xr:uid="{00000000-0005-0000-0000-0000872E0000}"/>
    <cellStyle name="20% - Accent6 4 2 3 2 3 3" xfId="11865" xr:uid="{00000000-0005-0000-0000-0000882E0000}"/>
    <cellStyle name="20% - Accent6 4 2 3 2 4" xfId="11866" xr:uid="{00000000-0005-0000-0000-0000892E0000}"/>
    <cellStyle name="20% - Accent6 4 2 3 2 4 2" xfId="11867" xr:uid="{00000000-0005-0000-0000-00008A2E0000}"/>
    <cellStyle name="20% - Accent6 4 2 3 2 5" xfId="11868" xr:uid="{00000000-0005-0000-0000-00008B2E0000}"/>
    <cellStyle name="20% - Accent6 4 2 3 3" xfId="11869" xr:uid="{00000000-0005-0000-0000-00008C2E0000}"/>
    <cellStyle name="20% - Accent6 4 2 3 3 2" xfId="11870" xr:uid="{00000000-0005-0000-0000-00008D2E0000}"/>
    <cellStyle name="20% - Accent6 4 2 3 3 2 2" xfId="11871" xr:uid="{00000000-0005-0000-0000-00008E2E0000}"/>
    <cellStyle name="20% - Accent6 4 2 3 3 2 2 2" xfId="11872" xr:uid="{00000000-0005-0000-0000-00008F2E0000}"/>
    <cellStyle name="20% - Accent6 4 2 3 3 2 3" xfId="11873" xr:uid="{00000000-0005-0000-0000-0000902E0000}"/>
    <cellStyle name="20% - Accent6 4 2 3 3 3" xfId="11874" xr:uid="{00000000-0005-0000-0000-0000912E0000}"/>
    <cellStyle name="20% - Accent6 4 2 3 3 3 2" xfId="11875" xr:uid="{00000000-0005-0000-0000-0000922E0000}"/>
    <cellStyle name="20% - Accent6 4 2 3 3 4" xfId="11876" xr:uid="{00000000-0005-0000-0000-0000932E0000}"/>
    <cellStyle name="20% - Accent6 4 2 3 4" xfId="11877" xr:uid="{00000000-0005-0000-0000-0000942E0000}"/>
    <cellStyle name="20% - Accent6 4 2 3 4 2" xfId="11878" xr:uid="{00000000-0005-0000-0000-0000952E0000}"/>
    <cellStyle name="20% - Accent6 4 2 3 4 2 2" xfId="11879" xr:uid="{00000000-0005-0000-0000-0000962E0000}"/>
    <cellStyle name="20% - Accent6 4 2 3 4 3" xfId="11880" xr:uid="{00000000-0005-0000-0000-0000972E0000}"/>
    <cellStyle name="20% - Accent6 4 2 3 5" xfId="11881" xr:uid="{00000000-0005-0000-0000-0000982E0000}"/>
    <cellStyle name="20% - Accent6 4 2 3 5 2" xfId="11882" xr:uid="{00000000-0005-0000-0000-0000992E0000}"/>
    <cellStyle name="20% - Accent6 4 2 3 6" xfId="11883" xr:uid="{00000000-0005-0000-0000-00009A2E0000}"/>
    <cellStyle name="20% - Accent6 4 2 4" xfId="11884" xr:uid="{00000000-0005-0000-0000-00009B2E0000}"/>
    <cellStyle name="20% - Accent6 4 2 4 2" xfId="11885" xr:uid="{00000000-0005-0000-0000-00009C2E0000}"/>
    <cellStyle name="20% - Accent6 4 2 4 2 2" xfId="11886" xr:uid="{00000000-0005-0000-0000-00009D2E0000}"/>
    <cellStyle name="20% - Accent6 4 2 4 2 2 2" xfId="11887" xr:uid="{00000000-0005-0000-0000-00009E2E0000}"/>
    <cellStyle name="20% - Accent6 4 2 4 2 2 2 2" xfId="11888" xr:uid="{00000000-0005-0000-0000-00009F2E0000}"/>
    <cellStyle name="20% - Accent6 4 2 4 2 2 3" xfId="11889" xr:uid="{00000000-0005-0000-0000-0000A02E0000}"/>
    <cellStyle name="20% - Accent6 4 2 4 2 3" xfId="11890" xr:uid="{00000000-0005-0000-0000-0000A12E0000}"/>
    <cellStyle name="20% - Accent6 4 2 4 2 3 2" xfId="11891" xr:uid="{00000000-0005-0000-0000-0000A22E0000}"/>
    <cellStyle name="20% - Accent6 4 2 4 2 4" xfId="11892" xr:uid="{00000000-0005-0000-0000-0000A32E0000}"/>
    <cellStyle name="20% - Accent6 4 2 4 3" xfId="11893" xr:uid="{00000000-0005-0000-0000-0000A42E0000}"/>
    <cellStyle name="20% - Accent6 4 2 4 3 2" xfId="11894" xr:uid="{00000000-0005-0000-0000-0000A52E0000}"/>
    <cellStyle name="20% - Accent6 4 2 4 3 2 2" xfId="11895" xr:uid="{00000000-0005-0000-0000-0000A62E0000}"/>
    <cellStyle name="20% - Accent6 4 2 4 3 3" xfId="11896" xr:uid="{00000000-0005-0000-0000-0000A72E0000}"/>
    <cellStyle name="20% - Accent6 4 2 4 4" xfId="11897" xr:uid="{00000000-0005-0000-0000-0000A82E0000}"/>
    <cellStyle name="20% - Accent6 4 2 4 4 2" xfId="11898" xr:uid="{00000000-0005-0000-0000-0000A92E0000}"/>
    <cellStyle name="20% - Accent6 4 2 4 5" xfId="11899" xr:uid="{00000000-0005-0000-0000-0000AA2E0000}"/>
    <cellStyle name="20% - Accent6 4 2 5" xfId="11900" xr:uid="{00000000-0005-0000-0000-0000AB2E0000}"/>
    <cellStyle name="20% - Accent6 4 2 5 2" xfId="11901" xr:uid="{00000000-0005-0000-0000-0000AC2E0000}"/>
    <cellStyle name="20% - Accent6 4 2 5 2 2" xfId="11902" xr:uid="{00000000-0005-0000-0000-0000AD2E0000}"/>
    <cellStyle name="20% - Accent6 4 2 5 2 2 2" xfId="11903" xr:uid="{00000000-0005-0000-0000-0000AE2E0000}"/>
    <cellStyle name="20% - Accent6 4 2 5 2 3" xfId="11904" xr:uid="{00000000-0005-0000-0000-0000AF2E0000}"/>
    <cellStyle name="20% - Accent6 4 2 5 3" xfId="11905" xr:uid="{00000000-0005-0000-0000-0000B02E0000}"/>
    <cellStyle name="20% - Accent6 4 2 5 3 2" xfId="11906" xr:uid="{00000000-0005-0000-0000-0000B12E0000}"/>
    <cellStyle name="20% - Accent6 4 2 5 4" xfId="11907" xr:uid="{00000000-0005-0000-0000-0000B22E0000}"/>
    <cellStyle name="20% - Accent6 4 2 6" xfId="11908" xr:uid="{00000000-0005-0000-0000-0000B32E0000}"/>
    <cellStyle name="20% - Accent6 4 2 6 2" xfId="11909" xr:uid="{00000000-0005-0000-0000-0000B42E0000}"/>
    <cellStyle name="20% - Accent6 4 2 6 2 2" xfId="11910" xr:uid="{00000000-0005-0000-0000-0000B52E0000}"/>
    <cellStyle name="20% - Accent6 4 2 6 3" xfId="11911" xr:uid="{00000000-0005-0000-0000-0000B62E0000}"/>
    <cellStyle name="20% - Accent6 4 2 7" xfId="11912" xr:uid="{00000000-0005-0000-0000-0000B72E0000}"/>
    <cellStyle name="20% - Accent6 4 2 7 2" xfId="11913" xr:uid="{00000000-0005-0000-0000-0000B82E0000}"/>
    <cellStyle name="20% - Accent6 4 2 8" xfId="11914" xr:uid="{00000000-0005-0000-0000-0000B92E0000}"/>
    <cellStyle name="20% - Accent6 4 3" xfId="11915" xr:uid="{00000000-0005-0000-0000-0000BA2E0000}"/>
    <cellStyle name="20% - Accent6 4 3 2" xfId="11916" xr:uid="{00000000-0005-0000-0000-0000BB2E0000}"/>
    <cellStyle name="20% - Accent6 4 3 2 2" xfId="11917" xr:uid="{00000000-0005-0000-0000-0000BC2E0000}"/>
    <cellStyle name="20% - Accent6 4 3 2 2 2" xfId="11918" xr:uid="{00000000-0005-0000-0000-0000BD2E0000}"/>
    <cellStyle name="20% - Accent6 4 3 2 2 2 2" xfId="11919" xr:uid="{00000000-0005-0000-0000-0000BE2E0000}"/>
    <cellStyle name="20% - Accent6 4 3 2 2 2 2 2" xfId="11920" xr:uid="{00000000-0005-0000-0000-0000BF2E0000}"/>
    <cellStyle name="20% - Accent6 4 3 2 2 2 2 2 2" xfId="11921" xr:uid="{00000000-0005-0000-0000-0000C02E0000}"/>
    <cellStyle name="20% - Accent6 4 3 2 2 2 2 3" xfId="11922" xr:uid="{00000000-0005-0000-0000-0000C12E0000}"/>
    <cellStyle name="20% - Accent6 4 3 2 2 2 3" xfId="11923" xr:uid="{00000000-0005-0000-0000-0000C22E0000}"/>
    <cellStyle name="20% - Accent6 4 3 2 2 2 3 2" xfId="11924" xr:uid="{00000000-0005-0000-0000-0000C32E0000}"/>
    <cellStyle name="20% - Accent6 4 3 2 2 2 4" xfId="11925" xr:uid="{00000000-0005-0000-0000-0000C42E0000}"/>
    <cellStyle name="20% - Accent6 4 3 2 2 3" xfId="11926" xr:uid="{00000000-0005-0000-0000-0000C52E0000}"/>
    <cellStyle name="20% - Accent6 4 3 2 2 3 2" xfId="11927" xr:uid="{00000000-0005-0000-0000-0000C62E0000}"/>
    <cellStyle name="20% - Accent6 4 3 2 2 3 2 2" xfId="11928" xr:uid="{00000000-0005-0000-0000-0000C72E0000}"/>
    <cellStyle name="20% - Accent6 4 3 2 2 3 3" xfId="11929" xr:uid="{00000000-0005-0000-0000-0000C82E0000}"/>
    <cellStyle name="20% - Accent6 4 3 2 2 4" xfId="11930" xr:uid="{00000000-0005-0000-0000-0000C92E0000}"/>
    <cellStyle name="20% - Accent6 4 3 2 2 4 2" xfId="11931" xr:uid="{00000000-0005-0000-0000-0000CA2E0000}"/>
    <cellStyle name="20% - Accent6 4 3 2 2 5" xfId="11932" xr:uid="{00000000-0005-0000-0000-0000CB2E0000}"/>
    <cellStyle name="20% - Accent6 4 3 2 3" xfId="11933" xr:uid="{00000000-0005-0000-0000-0000CC2E0000}"/>
    <cellStyle name="20% - Accent6 4 3 2 3 2" xfId="11934" xr:uid="{00000000-0005-0000-0000-0000CD2E0000}"/>
    <cellStyle name="20% - Accent6 4 3 2 3 2 2" xfId="11935" xr:uid="{00000000-0005-0000-0000-0000CE2E0000}"/>
    <cellStyle name="20% - Accent6 4 3 2 3 2 2 2" xfId="11936" xr:uid="{00000000-0005-0000-0000-0000CF2E0000}"/>
    <cellStyle name="20% - Accent6 4 3 2 3 2 3" xfId="11937" xr:uid="{00000000-0005-0000-0000-0000D02E0000}"/>
    <cellStyle name="20% - Accent6 4 3 2 3 3" xfId="11938" xr:uid="{00000000-0005-0000-0000-0000D12E0000}"/>
    <cellStyle name="20% - Accent6 4 3 2 3 3 2" xfId="11939" xr:uid="{00000000-0005-0000-0000-0000D22E0000}"/>
    <cellStyle name="20% - Accent6 4 3 2 3 4" xfId="11940" xr:uid="{00000000-0005-0000-0000-0000D32E0000}"/>
    <cellStyle name="20% - Accent6 4 3 2 4" xfId="11941" xr:uid="{00000000-0005-0000-0000-0000D42E0000}"/>
    <cellStyle name="20% - Accent6 4 3 2 4 2" xfId="11942" xr:uid="{00000000-0005-0000-0000-0000D52E0000}"/>
    <cellStyle name="20% - Accent6 4 3 2 4 2 2" xfId="11943" xr:uid="{00000000-0005-0000-0000-0000D62E0000}"/>
    <cellStyle name="20% - Accent6 4 3 2 4 3" xfId="11944" xr:uid="{00000000-0005-0000-0000-0000D72E0000}"/>
    <cellStyle name="20% - Accent6 4 3 2 5" xfId="11945" xr:uid="{00000000-0005-0000-0000-0000D82E0000}"/>
    <cellStyle name="20% - Accent6 4 3 2 5 2" xfId="11946" xr:uid="{00000000-0005-0000-0000-0000D92E0000}"/>
    <cellStyle name="20% - Accent6 4 3 2 6" xfId="11947" xr:uid="{00000000-0005-0000-0000-0000DA2E0000}"/>
    <cellStyle name="20% - Accent6 4 3 3" xfId="11948" xr:uid="{00000000-0005-0000-0000-0000DB2E0000}"/>
    <cellStyle name="20% - Accent6 4 3 3 2" xfId="11949" xr:uid="{00000000-0005-0000-0000-0000DC2E0000}"/>
    <cellStyle name="20% - Accent6 4 3 3 2 2" xfId="11950" xr:uid="{00000000-0005-0000-0000-0000DD2E0000}"/>
    <cellStyle name="20% - Accent6 4 3 3 2 2 2" xfId="11951" xr:uid="{00000000-0005-0000-0000-0000DE2E0000}"/>
    <cellStyle name="20% - Accent6 4 3 3 2 2 2 2" xfId="11952" xr:uid="{00000000-0005-0000-0000-0000DF2E0000}"/>
    <cellStyle name="20% - Accent6 4 3 3 2 2 3" xfId="11953" xr:uid="{00000000-0005-0000-0000-0000E02E0000}"/>
    <cellStyle name="20% - Accent6 4 3 3 2 3" xfId="11954" xr:uid="{00000000-0005-0000-0000-0000E12E0000}"/>
    <cellStyle name="20% - Accent6 4 3 3 2 3 2" xfId="11955" xr:uid="{00000000-0005-0000-0000-0000E22E0000}"/>
    <cellStyle name="20% - Accent6 4 3 3 2 4" xfId="11956" xr:uid="{00000000-0005-0000-0000-0000E32E0000}"/>
    <cellStyle name="20% - Accent6 4 3 3 3" xfId="11957" xr:uid="{00000000-0005-0000-0000-0000E42E0000}"/>
    <cellStyle name="20% - Accent6 4 3 3 3 2" xfId="11958" xr:uid="{00000000-0005-0000-0000-0000E52E0000}"/>
    <cellStyle name="20% - Accent6 4 3 3 3 2 2" xfId="11959" xr:uid="{00000000-0005-0000-0000-0000E62E0000}"/>
    <cellStyle name="20% - Accent6 4 3 3 3 3" xfId="11960" xr:uid="{00000000-0005-0000-0000-0000E72E0000}"/>
    <cellStyle name="20% - Accent6 4 3 3 4" xfId="11961" xr:uid="{00000000-0005-0000-0000-0000E82E0000}"/>
    <cellStyle name="20% - Accent6 4 3 3 4 2" xfId="11962" xr:uid="{00000000-0005-0000-0000-0000E92E0000}"/>
    <cellStyle name="20% - Accent6 4 3 3 5" xfId="11963" xr:uid="{00000000-0005-0000-0000-0000EA2E0000}"/>
    <cellStyle name="20% - Accent6 4 3 4" xfId="11964" xr:uid="{00000000-0005-0000-0000-0000EB2E0000}"/>
    <cellStyle name="20% - Accent6 4 3 4 2" xfId="11965" xr:uid="{00000000-0005-0000-0000-0000EC2E0000}"/>
    <cellStyle name="20% - Accent6 4 3 4 2 2" xfId="11966" xr:uid="{00000000-0005-0000-0000-0000ED2E0000}"/>
    <cellStyle name="20% - Accent6 4 3 4 2 2 2" xfId="11967" xr:uid="{00000000-0005-0000-0000-0000EE2E0000}"/>
    <cellStyle name="20% - Accent6 4 3 4 2 3" xfId="11968" xr:uid="{00000000-0005-0000-0000-0000EF2E0000}"/>
    <cellStyle name="20% - Accent6 4 3 4 3" xfId="11969" xr:uid="{00000000-0005-0000-0000-0000F02E0000}"/>
    <cellStyle name="20% - Accent6 4 3 4 3 2" xfId="11970" xr:uid="{00000000-0005-0000-0000-0000F12E0000}"/>
    <cellStyle name="20% - Accent6 4 3 4 4" xfId="11971" xr:uid="{00000000-0005-0000-0000-0000F22E0000}"/>
    <cellStyle name="20% - Accent6 4 3 5" xfId="11972" xr:uid="{00000000-0005-0000-0000-0000F32E0000}"/>
    <cellStyle name="20% - Accent6 4 3 5 2" xfId="11973" xr:uid="{00000000-0005-0000-0000-0000F42E0000}"/>
    <cellStyle name="20% - Accent6 4 3 5 2 2" xfId="11974" xr:uid="{00000000-0005-0000-0000-0000F52E0000}"/>
    <cellStyle name="20% - Accent6 4 3 5 3" xfId="11975" xr:uid="{00000000-0005-0000-0000-0000F62E0000}"/>
    <cellStyle name="20% - Accent6 4 3 6" xfId="11976" xr:uid="{00000000-0005-0000-0000-0000F72E0000}"/>
    <cellStyle name="20% - Accent6 4 3 6 2" xfId="11977" xr:uid="{00000000-0005-0000-0000-0000F82E0000}"/>
    <cellStyle name="20% - Accent6 4 3 7" xfId="11978" xr:uid="{00000000-0005-0000-0000-0000F92E0000}"/>
    <cellStyle name="20% - Accent6 4 4" xfId="11979" xr:uid="{00000000-0005-0000-0000-0000FA2E0000}"/>
    <cellStyle name="20% - Accent6 4 4 2" xfId="11980" xr:uid="{00000000-0005-0000-0000-0000FB2E0000}"/>
    <cellStyle name="20% - Accent6 4 4 2 2" xfId="11981" xr:uid="{00000000-0005-0000-0000-0000FC2E0000}"/>
    <cellStyle name="20% - Accent6 4 4 2 2 2" xfId="11982" xr:uid="{00000000-0005-0000-0000-0000FD2E0000}"/>
    <cellStyle name="20% - Accent6 4 4 2 2 2 2" xfId="11983" xr:uid="{00000000-0005-0000-0000-0000FE2E0000}"/>
    <cellStyle name="20% - Accent6 4 4 2 2 2 2 2" xfId="11984" xr:uid="{00000000-0005-0000-0000-0000FF2E0000}"/>
    <cellStyle name="20% - Accent6 4 4 2 2 2 3" xfId="11985" xr:uid="{00000000-0005-0000-0000-0000002F0000}"/>
    <cellStyle name="20% - Accent6 4 4 2 2 3" xfId="11986" xr:uid="{00000000-0005-0000-0000-0000012F0000}"/>
    <cellStyle name="20% - Accent6 4 4 2 2 3 2" xfId="11987" xr:uid="{00000000-0005-0000-0000-0000022F0000}"/>
    <cellStyle name="20% - Accent6 4 4 2 2 4" xfId="11988" xr:uid="{00000000-0005-0000-0000-0000032F0000}"/>
    <cellStyle name="20% - Accent6 4 4 2 3" xfId="11989" xr:uid="{00000000-0005-0000-0000-0000042F0000}"/>
    <cellStyle name="20% - Accent6 4 4 2 3 2" xfId="11990" xr:uid="{00000000-0005-0000-0000-0000052F0000}"/>
    <cellStyle name="20% - Accent6 4 4 2 3 2 2" xfId="11991" xr:uid="{00000000-0005-0000-0000-0000062F0000}"/>
    <cellStyle name="20% - Accent6 4 4 2 3 3" xfId="11992" xr:uid="{00000000-0005-0000-0000-0000072F0000}"/>
    <cellStyle name="20% - Accent6 4 4 2 4" xfId="11993" xr:uid="{00000000-0005-0000-0000-0000082F0000}"/>
    <cellStyle name="20% - Accent6 4 4 2 4 2" xfId="11994" xr:uid="{00000000-0005-0000-0000-0000092F0000}"/>
    <cellStyle name="20% - Accent6 4 4 2 5" xfId="11995" xr:uid="{00000000-0005-0000-0000-00000A2F0000}"/>
    <cellStyle name="20% - Accent6 4 4 3" xfId="11996" xr:uid="{00000000-0005-0000-0000-00000B2F0000}"/>
    <cellStyle name="20% - Accent6 4 4 3 2" xfId="11997" xr:uid="{00000000-0005-0000-0000-00000C2F0000}"/>
    <cellStyle name="20% - Accent6 4 4 3 2 2" xfId="11998" xr:uid="{00000000-0005-0000-0000-00000D2F0000}"/>
    <cellStyle name="20% - Accent6 4 4 3 2 2 2" xfId="11999" xr:uid="{00000000-0005-0000-0000-00000E2F0000}"/>
    <cellStyle name="20% - Accent6 4 4 3 2 3" xfId="12000" xr:uid="{00000000-0005-0000-0000-00000F2F0000}"/>
    <cellStyle name="20% - Accent6 4 4 3 3" xfId="12001" xr:uid="{00000000-0005-0000-0000-0000102F0000}"/>
    <cellStyle name="20% - Accent6 4 4 3 3 2" xfId="12002" xr:uid="{00000000-0005-0000-0000-0000112F0000}"/>
    <cellStyle name="20% - Accent6 4 4 3 4" xfId="12003" xr:uid="{00000000-0005-0000-0000-0000122F0000}"/>
    <cellStyle name="20% - Accent6 4 4 4" xfId="12004" xr:uid="{00000000-0005-0000-0000-0000132F0000}"/>
    <cellStyle name="20% - Accent6 4 4 4 2" xfId="12005" xr:uid="{00000000-0005-0000-0000-0000142F0000}"/>
    <cellStyle name="20% - Accent6 4 4 4 2 2" xfId="12006" xr:uid="{00000000-0005-0000-0000-0000152F0000}"/>
    <cellStyle name="20% - Accent6 4 4 4 3" xfId="12007" xr:uid="{00000000-0005-0000-0000-0000162F0000}"/>
    <cellStyle name="20% - Accent6 4 4 5" xfId="12008" xr:uid="{00000000-0005-0000-0000-0000172F0000}"/>
    <cellStyle name="20% - Accent6 4 4 5 2" xfId="12009" xr:uid="{00000000-0005-0000-0000-0000182F0000}"/>
    <cellStyle name="20% - Accent6 4 4 6" xfId="12010" xr:uid="{00000000-0005-0000-0000-0000192F0000}"/>
    <cellStyle name="20% - Accent6 4 5" xfId="12011" xr:uid="{00000000-0005-0000-0000-00001A2F0000}"/>
    <cellStyle name="20% - Accent6 4 5 2" xfId="12012" xr:uid="{00000000-0005-0000-0000-00001B2F0000}"/>
    <cellStyle name="20% - Accent6 4 5 2 2" xfId="12013" xr:uid="{00000000-0005-0000-0000-00001C2F0000}"/>
    <cellStyle name="20% - Accent6 4 5 2 2 2" xfId="12014" xr:uid="{00000000-0005-0000-0000-00001D2F0000}"/>
    <cellStyle name="20% - Accent6 4 5 2 2 2 2" xfId="12015" xr:uid="{00000000-0005-0000-0000-00001E2F0000}"/>
    <cellStyle name="20% - Accent6 4 5 2 2 3" xfId="12016" xr:uid="{00000000-0005-0000-0000-00001F2F0000}"/>
    <cellStyle name="20% - Accent6 4 5 2 3" xfId="12017" xr:uid="{00000000-0005-0000-0000-0000202F0000}"/>
    <cellStyle name="20% - Accent6 4 5 2 3 2" xfId="12018" xr:uid="{00000000-0005-0000-0000-0000212F0000}"/>
    <cellStyle name="20% - Accent6 4 5 2 4" xfId="12019" xr:uid="{00000000-0005-0000-0000-0000222F0000}"/>
    <cellStyle name="20% - Accent6 4 5 3" xfId="12020" xr:uid="{00000000-0005-0000-0000-0000232F0000}"/>
    <cellStyle name="20% - Accent6 4 5 3 2" xfId="12021" xr:uid="{00000000-0005-0000-0000-0000242F0000}"/>
    <cellStyle name="20% - Accent6 4 5 3 2 2" xfId="12022" xr:uid="{00000000-0005-0000-0000-0000252F0000}"/>
    <cellStyle name="20% - Accent6 4 5 3 3" xfId="12023" xr:uid="{00000000-0005-0000-0000-0000262F0000}"/>
    <cellStyle name="20% - Accent6 4 5 4" xfId="12024" xr:uid="{00000000-0005-0000-0000-0000272F0000}"/>
    <cellStyle name="20% - Accent6 4 5 4 2" xfId="12025" xr:uid="{00000000-0005-0000-0000-0000282F0000}"/>
    <cellStyle name="20% - Accent6 4 5 5" xfId="12026" xr:uid="{00000000-0005-0000-0000-0000292F0000}"/>
    <cellStyle name="20% - Accent6 4 6" xfId="12027" xr:uid="{00000000-0005-0000-0000-00002A2F0000}"/>
    <cellStyle name="20% - Accent6 4 6 2" xfId="12028" xr:uid="{00000000-0005-0000-0000-00002B2F0000}"/>
    <cellStyle name="20% - Accent6 4 6 2 2" xfId="12029" xr:uid="{00000000-0005-0000-0000-00002C2F0000}"/>
    <cellStyle name="20% - Accent6 4 6 2 2 2" xfId="12030" xr:uid="{00000000-0005-0000-0000-00002D2F0000}"/>
    <cellStyle name="20% - Accent6 4 6 2 3" xfId="12031" xr:uid="{00000000-0005-0000-0000-00002E2F0000}"/>
    <cellStyle name="20% - Accent6 4 6 3" xfId="12032" xr:uid="{00000000-0005-0000-0000-00002F2F0000}"/>
    <cellStyle name="20% - Accent6 4 6 3 2" xfId="12033" xr:uid="{00000000-0005-0000-0000-0000302F0000}"/>
    <cellStyle name="20% - Accent6 4 6 4" xfId="12034" xr:uid="{00000000-0005-0000-0000-0000312F0000}"/>
    <cellStyle name="20% - Accent6 4 7" xfId="12035" xr:uid="{00000000-0005-0000-0000-0000322F0000}"/>
    <cellStyle name="20% - Accent6 4 7 2" xfId="12036" xr:uid="{00000000-0005-0000-0000-0000332F0000}"/>
    <cellStyle name="20% - Accent6 4 7 2 2" xfId="12037" xr:uid="{00000000-0005-0000-0000-0000342F0000}"/>
    <cellStyle name="20% - Accent6 4 7 3" xfId="12038" xr:uid="{00000000-0005-0000-0000-0000352F0000}"/>
    <cellStyle name="20% - Accent6 4 8" xfId="12039" xr:uid="{00000000-0005-0000-0000-0000362F0000}"/>
    <cellStyle name="20% - Accent6 4 8 2" xfId="12040" xr:uid="{00000000-0005-0000-0000-0000372F0000}"/>
    <cellStyle name="20% - Accent6 4 9" xfId="12041" xr:uid="{00000000-0005-0000-0000-0000382F0000}"/>
    <cellStyle name="20% - Accent6 5" xfId="12042" xr:uid="{00000000-0005-0000-0000-0000392F0000}"/>
    <cellStyle name="20% - Accent6 5 2" xfId="12043" xr:uid="{00000000-0005-0000-0000-00003A2F0000}"/>
    <cellStyle name="20% - Accent6 5 2 2" xfId="12044" xr:uid="{00000000-0005-0000-0000-00003B2F0000}"/>
    <cellStyle name="20% - Accent6 5 2 2 2" xfId="12045" xr:uid="{00000000-0005-0000-0000-00003C2F0000}"/>
    <cellStyle name="20% - Accent6 5 2 2 2 2" xfId="12046" xr:uid="{00000000-0005-0000-0000-00003D2F0000}"/>
    <cellStyle name="20% - Accent6 5 2 2 2 2 2" xfId="12047" xr:uid="{00000000-0005-0000-0000-00003E2F0000}"/>
    <cellStyle name="20% - Accent6 5 2 2 2 2 2 2" xfId="12048" xr:uid="{00000000-0005-0000-0000-00003F2F0000}"/>
    <cellStyle name="20% - Accent6 5 2 2 2 2 2 2 2" xfId="12049" xr:uid="{00000000-0005-0000-0000-0000402F0000}"/>
    <cellStyle name="20% - Accent6 5 2 2 2 2 2 3" xfId="12050" xr:uid="{00000000-0005-0000-0000-0000412F0000}"/>
    <cellStyle name="20% - Accent6 5 2 2 2 2 3" xfId="12051" xr:uid="{00000000-0005-0000-0000-0000422F0000}"/>
    <cellStyle name="20% - Accent6 5 2 2 2 2 3 2" xfId="12052" xr:uid="{00000000-0005-0000-0000-0000432F0000}"/>
    <cellStyle name="20% - Accent6 5 2 2 2 2 4" xfId="12053" xr:uid="{00000000-0005-0000-0000-0000442F0000}"/>
    <cellStyle name="20% - Accent6 5 2 2 2 3" xfId="12054" xr:uid="{00000000-0005-0000-0000-0000452F0000}"/>
    <cellStyle name="20% - Accent6 5 2 2 2 3 2" xfId="12055" xr:uid="{00000000-0005-0000-0000-0000462F0000}"/>
    <cellStyle name="20% - Accent6 5 2 2 2 3 2 2" xfId="12056" xr:uid="{00000000-0005-0000-0000-0000472F0000}"/>
    <cellStyle name="20% - Accent6 5 2 2 2 3 3" xfId="12057" xr:uid="{00000000-0005-0000-0000-0000482F0000}"/>
    <cellStyle name="20% - Accent6 5 2 2 2 4" xfId="12058" xr:uid="{00000000-0005-0000-0000-0000492F0000}"/>
    <cellStyle name="20% - Accent6 5 2 2 2 4 2" xfId="12059" xr:uid="{00000000-0005-0000-0000-00004A2F0000}"/>
    <cellStyle name="20% - Accent6 5 2 2 2 5" xfId="12060" xr:uid="{00000000-0005-0000-0000-00004B2F0000}"/>
    <cellStyle name="20% - Accent6 5 2 2 3" xfId="12061" xr:uid="{00000000-0005-0000-0000-00004C2F0000}"/>
    <cellStyle name="20% - Accent6 5 2 2 3 2" xfId="12062" xr:uid="{00000000-0005-0000-0000-00004D2F0000}"/>
    <cellStyle name="20% - Accent6 5 2 2 3 2 2" xfId="12063" xr:uid="{00000000-0005-0000-0000-00004E2F0000}"/>
    <cellStyle name="20% - Accent6 5 2 2 3 2 2 2" xfId="12064" xr:uid="{00000000-0005-0000-0000-00004F2F0000}"/>
    <cellStyle name="20% - Accent6 5 2 2 3 2 3" xfId="12065" xr:uid="{00000000-0005-0000-0000-0000502F0000}"/>
    <cellStyle name="20% - Accent6 5 2 2 3 3" xfId="12066" xr:uid="{00000000-0005-0000-0000-0000512F0000}"/>
    <cellStyle name="20% - Accent6 5 2 2 3 3 2" xfId="12067" xr:uid="{00000000-0005-0000-0000-0000522F0000}"/>
    <cellStyle name="20% - Accent6 5 2 2 3 4" xfId="12068" xr:uid="{00000000-0005-0000-0000-0000532F0000}"/>
    <cellStyle name="20% - Accent6 5 2 2 4" xfId="12069" xr:uid="{00000000-0005-0000-0000-0000542F0000}"/>
    <cellStyle name="20% - Accent6 5 2 2 4 2" xfId="12070" xr:uid="{00000000-0005-0000-0000-0000552F0000}"/>
    <cellStyle name="20% - Accent6 5 2 2 4 2 2" xfId="12071" xr:uid="{00000000-0005-0000-0000-0000562F0000}"/>
    <cellStyle name="20% - Accent6 5 2 2 4 3" xfId="12072" xr:uid="{00000000-0005-0000-0000-0000572F0000}"/>
    <cellStyle name="20% - Accent6 5 2 2 5" xfId="12073" xr:uid="{00000000-0005-0000-0000-0000582F0000}"/>
    <cellStyle name="20% - Accent6 5 2 2 5 2" xfId="12074" xr:uid="{00000000-0005-0000-0000-0000592F0000}"/>
    <cellStyle name="20% - Accent6 5 2 2 6" xfId="12075" xr:uid="{00000000-0005-0000-0000-00005A2F0000}"/>
    <cellStyle name="20% - Accent6 5 2 3" xfId="12076" xr:uid="{00000000-0005-0000-0000-00005B2F0000}"/>
    <cellStyle name="20% - Accent6 5 2 3 2" xfId="12077" xr:uid="{00000000-0005-0000-0000-00005C2F0000}"/>
    <cellStyle name="20% - Accent6 5 2 3 2 2" xfId="12078" xr:uid="{00000000-0005-0000-0000-00005D2F0000}"/>
    <cellStyle name="20% - Accent6 5 2 3 2 2 2" xfId="12079" xr:uid="{00000000-0005-0000-0000-00005E2F0000}"/>
    <cellStyle name="20% - Accent6 5 2 3 2 2 2 2" xfId="12080" xr:uid="{00000000-0005-0000-0000-00005F2F0000}"/>
    <cellStyle name="20% - Accent6 5 2 3 2 2 3" xfId="12081" xr:uid="{00000000-0005-0000-0000-0000602F0000}"/>
    <cellStyle name="20% - Accent6 5 2 3 2 3" xfId="12082" xr:uid="{00000000-0005-0000-0000-0000612F0000}"/>
    <cellStyle name="20% - Accent6 5 2 3 2 3 2" xfId="12083" xr:uid="{00000000-0005-0000-0000-0000622F0000}"/>
    <cellStyle name="20% - Accent6 5 2 3 2 4" xfId="12084" xr:uid="{00000000-0005-0000-0000-0000632F0000}"/>
    <cellStyle name="20% - Accent6 5 2 3 3" xfId="12085" xr:uid="{00000000-0005-0000-0000-0000642F0000}"/>
    <cellStyle name="20% - Accent6 5 2 3 3 2" xfId="12086" xr:uid="{00000000-0005-0000-0000-0000652F0000}"/>
    <cellStyle name="20% - Accent6 5 2 3 3 2 2" xfId="12087" xr:uid="{00000000-0005-0000-0000-0000662F0000}"/>
    <cellStyle name="20% - Accent6 5 2 3 3 3" xfId="12088" xr:uid="{00000000-0005-0000-0000-0000672F0000}"/>
    <cellStyle name="20% - Accent6 5 2 3 4" xfId="12089" xr:uid="{00000000-0005-0000-0000-0000682F0000}"/>
    <cellStyle name="20% - Accent6 5 2 3 4 2" xfId="12090" xr:uid="{00000000-0005-0000-0000-0000692F0000}"/>
    <cellStyle name="20% - Accent6 5 2 3 5" xfId="12091" xr:uid="{00000000-0005-0000-0000-00006A2F0000}"/>
    <cellStyle name="20% - Accent6 5 2 4" xfId="12092" xr:uid="{00000000-0005-0000-0000-00006B2F0000}"/>
    <cellStyle name="20% - Accent6 5 2 4 2" xfId="12093" xr:uid="{00000000-0005-0000-0000-00006C2F0000}"/>
    <cellStyle name="20% - Accent6 5 2 4 2 2" xfId="12094" xr:uid="{00000000-0005-0000-0000-00006D2F0000}"/>
    <cellStyle name="20% - Accent6 5 2 4 2 2 2" xfId="12095" xr:uid="{00000000-0005-0000-0000-00006E2F0000}"/>
    <cellStyle name="20% - Accent6 5 2 4 2 3" xfId="12096" xr:uid="{00000000-0005-0000-0000-00006F2F0000}"/>
    <cellStyle name="20% - Accent6 5 2 4 3" xfId="12097" xr:uid="{00000000-0005-0000-0000-0000702F0000}"/>
    <cellStyle name="20% - Accent6 5 2 4 3 2" xfId="12098" xr:uid="{00000000-0005-0000-0000-0000712F0000}"/>
    <cellStyle name="20% - Accent6 5 2 4 4" xfId="12099" xr:uid="{00000000-0005-0000-0000-0000722F0000}"/>
    <cellStyle name="20% - Accent6 5 2 5" xfId="12100" xr:uid="{00000000-0005-0000-0000-0000732F0000}"/>
    <cellStyle name="20% - Accent6 5 2 5 2" xfId="12101" xr:uid="{00000000-0005-0000-0000-0000742F0000}"/>
    <cellStyle name="20% - Accent6 5 2 5 2 2" xfId="12102" xr:uid="{00000000-0005-0000-0000-0000752F0000}"/>
    <cellStyle name="20% - Accent6 5 2 5 3" xfId="12103" xr:uid="{00000000-0005-0000-0000-0000762F0000}"/>
    <cellStyle name="20% - Accent6 5 2 6" xfId="12104" xr:uid="{00000000-0005-0000-0000-0000772F0000}"/>
    <cellStyle name="20% - Accent6 5 2 6 2" xfId="12105" xr:uid="{00000000-0005-0000-0000-0000782F0000}"/>
    <cellStyle name="20% - Accent6 5 2 7" xfId="12106" xr:uid="{00000000-0005-0000-0000-0000792F0000}"/>
    <cellStyle name="20% - Accent6 5 3" xfId="12107" xr:uid="{00000000-0005-0000-0000-00007A2F0000}"/>
    <cellStyle name="20% - Accent6 5 3 2" xfId="12108" xr:uid="{00000000-0005-0000-0000-00007B2F0000}"/>
    <cellStyle name="20% - Accent6 5 3 2 2" xfId="12109" xr:uid="{00000000-0005-0000-0000-00007C2F0000}"/>
    <cellStyle name="20% - Accent6 5 3 2 2 2" xfId="12110" xr:uid="{00000000-0005-0000-0000-00007D2F0000}"/>
    <cellStyle name="20% - Accent6 5 3 2 2 2 2" xfId="12111" xr:uid="{00000000-0005-0000-0000-00007E2F0000}"/>
    <cellStyle name="20% - Accent6 5 3 2 2 2 2 2" xfId="12112" xr:uid="{00000000-0005-0000-0000-00007F2F0000}"/>
    <cellStyle name="20% - Accent6 5 3 2 2 2 3" xfId="12113" xr:uid="{00000000-0005-0000-0000-0000802F0000}"/>
    <cellStyle name="20% - Accent6 5 3 2 2 3" xfId="12114" xr:uid="{00000000-0005-0000-0000-0000812F0000}"/>
    <cellStyle name="20% - Accent6 5 3 2 2 3 2" xfId="12115" xr:uid="{00000000-0005-0000-0000-0000822F0000}"/>
    <cellStyle name="20% - Accent6 5 3 2 2 4" xfId="12116" xr:uid="{00000000-0005-0000-0000-0000832F0000}"/>
    <cellStyle name="20% - Accent6 5 3 2 3" xfId="12117" xr:uid="{00000000-0005-0000-0000-0000842F0000}"/>
    <cellStyle name="20% - Accent6 5 3 2 3 2" xfId="12118" xr:uid="{00000000-0005-0000-0000-0000852F0000}"/>
    <cellStyle name="20% - Accent6 5 3 2 3 2 2" xfId="12119" xr:uid="{00000000-0005-0000-0000-0000862F0000}"/>
    <cellStyle name="20% - Accent6 5 3 2 3 3" xfId="12120" xr:uid="{00000000-0005-0000-0000-0000872F0000}"/>
    <cellStyle name="20% - Accent6 5 3 2 4" xfId="12121" xr:uid="{00000000-0005-0000-0000-0000882F0000}"/>
    <cellStyle name="20% - Accent6 5 3 2 4 2" xfId="12122" xr:uid="{00000000-0005-0000-0000-0000892F0000}"/>
    <cellStyle name="20% - Accent6 5 3 2 5" xfId="12123" xr:uid="{00000000-0005-0000-0000-00008A2F0000}"/>
    <cellStyle name="20% - Accent6 5 3 3" xfId="12124" xr:uid="{00000000-0005-0000-0000-00008B2F0000}"/>
    <cellStyle name="20% - Accent6 5 3 3 2" xfId="12125" xr:uid="{00000000-0005-0000-0000-00008C2F0000}"/>
    <cellStyle name="20% - Accent6 5 3 3 2 2" xfId="12126" xr:uid="{00000000-0005-0000-0000-00008D2F0000}"/>
    <cellStyle name="20% - Accent6 5 3 3 2 2 2" xfId="12127" xr:uid="{00000000-0005-0000-0000-00008E2F0000}"/>
    <cellStyle name="20% - Accent6 5 3 3 2 3" xfId="12128" xr:uid="{00000000-0005-0000-0000-00008F2F0000}"/>
    <cellStyle name="20% - Accent6 5 3 3 3" xfId="12129" xr:uid="{00000000-0005-0000-0000-0000902F0000}"/>
    <cellStyle name="20% - Accent6 5 3 3 3 2" xfId="12130" xr:uid="{00000000-0005-0000-0000-0000912F0000}"/>
    <cellStyle name="20% - Accent6 5 3 3 4" xfId="12131" xr:uid="{00000000-0005-0000-0000-0000922F0000}"/>
    <cellStyle name="20% - Accent6 5 3 4" xfId="12132" xr:uid="{00000000-0005-0000-0000-0000932F0000}"/>
    <cellStyle name="20% - Accent6 5 3 4 2" xfId="12133" xr:uid="{00000000-0005-0000-0000-0000942F0000}"/>
    <cellStyle name="20% - Accent6 5 3 4 2 2" xfId="12134" xr:uid="{00000000-0005-0000-0000-0000952F0000}"/>
    <cellStyle name="20% - Accent6 5 3 4 3" xfId="12135" xr:uid="{00000000-0005-0000-0000-0000962F0000}"/>
    <cellStyle name="20% - Accent6 5 3 5" xfId="12136" xr:uid="{00000000-0005-0000-0000-0000972F0000}"/>
    <cellStyle name="20% - Accent6 5 3 5 2" xfId="12137" xr:uid="{00000000-0005-0000-0000-0000982F0000}"/>
    <cellStyle name="20% - Accent6 5 3 6" xfId="12138" xr:uid="{00000000-0005-0000-0000-0000992F0000}"/>
    <cellStyle name="20% - Accent6 5 4" xfId="12139" xr:uid="{00000000-0005-0000-0000-00009A2F0000}"/>
    <cellStyle name="20% - Accent6 5 4 2" xfId="12140" xr:uid="{00000000-0005-0000-0000-00009B2F0000}"/>
    <cellStyle name="20% - Accent6 5 4 2 2" xfId="12141" xr:uid="{00000000-0005-0000-0000-00009C2F0000}"/>
    <cellStyle name="20% - Accent6 5 4 2 2 2" xfId="12142" xr:uid="{00000000-0005-0000-0000-00009D2F0000}"/>
    <cellStyle name="20% - Accent6 5 4 2 2 2 2" xfId="12143" xr:uid="{00000000-0005-0000-0000-00009E2F0000}"/>
    <cellStyle name="20% - Accent6 5 4 2 2 3" xfId="12144" xr:uid="{00000000-0005-0000-0000-00009F2F0000}"/>
    <cellStyle name="20% - Accent6 5 4 2 3" xfId="12145" xr:uid="{00000000-0005-0000-0000-0000A02F0000}"/>
    <cellStyle name="20% - Accent6 5 4 2 3 2" xfId="12146" xr:uid="{00000000-0005-0000-0000-0000A12F0000}"/>
    <cellStyle name="20% - Accent6 5 4 2 4" xfId="12147" xr:uid="{00000000-0005-0000-0000-0000A22F0000}"/>
    <cellStyle name="20% - Accent6 5 4 3" xfId="12148" xr:uid="{00000000-0005-0000-0000-0000A32F0000}"/>
    <cellStyle name="20% - Accent6 5 4 3 2" xfId="12149" xr:uid="{00000000-0005-0000-0000-0000A42F0000}"/>
    <cellStyle name="20% - Accent6 5 4 3 2 2" xfId="12150" xr:uid="{00000000-0005-0000-0000-0000A52F0000}"/>
    <cellStyle name="20% - Accent6 5 4 3 3" xfId="12151" xr:uid="{00000000-0005-0000-0000-0000A62F0000}"/>
    <cellStyle name="20% - Accent6 5 4 4" xfId="12152" xr:uid="{00000000-0005-0000-0000-0000A72F0000}"/>
    <cellStyle name="20% - Accent6 5 4 4 2" xfId="12153" xr:uid="{00000000-0005-0000-0000-0000A82F0000}"/>
    <cellStyle name="20% - Accent6 5 4 5" xfId="12154" xr:uid="{00000000-0005-0000-0000-0000A92F0000}"/>
    <cellStyle name="20% - Accent6 5 5" xfId="12155" xr:uid="{00000000-0005-0000-0000-0000AA2F0000}"/>
    <cellStyle name="20% - Accent6 5 5 2" xfId="12156" xr:uid="{00000000-0005-0000-0000-0000AB2F0000}"/>
    <cellStyle name="20% - Accent6 5 5 2 2" xfId="12157" xr:uid="{00000000-0005-0000-0000-0000AC2F0000}"/>
    <cellStyle name="20% - Accent6 5 5 2 2 2" xfId="12158" xr:uid="{00000000-0005-0000-0000-0000AD2F0000}"/>
    <cellStyle name="20% - Accent6 5 5 2 3" xfId="12159" xr:uid="{00000000-0005-0000-0000-0000AE2F0000}"/>
    <cellStyle name="20% - Accent6 5 5 3" xfId="12160" xr:uid="{00000000-0005-0000-0000-0000AF2F0000}"/>
    <cellStyle name="20% - Accent6 5 5 3 2" xfId="12161" xr:uid="{00000000-0005-0000-0000-0000B02F0000}"/>
    <cellStyle name="20% - Accent6 5 5 4" xfId="12162" xr:uid="{00000000-0005-0000-0000-0000B12F0000}"/>
    <cellStyle name="20% - Accent6 5 6" xfId="12163" xr:uid="{00000000-0005-0000-0000-0000B22F0000}"/>
    <cellStyle name="20% - Accent6 5 6 2" xfId="12164" xr:uid="{00000000-0005-0000-0000-0000B32F0000}"/>
    <cellStyle name="20% - Accent6 5 6 2 2" xfId="12165" xr:uid="{00000000-0005-0000-0000-0000B42F0000}"/>
    <cellStyle name="20% - Accent6 5 6 3" xfId="12166" xr:uid="{00000000-0005-0000-0000-0000B52F0000}"/>
    <cellStyle name="20% - Accent6 5 7" xfId="12167" xr:uid="{00000000-0005-0000-0000-0000B62F0000}"/>
    <cellStyle name="20% - Accent6 5 7 2" xfId="12168" xr:uid="{00000000-0005-0000-0000-0000B72F0000}"/>
    <cellStyle name="20% - Accent6 5 8" xfId="12169" xr:uid="{00000000-0005-0000-0000-0000B82F0000}"/>
    <cellStyle name="20% - Accent6 6" xfId="12170" xr:uid="{00000000-0005-0000-0000-0000B92F0000}"/>
    <cellStyle name="20% - Accent6 6 2" xfId="12171" xr:uid="{00000000-0005-0000-0000-0000BA2F0000}"/>
    <cellStyle name="20% - Accent6 6 2 2" xfId="12172" xr:uid="{00000000-0005-0000-0000-0000BB2F0000}"/>
    <cellStyle name="20% - Accent6 6 2 2 2" xfId="12173" xr:uid="{00000000-0005-0000-0000-0000BC2F0000}"/>
    <cellStyle name="20% - Accent6 6 2 2 2 2" xfId="12174" xr:uid="{00000000-0005-0000-0000-0000BD2F0000}"/>
    <cellStyle name="20% - Accent6 6 2 2 2 2 2" xfId="12175" xr:uid="{00000000-0005-0000-0000-0000BE2F0000}"/>
    <cellStyle name="20% - Accent6 6 2 2 2 2 2 2" xfId="12176" xr:uid="{00000000-0005-0000-0000-0000BF2F0000}"/>
    <cellStyle name="20% - Accent6 6 2 2 2 2 3" xfId="12177" xr:uid="{00000000-0005-0000-0000-0000C02F0000}"/>
    <cellStyle name="20% - Accent6 6 2 2 2 3" xfId="12178" xr:uid="{00000000-0005-0000-0000-0000C12F0000}"/>
    <cellStyle name="20% - Accent6 6 2 2 2 3 2" xfId="12179" xr:uid="{00000000-0005-0000-0000-0000C22F0000}"/>
    <cellStyle name="20% - Accent6 6 2 2 2 4" xfId="12180" xr:uid="{00000000-0005-0000-0000-0000C32F0000}"/>
    <cellStyle name="20% - Accent6 6 2 2 3" xfId="12181" xr:uid="{00000000-0005-0000-0000-0000C42F0000}"/>
    <cellStyle name="20% - Accent6 6 2 2 3 2" xfId="12182" xr:uid="{00000000-0005-0000-0000-0000C52F0000}"/>
    <cellStyle name="20% - Accent6 6 2 2 3 2 2" xfId="12183" xr:uid="{00000000-0005-0000-0000-0000C62F0000}"/>
    <cellStyle name="20% - Accent6 6 2 2 3 3" xfId="12184" xr:uid="{00000000-0005-0000-0000-0000C72F0000}"/>
    <cellStyle name="20% - Accent6 6 2 2 4" xfId="12185" xr:uid="{00000000-0005-0000-0000-0000C82F0000}"/>
    <cellStyle name="20% - Accent6 6 2 2 4 2" xfId="12186" xr:uid="{00000000-0005-0000-0000-0000C92F0000}"/>
    <cellStyle name="20% - Accent6 6 2 2 5" xfId="12187" xr:uid="{00000000-0005-0000-0000-0000CA2F0000}"/>
    <cellStyle name="20% - Accent6 6 2 3" xfId="12188" xr:uid="{00000000-0005-0000-0000-0000CB2F0000}"/>
    <cellStyle name="20% - Accent6 6 2 3 2" xfId="12189" xr:uid="{00000000-0005-0000-0000-0000CC2F0000}"/>
    <cellStyle name="20% - Accent6 6 2 3 2 2" xfId="12190" xr:uid="{00000000-0005-0000-0000-0000CD2F0000}"/>
    <cellStyle name="20% - Accent6 6 2 3 2 2 2" xfId="12191" xr:uid="{00000000-0005-0000-0000-0000CE2F0000}"/>
    <cellStyle name="20% - Accent6 6 2 3 2 3" xfId="12192" xr:uid="{00000000-0005-0000-0000-0000CF2F0000}"/>
    <cellStyle name="20% - Accent6 6 2 3 3" xfId="12193" xr:uid="{00000000-0005-0000-0000-0000D02F0000}"/>
    <cellStyle name="20% - Accent6 6 2 3 3 2" xfId="12194" xr:uid="{00000000-0005-0000-0000-0000D12F0000}"/>
    <cellStyle name="20% - Accent6 6 2 3 4" xfId="12195" xr:uid="{00000000-0005-0000-0000-0000D22F0000}"/>
    <cellStyle name="20% - Accent6 6 2 4" xfId="12196" xr:uid="{00000000-0005-0000-0000-0000D32F0000}"/>
    <cellStyle name="20% - Accent6 6 2 4 2" xfId="12197" xr:uid="{00000000-0005-0000-0000-0000D42F0000}"/>
    <cellStyle name="20% - Accent6 6 2 4 2 2" xfId="12198" xr:uid="{00000000-0005-0000-0000-0000D52F0000}"/>
    <cellStyle name="20% - Accent6 6 2 4 3" xfId="12199" xr:uid="{00000000-0005-0000-0000-0000D62F0000}"/>
    <cellStyle name="20% - Accent6 6 2 5" xfId="12200" xr:uid="{00000000-0005-0000-0000-0000D72F0000}"/>
    <cellStyle name="20% - Accent6 6 2 5 2" xfId="12201" xr:uid="{00000000-0005-0000-0000-0000D82F0000}"/>
    <cellStyle name="20% - Accent6 6 2 6" xfId="12202" xr:uid="{00000000-0005-0000-0000-0000D92F0000}"/>
    <cellStyle name="20% - Accent6 6 3" xfId="12203" xr:uid="{00000000-0005-0000-0000-0000DA2F0000}"/>
    <cellStyle name="20% - Accent6 6 3 2" xfId="12204" xr:uid="{00000000-0005-0000-0000-0000DB2F0000}"/>
    <cellStyle name="20% - Accent6 6 3 2 2" xfId="12205" xr:uid="{00000000-0005-0000-0000-0000DC2F0000}"/>
    <cellStyle name="20% - Accent6 6 3 2 2 2" xfId="12206" xr:uid="{00000000-0005-0000-0000-0000DD2F0000}"/>
    <cellStyle name="20% - Accent6 6 3 2 2 2 2" xfId="12207" xr:uid="{00000000-0005-0000-0000-0000DE2F0000}"/>
    <cellStyle name="20% - Accent6 6 3 2 2 3" xfId="12208" xr:uid="{00000000-0005-0000-0000-0000DF2F0000}"/>
    <cellStyle name="20% - Accent6 6 3 2 3" xfId="12209" xr:uid="{00000000-0005-0000-0000-0000E02F0000}"/>
    <cellStyle name="20% - Accent6 6 3 2 3 2" xfId="12210" xr:uid="{00000000-0005-0000-0000-0000E12F0000}"/>
    <cellStyle name="20% - Accent6 6 3 2 4" xfId="12211" xr:uid="{00000000-0005-0000-0000-0000E22F0000}"/>
    <cellStyle name="20% - Accent6 6 3 3" xfId="12212" xr:uid="{00000000-0005-0000-0000-0000E32F0000}"/>
    <cellStyle name="20% - Accent6 6 3 3 2" xfId="12213" xr:uid="{00000000-0005-0000-0000-0000E42F0000}"/>
    <cellStyle name="20% - Accent6 6 3 3 2 2" xfId="12214" xr:uid="{00000000-0005-0000-0000-0000E52F0000}"/>
    <cellStyle name="20% - Accent6 6 3 3 3" xfId="12215" xr:uid="{00000000-0005-0000-0000-0000E62F0000}"/>
    <cellStyle name="20% - Accent6 6 3 4" xfId="12216" xr:uid="{00000000-0005-0000-0000-0000E72F0000}"/>
    <cellStyle name="20% - Accent6 6 3 4 2" xfId="12217" xr:uid="{00000000-0005-0000-0000-0000E82F0000}"/>
    <cellStyle name="20% - Accent6 6 3 5" xfId="12218" xr:uid="{00000000-0005-0000-0000-0000E92F0000}"/>
    <cellStyle name="20% - Accent6 6 4" xfId="12219" xr:uid="{00000000-0005-0000-0000-0000EA2F0000}"/>
    <cellStyle name="20% - Accent6 6 4 2" xfId="12220" xr:uid="{00000000-0005-0000-0000-0000EB2F0000}"/>
    <cellStyle name="20% - Accent6 6 4 2 2" xfId="12221" xr:uid="{00000000-0005-0000-0000-0000EC2F0000}"/>
    <cellStyle name="20% - Accent6 6 4 2 2 2" xfId="12222" xr:uid="{00000000-0005-0000-0000-0000ED2F0000}"/>
    <cellStyle name="20% - Accent6 6 4 2 3" xfId="12223" xr:uid="{00000000-0005-0000-0000-0000EE2F0000}"/>
    <cellStyle name="20% - Accent6 6 4 3" xfId="12224" xr:uid="{00000000-0005-0000-0000-0000EF2F0000}"/>
    <cellStyle name="20% - Accent6 6 4 3 2" xfId="12225" xr:uid="{00000000-0005-0000-0000-0000F02F0000}"/>
    <cellStyle name="20% - Accent6 6 4 4" xfId="12226" xr:uid="{00000000-0005-0000-0000-0000F12F0000}"/>
    <cellStyle name="20% - Accent6 6 5" xfId="12227" xr:uid="{00000000-0005-0000-0000-0000F22F0000}"/>
    <cellStyle name="20% - Accent6 6 5 2" xfId="12228" xr:uid="{00000000-0005-0000-0000-0000F32F0000}"/>
    <cellStyle name="20% - Accent6 6 5 2 2" xfId="12229" xr:uid="{00000000-0005-0000-0000-0000F42F0000}"/>
    <cellStyle name="20% - Accent6 6 5 3" xfId="12230" xr:uid="{00000000-0005-0000-0000-0000F52F0000}"/>
    <cellStyle name="20% - Accent6 6 6" xfId="12231" xr:uid="{00000000-0005-0000-0000-0000F62F0000}"/>
    <cellStyle name="20% - Accent6 6 6 2" xfId="12232" xr:uid="{00000000-0005-0000-0000-0000F72F0000}"/>
    <cellStyle name="20% - Accent6 6 7" xfId="12233" xr:uid="{00000000-0005-0000-0000-0000F82F0000}"/>
    <cellStyle name="20% - Accent6 7" xfId="12234" xr:uid="{00000000-0005-0000-0000-0000F92F0000}"/>
    <cellStyle name="20% - Accent6 7 2" xfId="12235" xr:uid="{00000000-0005-0000-0000-0000FA2F0000}"/>
    <cellStyle name="20% - Accent6 7 2 2" xfId="12236" xr:uid="{00000000-0005-0000-0000-0000FB2F0000}"/>
    <cellStyle name="20% - Accent6 7 2 2 2" xfId="12237" xr:uid="{00000000-0005-0000-0000-0000FC2F0000}"/>
    <cellStyle name="20% - Accent6 7 2 2 2 2" xfId="12238" xr:uid="{00000000-0005-0000-0000-0000FD2F0000}"/>
    <cellStyle name="20% - Accent6 7 2 2 2 2 2" xfId="12239" xr:uid="{00000000-0005-0000-0000-0000FE2F0000}"/>
    <cellStyle name="20% - Accent6 7 2 2 2 3" xfId="12240" xr:uid="{00000000-0005-0000-0000-0000FF2F0000}"/>
    <cellStyle name="20% - Accent6 7 2 2 3" xfId="12241" xr:uid="{00000000-0005-0000-0000-000000300000}"/>
    <cellStyle name="20% - Accent6 7 2 2 3 2" xfId="12242" xr:uid="{00000000-0005-0000-0000-000001300000}"/>
    <cellStyle name="20% - Accent6 7 2 2 4" xfId="12243" xr:uid="{00000000-0005-0000-0000-000002300000}"/>
    <cellStyle name="20% - Accent6 7 2 3" xfId="12244" xr:uid="{00000000-0005-0000-0000-000003300000}"/>
    <cellStyle name="20% - Accent6 7 2 3 2" xfId="12245" xr:uid="{00000000-0005-0000-0000-000004300000}"/>
    <cellStyle name="20% - Accent6 7 2 3 2 2" xfId="12246" xr:uid="{00000000-0005-0000-0000-000005300000}"/>
    <cellStyle name="20% - Accent6 7 2 3 3" xfId="12247" xr:uid="{00000000-0005-0000-0000-000006300000}"/>
    <cellStyle name="20% - Accent6 7 2 4" xfId="12248" xr:uid="{00000000-0005-0000-0000-000007300000}"/>
    <cellStyle name="20% - Accent6 7 2 4 2" xfId="12249" xr:uid="{00000000-0005-0000-0000-000008300000}"/>
    <cellStyle name="20% - Accent6 7 2 5" xfId="12250" xr:uid="{00000000-0005-0000-0000-000009300000}"/>
    <cellStyle name="20% - Accent6 7 3" xfId="12251" xr:uid="{00000000-0005-0000-0000-00000A300000}"/>
    <cellStyle name="20% - Accent6 7 3 2" xfId="12252" xr:uid="{00000000-0005-0000-0000-00000B300000}"/>
    <cellStyle name="20% - Accent6 7 3 2 2" xfId="12253" xr:uid="{00000000-0005-0000-0000-00000C300000}"/>
    <cellStyle name="20% - Accent6 7 3 2 2 2" xfId="12254" xr:uid="{00000000-0005-0000-0000-00000D300000}"/>
    <cellStyle name="20% - Accent6 7 3 2 3" xfId="12255" xr:uid="{00000000-0005-0000-0000-00000E300000}"/>
    <cellStyle name="20% - Accent6 7 3 3" xfId="12256" xr:uid="{00000000-0005-0000-0000-00000F300000}"/>
    <cellStyle name="20% - Accent6 7 3 3 2" xfId="12257" xr:uid="{00000000-0005-0000-0000-000010300000}"/>
    <cellStyle name="20% - Accent6 7 3 4" xfId="12258" xr:uid="{00000000-0005-0000-0000-000011300000}"/>
    <cellStyle name="20% - Accent6 7 4" xfId="12259" xr:uid="{00000000-0005-0000-0000-000012300000}"/>
    <cellStyle name="20% - Accent6 7 4 2" xfId="12260" xr:uid="{00000000-0005-0000-0000-000013300000}"/>
    <cellStyle name="20% - Accent6 7 4 2 2" xfId="12261" xr:uid="{00000000-0005-0000-0000-000014300000}"/>
    <cellStyle name="20% - Accent6 7 4 3" xfId="12262" xr:uid="{00000000-0005-0000-0000-000015300000}"/>
    <cellStyle name="20% - Accent6 7 5" xfId="12263" xr:uid="{00000000-0005-0000-0000-000016300000}"/>
    <cellStyle name="20% - Accent6 7 5 2" xfId="12264" xr:uid="{00000000-0005-0000-0000-000017300000}"/>
    <cellStyle name="20% - Accent6 7 6" xfId="12265" xr:uid="{00000000-0005-0000-0000-000018300000}"/>
    <cellStyle name="20% - Accent6 8" xfId="12266" xr:uid="{00000000-0005-0000-0000-000019300000}"/>
    <cellStyle name="20% - Accent6 8 2" xfId="12267" xr:uid="{00000000-0005-0000-0000-00001A300000}"/>
    <cellStyle name="20% - Accent6 8 2 2" xfId="12268" xr:uid="{00000000-0005-0000-0000-00001B300000}"/>
    <cellStyle name="20% - Accent6 8 2 2 2" xfId="12269" xr:uid="{00000000-0005-0000-0000-00001C300000}"/>
    <cellStyle name="20% - Accent6 8 2 2 2 2" xfId="12270" xr:uid="{00000000-0005-0000-0000-00001D300000}"/>
    <cellStyle name="20% - Accent6 8 2 2 3" xfId="12271" xr:uid="{00000000-0005-0000-0000-00001E300000}"/>
    <cellStyle name="20% - Accent6 8 2 3" xfId="12272" xr:uid="{00000000-0005-0000-0000-00001F300000}"/>
    <cellStyle name="20% - Accent6 8 2 3 2" xfId="12273" xr:uid="{00000000-0005-0000-0000-000020300000}"/>
    <cellStyle name="20% - Accent6 8 2 4" xfId="12274" xr:uid="{00000000-0005-0000-0000-000021300000}"/>
    <cellStyle name="20% - Accent6 8 3" xfId="12275" xr:uid="{00000000-0005-0000-0000-000022300000}"/>
    <cellStyle name="20% - Accent6 8 3 2" xfId="12276" xr:uid="{00000000-0005-0000-0000-000023300000}"/>
    <cellStyle name="20% - Accent6 8 3 2 2" xfId="12277" xr:uid="{00000000-0005-0000-0000-000024300000}"/>
    <cellStyle name="20% - Accent6 8 3 3" xfId="12278" xr:uid="{00000000-0005-0000-0000-000025300000}"/>
    <cellStyle name="20% - Accent6 8 4" xfId="12279" xr:uid="{00000000-0005-0000-0000-000026300000}"/>
    <cellStyle name="20% - Accent6 8 4 2" xfId="12280" xr:uid="{00000000-0005-0000-0000-000027300000}"/>
    <cellStyle name="20% - Accent6 8 5" xfId="12281" xr:uid="{00000000-0005-0000-0000-000028300000}"/>
    <cellStyle name="20% - Accent6 9" xfId="12282" xr:uid="{00000000-0005-0000-0000-000029300000}"/>
    <cellStyle name="20% - Accent6 9 2" xfId="12283" xr:uid="{00000000-0005-0000-0000-00002A300000}"/>
    <cellStyle name="20% - Accent6 9 2 2" xfId="12284" xr:uid="{00000000-0005-0000-0000-00002B300000}"/>
    <cellStyle name="20% - Accent6 9 2 2 2" xfId="12285" xr:uid="{00000000-0005-0000-0000-00002C300000}"/>
    <cellStyle name="20% - Accent6 9 2 3" xfId="12286" xr:uid="{00000000-0005-0000-0000-00002D300000}"/>
    <cellStyle name="20% - Accent6 9 3" xfId="12287" xr:uid="{00000000-0005-0000-0000-00002E300000}"/>
    <cellStyle name="20% - Accent6 9 3 2" xfId="12288" xr:uid="{00000000-0005-0000-0000-00002F300000}"/>
    <cellStyle name="20% - Accent6 9 4" xfId="12289" xr:uid="{00000000-0005-0000-0000-000030300000}"/>
    <cellStyle name="40% - Accent1 10" xfId="12290" xr:uid="{00000000-0005-0000-0000-000031300000}"/>
    <cellStyle name="40% - Accent1 10 2" xfId="12291" xr:uid="{00000000-0005-0000-0000-000032300000}"/>
    <cellStyle name="40% - Accent1 10 2 2" xfId="12292" xr:uid="{00000000-0005-0000-0000-000033300000}"/>
    <cellStyle name="40% - Accent1 10 3" xfId="12293" xr:uid="{00000000-0005-0000-0000-000034300000}"/>
    <cellStyle name="40% - Accent1 11" xfId="12294" xr:uid="{00000000-0005-0000-0000-000035300000}"/>
    <cellStyle name="40% - Accent1 11 2" xfId="12295" xr:uid="{00000000-0005-0000-0000-000036300000}"/>
    <cellStyle name="40% - Accent1 12" xfId="12296" xr:uid="{00000000-0005-0000-0000-000037300000}"/>
    <cellStyle name="40% - Accent1 13" xfId="12297" xr:uid="{00000000-0005-0000-0000-000038300000}"/>
    <cellStyle name="40% - Accent1 2" xfId="12298" xr:uid="{00000000-0005-0000-0000-000039300000}"/>
    <cellStyle name="40% - Accent1 2 10" xfId="12299" xr:uid="{00000000-0005-0000-0000-00003A300000}"/>
    <cellStyle name="40% - Accent1 2 10 2" xfId="12300" xr:uid="{00000000-0005-0000-0000-00003B300000}"/>
    <cellStyle name="40% - Accent1 2 11" xfId="12301" xr:uid="{00000000-0005-0000-0000-00003C300000}"/>
    <cellStyle name="40% - Accent1 2 2" xfId="12302" xr:uid="{00000000-0005-0000-0000-00003D300000}"/>
    <cellStyle name="40% - Accent1 2 2 10" xfId="12303" xr:uid="{00000000-0005-0000-0000-00003E300000}"/>
    <cellStyle name="40% - Accent1 2 2 2" xfId="12304" xr:uid="{00000000-0005-0000-0000-00003F300000}"/>
    <cellStyle name="40% - Accent1 2 2 2 2" xfId="12305" xr:uid="{00000000-0005-0000-0000-000040300000}"/>
    <cellStyle name="40% - Accent1 2 2 2 2 2" xfId="12306" xr:uid="{00000000-0005-0000-0000-000041300000}"/>
    <cellStyle name="40% - Accent1 2 2 2 2 2 2" xfId="12307" xr:uid="{00000000-0005-0000-0000-000042300000}"/>
    <cellStyle name="40% - Accent1 2 2 2 2 2 2 2" xfId="12308" xr:uid="{00000000-0005-0000-0000-000043300000}"/>
    <cellStyle name="40% - Accent1 2 2 2 2 2 2 2 2" xfId="12309" xr:uid="{00000000-0005-0000-0000-000044300000}"/>
    <cellStyle name="40% - Accent1 2 2 2 2 2 2 2 2 2" xfId="12310" xr:uid="{00000000-0005-0000-0000-000045300000}"/>
    <cellStyle name="40% - Accent1 2 2 2 2 2 2 2 2 2 2" xfId="12311" xr:uid="{00000000-0005-0000-0000-000046300000}"/>
    <cellStyle name="40% - Accent1 2 2 2 2 2 2 2 2 2 2 2" xfId="12312" xr:uid="{00000000-0005-0000-0000-000047300000}"/>
    <cellStyle name="40% - Accent1 2 2 2 2 2 2 2 2 2 3" xfId="12313" xr:uid="{00000000-0005-0000-0000-000048300000}"/>
    <cellStyle name="40% - Accent1 2 2 2 2 2 2 2 2 3" xfId="12314" xr:uid="{00000000-0005-0000-0000-000049300000}"/>
    <cellStyle name="40% - Accent1 2 2 2 2 2 2 2 2 3 2" xfId="12315" xr:uid="{00000000-0005-0000-0000-00004A300000}"/>
    <cellStyle name="40% - Accent1 2 2 2 2 2 2 2 2 4" xfId="12316" xr:uid="{00000000-0005-0000-0000-00004B300000}"/>
    <cellStyle name="40% - Accent1 2 2 2 2 2 2 2 3" xfId="12317" xr:uid="{00000000-0005-0000-0000-00004C300000}"/>
    <cellStyle name="40% - Accent1 2 2 2 2 2 2 2 3 2" xfId="12318" xr:uid="{00000000-0005-0000-0000-00004D300000}"/>
    <cellStyle name="40% - Accent1 2 2 2 2 2 2 2 3 2 2" xfId="12319" xr:uid="{00000000-0005-0000-0000-00004E300000}"/>
    <cellStyle name="40% - Accent1 2 2 2 2 2 2 2 3 3" xfId="12320" xr:uid="{00000000-0005-0000-0000-00004F300000}"/>
    <cellStyle name="40% - Accent1 2 2 2 2 2 2 2 4" xfId="12321" xr:uid="{00000000-0005-0000-0000-000050300000}"/>
    <cellStyle name="40% - Accent1 2 2 2 2 2 2 2 4 2" xfId="12322" xr:uid="{00000000-0005-0000-0000-000051300000}"/>
    <cellStyle name="40% - Accent1 2 2 2 2 2 2 2 5" xfId="12323" xr:uid="{00000000-0005-0000-0000-000052300000}"/>
    <cellStyle name="40% - Accent1 2 2 2 2 2 2 3" xfId="12324" xr:uid="{00000000-0005-0000-0000-000053300000}"/>
    <cellStyle name="40% - Accent1 2 2 2 2 2 2 3 2" xfId="12325" xr:uid="{00000000-0005-0000-0000-000054300000}"/>
    <cellStyle name="40% - Accent1 2 2 2 2 2 2 3 2 2" xfId="12326" xr:uid="{00000000-0005-0000-0000-000055300000}"/>
    <cellStyle name="40% - Accent1 2 2 2 2 2 2 3 2 2 2" xfId="12327" xr:uid="{00000000-0005-0000-0000-000056300000}"/>
    <cellStyle name="40% - Accent1 2 2 2 2 2 2 3 2 3" xfId="12328" xr:uid="{00000000-0005-0000-0000-000057300000}"/>
    <cellStyle name="40% - Accent1 2 2 2 2 2 2 3 3" xfId="12329" xr:uid="{00000000-0005-0000-0000-000058300000}"/>
    <cellStyle name="40% - Accent1 2 2 2 2 2 2 3 3 2" xfId="12330" xr:uid="{00000000-0005-0000-0000-000059300000}"/>
    <cellStyle name="40% - Accent1 2 2 2 2 2 2 3 4" xfId="12331" xr:uid="{00000000-0005-0000-0000-00005A300000}"/>
    <cellStyle name="40% - Accent1 2 2 2 2 2 2 4" xfId="12332" xr:uid="{00000000-0005-0000-0000-00005B300000}"/>
    <cellStyle name="40% - Accent1 2 2 2 2 2 2 4 2" xfId="12333" xr:uid="{00000000-0005-0000-0000-00005C300000}"/>
    <cellStyle name="40% - Accent1 2 2 2 2 2 2 4 2 2" xfId="12334" xr:uid="{00000000-0005-0000-0000-00005D300000}"/>
    <cellStyle name="40% - Accent1 2 2 2 2 2 2 4 3" xfId="12335" xr:uid="{00000000-0005-0000-0000-00005E300000}"/>
    <cellStyle name="40% - Accent1 2 2 2 2 2 2 5" xfId="12336" xr:uid="{00000000-0005-0000-0000-00005F300000}"/>
    <cellStyle name="40% - Accent1 2 2 2 2 2 2 5 2" xfId="12337" xr:uid="{00000000-0005-0000-0000-000060300000}"/>
    <cellStyle name="40% - Accent1 2 2 2 2 2 2 6" xfId="12338" xr:uid="{00000000-0005-0000-0000-000061300000}"/>
    <cellStyle name="40% - Accent1 2 2 2 2 2 3" xfId="12339" xr:uid="{00000000-0005-0000-0000-000062300000}"/>
    <cellStyle name="40% - Accent1 2 2 2 2 2 3 2" xfId="12340" xr:uid="{00000000-0005-0000-0000-000063300000}"/>
    <cellStyle name="40% - Accent1 2 2 2 2 2 3 2 2" xfId="12341" xr:uid="{00000000-0005-0000-0000-000064300000}"/>
    <cellStyle name="40% - Accent1 2 2 2 2 2 3 2 2 2" xfId="12342" xr:uid="{00000000-0005-0000-0000-000065300000}"/>
    <cellStyle name="40% - Accent1 2 2 2 2 2 3 2 2 2 2" xfId="12343" xr:uid="{00000000-0005-0000-0000-000066300000}"/>
    <cellStyle name="40% - Accent1 2 2 2 2 2 3 2 2 3" xfId="12344" xr:uid="{00000000-0005-0000-0000-000067300000}"/>
    <cellStyle name="40% - Accent1 2 2 2 2 2 3 2 3" xfId="12345" xr:uid="{00000000-0005-0000-0000-000068300000}"/>
    <cellStyle name="40% - Accent1 2 2 2 2 2 3 2 3 2" xfId="12346" xr:uid="{00000000-0005-0000-0000-000069300000}"/>
    <cellStyle name="40% - Accent1 2 2 2 2 2 3 2 4" xfId="12347" xr:uid="{00000000-0005-0000-0000-00006A300000}"/>
    <cellStyle name="40% - Accent1 2 2 2 2 2 3 3" xfId="12348" xr:uid="{00000000-0005-0000-0000-00006B300000}"/>
    <cellStyle name="40% - Accent1 2 2 2 2 2 3 3 2" xfId="12349" xr:uid="{00000000-0005-0000-0000-00006C300000}"/>
    <cellStyle name="40% - Accent1 2 2 2 2 2 3 3 2 2" xfId="12350" xr:uid="{00000000-0005-0000-0000-00006D300000}"/>
    <cellStyle name="40% - Accent1 2 2 2 2 2 3 3 3" xfId="12351" xr:uid="{00000000-0005-0000-0000-00006E300000}"/>
    <cellStyle name="40% - Accent1 2 2 2 2 2 3 4" xfId="12352" xr:uid="{00000000-0005-0000-0000-00006F300000}"/>
    <cellStyle name="40% - Accent1 2 2 2 2 2 3 4 2" xfId="12353" xr:uid="{00000000-0005-0000-0000-000070300000}"/>
    <cellStyle name="40% - Accent1 2 2 2 2 2 3 5" xfId="12354" xr:uid="{00000000-0005-0000-0000-000071300000}"/>
    <cellStyle name="40% - Accent1 2 2 2 2 2 4" xfId="12355" xr:uid="{00000000-0005-0000-0000-000072300000}"/>
    <cellStyle name="40% - Accent1 2 2 2 2 2 4 2" xfId="12356" xr:uid="{00000000-0005-0000-0000-000073300000}"/>
    <cellStyle name="40% - Accent1 2 2 2 2 2 4 2 2" xfId="12357" xr:uid="{00000000-0005-0000-0000-000074300000}"/>
    <cellStyle name="40% - Accent1 2 2 2 2 2 4 2 2 2" xfId="12358" xr:uid="{00000000-0005-0000-0000-000075300000}"/>
    <cellStyle name="40% - Accent1 2 2 2 2 2 4 2 3" xfId="12359" xr:uid="{00000000-0005-0000-0000-000076300000}"/>
    <cellStyle name="40% - Accent1 2 2 2 2 2 4 3" xfId="12360" xr:uid="{00000000-0005-0000-0000-000077300000}"/>
    <cellStyle name="40% - Accent1 2 2 2 2 2 4 3 2" xfId="12361" xr:uid="{00000000-0005-0000-0000-000078300000}"/>
    <cellStyle name="40% - Accent1 2 2 2 2 2 4 4" xfId="12362" xr:uid="{00000000-0005-0000-0000-000079300000}"/>
    <cellStyle name="40% - Accent1 2 2 2 2 2 5" xfId="12363" xr:uid="{00000000-0005-0000-0000-00007A300000}"/>
    <cellStyle name="40% - Accent1 2 2 2 2 2 5 2" xfId="12364" xr:uid="{00000000-0005-0000-0000-00007B300000}"/>
    <cellStyle name="40% - Accent1 2 2 2 2 2 5 2 2" xfId="12365" xr:uid="{00000000-0005-0000-0000-00007C300000}"/>
    <cellStyle name="40% - Accent1 2 2 2 2 2 5 3" xfId="12366" xr:uid="{00000000-0005-0000-0000-00007D300000}"/>
    <cellStyle name="40% - Accent1 2 2 2 2 2 6" xfId="12367" xr:uid="{00000000-0005-0000-0000-00007E300000}"/>
    <cellStyle name="40% - Accent1 2 2 2 2 2 6 2" xfId="12368" xr:uid="{00000000-0005-0000-0000-00007F300000}"/>
    <cellStyle name="40% - Accent1 2 2 2 2 2 7" xfId="12369" xr:uid="{00000000-0005-0000-0000-000080300000}"/>
    <cellStyle name="40% - Accent1 2 2 2 2 3" xfId="12370" xr:uid="{00000000-0005-0000-0000-000081300000}"/>
    <cellStyle name="40% - Accent1 2 2 2 2 3 2" xfId="12371" xr:uid="{00000000-0005-0000-0000-000082300000}"/>
    <cellStyle name="40% - Accent1 2 2 2 2 3 2 2" xfId="12372" xr:uid="{00000000-0005-0000-0000-000083300000}"/>
    <cellStyle name="40% - Accent1 2 2 2 2 3 2 2 2" xfId="12373" xr:uid="{00000000-0005-0000-0000-000084300000}"/>
    <cellStyle name="40% - Accent1 2 2 2 2 3 2 2 2 2" xfId="12374" xr:uid="{00000000-0005-0000-0000-000085300000}"/>
    <cellStyle name="40% - Accent1 2 2 2 2 3 2 2 2 2 2" xfId="12375" xr:uid="{00000000-0005-0000-0000-000086300000}"/>
    <cellStyle name="40% - Accent1 2 2 2 2 3 2 2 2 3" xfId="12376" xr:uid="{00000000-0005-0000-0000-000087300000}"/>
    <cellStyle name="40% - Accent1 2 2 2 2 3 2 2 3" xfId="12377" xr:uid="{00000000-0005-0000-0000-000088300000}"/>
    <cellStyle name="40% - Accent1 2 2 2 2 3 2 2 3 2" xfId="12378" xr:uid="{00000000-0005-0000-0000-000089300000}"/>
    <cellStyle name="40% - Accent1 2 2 2 2 3 2 2 4" xfId="12379" xr:uid="{00000000-0005-0000-0000-00008A300000}"/>
    <cellStyle name="40% - Accent1 2 2 2 2 3 2 3" xfId="12380" xr:uid="{00000000-0005-0000-0000-00008B300000}"/>
    <cellStyle name="40% - Accent1 2 2 2 2 3 2 3 2" xfId="12381" xr:uid="{00000000-0005-0000-0000-00008C300000}"/>
    <cellStyle name="40% - Accent1 2 2 2 2 3 2 3 2 2" xfId="12382" xr:uid="{00000000-0005-0000-0000-00008D300000}"/>
    <cellStyle name="40% - Accent1 2 2 2 2 3 2 3 3" xfId="12383" xr:uid="{00000000-0005-0000-0000-00008E300000}"/>
    <cellStyle name="40% - Accent1 2 2 2 2 3 2 4" xfId="12384" xr:uid="{00000000-0005-0000-0000-00008F300000}"/>
    <cellStyle name="40% - Accent1 2 2 2 2 3 2 4 2" xfId="12385" xr:uid="{00000000-0005-0000-0000-000090300000}"/>
    <cellStyle name="40% - Accent1 2 2 2 2 3 2 5" xfId="12386" xr:uid="{00000000-0005-0000-0000-000091300000}"/>
    <cellStyle name="40% - Accent1 2 2 2 2 3 3" xfId="12387" xr:uid="{00000000-0005-0000-0000-000092300000}"/>
    <cellStyle name="40% - Accent1 2 2 2 2 3 3 2" xfId="12388" xr:uid="{00000000-0005-0000-0000-000093300000}"/>
    <cellStyle name="40% - Accent1 2 2 2 2 3 3 2 2" xfId="12389" xr:uid="{00000000-0005-0000-0000-000094300000}"/>
    <cellStyle name="40% - Accent1 2 2 2 2 3 3 2 2 2" xfId="12390" xr:uid="{00000000-0005-0000-0000-000095300000}"/>
    <cellStyle name="40% - Accent1 2 2 2 2 3 3 2 3" xfId="12391" xr:uid="{00000000-0005-0000-0000-000096300000}"/>
    <cellStyle name="40% - Accent1 2 2 2 2 3 3 3" xfId="12392" xr:uid="{00000000-0005-0000-0000-000097300000}"/>
    <cellStyle name="40% - Accent1 2 2 2 2 3 3 3 2" xfId="12393" xr:uid="{00000000-0005-0000-0000-000098300000}"/>
    <cellStyle name="40% - Accent1 2 2 2 2 3 3 4" xfId="12394" xr:uid="{00000000-0005-0000-0000-000099300000}"/>
    <cellStyle name="40% - Accent1 2 2 2 2 3 4" xfId="12395" xr:uid="{00000000-0005-0000-0000-00009A300000}"/>
    <cellStyle name="40% - Accent1 2 2 2 2 3 4 2" xfId="12396" xr:uid="{00000000-0005-0000-0000-00009B300000}"/>
    <cellStyle name="40% - Accent1 2 2 2 2 3 4 2 2" xfId="12397" xr:uid="{00000000-0005-0000-0000-00009C300000}"/>
    <cellStyle name="40% - Accent1 2 2 2 2 3 4 3" xfId="12398" xr:uid="{00000000-0005-0000-0000-00009D300000}"/>
    <cellStyle name="40% - Accent1 2 2 2 2 3 5" xfId="12399" xr:uid="{00000000-0005-0000-0000-00009E300000}"/>
    <cellStyle name="40% - Accent1 2 2 2 2 3 5 2" xfId="12400" xr:uid="{00000000-0005-0000-0000-00009F300000}"/>
    <cellStyle name="40% - Accent1 2 2 2 2 3 6" xfId="12401" xr:uid="{00000000-0005-0000-0000-0000A0300000}"/>
    <cellStyle name="40% - Accent1 2 2 2 2 4" xfId="12402" xr:uid="{00000000-0005-0000-0000-0000A1300000}"/>
    <cellStyle name="40% - Accent1 2 2 2 2 4 2" xfId="12403" xr:uid="{00000000-0005-0000-0000-0000A2300000}"/>
    <cellStyle name="40% - Accent1 2 2 2 2 4 2 2" xfId="12404" xr:uid="{00000000-0005-0000-0000-0000A3300000}"/>
    <cellStyle name="40% - Accent1 2 2 2 2 4 2 2 2" xfId="12405" xr:uid="{00000000-0005-0000-0000-0000A4300000}"/>
    <cellStyle name="40% - Accent1 2 2 2 2 4 2 2 2 2" xfId="12406" xr:uid="{00000000-0005-0000-0000-0000A5300000}"/>
    <cellStyle name="40% - Accent1 2 2 2 2 4 2 2 3" xfId="12407" xr:uid="{00000000-0005-0000-0000-0000A6300000}"/>
    <cellStyle name="40% - Accent1 2 2 2 2 4 2 3" xfId="12408" xr:uid="{00000000-0005-0000-0000-0000A7300000}"/>
    <cellStyle name="40% - Accent1 2 2 2 2 4 2 3 2" xfId="12409" xr:uid="{00000000-0005-0000-0000-0000A8300000}"/>
    <cellStyle name="40% - Accent1 2 2 2 2 4 2 4" xfId="12410" xr:uid="{00000000-0005-0000-0000-0000A9300000}"/>
    <cellStyle name="40% - Accent1 2 2 2 2 4 3" xfId="12411" xr:uid="{00000000-0005-0000-0000-0000AA300000}"/>
    <cellStyle name="40% - Accent1 2 2 2 2 4 3 2" xfId="12412" xr:uid="{00000000-0005-0000-0000-0000AB300000}"/>
    <cellStyle name="40% - Accent1 2 2 2 2 4 3 2 2" xfId="12413" xr:uid="{00000000-0005-0000-0000-0000AC300000}"/>
    <cellStyle name="40% - Accent1 2 2 2 2 4 3 3" xfId="12414" xr:uid="{00000000-0005-0000-0000-0000AD300000}"/>
    <cellStyle name="40% - Accent1 2 2 2 2 4 4" xfId="12415" xr:uid="{00000000-0005-0000-0000-0000AE300000}"/>
    <cellStyle name="40% - Accent1 2 2 2 2 4 4 2" xfId="12416" xr:uid="{00000000-0005-0000-0000-0000AF300000}"/>
    <cellStyle name="40% - Accent1 2 2 2 2 4 5" xfId="12417" xr:uid="{00000000-0005-0000-0000-0000B0300000}"/>
    <cellStyle name="40% - Accent1 2 2 2 2 5" xfId="12418" xr:uid="{00000000-0005-0000-0000-0000B1300000}"/>
    <cellStyle name="40% - Accent1 2 2 2 2 5 2" xfId="12419" xr:uid="{00000000-0005-0000-0000-0000B2300000}"/>
    <cellStyle name="40% - Accent1 2 2 2 2 5 2 2" xfId="12420" xr:uid="{00000000-0005-0000-0000-0000B3300000}"/>
    <cellStyle name="40% - Accent1 2 2 2 2 5 2 2 2" xfId="12421" xr:uid="{00000000-0005-0000-0000-0000B4300000}"/>
    <cellStyle name="40% - Accent1 2 2 2 2 5 2 3" xfId="12422" xr:uid="{00000000-0005-0000-0000-0000B5300000}"/>
    <cellStyle name="40% - Accent1 2 2 2 2 5 3" xfId="12423" xr:uid="{00000000-0005-0000-0000-0000B6300000}"/>
    <cellStyle name="40% - Accent1 2 2 2 2 5 3 2" xfId="12424" xr:uid="{00000000-0005-0000-0000-0000B7300000}"/>
    <cellStyle name="40% - Accent1 2 2 2 2 5 4" xfId="12425" xr:uid="{00000000-0005-0000-0000-0000B8300000}"/>
    <cellStyle name="40% - Accent1 2 2 2 2 6" xfId="12426" xr:uid="{00000000-0005-0000-0000-0000B9300000}"/>
    <cellStyle name="40% - Accent1 2 2 2 2 6 2" xfId="12427" xr:uid="{00000000-0005-0000-0000-0000BA300000}"/>
    <cellStyle name="40% - Accent1 2 2 2 2 6 2 2" xfId="12428" xr:uid="{00000000-0005-0000-0000-0000BB300000}"/>
    <cellStyle name="40% - Accent1 2 2 2 2 6 3" xfId="12429" xr:uid="{00000000-0005-0000-0000-0000BC300000}"/>
    <cellStyle name="40% - Accent1 2 2 2 2 7" xfId="12430" xr:uid="{00000000-0005-0000-0000-0000BD300000}"/>
    <cellStyle name="40% - Accent1 2 2 2 2 7 2" xfId="12431" xr:uid="{00000000-0005-0000-0000-0000BE300000}"/>
    <cellStyle name="40% - Accent1 2 2 2 2 8" xfId="12432" xr:uid="{00000000-0005-0000-0000-0000BF300000}"/>
    <cellStyle name="40% - Accent1 2 2 2 3" xfId="12433" xr:uid="{00000000-0005-0000-0000-0000C0300000}"/>
    <cellStyle name="40% - Accent1 2 2 2 3 2" xfId="12434" xr:uid="{00000000-0005-0000-0000-0000C1300000}"/>
    <cellStyle name="40% - Accent1 2 2 2 3 2 2" xfId="12435" xr:uid="{00000000-0005-0000-0000-0000C2300000}"/>
    <cellStyle name="40% - Accent1 2 2 2 3 2 2 2" xfId="12436" xr:uid="{00000000-0005-0000-0000-0000C3300000}"/>
    <cellStyle name="40% - Accent1 2 2 2 3 2 2 2 2" xfId="12437" xr:uid="{00000000-0005-0000-0000-0000C4300000}"/>
    <cellStyle name="40% - Accent1 2 2 2 3 2 2 2 2 2" xfId="12438" xr:uid="{00000000-0005-0000-0000-0000C5300000}"/>
    <cellStyle name="40% - Accent1 2 2 2 3 2 2 2 2 2 2" xfId="12439" xr:uid="{00000000-0005-0000-0000-0000C6300000}"/>
    <cellStyle name="40% - Accent1 2 2 2 3 2 2 2 2 3" xfId="12440" xr:uid="{00000000-0005-0000-0000-0000C7300000}"/>
    <cellStyle name="40% - Accent1 2 2 2 3 2 2 2 3" xfId="12441" xr:uid="{00000000-0005-0000-0000-0000C8300000}"/>
    <cellStyle name="40% - Accent1 2 2 2 3 2 2 2 3 2" xfId="12442" xr:uid="{00000000-0005-0000-0000-0000C9300000}"/>
    <cellStyle name="40% - Accent1 2 2 2 3 2 2 2 4" xfId="12443" xr:uid="{00000000-0005-0000-0000-0000CA300000}"/>
    <cellStyle name="40% - Accent1 2 2 2 3 2 2 3" xfId="12444" xr:uid="{00000000-0005-0000-0000-0000CB300000}"/>
    <cellStyle name="40% - Accent1 2 2 2 3 2 2 3 2" xfId="12445" xr:uid="{00000000-0005-0000-0000-0000CC300000}"/>
    <cellStyle name="40% - Accent1 2 2 2 3 2 2 3 2 2" xfId="12446" xr:uid="{00000000-0005-0000-0000-0000CD300000}"/>
    <cellStyle name="40% - Accent1 2 2 2 3 2 2 3 3" xfId="12447" xr:uid="{00000000-0005-0000-0000-0000CE300000}"/>
    <cellStyle name="40% - Accent1 2 2 2 3 2 2 4" xfId="12448" xr:uid="{00000000-0005-0000-0000-0000CF300000}"/>
    <cellStyle name="40% - Accent1 2 2 2 3 2 2 4 2" xfId="12449" xr:uid="{00000000-0005-0000-0000-0000D0300000}"/>
    <cellStyle name="40% - Accent1 2 2 2 3 2 2 5" xfId="12450" xr:uid="{00000000-0005-0000-0000-0000D1300000}"/>
    <cellStyle name="40% - Accent1 2 2 2 3 2 3" xfId="12451" xr:uid="{00000000-0005-0000-0000-0000D2300000}"/>
    <cellStyle name="40% - Accent1 2 2 2 3 2 3 2" xfId="12452" xr:uid="{00000000-0005-0000-0000-0000D3300000}"/>
    <cellStyle name="40% - Accent1 2 2 2 3 2 3 2 2" xfId="12453" xr:uid="{00000000-0005-0000-0000-0000D4300000}"/>
    <cellStyle name="40% - Accent1 2 2 2 3 2 3 2 2 2" xfId="12454" xr:uid="{00000000-0005-0000-0000-0000D5300000}"/>
    <cellStyle name="40% - Accent1 2 2 2 3 2 3 2 3" xfId="12455" xr:uid="{00000000-0005-0000-0000-0000D6300000}"/>
    <cellStyle name="40% - Accent1 2 2 2 3 2 3 3" xfId="12456" xr:uid="{00000000-0005-0000-0000-0000D7300000}"/>
    <cellStyle name="40% - Accent1 2 2 2 3 2 3 3 2" xfId="12457" xr:uid="{00000000-0005-0000-0000-0000D8300000}"/>
    <cellStyle name="40% - Accent1 2 2 2 3 2 3 4" xfId="12458" xr:uid="{00000000-0005-0000-0000-0000D9300000}"/>
    <cellStyle name="40% - Accent1 2 2 2 3 2 4" xfId="12459" xr:uid="{00000000-0005-0000-0000-0000DA300000}"/>
    <cellStyle name="40% - Accent1 2 2 2 3 2 4 2" xfId="12460" xr:uid="{00000000-0005-0000-0000-0000DB300000}"/>
    <cellStyle name="40% - Accent1 2 2 2 3 2 4 2 2" xfId="12461" xr:uid="{00000000-0005-0000-0000-0000DC300000}"/>
    <cellStyle name="40% - Accent1 2 2 2 3 2 4 3" xfId="12462" xr:uid="{00000000-0005-0000-0000-0000DD300000}"/>
    <cellStyle name="40% - Accent1 2 2 2 3 2 5" xfId="12463" xr:uid="{00000000-0005-0000-0000-0000DE300000}"/>
    <cellStyle name="40% - Accent1 2 2 2 3 2 5 2" xfId="12464" xr:uid="{00000000-0005-0000-0000-0000DF300000}"/>
    <cellStyle name="40% - Accent1 2 2 2 3 2 6" xfId="12465" xr:uid="{00000000-0005-0000-0000-0000E0300000}"/>
    <cellStyle name="40% - Accent1 2 2 2 3 3" xfId="12466" xr:uid="{00000000-0005-0000-0000-0000E1300000}"/>
    <cellStyle name="40% - Accent1 2 2 2 3 3 2" xfId="12467" xr:uid="{00000000-0005-0000-0000-0000E2300000}"/>
    <cellStyle name="40% - Accent1 2 2 2 3 3 2 2" xfId="12468" xr:uid="{00000000-0005-0000-0000-0000E3300000}"/>
    <cellStyle name="40% - Accent1 2 2 2 3 3 2 2 2" xfId="12469" xr:uid="{00000000-0005-0000-0000-0000E4300000}"/>
    <cellStyle name="40% - Accent1 2 2 2 3 3 2 2 2 2" xfId="12470" xr:uid="{00000000-0005-0000-0000-0000E5300000}"/>
    <cellStyle name="40% - Accent1 2 2 2 3 3 2 2 3" xfId="12471" xr:uid="{00000000-0005-0000-0000-0000E6300000}"/>
    <cellStyle name="40% - Accent1 2 2 2 3 3 2 3" xfId="12472" xr:uid="{00000000-0005-0000-0000-0000E7300000}"/>
    <cellStyle name="40% - Accent1 2 2 2 3 3 2 3 2" xfId="12473" xr:uid="{00000000-0005-0000-0000-0000E8300000}"/>
    <cellStyle name="40% - Accent1 2 2 2 3 3 2 4" xfId="12474" xr:uid="{00000000-0005-0000-0000-0000E9300000}"/>
    <cellStyle name="40% - Accent1 2 2 2 3 3 3" xfId="12475" xr:uid="{00000000-0005-0000-0000-0000EA300000}"/>
    <cellStyle name="40% - Accent1 2 2 2 3 3 3 2" xfId="12476" xr:uid="{00000000-0005-0000-0000-0000EB300000}"/>
    <cellStyle name="40% - Accent1 2 2 2 3 3 3 2 2" xfId="12477" xr:uid="{00000000-0005-0000-0000-0000EC300000}"/>
    <cellStyle name="40% - Accent1 2 2 2 3 3 3 3" xfId="12478" xr:uid="{00000000-0005-0000-0000-0000ED300000}"/>
    <cellStyle name="40% - Accent1 2 2 2 3 3 4" xfId="12479" xr:uid="{00000000-0005-0000-0000-0000EE300000}"/>
    <cellStyle name="40% - Accent1 2 2 2 3 3 4 2" xfId="12480" xr:uid="{00000000-0005-0000-0000-0000EF300000}"/>
    <cellStyle name="40% - Accent1 2 2 2 3 3 5" xfId="12481" xr:uid="{00000000-0005-0000-0000-0000F0300000}"/>
    <cellStyle name="40% - Accent1 2 2 2 3 4" xfId="12482" xr:uid="{00000000-0005-0000-0000-0000F1300000}"/>
    <cellStyle name="40% - Accent1 2 2 2 3 4 2" xfId="12483" xr:uid="{00000000-0005-0000-0000-0000F2300000}"/>
    <cellStyle name="40% - Accent1 2 2 2 3 4 2 2" xfId="12484" xr:uid="{00000000-0005-0000-0000-0000F3300000}"/>
    <cellStyle name="40% - Accent1 2 2 2 3 4 2 2 2" xfId="12485" xr:uid="{00000000-0005-0000-0000-0000F4300000}"/>
    <cellStyle name="40% - Accent1 2 2 2 3 4 2 3" xfId="12486" xr:uid="{00000000-0005-0000-0000-0000F5300000}"/>
    <cellStyle name="40% - Accent1 2 2 2 3 4 3" xfId="12487" xr:uid="{00000000-0005-0000-0000-0000F6300000}"/>
    <cellStyle name="40% - Accent1 2 2 2 3 4 3 2" xfId="12488" xr:uid="{00000000-0005-0000-0000-0000F7300000}"/>
    <cellStyle name="40% - Accent1 2 2 2 3 4 4" xfId="12489" xr:uid="{00000000-0005-0000-0000-0000F8300000}"/>
    <cellStyle name="40% - Accent1 2 2 2 3 5" xfId="12490" xr:uid="{00000000-0005-0000-0000-0000F9300000}"/>
    <cellStyle name="40% - Accent1 2 2 2 3 5 2" xfId="12491" xr:uid="{00000000-0005-0000-0000-0000FA300000}"/>
    <cellStyle name="40% - Accent1 2 2 2 3 5 2 2" xfId="12492" xr:uid="{00000000-0005-0000-0000-0000FB300000}"/>
    <cellStyle name="40% - Accent1 2 2 2 3 5 3" xfId="12493" xr:uid="{00000000-0005-0000-0000-0000FC300000}"/>
    <cellStyle name="40% - Accent1 2 2 2 3 6" xfId="12494" xr:uid="{00000000-0005-0000-0000-0000FD300000}"/>
    <cellStyle name="40% - Accent1 2 2 2 3 6 2" xfId="12495" xr:uid="{00000000-0005-0000-0000-0000FE300000}"/>
    <cellStyle name="40% - Accent1 2 2 2 3 7" xfId="12496" xr:uid="{00000000-0005-0000-0000-0000FF300000}"/>
    <cellStyle name="40% - Accent1 2 2 2 4" xfId="12497" xr:uid="{00000000-0005-0000-0000-000000310000}"/>
    <cellStyle name="40% - Accent1 2 2 2 4 2" xfId="12498" xr:uid="{00000000-0005-0000-0000-000001310000}"/>
    <cellStyle name="40% - Accent1 2 2 2 4 2 2" xfId="12499" xr:uid="{00000000-0005-0000-0000-000002310000}"/>
    <cellStyle name="40% - Accent1 2 2 2 4 2 2 2" xfId="12500" xr:uid="{00000000-0005-0000-0000-000003310000}"/>
    <cellStyle name="40% - Accent1 2 2 2 4 2 2 2 2" xfId="12501" xr:uid="{00000000-0005-0000-0000-000004310000}"/>
    <cellStyle name="40% - Accent1 2 2 2 4 2 2 2 2 2" xfId="12502" xr:uid="{00000000-0005-0000-0000-000005310000}"/>
    <cellStyle name="40% - Accent1 2 2 2 4 2 2 2 3" xfId="12503" xr:uid="{00000000-0005-0000-0000-000006310000}"/>
    <cellStyle name="40% - Accent1 2 2 2 4 2 2 3" xfId="12504" xr:uid="{00000000-0005-0000-0000-000007310000}"/>
    <cellStyle name="40% - Accent1 2 2 2 4 2 2 3 2" xfId="12505" xr:uid="{00000000-0005-0000-0000-000008310000}"/>
    <cellStyle name="40% - Accent1 2 2 2 4 2 2 4" xfId="12506" xr:uid="{00000000-0005-0000-0000-000009310000}"/>
    <cellStyle name="40% - Accent1 2 2 2 4 2 3" xfId="12507" xr:uid="{00000000-0005-0000-0000-00000A310000}"/>
    <cellStyle name="40% - Accent1 2 2 2 4 2 3 2" xfId="12508" xr:uid="{00000000-0005-0000-0000-00000B310000}"/>
    <cellStyle name="40% - Accent1 2 2 2 4 2 3 2 2" xfId="12509" xr:uid="{00000000-0005-0000-0000-00000C310000}"/>
    <cellStyle name="40% - Accent1 2 2 2 4 2 3 3" xfId="12510" xr:uid="{00000000-0005-0000-0000-00000D310000}"/>
    <cellStyle name="40% - Accent1 2 2 2 4 2 4" xfId="12511" xr:uid="{00000000-0005-0000-0000-00000E310000}"/>
    <cellStyle name="40% - Accent1 2 2 2 4 2 4 2" xfId="12512" xr:uid="{00000000-0005-0000-0000-00000F310000}"/>
    <cellStyle name="40% - Accent1 2 2 2 4 2 5" xfId="12513" xr:uid="{00000000-0005-0000-0000-000010310000}"/>
    <cellStyle name="40% - Accent1 2 2 2 4 3" xfId="12514" xr:uid="{00000000-0005-0000-0000-000011310000}"/>
    <cellStyle name="40% - Accent1 2 2 2 4 3 2" xfId="12515" xr:uid="{00000000-0005-0000-0000-000012310000}"/>
    <cellStyle name="40% - Accent1 2 2 2 4 3 2 2" xfId="12516" xr:uid="{00000000-0005-0000-0000-000013310000}"/>
    <cellStyle name="40% - Accent1 2 2 2 4 3 2 2 2" xfId="12517" xr:uid="{00000000-0005-0000-0000-000014310000}"/>
    <cellStyle name="40% - Accent1 2 2 2 4 3 2 3" xfId="12518" xr:uid="{00000000-0005-0000-0000-000015310000}"/>
    <cellStyle name="40% - Accent1 2 2 2 4 3 3" xfId="12519" xr:uid="{00000000-0005-0000-0000-000016310000}"/>
    <cellStyle name="40% - Accent1 2 2 2 4 3 3 2" xfId="12520" xr:uid="{00000000-0005-0000-0000-000017310000}"/>
    <cellStyle name="40% - Accent1 2 2 2 4 3 4" xfId="12521" xr:uid="{00000000-0005-0000-0000-000018310000}"/>
    <cellStyle name="40% - Accent1 2 2 2 4 4" xfId="12522" xr:uid="{00000000-0005-0000-0000-000019310000}"/>
    <cellStyle name="40% - Accent1 2 2 2 4 4 2" xfId="12523" xr:uid="{00000000-0005-0000-0000-00001A310000}"/>
    <cellStyle name="40% - Accent1 2 2 2 4 4 2 2" xfId="12524" xr:uid="{00000000-0005-0000-0000-00001B310000}"/>
    <cellStyle name="40% - Accent1 2 2 2 4 4 3" xfId="12525" xr:uid="{00000000-0005-0000-0000-00001C310000}"/>
    <cellStyle name="40% - Accent1 2 2 2 4 5" xfId="12526" xr:uid="{00000000-0005-0000-0000-00001D310000}"/>
    <cellStyle name="40% - Accent1 2 2 2 4 5 2" xfId="12527" xr:uid="{00000000-0005-0000-0000-00001E310000}"/>
    <cellStyle name="40% - Accent1 2 2 2 4 6" xfId="12528" xr:uid="{00000000-0005-0000-0000-00001F310000}"/>
    <cellStyle name="40% - Accent1 2 2 2 5" xfId="12529" xr:uid="{00000000-0005-0000-0000-000020310000}"/>
    <cellStyle name="40% - Accent1 2 2 2 5 2" xfId="12530" xr:uid="{00000000-0005-0000-0000-000021310000}"/>
    <cellStyle name="40% - Accent1 2 2 2 5 2 2" xfId="12531" xr:uid="{00000000-0005-0000-0000-000022310000}"/>
    <cellStyle name="40% - Accent1 2 2 2 5 2 2 2" xfId="12532" xr:uid="{00000000-0005-0000-0000-000023310000}"/>
    <cellStyle name="40% - Accent1 2 2 2 5 2 2 2 2" xfId="12533" xr:uid="{00000000-0005-0000-0000-000024310000}"/>
    <cellStyle name="40% - Accent1 2 2 2 5 2 2 3" xfId="12534" xr:uid="{00000000-0005-0000-0000-000025310000}"/>
    <cellStyle name="40% - Accent1 2 2 2 5 2 3" xfId="12535" xr:uid="{00000000-0005-0000-0000-000026310000}"/>
    <cellStyle name="40% - Accent1 2 2 2 5 2 3 2" xfId="12536" xr:uid="{00000000-0005-0000-0000-000027310000}"/>
    <cellStyle name="40% - Accent1 2 2 2 5 2 4" xfId="12537" xr:uid="{00000000-0005-0000-0000-000028310000}"/>
    <cellStyle name="40% - Accent1 2 2 2 5 3" xfId="12538" xr:uid="{00000000-0005-0000-0000-000029310000}"/>
    <cellStyle name="40% - Accent1 2 2 2 5 3 2" xfId="12539" xr:uid="{00000000-0005-0000-0000-00002A310000}"/>
    <cellStyle name="40% - Accent1 2 2 2 5 3 2 2" xfId="12540" xr:uid="{00000000-0005-0000-0000-00002B310000}"/>
    <cellStyle name="40% - Accent1 2 2 2 5 3 3" xfId="12541" xr:uid="{00000000-0005-0000-0000-00002C310000}"/>
    <cellStyle name="40% - Accent1 2 2 2 5 4" xfId="12542" xr:uid="{00000000-0005-0000-0000-00002D310000}"/>
    <cellStyle name="40% - Accent1 2 2 2 5 4 2" xfId="12543" xr:uid="{00000000-0005-0000-0000-00002E310000}"/>
    <cellStyle name="40% - Accent1 2 2 2 5 5" xfId="12544" xr:uid="{00000000-0005-0000-0000-00002F310000}"/>
    <cellStyle name="40% - Accent1 2 2 2 6" xfId="12545" xr:uid="{00000000-0005-0000-0000-000030310000}"/>
    <cellStyle name="40% - Accent1 2 2 2 6 2" xfId="12546" xr:uid="{00000000-0005-0000-0000-000031310000}"/>
    <cellStyle name="40% - Accent1 2 2 2 6 2 2" xfId="12547" xr:uid="{00000000-0005-0000-0000-000032310000}"/>
    <cellStyle name="40% - Accent1 2 2 2 6 2 2 2" xfId="12548" xr:uid="{00000000-0005-0000-0000-000033310000}"/>
    <cellStyle name="40% - Accent1 2 2 2 6 2 3" xfId="12549" xr:uid="{00000000-0005-0000-0000-000034310000}"/>
    <cellStyle name="40% - Accent1 2 2 2 6 3" xfId="12550" xr:uid="{00000000-0005-0000-0000-000035310000}"/>
    <cellStyle name="40% - Accent1 2 2 2 6 3 2" xfId="12551" xr:uid="{00000000-0005-0000-0000-000036310000}"/>
    <cellStyle name="40% - Accent1 2 2 2 6 4" xfId="12552" xr:uid="{00000000-0005-0000-0000-000037310000}"/>
    <cellStyle name="40% - Accent1 2 2 2 7" xfId="12553" xr:uid="{00000000-0005-0000-0000-000038310000}"/>
    <cellStyle name="40% - Accent1 2 2 2 7 2" xfId="12554" xr:uid="{00000000-0005-0000-0000-000039310000}"/>
    <cellStyle name="40% - Accent1 2 2 2 7 2 2" xfId="12555" xr:uid="{00000000-0005-0000-0000-00003A310000}"/>
    <cellStyle name="40% - Accent1 2 2 2 7 3" xfId="12556" xr:uid="{00000000-0005-0000-0000-00003B310000}"/>
    <cellStyle name="40% - Accent1 2 2 2 8" xfId="12557" xr:uid="{00000000-0005-0000-0000-00003C310000}"/>
    <cellStyle name="40% - Accent1 2 2 2 8 2" xfId="12558" xr:uid="{00000000-0005-0000-0000-00003D310000}"/>
    <cellStyle name="40% - Accent1 2 2 2 9" xfId="12559" xr:uid="{00000000-0005-0000-0000-00003E310000}"/>
    <cellStyle name="40% - Accent1 2 2 3" xfId="12560" xr:uid="{00000000-0005-0000-0000-00003F310000}"/>
    <cellStyle name="40% - Accent1 2 2 3 2" xfId="12561" xr:uid="{00000000-0005-0000-0000-000040310000}"/>
    <cellStyle name="40% - Accent1 2 2 3 2 2" xfId="12562" xr:uid="{00000000-0005-0000-0000-000041310000}"/>
    <cellStyle name="40% - Accent1 2 2 3 2 2 2" xfId="12563" xr:uid="{00000000-0005-0000-0000-000042310000}"/>
    <cellStyle name="40% - Accent1 2 2 3 2 2 2 2" xfId="12564" xr:uid="{00000000-0005-0000-0000-000043310000}"/>
    <cellStyle name="40% - Accent1 2 2 3 2 2 2 2 2" xfId="12565" xr:uid="{00000000-0005-0000-0000-000044310000}"/>
    <cellStyle name="40% - Accent1 2 2 3 2 2 2 2 2 2" xfId="12566" xr:uid="{00000000-0005-0000-0000-000045310000}"/>
    <cellStyle name="40% - Accent1 2 2 3 2 2 2 2 2 2 2" xfId="12567" xr:uid="{00000000-0005-0000-0000-000046310000}"/>
    <cellStyle name="40% - Accent1 2 2 3 2 2 2 2 2 3" xfId="12568" xr:uid="{00000000-0005-0000-0000-000047310000}"/>
    <cellStyle name="40% - Accent1 2 2 3 2 2 2 2 3" xfId="12569" xr:uid="{00000000-0005-0000-0000-000048310000}"/>
    <cellStyle name="40% - Accent1 2 2 3 2 2 2 2 3 2" xfId="12570" xr:uid="{00000000-0005-0000-0000-000049310000}"/>
    <cellStyle name="40% - Accent1 2 2 3 2 2 2 2 4" xfId="12571" xr:uid="{00000000-0005-0000-0000-00004A310000}"/>
    <cellStyle name="40% - Accent1 2 2 3 2 2 2 3" xfId="12572" xr:uid="{00000000-0005-0000-0000-00004B310000}"/>
    <cellStyle name="40% - Accent1 2 2 3 2 2 2 3 2" xfId="12573" xr:uid="{00000000-0005-0000-0000-00004C310000}"/>
    <cellStyle name="40% - Accent1 2 2 3 2 2 2 3 2 2" xfId="12574" xr:uid="{00000000-0005-0000-0000-00004D310000}"/>
    <cellStyle name="40% - Accent1 2 2 3 2 2 2 3 3" xfId="12575" xr:uid="{00000000-0005-0000-0000-00004E310000}"/>
    <cellStyle name="40% - Accent1 2 2 3 2 2 2 4" xfId="12576" xr:uid="{00000000-0005-0000-0000-00004F310000}"/>
    <cellStyle name="40% - Accent1 2 2 3 2 2 2 4 2" xfId="12577" xr:uid="{00000000-0005-0000-0000-000050310000}"/>
    <cellStyle name="40% - Accent1 2 2 3 2 2 2 5" xfId="12578" xr:uid="{00000000-0005-0000-0000-000051310000}"/>
    <cellStyle name="40% - Accent1 2 2 3 2 2 3" xfId="12579" xr:uid="{00000000-0005-0000-0000-000052310000}"/>
    <cellStyle name="40% - Accent1 2 2 3 2 2 3 2" xfId="12580" xr:uid="{00000000-0005-0000-0000-000053310000}"/>
    <cellStyle name="40% - Accent1 2 2 3 2 2 3 2 2" xfId="12581" xr:uid="{00000000-0005-0000-0000-000054310000}"/>
    <cellStyle name="40% - Accent1 2 2 3 2 2 3 2 2 2" xfId="12582" xr:uid="{00000000-0005-0000-0000-000055310000}"/>
    <cellStyle name="40% - Accent1 2 2 3 2 2 3 2 3" xfId="12583" xr:uid="{00000000-0005-0000-0000-000056310000}"/>
    <cellStyle name="40% - Accent1 2 2 3 2 2 3 3" xfId="12584" xr:uid="{00000000-0005-0000-0000-000057310000}"/>
    <cellStyle name="40% - Accent1 2 2 3 2 2 3 3 2" xfId="12585" xr:uid="{00000000-0005-0000-0000-000058310000}"/>
    <cellStyle name="40% - Accent1 2 2 3 2 2 3 4" xfId="12586" xr:uid="{00000000-0005-0000-0000-000059310000}"/>
    <cellStyle name="40% - Accent1 2 2 3 2 2 4" xfId="12587" xr:uid="{00000000-0005-0000-0000-00005A310000}"/>
    <cellStyle name="40% - Accent1 2 2 3 2 2 4 2" xfId="12588" xr:uid="{00000000-0005-0000-0000-00005B310000}"/>
    <cellStyle name="40% - Accent1 2 2 3 2 2 4 2 2" xfId="12589" xr:uid="{00000000-0005-0000-0000-00005C310000}"/>
    <cellStyle name="40% - Accent1 2 2 3 2 2 4 3" xfId="12590" xr:uid="{00000000-0005-0000-0000-00005D310000}"/>
    <cellStyle name="40% - Accent1 2 2 3 2 2 5" xfId="12591" xr:uid="{00000000-0005-0000-0000-00005E310000}"/>
    <cellStyle name="40% - Accent1 2 2 3 2 2 5 2" xfId="12592" xr:uid="{00000000-0005-0000-0000-00005F310000}"/>
    <cellStyle name="40% - Accent1 2 2 3 2 2 6" xfId="12593" xr:uid="{00000000-0005-0000-0000-000060310000}"/>
    <cellStyle name="40% - Accent1 2 2 3 2 3" xfId="12594" xr:uid="{00000000-0005-0000-0000-000061310000}"/>
    <cellStyle name="40% - Accent1 2 2 3 2 3 2" xfId="12595" xr:uid="{00000000-0005-0000-0000-000062310000}"/>
    <cellStyle name="40% - Accent1 2 2 3 2 3 2 2" xfId="12596" xr:uid="{00000000-0005-0000-0000-000063310000}"/>
    <cellStyle name="40% - Accent1 2 2 3 2 3 2 2 2" xfId="12597" xr:uid="{00000000-0005-0000-0000-000064310000}"/>
    <cellStyle name="40% - Accent1 2 2 3 2 3 2 2 2 2" xfId="12598" xr:uid="{00000000-0005-0000-0000-000065310000}"/>
    <cellStyle name="40% - Accent1 2 2 3 2 3 2 2 3" xfId="12599" xr:uid="{00000000-0005-0000-0000-000066310000}"/>
    <cellStyle name="40% - Accent1 2 2 3 2 3 2 3" xfId="12600" xr:uid="{00000000-0005-0000-0000-000067310000}"/>
    <cellStyle name="40% - Accent1 2 2 3 2 3 2 3 2" xfId="12601" xr:uid="{00000000-0005-0000-0000-000068310000}"/>
    <cellStyle name="40% - Accent1 2 2 3 2 3 2 4" xfId="12602" xr:uid="{00000000-0005-0000-0000-000069310000}"/>
    <cellStyle name="40% - Accent1 2 2 3 2 3 3" xfId="12603" xr:uid="{00000000-0005-0000-0000-00006A310000}"/>
    <cellStyle name="40% - Accent1 2 2 3 2 3 3 2" xfId="12604" xr:uid="{00000000-0005-0000-0000-00006B310000}"/>
    <cellStyle name="40% - Accent1 2 2 3 2 3 3 2 2" xfId="12605" xr:uid="{00000000-0005-0000-0000-00006C310000}"/>
    <cellStyle name="40% - Accent1 2 2 3 2 3 3 3" xfId="12606" xr:uid="{00000000-0005-0000-0000-00006D310000}"/>
    <cellStyle name="40% - Accent1 2 2 3 2 3 4" xfId="12607" xr:uid="{00000000-0005-0000-0000-00006E310000}"/>
    <cellStyle name="40% - Accent1 2 2 3 2 3 4 2" xfId="12608" xr:uid="{00000000-0005-0000-0000-00006F310000}"/>
    <cellStyle name="40% - Accent1 2 2 3 2 3 5" xfId="12609" xr:uid="{00000000-0005-0000-0000-000070310000}"/>
    <cellStyle name="40% - Accent1 2 2 3 2 4" xfId="12610" xr:uid="{00000000-0005-0000-0000-000071310000}"/>
    <cellStyle name="40% - Accent1 2 2 3 2 4 2" xfId="12611" xr:uid="{00000000-0005-0000-0000-000072310000}"/>
    <cellStyle name="40% - Accent1 2 2 3 2 4 2 2" xfId="12612" xr:uid="{00000000-0005-0000-0000-000073310000}"/>
    <cellStyle name="40% - Accent1 2 2 3 2 4 2 2 2" xfId="12613" xr:uid="{00000000-0005-0000-0000-000074310000}"/>
    <cellStyle name="40% - Accent1 2 2 3 2 4 2 3" xfId="12614" xr:uid="{00000000-0005-0000-0000-000075310000}"/>
    <cellStyle name="40% - Accent1 2 2 3 2 4 3" xfId="12615" xr:uid="{00000000-0005-0000-0000-000076310000}"/>
    <cellStyle name="40% - Accent1 2 2 3 2 4 3 2" xfId="12616" xr:uid="{00000000-0005-0000-0000-000077310000}"/>
    <cellStyle name="40% - Accent1 2 2 3 2 4 4" xfId="12617" xr:uid="{00000000-0005-0000-0000-000078310000}"/>
    <cellStyle name="40% - Accent1 2 2 3 2 5" xfId="12618" xr:uid="{00000000-0005-0000-0000-000079310000}"/>
    <cellStyle name="40% - Accent1 2 2 3 2 5 2" xfId="12619" xr:uid="{00000000-0005-0000-0000-00007A310000}"/>
    <cellStyle name="40% - Accent1 2 2 3 2 5 2 2" xfId="12620" xr:uid="{00000000-0005-0000-0000-00007B310000}"/>
    <cellStyle name="40% - Accent1 2 2 3 2 5 3" xfId="12621" xr:uid="{00000000-0005-0000-0000-00007C310000}"/>
    <cellStyle name="40% - Accent1 2 2 3 2 6" xfId="12622" xr:uid="{00000000-0005-0000-0000-00007D310000}"/>
    <cellStyle name="40% - Accent1 2 2 3 2 6 2" xfId="12623" xr:uid="{00000000-0005-0000-0000-00007E310000}"/>
    <cellStyle name="40% - Accent1 2 2 3 2 7" xfId="12624" xr:uid="{00000000-0005-0000-0000-00007F310000}"/>
    <cellStyle name="40% - Accent1 2 2 3 3" xfId="12625" xr:uid="{00000000-0005-0000-0000-000080310000}"/>
    <cellStyle name="40% - Accent1 2 2 3 3 2" xfId="12626" xr:uid="{00000000-0005-0000-0000-000081310000}"/>
    <cellStyle name="40% - Accent1 2 2 3 3 2 2" xfId="12627" xr:uid="{00000000-0005-0000-0000-000082310000}"/>
    <cellStyle name="40% - Accent1 2 2 3 3 2 2 2" xfId="12628" xr:uid="{00000000-0005-0000-0000-000083310000}"/>
    <cellStyle name="40% - Accent1 2 2 3 3 2 2 2 2" xfId="12629" xr:uid="{00000000-0005-0000-0000-000084310000}"/>
    <cellStyle name="40% - Accent1 2 2 3 3 2 2 2 2 2" xfId="12630" xr:uid="{00000000-0005-0000-0000-000085310000}"/>
    <cellStyle name="40% - Accent1 2 2 3 3 2 2 2 3" xfId="12631" xr:uid="{00000000-0005-0000-0000-000086310000}"/>
    <cellStyle name="40% - Accent1 2 2 3 3 2 2 3" xfId="12632" xr:uid="{00000000-0005-0000-0000-000087310000}"/>
    <cellStyle name="40% - Accent1 2 2 3 3 2 2 3 2" xfId="12633" xr:uid="{00000000-0005-0000-0000-000088310000}"/>
    <cellStyle name="40% - Accent1 2 2 3 3 2 2 4" xfId="12634" xr:uid="{00000000-0005-0000-0000-000089310000}"/>
    <cellStyle name="40% - Accent1 2 2 3 3 2 3" xfId="12635" xr:uid="{00000000-0005-0000-0000-00008A310000}"/>
    <cellStyle name="40% - Accent1 2 2 3 3 2 3 2" xfId="12636" xr:uid="{00000000-0005-0000-0000-00008B310000}"/>
    <cellStyle name="40% - Accent1 2 2 3 3 2 3 2 2" xfId="12637" xr:uid="{00000000-0005-0000-0000-00008C310000}"/>
    <cellStyle name="40% - Accent1 2 2 3 3 2 3 3" xfId="12638" xr:uid="{00000000-0005-0000-0000-00008D310000}"/>
    <cellStyle name="40% - Accent1 2 2 3 3 2 4" xfId="12639" xr:uid="{00000000-0005-0000-0000-00008E310000}"/>
    <cellStyle name="40% - Accent1 2 2 3 3 2 4 2" xfId="12640" xr:uid="{00000000-0005-0000-0000-00008F310000}"/>
    <cellStyle name="40% - Accent1 2 2 3 3 2 5" xfId="12641" xr:uid="{00000000-0005-0000-0000-000090310000}"/>
    <cellStyle name="40% - Accent1 2 2 3 3 3" xfId="12642" xr:uid="{00000000-0005-0000-0000-000091310000}"/>
    <cellStyle name="40% - Accent1 2 2 3 3 3 2" xfId="12643" xr:uid="{00000000-0005-0000-0000-000092310000}"/>
    <cellStyle name="40% - Accent1 2 2 3 3 3 2 2" xfId="12644" xr:uid="{00000000-0005-0000-0000-000093310000}"/>
    <cellStyle name="40% - Accent1 2 2 3 3 3 2 2 2" xfId="12645" xr:uid="{00000000-0005-0000-0000-000094310000}"/>
    <cellStyle name="40% - Accent1 2 2 3 3 3 2 3" xfId="12646" xr:uid="{00000000-0005-0000-0000-000095310000}"/>
    <cellStyle name="40% - Accent1 2 2 3 3 3 3" xfId="12647" xr:uid="{00000000-0005-0000-0000-000096310000}"/>
    <cellStyle name="40% - Accent1 2 2 3 3 3 3 2" xfId="12648" xr:uid="{00000000-0005-0000-0000-000097310000}"/>
    <cellStyle name="40% - Accent1 2 2 3 3 3 4" xfId="12649" xr:uid="{00000000-0005-0000-0000-000098310000}"/>
    <cellStyle name="40% - Accent1 2 2 3 3 4" xfId="12650" xr:uid="{00000000-0005-0000-0000-000099310000}"/>
    <cellStyle name="40% - Accent1 2 2 3 3 4 2" xfId="12651" xr:uid="{00000000-0005-0000-0000-00009A310000}"/>
    <cellStyle name="40% - Accent1 2 2 3 3 4 2 2" xfId="12652" xr:uid="{00000000-0005-0000-0000-00009B310000}"/>
    <cellStyle name="40% - Accent1 2 2 3 3 4 3" xfId="12653" xr:uid="{00000000-0005-0000-0000-00009C310000}"/>
    <cellStyle name="40% - Accent1 2 2 3 3 5" xfId="12654" xr:uid="{00000000-0005-0000-0000-00009D310000}"/>
    <cellStyle name="40% - Accent1 2 2 3 3 5 2" xfId="12655" xr:uid="{00000000-0005-0000-0000-00009E310000}"/>
    <cellStyle name="40% - Accent1 2 2 3 3 6" xfId="12656" xr:uid="{00000000-0005-0000-0000-00009F310000}"/>
    <cellStyle name="40% - Accent1 2 2 3 4" xfId="12657" xr:uid="{00000000-0005-0000-0000-0000A0310000}"/>
    <cellStyle name="40% - Accent1 2 2 3 4 2" xfId="12658" xr:uid="{00000000-0005-0000-0000-0000A1310000}"/>
    <cellStyle name="40% - Accent1 2 2 3 4 2 2" xfId="12659" xr:uid="{00000000-0005-0000-0000-0000A2310000}"/>
    <cellStyle name="40% - Accent1 2 2 3 4 2 2 2" xfId="12660" xr:uid="{00000000-0005-0000-0000-0000A3310000}"/>
    <cellStyle name="40% - Accent1 2 2 3 4 2 2 2 2" xfId="12661" xr:uid="{00000000-0005-0000-0000-0000A4310000}"/>
    <cellStyle name="40% - Accent1 2 2 3 4 2 2 3" xfId="12662" xr:uid="{00000000-0005-0000-0000-0000A5310000}"/>
    <cellStyle name="40% - Accent1 2 2 3 4 2 3" xfId="12663" xr:uid="{00000000-0005-0000-0000-0000A6310000}"/>
    <cellStyle name="40% - Accent1 2 2 3 4 2 3 2" xfId="12664" xr:uid="{00000000-0005-0000-0000-0000A7310000}"/>
    <cellStyle name="40% - Accent1 2 2 3 4 2 4" xfId="12665" xr:uid="{00000000-0005-0000-0000-0000A8310000}"/>
    <cellStyle name="40% - Accent1 2 2 3 4 3" xfId="12666" xr:uid="{00000000-0005-0000-0000-0000A9310000}"/>
    <cellStyle name="40% - Accent1 2 2 3 4 3 2" xfId="12667" xr:uid="{00000000-0005-0000-0000-0000AA310000}"/>
    <cellStyle name="40% - Accent1 2 2 3 4 3 2 2" xfId="12668" xr:uid="{00000000-0005-0000-0000-0000AB310000}"/>
    <cellStyle name="40% - Accent1 2 2 3 4 3 3" xfId="12669" xr:uid="{00000000-0005-0000-0000-0000AC310000}"/>
    <cellStyle name="40% - Accent1 2 2 3 4 4" xfId="12670" xr:uid="{00000000-0005-0000-0000-0000AD310000}"/>
    <cellStyle name="40% - Accent1 2 2 3 4 4 2" xfId="12671" xr:uid="{00000000-0005-0000-0000-0000AE310000}"/>
    <cellStyle name="40% - Accent1 2 2 3 4 5" xfId="12672" xr:uid="{00000000-0005-0000-0000-0000AF310000}"/>
    <cellStyle name="40% - Accent1 2 2 3 5" xfId="12673" xr:uid="{00000000-0005-0000-0000-0000B0310000}"/>
    <cellStyle name="40% - Accent1 2 2 3 5 2" xfId="12674" xr:uid="{00000000-0005-0000-0000-0000B1310000}"/>
    <cellStyle name="40% - Accent1 2 2 3 5 2 2" xfId="12675" xr:uid="{00000000-0005-0000-0000-0000B2310000}"/>
    <cellStyle name="40% - Accent1 2 2 3 5 2 2 2" xfId="12676" xr:uid="{00000000-0005-0000-0000-0000B3310000}"/>
    <cellStyle name="40% - Accent1 2 2 3 5 2 3" xfId="12677" xr:uid="{00000000-0005-0000-0000-0000B4310000}"/>
    <cellStyle name="40% - Accent1 2 2 3 5 3" xfId="12678" xr:uid="{00000000-0005-0000-0000-0000B5310000}"/>
    <cellStyle name="40% - Accent1 2 2 3 5 3 2" xfId="12679" xr:uid="{00000000-0005-0000-0000-0000B6310000}"/>
    <cellStyle name="40% - Accent1 2 2 3 5 4" xfId="12680" xr:uid="{00000000-0005-0000-0000-0000B7310000}"/>
    <cellStyle name="40% - Accent1 2 2 3 6" xfId="12681" xr:uid="{00000000-0005-0000-0000-0000B8310000}"/>
    <cellStyle name="40% - Accent1 2 2 3 6 2" xfId="12682" xr:uid="{00000000-0005-0000-0000-0000B9310000}"/>
    <cellStyle name="40% - Accent1 2 2 3 6 2 2" xfId="12683" xr:uid="{00000000-0005-0000-0000-0000BA310000}"/>
    <cellStyle name="40% - Accent1 2 2 3 6 3" xfId="12684" xr:uid="{00000000-0005-0000-0000-0000BB310000}"/>
    <cellStyle name="40% - Accent1 2 2 3 7" xfId="12685" xr:uid="{00000000-0005-0000-0000-0000BC310000}"/>
    <cellStyle name="40% - Accent1 2 2 3 7 2" xfId="12686" xr:uid="{00000000-0005-0000-0000-0000BD310000}"/>
    <cellStyle name="40% - Accent1 2 2 3 8" xfId="12687" xr:uid="{00000000-0005-0000-0000-0000BE310000}"/>
    <cellStyle name="40% - Accent1 2 2 4" xfId="12688" xr:uid="{00000000-0005-0000-0000-0000BF310000}"/>
    <cellStyle name="40% - Accent1 2 2 4 2" xfId="12689" xr:uid="{00000000-0005-0000-0000-0000C0310000}"/>
    <cellStyle name="40% - Accent1 2 2 4 2 2" xfId="12690" xr:uid="{00000000-0005-0000-0000-0000C1310000}"/>
    <cellStyle name="40% - Accent1 2 2 4 2 2 2" xfId="12691" xr:uid="{00000000-0005-0000-0000-0000C2310000}"/>
    <cellStyle name="40% - Accent1 2 2 4 2 2 2 2" xfId="12692" xr:uid="{00000000-0005-0000-0000-0000C3310000}"/>
    <cellStyle name="40% - Accent1 2 2 4 2 2 2 2 2" xfId="12693" xr:uid="{00000000-0005-0000-0000-0000C4310000}"/>
    <cellStyle name="40% - Accent1 2 2 4 2 2 2 2 2 2" xfId="12694" xr:uid="{00000000-0005-0000-0000-0000C5310000}"/>
    <cellStyle name="40% - Accent1 2 2 4 2 2 2 2 3" xfId="12695" xr:uid="{00000000-0005-0000-0000-0000C6310000}"/>
    <cellStyle name="40% - Accent1 2 2 4 2 2 2 3" xfId="12696" xr:uid="{00000000-0005-0000-0000-0000C7310000}"/>
    <cellStyle name="40% - Accent1 2 2 4 2 2 2 3 2" xfId="12697" xr:uid="{00000000-0005-0000-0000-0000C8310000}"/>
    <cellStyle name="40% - Accent1 2 2 4 2 2 2 4" xfId="12698" xr:uid="{00000000-0005-0000-0000-0000C9310000}"/>
    <cellStyle name="40% - Accent1 2 2 4 2 2 3" xfId="12699" xr:uid="{00000000-0005-0000-0000-0000CA310000}"/>
    <cellStyle name="40% - Accent1 2 2 4 2 2 3 2" xfId="12700" xr:uid="{00000000-0005-0000-0000-0000CB310000}"/>
    <cellStyle name="40% - Accent1 2 2 4 2 2 3 2 2" xfId="12701" xr:uid="{00000000-0005-0000-0000-0000CC310000}"/>
    <cellStyle name="40% - Accent1 2 2 4 2 2 3 3" xfId="12702" xr:uid="{00000000-0005-0000-0000-0000CD310000}"/>
    <cellStyle name="40% - Accent1 2 2 4 2 2 4" xfId="12703" xr:uid="{00000000-0005-0000-0000-0000CE310000}"/>
    <cellStyle name="40% - Accent1 2 2 4 2 2 4 2" xfId="12704" xr:uid="{00000000-0005-0000-0000-0000CF310000}"/>
    <cellStyle name="40% - Accent1 2 2 4 2 2 5" xfId="12705" xr:uid="{00000000-0005-0000-0000-0000D0310000}"/>
    <cellStyle name="40% - Accent1 2 2 4 2 3" xfId="12706" xr:uid="{00000000-0005-0000-0000-0000D1310000}"/>
    <cellStyle name="40% - Accent1 2 2 4 2 3 2" xfId="12707" xr:uid="{00000000-0005-0000-0000-0000D2310000}"/>
    <cellStyle name="40% - Accent1 2 2 4 2 3 2 2" xfId="12708" xr:uid="{00000000-0005-0000-0000-0000D3310000}"/>
    <cellStyle name="40% - Accent1 2 2 4 2 3 2 2 2" xfId="12709" xr:uid="{00000000-0005-0000-0000-0000D4310000}"/>
    <cellStyle name="40% - Accent1 2 2 4 2 3 2 3" xfId="12710" xr:uid="{00000000-0005-0000-0000-0000D5310000}"/>
    <cellStyle name="40% - Accent1 2 2 4 2 3 3" xfId="12711" xr:uid="{00000000-0005-0000-0000-0000D6310000}"/>
    <cellStyle name="40% - Accent1 2 2 4 2 3 3 2" xfId="12712" xr:uid="{00000000-0005-0000-0000-0000D7310000}"/>
    <cellStyle name="40% - Accent1 2 2 4 2 3 4" xfId="12713" xr:uid="{00000000-0005-0000-0000-0000D8310000}"/>
    <cellStyle name="40% - Accent1 2 2 4 2 4" xfId="12714" xr:uid="{00000000-0005-0000-0000-0000D9310000}"/>
    <cellStyle name="40% - Accent1 2 2 4 2 4 2" xfId="12715" xr:uid="{00000000-0005-0000-0000-0000DA310000}"/>
    <cellStyle name="40% - Accent1 2 2 4 2 4 2 2" xfId="12716" xr:uid="{00000000-0005-0000-0000-0000DB310000}"/>
    <cellStyle name="40% - Accent1 2 2 4 2 4 3" xfId="12717" xr:uid="{00000000-0005-0000-0000-0000DC310000}"/>
    <cellStyle name="40% - Accent1 2 2 4 2 5" xfId="12718" xr:uid="{00000000-0005-0000-0000-0000DD310000}"/>
    <cellStyle name="40% - Accent1 2 2 4 2 5 2" xfId="12719" xr:uid="{00000000-0005-0000-0000-0000DE310000}"/>
    <cellStyle name="40% - Accent1 2 2 4 2 6" xfId="12720" xr:uid="{00000000-0005-0000-0000-0000DF310000}"/>
    <cellStyle name="40% - Accent1 2 2 4 3" xfId="12721" xr:uid="{00000000-0005-0000-0000-0000E0310000}"/>
    <cellStyle name="40% - Accent1 2 2 4 3 2" xfId="12722" xr:uid="{00000000-0005-0000-0000-0000E1310000}"/>
    <cellStyle name="40% - Accent1 2 2 4 3 2 2" xfId="12723" xr:uid="{00000000-0005-0000-0000-0000E2310000}"/>
    <cellStyle name="40% - Accent1 2 2 4 3 2 2 2" xfId="12724" xr:uid="{00000000-0005-0000-0000-0000E3310000}"/>
    <cellStyle name="40% - Accent1 2 2 4 3 2 2 2 2" xfId="12725" xr:uid="{00000000-0005-0000-0000-0000E4310000}"/>
    <cellStyle name="40% - Accent1 2 2 4 3 2 2 3" xfId="12726" xr:uid="{00000000-0005-0000-0000-0000E5310000}"/>
    <cellStyle name="40% - Accent1 2 2 4 3 2 3" xfId="12727" xr:uid="{00000000-0005-0000-0000-0000E6310000}"/>
    <cellStyle name="40% - Accent1 2 2 4 3 2 3 2" xfId="12728" xr:uid="{00000000-0005-0000-0000-0000E7310000}"/>
    <cellStyle name="40% - Accent1 2 2 4 3 2 4" xfId="12729" xr:uid="{00000000-0005-0000-0000-0000E8310000}"/>
    <cellStyle name="40% - Accent1 2 2 4 3 3" xfId="12730" xr:uid="{00000000-0005-0000-0000-0000E9310000}"/>
    <cellStyle name="40% - Accent1 2 2 4 3 3 2" xfId="12731" xr:uid="{00000000-0005-0000-0000-0000EA310000}"/>
    <cellStyle name="40% - Accent1 2 2 4 3 3 2 2" xfId="12732" xr:uid="{00000000-0005-0000-0000-0000EB310000}"/>
    <cellStyle name="40% - Accent1 2 2 4 3 3 3" xfId="12733" xr:uid="{00000000-0005-0000-0000-0000EC310000}"/>
    <cellStyle name="40% - Accent1 2 2 4 3 4" xfId="12734" xr:uid="{00000000-0005-0000-0000-0000ED310000}"/>
    <cellStyle name="40% - Accent1 2 2 4 3 4 2" xfId="12735" xr:uid="{00000000-0005-0000-0000-0000EE310000}"/>
    <cellStyle name="40% - Accent1 2 2 4 3 5" xfId="12736" xr:uid="{00000000-0005-0000-0000-0000EF310000}"/>
    <cellStyle name="40% - Accent1 2 2 4 4" xfId="12737" xr:uid="{00000000-0005-0000-0000-0000F0310000}"/>
    <cellStyle name="40% - Accent1 2 2 4 4 2" xfId="12738" xr:uid="{00000000-0005-0000-0000-0000F1310000}"/>
    <cellStyle name="40% - Accent1 2 2 4 4 2 2" xfId="12739" xr:uid="{00000000-0005-0000-0000-0000F2310000}"/>
    <cellStyle name="40% - Accent1 2 2 4 4 2 2 2" xfId="12740" xr:uid="{00000000-0005-0000-0000-0000F3310000}"/>
    <cellStyle name="40% - Accent1 2 2 4 4 2 3" xfId="12741" xr:uid="{00000000-0005-0000-0000-0000F4310000}"/>
    <cellStyle name="40% - Accent1 2 2 4 4 3" xfId="12742" xr:uid="{00000000-0005-0000-0000-0000F5310000}"/>
    <cellStyle name="40% - Accent1 2 2 4 4 3 2" xfId="12743" xr:uid="{00000000-0005-0000-0000-0000F6310000}"/>
    <cellStyle name="40% - Accent1 2 2 4 4 4" xfId="12744" xr:uid="{00000000-0005-0000-0000-0000F7310000}"/>
    <cellStyle name="40% - Accent1 2 2 4 5" xfId="12745" xr:uid="{00000000-0005-0000-0000-0000F8310000}"/>
    <cellStyle name="40% - Accent1 2 2 4 5 2" xfId="12746" xr:uid="{00000000-0005-0000-0000-0000F9310000}"/>
    <cellStyle name="40% - Accent1 2 2 4 5 2 2" xfId="12747" xr:uid="{00000000-0005-0000-0000-0000FA310000}"/>
    <cellStyle name="40% - Accent1 2 2 4 5 3" xfId="12748" xr:uid="{00000000-0005-0000-0000-0000FB310000}"/>
    <cellStyle name="40% - Accent1 2 2 4 6" xfId="12749" xr:uid="{00000000-0005-0000-0000-0000FC310000}"/>
    <cellStyle name="40% - Accent1 2 2 4 6 2" xfId="12750" xr:uid="{00000000-0005-0000-0000-0000FD310000}"/>
    <cellStyle name="40% - Accent1 2 2 4 7" xfId="12751" xr:uid="{00000000-0005-0000-0000-0000FE310000}"/>
    <cellStyle name="40% - Accent1 2 2 5" xfId="12752" xr:uid="{00000000-0005-0000-0000-0000FF310000}"/>
    <cellStyle name="40% - Accent1 2 2 5 2" xfId="12753" xr:uid="{00000000-0005-0000-0000-000000320000}"/>
    <cellStyle name="40% - Accent1 2 2 5 2 2" xfId="12754" xr:uid="{00000000-0005-0000-0000-000001320000}"/>
    <cellStyle name="40% - Accent1 2 2 5 2 2 2" xfId="12755" xr:uid="{00000000-0005-0000-0000-000002320000}"/>
    <cellStyle name="40% - Accent1 2 2 5 2 2 2 2" xfId="12756" xr:uid="{00000000-0005-0000-0000-000003320000}"/>
    <cellStyle name="40% - Accent1 2 2 5 2 2 2 2 2" xfId="12757" xr:uid="{00000000-0005-0000-0000-000004320000}"/>
    <cellStyle name="40% - Accent1 2 2 5 2 2 2 3" xfId="12758" xr:uid="{00000000-0005-0000-0000-000005320000}"/>
    <cellStyle name="40% - Accent1 2 2 5 2 2 3" xfId="12759" xr:uid="{00000000-0005-0000-0000-000006320000}"/>
    <cellStyle name="40% - Accent1 2 2 5 2 2 3 2" xfId="12760" xr:uid="{00000000-0005-0000-0000-000007320000}"/>
    <cellStyle name="40% - Accent1 2 2 5 2 2 4" xfId="12761" xr:uid="{00000000-0005-0000-0000-000008320000}"/>
    <cellStyle name="40% - Accent1 2 2 5 2 3" xfId="12762" xr:uid="{00000000-0005-0000-0000-000009320000}"/>
    <cellStyle name="40% - Accent1 2 2 5 2 3 2" xfId="12763" xr:uid="{00000000-0005-0000-0000-00000A320000}"/>
    <cellStyle name="40% - Accent1 2 2 5 2 3 2 2" xfId="12764" xr:uid="{00000000-0005-0000-0000-00000B320000}"/>
    <cellStyle name="40% - Accent1 2 2 5 2 3 3" xfId="12765" xr:uid="{00000000-0005-0000-0000-00000C320000}"/>
    <cellStyle name="40% - Accent1 2 2 5 2 4" xfId="12766" xr:uid="{00000000-0005-0000-0000-00000D320000}"/>
    <cellStyle name="40% - Accent1 2 2 5 2 4 2" xfId="12767" xr:uid="{00000000-0005-0000-0000-00000E320000}"/>
    <cellStyle name="40% - Accent1 2 2 5 2 5" xfId="12768" xr:uid="{00000000-0005-0000-0000-00000F320000}"/>
    <cellStyle name="40% - Accent1 2 2 5 3" xfId="12769" xr:uid="{00000000-0005-0000-0000-000010320000}"/>
    <cellStyle name="40% - Accent1 2 2 5 3 2" xfId="12770" xr:uid="{00000000-0005-0000-0000-000011320000}"/>
    <cellStyle name="40% - Accent1 2 2 5 3 2 2" xfId="12771" xr:uid="{00000000-0005-0000-0000-000012320000}"/>
    <cellStyle name="40% - Accent1 2 2 5 3 2 2 2" xfId="12772" xr:uid="{00000000-0005-0000-0000-000013320000}"/>
    <cellStyle name="40% - Accent1 2 2 5 3 2 3" xfId="12773" xr:uid="{00000000-0005-0000-0000-000014320000}"/>
    <cellStyle name="40% - Accent1 2 2 5 3 3" xfId="12774" xr:uid="{00000000-0005-0000-0000-000015320000}"/>
    <cellStyle name="40% - Accent1 2 2 5 3 3 2" xfId="12775" xr:uid="{00000000-0005-0000-0000-000016320000}"/>
    <cellStyle name="40% - Accent1 2 2 5 3 4" xfId="12776" xr:uid="{00000000-0005-0000-0000-000017320000}"/>
    <cellStyle name="40% - Accent1 2 2 5 4" xfId="12777" xr:uid="{00000000-0005-0000-0000-000018320000}"/>
    <cellStyle name="40% - Accent1 2 2 5 4 2" xfId="12778" xr:uid="{00000000-0005-0000-0000-000019320000}"/>
    <cellStyle name="40% - Accent1 2 2 5 4 2 2" xfId="12779" xr:uid="{00000000-0005-0000-0000-00001A320000}"/>
    <cellStyle name="40% - Accent1 2 2 5 4 3" xfId="12780" xr:uid="{00000000-0005-0000-0000-00001B320000}"/>
    <cellStyle name="40% - Accent1 2 2 5 5" xfId="12781" xr:uid="{00000000-0005-0000-0000-00001C320000}"/>
    <cellStyle name="40% - Accent1 2 2 5 5 2" xfId="12782" xr:uid="{00000000-0005-0000-0000-00001D320000}"/>
    <cellStyle name="40% - Accent1 2 2 5 6" xfId="12783" xr:uid="{00000000-0005-0000-0000-00001E320000}"/>
    <cellStyle name="40% - Accent1 2 2 6" xfId="12784" xr:uid="{00000000-0005-0000-0000-00001F320000}"/>
    <cellStyle name="40% - Accent1 2 2 6 2" xfId="12785" xr:uid="{00000000-0005-0000-0000-000020320000}"/>
    <cellStyle name="40% - Accent1 2 2 6 2 2" xfId="12786" xr:uid="{00000000-0005-0000-0000-000021320000}"/>
    <cellStyle name="40% - Accent1 2 2 6 2 2 2" xfId="12787" xr:uid="{00000000-0005-0000-0000-000022320000}"/>
    <cellStyle name="40% - Accent1 2 2 6 2 2 2 2" xfId="12788" xr:uid="{00000000-0005-0000-0000-000023320000}"/>
    <cellStyle name="40% - Accent1 2 2 6 2 2 3" xfId="12789" xr:uid="{00000000-0005-0000-0000-000024320000}"/>
    <cellStyle name="40% - Accent1 2 2 6 2 3" xfId="12790" xr:uid="{00000000-0005-0000-0000-000025320000}"/>
    <cellStyle name="40% - Accent1 2 2 6 2 3 2" xfId="12791" xr:uid="{00000000-0005-0000-0000-000026320000}"/>
    <cellStyle name="40% - Accent1 2 2 6 2 4" xfId="12792" xr:uid="{00000000-0005-0000-0000-000027320000}"/>
    <cellStyle name="40% - Accent1 2 2 6 3" xfId="12793" xr:uid="{00000000-0005-0000-0000-000028320000}"/>
    <cellStyle name="40% - Accent1 2 2 6 3 2" xfId="12794" xr:uid="{00000000-0005-0000-0000-000029320000}"/>
    <cellStyle name="40% - Accent1 2 2 6 3 2 2" xfId="12795" xr:uid="{00000000-0005-0000-0000-00002A320000}"/>
    <cellStyle name="40% - Accent1 2 2 6 3 3" xfId="12796" xr:uid="{00000000-0005-0000-0000-00002B320000}"/>
    <cellStyle name="40% - Accent1 2 2 6 4" xfId="12797" xr:uid="{00000000-0005-0000-0000-00002C320000}"/>
    <cellStyle name="40% - Accent1 2 2 6 4 2" xfId="12798" xr:uid="{00000000-0005-0000-0000-00002D320000}"/>
    <cellStyle name="40% - Accent1 2 2 6 5" xfId="12799" xr:uid="{00000000-0005-0000-0000-00002E320000}"/>
    <cellStyle name="40% - Accent1 2 2 7" xfId="12800" xr:uid="{00000000-0005-0000-0000-00002F320000}"/>
    <cellStyle name="40% - Accent1 2 2 7 2" xfId="12801" xr:uid="{00000000-0005-0000-0000-000030320000}"/>
    <cellStyle name="40% - Accent1 2 2 7 2 2" xfId="12802" xr:uid="{00000000-0005-0000-0000-000031320000}"/>
    <cellStyle name="40% - Accent1 2 2 7 2 2 2" xfId="12803" xr:uid="{00000000-0005-0000-0000-000032320000}"/>
    <cellStyle name="40% - Accent1 2 2 7 2 3" xfId="12804" xr:uid="{00000000-0005-0000-0000-000033320000}"/>
    <cellStyle name="40% - Accent1 2 2 7 3" xfId="12805" xr:uid="{00000000-0005-0000-0000-000034320000}"/>
    <cellStyle name="40% - Accent1 2 2 7 3 2" xfId="12806" xr:uid="{00000000-0005-0000-0000-000035320000}"/>
    <cellStyle name="40% - Accent1 2 2 7 4" xfId="12807" xr:uid="{00000000-0005-0000-0000-000036320000}"/>
    <cellStyle name="40% - Accent1 2 2 8" xfId="12808" xr:uid="{00000000-0005-0000-0000-000037320000}"/>
    <cellStyle name="40% - Accent1 2 2 8 2" xfId="12809" xr:uid="{00000000-0005-0000-0000-000038320000}"/>
    <cellStyle name="40% - Accent1 2 2 8 2 2" xfId="12810" xr:uid="{00000000-0005-0000-0000-000039320000}"/>
    <cellStyle name="40% - Accent1 2 2 8 3" xfId="12811" xr:uid="{00000000-0005-0000-0000-00003A320000}"/>
    <cellStyle name="40% - Accent1 2 2 9" xfId="12812" xr:uid="{00000000-0005-0000-0000-00003B320000}"/>
    <cellStyle name="40% - Accent1 2 2 9 2" xfId="12813" xr:uid="{00000000-0005-0000-0000-00003C320000}"/>
    <cellStyle name="40% - Accent1 2 3" xfId="12814" xr:uid="{00000000-0005-0000-0000-00003D320000}"/>
    <cellStyle name="40% - Accent1 2 3 2" xfId="12815" xr:uid="{00000000-0005-0000-0000-00003E320000}"/>
    <cellStyle name="40% - Accent1 2 3 2 2" xfId="12816" xr:uid="{00000000-0005-0000-0000-00003F320000}"/>
    <cellStyle name="40% - Accent1 2 3 2 2 2" xfId="12817" xr:uid="{00000000-0005-0000-0000-000040320000}"/>
    <cellStyle name="40% - Accent1 2 3 2 2 2 2" xfId="12818" xr:uid="{00000000-0005-0000-0000-000041320000}"/>
    <cellStyle name="40% - Accent1 2 3 2 2 2 2 2" xfId="12819" xr:uid="{00000000-0005-0000-0000-000042320000}"/>
    <cellStyle name="40% - Accent1 2 3 2 2 2 2 2 2" xfId="12820" xr:uid="{00000000-0005-0000-0000-000043320000}"/>
    <cellStyle name="40% - Accent1 2 3 2 2 2 2 2 2 2" xfId="12821" xr:uid="{00000000-0005-0000-0000-000044320000}"/>
    <cellStyle name="40% - Accent1 2 3 2 2 2 2 2 2 2 2" xfId="12822" xr:uid="{00000000-0005-0000-0000-000045320000}"/>
    <cellStyle name="40% - Accent1 2 3 2 2 2 2 2 2 3" xfId="12823" xr:uid="{00000000-0005-0000-0000-000046320000}"/>
    <cellStyle name="40% - Accent1 2 3 2 2 2 2 2 3" xfId="12824" xr:uid="{00000000-0005-0000-0000-000047320000}"/>
    <cellStyle name="40% - Accent1 2 3 2 2 2 2 2 3 2" xfId="12825" xr:uid="{00000000-0005-0000-0000-000048320000}"/>
    <cellStyle name="40% - Accent1 2 3 2 2 2 2 2 4" xfId="12826" xr:uid="{00000000-0005-0000-0000-000049320000}"/>
    <cellStyle name="40% - Accent1 2 3 2 2 2 2 3" xfId="12827" xr:uid="{00000000-0005-0000-0000-00004A320000}"/>
    <cellStyle name="40% - Accent1 2 3 2 2 2 2 3 2" xfId="12828" xr:uid="{00000000-0005-0000-0000-00004B320000}"/>
    <cellStyle name="40% - Accent1 2 3 2 2 2 2 3 2 2" xfId="12829" xr:uid="{00000000-0005-0000-0000-00004C320000}"/>
    <cellStyle name="40% - Accent1 2 3 2 2 2 2 3 3" xfId="12830" xr:uid="{00000000-0005-0000-0000-00004D320000}"/>
    <cellStyle name="40% - Accent1 2 3 2 2 2 2 4" xfId="12831" xr:uid="{00000000-0005-0000-0000-00004E320000}"/>
    <cellStyle name="40% - Accent1 2 3 2 2 2 2 4 2" xfId="12832" xr:uid="{00000000-0005-0000-0000-00004F320000}"/>
    <cellStyle name="40% - Accent1 2 3 2 2 2 2 5" xfId="12833" xr:uid="{00000000-0005-0000-0000-000050320000}"/>
    <cellStyle name="40% - Accent1 2 3 2 2 2 3" xfId="12834" xr:uid="{00000000-0005-0000-0000-000051320000}"/>
    <cellStyle name="40% - Accent1 2 3 2 2 2 3 2" xfId="12835" xr:uid="{00000000-0005-0000-0000-000052320000}"/>
    <cellStyle name="40% - Accent1 2 3 2 2 2 3 2 2" xfId="12836" xr:uid="{00000000-0005-0000-0000-000053320000}"/>
    <cellStyle name="40% - Accent1 2 3 2 2 2 3 2 2 2" xfId="12837" xr:uid="{00000000-0005-0000-0000-000054320000}"/>
    <cellStyle name="40% - Accent1 2 3 2 2 2 3 2 3" xfId="12838" xr:uid="{00000000-0005-0000-0000-000055320000}"/>
    <cellStyle name="40% - Accent1 2 3 2 2 2 3 3" xfId="12839" xr:uid="{00000000-0005-0000-0000-000056320000}"/>
    <cellStyle name="40% - Accent1 2 3 2 2 2 3 3 2" xfId="12840" xr:uid="{00000000-0005-0000-0000-000057320000}"/>
    <cellStyle name="40% - Accent1 2 3 2 2 2 3 4" xfId="12841" xr:uid="{00000000-0005-0000-0000-000058320000}"/>
    <cellStyle name="40% - Accent1 2 3 2 2 2 4" xfId="12842" xr:uid="{00000000-0005-0000-0000-000059320000}"/>
    <cellStyle name="40% - Accent1 2 3 2 2 2 4 2" xfId="12843" xr:uid="{00000000-0005-0000-0000-00005A320000}"/>
    <cellStyle name="40% - Accent1 2 3 2 2 2 4 2 2" xfId="12844" xr:uid="{00000000-0005-0000-0000-00005B320000}"/>
    <cellStyle name="40% - Accent1 2 3 2 2 2 4 3" xfId="12845" xr:uid="{00000000-0005-0000-0000-00005C320000}"/>
    <cellStyle name="40% - Accent1 2 3 2 2 2 5" xfId="12846" xr:uid="{00000000-0005-0000-0000-00005D320000}"/>
    <cellStyle name="40% - Accent1 2 3 2 2 2 5 2" xfId="12847" xr:uid="{00000000-0005-0000-0000-00005E320000}"/>
    <cellStyle name="40% - Accent1 2 3 2 2 2 6" xfId="12848" xr:uid="{00000000-0005-0000-0000-00005F320000}"/>
    <cellStyle name="40% - Accent1 2 3 2 2 3" xfId="12849" xr:uid="{00000000-0005-0000-0000-000060320000}"/>
    <cellStyle name="40% - Accent1 2 3 2 2 3 2" xfId="12850" xr:uid="{00000000-0005-0000-0000-000061320000}"/>
    <cellStyle name="40% - Accent1 2 3 2 2 3 2 2" xfId="12851" xr:uid="{00000000-0005-0000-0000-000062320000}"/>
    <cellStyle name="40% - Accent1 2 3 2 2 3 2 2 2" xfId="12852" xr:uid="{00000000-0005-0000-0000-000063320000}"/>
    <cellStyle name="40% - Accent1 2 3 2 2 3 2 2 2 2" xfId="12853" xr:uid="{00000000-0005-0000-0000-000064320000}"/>
    <cellStyle name="40% - Accent1 2 3 2 2 3 2 2 3" xfId="12854" xr:uid="{00000000-0005-0000-0000-000065320000}"/>
    <cellStyle name="40% - Accent1 2 3 2 2 3 2 3" xfId="12855" xr:uid="{00000000-0005-0000-0000-000066320000}"/>
    <cellStyle name="40% - Accent1 2 3 2 2 3 2 3 2" xfId="12856" xr:uid="{00000000-0005-0000-0000-000067320000}"/>
    <cellStyle name="40% - Accent1 2 3 2 2 3 2 4" xfId="12857" xr:uid="{00000000-0005-0000-0000-000068320000}"/>
    <cellStyle name="40% - Accent1 2 3 2 2 3 3" xfId="12858" xr:uid="{00000000-0005-0000-0000-000069320000}"/>
    <cellStyle name="40% - Accent1 2 3 2 2 3 3 2" xfId="12859" xr:uid="{00000000-0005-0000-0000-00006A320000}"/>
    <cellStyle name="40% - Accent1 2 3 2 2 3 3 2 2" xfId="12860" xr:uid="{00000000-0005-0000-0000-00006B320000}"/>
    <cellStyle name="40% - Accent1 2 3 2 2 3 3 3" xfId="12861" xr:uid="{00000000-0005-0000-0000-00006C320000}"/>
    <cellStyle name="40% - Accent1 2 3 2 2 3 4" xfId="12862" xr:uid="{00000000-0005-0000-0000-00006D320000}"/>
    <cellStyle name="40% - Accent1 2 3 2 2 3 4 2" xfId="12863" xr:uid="{00000000-0005-0000-0000-00006E320000}"/>
    <cellStyle name="40% - Accent1 2 3 2 2 3 5" xfId="12864" xr:uid="{00000000-0005-0000-0000-00006F320000}"/>
    <cellStyle name="40% - Accent1 2 3 2 2 4" xfId="12865" xr:uid="{00000000-0005-0000-0000-000070320000}"/>
    <cellStyle name="40% - Accent1 2 3 2 2 4 2" xfId="12866" xr:uid="{00000000-0005-0000-0000-000071320000}"/>
    <cellStyle name="40% - Accent1 2 3 2 2 4 2 2" xfId="12867" xr:uid="{00000000-0005-0000-0000-000072320000}"/>
    <cellStyle name="40% - Accent1 2 3 2 2 4 2 2 2" xfId="12868" xr:uid="{00000000-0005-0000-0000-000073320000}"/>
    <cellStyle name="40% - Accent1 2 3 2 2 4 2 3" xfId="12869" xr:uid="{00000000-0005-0000-0000-000074320000}"/>
    <cellStyle name="40% - Accent1 2 3 2 2 4 3" xfId="12870" xr:uid="{00000000-0005-0000-0000-000075320000}"/>
    <cellStyle name="40% - Accent1 2 3 2 2 4 3 2" xfId="12871" xr:uid="{00000000-0005-0000-0000-000076320000}"/>
    <cellStyle name="40% - Accent1 2 3 2 2 4 4" xfId="12872" xr:uid="{00000000-0005-0000-0000-000077320000}"/>
    <cellStyle name="40% - Accent1 2 3 2 2 5" xfId="12873" xr:uid="{00000000-0005-0000-0000-000078320000}"/>
    <cellStyle name="40% - Accent1 2 3 2 2 5 2" xfId="12874" xr:uid="{00000000-0005-0000-0000-000079320000}"/>
    <cellStyle name="40% - Accent1 2 3 2 2 5 2 2" xfId="12875" xr:uid="{00000000-0005-0000-0000-00007A320000}"/>
    <cellStyle name="40% - Accent1 2 3 2 2 5 3" xfId="12876" xr:uid="{00000000-0005-0000-0000-00007B320000}"/>
    <cellStyle name="40% - Accent1 2 3 2 2 6" xfId="12877" xr:uid="{00000000-0005-0000-0000-00007C320000}"/>
    <cellStyle name="40% - Accent1 2 3 2 2 6 2" xfId="12878" xr:uid="{00000000-0005-0000-0000-00007D320000}"/>
    <cellStyle name="40% - Accent1 2 3 2 2 7" xfId="12879" xr:uid="{00000000-0005-0000-0000-00007E320000}"/>
    <cellStyle name="40% - Accent1 2 3 2 3" xfId="12880" xr:uid="{00000000-0005-0000-0000-00007F320000}"/>
    <cellStyle name="40% - Accent1 2 3 2 3 2" xfId="12881" xr:uid="{00000000-0005-0000-0000-000080320000}"/>
    <cellStyle name="40% - Accent1 2 3 2 3 2 2" xfId="12882" xr:uid="{00000000-0005-0000-0000-000081320000}"/>
    <cellStyle name="40% - Accent1 2 3 2 3 2 2 2" xfId="12883" xr:uid="{00000000-0005-0000-0000-000082320000}"/>
    <cellStyle name="40% - Accent1 2 3 2 3 2 2 2 2" xfId="12884" xr:uid="{00000000-0005-0000-0000-000083320000}"/>
    <cellStyle name="40% - Accent1 2 3 2 3 2 2 2 2 2" xfId="12885" xr:uid="{00000000-0005-0000-0000-000084320000}"/>
    <cellStyle name="40% - Accent1 2 3 2 3 2 2 2 3" xfId="12886" xr:uid="{00000000-0005-0000-0000-000085320000}"/>
    <cellStyle name="40% - Accent1 2 3 2 3 2 2 3" xfId="12887" xr:uid="{00000000-0005-0000-0000-000086320000}"/>
    <cellStyle name="40% - Accent1 2 3 2 3 2 2 3 2" xfId="12888" xr:uid="{00000000-0005-0000-0000-000087320000}"/>
    <cellStyle name="40% - Accent1 2 3 2 3 2 2 4" xfId="12889" xr:uid="{00000000-0005-0000-0000-000088320000}"/>
    <cellStyle name="40% - Accent1 2 3 2 3 2 3" xfId="12890" xr:uid="{00000000-0005-0000-0000-000089320000}"/>
    <cellStyle name="40% - Accent1 2 3 2 3 2 3 2" xfId="12891" xr:uid="{00000000-0005-0000-0000-00008A320000}"/>
    <cellStyle name="40% - Accent1 2 3 2 3 2 3 2 2" xfId="12892" xr:uid="{00000000-0005-0000-0000-00008B320000}"/>
    <cellStyle name="40% - Accent1 2 3 2 3 2 3 3" xfId="12893" xr:uid="{00000000-0005-0000-0000-00008C320000}"/>
    <cellStyle name="40% - Accent1 2 3 2 3 2 4" xfId="12894" xr:uid="{00000000-0005-0000-0000-00008D320000}"/>
    <cellStyle name="40% - Accent1 2 3 2 3 2 4 2" xfId="12895" xr:uid="{00000000-0005-0000-0000-00008E320000}"/>
    <cellStyle name="40% - Accent1 2 3 2 3 2 5" xfId="12896" xr:uid="{00000000-0005-0000-0000-00008F320000}"/>
    <cellStyle name="40% - Accent1 2 3 2 3 3" xfId="12897" xr:uid="{00000000-0005-0000-0000-000090320000}"/>
    <cellStyle name="40% - Accent1 2 3 2 3 3 2" xfId="12898" xr:uid="{00000000-0005-0000-0000-000091320000}"/>
    <cellStyle name="40% - Accent1 2 3 2 3 3 2 2" xfId="12899" xr:uid="{00000000-0005-0000-0000-000092320000}"/>
    <cellStyle name="40% - Accent1 2 3 2 3 3 2 2 2" xfId="12900" xr:uid="{00000000-0005-0000-0000-000093320000}"/>
    <cellStyle name="40% - Accent1 2 3 2 3 3 2 3" xfId="12901" xr:uid="{00000000-0005-0000-0000-000094320000}"/>
    <cellStyle name="40% - Accent1 2 3 2 3 3 3" xfId="12902" xr:uid="{00000000-0005-0000-0000-000095320000}"/>
    <cellStyle name="40% - Accent1 2 3 2 3 3 3 2" xfId="12903" xr:uid="{00000000-0005-0000-0000-000096320000}"/>
    <cellStyle name="40% - Accent1 2 3 2 3 3 4" xfId="12904" xr:uid="{00000000-0005-0000-0000-000097320000}"/>
    <cellStyle name="40% - Accent1 2 3 2 3 4" xfId="12905" xr:uid="{00000000-0005-0000-0000-000098320000}"/>
    <cellStyle name="40% - Accent1 2 3 2 3 4 2" xfId="12906" xr:uid="{00000000-0005-0000-0000-000099320000}"/>
    <cellStyle name="40% - Accent1 2 3 2 3 4 2 2" xfId="12907" xr:uid="{00000000-0005-0000-0000-00009A320000}"/>
    <cellStyle name="40% - Accent1 2 3 2 3 4 3" xfId="12908" xr:uid="{00000000-0005-0000-0000-00009B320000}"/>
    <cellStyle name="40% - Accent1 2 3 2 3 5" xfId="12909" xr:uid="{00000000-0005-0000-0000-00009C320000}"/>
    <cellStyle name="40% - Accent1 2 3 2 3 5 2" xfId="12910" xr:uid="{00000000-0005-0000-0000-00009D320000}"/>
    <cellStyle name="40% - Accent1 2 3 2 3 6" xfId="12911" xr:uid="{00000000-0005-0000-0000-00009E320000}"/>
    <cellStyle name="40% - Accent1 2 3 2 4" xfId="12912" xr:uid="{00000000-0005-0000-0000-00009F320000}"/>
    <cellStyle name="40% - Accent1 2 3 2 4 2" xfId="12913" xr:uid="{00000000-0005-0000-0000-0000A0320000}"/>
    <cellStyle name="40% - Accent1 2 3 2 4 2 2" xfId="12914" xr:uid="{00000000-0005-0000-0000-0000A1320000}"/>
    <cellStyle name="40% - Accent1 2 3 2 4 2 2 2" xfId="12915" xr:uid="{00000000-0005-0000-0000-0000A2320000}"/>
    <cellStyle name="40% - Accent1 2 3 2 4 2 2 2 2" xfId="12916" xr:uid="{00000000-0005-0000-0000-0000A3320000}"/>
    <cellStyle name="40% - Accent1 2 3 2 4 2 2 3" xfId="12917" xr:uid="{00000000-0005-0000-0000-0000A4320000}"/>
    <cellStyle name="40% - Accent1 2 3 2 4 2 3" xfId="12918" xr:uid="{00000000-0005-0000-0000-0000A5320000}"/>
    <cellStyle name="40% - Accent1 2 3 2 4 2 3 2" xfId="12919" xr:uid="{00000000-0005-0000-0000-0000A6320000}"/>
    <cellStyle name="40% - Accent1 2 3 2 4 2 4" xfId="12920" xr:uid="{00000000-0005-0000-0000-0000A7320000}"/>
    <cellStyle name="40% - Accent1 2 3 2 4 3" xfId="12921" xr:uid="{00000000-0005-0000-0000-0000A8320000}"/>
    <cellStyle name="40% - Accent1 2 3 2 4 3 2" xfId="12922" xr:uid="{00000000-0005-0000-0000-0000A9320000}"/>
    <cellStyle name="40% - Accent1 2 3 2 4 3 2 2" xfId="12923" xr:uid="{00000000-0005-0000-0000-0000AA320000}"/>
    <cellStyle name="40% - Accent1 2 3 2 4 3 3" xfId="12924" xr:uid="{00000000-0005-0000-0000-0000AB320000}"/>
    <cellStyle name="40% - Accent1 2 3 2 4 4" xfId="12925" xr:uid="{00000000-0005-0000-0000-0000AC320000}"/>
    <cellStyle name="40% - Accent1 2 3 2 4 4 2" xfId="12926" xr:uid="{00000000-0005-0000-0000-0000AD320000}"/>
    <cellStyle name="40% - Accent1 2 3 2 4 5" xfId="12927" xr:uid="{00000000-0005-0000-0000-0000AE320000}"/>
    <cellStyle name="40% - Accent1 2 3 2 5" xfId="12928" xr:uid="{00000000-0005-0000-0000-0000AF320000}"/>
    <cellStyle name="40% - Accent1 2 3 2 5 2" xfId="12929" xr:uid="{00000000-0005-0000-0000-0000B0320000}"/>
    <cellStyle name="40% - Accent1 2 3 2 5 2 2" xfId="12930" xr:uid="{00000000-0005-0000-0000-0000B1320000}"/>
    <cellStyle name="40% - Accent1 2 3 2 5 2 2 2" xfId="12931" xr:uid="{00000000-0005-0000-0000-0000B2320000}"/>
    <cellStyle name="40% - Accent1 2 3 2 5 2 3" xfId="12932" xr:uid="{00000000-0005-0000-0000-0000B3320000}"/>
    <cellStyle name="40% - Accent1 2 3 2 5 3" xfId="12933" xr:uid="{00000000-0005-0000-0000-0000B4320000}"/>
    <cellStyle name="40% - Accent1 2 3 2 5 3 2" xfId="12934" xr:uid="{00000000-0005-0000-0000-0000B5320000}"/>
    <cellStyle name="40% - Accent1 2 3 2 5 4" xfId="12935" xr:uid="{00000000-0005-0000-0000-0000B6320000}"/>
    <cellStyle name="40% - Accent1 2 3 2 6" xfId="12936" xr:uid="{00000000-0005-0000-0000-0000B7320000}"/>
    <cellStyle name="40% - Accent1 2 3 2 6 2" xfId="12937" xr:uid="{00000000-0005-0000-0000-0000B8320000}"/>
    <cellStyle name="40% - Accent1 2 3 2 6 2 2" xfId="12938" xr:uid="{00000000-0005-0000-0000-0000B9320000}"/>
    <cellStyle name="40% - Accent1 2 3 2 6 3" xfId="12939" xr:uid="{00000000-0005-0000-0000-0000BA320000}"/>
    <cellStyle name="40% - Accent1 2 3 2 7" xfId="12940" xr:uid="{00000000-0005-0000-0000-0000BB320000}"/>
    <cellStyle name="40% - Accent1 2 3 2 7 2" xfId="12941" xr:uid="{00000000-0005-0000-0000-0000BC320000}"/>
    <cellStyle name="40% - Accent1 2 3 2 8" xfId="12942" xr:uid="{00000000-0005-0000-0000-0000BD320000}"/>
    <cellStyle name="40% - Accent1 2 3 3" xfId="12943" xr:uid="{00000000-0005-0000-0000-0000BE320000}"/>
    <cellStyle name="40% - Accent1 2 3 3 2" xfId="12944" xr:uid="{00000000-0005-0000-0000-0000BF320000}"/>
    <cellStyle name="40% - Accent1 2 3 3 2 2" xfId="12945" xr:uid="{00000000-0005-0000-0000-0000C0320000}"/>
    <cellStyle name="40% - Accent1 2 3 3 2 2 2" xfId="12946" xr:uid="{00000000-0005-0000-0000-0000C1320000}"/>
    <cellStyle name="40% - Accent1 2 3 3 2 2 2 2" xfId="12947" xr:uid="{00000000-0005-0000-0000-0000C2320000}"/>
    <cellStyle name="40% - Accent1 2 3 3 2 2 2 2 2" xfId="12948" xr:uid="{00000000-0005-0000-0000-0000C3320000}"/>
    <cellStyle name="40% - Accent1 2 3 3 2 2 2 2 2 2" xfId="12949" xr:uid="{00000000-0005-0000-0000-0000C4320000}"/>
    <cellStyle name="40% - Accent1 2 3 3 2 2 2 2 3" xfId="12950" xr:uid="{00000000-0005-0000-0000-0000C5320000}"/>
    <cellStyle name="40% - Accent1 2 3 3 2 2 2 3" xfId="12951" xr:uid="{00000000-0005-0000-0000-0000C6320000}"/>
    <cellStyle name="40% - Accent1 2 3 3 2 2 2 3 2" xfId="12952" xr:uid="{00000000-0005-0000-0000-0000C7320000}"/>
    <cellStyle name="40% - Accent1 2 3 3 2 2 2 4" xfId="12953" xr:uid="{00000000-0005-0000-0000-0000C8320000}"/>
    <cellStyle name="40% - Accent1 2 3 3 2 2 3" xfId="12954" xr:uid="{00000000-0005-0000-0000-0000C9320000}"/>
    <cellStyle name="40% - Accent1 2 3 3 2 2 3 2" xfId="12955" xr:uid="{00000000-0005-0000-0000-0000CA320000}"/>
    <cellStyle name="40% - Accent1 2 3 3 2 2 3 2 2" xfId="12956" xr:uid="{00000000-0005-0000-0000-0000CB320000}"/>
    <cellStyle name="40% - Accent1 2 3 3 2 2 3 3" xfId="12957" xr:uid="{00000000-0005-0000-0000-0000CC320000}"/>
    <cellStyle name="40% - Accent1 2 3 3 2 2 4" xfId="12958" xr:uid="{00000000-0005-0000-0000-0000CD320000}"/>
    <cellStyle name="40% - Accent1 2 3 3 2 2 4 2" xfId="12959" xr:uid="{00000000-0005-0000-0000-0000CE320000}"/>
    <cellStyle name="40% - Accent1 2 3 3 2 2 5" xfId="12960" xr:uid="{00000000-0005-0000-0000-0000CF320000}"/>
    <cellStyle name="40% - Accent1 2 3 3 2 3" xfId="12961" xr:uid="{00000000-0005-0000-0000-0000D0320000}"/>
    <cellStyle name="40% - Accent1 2 3 3 2 3 2" xfId="12962" xr:uid="{00000000-0005-0000-0000-0000D1320000}"/>
    <cellStyle name="40% - Accent1 2 3 3 2 3 2 2" xfId="12963" xr:uid="{00000000-0005-0000-0000-0000D2320000}"/>
    <cellStyle name="40% - Accent1 2 3 3 2 3 2 2 2" xfId="12964" xr:uid="{00000000-0005-0000-0000-0000D3320000}"/>
    <cellStyle name="40% - Accent1 2 3 3 2 3 2 3" xfId="12965" xr:uid="{00000000-0005-0000-0000-0000D4320000}"/>
    <cellStyle name="40% - Accent1 2 3 3 2 3 3" xfId="12966" xr:uid="{00000000-0005-0000-0000-0000D5320000}"/>
    <cellStyle name="40% - Accent1 2 3 3 2 3 3 2" xfId="12967" xr:uid="{00000000-0005-0000-0000-0000D6320000}"/>
    <cellStyle name="40% - Accent1 2 3 3 2 3 4" xfId="12968" xr:uid="{00000000-0005-0000-0000-0000D7320000}"/>
    <cellStyle name="40% - Accent1 2 3 3 2 4" xfId="12969" xr:uid="{00000000-0005-0000-0000-0000D8320000}"/>
    <cellStyle name="40% - Accent1 2 3 3 2 4 2" xfId="12970" xr:uid="{00000000-0005-0000-0000-0000D9320000}"/>
    <cellStyle name="40% - Accent1 2 3 3 2 4 2 2" xfId="12971" xr:uid="{00000000-0005-0000-0000-0000DA320000}"/>
    <cellStyle name="40% - Accent1 2 3 3 2 4 3" xfId="12972" xr:uid="{00000000-0005-0000-0000-0000DB320000}"/>
    <cellStyle name="40% - Accent1 2 3 3 2 5" xfId="12973" xr:uid="{00000000-0005-0000-0000-0000DC320000}"/>
    <cellStyle name="40% - Accent1 2 3 3 2 5 2" xfId="12974" xr:uid="{00000000-0005-0000-0000-0000DD320000}"/>
    <cellStyle name="40% - Accent1 2 3 3 2 6" xfId="12975" xr:uid="{00000000-0005-0000-0000-0000DE320000}"/>
    <cellStyle name="40% - Accent1 2 3 3 3" xfId="12976" xr:uid="{00000000-0005-0000-0000-0000DF320000}"/>
    <cellStyle name="40% - Accent1 2 3 3 3 2" xfId="12977" xr:uid="{00000000-0005-0000-0000-0000E0320000}"/>
    <cellStyle name="40% - Accent1 2 3 3 3 2 2" xfId="12978" xr:uid="{00000000-0005-0000-0000-0000E1320000}"/>
    <cellStyle name="40% - Accent1 2 3 3 3 2 2 2" xfId="12979" xr:uid="{00000000-0005-0000-0000-0000E2320000}"/>
    <cellStyle name="40% - Accent1 2 3 3 3 2 2 2 2" xfId="12980" xr:uid="{00000000-0005-0000-0000-0000E3320000}"/>
    <cellStyle name="40% - Accent1 2 3 3 3 2 2 3" xfId="12981" xr:uid="{00000000-0005-0000-0000-0000E4320000}"/>
    <cellStyle name="40% - Accent1 2 3 3 3 2 3" xfId="12982" xr:uid="{00000000-0005-0000-0000-0000E5320000}"/>
    <cellStyle name="40% - Accent1 2 3 3 3 2 3 2" xfId="12983" xr:uid="{00000000-0005-0000-0000-0000E6320000}"/>
    <cellStyle name="40% - Accent1 2 3 3 3 2 4" xfId="12984" xr:uid="{00000000-0005-0000-0000-0000E7320000}"/>
    <cellStyle name="40% - Accent1 2 3 3 3 3" xfId="12985" xr:uid="{00000000-0005-0000-0000-0000E8320000}"/>
    <cellStyle name="40% - Accent1 2 3 3 3 3 2" xfId="12986" xr:uid="{00000000-0005-0000-0000-0000E9320000}"/>
    <cellStyle name="40% - Accent1 2 3 3 3 3 2 2" xfId="12987" xr:uid="{00000000-0005-0000-0000-0000EA320000}"/>
    <cellStyle name="40% - Accent1 2 3 3 3 3 3" xfId="12988" xr:uid="{00000000-0005-0000-0000-0000EB320000}"/>
    <cellStyle name="40% - Accent1 2 3 3 3 4" xfId="12989" xr:uid="{00000000-0005-0000-0000-0000EC320000}"/>
    <cellStyle name="40% - Accent1 2 3 3 3 4 2" xfId="12990" xr:uid="{00000000-0005-0000-0000-0000ED320000}"/>
    <cellStyle name="40% - Accent1 2 3 3 3 5" xfId="12991" xr:uid="{00000000-0005-0000-0000-0000EE320000}"/>
    <cellStyle name="40% - Accent1 2 3 3 4" xfId="12992" xr:uid="{00000000-0005-0000-0000-0000EF320000}"/>
    <cellStyle name="40% - Accent1 2 3 3 4 2" xfId="12993" xr:uid="{00000000-0005-0000-0000-0000F0320000}"/>
    <cellStyle name="40% - Accent1 2 3 3 4 2 2" xfId="12994" xr:uid="{00000000-0005-0000-0000-0000F1320000}"/>
    <cellStyle name="40% - Accent1 2 3 3 4 2 2 2" xfId="12995" xr:uid="{00000000-0005-0000-0000-0000F2320000}"/>
    <cellStyle name="40% - Accent1 2 3 3 4 2 3" xfId="12996" xr:uid="{00000000-0005-0000-0000-0000F3320000}"/>
    <cellStyle name="40% - Accent1 2 3 3 4 3" xfId="12997" xr:uid="{00000000-0005-0000-0000-0000F4320000}"/>
    <cellStyle name="40% - Accent1 2 3 3 4 3 2" xfId="12998" xr:uid="{00000000-0005-0000-0000-0000F5320000}"/>
    <cellStyle name="40% - Accent1 2 3 3 4 4" xfId="12999" xr:uid="{00000000-0005-0000-0000-0000F6320000}"/>
    <cellStyle name="40% - Accent1 2 3 3 5" xfId="13000" xr:uid="{00000000-0005-0000-0000-0000F7320000}"/>
    <cellStyle name="40% - Accent1 2 3 3 5 2" xfId="13001" xr:uid="{00000000-0005-0000-0000-0000F8320000}"/>
    <cellStyle name="40% - Accent1 2 3 3 5 2 2" xfId="13002" xr:uid="{00000000-0005-0000-0000-0000F9320000}"/>
    <cellStyle name="40% - Accent1 2 3 3 5 3" xfId="13003" xr:uid="{00000000-0005-0000-0000-0000FA320000}"/>
    <cellStyle name="40% - Accent1 2 3 3 6" xfId="13004" xr:uid="{00000000-0005-0000-0000-0000FB320000}"/>
    <cellStyle name="40% - Accent1 2 3 3 6 2" xfId="13005" xr:uid="{00000000-0005-0000-0000-0000FC320000}"/>
    <cellStyle name="40% - Accent1 2 3 3 7" xfId="13006" xr:uid="{00000000-0005-0000-0000-0000FD320000}"/>
    <cellStyle name="40% - Accent1 2 3 4" xfId="13007" xr:uid="{00000000-0005-0000-0000-0000FE320000}"/>
    <cellStyle name="40% - Accent1 2 3 4 2" xfId="13008" xr:uid="{00000000-0005-0000-0000-0000FF320000}"/>
    <cellStyle name="40% - Accent1 2 3 4 2 2" xfId="13009" xr:uid="{00000000-0005-0000-0000-000000330000}"/>
    <cellStyle name="40% - Accent1 2 3 4 2 2 2" xfId="13010" xr:uid="{00000000-0005-0000-0000-000001330000}"/>
    <cellStyle name="40% - Accent1 2 3 4 2 2 2 2" xfId="13011" xr:uid="{00000000-0005-0000-0000-000002330000}"/>
    <cellStyle name="40% - Accent1 2 3 4 2 2 2 2 2" xfId="13012" xr:uid="{00000000-0005-0000-0000-000003330000}"/>
    <cellStyle name="40% - Accent1 2 3 4 2 2 2 3" xfId="13013" xr:uid="{00000000-0005-0000-0000-000004330000}"/>
    <cellStyle name="40% - Accent1 2 3 4 2 2 3" xfId="13014" xr:uid="{00000000-0005-0000-0000-000005330000}"/>
    <cellStyle name="40% - Accent1 2 3 4 2 2 3 2" xfId="13015" xr:uid="{00000000-0005-0000-0000-000006330000}"/>
    <cellStyle name="40% - Accent1 2 3 4 2 2 4" xfId="13016" xr:uid="{00000000-0005-0000-0000-000007330000}"/>
    <cellStyle name="40% - Accent1 2 3 4 2 3" xfId="13017" xr:uid="{00000000-0005-0000-0000-000008330000}"/>
    <cellStyle name="40% - Accent1 2 3 4 2 3 2" xfId="13018" xr:uid="{00000000-0005-0000-0000-000009330000}"/>
    <cellStyle name="40% - Accent1 2 3 4 2 3 2 2" xfId="13019" xr:uid="{00000000-0005-0000-0000-00000A330000}"/>
    <cellStyle name="40% - Accent1 2 3 4 2 3 3" xfId="13020" xr:uid="{00000000-0005-0000-0000-00000B330000}"/>
    <cellStyle name="40% - Accent1 2 3 4 2 4" xfId="13021" xr:uid="{00000000-0005-0000-0000-00000C330000}"/>
    <cellStyle name="40% - Accent1 2 3 4 2 4 2" xfId="13022" xr:uid="{00000000-0005-0000-0000-00000D330000}"/>
    <cellStyle name="40% - Accent1 2 3 4 2 5" xfId="13023" xr:uid="{00000000-0005-0000-0000-00000E330000}"/>
    <cellStyle name="40% - Accent1 2 3 4 3" xfId="13024" xr:uid="{00000000-0005-0000-0000-00000F330000}"/>
    <cellStyle name="40% - Accent1 2 3 4 3 2" xfId="13025" xr:uid="{00000000-0005-0000-0000-000010330000}"/>
    <cellStyle name="40% - Accent1 2 3 4 3 2 2" xfId="13026" xr:uid="{00000000-0005-0000-0000-000011330000}"/>
    <cellStyle name="40% - Accent1 2 3 4 3 2 2 2" xfId="13027" xr:uid="{00000000-0005-0000-0000-000012330000}"/>
    <cellStyle name="40% - Accent1 2 3 4 3 2 3" xfId="13028" xr:uid="{00000000-0005-0000-0000-000013330000}"/>
    <cellStyle name="40% - Accent1 2 3 4 3 3" xfId="13029" xr:uid="{00000000-0005-0000-0000-000014330000}"/>
    <cellStyle name="40% - Accent1 2 3 4 3 3 2" xfId="13030" xr:uid="{00000000-0005-0000-0000-000015330000}"/>
    <cellStyle name="40% - Accent1 2 3 4 3 4" xfId="13031" xr:uid="{00000000-0005-0000-0000-000016330000}"/>
    <cellStyle name="40% - Accent1 2 3 4 4" xfId="13032" xr:uid="{00000000-0005-0000-0000-000017330000}"/>
    <cellStyle name="40% - Accent1 2 3 4 4 2" xfId="13033" xr:uid="{00000000-0005-0000-0000-000018330000}"/>
    <cellStyle name="40% - Accent1 2 3 4 4 2 2" xfId="13034" xr:uid="{00000000-0005-0000-0000-000019330000}"/>
    <cellStyle name="40% - Accent1 2 3 4 4 3" xfId="13035" xr:uid="{00000000-0005-0000-0000-00001A330000}"/>
    <cellStyle name="40% - Accent1 2 3 4 5" xfId="13036" xr:uid="{00000000-0005-0000-0000-00001B330000}"/>
    <cellStyle name="40% - Accent1 2 3 4 5 2" xfId="13037" xr:uid="{00000000-0005-0000-0000-00001C330000}"/>
    <cellStyle name="40% - Accent1 2 3 4 6" xfId="13038" xr:uid="{00000000-0005-0000-0000-00001D330000}"/>
    <cellStyle name="40% - Accent1 2 3 5" xfId="13039" xr:uid="{00000000-0005-0000-0000-00001E330000}"/>
    <cellStyle name="40% - Accent1 2 3 5 2" xfId="13040" xr:uid="{00000000-0005-0000-0000-00001F330000}"/>
    <cellStyle name="40% - Accent1 2 3 5 2 2" xfId="13041" xr:uid="{00000000-0005-0000-0000-000020330000}"/>
    <cellStyle name="40% - Accent1 2 3 5 2 2 2" xfId="13042" xr:uid="{00000000-0005-0000-0000-000021330000}"/>
    <cellStyle name="40% - Accent1 2 3 5 2 2 2 2" xfId="13043" xr:uid="{00000000-0005-0000-0000-000022330000}"/>
    <cellStyle name="40% - Accent1 2 3 5 2 2 3" xfId="13044" xr:uid="{00000000-0005-0000-0000-000023330000}"/>
    <cellStyle name="40% - Accent1 2 3 5 2 3" xfId="13045" xr:uid="{00000000-0005-0000-0000-000024330000}"/>
    <cellStyle name="40% - Accent1 2 3 5 2 3 2" xfId="13046" xr:uid="{00000000-0005-0000-0000-000025330000}"/>
    <cellStyle name="40% - Accent1 2 3 5 2 4" xfId="13047" xr:uid="{00000000-0005-0000-0000-000026330000}"/>
    <cellStyle name="40% - Accent1 2 3 5 3" xfId="13048" xr:uid="{00000000-0005-0000-0000-000027330000}"/>
    <cellStyle name="40% - Accent1 2 3 5 3 2" xfId="13049" xr:uid="{00000000-0005-0000-0000-000028330000}"/>
    <cellStyle name="40% - Accent1 2 3 5 3 2 2" xfId="13050" xr:uid="{00000000-0005-0000-0000-000029330000}"/>
    <cellStyle name="40% - Accent1 2 3 5 3 3" xfId="13051" xr:uid="{00000000-0005-0000-0000-00002A330000}"/>
    <cellStyle name="40% - Accent1 2 3 5 4" xfId="13052" xr:uid="{00000000-0005-0000-0000-00002B330000}"/>
    <cellStyle name="40% - Accent1 2 3 5 4 2" xfId="13053" xr:uid="{00000000-0005-0000-0000-00002C330000}"/>
    <cellStyle name="40% - Accent1 2 3 5 5" xfId="13054" xr:uid="{00000000-0005-0000-0000-00002D330000}"/>
    <cellStyle name="40% - Accent1 2 3 6" xfId="13055" xr:uid="{00000000-0005-0000-0000-00002E330000}"/>
    <cellStyle name="40% - Accent1 2 3 6 2" xfId="13056" xr:uid="{00000000-0005-0000-0000-00002F330000}"/>
    <cellStyle name="40% - Accent1 2 3 6 2 2" xfId="13057" xr:uid="{00000000-0005-0000-0000-000030330000}"/>
    <cellStyle name="40% - Accent1 2 3 6 2 2 2" xfId="13058" xr:uid="{00000000-0005-0000-0000-000031330000}"/>
    <cellStyle name="40% - Accent1 2 3 6 2 3" xfId="13059" xr:uid="{00000000-0005-0000-0000-000032330000}"/>
    <cellStyle name="40% - Accent1 2 3 6 3" xfId="13060" xr:uid="{00000000-0005-0000-0000-000033330000}"/>
    <cellStyle name="40% - Accent1 2 3 6 3 2" xfId="13061" xr:uid="{00000000-0005-0000-0000-000034330000}"/>
    <cellStyle name="40% - Accent1 2 3 6 4" xfId="13062" xr:uid="{00000000-0005-0000-0000-000035330000}"/>
    <cellStyle name="40% - Accent1 2 3 7" xfId="13063" xr:uid="{00000000-0005-0000-0000-000036330000}"/>
    <cellStyle name="40% - Accent1 2 3 7 2" xfId="13064" xr:uid="{00000000-0005-0000-0000-000037330000}"/>
    <cellStyle name="40% - Accent1 2 3 7 2 2" xfId="13065" xr:uid="{00000000-0005-0000-0000-000038330000}"/>
    <cellStyle name="40% - Accent1 2 3 7 3" xfId="13066" xr:uid="{00000000-0005-0000-0000-000039330000}"/>
    <cellStyle name="40% - Accent1 2 3 8" xfId="13067" xr:uid="{00000000-0005-0000-0000-00003A330000}"/>
    <cellStyle name="40% - Accent1 2 3 8 2" xfId="13068" xr:uid="{00000000-0005-0000-0000-00003B330000}"/>
    <cellStyle name="40% - Accent1 2 3 9" xfId="13069" xr:uid="{00000000-0005-0000-0000-00003C330000}"/>
    <cellStyle name="40% - Accent1 2 4" xfId="13070" xr:uid="{00000000-0005-0000-0000-00003D330000}"/>
    <cellStyle name="40% - Accent1 2 4 2" xfId="13071" xr:uid="{00000000-0005-0000-0000-00003E330000}"/>
    <cellStyle name="40% - Accent1 2 4 2 2" xfId="13072" xr:uid="{00000000-0005-0000-0000-00003F330000}"/>
    <cellStyle name="40% - Accent1 2 4 2 2 2" xfId="13073" xr:uid="{00000000-0005-0000-0000-000040330000}"/>
    <cellStyle name="40% - Accent1 2 4 2 2 2 2" xfId="13074" xr:uid="{00000000-0005-0000-0000-000041330000}"/>
    <cellStyle name="40% - Accent1 2 4 2 2 2 2 2" xfId="13075" xr:uid="{00000000-0005-0000-0000-000042330000}"/>
    <cellStyle name="40% - Accent1 2 4 2 2 2 2 2 2" xfId="13076" xr:uid="{00000000-0005-0000-0000-000043330000}"/>
    <cellStyle name="40% - Accent1 2 4 2 2 2 2 2 2 2" xfId="13077" xr:uid="{00000000-0005-0000-0000-000044330000}"/>
    <cellStyle name="40% - Accent1 2 4 2 2 2 2 2 3" xfId="13078" xr:uid="{00000000-0005-0000-0000-000045330000}"/>
    <cellStyle name="40% - Accent1 2 4 2 2 2 2 3" xfId="13079" xr:uid="{00000000-0005-0000-0000-000046330000}"/>
    <cellStyle name="40% - Accent1 2 4 2 2 2 2 3 2" xfId="13080" xr:uid="{00000000-0005-0000-0000-000047330000}"/>
    <cellStyle name="40% - Accent1 2 4 2 2 2 2 4" xfId="13081" xr:uid="{00000000-0005-0000-0000-000048330000}"/>
    <cellStyle name="40% - Accent1 2 4 2 2 2 3" xfId="13082" xr:uid="{00000000-0005-0000-0000-000049330000}"/>
    <cellStyle name="40% - Accent1 2 4 2 2 2 3 2" xfId="13083" xr:uid="{00000000-0005-0000-0000-00004A330000}"/>
    <cellStyle name="40% - Accent1 2 4 2 2 2 3 2 2" xfId="13084" xr:uid="{00000000-0005-0000-0000-00004B330000}"/>
    <cellStyle name="40% - Accent1 2 4 2 2 2 3 3" xfId="13085" xr:uid="{00000000-0005-0000-0000-00004C330000}"/>
    <cellStyle name="40% - Accent1 2 4 2 2 2 4" xfId="13086" xr:uid="{00000000-0005-0000-0000-00004D330000}"/>
    <cellStyle name="40% - Accent1 2 4 2 2 2 4 2" xfId="13087" xr:uid="{00000000-0005-0000-0000-00004E330000}"/>
    <cellStyle name="40% - Accent1 2 4 2 2 2 5" xfId="13088" xr:uid="{00000000-0005-0000-0000-00004F330000}"/>
    <cellStyle name="40% - Accent1 2 4 2 2 3" xfId="13089" xr:uid="{00000000-0005-0000-0000-000050330000}"/>
    <cellStyle name="40% - Accent1 2 4 2 2 3 2" xfId="13090" xr:uid="{00000000-0005-0000-0000-000051330000}"/>
    <cellStyle name="40% - Accent1 2 4 2 2 3 2 2" xfId="13091" xr:uid="{00000000-0005-0000-0000-000052330000}"/>
    <cellStyle name="40% - Accent1 2 4 2 2 3 2 2 2" xfId="13092" xr:uid="{00000000-0005-0000-0000-000053330000}"/>
    <cellStyle name="40% - Accent1 2 4 2 2 3 2 3" xfId="13093" xr:uid="{00000000-0005-0000-0000-000054330000}"/>
    <cellStyle name="40% - Accent1 2 4 2 2 3 3" xfId="13094" xr:uid="{00000000-0005-0000-0000-000055330000}"/>
    <cellStyle name="40% - Accent1 2 4 2 2 3 3 2" xfId="13095" xr:uid="{00000000-0005-0000-0000-000056330000}"/>
    <cellStyle name="40% - Accent1 2 4 2 2 3 4" xfId="13096" xr:uid="{00000000-0005-0000-0000-000057330000}"/>
    <cellStyle name="40% - Accent1 2 4 2 2 4" xfId="13097" xr:uid="{00000000-0005-0000-0000-000058330000}"/>
    <cellStyle name="40% - Accent1 2 4 2 2 4 2" xfId="13098" xr:uid="{00000000-0005-0000-0000-000059330000}"/>
    <cellStyle name="40% - Accent1 2 4 2 2 4 2 2" xfId="13099" xr:uid="{00000000-0005-0000-0000-00005A330000}"/>
    <cellStyle name="40% - Accent1 2 4 2 2 4 3" xfId="13100" xr:uid="{00000000-0005-0000-0000-00005B330000}"/>
    <cellStyle name="40% - Accent1 2 4 2 2 5" xfId="13101" xr:uid="{00000000-0005-0000-0000-00005C330000}"/>
    <cellStyle name="40% - Accent1 2 4 2 2 5 2" xfId="13102" xr:uid="{00000000-0005-0000-0000-00005D330000}"/>
    <cellStyle name="40% - Accent1 2 4 2 2 6" xfId="13103" xr:uid="{00000000-0005-0000-0000-00005E330000}"/>
    <cellStyle name="40% - Accent1 2 4 2 3" xfId="13104" xr:uid="{00000000-0005-0000-0000-00005F330000}"/>
    <cellStyle name="40% - Accent1 2 4 2 3 2" xfId="13105" xr:uid="{00000000-0005-0000-0000-000060330000}"/>
    <cellStyle name="40% - Accent1 2 4 2 3 2 2" xfId="13106" xr:uid="{00000000-0005-0000-0000-000061330000}"/>
    <cellStyle name="40% - Accent1 2 4 2 3 2 2 2" xfId="13107" xr:uid="{00000000-0005-0000-0000-000062330000}"/>
    <cellStyle name="40% - Accent1 2 4 2 3 2 2 2 2" xfId="13108" xr:uid="{00000000-0005-0000-0000-000063330000}"/>
    <cellStyle name="40% - Accent1 2 4 2 3 2 2 3" xfId="13109" xr:uid="{00000000-0005-0000-0000-000064330000}"/>
    <cellStyle name="40% - Accent1 2 4 2 3 2 3" xfId="13110" xr:uid="{00000000-0005-0000-0000-000065330000}"/>
    <cellStyle name="40% - Accent1 2 4 2 3 2 3 2" xfId="13111" xr:uid="{00000000-0005-0000-0000-000066330000}"/>
    <cellStyle name="40% - Accent1 2 4 2 3 2 4" xfId="13112" xr:uid="{00000000-0005-0000-0000-000067330000}"/>
    <cellStyle name="40% - Accent1 2 4 2 3 3" xfId="13113" xr:uid="{00000000-0005-0000-0000-000068330000}"/>
    <cellStyle name="40% - Accent1 2 4 2 3 3 2" xfId="13114" xr:uid="{00000000-0005-0000-0000-000069330000}"/>
    <cellStyle name="40% - Accent1 2 4 2 3 3 2 2" xfId="13115" xr:uid="{00000000-0005-0000-0000-00006A330000}"/>
    <cellStyle name="40% - Accent1 2 4 2 3 3 3" xfId="13116" xr:uid="{00000000-0005-0000-0000-00006B330000}"/>
    <cellStyle name="40% - Accent1 2 4 2 3 4" xfId="13117" xr:uid="{00000000-0005-0000-0000-00006C330000}"/>
    <cellStyle name="40% - Accent1 2 4 2 3 4 2" xfId="13118" xr:uid="{00000000-0005-0000-0000-00006D330000}"/>
    <cellStyle name="40% - Accent1 2 4 2 3 5" xfId="13119" xr:uid="{00000000-0005-0000-0000-00006E330000}"/>
    <cellStyle name="40% - Accent1 2 4 2 4" xfId="13120" xr:uid="{00000000-0005-0000-0000-00006F330000}"/>
    <cellStyle name="40% - Accent1 2 4 2 4 2" xfId="13121" xr:uid="{00000000-0005-0000-0000-000070330000}"/>
    <cellStyle name="40% - Accent1 2 4 2 4 2 2" xfId="13122" xr:uid="{00000000-0005-0000-0000-000071330000}"/>
    <cellStyle name="40% - Accent1 2 4 2 4 2 2 2" xfId="13123" xr:uid="{00000000-0005-0000-0000-000072330000}"/>
    <cellStyle name="40% - Accent1 2 4 2 4 2 3" xfId="13124" xr:uid="{00000000-0005-0000-0000-000073330000}"/>
    <cellStyle name="40% - Accent1 2 4 2 4 3" xfId="13125" xr:uid="{00000000-0005-0000-0000-000074330000}"/>
    <cellStyle name="40% - Accent1 2 4 2 4 3 2" xfId="13126" xr:uid="{00000000-0005-0000-0000-000075330000}"/>
    <cellStyle name="40% - Accent1 2 4 2 4 4" xfId="13127" xr:uid="{00000000-0005-0000-0000-000076330000}"/>
    <cellStyle name="40% - Accent1 2 4 2 5" xfId="13128" xr:uid="{00000000-0005-0000-0000-000077330000}"/>
    <cellStyle name="40% - Accent1 2 4 2 5 2" xfId="13129" xr:uid="{00000000-0005-0000-0000-000078330000}"/>
    <cellStyle name="40% - Accent1 2 4 2 5 2 2" xfId="13130" xr:uid="{00000000-0005-0000-0000-000079330000}"/>
    <cellStyle name="40% - Accent1 2 4 2 5 3" xfId="13131" xr:uid="{00000000-0005-0000-0000-00007A330000}"/>
    <cellStyle name="40% - Accent1 2 4 2 6" xfId="13132" xr:uid="{00000000-0005-0000-0000-00007B330000}"/>
    <cellStyle name="40% - Accent1 2 4 2 6 2" xfId="13133" xr:uid="{00000000-0005-0000-0000-00007C330000}"/>
    <cellStyle name="40% - Accent1 2 4 2 7" xfId="13134" xr:uid="{00000000-0005-0000-0000-00007D330000}"/>
    <cellStyle name="40% - Accent1 2 4 3" xfId="13135" xr:uid="{00000000-0005-0000-0000-00007E330000}"/>
    <cellStyle name="40% - Accent1 2 4 3 2" xfId="13136" xr:uid="{00000000-0005-0000-0000-00007F330000}"/>
    <cellStyle name="40% - Accent1 2 4 3 2 2" xfId="13137" xr:uid="{00000000-0005-0000-0000-000080330000}"/>
    <cellStyle name="40% - Accent1 2 4 3 2 2 2" xfId="13138" xr:uid="{00000000-0005-0000-0000-000081330000}"/>
    <cellStyle name="40% - Accent1 2 4 3 2 2 2 2" xfId="13139" xr:uid="{00000000-0005-0000-0000-000082330000}"/>
    <cellStyle name="40% - Accent1 2 4 3 2 2 2 2 2" xfId="13140" xr:uid="{00000000-0005-0000-0000-000083330000}"/>
    <cellStyle name="40% - Accent1 2 4 3 2 2 2 3" xfId="13141" xr:uid="{00000000-0005-0000-0000-000084330000}"/>
    <cellStyle name="40% - Accent1 2 4 3 2 2 3" xfId="13142" xr:uid="{00000000-0005-0000-0000-000085330000}"/>
    <cellStyle name="40% - Accent1 2 4 3 2 2 3 2" xfId="13143" xr:uid="{00000000-0005-0000-0000-000086330000}"/>
    <cellStyle name="40% - Accent1 2 4 3 2 2 4" xfId="13144" xr:uid="{00000000-0005-0000-0000-000087330000}"/>
    <cellStyle name="40% - Accent1 2 4 3 2 3" xfId="13145" xr:uid="{00000000-0005-0000-0000-000088330000}"/>
    <cellStyle name="40% - Accent1 2 4 3 2 3 2" xfId="13146" xr:uid="{00000000-0005-0000-0000-000089330000}"/>
    <cellStyle name="40% - Accent1 2 4 3 2 3 2 2" xfId="13147" xr:uid="{00000000-0005-0000-0000-00008A330000}"/>
    <cellStyle name="40% - Accent1 2 4 3 2 3 3" xfId="13148" xr:uid="{00000000-0005-0000-0000-00008B330000}"/>
    <cellStyle name="40% - Accent1 2 4 3 2 4" xfId="13149" xr:uid="{00000000-0005-0000-0000-00008C330000}"/>
    <cellStyle name="40% - Accent1 2 4 3 2 4 2" xfId="13150" xr:uid="{00000000-0005-0000-0000-00008D330000}"/>
    <cellStyle name="40% - Accent1 2 4 3 2 5" xfId="13151" xr:uid="{00000000-0005-0000-0000-00008E330000}"/>
    <cellStyle name="40% - Accent1 2 4 3 3" xfId="13152" xr:uid="{00000000-0005-0000-0000-00008F330000}"/>
    <cellStyle name="40% - Accent1 2 4 3 3 2" xfId="13153" xr:uid="{00000000-0005-0000-0000-000090330000}"/>
    <cellStyle name="40% - Accent1 2 4 3 3 2 2" xfId="13154" xr:uid="{00000000-0005-0000-0000-000091330000}"/>
    <cellStyle name="40% - Accent1 2 4 3 3 2 2 2" xfId="13155" xr:uid="{00000000-0005-0000-0000-000092330000}"/>
    <cellStyle name="40% - Accent1 2 4 3 3 2 3" xfId="13156" xr:uid="{00000000-0005-0000-0000-000093330000}"/>
    <cellStyle name="40% - Accent1 2 4 3 3 3" xfId="13157" xr:uid="{00000000-0005-0000-0000-000094330000}"/>
    <cellStyle name="40% - Accent1 2 4 3 3 3 2" xfId="13158" xr:uid="{00000000-0005-0000-0000-000095330000}"/>
    <cellStyle name="40% - Accent1 2 4 3 3 4" xfId="13159" xr:uid="{00000000-0005-0000-0000-000096330000}"/>
    <cellStyle name="40% - Accent1 2 4 3 4" xfId="13160" xr:uid="{00000000-0005-0000-0000-000097330000}"/>
    <cellStyle name="40% - Accent1 2 4 3 4 2" xfId="13161" xr:uid="{00000000-0005-0000-0000-000098330000}"/>
    <cellStyle name="40% - Accent1 2 4 3 4 2 2" xfId="13162" xr:uid="{00000000-0005-0000-0000-000099330000}"/>
    <cellStyle name="40% - Accent1 2 4 3 4 3" xfId="13163" xr:uid="{00000000-0005-0000-0000-00009A330000}"/>
    <cellStyle name="40% - Accent1 2 4 3 5" xfId="13164" xr:uid="{00000000-0005-0000-0000-00009B330000}"/>
    <cellStyle name="40% - Accent1 2 4 3 5 2" xfId="13165" xr:uid="{00000000-0005-0000-0000-00009C330000}"/>
    <cellStyle name="40% - Accent1 2 4 3 6" xfId="13166" xr:uid="{00000000-0005-0000-0000-00009D330000}"/>
    <cellStyle name="40% - Accent1 2 4 4" xfId="13167" xr:uid="{00000000-0005-0000-0000-00009E330000}"/>
    <cellStyle name="40% - Accent1 2 4 4 2" xfId="13168" xr:uid="{00000000-0005-0000-0000-00009F330000}"/>
    <cellStyle name="40% - Accent1 2 4 4 2 2" xfId="13169" xr:uid="{00000000-0005-0000-0000-0000A0330000}"/>
    <cellStyle name="40% - Accent1 2 4 4 2 2 2" xfId="13170" xr:uid="{00000000-0005-0000-0000-0000A1330000}"/>
    <cellStyle name="40% - Accent1 2 4 4 2 2 2 2" xfId="13171" xr:uid="{00000000-0005-0000-0000-0000A2330000}"/>
    <cellStyle name="40% - Accent1 2 4 4 2 2 3" xfId="13172" xr:uid="{00000000-0005-0000-0000-0000A3330000}"/>
    <cellStyle name="40% - Accent1 2 4 4 2 3" xfId="13173" xr:uid="{00000000-0005-0000-0000-0000A4330000}"/>
    <cellStyle name="40% - Accent1 2 4 4 2 3 2" xfId="13174" xr:uid="{00000000-0005-0000-0000-0000A5330000}"/>
    <cellStyle name="40% - Accent1 2 4 4 2 4" xfId="13175" xr:uid="{00000000-0005-0000-0000-0000A6330000}"/>
    <cellStyle name="40% - Accent1 2 4 4 3" xfId="13176" xr:uid="{00000000-0005-0000-0000-0000A7330000}"/>
    <cellStyle name="40% - Accent1 2 4 4 3 2" xfId="13177" xr:uid="{00000000-0005-0000-0000-0000A8330000}"/>
    <cellStyle name="40% - Accent1 2 4 4 3 2 2" xfId="13178" xr:uid="{00000000-0005-0000-0000-0000A9330000}"/>
    <cellStyle name="40% - Accent1 2 4 4 3 3" xfId="13179" xr:uid="{00000000-0005-0000-0000-0000AA330000}"/>
    <cellStyle name="40% - Accent1 2 4 4 4" xfId="13180" xr:uid="{00000000-0005-0000-0000-0000AB330000}"/>
    <cellStyle name="40% - Accent1 2 4 4 4 2" xfId="13181" xr:uid="{00000000-0005-0000-0000-0000AC330000}"/>
    <cellStyle name="40% - Accent1 2 4 4 5" xfId="13182" xr:uid="{00000000-0005-0000-0000-0000AD330000}"/>
    <cellStyle name="40% - Accent1 2 4 5" xfId="13183" xr:uid="{00000000-0005-0000-0000-0000AE330000}"/>
    <cellStyle name="40% - Accent1 2 4 5 2" xfId="13184" xr:uid="{00000000-0005-0000-0000-0000AF330000}"/>
    <cellStyle name="40% - Accent1 2 4 5 2 2" xfId="13185" xr:uid="{00000000-0005-0000-0000-0000B0330000}"/>
    <cellStyle name="40% - Accent1 2 4 5 2 2 2" xfId="13186" xr:uid="{00000000-0005-0000-0000-0000B1330000}"/>
    <cellStyle name="40% - Accent1 2 4 5 2 3" xfId="13187" xr:uid="{00000000-0005-0000-0000-0000B2330000}"/>
    <cellStyle name="40% - Accent1 2 4 5 3" xfId="13188" xr:uid="{00000000-0005-0000-0000-0000B3330000}"/>
    <cellStyle name="40% - Accent1 2 4 5 3 2" xfId="13189" xr:uid="{00000000-0005-0000-0000-0000B4330000}"/>
    <cellStyle name="40% - Accent1 2 4 5 4" xfId="13190" xr:uid="{00000000-0005-0000-0000-0000B5330000}"/>
    <cellStyle name="40% - Accent1 2 4 6" xfId="13191" xr:uid="{00000000-0005-0000-0000-0000B6330000}"/>
    <cellStyle name="40% - Accent1 2 4 6 2" xfId="13192" xr:uid="{00000000-0005-0000-0000-0000B7330000}"/>
    <cellStyle name="40% - Accent1 2 4 6 2 2" xfId="13193" xr:uid="{00000000-0005-0000-0000-0000B8330000}"/>
    <cellStyle name="40% - Accent1 2 4 6 3" xfId="13194" xr:uid="{00000000-0005-0000-0000-0000B9330000}"/>
    <cellStyle name="40% - Accent1 2 4 7" xfId="13195" xr:uid="{00000000-0005-0000-0000-0000BA330000}"/>
    <cellStyle name="40% - Accent1 2 4 7 2" xfId="13196" xr:uid="{00000000-0005-0000-0000-0000BB330000}"/>
    <cellStyle name="40% - Accent1 2 4 8" xfId="13197" xr:uid="{00000000-0005-0000-0000-0000BC330000}"/>
    <cellStyle name="40% - Accent1 2 5" xfId="13198" xr:uid="{00000000-0005-0000-0000-0000BD330000}"/>
    <cellStyle name="40% - Accent1 2 5 2" xfId="13199" xr:uid="{00000000-0005-0000-0000-0000BE330000}"/>
    <cellStyle name="40% - Accent1 2 5 2 2" xfId="13200" xr:uid="{00000000-0005-0000-0000-0000BF330000}"/>
    <cellStyle name="40% - Accent1 2 5 2 2 2" xfId="13201" xr:uid="{00000000-0005-0000-0000-0000C0330000}"/>
    <cellStyle name="40% - Accent1 2 5 2 2 2 2" xfId="13202" xr:uid="{00000000-0005-0000-0000-0000C1330000}"/>
    <cellStyle name="40% - Accent1 2 5 2 2 2 2 2" xfId="13203" xr:uid="{00000000-0005-0000-0000-0000C2330000}"/>
    <cellStyle name="40% - Accent1 2 5 2 2 2 2 2 2" xfId="13204" xr:uid="{00000000-0005-0000-0000-0000C3330000}"/>
    <cellStyle name="40% - Accent1 2 5 2 2 2 2 3" xfId="13205" xr:uid="{00000000-0005-0000-0000-0000C4330000}"/>
    <cellStyle name="40% - Accent1 2 5 2 2 2 3" xfId="13206" xr:uid="{00000000-0005-0000-0000-0000C5330000}"/>
    <cellStyle name="40% - Accent1 2 5 2 2 2 3 2" xfId="13207" xr:uid="{00000000-0005-0000-0000-0000C6330000}"/>
    <cellStyle name="40% - Accent1 2 5 2 2 2 4" xfId="13208" xr:uid="{00000000-0005-0000-0000-0000C7330000}"/>
    <cellStyle name="40% - Accent1 2 5 2 2 3" xfId="13209" xr:uid="{00000000-0005-0000-0000-0000C8330000}"/>
    <cellStyle name="40% - Accent1 2 5 2 2 3 2" xfId="13210" xr:uid="{00000000-0005-0000-0000-0000C9330000}"/>
    <cellStyle name="40% - Accent1 2 5 2 2 3 2 2" xfId="13211" xr:uid="{00000000-0005-0000-0000-0000CA330000}"/>
    <cellStyle name="40% - Accent1 2 5 2 2 3 3" xfId="13212" xr:uid="{00000000-0005-0000-0000-0000CB330000}"/>
    <cellStyle name="40% - Accent1 2 5 2 2 4" xfId="13213" xr:uid="{00000000-0005-0000-0000-0000CC330000}"/>
    <cellStyle name="40% - Accent1 2 5 2 2 4 2" xfId="13214" xr:uid="{00000000-0005-0000-0000-0000CD330000}"/>
    <cellStyle name="40% - Accent1 2 5 2 2 5" xfId="13215" xr:uid="{00000000-0005-0000-0000-0000CE330000}"/>
    <cellStyle name="40% - Accent1 2 5 2 3" xfId="13216" xr:uid="{00000000-0005-0000-0000-0000CF330000}"/>
    <cellStyle name="40% - Accent1 2 5 2 3 2" xfId="13217" xr:uid="{00000000-0005-0000-0000-0000D0330000}"/>
    <cellStyle name="40% - Accent1 2 5 2 3 2 2" xfId="13218" xr:uid="{00000000-0005-0000-0000-0000D1330000}"/>
    <cellStyle name="40% - Accent1 2 5 2 3 2 2 2" xfId="13219" xr:uid="{00000000-0005-0000-0000-0000D2330000}"/>
    <cellStyle name="40% - Accent1 2 5 2 3 2 3" xfId="13220" xr:uid="{00000000-0005-0000-0000-0000D3330000}"/>
    <cellStyle name="40% - Accent1 2 5 2 3 3" xfId="13221" xr:uid="{00000000-0005-0000-0000-0000D4330000}"/>
    <cellStyle name="40% - Accent1 2 5 2 3 3 2" xfId="13222" xr:uid="{00000000-0005-0000-0000-0000D5330000}"/>
    <cellStyle name="40% - Accent1 2 5 2 3 4" xfId="13223" xr:uid="{00000000-0005-0000-0000-0000D6330000}"/>
    <cellStyle name="40% - Accent1 2 5 2 4" xfId="13224" xr:uid="{00000000-0005-0000-0000-0000D7330000}"/>
    <cellStyle name="40% - Accent1 2 5 2 4 2" xfId="13225" xr:uid="{00000000-0005-0000-0000-0000D8330000}"/>
    <cellStyle name="40% - Accent1 2 5 2 4 2 2" xfId="13226" xr:uid="{00000000-0005-0000-0000-0000D9330000}"/>
    <cellStyle name="40% - Accent1 2 5 2 4 3" xfId="13227" xr:uid="{00000000-0005-0000-0000-0000DA330000}"/>
    <cellStyle name="40% - Accent1 2 5 2 5" xfId="13228" xr:uid="{00000000-0005-0000-0000-0000DB330000}"/>
    <cellStyle name="40% - Accent1 2 5 2 5 2" xfId="13229" xr:uid="{00000000-0005-0000-0000-0000DC330000}"/>
    <cellStyle name="40% - Accent1 2 5 2 6" xfId="13230" xr:uid="{00000000-0005-0000-0000-0000DD330000}"/>
    <cellStyle name="40% - Accent1 2 5 3" xfId="13231" xr:uid="{00000000-0005-0000-0000-0000DE330000}"/>
    <cellStyle name="40% - Accent1 2 5 3 2" xfId="13232" xr:uid="{00000000-0005-0000-0000-0000DF330000}"/>
    <cellStyle name="40% - Accent1 2 5 3 2 2" xfId="13233" xr:uid="{00000000-0005-0000-0000-0000E0330000}"/>
    <cellStyle name="40% - Accent1 2 5 3 2 2 2" xfId="13234" xr:uid="{00000000-0005-0000-0000-0000E1330000}"/>
    <cellStyle name="40% - Accent1 2 5 3 2 2 2 2" xfId="13235" xr:uid="{00000000-0005-0000-0000-0000E2330000}"/>
    <cellStyle name="40% - Accent1 2 5 3 2 2 3" xfId="13236" xr:uid="{00000000-0005-0000-0000-0000E3330000}"/>
    <cellStyle name="40% - Accent1 2 5 3 2 3" xfId="13237" xr:uid="{00000000-0005-0000-0000-0000E4330000}"/>
    <cellStyle name="40% - Accent1 2 5 3 2 3 2" xfId="13238" xr:uid="{00000000-0005-0000-0000-0000E5330000}"/>
    <cellStyle name="40% - Accent1 2 5 3 2 4" xfId="13239" xr:uid="{00000000-0005-0000-0000-0000E6330000}"/>
    <cellStyle name="40% - Accent1 2 5 3 3" xfId="13240" xr:uid="{00000000-0005-0000-0000-0000E7330000}"/>
    <cellStyle name="40% - Accent1 2 5 3 3 2" xfId="13241" xr:uid="{00000000-0005-0000-0000-0000E8330000}"/>
    <cellStyle name="40% - Accent1 2 5 3 3 2 2" xfId="13242" xr:uid="{00000000-0005-0000-0000-0000E9330000}"/>
    <cellStyle name="40% - Accent1 2 5 3 3 3" xfId="13243" xr:uid="{00000000-0005-0000-0000-0000EA330000}"/>
    <cellStyle name="40% - Accent1 2 5 3 4" xfId="13244" xr:uid="{00000000-0005-0000-0000-0000EB330000}"/>
    <cellStyle name="40% - Accent1 2 5 3 4 2" xfId="13245" xr:uid="{00000000-0005-0000-0000-0000EC330000}"/>
    <cellStyle name="40% - Accent1 2 5 3 5" xfId="13246" xr:uid="{00000000-0005-0000-0000-0000ED330000}"/>
    <cellStyle name="40% - Accent1 2 5 4" xfId="13247" xr:uid="{00000000-0005-0000-0000-0000EE330000}"/>
    <cellStyle name="40% - Accent1 2 5 4 2" xfId="13248" xr:uid="{00000000-0005-0000-0000-0000EF330000}"/>
    <cellStyle name="40% - Accent1 2 5 4 2 2" xfId="13249" xr:uid="{00000000-0005-0000-0000-0000F0330000}"/>
    <cellStyle name="40% - Accent1 2 5 4 2 2 2" xfId="13250" xr:uid="{00000000-0005-0000-0000-0000F1330000}"/>
    <cellStyle name="40% - Accent1 2 5 4 2 3" xfId="13251" xr:uid="{00000000-0005-0000-0000-0000F2330000}"/>
    <cellStyle name="40% - Accent1 2 5 4 3" xfId="13252" xr:uid="{00000000-0005-0000-0000-0000F3330000}"/>
    <cellStyle name="40% - Accent1 2 5 4 3 2" xfId="13253" xr:uid="{00000000-0005-0000-0000-0000F4330000}"/>
    <cellStyle name="40% - Accent1 2 5 4 4" xfId="13254" xr:uid="{00000000-0005-0000-0000-0000F5330000}"/>
    <cellStyle name="40% - Accent1 2 5 5" xfId="13255" xr:uid="{00000000-0005-0000-0000-0000F6330000}"/>
    <cellStyle name="40% - Accent1 2 5 5 2" xfId="13256" xr:uid="{00000000-0005-0000-0000-0000F7330000}"/>
    <cellStyle name="40% - Accent1 2 5 5 2 2" xfId="13257" xr:uid="{00000000-0005-0000-0000-0000F8330000}"/>
    <cellStyle name="40% - Accent1 2 5 5 3" xfId="13258" xr:uid="{00000000-0005-0000-0000-0000F9330000}"/>
    <cellStyle name="40% - Accent1 2 5 6" xfId="13259" xr:uid="{00000000-0005-0000-0000-0000FA330000}"/>
    <cellStyle name="40% - Accent1 2 5 6 2" xfId="13260" xr:uid="{00000000-0005-0000-0000-0000FB330000}"/>
    <cellStyle name="40% - Accent1 2 5 7" xfId="13261" xr:uid="{00000000-0005-0000-0000-0000FC330000}"/>
    <cellStyle name="40% - Accent1 2 6" xfId="13262" xr:uid="{00000000-0005-0000-0000-0000FD330000}"/>
    <cellStyle name="40% - Accent1 2 6 2" xfId="13263" xr:uid="{00000000-0005-0000-0000-0000FE330000}"/>
    <cellStyle name="40% - Accent1 2 6 2 2" xfId="13264" xr:uid="{00000000-0005-0000-0000-0000FF330000}"/>
    <cellStyle name="40% - Accent1 2 6 2 2 2" xfId="13265" xr:uid="{00000000-0005-0000-0000-000000340000}"/>
    <cellStyle name="40% - Accent1 2 6 2 2 2 2" xfId="13266" xr:uid="{00000000-0005-0000-0000-000001340000}"/>
    <cellStyle name="40% - Accent1 2 6 2 2 2 2 2" xfId="13267" xr:uid="{00000000-0005-0000-0000-000002340000}"/>
    <cellStyle name="40% - Accent1 2 6 2 2 2 3" xfId="13268" xr:uid="{00000000-0005-0000-0000-000003340000}"/>
    <cellStyle name="40% - Accent1 2 6 2 2 3" xfId="13269" xr:uid="{00000000-0005-0000-0000-000004340000}"/>
    <cellStyle name="40% - Accent1 2 6 2 2 3 2" xfId="13270" xr:uid="{00000000-0005-0000-0000-000005340000}"/>
    <cellStyle name="40% - Accent1 2 6 2 2 4" xfId="13271" xr:uid="{00000000-0005-0000-0000-000006340000}"/>
    <cellStyle name="40% - Accent1 2 6 2 3" xfId="13272" xr:uid="{00000000-0005-0000-0000-000007340000}"/>
    <cellStyle name="40% - Accent1 2 6 2 3 2" xfId="13273" xr:uid="{00000000-0005-0000-0000-000008340000}"/>
    <cellStyle name="40% - Accent1 2 6 2 3 2 2" xfId="13274" xr:uid="{00000000-0005-0000-0000-000009340000}"/>
    <cellStyle name="40% - Accent1 2 6 2 3 3" xfId="13275" xr:uid="{00000000-0005-0000-0000-00000A340000}"/>
    <cellStyle name="40% - Accent1 2 6 2 4" xfId="13276" xr:uid="{00000000-0005-0000-0000-00000B340000}"/>
    <cellStyle name="40% - Accent1 2 6 2 4 2" xfId="13277" xr:uid="{00000000-0005-0000-0000-00000C340000}"/>
    <cellStyle name="40% - Accent1 2 6 2 5" xfId="13278" xr:uid="{00000000-0005-0000-0000-00000D340000}"/>
    <cellStyle name="40% - Accent1 2 6 3" xfId="13279" xr:uid="{00000000-0005-0000-0000-00000E340000}"/>
    <cellStyle name="40% - Accent1 2 6 3 2" xfId="13280" xr:uid="{00000000-0005-0000-0000-00000F340000}"/>
    <cellStyle name="40% - Accent1 2 6 3 2 2" xfId="13281" xr:uid="{00000000-0005-0000-0000-000010340000}"/>
    <cellStyle name="40% - Accent1 2 6 3 2 2 2" xfId="13282" xr:uid="{00000000-0005-0000-0000-000011340000}"/>
    <cellStyle name="40% - Accent1 2 6 3 2 3" xfId="13283" xr:uid="{00000000-0005-0000-0000-000012340000}"/>
    <cellStyle name="40% - Accent1 2 6 3 3" xfId="13284" xr:uid="{00000000-0005-0000-0000-000013340000}"/>
    <cellStyle name="40% - Accent1 2 6 3 3 2" xfId="13285" xr:uid="{00000000-0005-0000-0000-000014340000}"/>
    <cellStyle name="40% - Accent1 2 6 3 4" xfId="13286" xr:uid="{00000000-0005-0000-0000-000015340000}"/>
    <cellStyle name="40% - Accent1 2 6 4" xfId="13287" xr:uid="{00000000-0005-0000-0000-000016340000}"/>
    <cellStyle name="40% - Accent1 2 6 4 2" xfId="13288" xr:uid="{00000000-0005-0000-0000-000017340000}"/>
    <cellStyle name="40% - Accent1 2 6 4 2 2" xfId="13289" xr:uid="{00000000-0005-0000-0000-000018340000}"/>
    <cellStyle name="40% - Accent1 2 6 4 3" xfId="13290" xr:uid="{00000000-0005-0000-0000-000019340000}"/>
    <cellStyle name="40% - Accent1 2 6 5" xfId="13291" xr:uid="{00000000-0005-0000-0000-00001A340000}"/>
    <cellStyle name="40% - Accent1 2 6 5 2" xfId="13292" xr:uid="{00000000-0005-0000-0000-00001B340000}"/>
    <cellStyle name="40% - Accent1 2 6 6" xfId="13293" xr:uid="{00000000-0005-0000-0000-00001C340000}"/>
    <cellStyle name="40% - Accent1 2 7" xfId="13294" xr:uid="{00000000-0005-0000-0000-00001D340000}"/>
    <cellStyle name="40% - Accent1 2 7 2" xfId="13295" xr:uid="{00000000-0005-0000-0000-00001E340000}"/>
    <cellStyle name="40% - Accent1 2 7 2 2" xfId="13296" xr:uid="{00000000-0005-0000-0000-00001F340000}"/>
    <cellStyle name="40% - Accent1 2 7 2 2 2" xfId="13297" xr:uid="{00000000-0005-0000-0000-000020340000}"/>
    <cellStyle name="40% - Accent1 2 7 2 2 2 2" xfId="13298" xr:uid="{00000000-0005-0000-0000-000021340000}"/>
    <cellStyle name="40% - Accent1 2 7 2 2 3" xfId="13299" xr:uid="{00000000-0005-0000-0000-000022340000}"/>
    <cellStyle name="40% - Accent1 2 7 2 3" xfId="13300" xr:uid="{00000000-0005-0000-0000-000023340000}"/>
    <cellStyle name="40% - Accent1 2 7 2 3 2" xfId="13301" xr:uid="{00000000-0005-0000-0000-000024340000}"/>
    <cellStyle name="40% - Accent1 2 7 2 4" xfId="13302" xr:uid="{00000000-0005-0000-0000-000025340000}"/>
    <cellStyle name="40% - Accent1 2 7 3" xfId="13303" xr:uid="{00000000-0005-0000-0000-000026340000}"/>
    <cellStyle name="40% - Accent1 2 7 3 2" xfId="13304" xr:uid="{00000000-0005-0000-0000-000027340000}"/>
    <cellStyle name="40% - Accent1 2 7 3 2 2" xfId="13305" xr:uid="{00000000-0005-0000-0000-000028340000}"/>
    <cellStyle name="40% - Accent1 2 7 3 3" xfId="13306" xr:uid="{00000000-0005-0000-0000-000029340000}"/>
    <cellStyle name="40% - Accent1 2 7 4" xfId="13307" xr:uid="{00000000-0005-0000-0000-00002A340000}"/>
    <cellStyle name="40% - Accent1 2 7 4 2" xfId="13308" xr:uid="{00000000-0005-0000-0000-00002B340000}"/>
    <cellStyle name="40% - Accent1 2 7 5" xfId="13309" xr:uid="{00000000-0005-0000-0000-00002C340000}"/>
    <cellStyle name="40% - Accent1 2 8" xfId="13310" xr:uid="{00000000-0005-0000-0000-00002D340000}"/>
    <cellStyle name="40% - Accent1 2 8 2" xfId="13311" xr:uid="{00000000-0005-0000-0000-00002E340000}"/>
    <cellStyle name="40% - Accent1 2 8 2 2" xfId="13312" xr:uid="{00000000-0005-0000-0000-00002F340000}"/>
    <cellStyle name="40% - Accent1 2 8 2 2 2" xfId="13313" xr:uid="{00000000-0005-0000-0000-000030340000}"/>
    <cellStyle name="40% - Accent1 2 8 2 3" xfId="13314" xr:uid="{00000000-0005-0000-0000-000031340000}"/>
    <cellStyle name="40% - Accent1 2 8 3" xfId="13315" xr:uid="{00000000-0005-0000-0000-000032340000}"/>
    <cellStyle name="40% - Accent1 2 8 3 2" xfId="13316" xr:uid="{00000000-0005-0000-0000-000033340000}"/>
    <cellStyle name="40% - Accent1 2 8 4" xfId="13317" xr:uid="{00000000-0005-0000-0000-000034340000}"/>
    <cellStyle name="40% - Accent1 2 9" xfId="13318" xr:uid="{00000000-0005-0000-0000-000035340000}"/>
    <cellStyle name="40% - Accent1 2 9 2" xfId="13319" xr:uid="{00000000-0005-0000-0000-000036340000}"/>
    <cellStyle name="40% - Accent1 2 9 2 2" xfId="13320" xr:uid="{00000000-0005-0000-0000-000037340000}"/>
    <cellStyle name="40% - Accent1 2 9 3" xfId="13321" xr:uid="{00000000-0005-0000-0000-000038340000}"/>
    <cellStyle name="40% - Accent1 3" xfId="13322" xr:uid="{00000000-0005-0000-0000-000039340000}"/>
    <cellStyle name="40% - Accent1 3 10" xfId="13323" xr:uid="{00000000-0005-0000-0000-00003A340000}"/>
    <cellStyle name="40% - Accent1 3 2" xfId="13324" xr:uid="{00000000-0005-0000-0000-00003B340000}"/>
    <cellStyle name="40% - Accent1 3 2 2" xfId="13325" xr:uid="{00000000-0005-0000-0000-00003C340000}"/>
    <cellStyle name="40% - Accent1 3 2 2 2" xfId="13326" xr:uid="{00000000-0005-0000-0000-00003D340000}"/>
    <cellStyle name="40% - Accent1 3 2 2 2 2" xfId="13327" xr:uid="{00000000-0005-0000-0000-00003E340000}"/>
    <cellStyle name="40% - Accent1 3 2 2 2 2 2" xfId="13328" xr:uid="{00000000-0005-0000-0000-00003F340000}"/>
    <cellStyle name="40% - Accent1 3 2 2 2 2 2 2" xfId="13329" xr:uid="{00000000-0005-0000-0000-000040340000}"/>
    <cellStyle name="40% - Accent1 3 2 2 2 2 2 2 2" xfId="13330" xr:uid="{00000000-0005-0000-0000-000041340000}"/>
    <cellStyle name="40% - Accent1 3 2 2 2 2 2 2 2 2" xfId="13331" xr:uid="{00000000-0005-0000-0000-000042340000}"/>
    <cellStyle name="40% - Accent1 3 2 2 2 2 2 2 2 2 2" xfId="13332" xr:uid="{00000000-0005-0000-0000-000043340000}"/>
    <cellStyle name="40% - Accent1 3 2 2 2 2 2 2 2 3" xfId="13333" xr:uid="{00000000-0005-0000-0000-000044340000}"/>
    <cellStyle name="40% - Accent1 3 2 2 2 2 2 2 3" xfId="13334" xr:uid="{00000000-0005-0000-0000-000045340000}"/>
    <cellStyle name="40% - Accent1 3 2 2 2 2 2 2 3 2" xfId="13335" xr:uid="{00000000-0005-0000-0000-000046340000}"/>
    <cellStyle name="40% - Accent1 3 2 2 2 2 2 2 4" xfId="13336" xr:uid="{00000000-0005-0000-0000-000047340000}"/>
    <cellStyle name="40% - Accent1 3 2 2 2 2 2 3" xfId="13337" xr:uid="{00000000-0005-0000-0000-000048340000}"/>
    <cellStyle name="40% - Accent1 3 2 2 2 2 2 3 2" xfId="13338" xr:uid="{00000000-0005-0000-0000-000049340000}"/>
    <cellStyle name="40% - Accent1 3 2 2 2 2 2 3 2 2" xfId="13339" xr:uid="{00000000-0005-0000-0000-00004A340000}"/>
    <cellStyle name="40% - Accent1 3 2 2 2 2 2 3 3" xfId="13340" xr:uid="{00000000-0005-0000-0000-00004B340000}"/>
    <cellStyle name="40% - Accent1 3 2 2 2 2 2 4" xfId="13341" xr:uid="{00000000-0005-0000-0000-00004C340000}"/>
    <cellStyle name="40% - Accent1 3 2 2 2 2 2 4 2" xfId="13342" xr:uid="{00000000-0005-0000-0000-00004D340000}"/>
    <cellStyle name="40% - Accent1 3 2 2 2 2 2 5" xfId="13343" xr:uid="{00000000-0005-0000-0000-00004E340000}"/>
    <cellStyle name="40% - Accent1 3 2 2 2 2 3" xfId="13344" xr:uid="{00000000-0005-0000-0000-00004F340000}"/>
    <cellStyle name="40% - Accent1 3 2 2 2 2 3 2" xfId="13345" xr:uid="{00000000-0005-0000-0000-000050340000}"/>
    <cellStyle name="40% - Accent1 3 2 2 2 2 3 2 2" xfId="13346" xr:uid="{00000000-0005-0000-0000-000051340000}"/>
    <cellStyle name="40% - Accent1 3 2 2 2 2 3 2 2 2" xfId="13347" xr:uid="{00000000-0005-0000-0000-000052340000}"/>
    <cellStyle name="40% - Accent1 3 2 2 2 2 3 2 3" xfId="13348" xr:uid="{00000000-0005-0000-0000-000053340000}"/>
    <cellStyle name="40% - Accent1 3 2 2 2 2 3 3" xfId="13349" xr:uid="{00000000-0005-0000-0000-000054340000}"/>
    <cellStyle name="40% - Accent1 3 2 2 2 2 3 3 2" xfId="13350" xr:uid="{00000000-0005-0000-0000-000055340000}"/>
    <cellStyle name="40% - Accent1 3 2 2 2 2 3 4" xfId="13351" xr:uid="{00000000-0005-0000-0000-000056340000}"/>
    <cellStyle name="40% - Accent1 3 2 2 2 2 4" xfId="13352" xr:uid="{00000000-0005-0000-0000-000057340000}"/>
    <cellStyle name="40% - Accent1 3 2 2 2 2 4 2" xfId="13353" xr:uid="{00000000-0005-0000-0000-000058340000}"/>
    <cellStyle name="40% - Accent1 3 2 2 2 2 4 2 2" xfId="13354" xr:uid="{00000000-0005-0000-0000-000059340000}"/>
    <cellStyle name="40% - Accent1 3 2 2 2 2 4 3" xfId="13355" xr:uid="{00000000-0005-0000-0000-00005A340000}"/>
    <cellStyle name="40% - Accent1 3 2 2 2 2 5" xfId="13356" xr:uid="{00000000-0005-0000-0000-00005B340000}"/>
    <cellStyle name="40% - Accent1 3 2 2 2 2 5 2" xfId="13357" xr:uid="{00000000-0005-0000-0000-00005C340000}"/>
    <cellStyle name="40% - Accent1 3 2 2 2 2 6" xfId="13358" xr:uid="{00000000-0005-0000-0000-00005D340000}"/>
    <cellStyle name="40% - Accent1 3 2 2 2 3" xfId="13359" xr:uid="{00000000-0005-0000-0000-00005E340000}"/>
    <cellStyle name="40% - Accent1 3 2 2 2 3 2" xfId="13360" xr:uid="{00000000-0005-0000-0000-00005F340000}"/>
    <cellStyle name="40% - Accent1 3 2 2 2 3 2 2" xfId="13361" xr:uid="{00000000-0005-0000-0000-000060340000}"/>
    <cellStyle name="40% - Accent1 3 2 2 2 3 2 2 2" xfId="13362" xr:uid="{00000000-0005-0000-0000-000061340000}"/>
    <cellStyle name="40% - Accent1 3 2 2 2 3 2 2 2 2" xfId="13363" xr:uid="{00000000-0005-0000-0000-000062340000}"/>
    <cellStyle name="40% - Accent1 3 2 2 2 3 2 2 3" xfId="13364" xr:uid="{00000000-0005-0000-0000-000063340000}"/>
    <cellStyle name="40% - Accent1 3 2 2 2 3 2 3" xfId="13365" xr:uid="{00000000-0005-0000-0000-000064340000}"/>
    <cellStyle name="40% - Accent1 3 2 2 2 3 2 3 2" xfId="13366" xr:uid="{00000000-0005-0000-0000-000065340000}"/>
    <cellStyle name="40% - Accent1 3 2 2 2 3 2 4" xfId="13367" xr:uid="{00000000-0005-0000-0000-000066340000}"/>
    <cellStyle name="40% - Accent1 3 2 2 2 3 3" xfId="13368" xr:uid="{00000000-0005-0000-0000-000067340000}"/>
    <cellStyle name="40% - Accent1 3 2 2 2 3 3 2" xfId="13369" xr:uid="{00000000-0005-0000-0000-000068340000}"/>
    <cellStyle name="40% - Accent1 3 2 2 2 3 3 2 2" xfId="13370" xr:uid="{00000000-0005-0000-0000-000069340000}"/>
    <cellStyle name="40% - Accent1 3 2 2 2 3 3 3" xfId="13371" xr:uid="{00000000-0005-0000-0000-00006A340000}"/>
    <cellStyle name="40% - Accent1 3 2 2 2 3 4" xfId="13372" xr:uid="{00000000-0005-0000-0000-00006B340000}"/>
    <cellStyle name="40% - Accent1 3 2 2 2 3 4 2" xfId="13373" xr:uid="{00000000-0005-0000-0000-00006C340000}"/>
    <cellStyle name="40% - Accent1 3 2 2 2 3 5" xfId="13374" xr:uid="{00000000-0005-0000-0000-00006D340000}"/>
    <cellStyle name="40% - Accent1 3 2 2 2 4" xfId="13375" xr:uid="{00000000-0005-0000-0000-00006E340000}"/>
    <cellStyle name="40% - Accent1 3 2 2 2 4 2" xfId="13376" xr:uid="{00000000-0005-0000-0000-00006F340000}"/>
    <cellStyle name="40% - Accent1 3 2 2 2 4 2 2" xfId="13377" xr:uid="{00000000-0005-0000-0000-000070340000}"/>
    <cellStyle name="40% - Accent1 3 2 2 2 4 2 2 2" xfId="13378" xr:uid="{00000000-0005-0000-0000-000071340000}"/>
    <cellStyle name="40% - Accent1 3 2 2 2 4 2 3" xfId="13379" xr:uid="{00000000-0005-0000-0000-000072340000}"/>
    <cellStyle name="40% - Accent1 3 2 2 2 4 3" xfId="13380" xr:uid="{00000000-0005-0000-0000-000073340000}"/>
    <cellStyle name="40% - Accent1 3 2 2 2 4 3 2" xfId="13381" xr:uid="{00000000-0005-0000-0000-000074340000}"/>
    <cellStyle name="40% - Accent1 3 2 2 2 4 4" xfId="13382" xr:uid="{00000000-0005-0000-0000-000075340000}"/>
    <cellStyle name="40% - Accent1 3 2 2 2 5" xfId="13383" xr:uid="{00000000-0005-0000-0000-000076340000}"/>
    <cellStyle name="40% - Accent1 3 2 2 2 5 2" xfId="13384" xr:uid="{00000000-0005-0000-0000-000077340000}"/>
    <cellStyle name="40% - Accent1 3 2 2 2 5 2 2" xfId="13385" xr:uid="{00000000-0005-0000-0000-000078340000}"/>
    <cellStyle name="40% - Accent1 3 2 2 2 5 3" xfId="13386" xr:uid="{00000000-0005-0000-0000-000079340000}"/>
    <cellStyle name="40% - Accent1 3 2 2 2 6" xfId="13387" xr:uid="{00000000-0005-0000-0000-00007A340000}"/>
    <cellStyle name="40% - Accent1 3 2 2 2 6 2" xfId="13388" xr:uid="{00000000-0005-0000-0000-00007B340000}"/>
    <cellStyle name="40% - Accent1 3 2 2 2 7" xfId="13389" xr:uid="{00000000-0005-0000-0000-00007C340000}"/>
    <cellStyle name="40% - Accent1 3 2 2 3" xfId="13390" xr:uid="{00000000-0005-0000-0000-00007D340000}"/>
    <cellStyle name="40% - Accent1 3 2 2 3 2" xfId="13391" xr:uid="{00000000-0005-0000-0000-00007E340000}"/>
    <cellStyle name="40% - Accent1 3 2 2 3 2 2" xfId="13392" xr:uid="{00000000-0005-0000-0000-00007F340000}"/>
    <cellStyle name="40% - Accent1 3 2 2 3 2 2 2" xfId="13393" xr:uid="{00000000-0005-0000-0000-000080340000}"/>
    <cellStyle name="40% - Accent1 3 2 2 3 2 2 2 2" xfId="13394" xr:uid="{00000000-0005-0000-0000-000081340000}"/>
    <cellStyle name="40% - Accent1 3 2 2 3 2 2 2 2 2" xfId="13395" xr:uid="{00000000-0005-0000-0000-000082340000}"/>
    <cellStyle name="40% - Accent1 3 2 2 3 2 2 2 3" xfId="13396" xr:uid="{00000000-0005-0000-0000-000083340000}"/>
    <cellStyle name="40% - Accent1 3 2 2 3 2 2 3" xfId="13397" xr:uid="{00000000-0005-0000-0000-000084340000}"/>
    <cellStyle name="40% - Accent1 3 2 2 3 2 2 3 2" xfId="13398" xr:uid="{00000000-0005-0000-0000-000085340000}"/>
    <cellStyle name="40% - Accent1 3 2 2 3 2 2 4" xfId="13399" xr:uid="{00000000-0005-0000-0000-000086340000}"/>
    <cellStyle name="40% - Accent1 3 2 2 3 2 3" xfId="13400" xr:uid="{00000000-0005-0000-0000-000087340000}"/>
    <cellStyle name="40% - Accent1 3 2 2 3 2 3 2" xfId="13401" xr:uid="{00000000-0005-0000-0000-000088340000}"/>
    <cellStyle name="40% - Accent1 3 2 2 3 2 3 2 2" xfId="13402" xr:uid="{00000000-0005-0000-0000-000089340000}"/>
    <cellStyle name="40% - Accent1 3 2 2 3 2 3 3" xfId="13403" xr:uid="{00000000-0005-0000-0000-00008A340000}"/>
    <cellStyle name="40% - Accent1 3 2 2 3 2 4" xfId="13404" xr:uid="{00000000-0005-0000-0000-00008B340000}"/>
    <cellStyle name="40% - Accent1 3 2 2 3 2 4 2" xfId="13405" xr:uid="{00000000-0005-0000-0000-00008C340000}"/>
    <cellStyle name="40% - Accent1 3 2 2 3 2 5" xfId="13406" xr:uid="{00000000-0005-0000-0000-00008D340000}"/>
    <cellStyle name="40% - Accent1 3 2 2 3 3" xfId="13407" xr:uid="{00000000-0005-0000-0000-00008E340000}"/>
    <cellStyle name="40% - Accent1 3 2 2 3 3 2" xfId="13408" xr:uid="{00000000-0005-0000-0000-00008F340000}"/>
    <cellStyle name="40% - Accent1 3 2 2 3 3 2 2" xfId="13409" xr:uid="{00000000-0005-0000-0000-000090340000}"/>
    <cellStyle name="40% - Accent1 3 2 2 3 3 2 2 2" xfId="13410" xr:uid="{00000000-0005-0000-0000-000091340000}"/>
    <cellStyle name="40% - Accent1 3 2 2 3 3 2 3" xfId="13411" xr:uid="{00000000-0005-0000-0000-000092340000}"/>
    <cellStyle name="40% - Accent1 3 2 2 3 3 3" xfId="13412" xr:uid="{00000000-0005-0000-0000-000093340000}"/>
    <cellStyle name="40% - Accent1 3 2 2 3 3 3 2" xfId="13413" xr:uid="{00000000-0005-0000-0000-000094340000}"/>
    <cellStyle name="40% - Accent1 3 2 2 3 3 4" xfId="13414" xr:uid="{00000000-0005-0000-0000-000095340000}"/>
    <cellStyle name="40% - Accent1 3 2 2 3 4" xfId="13415" xr:uid="{00000000-0005-0000-0000-000096340000}"/>
    <cellStyle name="40% - Accent1 3 2 2 3 4 2" xfId="13416" xr:uid="{00000000-0005-0000-0000-000097340000}"/>
    <cellStyle name="40% - Accent1 3 2 2 3 4 2 2" xfId="13417" xr:uid="{00000000-0005-0000-0000-000098340000}"/>
    <cellStyle name="40% - Accent1 3 2 2 3 4 3" xfId="13418" xr:uid="{00000000-0005-0000-0000-000099340000}"/>
    <cellStyle name="40% - Accent1 3 2 2 3 5" xfId="13419" xr:uid="{00000000-0005-0000-0000-00009A340000}"/>
    <cellStyle name="40% - Accent1 3 2 2 3 5 2" xfId="13420" xr:uid="{00000000-0005-0000-0000-00009B340000}"/>
    <cellStyle name="40% - Accent1 3 2 2 3 6" xfId="13421" xr:uid="{00000000-0005-0000-0000-00009C340000}"/>
    <cellStyle name="40% - Accent1 3 2 2 4" xfId="13422" xr:uid="{00000000-0005-0000-0000-00009D340000}"/>
    <cellStyle name="40% - Accent1 3 2 2 4 2" xfId="13423" xr:uid="{00000000-0005-0000-0000-00009E340000}"/>
    <cellStyle name="40% - Accent1 3 2 2 4 2 2" xfId="13424" xr:uid="{00000000-0005-0000-0000-00009F340000}"/>
    <cellStyle name="40% - Accent1 3 2 2 4 2 2 2" xfId="13425" xr:uid="{00000000-0005-0000-0000-0000A0340000}"/>
    <cellStyle name="40% - Accent1 3 2 2 4 2 2 2 2" xfId="13426" xr:uid="{00000000-0005-0000-0000-0000A1340000}"/>
    <cellStyle name="40% - Accent1 3 2 2 4 2 2 3" xfId="13427" xr:uid="{00000000-0005-0000-0000-0000A2340000}"/>
    <cellStyle name="40% - Accent1 3 2 2 4 2 3" xfId="13428" xr:uid="{00000000-0005-0000-0000-0000A3340000}"/>
    <cellStyle name="40% - Accent1 3 2 2 4 2 3 2" xfId="13429" xr:uid="{00000000-0005-0000-0000-0000A4340000}"/>
    <cellStyle name="40% - Accent1 3 2 2 4 2 4" xfId="13430" xr:uid="{00000000-0005-0000-0000-0000A5340000}"/>
    <cellStyle name="40% - Accent1 3 2 2 4 3" xfId="13431" xr:uid="{00000000-0005-0000-0000-0000A6340000}"/>
    <cellStyle name="40% - Accent1 3 2 2 4 3 2" xfId="13432" xr:uid="{00000000-0005-0000-0000-0000A7340000}"/>
    <cellStyle name="40% - Accent1 3 2 2 4 3 2 2" xfId="13433" xr:uid="{00000000-0005-0000-0000-0000A8340000}"/>
    <cellStyle name="40% - Accent1 3 2 2 4 3 3" xfId="13434" xr:uid="{00000000-0005-0000-0000-0000A9340000}"/>
    <cellStyle name="40% - Accent1 3 2 2 4 4" xfId="13435" xr:uid="{00000000-0005-0000-0000-0000AA340000}"/>
    <cellStyle name="40% - Accent1 3 2 2 4 4 2" xfId="13436" xr:uid="{00000000-0005-0000-0000-0000AB340000}"/>
    <cellStyle name="40% - Accent1 3 2 2 4 5" xfId="13437" xr:uid="{00000000-0005-0000-0000-0000AC340000}"/>
    <cellStyle name="40% - Accent1 3 2 2 5" xfId="13438" xr:uid="{00000000-0005-0000-0000-0000AD340000}"/>
    <cellStyle name="40% - Accent1 3 2 2 5 2" xfId="13439" xr:uid="{00000000-0005-0000-0000-0000AE340000}"/>
    <cellStyle name="40% - Accent1 3 2 2 5 2 2" xfId="13440" xr:uid="{00000000-0005-0000-0000-0000AF340000}"/>
    <cellStyle name="40% - Accent1 3 2 2 5 2 2 2" xfId="13441" xr:uid="{00000000-0005-0000-0000-0000B0340000}"/>
    <cellStyle name="40% - Accent1 3 2 2 5 2 3" xfId="13442" xr:uid="{00000000-0005-0000-0000-0000B1340000}"/>
    <cellStyle name="40% - Accent1 3 2 2 5 3" xfId="13443" xr:uid="{00000000-0005-0000-0000-0000B2340000}"/>
    <cellStyle name="40% - Accent1 3 2 2 5 3 2" xfId="13444" xr:uid="{00000000-0005-0000-0000-0000B3340000}"/>
    <cellStyle name="40% - Accent1 3 2 2 5 4" xfId="13445" xr:uid="{00000000-0005-0000-0000-0000B4340000}"/>
    <cellStyle name="40% - Accent1 3 2 2 6" xfId="13446" xr:uid="{00000000-0005-0000-0000-0000B5340000}"/>
    <cellStyle name="40% - Accent1 3 2 2 6 2" xfId="13447" xr:uid="{00000000-0005-0000-0000-0000B6340000}"/>
    <cellStyle name="40% - Accent1 3 2 2 6 2 2" xfId="13448" xr:uid="{00000000-0005-0000-0000-0000B7340000}"/>
    <cellStyle name="40% - Accent1 3 2 2 6 3" xfId="13449" xr:uid="{00000000-0005-0000-0000-0000B8340000}"/>
    <cellStyle name="40% - Accent1 3 2 2 7" xfId="13450" xr:uid="{00000000-0005-0000-0000-0000B9340000}"/>
    <cellStyle name="40% - Accent1 3 2 2 7 2" xfId="13451" xr:uid="{00000000-0005-0000-0000-0000BA340000}"/>
    <cellStyle name="40% - Accent1 3 2 2 8" xfId="13452" xr:uid="{00000000-0005-0000-0000-0000BB340000}"/>
    <cellStyle name="40% - Accent1 3 2 3" xfId="13453" xr:uid="{00000000-0005-0000-0000-0000BC340000}"/>
    <cellStyle name="40% - Accent1 3 2 3 2" xfId="13454" xr:uid="{00000000-0005-0000-0000-0000BD340000}"/>
    <cellStyle name="40% - Accent1 3 2 3 2 2" xfId="13455" xr:uid="{00000000-0005-0000-0000-0000BE340000}"/>
    <cellStyle name="40% - Accent1 3 2 3 2 2 2" xfId="13456" xr:uid="{00000000-0005-0000-0000-0000BF340000}"/>
    <cellStyle name="40% - Accent1 3 2 3 2 2 2 2" xfId="13457" xr:uid="{00000000-0005-0000-0000-0000C0340000}"/>
    <cellStyle name="40% - Accent1 3 2 3 2 2 2 2 2" xfId="13458" xr:uid="{00000000-0005-0000-0000-0000C1340000}"/>
    <cellStyle name="40% - Accent1 3 2 3 2 2 2 2 2 2" xfId="13459" xr:uid="{00000000-0005-0000-0000-0000C2340000}"/>
    <cellStyle name="40% - Accent1 3 2 3 2 2 2 2 3" xfId="13460" xr:uid="{00000000-0005-0000-0000-0000C3340000}"/>
    <cellStyle name="40% - Accent1 3 2 3 2 2 2 3" xfId="13461" xr:uid="{00000000-0005-0000-0000-0000C4340000}"/>
    <cellStyle name="40% - Accent1 3 2 3 2 2 2 3 2" xfId="13462" xr:uid="{00000000-0005-0000-0000-0000C5340000}"/>
    <cellStyle name="40% - Accent1 3 2 3 2 2 2 4" xfId="13463" xr:uid="{00000000-0005-0000-0000-0000C6340000}"/>
    <cellStyle name="40% - Accent1 3 2 3 2 2 3" xfId="13464" xr:uid="{00000000-0005-0000-0000-0000C7340000}"/>
    <cellStyle name="40% - Accent1 3 2 3 2 2 3 2" xfId="13465" xr:uid="{00000000-0005-0000-0000-0000C8340000}"/>
    <cellStyle name="40% - Accent1 3 2 3 2 2 3 2 2" xfId="13466" xr:uid="{00000000-0005-0000-0000-0000C9340000}"/>
    <cellStyle name="40% - Accent1 3 2 3 2 2 3 3" xfId="13467" xr:uid="{00000000-0005-0000-0000-0000CA340000}"/>
    <cellStyle name="40% - Accent1 3 2 3 2 2 4" xfId="13468" xr:uid="{00000000-0005-0000-0000-0000CB340000}"/>
    <cellStyle name="40% - Accent1 3 2 3 2 2 4 2" xfId="13469" xr:uid="{00000000-0005-0000-0000-0000CC340000}"/>
    <cellStyle name="40% - Accent1 3 2 3 2 2 5" xfId="13470" xr:uid="{00000000-0005-0000-0000-0000CD340000}"/>
    <cellStyle name="40% - Accent1 3 2 3 2 3" xfId="13471" xr:uid="{00000000-0005-0000-0000-0000CE340000}"/>
    <cellStyle name="40% - Accent1 3 2 3 2 3 2" xfId="13472" xr:uid="{00000000-0005-0000-0000-0000CF340000}"/>
    <cellStyle name="40% - Accent1 3 2 3 2 3 2 2" xfId="13473" xr:uid="{00000000-0005-0000-0000-0000D0340000}"/>
    <cellStyle name="40% - Accent1 3 2 3 2 3 2 2 2" xfId="13474" xr:uid="{00000000-0005-0000-0000-0000D1340000}"/>
    <cellStyle name="40% - Accent1 3 2 3 2 3 2 3" xfId="13475" xr:uid="{00000000-0005-0000-0000-0000D2340000}"/>
    <cellStyle name="40% - Accent1 3 2 3 2 3 3" xfId="13476" xr:uid="{00000000-0005-0000-0000-0000D3340000}"/>
    <cellStyle name="40% - Accent1 3 2 3 2 3 3 2" xfId="13477" xr:uid="{00000000-0005-0000-0000-0000D4340000}"/>
    <cellStyle name="40% - Accent1 3 2 3 2 3 4" xfId="13478" xr:uid="{00000000-0005-0000-0000-0000D5340000}"/>
    <cellStyle name="40% - Accent1 3 2 3 2 4" xfId="13479" xr:uid="{00000000-0005-0000-0000-0000D6340000}"/>
    <cellStyle name="40% - Accent1 3 2 3 2 4 2" xfId="13480" xr:uid="{00000000-0005-0000-0000-0000D7340000}"/>
    <cellStyle name="40% - Accent1 3 2 3 2 4 2 2" xfId="13481" xr:uid="{00000000-0005-0000-0000-0000D8340000}"/>
    <cellStyle name="40% - Accent1 3 2 3 2 4 3" xfId="13482" xr:uid="{00000000-0005-0000-0000-0000D9340000}"/>
    <cellStyle name="40% - Accent1 3 2 3 2 5" xfId="13483" xr:uid="{00000000-0005-0000-0000-0000DA340000}"/>
    <cellStyle name="40% - Accent1 3 2 3 2 5 2" xfId="13484" xr:uid="{00000000-0005-0000-0000-0000DB340000}"/>
    <cellStyle name="40% - Accent1 3 2 3 2 6" xfId="13485" xr:uid="{00000000-0005-0000-0000-0000DC340000}"/>
    <cellStyle name="40% - Accent1 3 2 3 3" xfId="13486" xr:uid="{00000000-0005-0000-0000-0000DD340000}"/>
    <cellStyle name="40% - Accent1 3 2 3 3 2" xfId="13487" xr:uid="{00000000-0005-0000-0000-0000DE340000}"/>
    <cellStyle name="40% - Accent1 3 2 3 3 2 2" xfId="13488" xr:uid="{00000000-0005-0000-0000-0000DF340000}"/>
    <cellStyle name="40% - Accent1 3 2 3 3 2 2 2" xfId="13489" xr:uid="{00000000-0005-0000-0000-0000E0340000}"/>
    <cellStyle name="40% - Accent1 3 2 3 3 2 2 2 2" xfId="13490" xr:uid="{00000000-0005-0000-0000-0000E1340000}"/>
    <cellStyle name="40% - Accent1 3 2 3 3 2 2 3" xfId="13491" xr:uid="{00000000-0005-0000-0000-0000E2340000}"/>
    <cellStyle name="40% - Accent1 3 2 3 3 2 3" xfId="13492" xr:uid="{00000000-0005-0000-0000-0000E3340000}"/>
    <cellStyle name="40% - Accent1 3 2 3 3 2 3 2" xfId="13493" xr:uid="{00000000-0005-0000-0000-0000E4340000}"/>
    <cellStyle name="40% - Accent1 3 2 3 3 2 4" xfId="13494" xr:uid="{00000000-0005-0000-0000-0000E5340000}"/>
    <cellStyle name="40% - Accent1 3 2 3 3 3" xfId="13495" xr:uid="{00000000-0005-0000-0000-0000E6340000}"/>
    <cellStyle name="40% - Accent1 3 2 3 3 3 2" xfId="13496" xr:uid="{00000000-0005-0000-0000-0000E7340000}"/>
    <cellStyle name="40% - Accent1 3 2 3 3 3 2 2" xfId="13497" xr:uid="{00000000-0005-0000-0000-0000E8340000}"/>
    <cellStyle name="40% - Accent1 3 2 3 3 3 3" xfId="13498" xr:uid="{00000000-0005-0000-0000-0000E9340000}"/>
    <cellStyle name="40% - Accent1 3 2 3 3 4" xfId="13499" xr:uid="{00000000-0005-0000-0000-0000EA340000}"/>
    <cellStyle name="40% - Accent1 3 2 3 3 4 2" xfId="13500" xr:uid="{00000000-0005-0000-0000-0000EB340000}"/>
    <cellStyle name="40% - Accent1 3 2 3 3 5" xfId="13501" xr:uid="{00000000-0005-0000-0000-0000EC340000}"/>
    <cellStyle name="40% - Accent1 3 2 3 4" xfId="13502" xr:uid="{00000000-0005-0000-0000-0000ED340000}"/>
    <cellStyle name="40% - Accent1 3 2 3 4 2" xfId="13503" xr:uid="{00000000-0005-0000-0000-0000EE340000}"/>
    <cellStyle name="40% - Accent1 3 2 3 4 2 2" xfId="13504" xr:uid="{00000000-0005-0000-0000-0000EF340000}"/>
    <cellStyle name="40% - Accent1 3 2 3 4 2 2 2" xfId="13505" xr:uid="{00000000-0005-0000-0000-0000F0340000}"/>
    <cellStyle name="40% - Accent1 3 2 3 4 2 3" xfId="13506" xr:uid="{00000000-0005-0000-0000-0000F1340000}"/>
    <cellStyle name="40% - Accent1 3 2 3 4 3" xfId="13507" xr:uid="{00000000-0005-0000-0000-0000F2340000}"/>
    <cellStyle name="40% - Accent1 3 2 3 4 3 2" xfId="13508" xr:uid="{00000000-0005-0000-0000-0000F3340000}"/>
    <cellStyle name="40% - Accent1 3 2 3 4 4" xfId="13509" xr:uid="{00000000-0005-0000-0000-0000F4340000}"/>
    <cellStyle name="40% - Accent1 3 2 3 5" xfId="13510" xr:uid="{00000000-0005-0000-0000-0000F5340000}"/>
    <cellStyle name="40% - Accent1 3 2 3 5 2" xfId="13511" xr:uid="{00000000-0005-0000-0000-0000F6340000}"/>
    <cellStyle name="40% - Accent1 3 2 3 5 2 2" xfId="13512" xr:uid="{00000000-0005-0000-0000-0000F7340000}"/>
    <cellStyle name="40% - Accent1 3 2 3 5 3" xfId="13513" xr:uid="{00000000-0005-0000-0000-0000F8340000}"/>
    <cellStyle name="40% - Accent1 3 2 3 6" xfId="13514" xr:uid="{00000000-0005-0000-0000-0000F9340000}"/>
    <cellStyle name="40% - Accent1 3 2 3 6 2" xfId="13515" xr:uid="{00000000-0005-0000-0000-0000FA340000}"/>
    <cellStyle name="40% - Accent1 3 2 3 7" xfId="13516" xr:uid="{00000000-0005-0000-0000-0000FB340000}"/>
    <cellStyle name="40% - Accent1 3 2 4" xfId="13517" xr:uid="{00000000-0005-0000-0000-0000FC340000}"/>
    <cellStyle name="40% - Accent1 3 2 4 2" xfId="13518" xr:uid="{00000000-0005-0000-0000-0000FD340000}"/>
    <cellStyle name="40% - Accent1 3 2 4 2 2" xfId="13519" xr:uid="{00000000-0005-0000-0000-0000FE340000}"/>
    <cellStyle name="40% - Accent1 3 2 4 2 2 2" xfId="13520" xr:uid="{00000000-0005-0000-0000-0000FF340000}"/>
    <cellStyle name="40% - Accent1 3 2 4 2 2 2 2" xfId="13521" xr:uid="{00000000-0005-0000-0000-000000350000}"/>
    <cellStyle name="40% - Accent1 3 2 4 2 2 2 2 2" xfId="13522" xr:uid="{00000000-0005-0000-0000-000001350000}"/>
    <cellStyle name="40% - Accent1 3 2 4 2 2 2 3" xfId="13523" xr:uid="{00000000-0005-0000-0000-000002350000}"/>
    <cellStyle name="40% - Accent1 3 2 4 2 2 3" xfId="13524" xr:uid="{00000000-0005-0000-0000-000003350000}"/>
    <cellStyle name="40% - Accent1 3 2 4 2 2 3 2" xfId="13525" xr:uid="{00000000-0005-0000-0000-000004350000}"/>
    <cellStyle name="40% - Accent1 3 2 4 2 2 4" xfId="13526" xr:uid="{00000000-0005-0000-0000-000005350000}"/>
    <cellStyle name="40% - Accent1 3 2 4 2 3" xfId="13527" xr:uid="{00000000-0005-0000-0000-000006350000}"/>
    <cellStyle name="40% - Accent1 3 2 4 2 3 2" xfId="13528" xr:uid="{00000000-0005-0000-0000-000007350000}"/>
    <cellStyle name="40% - Accent1 3 2 4 2 3 2 2" xfId="13529" xr:uid="{00000000-0005-0000-0000-000008350000}"/>
    <cellStyle name="40% - Accent1 3 2 4 2 3 3" xfId="13530" xr:uid="{00000000-0005-0000-0000-000009350000}"/>
    <cellStyle name="40% - Accent1 3 2 4 2 4" xfId="13531" xr:uid="{00000000-0005-0000-0000-00000A350000}"/>
    <cellStyle name="40% - Accent1 3 2 4 2 4 2" xfId="13532" xr:uid="{00000000-0005-0000-0000-00000B350000}"/>
    <cellStyle name="40% - Accent1 3 2 4 2 5" xfId="13533" xr:uid="{00000000-0005-0000-0000-00000C350000}"/>
    <cellStyle name="40% - Accent1 3 2 4 3" xfId="13534" xr:uid="{00000000-0005-0000-0000-00000D350000}"/>
    <cellStyle name="40% - Accent1 3 2 4 3 2" xfId="13535" xr:uid="{00000000-0005-0000-0000-00000E350000}"/>
    <cellStyle name="40% - Accent1 3 2 4 3 2 2" xfId="13536" xr:uid="{00000000-0005-0000-0000-00000F350000}"/>
    <cellStyle name="40% - Accent1 3 2 4 3 2 2 2" xfId="13537" xr:uid="{00000000-0005-0000-0000-000010350000}"/>
    <cellStyle name="40% - Accent1 3 2 4 3 2 3" xfId="13538" xr:uid="{00000000-0005-0000-0000-000011350000}"/>
    <cellStyle name="40% - Accent1 3 2 4 3 3" xfId="13539" xr:uid="{00000000-0005-0000-0000-000012350000}"/>
    <cellStyle name="40% - Accent1 3 2 4 3 3 2" xfId="13540" xr:uid="{00000000-0005-0000-0000-000013350000}"/>
    <cellStyle name="40% - Accent1 3 2 4 3 4" xfId="13541" xr:uid="{00000000-0005-0000-0000-000014350000}"/>
    <cellStyle name="40% - Accent1 3 2 4 4" xfId="13542" xr:uid="{00000000-0005-0000-0000-000015350000}"/>
    <cellStyle name="40% - Accent1 3 2 4 4 2" xfId="13543" xr:uid="{00000000-0005-0000-0000-000016350000}"/>
    <cellStyle name="40% - Accent1 3 2 4 4 2 2" xfId="13544" xr:uid="{00000000-0005-0000-0000-000017350000}"/>
    <cellStyle name="40% - Accent1 3 2 4 4 3" xfId="13545" xr:uid="{00000000-0005-0000-0000-000018350000}"/>
    <cellStyle name="40% - Accent1 3 2 4 5" xfId="13546" xr:uid="{00000000-0005-0000-0000-000019350000}"/>
    <cellStyle name="40% - Accent1 3 2 4 5 2" xfId="13547" xr:uid="{00000000-0005-0000-0000-00001A350000}"/>
    <cellStyle name="40% - Accent1 3 2 4 6" xfId="13548" xr:uid="{00000000-0005-0000-0000-00001B350000}"/>
    <cellStyle name="40% - Accent1 3 2 5" xfId="13549" xr:uid="{00000000-0005-0000-0000-00001C350000}"/>
    <cellStyle name="40% - Accent1 3 2 5 2" xfId="13550" xr:uid="{00000000-0005-0000-0000-00001D350000}"/>
    <cellStyle name="40% - Accent1 3 2 5 2 2" xfId="13551" xr:uid="{00000000-0005-0000-0000-00001E350000}"/>
    <cellStyle name="40% - Accent1 3 2 5 2 2 2" xfId="13552" xr:uid="{00000000-0005-0000-0000-00001F350000}"/>
    <cellStyle name="40% - Accent1 3 2 5 2 2 2 2" xfId="13553" xr:uid="{00000000-0005-0000-0000-000020350000}"/>
    <cellStyle name="40% - Accent1 3 2 5 2 2 3" xfId="13554" xr:uid="{00000000-0005-0000-0000-000021350000}"/>
    <cellStyle name="40% - Accent1 3 2 5 2 3" xfId="13555" xr:uid="{00000000-0005-0000-0000-000022350000}"/>
    <cellStyle name="40% - Accent1 3 2 5 2 3 2" xfId="13556" xr:uid="{00000000-0005-0000-0000-000023350000}"/>
    <cellStyle name="40% - Accent1 3 2 5 2 4" xfId="13557" xr:uid="{00000000-0005-0000-0000-000024350000}"/>
    <cellStyle name="40% - Accent1 3 2 5 3" xfId="13558" xr:uid="{00000000-0005-0000-0000-000025350000}"/>
    <cellStyle name="40% - Accent1 3 2 5 3 2" xfId="13559" xr:uid="{00000000-0005-0000-0000-000026350000}"/>
    <cellStyle name="40% - Accent1 3 2 5 3 2 2" xfId="13560" xr:uid="{00000000-0005-0000-0000-000027350000}"/>
    <cellStyle name="40% - Accent1 3 2 5 3 3" xfId="13561" xr:uid="{00000000-0005-0000-0000-000028350000}"/>
    <cellStyle name="40% - Accent1 3 2 5 4" xfId="13562" xr:uid="{00000000-0005-0000-0000-000029350000}"/>
    <cellStyle name="40% - Accent1 3 2 5 4 2" xfId="13563" xr:uid="{00000000-0005-0000-0000-00002A350000}"/>
    <cellStyle name="40% - Accent1 3 2 5 5" xfId="13564" xr:uid="{00000000-0005-0000-0000-00002B350000}"/>
    <cellStyle name="40% - Accent1 3 2 6" xfId="13565" xr:uid="{00000000-0005-0000-0000-00002C350000}"/>
    <cellStyle name="40% - Accent1 3 2 6 2" xfId="13566" xr:uid="{00000000-0005-0000-0000-00002D350000}"/>
    <cellStyle name="40% - Accent1 3 2 6 2 2" xfId="13567" xr:uid="{00000000-0005-0000-0000-00002E350000}"/>
    <cellStyle name="40% - Accent1 3 2 6 2 2 2" xfId="13568" xr:uid="{00000000-0005-0000-0000-00002F350000}"/>
    <cellStyle name="40% - Accent1 3 2 6 2 3" xfId="13569" xr:uid="{00000000-0005-0000-0000-000030350000}"/>
    <cellStyle name="40% - Accent1 3 2 6 3" xfId="13570" xr:uid="{00000000-0005-0000-0000-000031350000}"/>
    <cellStyle name="40% - Accent1 3 2 6 3 2" xfId="13571" xr:uid="{00000000-0005-0000-0000-000032350000}"/>
    <cellStyle name="40% - Accent1 3 2 6 4" xfId="13572" xr:uid="{00000000-0005-0000-0000-000033350000}"/>
    <cellStyle name="40% - Accent1 3 2 7" xfId="13573" xr:uid="{00000000-0005-0000-0000-000034350000}"/>
    <cellStyle name="40% - Accent1 3 2 7 2" xfId="13574" xr:uid="{00000000-0005-0000-0000-000035350000}"/>
    <cellStyle name="40% - Accent1 3 2 7 2 2" xfId="13575" xr:uid="{00000000-0005-0000-0000-000036350000}"/>
    <cellStyle name="40% - Accent1 3 2 7 3" xfId="13576" xr:uid="{00000000-0005-0000-0000-000037350000}"/>
    <cellStyle name="40% - Accent1 3 2 8" xfId="13577" xr:uid="{00000000-0005-0000-0000-000038350000}"/>
    <cellStyle name="40% - Accent1 3 2 8 2" xfId="13578" xr:uid="{00000000-0005-0000-0000-000039350000}"/>
    <cellStyle name="40% - Accent1 3 2 9" xfId="13579" xr:uid="{00000000-0005-0000-0000-00003A350000}"/>
    <cellStyle name="40% - Accent1 3 3" xfId="13580" xr:uid="{00000000-0005-0000-0000-00003B350000}"/>
    <cellStyle name="40% - Accent1 3 3 2" xfId="13581" xr:uid="{00000000-0005-0000-0000-00003C350000}"/>
    <cellStyle name="40% - Accent1 3 3 2 2" xfId="13582" xr:uid="{00000000-0005-0000-0000-00003D350000}"/>
    <cellStyle name="40% - Accent1 3 3 2 2 2" xfId="13583" xr:uid="{00000000-0005-0000-0000-00003E350000}"/>
    <cellStyle name="40% - Accent1 3 3 2 2 2 2" xfId="13584" xr:uid="{00000000-0005-0000-0000-00003F350000}"/>
    <cellStyle name="40% - Accent1 3 3 2 2 2 2 2" xfId="13585" xr:uid="{00000000-0005-0000-0000-000040350000}"/>
    <cellStyle name="40% - Accent1 3 3 2 2 2 2 2 2" xfId="13586" xr:uid="{00000000-0005-0000-0000-000041350000}"/>
    <cellStyle name="40% - Accent1 3 3 2 2 2 2 2 2 2" xfId="13587" xr:uid="{00000000-0005-0000-0000-000042350000}"/>
    <cellStyle name="40% - Accent1 3 3 2 2 2 2 2 3" xfId="13588" xr:uid="{00000000-0005-0000-0000-000043350000}"/>
    <cellStyle name="40% - Accent1 3 3 2 2 2 2 3" xfId="13589" xr:uid="{00000000-0005-0000-0000-000044350000}"/>
    <cellStyle name="40% - Accent1 3 3 2 2 2 2 3 2" xfId="13590" xr:uid="{00000000-0005-0000-0000-000045350000}"/>
    <cellStyle name="40% - Accent1 3 3 2 2 2 2 4" xfId="13591" xr:uid="{00000000-0005-0000-0000-000046350000}"/>
    <cellStyle name="40% - Accent1 3 3 2 2 2 3" xfId="13592" xr:uid="{00000000-0005-0000-0000-000047350000}"/>
    <cellStyle name="40% - Accent1 3 3 2 2 2 3 2" xfId="13593" xr:uid="{00000000-0005-0000-0000-000048350000}"/>
    <cellStyle name="40% - Accent1 3 3 2 2 2 3 2 2" xfId="13594" xr:uid="{00000000-0005-0000-0000-000049350000}"/>
    <cellStyle name="40% - Accent1 3 3 2 2 2 3 3" xfId="13595" xr:uid="{00000000-0005-0000-0000-00004A350000}"/>
    <cellStyle name="40% - Accent1 3 3 2 2 2 4" xfId="13596" xr:uid="{00000000-0005-0000-0000-00004B350000}"/>
    <cellStyle name="40% - Accent1 3 3 2 2 2 4 2" xfId="13597" xr:uid="{00000000-0005-0000-0000-00004C350000}"/>
    <cellStyle name="40% - Accent1 3 3 2 2 2 5" xfId="13598" xr:uid="{00000000-0005-0000-0000-00004D350000}"/>
    <cellStyle name="40% - Accent1 3 3 2 2 3" xfId="13599" xr:uid="{00000000-0005-0000-0000-00004E350000}"/>
    <cellStyle name="40% - Accent1 3 3 2 2 3 2" xfId="13600" xr:uid="{00000000-0005-0000-0000-00004F350000}"/>
    <cellStyle name="40% - Accent1 3 3 2 2 3 2 2" xfId="13601" xr:uid="{00000000-0005-0000-0000-000050350000}"/>
    <cellStyle name="40% - Accent1 3 3 2 2 3 2 2 2" xfId="13602" xr:uid="{00000000-0005-0000-0000-000051350000}"/>
    <cellStyle name="40% - Accent1 3 3 2 2 3 2 3" xfId="13603" xr:uid="{00000000-0005-0000-0000-000052350000}"/>
    <cellStyle name="40% - Accent1 3 3 2 2 3 3" xfId="13604" xr:uid="{00000000-0005-0000-0000-000053350000}"/>
    <cellStyle name="40% - Accent1 3 3 2 2 3 3 2" xfId="13605" xr:uid="{00000000-0005-0000-0000-000054350000}"/>
    <cellStyle name="40% - Accent1 3 3 2 2 3 4" xfId="13606" xr:uid="{00000000-0005-0000-0000-000055350000}"/>
    <cellStyle name="40% - Accent1 3 3 2 2 4" xfId="13607" xr:uid="{00000000-0005-0000-0000-000056350000}"/>
    <cellStyle name="40% - Accent1 3 3 2 2 4 2" xfId="13608" xr:uid="{00000000-0005-0000-0000-000057350000}"/>
    <cellStyle name="40% - Accent1 3 3 2 2 4 2 2" xfId="13609" xr:uid="{00000000-0005-0000-0000-000058350000}"/>
    <cellStyle name="40% - Accent1 3 3 2 2 4 3" xfId="13610" xr:uid="{00000000-0005-0000-0000-000059350000}"/>
    <cellStyle name="40% - Accent1 3 3 2 2 5" xfId="13611" xr:uid="{00000000-0005-0000-0000-00005A350000}"/>
    <cellStyle name="40% - Accent1 3 3 2 2 5 2" xfId="13612" xr:uid="{00000000-0005-0000-0000-00005B350000}"/>
    <cellStyle name="40% - Accent1 3 3 2 2 6" xfId="13613" xr:uid="{00000000-0005-0000-0000-00005C350000}"/>
    <cellStyle name="40% - Accent1 3 3 2 3" xfId="13614" xr:uid="{00000000-0005-0000-0000-00005D350000}"/>
    <cellStyle name="40% - Accent1 3 3 2 3 2" xfId="13615" xr:uid="{00000000-0005-0000-0000-00005E350000}"/>
    <cellStyle name="40% - Accent1 3 3 2 3 2 2" xfId="13616" xr:uid="{00000000-0005-0000-0000-00005F350000}"/>
    <cellStyle name="40% - Accent1 3 3 2 3 2 2 2" xfId="13617" xr:uid="{00000000-0005-0000-0000-000060350000}"/>
    <cellStyle name="40% - Accent1 3 3 2 3 2 2 2 2" xfId="13618" xr:uid="{00000000-0005-0000-0000-000061350000}"/>
    <cellStyle name="40% - Accent1 3 3 2 3 2 2 3" xfId="13619" xr:uid="{00000000-0005-0000-0000-000062350000}"/>
    <cellStyle name="40% - Accent1 3 3 2 3 2 3" xfId="13620" xr:uid="{00000000-0005-0000-0000-000063350000}"/>
    <cellStyle name="40% - Accent1 3 3 2 3 2 3 2" xfId="13621" xr:uid="{00000000-0005-0000-0000-000064350000}"/>
    <cellStyle name="40% - Accent1 3 3 2 3 2 4" xfId="13622" xr:uid="{00000000-0005-0000-0000-000065350000}"/>
    <cellStyle name="40% - Accent1 3 3 2 3 3" xfId="13623" xr:uid="{00000000-0005-0000-0000-000066350000}"/>
    <cellStyle name="40% - Accent1 3 3 2 3 3 2" xfId="13624" xr:uid="{00000000-0005-0000-0000-000067350000}"/>
    <cellStyle name="40% - Accent1 3 3 2 3 3 2 2" xfId="13625" xr:uid="{00000000-0005-0000-0000-000068350000}"/>
    <cellStyle name="40% - Accent1 3 3 2 3 3 3" xfId="13626" xr:uid="{00000000-0005-0000-0000-000069350000}"/>
    <cellStyle name="40% - Accent1 3 3 2 3 4" xfId="13627" xr:uid="{00000000-0005-0000-0000-00006A350000}"/>
    <cellStyle name="40% - Accent1 3 3 2 3 4 2" xfId="13628" xr:uid="{00000000-0005-0000-0000-00006B350000}"/>
    <cellStyle name="40% - Accent1 3 3 2 3 5" xfId="13629" xr:uid="{00000000-0005-0000-0000-00006C350000}"/>
    <cellStyle name="40% - Accent1 3 3 2 4" xfId="13630" xr:uid="{00000000-0005-0000-0000-00006D350000}"/>
    <cellStyle name="40% - Accent1 3 3 2 4 2" xfId="13631" xr:uid="{00000000-0005-0000-0000-00006E350000}"/>
    <cellStyle name="40% - Accent1 3 3 2 4 2 2" xfId="13632" xr:uid="{00000000-0005-0000-0000-00006F350000}"/>
    <cellStyle name="40% - Accent1 3 3 2 4 2 2 2" xfId="13633" xr:uid="{00000000-0005-0000-0000-000070350000}"/>
    <cellStyle name="40% - Accent1 3 3 2 4 2 3" xfId="13634" xr:uid="{00000000-0005-0000-0000-000071350000}"/>
    <cellStyle name="40% - Accent1 3 3 2 4 3" xfId="13635" xr:uid="{00000000-0005-0000-0000-000072350000}"/>
    <cellStyle name="40% - Accent1 3 3 2 4 3 2" xfId="13636" xr:uid="{00000000-0005-0000-0000-000073350000}"/>
    <cellStyle name="40% - Accent1 3 3 2 4 4" xfId="13637" xr:uid="{00000000-0005-0000-0000-000074350000}"/>
    <cellStyle name="40% - Accent1 3 3 2 5" xfId="13638" xr:uid="{00000000-0005-0000-0000-000075350000}"/>
    <cellStyle name="40% - Accent1 3 3 2 5 2" xfId="13639" xr:uid="{00000000-0005-0000-0000-000076350000}"/>
    <cellStyle name="40% - Accent1 3 3 2 5 2 2" xfId="13640" xr:uid="{00000000-0005-0000-0000-000077350000}"/>
    <cellStyle name="40% - Accent1 3 3 2 5 3" xfId="13641" xr:uid="{00000000-0005-0000-0000-000078350000}"/>
    <cellStyle name="40% - Accent1 3 3 2 6" xfId="13642" xr:uid="{00000000-0005-0000-0000-000079350000}"/>
    <cellStyle name="40% - Accent1 3 3 2 6 2" xfId="13643" xr:uid="{00000000-0005-0000-0000-00007A350000}"/>
    <cellStyle name="40% - Accent1 3 3 2 7" xfId="13644" xr:uid="{00000000-0005-0000-0000-00007B350000}"/>
    <cellStyle name="40% - Accent1 3 3 3" xfId="13645" xr:uid="{00000000-0005-0000-0000-00007C350000}"/>
    <cellStyle name="40% - Accent1 3 3 3 2" xfId="13646" xr:uid="{00000000-0005-0000-0000-00007D350000}"/>
    <cellStyle name="40% - Accent1 3 3 3 2 2" xfId="13647" xr:uid="{00000000-0005-0000-0000-00007E350000}"/>
    <cellStyle name="40% - Accent1 3 3 3 2 2 2" xfId="13648" xr:uid="{00000000-0005-0000-0000-00007F350000}"/>
    <cellStyle name="40% - Accent1 3 3 3 2 2 2 2" xfId="13649" xr:uid="{00000000-0005-0000-0000-000080350000}"/>
    <cellStyle name="40% - Accent1 3 3 3 2 2 2 2 2" xfId="13650" xr:uid="{00000000-0005-0000-0000-000081350000}"/>
    <cellStyle name="40% - Accent1 3 3 3 2 2 2 3" xfId="13651" xr:uid="{00000000-0005-0000-0000-000082350000}"/>
    <cellStyle name="40% - Accent1 3 3 3 2 2 3" xfId="13652" xr:uid="{00000000-0005-0000-0000-000083350000}"/>
    <cellStyle name="40% - Accent1 3 3 3 2 2 3 2" xfId="13653" xr:uid="{00000000-0005-0000-0000-000084350000}"/>
    <cellStyle name="40% - Accent1 3 3 3 2 2 4" xfId="13654" xr:uid="{00000000-0005-0000-0000-000085350000}"/>
    <cellStyle name="40% - Accent1 3 3 3 2 3" xfId="13655" xr:uid="{00000000-0005-0000-0000-000086350000}"/>
    <cellStyle name="40% - Accent1 3 3 3 2 3 2" xfId="13656" xr:uid="{00000000-0005-0000-0000-000087350000}"/>
    <cellStyle name="40% - Accent1 3 3 3 2 3 2 2" xfId="13657" xr:uid="{00000000-0005-0000-0000-000088350000}"/>
    <cellStyle name="40% - Accent1 3 3 3 2 3 3" xfId="13658" xr:uid="{00000000-0005-0000-0000-000089350000}"/>
    <cellStyle name="40% - Accent1 3 3 3 2 4" xfId="13659" xr:uid="{00000000-0005-0000-0000-00008A350000}"/>
    <cellStyle name="40% - Accent1 3 3 3 2 4 2" xfId="13660" xr:uid="{00000000-0005-0000-0000-00008B350000}"/>
    <cellStyle name="40% - Accent1 3 3 3 2 5" xfId="13661" xr:uid="{00000000-0005-0000-0000-00008C350000}"/>
    <cellStyle name="40% - Accent1 3 3 3 3" xfId="13662" xr:uid="{00000000-0005-0000-0000-00008D350000}"/>
    <cellStyle name="40% - Accent1 3 3 3 3 2" xfId="13663" xr:uid="{00000000-0005-0000-0000-00008E350000}"/>
    <cellStyle name="40% - Accent1 3 3 3 3 2 2" xfId="13664" xr:uid="{00000000-0005-0000-0000-00008F350000}"/>
    <cellStyle name="40% - Accent1 3 3 3 3 2 2 2" xfId="13665" xr:uid="{00000000-0005-0000-0000-000090350000}"/>
    <cellStyle name="40% - Accent1 3 3 3 3 2 3" xfId="13666" xr:uid="{00000000-0005-0000-0000-000091350000}"/>
    <cellStyle name="40% - Accent1 3 3 3 3 3" xfId="13667" xr:uid="{00000000-0005-0000-0000-000092350000}"/>
    <cellStyle name="40% - Accent1 3 3 3 3 3 2" xfId="13668" xr:uid="{00000000-0005-0000-0000-000093350000}"/>
    <cellStyle name="40% - Accent1 3 3 3 3 4" xfId="13669" xr:uid="{00000000-0005-0000-0000-000094350000}"/>
    <cellStyle name="40% - Accent1 3 3 3 4" xfId="13670" xr:uid="{00000000-0005-0000-0000-000095350000}"/>
    <cellStyle name="40% - Accent1 3 3 3 4 2" xfId="13671" xr:uid="{00000000-0005-0000-0000-000096350000}"/>
    <cellStyle name="40% - Accent1 3 3 3 4 2 2" xfId="13672" xr:uid="{00000000-0005-0000-0000-000097350000}"/>
    <cellStyle name="40% - Accent1 3 3 3 4 3" xfId="13673" xr:uid="{00000000-0005-0000-0000-000098350000}"/>
    <cellStyle name="40% - Accent1 3 3 3 5" xfId="13674" xr:uid="{00000000-0005-0000-0000-000099350000}"/>
    <cellStyle name="40% - Accent1 3 3 3 5 2" xfId="13675" xr:uid="{00000000-0005-0000-0000-00009A350000}"/>
    <cellStyle name="40% - Accent1 3 3 3 6" xfId="13676" xr:uid="{00000000-0005-0000-0000-00009B350000}"/>
    <cellStyle name="40% - Accent1 3 3 4" xfId="13677" xr:uid="{00000000-0005-0000-0000-00009C350000}"/>
    <cellStyle name="40% - Accent1 3 3 4 2" xfId="13678" xr:uid="{00000000-0005-0000-0000-00009D350000}"/>
    <cellStyle name="40% - Accent1 3 3 4 2 2" xfId="13679" xr:uid="{00000000-0005-0000-0000-00009E350000}"/>
    <cellStyle name="40% - Accent1 3 3 4 2 2 2" xfId="13680" xr:uid="{00000000-0005-0000-0000-00009F350000}"/>
    <cellStyle name="40% - Accent1 3 3 4 2 2 2 2" xfId="13681" xr:uid="{00000000-0005-0000-0000-0000A0350000}"/>
    <cellStyle name="40% - Accent1 3 3 4 2 2 3" xfId="13682" xr:uid="{00000000-0005-0000-0000-0000A1350000}"/>
    <cellStyle name="40% - Accent1 3 3 4 2 3" xfId="13683" xr:uid="{00000000-0005-0000-0000-0000A2350000}"/>
    <cellStyle name="40% - Accent1 3 3 4 2 3 2" xfId="13684" xr:uid="{00000000-0005-0000-0000-0000A3350000}"/>
    <cellStyle name="40% - Accent1 3 3 4 2 4" xfId="13685" xr:uid="{00000000-0005-0000-0000-0000A4350000}"/>
    <cellStyle name="40% - Accent1 3 3 4 3" xfId="13686" xr:uid="{00000000-0005-0000-0000-0000A5350000}"/>
    <cellStyle name="40% - Accent1 3 3 4 3 2" xfId="13687" xr:uid="{00000000-0005-0000-0000-0000A6350000}"/>
    <cellStyle name="40% - Accent1 3 3 4 3 2 2" xfId="13688" xr:uid="{00000000-0005-0000-0000-0000A7350000}"/>
    <cellStyle name="40% - Accent1 3 3 4 3 3" xfId="13689" xr:uid="{00000000-0005-0000-0000-0000A8350000}"/>
    <cellStyle name="40% - Accent1 3 3 4 4" xfId="13690" xr:uid="{00000000-0005-0000-0000-0000A9350000}"/>
    <cellStyle name="40% - Accent1 3 3 4 4 2" xfId="13691" xr:uid="{00000000-0005-0000-0000-0000AA350000}"/>
    <cellStyle name="40% - Accent1 3 3 4 5" xfId="13692" xr:uid="{00000000-0005-0000-0000-0000AB350000}"/>
    <cellStyle name="40% - Accent1 3 3 5" xfId="13693" xr:uid="{00000000-0005-0000-0000-0000AC350000}"/>
    <cellStyle name="40% - Accent1 3 3 5 2" xfId="13694" xr:uid="{00000000-0005-0000-0000-0000AD350000}"/>
    <cellStyle name="40% - Accent1 3 3 5 2 2" xfId="13695" xr:uid="{00000000-0005-0000-0000-0000AE350000}"/>
    <cellStyle name="40% - Accent1 3 3 5 2 2 2" xfId="13696" xr:uid="{00000000-0005-0000-0000-0000AF350000}"/>
    <cellStyle name="40% - Accent1 3 3 5 2 3" xfId="13697" xr:uid="{00000000-0005-0000-0000-0000B0350000}"/>
    <cellStyle name="40% - Accent1 3 3 5 3" xfId="13698" xr:uid="{00000000-0005-0000-0000-0000B1350000}"/>
    <cellStyle name="40% - Accent1 3 3 5 3 2" xfId="13699" xr:uid="{00000000-0005-0000-0000-0000B2350000}"/>
    <cellStyle name="40% - Accent1 3 3 5 4" xfId="13700" xr:uid="{00000000-0005-0000-0000-0000B3350000}"/>
    <cellStyle name="40% - Accent1 3 3 6" xfId="13701" xr:uid="{00000000-0005-0000-0000-0000B4350000}"/>
    <cellStyle name="40% - Accent1 3 3 6 2" xfId="13702" xr:uid="{00000000-0005-0000-0000-0000B5350000}"/>
    <cellStyle name="40% - Accent1 3 3 6 2 2" xfId="13703" xr:uid="{00000000-0005-0000-0000-0000B6350000}"/>
    <cellStyle name="40% - Accent1 3 3 6 3" xfId="13704" xr:uid="{00000000-0005-0000-0000-0000B7350000}"/>
    <cellStyle name="40% - Accent1 3 3 7" xfId="13705" xr:uid="{00000000-0005-0000-0000-0000B8350000}"/>
    <cellStyle name="40% - Accent1 3 3 7 2" xfId="13706" xr:uid="{00000000-0005-0000-0000-0000B9350000}"/>
    <cellStyle name="40% - Accent1 3 3 8" xfId="13707" xr:uid="{00000000-0005-0000-0000-0000BA350000}"/>
    <cellStyle name="40% - Accent1 3 4" xfId="13708" xr:uid="{00000000-0005-0000-0000-0000BB350000}"/>
    <cellStyle name="40% - Accent1 3 4 2" xfId="13709" xr:uid="{00000000-0005-0000-0000-0000BC350000}"/>
    <cellStyle name="40% - Accent1 3 4 2 2" xfId="13710" xr:uid="{00000000-0005-0000-0000-0000BD350000}"/>
    <cellStyle name="40% - Accent1 3 4 2 2 2" xfId="13711" xr:uid="{00000000-0005-0000-0000-0000BE350000}"/>
    <cellStyle name="40% - Accent1 3 4 2 2 2 2" xfId="13712" xr:uid="{00000000-0005-0000-0000-0000BF350000}"/>
    <cellStyle name="40% - Accent1 3 4 2 2 2 2 2" xfId="13713" xr:uid="{00000000-0005-0000-0000-0000C0350000}"/>
    <cellStyle name="40% - Accent1 3 4 2 2 2 2 2 2" xfId="13714" xr:uid="{00000000-0005-0000-0000-0000C1350000}"/>
    <cellStyle name="40% - Accent1 3 4 2 2 2 2 3" xfId="13715" xr:uid="{00000000-0005-0000-0000-0000C2350000}"/>
    <cellStyle name="40% - Accent1 3 4 2 2 2 3" xfId="13716" xr:uid="{00000000-0005-0000-0000-0000C3350000}"/>
    <cellStyle name="40% - Accent1 3 4 2 2 2 3 2" xfId="13717" xr:uid="{00000000-0005-0000-0000-0000C4350000}"/>
    <cellStyle name="40% - Accent1 3 4 2 2 2 4" xfId="13718" xr:uid="{00000000-0005-0000-0000-0000C5350000}"/>
    <cellStyle name="40% - Accent1 3 4 2 2 3" xfId="13719" xr:uid="{00000000-0005-0000-0000-0000C6350000}"/>
    <cellStyle name="40% - Accent1 3 4 2 2 3 2" xfId="13720" xr:uid="{00000000-0005-0000-0000-0000C7350000}"/>
    <cellStyle name="40% - Accent1 3 4 2 2 3 2 2" xfId="13721" xr:uid="{00000000-0005-0000-0000-0000C8350000}"/>
    <cellStyle name="40% - Accent1 3 4 2 2 3 3" xfId="13722" xr:uid="{00000000-0005-0000-0000-0000C9350000}"/>
    <cellStyle name="40% - Accent1 3 4 2 2 4" xfId="13723" xr:uid="{00000000-0005-0000-0000-0000CA350000}"/>
    <cellStyle name="40% - Accent1 3 4 2 2 4 2" xfId="13724" xr:uid="{00000000-0005-0000-0000-0000CB350000}"/>
    <cellStyle name="40% - Accent1 3 4 2 2 5" xfId="13725" xr:uid="{00000000-0005-0000-0000-0000CC350000}"/>
    <cellStyle name="40% - Accent1 3 4 2 3" xfId="13726" xr:uid="{00000000-0005-0000-0000-0000CD350000}"/>
    <cellStyle name="40% - Accent1 3 4 2 3 2" xfId="13727" xr:uid="{00000000-0005-0000-0000-0000CE350000}"/>
    <cellStyle name="40% - Accent1 3 4 2 3 2 2" xfId="13728" xr:uid="{00000000-0005-0000-0000-0000CF350000}"/>
    <cellStyle name="40% - Accent1 3 4 2 3 2 2 2" xfId="13729" xr:uid="{00000000-0005-0000-0000-0000D0350000}"/>
    <cellStyle name="40% - Accent1 3 4 2 3 2 3" xfId="13730" xr:uid="{00000000-0005-0000-0000-0000D1350000}"/>
    <cellStyle name="40% - Accent1 3 4 2 3 3" xfId="13731" xr:uid="{00000000-0005-0000-0000-0000D2350000}"/>
    <cellStyle name="40% - Accent1 3 4 2 3 3 2" xfId="13732" xr:uid="{00000000-0005-0000-0000-0000D3350000}"/>
    <cellStyle name="40% - Accent1 3 4 2 3 4" xfId="13733" xr:uid="{00000000-0005-0000-0000-0000D4350000}"/>
    <cellStyle name="40% - Accent1 3 4 2 4" xfId="13734" xr:uid="{00000000-0005-0000-0000-0000D5350000}"/>
    <cellStyle name="40% - Accent1 3 4 2 4 2" xfId="13735" xr:uid="{00000000-0005-0000-0000-0000D6350000}"/>
    <cellStyle name="40% - Accent1 3 4 2 4 2 2" xfId="13736" xr:uid="{00000000-0005-0000-0000-0000D7350000}"/>
    <cellStyle name="40% - Accent1 3 4 2 4 3" xfId="13737" xr:uid="{00000000-0005-0000-0000-0000D8350000}"/>
    <cellStyle name="40% - Accent1 3 4 2 5" xfId="13738" xr:uid="{00000000-0005-0000-0000-0000D9350000}"/>
    <cellStyle name="40% - Accent1 3 4 2 5 2" xfId="13739" xr:uid="{00000000-0005-0000-0000-0000DA350000}"/>
    <cellStyle name="40% - Accent1 3 4 2 6" xfId="13740" xr:uid="{00000000-0005-0000-0000-0000DB350000}"/>
    <cellStyle name="40% - Accent1 3 4 3" xfId="13741" xr:uid="{00000000-0005-0000-0000-0000DC350000}"/>
    <cellStyle name="40% - Accent1 3 4 3 2" xfId="13742" xr:uid="{00000000-0005-0000-0000-0000DD350000}"/>
    <cellStyle name="40% - Accent1 3 4 3 2 2" xfId="13743" xr:uid="{00000000-0005-0000-0000-0000DE350000}"/>
    <cellStyle name="40% - Accent1 3 4 3 2 2 2" xfId="13744" xr:uid="{00000000-0005-0000-0000-0000DF350000}"/>
    <cellStyle name="40% - Accent1 3 4 3 2 2 2 2" xfId="13745" xr:uid="{00000000-0005-0000-0000-0000E0350000}"/>
    <cellStyle name="40% - Accent1 3 4 3 2 2 3" xfId="13746" xr:uid="{00000000-0005-0000-0000-0000E1350000}"/>
    <cellStyle name="40% - Accent1 3 4 3 2 3" xfId="13747" xr:uid="{00000000-0005-0000-0000-0000E2350000}"/>
    <cellStyle name="40% - Accent1 3 4 3 2 3 2" xfId="13748" xr:uid="{00000000-0005-0000-0000-0000E3350000}"/>
    <cellStyle name="40% - Accent1 3 4 3 2 4" xfId="13749" xr:uid="{00000000-0005-0000-0000-0000E4350000}"/>
    <cellStyle name="40% - Accent1 3 4 3 3" xfId="13750" xr:uid="{00000000-0005-0000-0000-0000E5350000}"/>
    <cellStyle name="40% - Accent1 3 4 3 3 2" xfId="13751" xr:uid="{00000000-0005-0000-0000-0000E6350000}"/>
    <cellStyle name="40% - Accent1 3 4 3 3 2 2" xfId="13752" xr:uid="{00000000-0005-0000-0000-0000E7350000}"/>
    <cellStyle name="40% - Accent1 3 4 3 3 3" xfId="13753" xr:uid="{00000000-0005-0000-0000-0000E8350000}"/>
    <cellStyle name="40% - Accent1 3 4 3 4" xfId="13754" xr:uid="{00000000-0005-0000-0000-0000E9350000}"/>
    <cellStyle name="40% - Accent1 3 4 3 4 2" xfId="13755" xr:uid="{00000000-0005-0000-0000-0000EA350000}"/>
    <cellStyle name="40% - Accent1 3 4 3 5" xfId="13756" xr:uid="{00000000-0005-0000-0000-0000EB350000}"/>
    <cellStyle name="40% - Accent1 3 4 4" xfId="13757" xr:uid="{00000000-0005-0000-0000-0000EC350000}"/>
    <cellStyle name="40% - Accent1 3 4 4 2" xfId="13758" xr:uid="{00000000-0005-0000-0000-0000ED350000}"/>
    <cellStyle name="40% - Accent1 3 4 4 2 2" xfId="13759" xr:uid="{00000000-0005-0000-0000-0000EE350000}"/>
    <cellStyle name="40% - Accent1 3 4 4 2 2 2" xfId="13760" xr:uid="{00000000-0005-0000-0000-0000EF350000}"/>
    <cellStyle name="40% - Accent1 3 4 4 2 3" xfId="13761" xr:uid="{00000000-0005-0000-0000-0000F0350000}"/>
    <cellStyle name="40% - Accent1 3 4 4 3" xfId="13762" xr:uid="{00000000-0005-0000-0000-0000F1350000}"/>
    <cellStyle name="40% - Accent1 3 4 4 3 2" xfId="13763" xr:uid="{00000000-0005-0000-0000-0000F2350000}"/>
    <cellStyle name="40% - Accent1 3 4 4 4" xfId="13764" xr:uid="{00000000-0005-0000-0000-0000F3350000}"/>
    <cellStyle name="40% - Accent1 3 4 5" xfId="13765" xr:uid="{00000000-0005-0000-0000-0000F4350000}"/>
    <cellStyle name="40% - Accent1 3 4 5 2" xfId="13766" xr:uid="{00000000-0005-0000-0000-0000F5350000}"/>
    <cellStyle name="40% - Accent1 3 4 5 2 2" xfId="13767" xr:uid="{00000000-0005-0000-0000-0000F6350000}"/>
    <cellStyle name="40% - Accent1 3 4 5 3" xfId="13768" xr:uid="{00000000-0005-0000-0000-0000F7350000}"/>
    <cellStyle name="40% - Accent1 3 4 6" xfId="13769" xr:uid="{00000000-0005-0000-0000-0000F8350000}"/>
    <cellStyle name="40% - Accent1 3 4 6 2" xfId="13770" xr:uid="{00000000-0005-0000-0000-0000F9350000}"/>
    <cellStyle name="40% - Accent1 3 4 7" xfId="13771" xr:uid="{00000000-0005-0000-0000-0000FA350000}"/>
    <cellStyle name="40% - Accent1 3 5" xfId="13772" xr:uid="{00000000-0005-0000-0000-0000FB350000}"/>
    <cellStyle name="40% - Accent1 3 5 2" xfId="13773" xr:uid="{00000000-0005-0000-0000-0000FC350000}"/>
    <cellStyle name="40% - Accent1 3 5 2 2" xfId="13774" xr:uid="{00000000-0005-0000-0000-0000FD350000}"/>
    <cellStyle name="40% - Accent1 3 5 2 2 2" xfId="13775" xr:uid="{00000000-0005-0000-0000-0000FE350000}"/>
    <cellStyle name="40% - Accent1 3 5 2 2 2 2" xfId="13776" xr:uid="{00000000-0005-0000-0000-0000FF350000}"/>
    <cellStyle name="40% - Accent1 3 5 2 2 2 2 2" xfId="13777" xr:uid="{00000000-0005-0000-0000-000000360000}"/>
    <cellStyle name="40% - Accent1 3 5 2 2 2 3" xfId="13778" xr:uid="{00000000-0005-0000-0000-000001360000}"/>
    <cellStyle name="40% - Accent1 3 5 2 2 3" xfId="13779" xr:uid="{00000000-0005-0000-0000-000002360000}"/>
    <cellStyle name="40% - Accent1 3 5 2 2 3 2" xfId="13780" xr:uid="{00000000-0005-0000-0000-000003360000}"/>
    <cellStyle name="40% - Accent1 3 5 2 2 4" xfId="13781" xr:uid="{00000000-0005-0000-0000-000004360000}"/>
    <cellStyle name="40% - Accent1 3 5 2 3" xfId="13782" xr:uid="{00000000-0005-0000-0000-000005360000}"/>
    <cellStyle name="40% - Accent1 3 5 2 3 2" xfId="13783" xr:uid="{00000000-0005-0000-0000-000006360000}"/>
    <cellStyle name="40% - Accent1 3 5 2 3 2 2" xfId="13784" xr:uid="{00000000-0005-0000-0000-000007360000}"/>
    <cellStyle name="40% - Accent1 3 5 2 3 3" xfId="13785" xr:uid="{00000000-0005-0000-0000-000008360000}"/>
    <cellStyle name="40% - Accent1 3 5 2 4" xfId="13786" xr:uid="{00000000-0005-0000-0000-000009360000}"/>
    <cellStyle name="40% - Accent1 3 5 2 4 2" xfId="13787" xr:uid="{00000000-0005-0000-0000-00000A360000}"/>
    <cellStyle name="40% - Accent1 3 5 2 5" xfId="13788" xr:uid="{00000000-0005-0000-0000-00000B360000}"/>
    <cellStyle name="40% - Accent1 3 5 3" xfId="13789" xr:uid="{00000000-0005-0000-0000-00000C360000}"/>
    <cellStyle name="40% - Accent1 3 5 3 2" xfId="13790" xr:uid="{00000000-0005-0000-0000-00000D360000}"/>
    <cellStyle name="40% - Accent1 3 5 3 2 2" xfId="13791" xr:uid="{00000000-0005-0000-0000-00000E360000}"/>
    <cellStyle name="40% - Accent1 3 5 3 2 2 2" xfId="13792" xr:uid="{00000000-0005-0000-0000-00000F360000}"/>
    <cellStyle name="40% - Accent1 3 5 3 2 3" xfId="13793" xr:uid="{00000000-0005-0000-0000-000010360000}"/>
    <cellStyle name="40% - Accent1 3 5 3 3" xfId="13794" xr:uid="{00000000-0005-0000-0000-000011360000}"/>
    <cellStyle name="40% - Accent1 3 5 3 3 2" xfId="13795" xr:uid="{00000000-0005-0000-0000-000012360000}"/>
    <cellStyle name="40% - Accent1 3 5 3 4" xfId="13796" xr:uid="{00000000-0005-0000-0000-000013360000}"/>
    <cellStyle name="40% - Accent1 3 5 4" xfId="13797" xr:uid="{00000000-0005-0000-0000-000014360000}"/>
    <cellStyle name="40% - Accent1 3 5 4 2" xfId="13798" xr:uid="{00000000-0005-0000-0000-000015360000}"/>
    <cellStyle name="40% - Accent1 3 5 4 2 2" xfId="13799" xr:uid="{00000000-0005-0000-0000-000016360000}"/>
    <cellStyle name="40% - Accent1 3 5 4 3" xfId="13800" xr:uid="{00000000-0005-0000-0000-000017360000}"/>
    <cellStyle name="40% - Accent1 3 5 5" xfId="13801" xr:uid="{00000000-0005-0000-0000-000018360000}"/>
    <cellStyle name="40% - Accent1 3 5 5 2" xfId="13802" xr:uid="{00000000-0005-0000-0000-000019360000}"/>
    <cellStyle name="40% - Accent1 3 5 6" xfId="13803" xr:uid="{00000000-0005-0000-0000-00001A360000}"/>
    <cellStyle name="40% - Accent1 3 6" xfId="13804" xr:uid="{00000000-0005-0000-0000-00001B360000}"/>
    <cellStyle name="40% - Accent1 3 6 2" xfId="13805" xr:uid="{00000000-0005-0000-0000-00001C360000}"/>
    <cellStyle name="40% - Accent1 3 6 2 2" xfId="13806" xr:uid="{00000000-0005-0000-0000-00001D360000}"/>
    <cellStyle name="40% - Accent1 3 6 2 2 2" xfId="13807" xr:uid="{00000000-0005-0000-0000-00001E360000}"/>
    <cellStyle name="40% - Accent1 3 6 2 2 2 2" xfId="13808" xr:uid="{00000000-0005-0000-0000-00001F360000}"/>
    <cellStyle name="40% - Accent1 3 6 2 2 3" xfId="13809" xr:uid="{00000000-0005-0000-0000-000020360000}"/>
    <cellStyle name="40% - Accent1 3 6 2 3" xfId="13810" xr:uid="{00000000-0005-0000-0000-000021360000}"/>
    <cellStyle name="40% - Accent1 3 6 2 3 2" xfId="13811" xr:uid="{00000000-0005-0000-0000-000022360000}"/>
    <cellStyle name="40% - Accent1 3 6 2 4" xfId="13812" xr:uid="{00000000-0005-0000-0000-000023360000}"/>
    <cellStyle name="40% - Accent1 3 6 3" xfId="13813" xr:uid="{00000000-0005-0000-0000-000024360000}"/>
    <cellStyle name="40% - Accent1 3 6 3 2" xfId="13814" xr:uid="{00000000-0005-0000-0000-000025360000}"/>
    <cellStyle name="40% - Accent1 3 6 3 2 2" xfId="13815" xr:uid="{00000000-0005-0000-0000-000026360000}"/>
    <cellStyle name="40% - Accent1 3 6 3 3" xfId="13816" xr:uid="{00000000-0005-0000-0000-000027360000}"/>
    <cellStyle name="40% - Accent1 3 6 4" xfId="13817" xr:uid="{00000000-0005-0000-0000-000028360000}"/>
    <cellStyle name="40% - Accent1 3 6 4 2" xfId="13818" xr:uid="{00000000-0005-0000-0000-000029360000}"/>
    <cellStyle name="40% - Accent1 3 6 5" xfId="13819" xr:uid="{00000000-0005-0000-0000-00002A360000}"/>
    <cellStyle name="40% - Accent1 3 7" xfId="13820" xr:uid="{00000000-0005-0000-0000-00002B360000}"/>
    <cellStyle name="40% - Accent1 3 7 2" xfId="13821" xr:uid="{00000000-0005-0000-0000-00002C360000}"/>
    <cellStyle name="40% - Accent1 3 7 2 2" xfId="13822" xr:uid="{00000000-0005-0000-0000-00002D360000}"/>
    <cellStyle name="40% - Accent1 3 7 2 2 2" xfId="13823" xr:uid="{00000000-0005-0000-0000-00002E360000}"/>
    <cellStyle name="40% - Accent1 3 7 2 3" xfId="13824" xr:uid="{00000000-0005-0000-0000-00002F360000}"/>
    <cellStyle name="40% - Accent1 3 7 3" xfId="13825" xr:uid="{00000000-0005-0000-0000-000030360000}"/>
    <cellStyle name="40% - Accent1 3 7 3 2" xfId="13826" xr:uid="{00000000-0005-0000-0000-000031360000}"/>
    <cellStyle name="40% - Accent1 3 7 4" xfId="13827" xr:uid="{00000000-0005-0000-0000-000032360000}"/>
    <cellStyle name="40% - Accent1 3 8" xfId="13828" xr:uid="{00000000-0005-0000-0000-000033360000}"/>
    <cellStyle name="40% - Accent1 3 8 2" xfId="13829" xr:uid="{00000000-0005-0000-0000-000034360000}"/>
    <cellStyle name="40% - Accent1 3 8 2 2" xfId="13830" xr:uid="{00000000-0005-0000-0000-000035360000}"/>
    <cellStyle name="40% - Accent1 3 8 3" xfId="13831" xr:uid="{00000000-0005-0000-0000-000036360000}"/>
    <cellStyle name="40% - Accent1 3 9" xfId="13832" xr:uid="{00000000-0005-0000-0000-000037360000}"/>
    <cellStyle name="40% - Accent1 3 9 2" xfId="13833" xr:uid="{00000000-0005-0000-0000-000038360000}"/>
    <cellStyle name="40% - Accent1 4" xfId="13834" xr:uid="{00000000-0005-0000-0000-000039360000}"/>
    <cellStyle name="40% - Accent1 4 2" xfId="13835" xr:uid="{00000000-0005-0000-0000-00003A360000}"/>
    <cellStyle name="40% - Accent1 4 2 2" xfId="13836" xr:uid="{00000000-0005-0000-0000-00003B360000}"/>
    <cellStyle name="40% - Accent1 4 2 2 2" xfId="13837" xr:uid="{00000000-0005-0000-0000-00003C360000}"/>
    <cellStyle name="40% - Accent1 4 2 2 2 2" xfId="13838" xr:uid="{00000000-0005-0000-0000-00003D360000}"/>
    <cellStyle name="40% - Accent1 4 2 2 2 2 2" xfId="13839" xr:uid="{00000000-0005-0000-0000-00003E360000}"/>
    <cellStyle name="40% - Accent1 4 2 2 2 2 2 2" xfId="13840" xr:uid="{00000000-0005-0000-0000-00003F360000}"/>
    <cellStyle name="40% - Accent1 4 2 2 2 2 2 2 2" xfId="13841" xr:uid="{00000000-0005-0000-0000-000040360000}"/>
    <cellStyle name="40% - Accent1 4 2 2 2 2 2 2 2 2" xfId="13842" xr:uid="{00000000-0005-0000-0000-000041360000}"/>
    <cellStyle name="40% - Accent1 4 2 2 2 2 2 2 3" xfId="13843" xr:uid="{00000000-0005-0000-0000-000042360000}"/>
    <cellStyle name="40% - Accent1 4 2 2 2 2 2 3" xfId="13844" xr:uid="{00000000-0005-0000-0000-000043360000}"/>
    <cellStyle name="40% - Accent1 4 2 2 2 2 2 3 2" xfId="13845" xr:uid="{00000000-0005-0000-0000-000044360000}"/>
    <cellStyle name="40% - Accent1 4 2 2 2 2 2 4" xfId="13846" xr:uid="{00000000-0005-0000-0000-000045360000}"/>
    <cellStyle name="40% - Accent1 4 2 2 2 2 3" xfId="13847" xr:uid="{00000000-0005-0000-0000-000046360000}"/>
    <cellStyle name="40% - Accent1 4 2 2 2 2 3 2" xfId="13848" xr:uid="{00000000-0005-0000-0000-000047360000}"/>
    <cellStyle name="40% - Accent1 4 2 2 2 2 3 2 2" xfId="13849" xr:uid="{00000000-0005-0000-0000-000048360000}"/>
    <cellStyle name="40% - Accent1 4 2 2 2 2 3 3" xfId="13850" xr:uid="{00000000-0005-0000-0000-000049360000}"/>
    <cellStyle name="40% - Accent1 4 2 2 2 2 4" xfId="13851" xr:uid="{00000000-0005-0000-0000-00004A360000}"/>
    <cellStyle name="40% - Accent1 4 2 2 2 2 4 2" xfId="13852" xr:uid="{00000000-0005-0000-0000-00004B360000}"/>
    <cellStyle name="40% - Accent1 4 2 2 2 2 5" xfId="13853" xr:uid="{00000000-0005-0000-0000-00004C360000}"/>
    <cellStyle name="40% - Accent1 4 2 2 2 3" xfId="13854" xr:uid="{00000000-0005-0000-0000-00004D360000}"/>
    <cellStyle name="40% - Accent1 4 2 2 2 3 2" xfId="13855" xr:uid="{00000000-0005-0000-0000-00004E360000}"/>
    <cellStyle name="40% - Accent1 4 2 2 2 3 2 2" xfId="13856" xr:uid="{00000000-0005-0000-0000-00004F360000}"/>
    <cellStyle name="40% - Accent1 4 2 2 2 3 2 2 2" xfId="13857" xr:uid="{00000000-0005-0000-0000-000050360000}"/>
    <cellStyle name="40% - Accent1 4 2 2 2 3 2 3" xfId="13858" xr:uid="{00000000-0005-0000-0000-000051360000}"/>
    <cellStyle name="40% - Accent1 4 2 2 2 3 3" xfId="13859" xr:uid="{00000000-0005-0000-0000-000052360000}"/>
    <cellStyle name="40% - Accent1 4 2 2 2 3 3 2" xfId="13860" xr:uid="{00000000-0005-0000-0000-000053360000}"/>
    <cellStyle name="40% - Accent1 4 2 2 2 3 4" xfId="13861" xr:uid="{00000000-0005-0000-0000-000054360000}"/>
    <cellStyle name="40% - Accent1 4 2 2 2 4" xfId="13862" xr:uid="{00000000-0005-0000-0000-000055360000}"/>
    <cellStyle name="40% - Accent1 4 2 2 2 4 2" xfId="13863" xr:uid="{00000000-0005-0000-0000-000056360000}"/>
    <cellStyle name="40% - Accent1 4 2 2 2 4 2 2" xfId="13864" xr:uid="{00000000-0005-0000-0000-000057360000}"/>
    <cellStyle name="40% - Accent1 4 2 2 2 4 3" xfId="13865" xr:uid="{00000000-0005-0000-0000-000058360000}"/>
    <cellStyle name="40% - Accent1 4 2 2 2 5" xfId="13866" xr:uid="{00000000-0005-0000-0000-000059360000}"/>
    <cellStyle name="40% - Accent1 4 2 2 2 5 2" xfId="13867" xr:uid="{00000000-0005-0000-0000-00005A360000}"/>
    <cellStyle name="40% - Accent1 4 2 2 2 6" xfId="13868" xr:uid="{00000000-0005-0000-0000-00005B360000}"/>
    <cellStyle name="40% - Accent1 4 2 2 3" xfId="13869" xr:uid="{00000000-0005-0000-0000-00005C360000}"/>
    <cellStyle name="40% - Accent1 4 2 2 3 2" xfId="13870" xr:uid="{00000000-0005-0000-0000-00005D360000}"/>
    <cellStyle name="40% - Accent1 4 2 2 3 2 2" xfId="13871" xr:uid="{00000000-0005-0000-0000-00005E360000}"/>
    <cellStyle name="40% - Accent1 4 2 2 3 2 2 2" xfId="13872" xr:uid="{00000000-0005-0000-0000-00005F360000}"/>
    <cellStyle name="40% - Accent1 4 2 2 3 2 2 2 2" xfId="13873" xr:uid="{00000000-0005-0000-0000-000060360000}"/>
    <cellStyle name="40% - Accent1 4 2 2 3 2 2 3" xfId="13874" xr:uid="{00000000-0005-0000-0000-000061360000}"/>
    <cellStyle name="40% - Accent1 4 2 2 3 2 3" xfId="13875" xr:uid="{00000000-0005-0000-0000-000062360000}"/>
    <cellStyle name="40% - Accent1 4 2 2 3 2 3 2" xfId="13876" xr:uid="{00000000-0005-0000-0000-000063360000}"/>
    <cellStyle name="40% - Accent1 4 2 2 3 2 4" xfId="13877" xr:uid="{00000000-0005-0000-0000-000064360000}"/>
    <cellStyle name="40% - Accent1 4 2 2 3 3" xfId="13878" xr:uid="{00000000-0005-0000-0000-000065360000}"/>
    <cellStyle name="40% - Accent1 4 2 2 3 3 2" xfId="13879" xr:uid="{00000000-0005-0000-0000-000066360000}"/>
    <cellStyle name="40% - Accent1 4 2 2 3 3 2 2" xfId="13880" xr:uid="{00000000-0005-0000-0000-000067360000}"/>
    <cellStyle name="40% - Accent1 4 2 2 3 3 3" xfId="13881" xr:uid="{00000000-0005-0000-0000-000068360000}"/>
    <cellStyle name="40% - Accent1 4 2 2 3 4" xfId="13882" xr:uid="{00000000-0005-0000-0000-000069360000}"/>
    <cellStyle name="40% - Accent1 4 2 2 3 4 2" xfId="13883" xr:uid="{00000000-0005-0000-0000-00006A360000}"/>
    <cellStyle name="40% - Accent1 4 2 2 3 5" xfId="13884" xr:uid="{00000000-0005-0000-0000-00006B360000}"/>
    <cellStyle name="40% - Accent1 4 2 2 4" xfId="13885" xr:uid="{00000000-0005-0000-0000-00006C360000}"/>
    <cellStyle name="40% - Accent1 4 2 2 4 2" xfId="13886" xr:uid="{00000000-0005-0000-0000-00006D360000}"/>
    <cellStyle name="40% - Accent1 4 2 2 4 2 2" xfId="13887" xr:uid="{00000000-0005-0000-0000-00006E360000}"/>
    <cellStyle name="40% - Accent1 4 2 2 4 2 2 2" xfId="13888" xr:uid="{00000000-0005-0000-0000-00006F360000}"/>
    <cellStyle name="40% - Accent1 4 2 2 4 2 3" xfId="13889" xr:uid="{00000000-0005-0000-0000-000070360000}"/>
    <cellStyle name="40% - Accent1 4 2 2 4 3" xfId="13890" xr:uid="{00000000-0005-0000-0000-000071360000}"/>
    <cellStyle name="40% - Accent1 4 2 2 4 3 2" xfId="13891" xr:uid="{00000000-0005-0000-0000-000072360000}"/>
    <cellStyle name="40% - Accent1 4 2 2 4 4" xfId="13892" xr:uid="{00000000-0005-0000-0000-000073360000}"/>
    <cellStyle name="40% - Accent1 4 2 2 5" xfId="13893" xr:uid="{00000000-0005-0000-0000-000074360000}"/>
    <cellStyle name="40% - Accent1 4 2 2 5 2" xfId="13894" xr:uid="{00000000-0005-0000-0000-000075360000}"/>
    <cellStyle name="40% - Accent1 4 2 2 5 2 2" xfId="13895" xr:uid="{00000000-0005-0000-0000-000076360000}"/>
    <cellStyle name="40% - Accent1 4 2 2 5 3" xfId="13896" xr:uid="{00000000-0005-0000-0000-000077360000}"/>
    <cellStyle name="40% - Accent1 4 2 2 6" xfId="13897" xr:uid="{00000000-0005-0000-0000-000078360000}"/>
    <cellStyle name="40% - Accent1 4 2 2 6 2" xfId="13898" xr:uid="{00000000-0005-0000-0000-000079360000}"/>
    <cellStyle name="40% - Accent1 4 2 2 7" xfId="13899" xr:uid="{00000000-0005-0000-0000-00007A360000}"/>
    <cellStyle name="40% - Accent1 4 2 3" xfId="13900" xr:uid="{00000000-0005-0000-0000-00007B360000}"/>
    <cellStyle name="40% - Accent1 4 2 3 2" xfId="13901" xr:uid="{00000000-0005-0000-0000-00007C360000}"/>
    <cellStyle name="40% - Accent1 4 2 3 2 2" xfId="13902" xr:uid="{00000000-0005-0000-0000-00007D360000}"/>
    <cellStyle name="40% - Accent1 4 2 3 2 2 2" xfId="13903" xr:uid="{00000000-0005-0000-0000-00007E360000}"/>
    <cellStyle name="40% - Accent1 4 2 3 2 2 2 2" xfId="13904" xr:uid="{00000000-0005-0000-0000-00007F360000}"/>
    <cellStyle name="40% - Accent1 4 2 3 2 2 2 2 2" xfId="13905" xr:uid="{00000000-0005-0000-0000-000080360000}"/>
    <cellStyle name="40% - Accent1 4 2 3 2 2 2 3" xfId="13906" xr:uid="{00000000-0005-0000-0000-000081360000}"/>
    <cellStyle name="40% - Accent1 4 2 3 2 2 3" xfId="13907" xr:uid="{00000000-0005-0000-0000-000082360000}"/>
    <cellStyle name="40% - Accent1 4 2 3 2 2 3 2" xfId="13908" xr:uid="{00000000-0005-0000-0000-000083360000}"/>
    <cellStyle name="40% - Accent1 4 2 3 2 2 4" xfId="13909" xr:uid="{00000000-0005-0000-0000-000084360000}"/>
    <cellStyle name="40% - Accent1 4 2 3 2 3" xfId="13910" xr:uid="{00000000-0005-0000-0000-000085360000}"/>
    <cellStyle name="40% - Accent1 4 2 3 2 3 2" xfId="13911" xr:uid="{00000000-0005-0000-0000-000086360000}"/>
    <cellStyle name="40% - Accent1 4 2 3 2 3 2 2" xfId="13912" xr:uid="{00000000-0005-0000-0000-000087360000}"/>
    <cellStyle name="40% - Accent1 4 2 3 2 3 3" xfId="13913" xr:uid="{00000000-0005-0000-0000-000088360000}"/>
    <cellStyle name="40% - Accent1 4 2 3 2 4" xfId="13914" xr:uid="{00000000-0005-0000-0000-000089360000}"/>
    <cellStyle name="40% - Accent1 4 2 3 2 4 2" xfId="13915" xr:uid="{00000000-0005-0000-0000-00008A360000}"/>
    <cellStyle name="40% - Accent1 4 2 3 2 5" xfId="13916" xr:uid="{00000000-0005-0000-0000-00008B360000}"/>
    <cellStyle name="40% - Accent1 4 2 3 3" xfId="13917" xr:uid="{00000000-0005-0000-0000-00008C360000}"/>
    <cellStyle name="40% - Accent1 4 2 3 3 2" xfId="13918" xr:uid="{00000000-0005-0000-0000-00008D360000}"/>
    <cellStyle name="40% - Accent1 4 2 3 3 2 2" xfId="13919" xr:uid="{00000000-0005-0000-0000-00008E360000}"/>
    <cellStyle name="40% - Accent1 4 2 3 3 2 2 2" xfId="13920" xr:uid="{00000000-0005-0000-0000-00008F360000}"/>
    <cellStyle name="40% - Accent1 4 2 3 3 2 3" xfId="13921" xr:uid="{00000000-0005-0000-0000-000090360000}"/>
    <cellStyle name="40% - Accent1 4 2 3 3 3" xfId="13922" xr:uid="{00000000-0005-0000-0000-000091360000}"/>
    <cellStyle name="40% - Accent1 4 2 3 3 3 2" xfId="13923" xr:uid="{00000000-0005-0000-0000-000092360000}"/>
    <cellStyle name="40% - Accent1 4 2 3 3 4" xfId="13924" xr:uid="{00000000-0005-0000-0000-000093360000}"/>
    <cellStyle name="40% - Accent1 4 2 3 4" xfId="13925" xr:uid="{00000000-0005-0000-0000-000094360000}"/>
    <cellStyle name="40% - Accent1 4 2 3 4 2" xfId="13926" xr:uid="{00000000-0005-0000-0000-000095360000}"/>
    <cellStyle name="40% - Accent1 4 2 3 4 2 2" xfId="13927" xr:uid="{00000000-0005-0000-0000-000096360000}"/>
    <cellStyle name="40% - Accent1 4 2 3 4 3" xfId="13928" xr:uid="{00000000-0005-0000-0000-000097360000}"/>
    <cellStyle name="40% - Accent1 4 2 3 5" xfId="13929" xr:uid="{00000000-0005-0000-0000-000098360000}"/>
    <cellStyle name="40% - Accent1 4 2 3 5 2" xfId="13930" xr:uid="{00000000-0005-0000-0000-000099360000}"/>
    <cellStyle name="40% - Accent1 4 2 3 6" xfId="13931" xr:uid="{00000000-0005-0000-0000-00009A360000}"/>
    <cellStyle name="40% - Accent1 4 2 4" xfId="13932" xr:uid="{00000000-0005-0000-0000-00009B360000}"/>
    <cellStyle name="40% - Accent1 4 2 4 2" xfId="13933" xr:uid="{00000000-0005-0000-0000-00009C360000}"/>
    <cellStyle name="40% - Accent1 4 2 4 2 2" xfId="13934" xr:uid="{00000000-0005-0000-0000-00009D360000}"/>
    <cellStyle name="40% - Accent1 4 2 4 2 2 2" xfId="13935" xr:uid="{00000000-0005-0000-0000-00009E360000}"/>
    <cellStyle name="40% - Accent1 4 2 4 2 2 2 2" xfId="13936" xr:uid="{00000000-0005-0000-0000-00009F360000}"/>
    <cellStyle name="40% - Accent1 4 2 4 2 2 3" xfId="13937" xr:uid="{00000000-0005-0000-0000-0000A0360000}"/>
    <cellStyle name="40% - Accent1 4 2 4 2 3" xfId="13938" xr:uid="{00000000-0005-0000-0000-0000A1360000}"/>
    <cellStyle name="40% - Accent1 4 2 4 2 3 2" xfId="13939" xr:uid="{00000000-0005-0000-0000-0000A2360000}"/>
    <cellStyle name="40% - Accent1 4 2 4 2 4" xfId="13940" xr:uid="{00000000-0005-0000-0000-0000A3360000}"/>
    <cellStyle name="40% - Accent1 4 2 4 3" xfId="13941" xr:uid="{00000000-0005-0000-0000-0000A4360000}"/>
    <cellStyle name="40% - Accent1 4 2 4 3 2" xfId="13942" xr:uid="{00000000-0005-0000-0000-0000A5360000}"/>
    <cellStyle name="40% - Accent1 4 2 4 3 2 2" xfId="13943" xr:uid="{00000000-0005-0000-0000-0000A6360000}"/>
    <cellStyle name="40% - Accent1 4 2 4 3 3" xfId="13944" xr:uid="{00000000-0005-0000-0000-0000A7360000}"/>
    <cellStyle name="40% - Accent1 4 2 4 4" xfId="13945" xr:uid="{00000000-0005-0000-0000-0000A8360000}"/>
    <cellStyle name="40% - Accent1 4 2 4 4 2" xfId="13946" xr:uid="{00000000-0005-0000-0000-0000A9360000}"/>
    <cellStyle name="40% - Accent1 4 2 4 5" xfId="13947" xr:uid="{00000000-0005-0000-0000-0000AA360000}"/>
    <cellStyle name="40% - Accent1 4 2 5" xfId="13948" xr:uid="{00000000-0005-0000-0000-0000AB360000}"/>
    <cellStyle name="40% - Accent1 4 2 5 2" xfId="13949" xr:uid="{00000000-0005-0000-0000-0000AC360000}"/>
    <cellStyle name="40% - Accent1 4 2 5 2 2" xfId="13950" xr:uid="{00000000-0005-0000-0000-0000AD360000}"/>
    <cellStyle name="40% - Accent1 4 2 5 2 2 2" xfId="13951" xr:uid="{00000000-0005-0000-0000-0000AE360000}"/>
    <cellStyle name="40% - Accent1 4 2 5 2 3" xfId="13952" xr:uid="{00000000-0005-0000-0000-0000AF360000}"/>
    <cellStyle name="40% - Accent1 4 2 5 3" xfId="13953" xr:uid="{00000000-0005-0000-0000-0000B0360000}"/>
    <cellStyle name="40% - Accent1 4 2 5 3 2" xfId="13954" xr:uid="{00000000-0005-0000-0000-0000B1360000}"/>
    <cellStyle name="40% - Accent1 4 2 5 4" xfId="13955" xr:uid="{00000000-0005-0000-0000-0000B2360000}"/>
    <cellStyle name="40% - Accent1 4 2 6" xfId="13956" xr:uid="{00000000-0005-0000-0000-0000B3360000}"/>
    <cellStyle name="40% - Accent1 4 2 6 2" xfId="13957" xr:uid="{00000000-0005-0000-0000-0000B4360000}"/>
    <cellStyle name="40% - Accent1 4 2 6 2 2" xfId="13958" xr:uid="{00000000-0005-0000-0000-0000B5360000}"/>
    <cellStyle name="40% - Accent1 4 2 6 3" xfId="13959" xr:uid="{00000000-0005-0000-0000-0000B6360000}"/>
    <cellStyle name="40% - Accent1 4 2 7" xfId="13960" xr:uid="{00000000-0005-0000-0000-0000B7360000}"/>
    <cellStyle name="40% - Accent1 4 2 7 2" xfId="13961" xr:uid="{00000000-0005-0000-0000-0000B8360000}"/>
    <cellStyle name="40% - Accent1 4 2 8" xfId="13962" xr:uid="{00000000-0005-0000-0000-0000B9360000}"/>
    <cellStyle name="40% - Accent1 4 3" xfId="13963" xr:uid="{00000000-0005-0000-0000-0000BA360000}"/>
    <cellStyle name="40% - Accent1 4 3 2" xfId="13964" xr:uid="{00000000-0005-0000-0000-0000BB360000}"/>
    <cellStyle name="40% - Accent1 4 3 2 2" xfId="13965" xr:uid="{00000000-0005-0000-0000-0000BC360000}"/>
    <cellStyle name="40% - Accent1 4 3 2 2 2" xfId="13966" xr:uid="{00000000-0005-0000-0000-0000BD360000}"/>
    <cellStyle name="40% - Accent1 4 3 2 2 2 2" xfId="13967" xr:uid="{00000000-0005-0000-0000-0000BE360000}"/>
    <cellStyle name="40% - Accent1 4 3 2 2 2 2 2" xfId="13968" xr:uid="{00000000-0005-0000-0000-0000BF360000}"/>
    <cellStyle name="40% - Accent1 4 3 2 2 2 2 2 2" xfId="13969" xr:uid="{00000000-0005-0000-0000-0000C0360000}"/>
    <cellStyle name="40% - Accent1 4 3 2 2 2 2 3" xfId="13970" xr:uid="{00000000-0005-0000-0000-0000C1360000}"/>
    <cellStyle name="40% - Accent1 4 3 2 2 2 3" xfId="13971" xr:uid="{00000000-0005-0000-0000-0000C2360000}"/>
    <cellStyle name="40% - Accent1 4 3 2 2 2 3 2" xfId="13972" xr:uid="{00000000-0005-0000-0000-0000C3360000}"/>
    <cellStyle name="40% - Accent1 4 3 2 2 2 4" xfId="13973" xr:uid="{00000000-0005-0000-0000-0000C4360000}"/>
    <cellStyle name="40% - Accent1 4 3 2 2 3" xfId="13974" xr:uid="{00000000-0005-0000-0000-0000C5360000}"/>
    <cellStyle name="40% - Accent1 4 3 2 2 3 2" xfId="13975" xr:uid="{00000000-0005-0000-0000-0000C6360000}"/>
    <cellStyle name="40% - Accent1 4 3 2 2 3 2 2" xfId="13976" xr:uid="{00000000-0005-0000-0000-0000C7360000}"/>
    <cellStyle name="40% - Accent1 4 3 2 2 3 3" xfId="13977" xr:uid="{00000000-0005-0000-0000-0000C8360000}"/>
    <cellStyle name="40% - Accent1 4 3 2 2 4" xfId="13978" xr:uid="{00000000-0005-0000-0000-0000C9360000}"/>
    <cellStyle name="40% - Accent1 4 3 2 2 4 2" xfId="13979" xr:uid="{00000000-0005-0000-0000-0000CA360000}"/>
    <cellStyle name="40% - Accent1 4 3 2 2 5" xfId="13980" xr:uid="{00000000-0005-0000-0000-0000CB360000}"/>
    <cellStyle name="40% - Accent1 4 3 2 3" xfId="13981" xr:uid="{00000000-0005-0000-0000-0000CC360000}"/>
    <cellStyle name="40% - Accent1 4 3 2 3 2" xfId="13982" xr:uid="{00000000-0005-0000-0000-0000CD360000}"/>
    <cellStyle name="40% - Accent1 4 3 2 3 2 2" xfId="13983" xr:uid="{00000000-0005-0000-0000-0000CE360000}"/>
    <cellStyle name="40% - Accent1 4 3 2 3 2 2 2" xfId="13984" xr:uid="{00000000-0005-0000-0000-0000CF360000}"/>
    <cellStyle name="40% - Accent1 4 3 2 3 2 3" xfId="13985" xr:uid="{00000000-0005-0000-0000-0000D0360000}"/>
    <cellStyle name="40% - Accent1 4 3 2 3 3" xfId="13986" xr:uid="{00000000-0005-0000-0000-0000D1360000}"/>
    <cellStyle name="40% - Accent1 4 3 2 3 3 2" xfId="13987" xr:uid="{00000000-0005-0000-0000-0000D2360000}"/>
    <cellStyle name="40% - Accent1 4 3 2 3 4" xfId="13988" xr:uid="{00000000-0005-0000-0000-0000D3360000}"/>
    <cellStyle name="40% - Accent1 4 3 2 4" xfId="13989" xr:uid="{00000000-0005-0000-0000-0000D4360000}"/>
    <cellStyle name="40% - Accent1 4 3 2 4 2" xfId="13990" xr:uid="{00000000-0005-0000-0000-0000D5360000}"/>
    <cellStyle name="40% - Accent1 4 3 2 4 2 2" xfId="13991" xr:uid="{00000000-0005-0000-0000-0000D6360000}"/>
    <cellStyle name="40% - Accent1 4 3 2 4 3" xfId="13992" xr:uid="{00000000-0005-0000-0000-0000D7360000}"/>
    <cellStyle name="40% - Accent1 4 3 2 5" xfId="13993" xr:uid="{00000000-0005-0000-0000-0000D8360000}"/>
    <cellStyle name="40% - Accent1 4 3 2 5 2" xfId="13994" xr:uid="{00000000-0005-0000-0000-0000D9360000}"/>
    <cellStyle name="40% - Accent1 4 3 2 6" xfId="13995" xr:uid="{00000000-0005-0000-0000-0000DA360000}"/>
    <cellStyle name="40% - Accent1 4 3 3" xfId="13996" xr:uid="{00000000-0005-0000-0000-0000DB360000}"/>
    <cellStyle name="40% - Accent1 4 3 3 2" xfId="13997" xr:uid="{00000000-0005-0000-0000-0000DC360000}"/>
    <cellStyle name="40% - Accent1 4 3 3 2 2" xfId="13998" xr:uid="{00000000-0005-0000-0000-0000DD360000}"/>
    <cellStyle name="40% - Accent1 4 3 3 2 2 2" xfId="13999" xr:uid="{00000000-0005-0000-0000-0000DE360000}"/>
    <cellStyle name="40% - Accent1 4 3 3 2 2 2 2" xfId="14000" xr:uid="{00000000-0005-0000-0000-0000DF360000}"/>
    <cellStyle name="40% - Accent1 4 3 3 2 2 3" xfId="14001" xr:uid="{00000000-0005-0000-0000-0000E0360000}"/>
    <cellStyle name="40% - Accent1 4 3 3 2 3" xfId="14002" xr:uid="{00000000-0005-0000-0000-0000E1360000}"/>
    <cellStyle name="40% - Accent1 4 3 3 2 3 2" xfId="14003" xr:uid="{00000000-0005-0000-0000-0000E2360000}"/>
    <cellStyle name="40% - Accent1 4 3 3 2 4" xfId="14004" xr:uid="{00000000-0005-0000-0000-0000E3360000}"/>
    <cellStyle name="40% - Accent1 4 3 3 3" xfId="14005" xr:uid="{00000000-0005-0000-0000-0000E4360000}"/>
    <cellStyle name="40% - Accent1 4 3 3 3 2" xfId="14006" xr:uid="{00000000-0005-0000-0000-0000E5360000}"/>
    <cellStyle name="40% - Accent1 4 3 3 3 2 2" xfId="14007" xr:uid="{00000000-0005-0000-0000-0000E6360000}"/>
    <cellStyle name="40% - Accent1 4 3 3 3 3" xfId="14008" xr:uid="{00000000-0005-0000-0000-0000E7360000}"/>
    <cellStyle name="40% - Accent1 4 3 3 4" xfId="14009" xr:uid="{00000000-0005-0000-0000-0000E8360000}"/>
    <cellStyle name="40% - Accent1 4 3 3 4 2" xfId="14010" xr:uid="{00000000-0005-0000-0000-0000E9360000}"/>
    <cellStyle name="40% - Accent1 4 3 3 5" xfId="14011" xr:uid="{00000000-0005-0000-0000-0000EA360000}"/>
    <cellStyle name="40% - Accent1 4 3 4" xfId="14012" xr:uid="{00000000-0005-0000-0000-0000EB360000}"/>
    <cellStyle name="40% - Accent1 4 3 4 2" xfId="14013" xr:uid="{00000000-0005-0000-0000-0000EC360000}"/>
    <cellStyle name="40% - Accent1 4 3 4 2 2" xfId="14014" xr:uid="{00000000-0005-0000-0000-0000ED360000}"/>
    <cellStyle name="40% - Accent1 4 3 4 2 2 2" xfId="14015" xr:uid="{00000000-0005-0000-0000-0000EE360000}"/>
    <cellStyle name="40% - Accent1 4 3 4 2 3" xfId="14016" xr:uid="{00000000-0005-0000-0000-0000EF360000}"/>
    <cellStyle name="40% - Accent1 4 3 4 3" xfId="14017" xr:uid="{00000000-0005-0000-0000-0000F0360000}"/>
    <cellStyle name="40% - Accent1 4 3 4 3 2" xfId="14018" xr:uid="{00000000-0005-0000-0000-0000F1360000}"/>
    <cellStyle name="40% - Accent1 4 3 4 4" xfId="14019" xr:uid="{00000000-0005-0000-0000-0000F2360000}"/>
    <cellStyle name="40% - Accent1 4 3 5" xfId="14020" xr:uid="{00000000-0005-0000-0000-0000F3360000}"/>
    <cellStyle name="40% - Accent1 4 3 5 2" xfId="14021" xr:uid="{00000000-0005-0000-0000-0000F4360000}"/>
    <cellStyle name="40% - Accent1 4 3 5 2 2" xfId="14022" xr:uid="{00000000-0005-0000-0000-0000F5360000}"/>
    <cellStyle name="40% - Accent1 4 3 5 3" xfId="14023" xr:uid="{00000000-0005-0000-0000-0000F6360000}"/>
    <cellStyle name="40% - Accent1 4 3 6" xfId="14024" xr:uid="{00000000-0005-0000-0000-0000F7360000}"/>
    <cellStyle name="40% - Accent1 4 3 6 2" xfId="14025" xr:uid="{00000000-0005-0000-0000-0000F8360000}"/>
    <cellStyle name="40% - Accent1 4 3 7" xfId="14026" xr:uid="{00000000-0005-0000-0000-0000F9360000}"/>
    <cellStyle name="40% - Accent1 4 4" xfId="14027" xr:uid="{00000000-0005-0000-0000-0000FA360000}"/>
    <cellStyle name="40% - Accent1 4 4 2" xfId="14028" xr:uid="{00000000-0005-0000-0000-0000FB360000}"/>
    <cellStyle name="40% - Accent1 4 4 2 2" xfId="14029" xr:uid="{00000000-0005-0000-0000-0000FC360000}"/>
    <cellStyle name="40% - Accent1 4 4 2 2 2" xfId="14030" xr:uid="{00000000-0005-0000-0000-0000FD360000}"/>
    <cellStyle name="40% - Accent1 4 4 2 2 2 2" xfId="14031" xr:uid="{00000000-0005-0000-0000-0000FE360000}"/>
    <cellStyle name="40% - Accent1 4 4 2 2 2 2 2" xfId="14032" xr:uid="{00000000-0005-0000-0000-0000FF360000}"/>
    <cellStyle name="40% - Accent1 4 4 2 2 2 3" xfId="14033" xr:uid="{00000000-0005-0000-0000-000000370000}"/>
    <cellStyle name="40% - Accent1 4 4 2 2 3" xfId="14034" xr:uid="{00000000-0005-0000-0000-000001370000}"/>
    <cellStyle name="40% - Accent1 4 4 2 2 3 2" xfId="14035" xr:uid="{00000000-0005-0000-0000-000002370000}"/>
    <cellStyle name="40% - Accent1 4 4 2 2 4" xfId="14036" xr:uid="{00000000-0005-0000-0000-000003370000}"/>
    <cellStyle name="40% - Accent1 4 4 2 3" xfId="14037" xr:uid="{00000000-0005-0000-0000-000004370000}"/>
    <cellStyle name="40% - Accent1 4 4 2 3 2" xfId="14038" xr:uid="{00000000-0005-0000-0000-000005370000}"/>
    <cellStyle name="40% - Accent1 4 4 2 3 2 2" xfId="14039" xr:uid="{00000000-0005-0000-0000-000006370000}"/>
    <cellStyle name="40% - Accent1 4 4 2 3 3" xfId="14040" xr:uid="{00000000-0005-0000-0000-000007370000}"/>
    <cellStyle name="40% - Accent1 4 4 2 4" xfId="14041" xr:uid="{00000000-0005-0000-0000-000008370000}"/>
    <cellStyle name="40% - Accent1 4 4 2 4 2" xfId="14042" xr:uid="{00000000-0005-0000-0000-000009370000}"/>
    <cellStyle name="40% - Accent1 4 4 2 5" xfId="14043" xr:uid="{00000000-0005-0000-0000-00000A370000}"/>
    <cellStyle name="40% - Accent1 4 4 3" xfId="14044" xr:uid="{00000000-0005-0000-0000-00000B370000}"/>
    <cellStyle name="40% - Accent1 4 4 3 2" xfId="14045" xr:uid="{00000000-0005-0000-0000-00000C370000}"/>
    <cellStyle name="40% - Accent1 4 4 3 2 2" xfId="14046" xr:uid="{00000000-0005-0000-0000-00000D370000}"/>
    <cellStyle name="40% - Accent1 4 4 3 2 2 2" xfId="14047" xr:uid="{00000000-0005-0000-0000-00000E370000}"/>
    <cellStyle name="40% - Accent1 4 4 3 2 3" xfId="14048" xr:uid="{00000000-0005-0000-0000-00000F370000}"/>
    <cellStyle name="40% - Accent1 4 4 3 3" xfId="14049" xr:uid="{00000000-0005-0000-0000-000010370000}"/>
    <cellStyle name="40% - Accent1 4 4 3 3 2" xfId="14050" xr:uid="{00000000-0005-0000-0000-000011370000}"/>
    <cellStyle name="40% - Accent1 4 4 3 4" xfId="14051" xr:uid="{00000000-0005-0000-0000-000012370000}"/>
    <cellStyle name="40% - Accent1 4 4 4" xfId="14052" xr:uid="{00000000-0005-0000-0000-000013370000}"/>
    <cellStyle name="40% - Accent1 4 4 4 2" xfId="14053" xr:uid="{00000000-0005-0000-0000-000014370000}"/>
    <cellStyle name="40% - Accent1 4 4 4 2 2" xfId="14054" xr:uid="{00000000-0005-0000-0000-000015370000}"/>
    <cellStyle name="40% - Accent1 4 4 4 3" xfId="14055" xr:uid="{00000000-0005-0000-0000-000016370000}"/>
    <cellStyle name="40% - Accent1 4 4 5" xfId="14056" xr:uid="{00000000-0005-0000-0000-000017370000}"/>
    <cellStyle name="40% - Accent1 4 4 5 2" xfId="14057" xr:uid="{00000000-0005-0000-0000-000018370000}"/>
    <cellStyle name="40% - Accent1 4 4 6" xfId="14058" xr:uid="{00000000-0005-0000-0000-000019370000}"/>
    <cellStyle name="40% - Accent1 4 5" xfId="14059" xr:uid="{00000000-0005-0000-0000-00001A370000}"/>
    <cellStyle name="40% - Accent1 4 5 2" xfId="14060" xr:uid="{00000000-0005-0000-0000-00001B370000}"/>
    <cellStyle name="40% - Accent1 4 5 2 2" xfId="14061" xr:uid="{00000000-0005-0000-0000-00001C370000}"/>
    <cellStyle name="40% - Accent1 4 5 2 2 2" xfId="14062" xr:uid="{00000000-0005-0000-0000-00001D370000}"/>
    <cellStyle name="40% - Accent1 4 5 2 2 2 2" xfId="14063" xr:uid="{00000000-0005-0000-0000-00001E370000}"/>
    <cellStyle name="40% - Accent1 4 5 2 2 3" xfId="14064" xr:uid="{00000000-0005-0000-0000-00001F370000}"/>
    <cellStyle name="40% - Accent1 4 5 2 3" xfId="14065" xr:uid="{00000000-0005-0000-0000-000020370000}"/>
    <cellStyle name="40% - Accent1 4 5 2 3 2" xfId="14066" xr:uid="{00000000-0005-0000-0000-000021370000}"/>
    <cellStyle name="40% - Accent1 4 5 2 4" xfId="14067" xr:uid="{00000000-0005-0000-0000-000022370000}"/>
    <cellStyle name="40% - Accent1 4 5 3" xfId="14068" xr:uid="{00000000-0005-0000-0000-000023370000}"/>
    <cellStyle name="40% - Accent1 4 5 3 2" xfId="14069" xr:uid="{00000000-0005-0000-0000-000024370000}"/>
    <cellStyle name="40% - Accent1 4 5 3 2 2" xfId="14070" xr:uid="{00000000-0005-0000-0000-000025370000}"/>
    <cellStyle name="40% - Accent1 4 5 3 3" xfId="14071" xr:uid="{00000000-0005-0000-0000-000026370000}"/>
    <cellStyle name="40% - Accent1 4 5 4" xfId="14072" xr:uid="{00000000-0005-0000-0000-000027370000}"/>
    <cellStyle name="40% - Accent1 4 5 4 2" xfId="14073" xr:uid="{00000000-0005-0000-0000-000028370000}"/>
    <cellStyle name="40% - Accent1 4 5 5" xfId="14074" xr:uid="{00000000-0005-0000-0000-000029370000}"/>
    <cellStyle name="40% - Accent1 4 6" xfId="14075" xr:uid="{00000000-0005-0000-0000-00002A370000}"/>
    <cellStyle name="40% - Accent1 4 6 2" xfId="14076" xr:uid="{00000000-0005-0000-0000-00002B370000}"/>
    <cellStyle name="40% - Accent1 4 6 2 2" xfId="14077" xr:uid="{00000000-0005-0000-0000-00002C370000}"/>
    <cellStyle name="40% - Accent1 4 6 2 2 2" xfId="14078" xr:uid="{00000000-0005-0000-0000-00002D370000}"/>
    <cellStyle name="40% - Accent1 4 6 2 3" xfId="14079" xr:uid="{00000000-0005-0000-0000-00002E370000}"/>
    <cellStyle name="40% - Accent1 4 6 3" xfId="14080" xr:uid="{00000000-0005-0000-0000-00002F370000}"/>
    <cellStyle name="40% - Accent1 4 6 3 2" xfId="14081" xr:uid="{00000000-0005-0000-0000-000030370000}"/>
    <cellStyle name="40% - Accent1 4 6 4" xfId="14082" xr:uid="{00000000-0005-0000-0000-000031370000}"/>
    <cellStyle name="40% - Accent1 4 7" xfId="14083" xr:uid="{00000000-0005-0000-0000-000032370000}"/>
    <cellStyle name="40% - Accent1 4 7 2" xfId="14084" xr:uid="{00000000-0005-0000-0000-000033370000}"/>
    <cellStyle name="40% - Accent1 4 7 2 2" xfId="14085" xr:uid="{00000000-0005-0000-0000-000034370000}"/>
    <cellStyle name="40% - Accent1 4 7 3" xfId="14086" xr:uid="{00000000-0005-0000-0000-000035370000}"/>
    <cellStyle name="40% - Accent1 4 8" xfId="14087" xr:uid="{00000000-0005-0000-0000-000036370000}"/>
    <cellStyle name="40% - Accent1 4 8 2" xfId="14088" xr:uid="{00000000-0005-0000-0000-000037370000}"/>
    <cellStyle name="40% - Accent1 4 9" xfId="14089" xr:uid="{00000000-0005-0000-0000-000038370000}"/>
    <cellStyle name="40% - Accent1 5" xfId="14090" xr:uid="{00000000-0005-0000-0000-000039370000}"/>
    <cellStyle name="40% - Accent1 5 2" xfId="14091" xr:uid="{00000000-0005-0000-0000-00003A370000}"/>
    <cellStyle name="40% - Accent1 5 2 2" xfId="14092" xr:uid="{00000000-0005-0000-0000-00003B370000}"/>
    <cellStyle name="40% - Accent1 5 2 2 2" xfId="14093" xr:uid="{00000000-0005-0000-0000-00003C370000}"/>
    <cellStyle name="40% - Accent1 5 2 2 2 2" xfId="14094" xr:uid="{00000000-0005-0000-0000-00003D370000}"/>
    <cellStyle name="40% - Accent1 5 2 2 2 2 2" xfId="14095" xr:uid="{00000000-0005-0000-0000-00003E370000}"/>
    <cellStyle name="40% - Accent1 5 2 2 2 2 2 2" xfId="14096" xr:uid="{00000000-0005-0000-0000-00003F370000}"/>
    <cellStyle name="40% - Accent1 5 2 2 2 2 2 2 2" xfId="14097" xr:uid="{00000000-0005-0000-0000-000040370000}"/>
    <cellStyle name="40% - Accent1 5 2 2 2 2 2 3" xfId="14098" xr:uid="{00000000-0005-0000-0000-000041370000}"/>
    <cellStyle name="40% - Accent1 5 2 2 2 2 3" xfId="14099" xr:uid="{00000000-0005-0000-0000-000042370000}"/>
    <cellStyle name="40% - Accent1 5 2 2 2 2 3 2" xfId="14100" xr:uid="{00000000-0005-0000-0000-000043370000}"/>
    <cellStyle name="40% - Accent1 5 2 2 2 2 4" xfId="14101" xr:uid="{00000000-0005-0000-0000-000044370000}"/>
    <cellStyle name="40% - Accent1 5 2 2 2 3" xfId="14102" xr:uid="{00000000-0005-0000-0000-000045370000}"/>
    <cellStyle name="40% - Accent1 5 2 2 2 3 2" xfId="14103" xr:uid="{00000000-0005-0000-0000-000046370000}"/>
    <cellStyle name="40% - Accent1 5 2 2 2 3 2 2" xfId="14104" xr:uid="{00000000-0005-0000-0000-000047370000}"/>
    <cellStyle name="40% - Accent1 5 2 2 2 3 3" xfId="14105" xr:uid="{00000000-0005-0000-0000-000048370000}"/>
    <cellStyle name="40% - Accent1 5 2 2 2 4" xfId="14106" xr:uid="{00000000-0005-0000-0000-000049370000}"/>
    <cellStyle name="40% - Accent1 5 2 2 2 4 2" xfId="14107" xr:uid="{00000000-0005-0000-0000-00004A370000}"/>
    <cellStyle name="40% - Accent1 5 2 2 2 5" xfId="14108" xr:uid="{00000000-0005-0000-0000-00004B370000}"/>
    <cellStyle name="40% - Accent1 5 2 2 3" xfId="14109" xr:uid="{00000000-0005-0000-0000-00004C370000}"/>
    <cellStyle name="40% - Accent1 5 2 2 3 2" xfId="14110" xr:uid="{00000000-0005-0000-0000-00004D370000}"/>
    <cellStyle name="40% - Accent1 5 2 2 3 2 2" xfId="14111" xr:uid="{00000000-0005-0000-0000-00004E370000}"/>
    <cellStyle name="40% - Accent1 5 2 2 3 2 2 2" xfId="14112" xr:uid="{00000000-0005-0000-0000-00004F370000}"/>
    <cellStyle name="40% - Accent1 5 2 2 3 2 3" xfId="14113" xr:uid="{00000000-0005-0000-0000-000050370000}"/>
    <cellStyle name="40% - Accent1 5 2 2 3 3" xfId="14114" xr:uid="{00000000-0005-0000-0000-000051370000}"/>
    <cellStyle name="40% - Accent1 5 2 2 3 3 2" xfId="14115" xr:uid="{00000000-0005-0000-0000-000052370000}"/>
    <cellStyle name="40% - Accent1 5 2 2 3 4" xfId="14116" xr:uid="{00000000-0005-0000-0000-000053370000}"/>
    <cellStyle name="40% - Accent1 5 2 2 4" xfId="14117" xr:uid="{00000000-0005-0000-0000-000054370000}"/>
    <cellStyle name="40% - Accent1 5 2 2 4 2" xfId="14118" xr:uid="{00000000-0005-0000-0000-000055370000}"/>
    <cellStyle name="40% - Accent1 5 2 2 4 2 2" xfId="14119" xr:uid="{00000000-0005-0000-0000-000056370000}"/>
    <cellStyle name="40% - Accent1 5 2 2 4 3" xfId="14120" xr:uid="{00000000-0005-0000-0000-000057370000}"/>
    <cellStyle name="40% - Accent1 5 2 2 5" xfId="14121" xr:uid="{00000000-0005-0000-0000-000058370000}"/>
    <cellStyle name="40% - Accent1 5 2 2 5 2" xfId="14122" xr:uid="{00000000-0005-0000-0000-000059370000}"/>
    <cellStyle name="40% - Accent1 5 2 2 6" xfId="14123" xr:uid="{00000000-0005-0000-0000-00005A370000}"/>
    <cellStyle name="40% - Accent1 5 2 3" xfId="14124" xr:uid="{00000000-0005-0000-0000-00005B370000}"/>
    <cellStyle name="40% - Accent1 5 2 3 2" xfId="14125" xr:uid="{00000000-0005-0000-0000-00005C370000}"/>
    <cellStyle name="40% - Accent1 5 2 3 2 2" xfId="14126" xr:uid="{00000000-0005-0000-0000-00005D370000}"/>
    <cellStyle name="40% - Accent1 5 2 3 2 2 2" xfId="14127" xr:uid="{00000000-0005-0000-0000-00005E370000}"/>
    <cellStyle name="40% - Accent1 5 2 3 2 2 2 2" xfId="14128" xr:uid="{00000000-0005-0000-0000-00005F370000}"/>
    <cellStyle name="40% - Accent1 5 2 3 2 2 3" xfId="14129" xr:uid="{00000000-0005-0000-0000-000060370000}"/>
    <cellStyle name="40% - Accent1 5 2 3 2 3" xfId="14130" xr:uid="{00000000-0005-0000-0000-000061370000}"/>
    <cellStyle name="40% - Accent1 5 2 3 2 3 2" xfId="14131" xr:uid="{00000000-0005-0000-0000-000062370000}"/>
    <cellStyle name="40% - Accent1 5 2 3 2 4" xfId="14132" xr:uid="{00000000-0005-0000-0000-000063370000}"/>
    <cellStyle name="40% - Accent1 5 2 3 3" xfId="14133" xr:uid="{00000000-0005-0000-0000-000064370000}"/>
    <cellStyle name="40% - Accent1 5 2 3 3 2" xfId="14134" xr:uid="{00000000-0005-0000-0000-000065370000}"/>
    <cellStyle name="40% - Accent1 5 2 3 3 2 2" xfId="14135" xr:uid="{00000000-0005-0000-0000-000066370000}"/>
    <cellStyle name="40% - Accent1 5 2 3 3 3" xfId="14136" xr:uid="{00000000-0005-0000-0000-000067370000}"/>
    <cellStyle name="40% - Accent1 5 2 3 4" xfId="14137" xr:uid="{00000000-0005-0000-0000-000068370000}"/>
    <cellStyle name="40% - Accent1 5 2 3 4 2" xfId="14138" xr:uid="{00000000-0005-0000-0000-000069370000}"/>
    <cellStyle name="40% - Accent1 5 2 3 5" xfId="14139" xr:uid="{00000000-0005-0000-0000-00006A370000}"/>
    <cellStyle name="40% - Accent1 5 2 4" xfId="14140" xr:uid="{00000000-0005-0000-0000-00006B370000}"/>
    <cellStyle name="40% - Accent1 5 2 4 2" xfId="14141" xr:uid="{00000000-0005-0000-0000-00006C370000}"/>
    <cellStyle name="40% - Accent1 5 2 4 2 2" xfId="14142" xr:uid="{00000000-0005-0000-0000-00006D370000}"/>
    <cellStyle name="40% - Accent1 5 2 4 2 2 2" xfId="14143" xr:uid="{00000000-0005-0000-0000-00006E370000}"/>
    <cellStyle name="40% - Accent1 5 2 4 2 3" xfId="14144" xr:uid="{00000000-0005-0000-0000-00006F370000}"/>
    <cellStyle name="40% - Accent1 5 2 4 3" xfId="14145" xr:uid="{00000000-0005-0000-0000-000070370000}"/>
    <cellStyle name="40% - Accent1 5 2 4 3 2" xfId="14146" xr:uid="{00000000-0005-0000-0000-000071370000}"/>
    <cellStyle name="40% - Accent1 5 2 4 4" xfId="14147" xr:uid="{00000000-0005-0000-0000-000072370000}"/>
    <cellStyle name="40% - Accent1 5 2 5" xfId="14148" xr:uid="{00000000-0005-0000-0000-000073370000}"/>
    <cellStyle name="40% - Accent1 5 2 5 2" xfId="14149" xr:uid="{00000000-0005-0000-0000-000074370000}"/>
    <cellStyle name="40% - Accent1 5 2 5 2 2" xfId="14150" xr:uid="{00000000-0005-0000-0000-000075370000}"/>
    <cellStyle name="40% - Accent1 5 2 5 3" xfId="14151" xr:uid="{00000000-0005-0000-0000-000076370000}"/>
    <cellStyle name="40% - Accent1 5 2 6" xfId="14152" xr:uid="{00000000-0005-0000-0000-000077370000}"/>
    <cellStyle name="40% - Accent1 5 2 6 2" xfId="14153" xr:uid="{00000000-0005-0000-0000-000078370000}"/>
    <cellStyle name="40% - Accent1 5 2 7" xfId="14154" xr:uid="{00000000-0005-0000-0000-000079370000}"/>
    <cellStyle name="40% - Accent1 5 3" xfId="14155" xr:uid="{00000000-0005-0000-0000-00007A370000}"/>
    <cellStyle name="40% - Accent1 5 3 2" xfId="14156" xr:uid="{00000000-0005-0000-0000-00007B370000}"/>
    <cellStyle name="40% - Accent1 5 3 2 2" xfId="14157" xr:uid="{00000000-0005-0000-0000-00007C370000}"/>
    <cellStyle name="40% - Accent1 5 3 2 2 2" xfId="14158" xr:uid="{00000000-0005-0000-0000-00007D370000}"/>
    <cellStyle name="40% - Accent1 5 3 2 2 2 2" xfId="14159" xr:uid="{00000000-0005-0000-0000-00007E370000}"/>
    <cellStyle name="40% - Accent1 5 3 2 2 2 2 2" xfId="14160" xr:uid="{00000000-0005-0000-0000-00007F370000}"/>
    <cellStyle name="40% - Accent1 5 3 2 2 2 3" xfId="14161" xr:uid="{00000000-0005-0000-0000-000080370000}"/>
    <cellStyle name="40% - Accent1 5 3 2 2 3" xfId="14162" xr:uid="{00000000-0005-0000-0000-000081370000}"/>
    <cellStyle name="40% - Accent1 5 3 2 2 3 2" xfId="14163" xr:uid="{00000000-0005-0000-0000-000082370000}"/>
    <cellStyle name="40% - Accent1 5 3 2 2 4" xfId="14164" xr:uid="{00000000-0005-0000-0000-000083370000}"/>
    <cellStyle name="40% - Accent1 5 3 2 3" xfId="14165" xr:uid="{00000000-0005-0000-0000-000084370000}"/>
    <cellStyle name="40% - Accent1 5 3 2 3 2" xfId="14166" xr:uid="{00000000-0005-0000-0000-000085370000}"/>
    <cellStyle name="40% - Accent1 5 3 2 3 2 2" xfId="14167" xr:uid="{00000000-0005-0000-0000-000086370000}"/>
    <cellStyle name="40% - Accent1 5 3 2 3 3" xfId="14168" xr:uid="{00000000-0005-0000-0000-000087370000}"/>
    <cellStyle name="40% - Accent1 5 3 2 4" xfId="14169" xr:uid="{00000000-0005-0000-0000-000088370000}"/>
    <cellStyle name="40% - Accent1 5 3 2 4 2" xfId="14170" xr:uid="{00000000-0005-0000-0000-000089370000}"/>
    <cellStyle name="40% - Accent1 5 3 2 5" xfId="14171" xr:uid="{00000000-0005-0000-0000-00008A370000}"/>
    <cellStyle name="40% - Accent1 5 3 3" xfId="14172" xr:uid="{00000000-0005-0000-0000-00008B370000}"/>
    <cellStyle name="40% - Accent1 5 3 3 2" xfId="14173" xr:uid="{00000000-0005-0000-0000-00008C370000}"/>
    <cellStyle name="40% - Accent1 5 3 3 2 2" xfId="14174" xr:uid="{00000000-0005-0000-0000-00008D370000}"/>
    <cellStyle name="40% - Accent1 5 3 3 2 2 2" xfId="14175" xr:uid="{00000000-0005-0000-0000-00008E370000}"/>
    <cellStyle name="40% - Accent1 5 3 3 2 3" xfId="14176" xr:uid="{00000000-0005-0000-0000-00008F370000}"/>
    <cellStyle name="40% - Accent1 5 3 3 3" xfId="14177" xr:uid="{00000000-0005-0000-0000-000090370000}"/>
    <cellStyle name="40% - Accent1 5 3 3 3 2" xfId="14178" xr:uid="{00000000-0005-0000-0000-000091370000}"/>
    <cellStyle name="40% - Accent1 5 3 3 4" xfId="14179" xr:uid="{00000000-0005-0000-0000-000092370000}"/>
    <cellStyle name="40% - Accent1 5 3 4" xfId="14180" xr:uid="{00000000-0005-0000-0000-000093370000}"/>
    <cellStyle name="40% - Accent1 5 3 4 2" xfId="14181" xr:uid="{00000000-0005-0000-0000-000094370000}"/>
    <cellStyle name="40% - Accent1 5 3 4 2 2" xfId="14182" xr:uid="{00000000-0005-0000-0000-000095370000}"/>
    <cellStyle name="40% - Accent1 5 3 4 3" xfId="14183" xr:uid="{00000000-0005-0000-0000-000096370000}"/>
    <cellStyle name="40% - Accent1 5 3 5" xfId="14184" xr:uid="{00000000-0005-0000-0000-000097370000}"/>
    <cellStyle name="40% - Accent1 5 3 5 2" xfId="14185" xr:uid="{00000000-0005-0000-0000-000098370000}"/>
    <cellStyle name="40% - Accent1 5 3 6" xfId="14186" xr:uid="{00000000-0005-0000-0000-000099370000}"/>
    <cellStyle name="40% - Accent1 5 4" xfId="14187" xr:uid="{00000000-0005-0000-0000-00009A370000}"/>
    <cellStyle name="40% - Accent1 5 4 2" xfId="14188" xr:uid="{00000000-0005-0000-0000-00009B370000}"/>
    <cellStyle name="40% - Accent1 5 4 2 2" xfId="14189" xr:uid="{00000000-0005-0000-0000-00009C370000}"/>
    <cellStyle name="40% - Accent1 5 4 2 2 2" xfId="14190" xr:uid="{00000000-0005-0000-0000-00009D370000}"/>
    <cellStyle name="40% - Accent1 5 4 2 2 2 2" xfId="14191" xr:uid="{00000000-0005-0000-0000-00009E370000}"/>
    <cellStyle name="40% - Accent1 5 4 2 2 3" xfId="14192" xr:uid="{00000000-0005-0000-0000-00009F370000}"/>
    <cellStyle name="40% - Accent1 5 4 2 3" xfId="14193" xr:uid="{00000000-0005-0000-0000-0000A0370000}"/>
    <cellStyle name="40% - Accent1 5 4 2 3 2" xfId="14194" xr:uid="{00000000-0005-0000-0000-0000A1370000}"/>
    <cellStyle name="40% - Accent1 5 4 2 4" xfId="14195" xr:uid="{00000000-0005-0000-0000-0000A2370000}"/>
    <cellStyle name="40% - Accent1 5 4 3" xfId="14196" xr:uid="{00000000-0005-0000-0000-0000A3370000}"/>
    <cellStyle name="40% - Accent1 5 4 3 2" xfId="14197" xr:uid="{00000000-0005-0000-0000-0000A4370000}"/>
    <cellStyle name="40% - Accent1 5 4 3 2 2" xfId="14198" xr:uid="{00000000-0005-0000-0000-0000A5370000}"/>
    <cellStyle name="40% - Accent1 5 4 3 3" xfId="14199" xr:uid="{00000000-0005-0000-0000-0000A6370000}"/>
    <cellStyle name="40% - Accent1 5 4 4" xfId="14200" xr:uid="{00000000-0005-0000-0000-0000A7370000}"/>
    <cellStyle name="40% - Accent1 5 4 4 2" xfId="14201" xr:uid="{00000000-0005-0000-0000-0000A8370000}"/>
    <cellStyle name="40% - Accent1 5 4 5" xfId="14202" xr:uid="{00000000-0005-0000-0000-0000A9370000}"/>
    <cellStyle name="40% - Accent1 5 5" xfId="14203" xr:uid="{00000000-0005-0000-0000-0000AA370000}"/>
    <cellStyle name="40% - Accent1 5 5 2" xfId="14204" xr:uid="{00000000-0005-0000-0000-0000AB370000}"/>
    <cellStyle name="40% - Accent1 5 5 2 2" xfId="14205" xr:uid="{00000000-0005-0000-0000-0000AC370000}"/>
    <cellStyle name="40% - Accent1 5 5 2 2 2" xfId="14206" xr:uid="{00000000-0005-0000-0000-0000AD370000}"/>
    <cellStyle name="40% - Accent1 5 5 2 3" xfId="14207" xr:uid="{00000000-0005-0000-0000-0000AE370000}"/>
    <cellStyle name="40% - Accent1 5 5 3" xfId="14208" xr:uid="{00000000-0005-0000-0000-0000AF370000}"/>
    <cellStyle name="40% - Accent1 5 5 3 2" xfId="14209" xr:uid="{00000000-0005-0000-0000-0000B0370000}"/>
    <cellStyle name="40% - Accent1 5 5 4" xfId="14210" xr:uid="{00000000-0005-0000-0000-0000B1370000}"/>
    <cellStyle name="40% - Accent1 5 6" xfId="14211" xr:uid="{00000000-0005-0000-0000-0000B2370000}"/>
    <cellStyle name="40% - Accent1 5 6 2" xfId="14212" xr:uid="{00000000-0005-0000-0000-0000B3370000}"/>
    <cellStyle name="40% - Accent1 5 6 2 2" xfId="14213" xr:uid="{00000000-0005-0000-0000-0000B4370000}"/>
    <cellStyle name="40% - Accent1 5 6 3" xfId="14214" xr:uid="{00000000-0005-0000-0000-0000B5370000}"/>
    <cellStyle name="40% - Accent1 5 7" xfId="14215" xr:uid="{00000000-0005-0000-0000-0000B6370000}"/>
    <cellStyle name="40% - Accent1 5 7 2" xfId="14216" xr:uid="{00000000-0005-0000-0000-0000B7370000}"/>
    <cellStyle name="40% - Accent1 5 8" xfId="14217" xr:uid="{00000000-0005-0000-0000-0000B8370000}"/>
    <cellStyle name="40% - Accent1 6" xfId="14218" xr:uid="{00000000-0005-0000-0000-0000B9370000}"/>
    <cellStyle name="40% - Accent1 6 2" xfId="14219" xr:uid="{00000000-0005-0000-0000-0000BA370000}"/>
    <cellStyle name="40% - Accent1 6 2 2" xfId="14220" xr:uid="{00000000-0005-0000-0000-0000BB370000}"/>
    <cellStyle name="40% - Accent1 6 2 2 2" xfId="14221" xr:uid="{00000000-0005-0000-0000-0000BC370000}"/>
    <cellStyle name="40% - Accent1 6 2 2 2 2" xfId="14222" xr:uid="{00000000-0005-0000-0000-0000BD370000}"/>
    <cellStyle name="40% - Accent1 6 2 2 2 2 2" xfId="14223" xr:uid="{00000000-0005-0000-0000-0000BE370000}"/>
    <cellStyle name="40% - Accent1 6 2 2 2 2 2 2" xfId="14224" xr:uid="{00000000-0005-0000-0000-0000BF370000}"/>
    <cellStyle name="40% - Accent1 6 2 2 2 2 3" xfId="14225" xr:uid="{00000000-0005-0000-0000-0000C0370000}"/>
    <cellStyle name="40% - Accent1 6 2 2 2 3" xfId="14226" xr:uid="{00000000-0005-0000-0000-0000C1370000}"/>
    <cellStyle name="40% - Accent1 6 2 2 2 3 2" xfId="14227" xr:uid="{00000000-0005-0000-0000-0000C2370000}"/>
    <cellStyle name="40% - Accent1 6 2 2 2 4" xfId="14228" xr:uid="{00000000-0005-0000-0000-0000C3370000}"/>
    <cellStyle name="40% - Accent1 6 2 2 3" xfId="14229" xr:uid="{00000000-0005-0000-0000-0000C4370000}"/>
    <cellStyle name="40% - Accent1 6 2 2 3 2" xfId="14230" xr:uid="{00000000-0005-0000-0000-0000C5370000}"/>
    <cellStyle name="40% - Accent1 6 2 2 3 2 2" xfId="14231" xr:uid="{00000000-0005-0000-0000-0000C6370000}"/>
    <cellStyle name="40% - Accent1 6 2 2 3 3" xfId="14232" xr:uid="{00000000-0005-0000-0000-0000C7370000}"/>
    <cellStyle name="40% - Accent1 6 2 2 4" xfId="14233" xr:uid="{00000000-0005-0000-0000-0000C8370000}"/>
    <cellStyle name="40% - Accent1 6 2 2 4 2" xfId="14234" xr:uid="{00000000-0005-0000-0000-0000C9370000}"/>
    <cellStyle name="40% - Accent1 6 2 2 5" xfId="14235" xr:uid="{00000000-0005-0000-0000-0000CA370000}"/>
    <cellStyle name="40% - Accent1 6 2 3" xfId="14236" xr:uid="{00000000-0005-0000-0000-0000CB370000}"/>
    <cellStyle name="40% - Accent1 6 2 3 2" xfId="14237" xr:uid="{00000000-0005-0000-0000-0000CC370000}"/>
    <cellStyle name="40% - Accent1 6 2 3 2 2" xfId="14238" xr:uid="{00000000-0005-0000-0000-0000CD370000}"/>
    <cellStyle name="40% - Accent1 6 2 3 2 2 2" xfId="14239" xr:uid="{00000000-0005-0000-0000-0000CE370000}"/>
    <cellStyle name="40% - Accent1 6 2 3 2 3" xfId="14240" xr:uid="{00000000-0005-0000-0000-0000CF370000}"/>
    <cellStyle name="40% - Accent1 6 2 3 3" xfId="14241" xr:uid="{00000000-0005-0000-0000-0000D0370000}"/>
    <cellStyle name="40% - Accent1 6 2 3 3 2" xfId="14242" xr:uid="{00000000-0005-0000-0000-0000D1370000}"/>
    <cellStyle name="40% - Accent1 6 2 3 4" xfId="14243" xr:uid="{00000000-0005-0000-0000-0000D2370000}"/>
    <cellStyle name="40% - Accent1 6 2 4" xfId="14244" xr:uid="{00000000-0005-0000-0000-0000D3370000}"/>
    <cellStyle name="40% - Accent1 6 2 4 2" xfId="14245" xr:uid="{00000000-0005-0000-0000-0000D4370000}"/>
    <cellStyle name="40% - Accent1 6 2 4 2 2" xfId="14246" xr:uid="{00000000-0005-0000-0000-0000D5370000}"/>
    <cellStyle name="40% - Accent1 6 2 4 3" xfId="14247" xr:uid="{00000000-0005-0000-0000-0000D6370000}"/>
    <cellStyle name="40% - Accent1 6 2 5" xfId="14248" xr:uid="{00000000-0005-0000-0000-0000D7370000}"/>
    <cellStyle name="40% - Accent1 6 2 5 2" xfId="14249" xr:uid="{00000000-0005-0000-0000-0000D8370000}"/>
    <cellStyle name="40% - Accent1 6 2 6" xfId="14250" xr:uid="{00000000-0005-0000-0000-0000D9370000}"/>
    <cellStyle name="40% - Accent1 6 3" xfId="14251" xr:uid="{00000000-0005-0000-0000-0000DA370000}"/>
    <cellStyle name="40% - Accent1 6 3 2" xfId="14252" xr:uid="{00000000-0005-0000-0000-0000DB370000}"/>
    <cellStyle name="40% - Accent1 6 3 2 2" xfId="14253" xr:uid="{00000000-0005-0000-0000-0000DC370000}"/>
    <cellStyle name="40% - Accent1 6 3 2 2 2" xfId="14254" xr:uid="{00000000-0005-0000-0000-0000DD370000}"/>
    <cellStyle name="40% - Accent1 6 3 2 2 2 2" xfId="14255" xr:uid="{00000000-0005-0000-0000-0000DE370000}"/>
    <cellStyle name="40% - Accent1 6 3 2 2 3" xfId="14256" xr:uid="{00000000-0005-0000-0000-0000DF370000}"/>
    <cellStyle name="40% - Accent1 6 3 2 3" xfId="14257" xr:uid="{00000000-0005-0000-0000-0000E0370000}"/>
    <cellStyle name="40% - Accent1 6 3 2 3 2" xfId="14258" xr:uid="{00000000-0005-0000-0000-0000E1370000}"/>
    <cellStyle name="40% - Accent1 6 3 2 4" xfId="14259" xr:uid="{00000000-0005-0000-0000-0000E2370000}"/>
    <cellStyle name="40% - Accent1 6 3 3" xfId="14260" xr:uid="{00000000-0005-0000-0000-0000E3370000}"/>
    <cellStyle name="40% - Accent1 6 3 3 2" xfId="14261" xr:uid="{00000000-0005-0000-0000-0000E4370000}"/>
    <cellStyle name="40% - Accent1 6 3 3 2 2" xfId="14262" xr:uid="{00000000-0005-0000-0000-0000E5370000}"/>
    <cellStyle name="40% - Accent1 6 3 3 3" xfId="14263" xr:uid="{00000000-0005-0000-0000-0000E6370000}"/>
    <cellStyle name="40% - Accent1 6 3 4" xfId="14264" xr:uid="{00000000-0005-0000-0000-0000E7370000}"/>
    <cellStyle name="40% - Accent1 6 3 4 2" xfId="14265" xr:uid="{00000000-0005-0000-0000-0000E8370000}"/>
    <cellStyle name="40% - Accent1 6 3 5" xfId="14266" xr:uid="{00000000-0005-0000-0000-0000E9370000}"/>
    <cellStyle name="40% - Accent1 6 4" xfId="14267" xr:uid="{00000000-0005-0000-0000-0000EA370000}"/>
    <cellStyle name="40% - Accent1 6 4 2" xfId="14268" xr:uid="{00000000-0005-0000-0000-0000EB370000}"/>
    <cellStyle name="40% - Accent1 6 4 2 2" xfId="14269" xr:uid="{00000000-0005-0000-0000-0000EC370000}"/>
    <cellStyle name="40% - Accent1 6 4 2 2 2" xfId="14270" xr:uid="{00000000-0005-0000-0000-0000ED370000}"/>
    <cellStyle name="40% - Accent1 6 4 2 3" xfId="14271" xr:uid="{00000000-0005-0000-0000-0000EE370000}"/>
    <cellStyle name="40% - Accent1 6 4 3" xfId="14272" xr:uid="{00000000-0005-0000-0000-0000EF370000}"/>
    <cellStyle name="40% - Accent1 6 4 3 2" xfId="14273" xr:uid="{00000000-0005-0000-0000-0000F0370000}"/>
    <cellStyle name="40% - Accent1 6 4 4" xfId="14274" xr:uid="{00000000-0005-0000-0000-0000F1370000}"/>
    <cellStyle name="40% - Accent1 6 5" xfId="14275" xr:uid="{00000000-0005-0000-0000-0000F2370000}"/>
    <cellStyle name="40% - Accent1 6 5 2" xfId="14276" xr:uid="{00000000-0005-0000-0000-0000F3370000}"/>
    <cellStyle name="40% - Accent1 6 5 2 2" xfId="14277" xr:uid="{00000000-0005-0000-0000-0000F4370000}"/>
    <cellStyle name="40% - Accent1 6 5 3" xfId="14278" xr:uid="{00000000-0005-0000-0000-0000F5370000}"/>
    <cellStyle name="40% - Accent1 6 6" xfId="14279" xr:uid="{00000000-0005-0000-0000-0000F6370000}"/>
    <cellStyle name="40% - Accent1 6 6 2" xfId="14280" xr:uid="{00000000-0005-0000-0000-0000F7370000}"/>
    <cellStyle name="40% - Accent1 6 7" xfId="14281" xr:uid="{00000000-0005-0000-0000-0000F8370000}"/>
    <cellStyle name="40% - Accent1 7" xfId="14282" xr:uid="{00000000-0005-0000-0000-0000F9370000}"/>
    <cellStyle name="40% - Accent1 7 2" xfId="14283" xr:uid="{00000000-0005-0000-0000-0000FA370000}"/>
    <cellStyle name="40% - Accent1 7 2 2" xfId="14284" xr:uid="{00000000-0005-0000-0000-0000FB370000}"/>
    <cellStyle name="40% - Accent1 7 2 2 2" xfId="14285" xr:uid="{00000000-0005-0000-0000-0000FC370000}"/>
    <cellStyle name="40% - Accent1 7 2 2 2 2" xfId="14286" xr:uid="{00000000-0005-0000-0000-0000FD370000}"/>
    <cellStyle name="40% - Accent1 7 2 2 2 2 2" xfId="14287" xr:uid="{00000000-0005-0000-0000-0000FE370000}"/>
    <cellStyle name="40% - Accent1 7 2 2 2 3" xfId="14288" xr:uid="{00000000-0005-0000-0000-0000FF370000}"/>
    <cellStyle name="40% - Accent1 7 2 2 3" xfId="14289" xr:uid="{00000000-0005-0000-0000-000000380000}"/>
    <cellStyle name="40% - Accent1 7 2 2 3 2" xfId="14290" xr:uid="{00000000-0005-0000-0000-000001380000}"/>
    <cellStyle name="40% - Accent1 7 2 2 4" xfId="14291" xr:uid="{00000000-0005-0000-0000-000002380000}"/>
    <cellStyle name="40% - Accent1 7 2 3" xfId="14292" xr:uid="{00000000-0005-0000-0000-000003380000}"/>
    <cellStyle name="40% - Accent1 7 2 3 2" xfId="14293" xr:uid="{00000000-0005-0000-0000-000004380000}"/>
    <cellStyle name="40% - Accent1 7 2 3 2 2" xfId="14294" xr:uid="{00000000-0005-0000-0000-000005380000}"/>
    <cellStyle name="40% - Accent1 7 2 3 3" xfId="14295" xr:uid="{00000000-0005-0000-0000-000006380000}"/>
    <cellStyle name="40% - Accent1 7 2 4" xfId="14296" xr:uid="{00000000-0005-0000-0000-000007380000}"/>
    <cellStyle name="40% - Accent1 7 2 4 2" xfId="14297" xr:uid="{00000000-0005-0000-0000-000008380000}"/>
    <cellStyle name="40% - Accent1 7 2 5" xfId="14298" xr:uid="{00000000-0005-0000-0000-000009380000}"/>
    <cellStyle name="40% - Accent1 7 3" xfId="14299" xr:uid="{00000000-0005-0000-0000-00000A380000}"/>
    <cellStyle name="40% - Accent1 7 3 2" xfId="14300" xr:uid="{00000000-0005-0000-0000-00000B380000}"/>
    <cellStyle name="40% - Accent1 7 3 2 2" xfId="14301" xr:uid="{00000000-0005-0000-0000-00000C380000}"/>
    <cellStyle name="40% - Accent1 7 3 2 2 2" xfId="14302" xr:uid="{00000000-0005-0000-0000-00000D380000}"/>
    <cellStyle name="40% - Accent1 7 3 2 3" xfId="14303" xr:uid="{00000000-0005-0000-0000-00000E380000}"/>
    <cellStyle name="40% - Accent1 7 3 3" xfId="14304" xr:uid="{00000000-0005-0000-0000-00000F380000}"/>
    <cellStyle name="40% - Accent1 7 3 3 2" xfId="14305" xr:uid="{00000000-0005-0000-0000-000010380000}"/>
    <cellStyle name="40% - Accent1 7 3 4" xfId="14306" xr:uid="{00000000-0005-0000-0000-000011380000}"/>
    <cellStyle name="40% - Accent1 7 4" xfId="14307" xr:uid="{00000000-0005-0000-0000-000012380000}"/>
    <cellStyle name="40% - Accent1 7 4 2" xfId="14308" xr:uid="{00000000-0005-0000-0000-000013380000}"/>
    <cellStyle name="40% - Accent1 7 4 2 2" xfId="14309" xr:uid="{00000000-0005-0000-0000-000014380000}"/>
    <cellStyle name="40% - Accent1 7 4 3" xfId="14310" xr:uid="{00000000-0005-0000-0000-000015380000}"/>
    <cellStyle name="40% - Accent1 7 5" xfId="14311" xr:uid="{00000000-0005-0000-0000-000016380000}"/>
    <cellStyle name="40% - Accent1 7 5 2" xfId="14312" xr:uid="{00000000-0005-0000-0000-000017380000}"/>
    <cellStyle name="40% - Accent1 7 6" xfId="14313" xr:uid="{00000000-0005-0000-0000-000018380000}"/>
    <cellStyle name="40% - Accent1 8" xfId="14314" xr:uid="{00000000-0005-0000-0000-000019380000}"/>
    <cellStyle name="40% - Accent1 8 2" xfId="14315" xr:uid="{00000000-0005-0000-0000-00001A380000}"/>
    <cellStyle name="40% - Accent1 8 2 2" xfId="14316" xr:uid="{00000000-0005-0000-0000-00001B380000}"/>
    <cellStyle name="40% - Accent1 8 2 2 2" xfId="14317" xr:uid="{00000000-0005-0000-0000-00001C380000}"/>
    <cellStyle name="40% - Accent1 8 2 2 2 2" xfId="14318" xr:uid="{00000000-0005-0000-0000-00001D380000}"/>
    <cellStyle name="40% - Accent1 8 2 2 3" xfId="14319" xr:uid="{00000000-0005-0000-0000-00001E380000}"/>
    <cellStyle name="40% - Accent1 8 2 3" xfId="14320" xr:uid="{00000000-0005-0000-0000-00001F380000}"/>
    <cellStyle name="40% - Accent1 8 2 3 2" xfId="14321" xr:uid="{00000000-0005-0000-0000-000020380000}"/>
    <cellStyle name="40% - Accent1 8 2 4" xfId="14322" xr:uid="{00000000-0005-0000-0000-000021380000}"/>
    <cellStyle name="40% - Accent1 8 3" xfId="14323" xr:uid="{00000000-0005-0000-0000-000022380000}"/>
    <cellStyle name="40% - Accent1 8 3 2" xfId="14324" xr:uid="{00000000-0005-0000-0000-000023380000}"/>
    <cellStyle name="40% - Accent1 8 3 2 2" xfId="14325" xr:uid="{00000000-0005-0000-0000-000024380000}"/>
    <cellStyle name="40% - Accent1 8 3 3" xfId="14326" xr:uid="{00000000-0005-0000-0000-000025380000}"/>
    <cellStyle name="40% - Accent1 8 4" xfId="14327" xr:uid="{00000000-0005-0000-0000-000026380000}"/>
    <cellStyle name="40% - Accent1 8 4 2" xfId="14328" xr:uid="{00000000-0005-0000-0000-000027380000}"/>
    <cellStyle name="40% - Accent1 8 5" xfId="14329" xr:uid="{00000000-0005-0000-0000-000028380000}"/>
    <cellStyle name="40% - Accent1 9" xfId="14330" xr:uid="{00000000-0005-0000-0000-000029380000}"/>
    <cellStyle name="40% - Accent1 9 2" xfId="14331" xr:uid="{00000000-0005-0000-0000-00002A380000}"/>
    <cellStyle name="40% - Accent1 9 2 2" xfId="14332" xr:uid="{00000000-0005-0000-0000-00002B380000}"/>
    <cellStyle name="40% - Accent1 9 2 2 2" xfId="14333" xr:uid="{00000000-0005-0000-0000-00002C380000}"/>
    <cellStyle name="40% - Accent1 9 2 3" xfId="14334" xr:uid="{00000000-0005-0000-0000-00002D380000}"/>
    <cellStyle name="40% - Accent1 9 3" xfId="14335" xr:uid="{00000000-0005-0000-0000-00002E380000}"/>
    <cellStyle name="40% - Accent1 9 3 2" xfId="14336" xr:uid="{00000000-0005-0000-0000-00002F380000}"/>
    <cellStyle name="40% - Accent1 9 4" xfId="14337" xr:uid="{00000000-0005-0000-0000-000030380000}"/>
    <cellStyle name="40% - Accent2 10" xfId="14338" xr:uid="{00000000-0005-0000-0000-000031380000}"/>
    <cellStyle name="40% - Accent2 10 2" xfId="14339" xr:uid="{00000000-0005-0000-0000-000032380000}"/>
    <cellStyle name="40% - Accent2 10 2 2" xfId="14340" xr:uid="{00000000-0005-0000-0000-000033380000}"/>
    <cellStyle name="40% - Accent2 10 3" xfId="14341" xr:uid="{00000000-0005-0000-0000-000034380000}"/>
    <cellStyle name="40% - Accent2 11" xfId="14342" xr:uid="{00000000-0005-0000-0000-000035380000}"/>
    <cellStyle name="40% - Accent2 11 2" xfId="14343" xr:uid="{00000000-0005-0000-0000-000036380000}"/>
    <cellStyle name="40% - Accent2 12" xfId="14344" xr:uid="{00000000-0005-0000-0000-000037380000}"/>
    <cellStyle name="40% - Accent2 13" xfId="14345" xr:uid="{00000000-0005-0000-0000-000038380000}"/>
    <cellStyle name="40% - Accent2 2" xfId="14346" xr:uid="{00000000-0005-0000-0000-000039380000}"/>
    <cellStyle name="40% - Accent2 2 10" xfId="14347" xr:uid="{00000000-0005-0000-0000-00003A380000}"/>
    <cellStyle name="40% - Accent2 2 10 2" xfId="14348" xr:uid="{00000000-0005-0000-0000-00003B380000}"/>
    <cellStyle name="40% - Accent2 2 11" xfId="14349" xr:uid="{00000000-0005-0000-0000-00003C380000}"/>
    <cellStyle name="40% - Accent2 2 2" xfId="14350" xr:uid="{00000000-0005-0000-0000-00003D380000}"/>
    <cellStyle name="40% - Accent2 2 2 10" xfId="14351" xr:uid="{00000000-0005-0000-0000-00003E380000}"/>
    <cellStyle name="40% - Accent2 2 2 2" xfId="14352" xr:uid="{00000000-0005-0000-0000-00003F380000}"/>
    <cellStyle name="40% - Accent2 2 2 2 2" xfId="14353" xr:uid="{00000000-0005-0000-0000-000040380000}"/>
    <cellStyle name="40% - Accent2 2 2 2 2 2" xfId="14354" xr:uid="{00000000-0005-0000-0000-000041380000}"/>
    <cellStyle name="40% - Accent2 2 2 2 2 2 2" xfId="14355" xr:uid="{00000000-0005-0000-0000-000042380000}"/>
    <cellStyle name="40% - Accent2 2 2 2 2 2 2 2" xfId="14356" xr:uid="{00000000-0005-0000-0000-000043380000}"/>
    <cellStyle name="40% - Accent2 2 2 2 2 2 2 2 2" xfId="14357" xr:uid="{00000000-0005-0000-0000-000044380000}"/>
    <cellStyle name="40% - Accent2 2 2 2 2 2 2 2 2 2" xfId="14358" xr:uid="{00000000-0005-0000-0000-000045380000}"/>
    <cellStyle name="40% - Accent2 2 2 2 2 2 2 2 2 2 2" xfId="14359" xr:uid="{00000000-0005-0000-0000-000046380000}"/>
    <cellStyle name="40% - Accent2 2 2 2 2 2 2 2 2 2 2 2" xfId="14360" xr:uid="{00000000-0005-0000-0000-000047380000}"/>
    <cellStyle name="40% - Accent2 2 2 2 2 2 2 2 2 2 3" xfId="14361" xr:uid="{00000000-0005-0000-0000-000048380000}"/>
    <cellStyle name="40% - Accent2 2 2 2 2 2 2 2 2 3" xfId="14362" xr:uid="{00000000-0005-0000-0000-000049380000}"/>
    <cellStyle name="40% - Accent2 2 2 2 2 2 2 2 2 3 2" xfId="14363" xr:uid="{00000000-0005-0000-0000-00004A380000}"/>
    <cellStyle name="40% - Accent2 2 2 2 2 2 2 2 2 4" xfId="14364" xr:uid="{00000000-0005-0000-0000-00004B380000}"/>
    <cellStyle name="40% - Accent2 2 2 2 2 2 2 2 3" xfId="14365" xr:uid="{00000000-0005-0000-0000-00004C380000}"/>
    <cellStyle name="40% - Accent2 2 2 2 2 2 2 2 3 2" xfId="14366" xr:uid="{00000000-0005-0000-0000-00004D380000}"/>
    <cellStyle name="40% - Accent2 2 2 2 2 2 2 2 3 2 2" xfId="14367" xr:uid="{00000000-0005-0000-0000-00004E380000}"/>
    <cellStyle name="40% - Accent2 2 2 2 2 2 2 2 3 3" xfId="14368" xr:uid="{00000000-0005-0000-0000-00004F380000}"/>
    <cellStyle name="40% - Accent2 2 2 2 2 2 2 2 4" xfId="14369" xr:uid="{00000000-0005-0000-0000-000050380000}"/>
    <cellStyle name="40% - Accent2 2 2 2 2 2 2 2 4 2" xfId="14370" xr:uid="{00000000-0005-0000-0000-000051380000}"/>
    <cellStyle name="40% - Accent2 2 2 2 2 2 2 2 5" xfId="14371" xr:uid="{00000000-0005-0000-0000-000052380000}"/>
    <cellStyle name="40% - Accent2 2 2 2 2 2 2 3" xfId="14372" xr:uid="{00000000-0005-0000-0000-000053380000}"/>
    <cellStyle name="40% - Accent2 2 2 2 2 2 2 3 2" xfId="14373" xr:uid="{00000000-0005-0000-0000-000054380000}"/>
    <cellStyle name="40% - Accent2 2 2 2 2 2 2 3 2 2" xfId="14374" xr:uid="{00000000-0005-0000-0000-000055380000}"/>
    <cellStyle name="40% - Accent2 2 2 2 2 2 2 3 2 2 2" xfId="14375" xr:uid="{00000000-0005-0000-0000-000056380000}"/>
    <cellStyle name="40% - Accent2 2 2 2 2 2 2 3 2 3" xfId="14376" xr:uid="{00000000-0005-0000-0000-000057380000}"/>
    <cellStyle name="40% - Accent2 2 2 2 2 2 2 3 3" xfId="14377" xr:uid="{00000000-0005-0000-0000-000058380000}"/>
    <cellStyle name="40% - Accent2 2 2 2 2 2 2 3 3 2" xfId="14378" xr:uid="{00000000-0005-0000-0000-000059380000}"/>
    <cellStyle name="40% - Accent2 2 2 2 2 2 2 3 4" xfId="14379" xr:uid="{00000000-0005-0000-0000-00005A380000}"/>
    <cellStyle name="40% - Accent2 2 2 2 2 2 2 4" xfId="14380" xr:uid="{00000000-0005-0000-0000-00005B380000}"/>
    <cellStyle name="40% - Accent2 2 2 2 2 2 2 4 2" xfId="14381" xr:uid="{00000000-0005-0000-0000-00005C380000}"/>
    <cellStyle name="40% - Accent2 2 2 2 2 2 2 4 2 2" xfId="14382" xr:uid="{00000000-0005-0000-0000-00005D380000}"/>
    <cellStyle name="40% - Accent2 2 2 2 2 2 2 4 3" xfId="14383" xr:uid="{00000000-0005-0000-0000-00005E380000}"/>
    <cellStyle name="40% - Accent2 2 2 2 2 2 2 5" xfId="14384" xr:uid="{00000000-0005-0000-0000-00005F380000}"/>
    <cellStyle name="40% - Accent2 2 2 2 2 2 2 5 2" xfId="14385" xr:uid="{00000000-0005-0000-0000-000060380000}"/>
    <cellStyle name="40% - Accent2 2 2 2 2 2 2 6" xfId="14386" xr:uid="{00000000-0005-0000-0000-000061380000}"/>
    <cellStyle name="40% - Accent2 2 2 2 2 2 3" xfId="14387" xr:uid="{00000000-0005-0000-0000-000062380000}"/>
    <cellStyle name="40% - Accent2 2 2 2 2 2 3 2" xfId="14388" xr:uid="{00000000-0005-0000-0000-000063380000}"/>
    <cellStyle name="40% - Accent2 2 2 2 2 2 3 2 2" xfId="14389" xr:uid="{00000000-0005-0000-0000-000064380000}"/>
    <cellStyle name="40% - Accent2 2 2 2 2 2 3 2 2 2" xfId="14390" xr:uid="{00000000-0005-0000-0000-000065380000}"/>
    <cellStyle name="40% - Accent2 2 2 2 2 2 3 2 2 2 2" xfId="14391" xr:uid="{00000000-0005-0000-0000-000066380000}"/>
    <cellStyle name="40% - Accent2 2 2 2 2 2 3 2 2 3" xfId="14392" xr:uid="{00000000-0005-0000-0000-000067380000}"/>
    <cellStyle name="40% - Accent2 2 2 2 2 2 3 2 3" xfId="14393" xr:uid="{00000000-0005-0000-0000-000068380000}"/>
    <cellStyle name="40% - Accent2 2 2 2 2 2 3 2 3 2" xfId="14394" xr:uid="{00000000-0005-0000-0000-000069380000}"/>
    <cellStyle name="40% - Accent2 2 2 2 2 2 3 2 4" xfId="14395" xr:uid="{00000000-0005-0000-0000-00006A380000}"/>
    <cellStyle name="40% - Accent2 2 2 2 2 2 3 3" xfId="14396" xr:uid="{00000000-0005-0000-0000-00006B380000}"/>
    <cellStyle name="40% - Accent2 2 2 2 2 2 3 3 2" xfId="14397" xr:uid="{00000000-0005-0000-0000-00006C380000}"/>
    <cellStyle name="40% - Accent2 2 2 2 2 2 3 3 2 2" xfId="14398" xr:uid="{00000000-0005-0000-0000-00006D380000}"/>
    <cellStyle name="40% - Accent2 2 2 2 2 2 3 3 3" xfId="14399" xr:uid="{00000000-0005-0000-0000-00006E380000}"/>
    <cellStyle name="40% - Accent2 2 2 2 2 2 3 4" xfId="14400" xr:uid="{00000000-0005-0000-0000-00006F380000}"/>
    <cellStyle name="40% - Accent2 2 2 2 2 2 3 4 2" xfId="14401" xr:uid="{00000000-0005-0000-0000-000070380000}"/>
    <cellStyle name="40% - Accent2 2 2 2 2 2 3 5" xfId="14402" xr:uid="{00000000-0005-0000-0000-000071380000}"/>
    <cellStyle name="40% - Accent2 2 2 2 2 2 4" xfId="14403" xr:uid="{00000000-0005-0000-0000-000072380000}"/>
    <cellStyle name="40% - Accent2 2 2 2 2 2 4 2" xfId="14404" xr:uid="{00000000-0005-0000-0000-000073380000}"/>
    <cellStyle name="40% - Accent2 2 2 2 2 2 4 2 2" xfId="14405" xr:uid="{00000000-0005-0000-0000-000074380000}"/>
    <cellStyle name="40% - Accent2 2 2 2 2 2 4 2 2 2" xfId="14406" xr:uid="{00000000-0005-0000-0000-000075380000}"/>
    <cellStyle name="40% - Accent2 2 2 2 2 2 4 2 3" xfId="14407" xr:uid="{00000000-0005-0000-0000-000076380000}"/>
    <cellStyle name="40% - Accent2 2 2 2 2 2 4 3" xfId="14408" xr:uid="{00000000-0005-0000-0000-000077380000}"/>
    <cellStyle name="40% - Accent2 2 2 2 2 2 4 3 2" xfId="14409" xr:uid="{00000000-0005-0000-0000-000078380000}"/>
    <cellStyle name="40% - Accent2 2 2 2 2 2 4 4" xfId="14410" xr:uid="{00000000-0005-0000-0000-000079380000}"/>
    <cellStyle name="40% - Accent2 2 2 2 2 2 5" xfId="14411" xr:uid="{00000000-0005-0000-0000-00007A380000}"/>
    <cellStyle name="40% - Accent2 2 2 2 2 2 5 2" xfId="14412" xr:uid="{00000000-0005-0000-0000-00007B380000}"/>
    <cellStyle name="40% - Accent2 2 2 2 2 2 5 2 2" xfId="14413" xr:uid="{00000000-0005-0000-0000-00007C380000}"/>
    <cellStyle name="40% - Accent2 2 2 2 2 2 5 3" xfId="14414" xr:uid="{00000000-0005-0000-0000-00007D380000}"/>
    <cellStyle name="40% - Accent2 2 2 2 2 2 6" xfId="14415" xr:uid="{00000000-0005-0000-0000-00007E380000}"/>
    <cellStyle name="40% - Accent2 2 2 2 2 2 6 2" xfId="14416" xr:uid="{00000000-0005-0000-0000-00007F380000}"/>
    <cellStyle name="40% - Accent2 2 2 2 2 2 7" xfId="14417" xr:uid="{00000000-0005-0000-0000-000080380000}"/>
    <cellStyle name="40% - Accent2 2 2 2 2 3" xfId="14418" xr:uid="{00000000-0005-0000-0000-000081380000}"/>
    <cellStyle name="40% - Accent2 2 2 2 2 3 2" xfId="14419" xr:uid="{00000000-0005-0000-0000-000082380000}"/>
    <cellStyle name="40% - Accent2 2 2 2 2 3 2 2" xfId="14420" xr:uid="{00000000-0005-0000-0000-000083380000}"/>
    <cellStyle name="40% - Accent2 2 2 2 2 3 2 2 2" xfId="14421" xr:uid="{00000000-0005-0000-0000-000084380000}"/>
    <cellStyle name="40% - Accent2 2 2 2 2 3 2 2 2 2" xfId="14422" xr:uid="{00000000-0005-0000-0000-000085380000}"/>
    <cellStyle name="40% - Accent2 2 2 2 2 3 2 2 2 2 2" xfId="14423" xr:uid="{00000000-0005-0000-0000-000086380000}"/>
    <cellStyle name="40% - Accent2 2 2 2 2 3 2 2 2 3" xfId="14424" xr:uid="{00000000-0005-0000-0000-000087380000}"/>
    <cellStyle name="40% - Accent2 2 2 2 2 3 2 2 3" xfId="14425" xr:uid="{00000000-0005-0000-0000-000088380000}"/>
    <cellStyle name="40% - Accent2 2 2 2 2 3 2 2 3 2" xfId="14426" xr:uid="{00000000-0005-0000-0000-000089380000}"/>
    <cellStyle name="40% - Accent2 2 2 2 2 3 2 2 4" xfId="14427" xr:uid="{00000000-0005-0000-0000-00008A380000}"/>
    <cellStyle name="40% - Accent2 2 2 2 2 3 2 3" xfId="14428" xr:uid="{00000000-0005-0000-0000-00008B380000}"/>
    <cellStyle name="40% - Accent2 2 2 2 2 3 2 3 2" xfId="14429" xr:uid="{00000000-0005-0000-0000-00008C380000}"/>
    <cellStyle name="40% - Accent2 2 2 2 2 3 2 3 2 2" xfId="14430" xr:uid="{00000000-0005-0000-0000-00008D380000}"/>
    <cellStyle name="40% - Accent2 2 2 2 2 3 2 3 3" xfId="14431" xr:uid="{00000000-0005-0000-0000-00008E380000}"/>
    <cellStyle name="40% - Accent2 2 2 2 2 3 2 4" xfId="14432" xr:uid="{00000000-0005-0000-0000-00008F380000}"/>
    <cellStyle name="40% - Accent2 2 2 2 2 3 2 4 2" xfId="14433" xr:uid="{00000000-0005-0000-0000-000090380000}"/>
    <cellStyle name="40% - Accent2 2 2 2 2 3 2 5" xfId="14434" xr:uid="{00000000-0005-0000-0000-000091380000}"/>
    <cellStyle name="40% - Accent2 2 2 2 2 3 3" xfId="14435" xr:uid="{00000000-0005-0000-0000-000092380000}"/>
    <cellStyle name="40% - Accent2 2 2 2 2 3 3 2" xfId="14436" xr:uid="{00000000-0005-0000-0000-000093380000}"/>
    <cellStyle name="40% - Accent2 2 2 2 2 3 3 2 2" xfId="14437" xr:uid="{00000000-0005-0000-0000-000094380000}"/>
    <cellStyle name="40% - Accent2 2 2 2 2 3 3 2 2 2" xfId="14438" xr:uid="{00000000-0005-0000-0000-000095380000}"/>
    <cellStyle name="40% - Accent2 2 2 2 2 3 3 2 3" xfId="14439" xr:uid="{00000000-0005-0000-0000-000096380000}"/>
    <cellStyle name="40% - Accent2 2 2 2 2 3 3 3" xfId="14440" xr:uid="{00000000-0005-0000-0000-000097380000}"/>
    <cellStyle name="40% - Accent2 2 2 2 2 3 3 3 2" xfId="14441" xr:uid="{00000000-0005-0000-0000-000098380000}"/>
    <cellStyle name="40% - Accent2 2 2 2 2 3 3 4" xfId="14442" xr:uid="{00000000-0005-0000-0000-000099380000}"/>
    <cellStyle name="40% - Accent2 2 2 2 2 3 4" xfId="14443" xr:uid="{00000000-0005-0000-0000-00009A380000}"/>
    <cellStyle name="40% - Accent2 2 2 2 2 3 4 2" xfId="14444" xr:uid="{00000000-0005-0000-0000-00009B380000}"/>
    <cellStyle name="40% - Accent2 2 2 2 2 3 4 2 2" xfId="14445" xr:uid="{00000000-0005-0000-0000-00009C380000}"/>
    <cellStyle name="40% - Accent2 2 2 2 2 3 4 3" xfId="14446" xr:uid="{00000000-0005-0000-0000-00009D380000}"/>
    <cellStyle name="40% - Accent2 2 2 2 2 3 5" xfId="14447" xr:uid="{00000000-0005-0000-0000-00009E380000}"/>
    <cellStyle name="40% - Accent2 2 2 2 2 3 5 2" xfId="14448" xr:uid="{00000000-0005-0000-0000-00009F380000}"/>
    <cellStyle name="40% - Accent2 2 2 2 2 3 6" xfId="14449" xr:uid="{00000000-0005-0000-0000-0000A0380000}"/>
    <cellStyle name="40% - Accent2 2 2 2 2 4" xfId="14450" xr:uid="{00000000-0005-0000-0000-0000A1380000}"/>
    <cellStyle name="40% - Accent2 2 2 2 2 4 2" xfId="14451" xr:uid="{00000000-0005-0000-0000-0000A2380000}"/>
    <cellStyle name="40% - Accent2 2 2 2 2 4 2 2" xfId="14452" xr:uid="{00000000-0005-0000-0000-0000A3380000}"/>
    <cellStyle name="40% - Accent2 2 2 2 2 4 2 2 2" xfId="14453" xr:uid="{00000000-0005-0000-0000-0000A4380000}"/>
    <cellStyle name="40% - Accent2 2 2 2 2 4 2 2 2 2" xfId="14454" xr:uid="{00000000-0005-0000-0000-0000A5380000}"/>
    <cellStyle name="40% - Accent2 2 2 2 2 4 2 2 3" xfId="14455" xr:uid="{00000000-0005-0000-0000-0000A6380000}"/>
    <cellStyle name="40% - Accent2 2 2 2 2 4 2 3" xfId="14456" xr:uid="{00000000-0005-0000-0000-0000A7380000}"/>
    <cellStyle name="40% - Accent2 2 2 2 2 4 2 3 2" xfId="14457" xr:uid="{00000000-0005-0000-0000-0000A8380000}"/>
    <cellStyle name="40% - Accent2 2 2 2 2 4 2 4" xfId="14458" xr:uid="{00000000-0005-0000-0000-0000A9380000}"/>
    <cellStyle name="40% - Accent2 2 2 2 2 4 3" xfId="14459" xr:uid="{00000000-0005-0000-0000-0000AA380000}"/>
    <cellStyle name="40% - Accent2 2 2 2 2 4 3 2" xfId="14460" xr:uid="{00000000-0005-0000-0000-0000AB380000}"/>
    <cellStyle name="40% - Accent2 2 2 2 2 4 3 2 2" xfId="14461" xr:uid="{00000000-0005-0000-0000-0000AC380000}"/>
    <cellStyle name="40% - Accent2 2 2 2 2 4 3 3" xfId="14462" xr:uid="{00000000-0005-0000-0000-0000AD380000}"/>
    <cellStyle name="40% - Accent2 2 2 2 2 4 4" xfId="14463" xr:uid="{00000000-0005-0000-0000-0000AE380000}"/>
    <cellStyle name="40% - Accent2 2 2 2 2 4 4 2" xfId="14464" xr:uid="{00000000-0005-0000-0000-0000AF380000}"/>
    <cellStyle name="40% - Accent2 2 2 2 2 4 5" xfId="14465" xr:uid="{00000000-0005-0000-0000-0000B0380000}"/>
    <cellStyle name="40% - Accent2 2 2 2 2 5" xfId="14466" xr:uid="{00000000-0005-0000-0000-0000B1380000}"/>
    <cellStyle name="40% - Accent2 2 2 2 2 5 2" xfId="14467" xr:uid="{00000000-0005-0000-0000-0000B2380000}"/>
    <cellStyle name="40% - Accent2 2 2 2 2 5 2 2" xfId="14468" xr:uid="{00000000-0005-0000-0000-0000B3380000}"/>
    <cellStyle name="40% - Accent2 2 2 2 2 5 2 2 2" xfId="14469" xr:uid="{00000000-0005-0000-0000-0000B4380000}"/>
    <cellStyle name="40% - Accent2 2 2 2 2 5 2 3" xfId="14470" xr:uid="{00000000-0005-0000-0000-0000B5380000}"/>
    <cellStyle name="40% - Accent2 2 2 2 2 5 3" xfId="14471" xr:uid="{00000000-0005-0000-0000-0000B6380000}"/>
    <cellStyle name="40% - Accent2 2 2 2 2 5 3 2" xfId="14472" xr:uid="{00000000-0005-0000-0000-0000B7380000}"/>
    <cellStyle name="40% - Accent2 2 2 2 2 5 4" xfId="14473" xr:uid="{00000000-0005-0000-0000-0000B8380000}"/>
    <cellStyle name="40% - Accent2 2 2 2 2 6" xfId="14474" xr:uid="{00000000-0005-0000-0000-0000B9380000}"/>
    <cellStyle name="40% - Accent2 2 2 2 2 6 2" xfId="14475" xr:uid="{00000000-0005-0000-0000-0000BA380000}"/>
    <cellStyle name="40% - Accent2 2 2 2 2 6 2 2" xfId="14476" xr:uid="{00000000-0005-0000-0000-0000BB380000}"/>
    <cellStyle name="40% - Accent2 2 2 2 2 6 3" xfId="14477" xr:uid="{00000000-0005-0000-0000-0000BC380000}"/>
    <cellStyle name="40% - Accent2 2 2 2 2 7" xfId="14478" xr:uid="{00000000-0005-0000-0000-0000BD380000}"/>
    <cellStyle name="40% - Accent2 2 2 2 2 7 2" xfId="14479" xr:uid="{00000000-0005-0000-0000-0000BE380000}"/>
    <cellStyle name="40% - Accent2 2 2 2 2 8" xfId="14480" xr:uid="{00000000-0005-0000-0000-0000BF380000}"/>
    <cellStyle name="40% - Accent2 2 2 2 3" xfId="14481" xr:uid="{00000000-0005-0000-0000-0000C0380000}"/>
    <cellStyle name="40% - Accent2 2 2 2 3 2" xfId="14482" xr:uid="{00000000-0005-0000-0000-0000C1380000}"/>
    <cellStyle name="40% - Accent2 2 2 2 3 2 2" xfId="14483" xr:uid="{00000000-0005-0000-0000-0000C2380000}"/>
    <cellStyle name="40% - Accent2 2 2 2 3 2 2 2" xfId="14484" xr:uid="{00000000-0005-0000-0000-0000C3380000}"/>
    <cellStyle name="40% - Accent2 2 2 2 3 2 2 2 2" xfId="14485" xr:uid="{00000000-0005-0000-0000-0000C4380000}"/>
    <cellStyle name="40% - Accent2 2 2 2 3 2 2 2 2 2" xfId="14486" xr:uid="{00000000-0005-0000-0000-0000C5380000}"/>
    <cellStyle name="40% - Accent2 2 2 2 3 2 2 2 2 2 2" xfId="14487" xr:uid="{00000000-0005-0000-0000-0000C6380000}"/>
    <cellStyle name="40% - Accent2 2 2 2 3 2 2 2 2 3" xfId="14488" xr:uid="{00000000-0005-0000-0000-0000C7380000}"/>
    <cellStyle name="40% - Accent2 2 2 2 3 2 2 2 3" xfId="14489" xr:uid="{00000000-0005-0000-0000-0000C8380000}"/>
    <cellStyle name="40% - Accent2 2 2 2 3 2 2 2 3 2" xfId="14490" xr:uid="{00000000-0005-0000-0000-0000C9380000}"/>
    <cellStyle name="40% - Accent2 2 2 2 3 2 2 2 4" xfId="14491" xr:uid="{00000000-0005-0000-0000-0000CA380000}"/>
    <cellStyle name="40% - Accent2 2 2 2 3 2 2 3" xfId="14492" xr:uid="{00000000-0005-0000-0000-0000CB380000}"/>
    <cellStyle name="40% - Accent2 2 2 2 3 2 2 3 2" xfId="14493" xr:uid="{00000000-0005-0000-0000-0000CC380000}"/>
    <cellStyle name="40% - Accent2 2 2 2 3 2 2 3 2 2" xfId="14494" xr:uid="{00000000-0005-0000-0000-0000CD380000}"/>
    <cellStyle name="40% - Accent2 2 2 2 3 2 2 3 3" xfId="14495" xr:uid="{00000000-0005-0000-0000-0000CE380000}"/>
    <cellStyle name="40% - Accent2 2 2 2 3 2 2 4" xfId="14496" xr:uid="{00000000-0005-0000-0000-0000CF380000}"/>
    <cellStyle name="40% - Accent2 2 2 2 3 2 2 4 2" xfId="14497" xr:uid="{00000000-0005-0000-0000-0000D0380000}"/>
    <cellStyle name="40% - Accent2 2 2 2 3 2 2 5" xfId="14498" xr:uid="{00000000-0005-0000-0000-0000D1380000}"/>
    <cellStyle name="40% - Accent2 2 2 2 3 2 3" xfId="14499" xr:uid="{00000000-0005-0000-0000-0000D2380000}"/>
    <cellStyle name="40% - Accent2 2 2 2 3 2 3 2" xfId="14500" xr:uid="{00000000-0005-0000-0000-0000D3380000}"/>
    <cellStyle name="40% - Accent2 2 2 2 3 2 3 2 2" xfId="14501" xr:uid="{00000000-0005-0000-0000-0000D4380000}"/>
    <cellStyle name="40% - Accent2 2 2 2 3 2 3 2 2 2" xfId="14502" xr:uid="{00000000-0005-0000-0000-0000D5380000}"/>
    <cellStyle name="40% - Accent2 2 2 2 3 2 3 2 3" xfId="14503" xr:uid="{00000000-0005-0000-0000-0000D6380000}"/>
    <cellStyle name="40% - Accent2 2 2 2 3 2 3 3" xfId="14504" xr:uid="{00000000-0005-0000-0000-0000D7380000}"/>
    <cellStyle name="40% - Accent2 2 2 2 3 2 3 3 2" xfId="14505" xr:uid="{00000000-0005-0000-0000-0000D8380000}"/>
    <cellStyle name="40% - Accent2 2 2 2 3 2 3 4" xfId="14506" xr:uid="{00000000-0005-0000-0000-0000D9380000}"/>
    <cellStyle name="40% - Accent2 2 2 2 3 2 4" xfId="14507" xr:uid="{00000000-0005-0000-0000-0000DA380000}"/>
    <cellStyle name="40% - Accent2 2 2 2 3 2 4 2" xfId="14508" xr:uid="{00000000-0005-0000-0000-0000DB380000}"/>
    <cellStyle name="40% - Accent2 2 2 2 3 2 4 2 2" xfId="14509" xr:uid="{00000000-0005-0000-0000-0000DC380000}"/>
    <cellStyle name="40% - Accent2 2 2 2 3 2 4 3" xfId="14510" xr:uid="{00000000-0005-0000-0000-0000DD380000}"/>
    <cellStyle name="40% - Accent2 2 2 2 3 2 5" xfId="14511" xr:uid="{00000000-0005-0000-0000-0000DE380000}"/>
    <cellStyle name="40% - Accent2 2 2 2 3 2 5 2" xfId="14512" xr:uid="{00000000-0005-0000-0000-0000DF380000}"/>
    <cellStyle name="40% - Accent2 2 2 2 3 2 6" xfId="14513" xr:uid="{00000000-0005-0000-0000-0000E0380000}"/>
    <cellStyle name="40% - Accent2 2 2 2 3 3" xfId="14514" xr:uid="{00000000-0005-0000-0000-0000E1380000}"/>
    <cellStyle name="40% - Accent2 2 2 2 3 3 2" xfId="14515" xr:uid="{00000000-0005-0000-0000-0000E2380000}"/>
    <cellStyle name="40% - Accent2 2 2 2 3 3 2 2" xfId="14516" xr:uid="{00000000-0005-0000-0000-0000E3380000}"/>
    <cellStyle name="40% - Accent2 2 2 2 3 3 2 2 2" xfId="14517" xr:uid="{00000000-0005-0000-0000-0000E4380000}"/>
    <cellStyle name="40% - Accent2 2 2 2 3 3 2 2 2 2" xfId="14518" xr:uid="{00000000-0005-0000-0000-0000E5380000}"/>
    <cellStyle name="40% - Accent2 2 2 2 3 3 2 2 3" xfId="14519" xr:uid="{00000000-0005-0000-0000-0000E6380000}"/>
    <cellStyle name="40% - Accent2 2 2 2 3 3 2 3" xfId="14520" xr:uid="{00000000-0005-0000-0000-0000E7380000}"/>
    <cellStyle name="40% - Accent2 2 2 2 3 3 2 3 2" xfId="14521" xr:uid="{00000000-0005-0000-0000-0000E8380000}"/>
    <cellStyle name="40% - Accent2 2 2 2 3 3 2 4" xfId="14522" xr:uid="{00000000-0005-0000-0000-0000E9380000}"/>
    <cellStyle name="40% - Accent2 2 2 2 3 3 3" xfId="14523" xr:uid="{00000000-0005-0000-0000-0000EA380000}"/>
    <cellStyle name="40% - Accent2 2 2 2 3 3 3 2" xfId="14524" xr:uid="{00000000-0005-0000-0000-0000EB380000}"/>
    <cellStyle name="40% - Accent2 2 2 2 3 3 3 2 2" xfId="14525" xr:uid="{00000000-0005-0000-0000-0000EC380000}"/>
    <cellStyle name="40% - Accent2 2 2 2 3 3 3 3" xfId="14526" xr:uid="{00000000-0005-0000-0000-0000ED380000}"/>
    <cellStyle name="40% - Accent2 2 2 2 3 3 4" xfId="14527" xr:uid="{00000000-0005-0000-0000-0000EE380000}"/>
    <cellStyle name="40% - Accent2 2 2 2 3 3 4 2" xfId="14528" xr:uid="{00000000-0005-0000-0000-0000EF380000}"/>
    <cellStyle name="40% - Accent2 2 2 2 3 3 5" xfId="14529" xr:uid="{00000000-0005-0000-0000-0000F0380000}"/>
    <cellStyle name="40% - Accent2 2 2 2 3 4" xfId="14530" xr:uid="{00000000-0005-0000-0000-0000F1380000}"/>
    <cellStyle name="40% - Accent2 2 2 2 3 4 2" xfId="14531" xr:uid="{00000000-0005-0000-0000-0000F2380000}"/>
    <cellStyle name="40% - Accent2 2 2 2 3 4 2 2" xfId="14532" xr:uid="{00000000-0005-0000-0000-0000F3380000}"/>
    <cellStyle name="40% - Accent2 2 2 2 3 4 2 2 2" xfId="14533" xr:uid="{00000000-0005-0000-0000-0000F4380000}"/>
    <cellStyle name="40% - Accent2 2 2 2 3 4 2 3" xfId="14534" xr:uid="{00000000-0005-0000-0000-0000F5380000}"/>
    <cellStyle name="40% - Accent2 2 2 2 3 4 3" xfId="14535" xr:uid="{00000000-0005-0000-0000-0000F6380000}"/>
    <cellStyle name="40% - Accent2 2 2 2 3 4 3 2" xfId="14536" xr:uid="{00000000-0005-0000-0000-0000F7380000}"/>
    <cellStyle name="40% - Accent2 2 2 2 3 4 4" xfId="14537" xr:uid="{00000000-0005-0000-0000-0000F8380000}"/>
    <cellStyle name="40% - Accent2 2 2 2 3 5" xfId="14538" xr:uid="{00000000-0005-0000-0000-0000F9380000}"/>
    <cellStyle name="40% - Accent2 2 2 2 3 5 2" xfId="14539" xr:uid="{00000000-0005-0000-0000-0000FA380000}"/>
    <cellStyle name="40% - Accent2 2 2 2 3 5 2 2" xfId="14540" xr:uid="{00000000-0005-0000-0000-0000FB380000}"/>
    <cellStyle name="40% - Accent2 2 2 2 3 5 3" xfId="14541" xr:uid="{00000000-0005-0000-0000-0000FC380000}"/>
    <cellStyle name="40% - Accent2 2 2 2 3 6" xfId="14542" xr:uid="{00000000-0005-0000-0000-0000FD380000}"/>
    <cellStyle name="40% - Accent2 2 2 2 3 6 2" xfId="14543" xr:uid="{00000000-0005-0000-0000-0000FE380000}"/>
    <cellStyle name="40% - Accent2 2 2 2 3 7" xfId="14544" xr:uid="{00000000-0005-0000-0000-0000FF380000}"/>
    <cellStyle name="40% - Accent2 2 2 2 4" xfId="14545" xr:uid="{00000000-0005-0000-0000-000000390000}"/>
    <cellStyle name="40% - Accent2 2 2 2 4 2" xfId="14546" xr:uid="{00000000-0005-0000-0000-000001390000}"/>
    <cellStyle name="40% - Accent2 2 2 2 4 2 2" xfId="14547" xr:uid="{00000000-0005-0000-0000-000002390000}"/>
    <cellStyle name="40% - Accent2 2 2 2 4 2 2 2" xfId="14548" xr:uid="{00000000-0005-0000-0000-000003390000}"/>
    <cellStyle name="40% - Accent2 2 2 2 4 2 2 2 2" xfId="14549" xr:uid="{00000000-0005-0000-0000-000004390000}"/>
    <cellStyle name="40% - Accent2 2 2 2 4 2 2 2 2 2" xfId="14550" xr:uid="{00000000-0005-0000-0000-000005390000}"/>
    <cellStyle name="40% - Accent2 2 2 2 4 2 2 2 3" xfId="14551" xr:uid="{00000000-0005-0000-0000-000006390000}"/>
    <cellStyle name="40% - Accent2 2 2 2 4 2 2 3" xfId="14552" xr:uid="{00000000-0005-0000-0000-000007390000}"/>
    <cellStyle name="40% - Accent2 2 2 2 4 2 2 3 2" xfId="14553" xr:uid="{00000000-0005-0000-0000-000008390000}"/>
    <cellStyle name="40% - Accent2 2 2 2 4 2 2 4" xfId="14554" xr:uid="{00000000-0005-0000-0000-000009390000}"/>
    <cellStyle name="40% - Accent2 2 2 2 4 2 3" xfId="14555" xr:uid="{00000000-0005-0000-0000-00000A390000}"/>
    <cellStyle name="40% - Accent2 2 2 2 4 2 3 2" xfId="14556" xr:uid="{00000000-0005-0000-0000-00000B390000}"/>
    <cellStyle name="40% - Accent2 2 2 2 4 2 3 2 2" xfId="14557" xr:uid="{00000000-0005-0000-0000-00000C390000}"/>
    <cellStyle name="40% - Accent2 2 2 2 4 2 3 3" xfId="14558" xr:uid="{00000000-0005-0000-0000-00000D390000}"/>
    <cellStyle name="40% - Accent2 2 2 2 4 2 4" xfId="14559" xr:uid="{00000000-0005-0000-0000-00000E390000}"/>
    <cellStyle name="40% - Accent2 2 2 2 4 2 4 2" xfId="14560" xr:uid="{00000000-0005-0000-0000-00000F390000}"/>
    <cellStyle name="40% - Accent2 2 2 2 4 2 5" xfId="14561" xr:uid="{00000000-0005-0000-0000-000010390000}"/>
    <cellStyle name="40% - Accent2 2 2 2 4 3" xfId="14562" xr:uid="{00000000-0005-0000-0000-000011390000}"/>
    <cellStyle name="40% - Accent2 2 2 2 4 3 2" xfId="14563" xr:uid="{00000000-0005-0000-0000-000012390000}"/>
    <cellStyle name="40% - Accent2 2 2 2 4 3 2 2" xfId="14564" xr:uid="{00000000-0005-0000-0000-000013390000}"/>
    <cellStyle name="40% - Accent2 2 2 2 4 3 2 2 2" xfId="14565" xr:uid="{00000000-0005-0000-0000-000014390000}"/>
    <cellStyle name="40% - Accent2 2 2 2 4 3 2 3" xfId="14566" xr:uid="{00000000-0005-0000-0000-000015390000}"/>
    <cellStyle name="40% - Accent2 2 2 2 4 3 3" xfId="14567" xr:uid="{00000000-0005-0000-0000-000016390000}"/>
    <cellStyle name="40% - Accent2 2 2 2 4 3 3 2" xfId="14568" xr:uid="{00000000-0005-0000-0000-000017390000}"/>
    <cellStyle name="40% - Accent2 2 2 2 4 3 4" xfId="14569" xr:uid="{00000000-0005-0000-0000-000018390000}"/>
    <cellStyle name="40% - Accent2 2 2 2 4 4" xfId="14570" xr:uid="{00000000-0005-0000-0000-000019390000}"/>
    <cellStyle name="40% - Accent2 2 2 2 4 4 2" xfId="14571" xr:uid="{00000000-0005-0000-0000-00001A390000}"/>
    <cellStyle name="40% - Accent2 2 2 2 4 4 2 2" xfId="14572" xr:uid="{00000000-0005-0000-0000-00001B390000}"/>
    <cellStyle name="40% - Accent2 2 2 2 4 4 3" xfId="14573" xr:uid="{00000000-0005-0000-0000-00001C390000}"/>
    <cellStyle name="40% - Accent2 2 2 2 4 5" xfId="14574" xr:uid="{00000000-0005-0000-0000-00001D390000}"/>
    <cellStyle name="40% - Accent2 2 2 2 4 5 2" xfId="14575" xr:uid="{00000000-0005-0000-0000-00001E390000}"/>
    <cellStyle name="40% - Accent2 2 2 2 4 6" xfId="14576" xr:uid="{00000000-0005-0000-0000-00001F390000}"/>
    <cellStyle name="40% - Accent2 2 2 2 5" xfId="14577" xr:uid="{00000000-0005-0000-0000-000020390000}"/>
    <cellStyle name="40% - Accent2 2 2 2 5 2" xfId="14578" xr:uid="{00000000-0005-0000-0000-000021390000}"/>
    <cellStyle name="40% - Accent2 2 2 2 5 2 2" xfId="14579" xr:uid="{00000000-0005-0000-0000-000022390000}"/>
    <cellStyle name="40% - Accent2 2 2 2 5 2 2 2" xfId="14580" xr:uid="{00000000-0005-0000-0000-000023390000}"/>
    <cellStyle name="40% - Accent2 2 2 2 5 2 2 2 2" xfId="14581" xr:uid="{00000000-0005-0000-0000-000024390000}"/>
    <cellStyle name="40% - Accent2 2 2 2 5 2 2 3" xfId="14582" xr:uid="{00000000-0005-0000-0000-000025390000}"/>
    <cellStyle name="40% - Accent2 2 2 2 5 2 3" xfId="14583" xr:uid="{00000000-0005-0000-0000-000026390000}"/>
    <cellStyle name="40% - Accent2 2 2 2 5 2 3 2" xfId="14584" xr:uid="{00000000-0005-0000-0000-000027390000}"/>
    <cellStyle name="40% - Accent2 2 2 2 5 2 4" xfId="14585" xr:uid="{00000000-0005-0000-0000-000028390000}"/>
    <cellStyle name="40% - Accent2 2 2 2 5 3" xfId="14586" xr:uid="{00000000-0005-0000-0000-000029390000}"/>
    <cellStyle name="40% - Accent2 2 2 2 5 3 2" xfId="14587" xr:uid="{00000000-0005-0000-0000-00002A390000}"/>
    <cellStyle name="40% - Accent2 2 2 2 5 3 2 2" xfId="14588" xr:uid="{00000000-0005-0000-0000-00002B390000}"/>
    <cellStyle name="40% - Accent2 2 2 2 5 3 3" xfId="14589" xr:uid="{00000000-0005-0000-0000-00002C390000}"/>
    <cellStyle name="40% - Accent2 2 2 2 5 4" xfId="14590" xr:uid="{00000000-0005-0000-0000-00002D390000}"/>
    <cellStyle name="40% - Accent2 2 2 2 5 4 2" xfId="14591" xr:uid="{00000000-0005-0000-0000-00002E390000}"/>
    <cellStyle name="40% - Accent2 2 2 2 5 5" xfId="14592" xr:uid="{00000000-0005-0000-0000-00002F390000}"/>
    <cellStyle name="40% - Accent2 2 2 2 6" xfId="14593" xr:uid="{00000000-0005-0000-0000-000030390000}"/>
    <cellStyle name="40% - Accent2 2 2 2 6 2" xfId="14594" xr:uid="{00000000-0005-0000-0000-000031390000}"/>
    <cellStyle name="40% - Accent2 2 2 2 6 2 2" xfId="14595" xr:uid="{00000000-0005-0000-0000-000032390000}"/>
    <cellStyle name="40% - Accent2 2 2 2 6 2 2 2" xfId="14596" xr:uid="{00000000-0005-0000-0000-000033390000}"/>
    <cellStyle name="40% - Accent2 2 2 2 6 2 3" xfId="14597" xr:uid="{00000000-0005-0000-0000-000034390000}"/>
    <cellStyle name="40% - Accent2 2 2 2 6 3" xfId="14598" xr:uid="{00000000-0005-0000-0000-000035390000}"/>
    <cellStyle name="40% - Accent2 2 2 2 6 3 2" xfId="14599" xr:uid="{00000000-0005-0000-0000-000036390000}"/>
    <cellStyle name="40% - Accent2 2 2 2 6 4" xfId="14600" xr:uid="{00000000-0005-0000-0000-000037390000}"/>
    <cellStyle name="40% - Accent2 2 2 2 7" xfId="14601" xr:uid="{00000000-0005-0000-0000-000038390000}"/>
    <cellStyle name="40% - Accent2 2 2 2 7 2" xfId="14602" xr:uid="{00000000-0005-0000-0000-000039390000}"/>
    <cellStyle name="40% - Accent2 2 2 2 7 2 2" xfId="14603" xr:uid="{00000000-0005-0000-0000-00003A390000}"/>
    <cellStyle name="40% - Accent2 2 2 2 7 3" xfId="14604" xr:uid="{00000000-0005-0000-0000-00003B390000}"/>
    <cellStyle name="40% - Accent2 2 2 2 8" xfId="14605" xr:uid="{00000000-0005-0000-0000-00003C390000}"/>
    <cellStyle name="40% - Accent2 2 2 2 8 2" xfId="14606" xr:uid="{00000000-0005-0000-0000-00003D390000}"/>
    <cellStyle name="40% - Accent2 2 2 2 9" xfId="14607" xr:uid="{00000000-0005-0000-0000-00003E390000}"/>
    <cellStyle name="40% - Accent2 2 2 3" xfId="14608" xr:uid="{00000000-0005-0000-0000-00003F390000}"/>
    <cellStyle name="40% - Accent2 2 2 3 2" xfId="14609" xr:uid="{00000000-0005-0000-0000-000040390000}"/>
    <cellStyle name="40% - Accent2 2 2 3 2 2" xfId="14610" xr:uid="{00000000-0005-0000-0000-000041390000}"/>
    <cellStyle name="40% - Accent2 2 2 3 2 2 2" xfId="14611" xr:uid="{00000000-0005-0000-0000-000042390000}"/>
    <cellStyle name="40% - Accent2 2 2 3 2 2 2 2" xfId="14612" xr:uid="{00000000-0005-0000-0000-000043390000}"/>
    <cellStyle name="40% - Accent2 2 2 3 2 2 2 2 2" xfId="14613" xr:uid="{00000000-0005-0000-0000-000044390000}"/>
    <cellStyle name="40% - Accent2 2 2 3 2 2 2 2 2 2" xfId="14614" xr:uid="{00000000-0005-0000-0000-000045390000}"/>
    <cellStyle name="40% - Accent2 2 2 3 2 2 2 2 2 2 2" xfId="14615" xr:uid="{00000000-0005-0000-0000-000046390000}"/>
    <cellStyle name="40% - Accent2 2 2 3 2 2 2 2 2 3" xfId="14616" xr:uid="{00000000-0005-0000-0000-000047390000}"/>
    <cellStyle name="40% - Accent2 2 2 3 2 2 2 2 3" xfId="14617" xr:uid="{00000000-0005-0000-0000-000048390000}"/>
    <cellStyle name="40% - Accent2 2 2 3 2 2 2 2 3 2" xfId="14618" xr:uid="{00000000-0005-0000-0000-000049390000}"/>
    <cellStyle name="40% - Accent2 2 2 3 2 2 2 2 4" xfId="14619" xr:uid="{00000000-0005-0000-0000-00004A390000}"/>
    <cellStyle name="40% - Accent2 2 2 3 2 2 2 3" xfId="14620" xr:uid="{00000000-0005-0000-0000-00004B390000}"/>
    <cellStyle name="40% - Accent2 2 2 3 2 2 2 3 2" xfId="14621" xr:uid="{00000000-0005-0000-0000-00004C390000}"/>
    <cellStyle name="40% - Accent2 2 2 3 2 2 2 3 2 2" xfId="14622" xr:uid="{00000000-0005-0000-0000-00004D390000}"/>
    <cellStyle name="40% - Accent2 2 2 3 2 2 2 3 3" xfId="14623" xr:uid="{00000000-0005-0000-0000-00004E390000}"/>
    <cellStyle name="40% - Accent2 2 2 3 2 2 2 4" xfId="14624" xr:uid="{00000000-0005-0000-0000-00004F390000}"/>
    <cellStyle name="40% - Accent2 2 2 3 2 2 2 4 2" xfId="14625" xr:uid="{00000000-0005-0000-0000-000050390000}"/>
    <cellStyle name="40% - Accent2 2 2 3 2 2 2 5" xfId="14626" xr:uid="{00000000-0005-0000-0000-000051390000}"/>
    <cellStyle name="40% - Accent2 2 2 3 2 2 3" xfId="14627" xr:uid="{00000000-0005-0000-0000-000052390000}"/>
    <cellStyle name="40% - Accent2 2 2 3 2 2 3 2" xfId="14628" xr:uid="{00000000-0005-0000-0000-000053390000}"/>
    <cellStyle name="40% - Accent2 2 2 3 2 2 3 2 2" xfId="14629" xr:uid="{00000000-0005-0000-0000-000054390000}"/>
    <cellStyle name="40% - Accent2 2 2 3 2 2 3 2 2 2" xfId="14630" xr:uid="{00000000-0005-0000-0000-000055390000}"/>
    <cellStyle name="40% - Accent2 2 2 3 2 2 3 2 3" xfId="14631" xr:uid="{00000000-0005-0000-0000-000056390000}"/>
    <cellStyle name="40% - Accent2 2 2 3 2 2 3 3" xfId="14632" xr:uid="{00000000-0005-0000-0000-000057390000}"/>
    <cellStyle name="40% - Accent2 2 2 3 2 2 3 3 2" xfId="14633" xr:uid="{00000000-0005-0000-0000-000058390000}"/>
    <cellStyle name="40% - Accent2 2 2 3 2 2 3 4" xfId="14634" xr:uid="{00000000-0005-0000-0000-000059390000}"/>
    <cellStyle name="40% - Accent2 2 2 3 2 2 4" xfId="14635" xr:uid="{00000000-0005-0000-0000-00005A390000}"/>
    <cellStyle name="40% - Accent2 2 2 3 2 2 4 2" xfId="14636" xr:uid="{00000000-0005-0000-0000-00005B390000}"/>
    <cellStyle name="40% - Accent2 2 2 3 2 2 4 2 2" xfId="14637" xr:uid="{00000000-0005-0000-0000-00005C390000}"/>
    <cellStyle name="40% - Accent2 2 2 3 2 2 4 3" xfId="14638" xr:uid="{00000000-0005-0000-0000-00005D390000}"/>
    <cellStyle name="40% - Accent2 2 2 3 2 2 5" xfId="14639" xr:uid="{00000000-0005-0000-0000-00005E390000}"/>
    <cellStyle name="40% - Accent2 2 2 3 2 2 5 2" xfId="14640" xr:uid="{00000000-0005-0000-0000-00005F390000}"/>
    <cellStyle name="40% - Accent2 2 2 3 2 2 6" xfId="14641" xr:uid="{00000000-0005-0000-0000-000060390000}"/>
    <cellStyle name="40% - Accent2 2 2 3 2 3" xfId="14642" xr:uid="{00000000-0005-0000-0000-000061390000}"/>
    <cellStyle name="40% - Accent2 2 2 3 2 3 2" xfId="14643" xr:uid="{00000000-0005-0000-0000-000062390000}"/>
    <cellStyle name="40% - Accent2 2 2 3 2 3 2 2" xfId="14644" xr:uid="{00000000-0005-0000-0000-000063390000}"/>
    <cellStyle name="40% - Accent2 2 2 3 2 3 2 2 2" xfId="14645" xr:uid="{00000000-0005-0000-0000-000064390000}"/>
    <cellStyle name="40% - Accent2 2 2 3 2 3 2 2 2 2" xfId="14646" xr:uid="{00000000-0005-0000-0000-000065390000}"/>
    <cellStyle name="40% - Accent2 2 2 3 2 3 2 2 3" xfId="14647" xr:uid="{00000000-0005-0000-0000-000066390000}"/>
    <cellStyle name="40% - Accent2 2 2 3 2 3 2 3" xfId="14648" xr:uid="{00000000-0005-0000-0000-000067390000}"/>
    <cellStyle name="40% - Accent2 2 2 3 2 3 2 3 2" xfId="14649" xr:uid="{00000000-0005-0000-0000-000068390000}"/>
    <cellStyle name="40% - Accent2 2 2 3 2 3 2 4" xfId="14650" xr:uid="{00000000-0005-0000-0000-000069390000}"/>
    <cellStyle name="40% - Accent2 2 2 3 2 3 3" xfId="14651" xr:uid="{00000000-0005-0000-0000-00006A390000}"/>
    <cellStyle name="40% - Accent2 2 2 3 2 3 3 2" xfId="14652" xr:uid="{00000000-0005-0000-0000-00006B390000}"/>
    <cellStyle name="40% - Accent2 2 2 3 2 3 3 2 2" xfId="14653" xr:uid="{00000000-0005-0000-0000-00006C390000}"/>
    <cellStyle name="40% - Accent2 2 2 3 2 3 3 3" xfId="14654" xr:uid="{00000000-0005-0000-0000-00006D390000}"/>
    <cellStyle name="40% - Accent2 2 2 3 2 3 4" xfId="14655" xr:uid="{00000000-0005-0000-0000-00006E390000}"/>
    <cellStyle name="40% - Accent2 2 2 3 2 3 4 2" xfId="14656" xr:uid="{00000000-0005-0000-0000-00006F390000}"/>
    <cellStyle name="40% - Accent2 2 2 3 2 3 5" xfId="14657" xr:uid="{00000000-0005-0000-0000-000070390000}"/>
    <cellStyle name="40% - Accent2 2 2 3 2 4" xfId="14658" xr:uid="{00000000-0005-0000-0000-000071390000}"/>
    <cellStyle name="40% - Accent2 2 2 3 2 4 2" xfId="14659" xr:uid="{00000000-0005-0000-0000-000072390000}"/>
    <cellStyle name="40% - Accent2 2 2 3 2 4 2 2" xfId="14660" xr:uid="{00000000-0005-0000-0000-000073390000}"/>
    <cellStyle name="40% - Accent2 2 2 3 2 4 2 2 2" xfId="14661" xr:uid="{00000000-0005-0000-0000-000074390000}"/>
    <cellStyle name="40% - Accent2 2 2 3 2 4 2 3" xfId="14662" xr:uid="{00000000-0005-0000-0000-000075390000}"/>
    <cellStyle name="40% - Accent2 2 2 3 2 4 3" xfId="14663" xr:uid="{00000000-0005-0000-0000-000076390000}"/>
    <cellStyle name="40% - Accent2 2 2 3 2 4 3 2" xfId="14664" xr:uid="{00000000-0005-0000-0000-000077390000}"/>
    <cellStyle name="40% - Accent2 2 2 3 2 4 4" xfId="14665" xr:uid="{00000000-0005-0000-0000-000078390000}"/>
    <cellStyle name="40% - Accent2 2 2 3 2 5" xfId="14666" xr:uid="{00000000-0005-0000-0000-000079390000}"/>
    <cellStyle name="40% - Accent2 2 2 3 2 5 2" xfId="14667" xr:uid="{00000000-0005-0000-0000-00007A390000}"/>
    <cellStyle name="40% - Accent2 2 2 3 2 5 2 2" xfId="14668" xr:uid="{00000000-0005-0000-0000-00007B390000}"/>
    <cellStyle name="40% - Accent2 2 2 3 2 5 3" xfId="14669" xr:uid="{00000000-0005-0000-0000-00007C390000}"/>
    <cellStyle name="40% - Accent2 2 2 3 2 6" xfId="14670" xr:uid="{00000000-0005-0000-0000-00007D390000}"/>
    <cellStyle name="40% - Accent2 2 2 3 2 6 2" xfId="14671" xr:uid="{00000000-0005-0000-0000-00007E390000}"/>
    <cellStyle name="40% - Accent2 2 2 3 2 7" xfId="14672" xr:uid="{00000000-0005-0000-0000-00007F390000}"/>
    <cellStyle name="40% - Accent2 2 2 3 3" xfId="14673" xr:uid="{00000000-0005-0000-0000-000080390000}"/>
    <cellStyle name="40% - Accent2 2 2 3 3 2" xfId="14674" xr:uid="{00000000-0005-0000-0000-000081390000}"/>
    <cellStyle name="40% - Accent2 2 2 3 3 2 2" xfId="14675" xr:uid="{00000000-0005-0000-0000-000082390000}"/>
    <cellStyle name="40% - Accent2 2 2 3 3 2 2 2" xfId="14676" xr:uid="{00000000-0005-0000-0000-000083390000}"/>
    <cellStyle name="40% - Accent2 2 2 3 3 2 2 2 2" xfId="14677" xr:uid="{00000000-0005-0000-0000-000084390000}"/>
    <cellStyle name="40% - Accent2 2 2 3 3 2 2 2 2 2" xfId="14678" xr:uid="{00000000-0005-0000-0000-000085390000}"/>
    <cellStyle name="40% - Accent2 2 2 3 3 2 2 2 3" xfId="14679" xr:uid="{00000000-0005-0000-0000-000086390000}"/>
    <cellStyle name="40% - Accent2 2 2 3 3 2 2 3" xfId="14680" xr:uid="{00000000-0005-0000-0000-000087390000}"/>
    <cellStyle name="40% - Accent2 2 2 3 3 2 2 3 2" xfId="14681" xr:uid="{00000000-0005-0000-0000-000088390000}"/>
    <cellStyle name="40% - Accent2 2 2 3 3 2 2 4" xfId="14682" xr:uid="{00000000-0005-0000-0000-000089390000}"/>
    <cellStyle name="40% - Accent2 2 2 3 3 2 3" xfId="14683" xr:uid="{00000000-0005-0000-0000-00008A390000}"/>
    <cellStyle name="40% - Accent2 2 2 3 3 2 3 2" xfId="14684" xr:uid="{00000000-0005-0000-0000-00008B390000}"/>
    <cellStyle name="40% - Accent2 2 2 3 3 2 3 2 2" xfId="14685" xr:uid="{00000000-0005-0000-0000-00008C390000}"/>
    <cellStyle name="40% - Accent2 2 2 3 3 2 3 3" xfId="14686" xr:uid="{00000000-0005-0000-0000-00008D390000}"/>
    <cellStyle name="40% - Accent2 2 2 3 3 2 4" xfId="14687" xr:uid="{00000000-0005-0000-0000-00008E390000}"/>
    <cellStyle name="40% - Accent2 2 2 3 3 2 4 2" xfId="14688" xr:uid="{00000000-0005-0000-0000-00008F390000}"/>
    <cellStyle name="40% - Accent2 2 2 3 3 2 5" xfId="14689" xr:uid="{00000000-0005-0000-0000-000090390000}"/>
    <cellStyle name="40% - Accent2 2 2 3 3 3" xfId="14690" xr:uid="{00000000-0005-0000-0000-000091390000}"/>
    <cellStyle name="40% - Accent2 2 2 3 3 3 2" xfId="14691" xr:uid="{00000000-0005-0000-0000-000092390000}"/>
    <cellStyle name="40% - Accent2 2 2 3 3 3 2 2" xfId="14692" xr:uid="{00000000-0005-0000-0000-000093390000}"/>
    <cellStyle name="40% - Accent2 2 2 3 3 3 2 2 2" xfId="14693" xr:uid="{00000000-0005-0000-0000-000094390000}"/>
    <cellStyle name="40% - Accent2 2 2 3 3 3 2 3" xfId="14694" xr:uid="{00000000-0005-0000-0000-000095390000}"/>
    <cellStyle name="40% - Accent2 2 2 3 3 3 3" xfId="14695" xr:uid="{00000000-0005-0000-0000-000096390000}"/>
    <cellStyle name="40% - Accent2 2 2 3 3 3 3 2" xfId="14696" xr:uid="{00000000-0005-0000-0000-000097390000}"/>
    <cellStyle name="40% - Accent2 2 2 3 3 3 4" xfId="14697" xr:uid="{00000000-0005-0000-0000-000098390000}"/>
    <cellStyle name="40% - Accent2 2 2 3 3 4" xfId="14698" xr:uid="{00000000-0005-0000-0000-000099390000}"/>
    <cellStyle name="40% - Accent2 2 2 3 3 4 2" xfId="14699" xr:uid="{00000000-0005-0000-0000-00009A390000}"/>
    <cellStyle name="40% - Accent2 2 2 3 3 4 2 2" xfId="14700" xr:uid="{00000000-0005-0000-0000-00009B390000}"/>
    <cellStyle name="40% - Accent2 2 2 3 3 4 3" xfId="14701" xr:uid="{00000000-0005-0000-0000-00009C390000}"/>
    <cellStyle name="40% - Accent2 2 2 3 3 5" xfId="14702" xr:uid="{00000000-0005-0000-0000-00009D390000}"/>
    <cellStyle name="40% - Accent2 2 2 3 3 5 2" xfId="14703" xr:uid="{00000000-0005-0000-0000-00009E390000}"/>
    <cellStyle name="40% - Accent2 2 2 3 3 6" xfId="14704" xr:uid="{00000000-0005-0000-0000-00009F390000}"/>
    <cellStyle name="40% - Accent2 2 2 3 4" xfId="14705" xr:uid="{00000000-0005-0000-0000-0000A0390000}"/>
    <cellStyle name="40% - Accent2 2 2 3 4 2" xfId="14706" xr:uid="{00000000-0005-0000-0000-0000A1390000}"/>
    <cellStyle name="40% - Accent2 2 2 3 4 2 2" xfId="14707" xr:uid="{00000000-0005-0000-0000-0000A2390000}"/>
    <cellStyle name="40% - Accent2 2 2 3 4 2 2 2" xfId="14708" xr:uid="{00000000-0005-0000-0000-0000A3390000}"/>
    <cellStyle name="40% - Accent2 2 2 3 4 2 2 2 2" xfId="14709" xr:uid="{00000000-0005-0000-0000-0000A4390000}"/>
    <cellStyle name="40% - Accent2 2 2 3 4 2 2 3" xfId="14710" xr:uid="{00000000-0005-0000-0000-0000A5390000}"/>
    <cellStyle name="40% - Accent2 2 2 3 4 2 3" xfId="14711" xr:uid="{00000000-0005-0000-0000-0000A6390000}"/>
    <cellStyle name="40% - Accent2 2 2 3 4 2 3 2" xfId="14712" xr:uid="{00000000-0005-0000-0000-0000A7390000}"/>
    <cellStyle name="40% - Accent2 2 2 3 4 2 4" xfId="14713" xr:uid="{00000000-0005-0000-0000-0000A8390000}"/>
    <cellStyle name="40% - Accent2 2 2 3 4 3" xfId="14714" xr:uid="{00000000-0005-0000-0000-0000A9390000}"/>
    <cellStyle name="40% - Accent2 2 2 3 4 3 2" xfId="14715" xr:uid="{00000000-0005-0000-0000-0000AA390000}"/>
    <cellStyle name="40% - Accent2 2 2 3 4 3 2 2" xfId="14716" xr:uid="{00000000-0005-0000-0000-0000AB390000}"/>
    <cellStyle name="40% - Accent2 2 2 3 4 3 3" xfId="14717" xr:uid="{00000000-0005-0000-0000-0000AC390000}"/>
    <cellStyle name="40% - Accent2 2 2 3 4 4" xfId="14718" xr:uid="{00000000-0005-0000-0000-0000AD390000}"/>
    <cellStyle name="40% - Accent2 2 2 3 4 4 2" xfId="14719" xr:uid="{00000000-0005-0000-0000-0000AE390000}"/>
    <cellStyle name="40% - Accent2 2 2 3 4 5" xfId="14720" xr:uid="{00000000-0005-0000-0000-0000AF390000}"/>
    <cellStyle name="40% - Accent2 2 2 3 5" xfId="14721" xr:uid="{00000000-0005-0000-0000-0000B0390000}"/>
    <cellStyle name="40% - Accent2 2 2 3 5 2" xfId="14722" xr:uid="{00000000-0005-0000-0000-0000B1390000}"/>
    <cellStyle name="40% - Accent2 2 2 3 5 2 2" xfId="14723" xr:uid="{00000000-0005-0000-0000-0000B2390000}"/>
    <cellStyle name="40% - Accent2 2 2 3 5 2 2 2" xfId="14724" xr:uid="{00000000-0005-0000-0000-0000B3390000}"/>
    <cellStyle name="40% - Accent2 2 2 3 5 2 3" xfId="14725" xr:uid="{00000000-0005-0000-0000-0000B4390000}"/>
    <cellStyle name="40% - Accent2 2 2 3 5 3" xfId="14726" xr:uid="{00000000-0005-0000-0000-0000B5390000}"/>
    <cellStyle name="40% - Accent2 2 2 3 5 3 2" xfId="14727" xr:uid="{00000000-0005-0000-0000-0000B6390000}"/>
    <cellStyle name="40% - Accent2 2 2 3 5 4" xfId="14728" xr:uid="{00000000-0005-0000-0000-0000B7390000}"/>
    <cellStyle name="40% - Accent2 2 2 3 6" xfId="14729" xr:uid="{00000000-0005-0000-0000-0000B8390000}"/>
    <cellStyle name="40% - Accent2 2 2 3 6 2" xfId="14730" xr:uid="{00000000-0005-0000-0000-0000B9390000}"/>
    <cellStyle name="40% - Accent2 2 2 3 6 2 2" xfId="14731" xr:uid="{00000000-0005-0000-0000-0000BA390000}"/>
    <cellStyle name="40% - Accent2 2 2 3 6 3" xfId="14732" xr:uid="{00000000-0005-0000-0000-0000BB390000}"/>
    <cellStyle name="40% - Accent2 2 2 3 7" xfId="14733" xr:uid="{00000000-0005-0000-0000-0000BC390000}"/>
    <cellStyle name="40% - Accent2 2 2 3 7 2" xfId="14734" xr:uid="{00000000-0005-0000-0000-0000BD390000}"/>
    <cellStyle name="40% - Accent2 2 2 3 8" xfId="14735" xr:uid="{00000000-0005-0000-0000-0000BE390000}"/>
    <cellStyle name="40% - Accent2 2 2 4" xfId="14736" xr:uid="{00000000-0005-0000-0000-0000BF390000}"/>
    <cellStyle name="40% - Accent2 2 2 4 2" xfId="14737" xr:uid="{00000000-0005-0000-0000-0000C0390000}"/>
    <cellStyle name="40% - Accent2 2 2 4 2 2" xfId="14738" xr:uid="{00000000-0005-0000-0000-0000C1390000}"/>
    <cellStyle name="40% - Accent2 2 2 4 2 2 2" xfId="14739" xr:uid="{00000000-0005-0000-0000-0000C2390000}"/>
    <cellStyle name="40% - Accent2 2 2 4 2 2 2 2" xfId="14740" xr:uid="{00000000-0005-0000-0000-0000C3390000}"/>
    <cellStyle name="40% - Accent2 2 2 4 2 2 2 2 2" xfId="14741" xr:uid="{00000000-0005-0000-0000-0000C4390000}"/>
    <cellStyle name="40% - Accent2 2 2 4 2 2 2 2 2 2" xfId="14742" xr:uid="{00000000-0005-0000-0000-0000C5390000}"/>
    <cellStyle name="40% - Accent2 2 2 4 2 2 2 2 3" xfId="14743" xr:uid="{00000000-0005-0000-0000-0000C6390000}"/>
    <cellStyle name="40% - Accent2 2 2 4 2 2 2 3" xfId="14744" xr:uid="{00000000-0005-0000-0000-0000C7390000}"/>
    <cellStyle name="40% - Accent2 2 2 4 2 2 2 3 2" xfId="14745" xr:uid="{00000000-0005-0000-0000-0000C8390000}"/>
    <cellStyle name="40% - Accent2 2 2 4 2 2 2 4" xfId="14746" xr:uid="{00000000-0005-0000-0000-0000C9390000}"/>
    <cellStyle name="40% - Accent2 2 2 4 2 2 3" xfId="14747" xr:uid="{00000000-0005-0000-0000-0000CA390000}"/>
    <cellStyle name="40% - Accent2 2 2 4 2 2 3 2" xfId="14748" xr:uid="{00000000-0005-0000-0000-0000CB390000}"/>
    <cellStyle name="40% - Accent2 2 2 4 2 2 3 2 2" xfId="14749" xr:uid="{00000000-0005-0000-0000-0000CC390000}"/>
    <cellStyle name="40% - Accent2 2 2 4 2 2 3 3" xfId="14750" xr:uid="{00000000-0005-0000-0000-0000CD390000}"/>
    <cellStyle name="40% - Accent2 2 2 4 2 2 4" xfId="14751" xr:uid="{00000000-0005-0000-0000-0000CE390000}"/>
    <cellStyle name="40% - Accent2 2 2 4 2 2 4 2" xfId="14752" xr:uid="{00000000-0005-0000-0000-0000CF390000}"/>
    <cellStyle name="40% - Accent2 2 2 4 2 2 5" xfId="14753" xr:uid="{00000000-0005-0000-0000-0000D0390000}"/>
    <cellStyle name="40% - Accent2 2 2 4 2 3" xfId="14754" xr:uid="{00000000-0005-0000-0000-0000D1390000}"/>
    <cellStyle name="40% - Accent2 2 2 4 2 3 2" xfId="14755" xr:uid="{00000000-0005-0000-0000-0000D2390000}"/>
    <cellStyle name="40% - Accent2 2 2 4 2 3 2 2" xfId="14756" xr:uid="{00000000-0005-0000-0000-0000D3390000}"/>
    <cellStyle name="40% - Accent2 2 2 4 2 3 2 2 2" xfId="14757" xr:uid="{00000000-0005-0000-0000-0000D4390000}"/>
    <cellStyle name="40% - Accent2 2 2 4 2 3 2 3" xfId="14758" xr:uid="{00000000-0005-0000-0000-0000D5390000}"/>
    <cellStyle name="40% - Accent2 2 2 4 2 3 3" xfId="14759" xr:uid="{00000000-0005-0000-0000-0000D6390000}"/>
    <cellStyle name="40% - Accent2 2 2 4 2 3 3 2" xfId="14760" xr:uid="{00000000-0005-0000-0000-0000D7390000}"/>
    <cellStyle name="40% - Accent2 2 2 4 2 3 4" xfId="14761" xr:uid="{00000000-0005-0000-0000-0000D8390000}"/>
    <cellStyle name="40% - Accent2 2 2 4 2 4" xfId="14762" xr:uid="{00000000-0005-0000-0000-0000D9390000}"/>
    <cellStyle name="40% - Accent2 2 2 4 2 4 2" xfId="14763" xr:uid="{00000000-0005-0000-0000-0000DA390000}"/>
    <cellStyle name="40% - Accent2 2 2 4 2 4 2 2" xfId="14764" xr:uid="{00000000-0005-0000-0000-0000DB390000}"/>
    <cellStyle name="40% - Accent2 2 2 4 2 4 3" xfId="14765" xr:uid="{00000000-0005-0000-0000-0000DC390000}"/>
    <cellStyle name="40% - Accent2 2 2 4 2 5" xfId="14766" xr:uid="{00000000-0005-0000-0000-0000DD390000}"/>
    <cellStyle name="40% - Accent2 2 2 4 2 5 2" xfId="14767" xr:uid="{00000000-0005-0000-0000-0000DE390000}"/>
    <cellStyle name="40% - Accent2 2 2 4 2 6" xfId="14768" xr:uid="{00000000-0005-0000-0000-0000DF390000}"/>
    <cellStyle name="40% - Accent2 2 2 4 3" xfId="14769" xr:uid="{00000000-0005-0000-0000-0000E0390000}"/>
    <cellStyle name="40% - Accent2 2 2 4 3 2" xfId="14770" xr:uid="{00000000-0005-0000-0000-0000E1390000}"/>
    <cellStyle name="40% - Accent2 2 2 4 3 2 2" xfId="14771" xr:uid="{00000000-0005-0000-0000-0000E2390000}"/>
    <cellStyle name="40% - Accent2 2 2 4 3 2 2 2" xfId="14772" xr:uid="{00000000-0005-0000-0000-0000E3390000}"/>
    <cellStyle name="40% - Accent2 2 2 4 3 2 2 2 2" xfId="14773" xr:uid="{00000000-0005-0000-0000-0000E4390000}"/>
    <cellStyle name="40% - Accent2 2 2 4 3 2 2 3" xfId="14774" xr:uid="{00000000-0005-0000-0000-0000E5390000}"/>
    <cellStyle name="40% - Accent2 2 2 4 3 2 3" xfId="14775" xr:uid="{00000000-0005-0000-0000-0000E6390000}"/>
    <cellStyle name="40% - Accent2 2 2 4 3 2 3 2" xfId="14776" xr:uid="{00000000-0005-0000-0000-0000E7390000}"/>
    <cellStyle name="40% - Accent2 2 2 4 3 2 4" xfId="14777" xr:uid="{00000000-0005-0000-0000-0000E8390000}"/>
    <cellStyle name="40% - Accent2 2 2 4 3 3" xfId="14778" xr:uid="{00000000-0005-0000-0000-0000E9390000}"/>
    <cellStyle name="40% - Accent2 2 2 4 3 3 2" xfId="14779" xr:uid="{00000000-0005-0000-0000-0000EA390000}"/>
    <cellStyle name="40% - Accent2 2 2 4 3 3 2 2" xfId="14780" xr:uid="{00000000-0005-0000-0000-0000EB390000}"/>
    <cellStyle name="40% - Accent2 2 2 4 3 3 3" xfId="14781" xr:uid="{00000000-0005-0000-0000-0000EC390000}"/>
    <cellStyle name="40% - Accent2 2 2 4 3 4" xfId="14782" xr:uid="{00000000-0005-0000-0000-0000ED390000}"/>
    <cellStyle name="40% - Accent2 2 2 4 3 4 2" xfId="14783" xr:uid="{00000000-0005-0000-0000-0000EE390000}"/>
    <cellStyle name="40% - Accent2 2 2 4 3 5" xfId="14784" xr:uid="{00000000-0005-0000-0000-0000EF390000}"/>
    <cellStyle name="40% - Accent2 2 2 4 4" xfId="14785" xr:uid="{00000000-0005-0000-0000-0000F0390000}"/>
    <cellStyle name="40% - Accent2 2 2 4 4 2" xfId="14786" xr:uid="{00000000-0005-0000-0000-0000F1390000}"/>
    <cellStyle name="40% - Accent2 2 2 4 4 2 2" xfId="14787" xr:uid="{00000000-0005-0000-0000-0000F2390000}"/>
    <cellStyle name="40% - Accent2 2 2 4 4 2 2 2" xfId="14788" xr:uid="{00000000-0005-0000-0000-0000F3390000}"/>
    <cellStyle name="40% - Accent2 2 2 4 4 2 3" xfId="14789" xr:uid="{00000000-0005-0000-0000-0000F4390000}"/>
    <cellStyle name="40% - Accent2 2 2 4 4 3" xfId="14790" xr:uid="{00000000-0005-0000-0000-0000F5390000}"/>
    <cellStyle name="40% - Accent2 2 2 4 4 3 2" xfId="14791" xr:uid="{00000000-0005-0000-0000-0000F6390000}"/>
    <cellStyle name="40% - Accent2 2 2 4 4 4" xfId="14792" xr:uid="{00000000-0005-0000-0000-0000F7390000}"/>
    <cellStyle name="40% - Accent2 2 2 4 5" xfId="14793" xr:uid="{00000000-0005-0000-0000-0000F8390000}"/>
    <cellStyle name="40% - Accent2 2 2 4 5 2" xfId="14794" xr:uid="{00000000-0005-0000-0000-0000F9390000}"/>
    <cellStyle name="40% - Accent2 2 2 4 5 2 2" xfId="14795" xr:uid="{00000000-0005-0000-0000-0000FA390000}"/>
    <cellStyle name="40% - Accent2 2 2 4 5 3" xfId="14796" xr:uid="{00000000-0005-0000-0000-0000FB390000}"/>
    <cellStyle name="40% - Accent2 2 2 4 6" xfId="14797" xr:uid="{00000000-0005-0000-0000-0000FC390000}"/>
    <cellStyle name="40% - Accent2 2 2 4 6 2" xfId="14798" xr:uid="{00000000-0005-0000-0000-0000FD390000}"/>
    <cellStyle name="40% - Accent2 2 2 4 7" xfId="14799" xr:uid="{00000000-0005-0000-0000-0000FE390000}"/>
    <cellStyle name="40% - Accent2 2 2 5" xfId="14800" xr:uid="{00000000-0005-0000-0000-0000FF390000}"/>
    <cellStyle name="40% - Accent2 2 2 5 2" xfId="14801" xr:uid="{00000000-0005-0000-0000-0000003A0000}"/>
    <cellStyle name="40% - Accent2 2 2 5 2 2" xfId="14802" xr:uid="{00000000-0005-0000-0000-0000013A0000}"/>
    <cellStyle name="40% - Accent2 2 2 5 2 2 2" xfId="14803" xr:uid="{00000000-0005-0000-0000-0000023A0000}"/>
    <cellStyle name="40% - Accent2 2 2 5 2 2 2 2" xfId="14804" xr:uid="{00000000-0005-0000-0000-0000033A0000}"/>
    <cellStyle name="40% - Accent2 2 2 5 2 2 2 2 2" xfId="14805" xr:uid="{00000000-0005-0000-0000-0000043A0000}"/>
    <cellStyle name="40% - Accent2 2 2 5 2 2 2 3" xfId="14806" xr:uid="{00000000-0005-0000-0000-0000053A0000}"/>
    <cellStyle name="40% - Accent2 2 2 5 2 2 3" xfId="14807" xr:uid="{00000000-0005-0000-0000-0000063A0000}"/>
    <cellStyle name="40% - Accent2 2 2 5 2 2 3 2" xfId="14808" xr:uid="{00000000-0005-0000-0000-0000073A0000}"/>
    <cellStyle name="40% - Accent2 2 2 5 2 2 4" xfId="14809" xr:uid="{00000000-0005-0000-0000-0000083A0000}"/>
    <cellStyle name="40% - Accent2 2 2 5 2 3" xfId="14810" xr:uid="{00000000-0005-0000-0000-0000093A0000}"/>
    <cellStyle name="40% - Accent2 2 2 5 2 3 2" xfId="14811" xr:uid="{00000000-0005-0000-0000-00000A3A0000}"/>
    <cellStyle name="40% - Accent2 2 2 5 2 3 2 2" xfId="14812" xr:uid="{00000000-0005-0000-0000-00000B3A0000}"/>
    <cellStyle name="40% - Accent2 2 2 5 2 3 3" xfId="14813" xr:uid="{00000000-0005-0000-0000-00000C3A0000}"/>
    <cellStyle name="40% - Accent2 2 2 5 2 4" xfId="14814" xr:uid="{00000000-0005-0000-0000-00000D3A0000}"/>
    <cellStyle name="40% - Accent2 2 2 5 2 4 2" xfId="14815" xr:uid="{00000000-0005-0000-0000-00000E3A0000}"/>
    <cellStyle name="40% - Accent2 2 2 5 2 5" xfId="14816" xr:uid="{00000000-0005-0000-0000-00000F3A0000}"/>
    <cellStyle name="40% - Accent2 2 2 5 3" xfId="14817" xr:uid="{00000000-0005-0000-0000-0000103A0000}"/>
    <cellStyle name="40% - Accent2 2 2 5 3 2" xfId="14818" xr:uid="{00000000-0005-0000-0000-0000113A0000}"/>
    <cellStyle name="40% - Accent2 2 2 5 3 2 2" xfId="14819" xr:uid="{00000000-0005-0000-0000-0000123A0000}"/>
    <cellStyle name="40% - Accent2 2 2 5 3 2 2 2" xfId="14820" xr:uid="{00000000-0005-0000-0000-0000133A0000}"/>
    <cellStyle name="40% - Accent2 2 2 5 3 2 3" xfId="14821" xr:uid="{00000000-0005-0000-0000-0000143A0000}"/>
    <cellStyle name="40% - Accent2 2 2 5 3 3" xfId="14822" xr:uid="{00000000-0005-0000-0000-0000153A0000}"/>
    <cellStyle name="40% - Accent2 2 2 5 3 3 2" xfId="14823" xr:uid="{00000000-0005-0000-0000-0000163A0000}"/>
    <cellStyle name="40% - Accent2 2 2 5 3 4" xfId="14824" xr:uid="{00000000-0005-0000-0000-0000173A0000}"/>
    <cellStyle name="40% - Accent2 2 2 5 4" xfId="14825" xr:uid="{00000000-0005-0000-0000-0000183A0000}"/>
    <cellStyle name="40% - Accent2 2 2 5 4 2" xfId="14826" xr:uid="{00000000-0005-0000-0000-0000193A0000}"/>
    <cellStyle name="40% - Accent2 2 2 5 4 2 2" xfId="14827" xr:uid="{00000000-0005-0000-0000-00001A3A0000}"/>
    <cellStyle name="40% - Accent2 2 2 5 4 3" xfId="14828" xr:uid="{00000000-0005-0000-0000-00001B3A0000}"/>
    <cellStyle name="40% - Accent2 2 2 5 5" xfId="14829" xr:uid="{00000000-0005-0000-0000-00001C3A0000}"/>
    <cellStyle name="40% - Accent2 2 2 5 5 2" xfId="14830" xr:uid="{00000000-0005-0000-0000-00001D3A0000}"/>
    <cellStyle name="40% - Accent2 2 2 5 6" xfId="14831" xr:uid="{00000000-0005-0000-0000-00001E3A0000}"/>
    <cellStyle name="40% - Accent2 2 2 6" xfId="14832" xr:uid="{00000000-0005-0000-0000-00001F3A0000}"/>
    <cellStyle name="40% - Accent2 2 2 6 2" xfId="14833" xr:uid="{00000000-0005-0000-0000-0000203A0000}"/>
    <cellStyle name="40% - Accent2 2 2 6 2 2" xfId="14834" xr:uid="{00000000-0005-0000-0000-0000213A0000}"/>
    <cellStyle name="40% - Accent2 2 2 6 2 2 2" xfId="14835" xr:uid="{00000000-0005-0000-0000-0000223A0000}"/>
    <cellStyle name="40% - Accent2 2 2 6 2 2 2 2" xfId="14836" xr:uid="{00000000-0005-0000-0000-0000233A0000}"/>
    <cellStyle name="40% - Accent2 2 2 6 2 2 3" xfId="14837" xr:uid="{00000000-0005-0000-0000-0000243A0000}"/>
    <cellStyle name="40% - Accent2 2 2 6 2 3" xfId="14838" xr:uid="{00000000-0005-0000-0000-0000253A0000}"/>
    <cellStyle name="40% - Accent2 2 2 6 2 3 2" xfId="14839" xr:uid="{00000000-0005-0000-0000-0000263A0000}"/>
    <cellStyle name="40% - Accent2 2 2 6 2 4" xfId="14840" xr:uid="{00000000-0005-0000-0000-0000273A0000}"/>
    <cellStyle name="40% - Accent2 2 2 6 3" xfId="14841" xr:uid="{00000000-0005-0000-0000-0000283A0000}"/>
    <cellStyle name="40% - Accent2 2 2 6 3 2" xfId="14842" xr:uid="{00000000-0005-0000-0000-0000293A0000}"/>
    <cellStyle name="40% - Accent2 2 2 6 3 2 2" xfId="14843" xr:uid="{00000000-0005-0000-0000-00002A3A0000}"/>
    <cellStyle name="40% - Accent2 2 2 6 3 3" xfId="14844" xr:uid="{00000000-0005-0000-0000-00002B3A0000}"/>
    <cellStyle name="40% - Accent2 2 2 6 4" xfId="14845" xr:uid="{00000000-0005-0000-0000-00002C3A0000}"/>
    <cellStyle name="40% - Accent2 2 2 6 4 2" xfId="14846" xr:uid="{00000000-0005-0000-0000-00002D3A0000}"/>
    <cellStyle name="40% - Accent2 2 2 6 5" xfId="14847" xr:uid="{00000000-0005-0000-0000-00002E3A0000}"/>
    <cellStyle name="40% - Accent2 2 2 7" xfId="14848" xr:uid="{00000000-0005-0000-0000-00002F3A0000}"/>
    <cellStyle name="40% - Accent2 2 2 7 2" xfId="14849" xr:uid="{00000000-0005-0000-0000-0000303A0000}"/>
    <cellStyle name="40% - Accent2 2 2 7 2 2" xfId="14850" xr:uid="{00000000-0005-0000-0000-0000313A0000}"/>
    <cellStyle name="40% - Accent2 2 2 7 2 2 2" xfId="14851" xr:uid="{00000000-0005-0000-0000-0000323A0000}"/>
    <cellStyle name="40% - Accent2 2 2 7 2 3" xfId="14852" xr:uid="{00000000-0005-0000-0000-0000333A0000}"/>
    <cellStyle name="40% - Accent2 2 2 7 3" xfId="14853" xr:uid="{00000000-0005-0000-0000-0000343A0000}"/>
    <cellStyle name="40% - Accent2 2 2 7 3 2" xfId="14854" xr:uid="{00000000-0005-0000-0000-0000353A0000}"/>
    <cellStyle name="40% - Accent2 2 2 7 4" xfId="14855" xr:uid="{00000000-0005-0000-0000-0000363A0000}"/>
    <cellStyle name="40% - Accent2 2 2 8" xfId="14856" xr:uid="{00000000-0005-0000-0000-0000373A0000}"/>
    <cellStyle name="40% - Accent2 2 2 8 2" xfId="14857" xr:uid="{00000000-0005-0000-0000-0000383A0000}"/>
    <cellStyle name="40% - Accent2 2 2 8 2 2" xfId="14858" xr:uid="{00000000-0005-0000-0000-0000393A0000}"/>
    <cellStyle name="40% - Accent2 2 2 8 3" xfId="14859" xr:uid="{00000000-0005-0000-0000-00003A3A0000}"/>
    <cellStyle name="40% - Accent2 2 2 9" xfId="14860" xr:uid="{00000000-0005-0000-0000-00003B3A0000}"/>
    <cellStyle name="40% - Accent2 2 2 9 2" xfId="14861" xr:uid="{00000000-0005-0000-0000-00003C3A0000}"/>
    <cellStyle name="40% - Accent2 2 3" xfId="14862" xr:uid="{00000000-0005-0000-0000-00003D3A0000}"/>
    <cellStyle name="40% - Accent2 2 3 2" xfId="14863" xr:uid="{00000000-0005-0000-0000-00003E3A0000}"/>
    <cellStyle name="40% - Accent2 2 3 2 2" xfId="14864" xr:uid="{00000000-0005-0000-0000-00003F3A0000}"/>
    <cellStyle name="40% - Accent2 2 3 2 2 2" xfId="14865" xr:uid="{00000000-0005-0000-0000-0000403A0000}"/>
    <cellStyle name="40% - Accent2 2 3 2 2 2 2" xfId="14866" xr:uid="{00000000-0005-0000-0000-0000413A0000}"/>
    <cellStyle name="40% - Accent2 2 3 2 2 2 2 2" xfId="14867" xr:uid="{00000000-0005-0000-0000-0000423A0000}"/>
    <cellStyle name="40% - Accent2 2 3 2 2 2 2 2 2" xfId="14868" xr:uid="{00000000-0005-0000-0000-0000433A0000}"/>
    <cellStyle name="40% - Accent2 2 3 2 2 2 2 2 2 2" xfId="14869" xr:uid="{00000000-0005-0000-0000-0000443A0000}"/>
    <cellStyle name="40% - Accent2 2 3 2 2 2 2 2 2 2 2" xfId="14870" xr:uid="{00000000-0005-0000-0000-0000453A0000}"/>
    <cellStyle name="40% - Accent2 2 3 2 2 2 2 2 2 3" xfId="14871" xr:uid="{00000000-0005-0000-0000-0000463A0000}"/>
    <cellStyle name="40% - Accent2 2 3 2 2 2 2 2 3" xfId="14872" xr:uid="{00000000-0005-0000-0000-0000473A0000}"/>
    <cellStyle name="40% - Accent2 2 3 2 2 2 2 2 3 2" xfId="14873" xr:uid="{00000000-0005-0000-0000-0000483A0000}"/>
    <cellStyle name="40% - Accent2 2 3 2 2 2 2 2 4" xfId="14874" xr:uid="{00000000-0005-0000-0000-0000493A0000}"/>
    <cellStyle name="40% - Accent2 2 3 2 2 2 2 3" xfId="14875" xr:uid="{00000000-0005-0000-0000-00004A3A0000}"/>
    <cellStyle name="40% - Accent2 2 3 2 2 2 2 3 2" xfId="14876" xr:uid="{00000000-0005-0000-0000-00004B3A0000}"/>
    <cellStyle name="40% - Accent2 2 3 2 2 2 2 3 2 2" xfId="14877" xr:uid="{00000000-0005-0000-0000-00004C3A0000}"/>
    <cellStyle name="40% - Accent2 2 3 2 2 2 2 3 3" xfId="14878" xr:uid="{00000000-0005-0000-0000-00004D3A0000}"/>
    <cellStyle name="40% - Accent2 2 3 2 2 2 2 4" xfId="14879" xr:uid="{00000000-0005-0000-0000-00004E3A0000}"/>
    <cellStyle name="40% - Accent2 2 3 2 2 2 2 4 2" xfId="14880" xr:uid="{00000000-0005-0000-0000-00004F3A0000}"/>
    <cellStyle name="40% - Accent2 2 3 2 2 2 2 5" xfId="14881" xr:uid="{00000000-0005-0000-0000-0000503A0000}"/>
    <cellStyle name="40% - Accent2 2 3 2 2 2 3" xfId="14882" xr:uid="{00000000-0005-0000-0000-0000513A0000}"/>
    <cellStyle name="40% - Accent2 2 3 2 2 2 3 2" xfId="14883" xr:uid="{00000000-0005-0000-0000-0000523A0000}"/>
    <cellStyle name="40% - Accent2 2 3 2 2 2 3 2 2" xfId="14884" xr:uid="{00000000-0005-0000-0000-0000533A0000}"/>
    <cellStyle name="40% - Accent2 2 3 2 2 2 3 2 2 2" xfId="14885" xr:uid="{00000000-0005-0000-0000-0000543A0000}"/>
    <cellStyle name="40% - Accent2 2 3 2 2 2 3 2 3" xfId="14886" xr:uid="{00000000-0005-0000-0000-0000553A0000}"/>
    <cellStyle name="40% - Accent2 2 3 2 2 2 3 3" xfId="14887" xr:uid="{00000000-0005-0000-0000-0000563A0000}"/>
    <cellStyle name="40% - Accent2 2 3 2 2 2 3 3 2" xfId="14888" xr:uid="{00000000-0005-0000-0000-0000573A0000}"/>
    <cellStyle name="40% - Accent2 2 3 2 2 2 3 4" xfId="14889" xr:uid="{00000000-0005-0000-0000-0000583A0000}"/>
    <cellStyle name="40% - Accent2 2 3 2 2 2 4" xfId="14890" xr:uid="{00000000-0005-0000-0000-0000593A0000}"/>
    <cellStyle name="40% - Accent2 2 3 2 2 2 4 2" xfId="14891" xr:uid="{00000000-0005-0000-0000-00005A3A0000}"/>
    <cellStyle name="40% - Accent2 2 3 2 2 2 4 2 2" xfId="14892" xr:uid="{00000000-0005-0000-0000-00005B3A0000}"/>
    <cellStyle name="40% - Accent2 2 3 2 2 2 4 3" xfId="14893" xr:uid="{00000000-0005-0000-0000-00005C3A0000}"/>
    <cellStyle name="40% - Accent2 2 3 2 2 2 5" xfId="14894" xr:uid="{00000000-0005-0000-0000-00005D3A0000}"/>
    <cellStyle name="40% - Accent2 2 3 2 2 2 5 2" xfId="14895" xr:uid="{00000000-0005-0000-0000-00005E3A0000}"/>
    <cellStyle name="40% - Accent2 2 3 2 2 2 6" xfId="14896" xr:uid="{00000000-0005-0000-0000-00005F3A0000}"/>
    <cellStyle name="40% - Accent2 2 3 2 2 3" xfId="14897" xr:uid="{00000000-0005-0000-0000-0000603A0000}"/>
    <cellStyle name="40% - Accent2 2 3 2 2 3 2" xfId="14898" xr:uid="{00000000-0005-0000-0000-0000613A0000}"/>
    <cellStyle name="40% - Accent2 2 3 2 2 3 2 2" xfId="14899" xr:uid="{00000000-0005-0000-0000-0000623A0000}"/>
    <cellStyle name="40% - Accent2 2 3 2 2 3 2 2 2" xfId="14900" xr:uid="{00000000-0005-0000-0000-0000633A0000}"/>
    <cellStyle name="40% - Accent2 2 3 2 2 3 2 2 2 2" xfId="14901" xr:uid="{00000000-0005-0000-0000-0000643A0000}"/>
    <cellStyle name="40% - Accent2 2 3 2 2 3 2 2 3" xfId="14902" xr:uid="{00000000-0005-0000-0000-0000653A0000}"/>
    <cellStyle name="40% - Accent2 2 3 2 2 3 2 3" xfId="14903" xr:uid="{00000000-0005-0000-0000-0000663A0000}"/>
    <cellStyle name="40% - Accent2 2 3 2 2 3 2 3 2" xfId="14904" xr:uid="{00000000-0005-0000-0000-0000673A0000}"/>
    <cellStyle name="40% - Accent2 2 3 2 2 3 2 4" xfId="14905" xr:uid="{00000000-0005-0000-0000-0000683A0000}"/>
    <cellStyle name="40% - Accent2 2 3 2 2 3 3" xfId="14906" xr:uid="{00000000-0005-0000-0000-0000693A0000}"/>
    <cellStyle name="40% - Accent2 2 3 2 2 3 3 2" xfId="14907" xr:uid="{00000000-0005-0000-0000-00006A3A0000}"/>
    <cellStyle name="40% - Accent2 2 3 2 2 3 3 2 2" xfId="14908" xr:uid="{00000000-0005-0000-0000-00006B3A0000}"/>
    <cellStyle name="40% - Accent2 2 3 2 2 3 3 3" xfId="14909" xr:uid="{00000000-0005-0000-0000-00006C3A0000}"/>
    <cellStyle name="40% - Accent2 2 3 2 2 3 4" xfId="14910" xr:uid="{00000000-0005-0000-0000-00006D3A0000}"/>
    <cellStyle name="40% - Accent2 2 3 2 2 3 4 2" xfId="14911" xr:uid="{00000000-0005-0000-0000-00006E3A0000}"/>
    <cellStyle name="40% - Accent2 2 3 2 2 3 5" xfId="14912" xr:uid="{00000000-0005-0000-0000-00006F3A0000}"/>
    <cellStyle name="40% - Accent2 2 3 2 2 4" xfId="14913" xr:uid="{00000000-0005-0000-0000-0000703A0000}"/>
    <cellStyle name="40% - Accent2 2 3 2 2 4 2" xfId="14914" xr:uid="{00000000-0005-0000-0000-0000713A0000}"/>
    <cellStyle name="40% - Accent2 2 3 2 2 4 2 2" xfId="14915" xr:uid="{00000000-0005-0000-0000-0000723A0000}"/>
    <cellStyle name="40% - Accent2 2 3 2 2 4 2 2 2" xfId="14916" xr:uid="{00000000-0005-0000-0000-0000733A0000}"/>
    <cellStyle name="40% - Accent2 2 3 2 2 4 2 3" xfId="14917" xr:uid="{00000000-0005-0000-0000-0000743A0000}"/>
    <cellStyle name="40% - Accent2 2 3 2 2 4 3" xfId="14918" xr:uid="{00000000-0005-0000-0000-0000753A0000}"/>
    <cellStyle name="40% - Accent2 2 3 2 2 4 3 2" xfId="14919" xr:uid="{00000000-0005-0000-0000-0000763A0000}"/>
    <cellStyle name="40% - Accent2 2 3 2 2 4 4" xfId="14920" xr:uid="{00000000-0005-0000-0000-0000773A0000}"/>
    <cellStyle name="40% - Accent2 2 3 2 2 5" xfId="14921" xr:uid="{00000000-0005-0000-0000-0000783A0000}"/>
    <cellStyle name="40% - Accent2 2 3 2 2 5 2" xfId="14922" xr:uid="{00000000-0005-0000-0000-0000793A0000}"/>
    <cellStyle name="40% - Accent2 2 3 2 2 5 2 2" xfId="14923" xr:uid="{00000000-0005-0000-0000-00007A3A0000}"/>
    <cellStyle name="40% - Accent2 2 3 2 2 5 3" xfId="14924" xr:uid="{00000000-0005-0000-0000-00007B3A0000}"/>
    <cellStyle name="40% - Accent2 2 3 2 2 6" xfId="14925" xr:uid="{00000000-0005-0000-0000-00007C3A0000}"/>
    <cellStyle name="40% - Accent2 2 3 2 2 6 2" xfId="14926" xr:uid="{00000000-0005-0000-0000-00007D3A0000}"/>
    <cellStyle name="40% - Accent2 2 3 2 2 7" xfId="14927" xr:uid="{00000000-0005-0000-0000-00007E3A0000}"/>
    <cellStyle name="40% - Accent2 2 3 2 3" xfId="14928" xr:uid="{00000000-0005-0000-0000-00007F3A0000}"/>
    <cellStyle name="40% - Accent2 2 3 2 3 2" xfId="14929" xr:uid="{00000000-0005-0000-0000-0000803A0000}"/>
    <cellStyle name="40% - Accent2 2 3 2 3 2 2" xfId="14930" xr:uid="{00000000-0005-0000-0000-0000813A0000}"/>
    <cellStyle name="40% - Accent2 2 3 2 3 2 2 2" xfId="14931" xr:uid="{00000000-0005-0000-0000-0000823A0000}"/>
    <cellStyle name="40% - Accent2 2 3 2 3 2 2 2 2" xfId="14932" xr:uid="{00000000-0005-0000-0000-0000833A0000}"/>
    <cellStyle name="40% - Accent2 2 3 2 3 2 2 2 2 2" xfId="14933" xr:uid="{00000000-0005-0000-0000-0000843A0000}"/>
    <cellStyle name="40% - Accent2 2 3 2 3 2 2 2 3" xfId="14934" xr:uid="{00000000-0005-0000-0000-0000853A0000}"/>
    <cellStyle name="40% - Accent2 2 3 2 3 2 2 3" xfId="14935" xr:uid="{00000000-0005-0000-0000-0000863A0000}"/>
    <cellStyle name="40% - Accent2 2 3 2 3 2 2 3 2" xfId="14936" xr:uid="{00000000-0005-0000-0000-0000873A0000}"/>
    <cellStyle name="40% - Accent2 2 3 2 3 2 2 4" xfId="14937" xr:uid="{00000000-0005-0000-0000-0000883A0000}"/>
    <cellStyle name="40% - Accent2 2 3 2 3 2 3" xfId="14938" xr:uid="{00000000-0005-0000-0000-0000893A0000}"/>
    <cellStyle name="40% - Accent2 2 3 2 3 2 3 2" xfId="14939" xr:uid="{00000000-0005-0000-0000-00008A3A0000}"/>
    <cellStyle name="40% - Accent2 2 3 2 3 2 3 2 2" xfId="14940" xr:uid="{00000000-0005-0000-0000-00008B3A0000}"/>
    <cellStyle name="40% - Accent2 2 3 2 3 2 3 3" xfId="14941" xr:uid="{00000000-0005-0000-0000-00008C3A0000}"/>
    <cellStyle name="40% - Accent2 2 3 2 3 2 4" xfId="14942" xr:uid="{00000000-0005-0000-0000-00008D3A0000}"/>
    <cellStyle name="40% - Accent2 2 3 2 3 2 4 2" xfId="14943" xr:uid="{00000000-0005-0000-0000-00008E3A0000}"/>
    <cellStyle name="40% - Accent2 2 3 2 3 2 5" xfId="14944" xr:uid="{00000000-0005-0000-0000-00008F3A0000}"/>
    <cellStyle name="40% - Accent2 2 3 2 3 3" xfId="14945" xr:uid="{00000000-0005-0000-0000-0000903A0000}"/>
    <cellStyle name="40% - Accent2 2 3 2 3 3 2" xfId="14946" xr:uid="{00000000-0005-0000-0000-0000913A0000}"/>
    <cellStyle name="40% - Accent2 2 3 2 3 3 2 2" xfId="14947" xr:uid="{00000000-0005-0000-0000-0000923A0000}"/>
    <cellStyle name="40% - Accent2 2 3 2 3 3 2 2 2" xfId="14948" xr:uid="{00000000-0005-0000-0000-0000933A0000}"/>
    <cellStyle name="40% - Accent2 2 3 2 3 3 2 3" xfId="14949" xr:uid="{00000000-0005-0000-0000-0000943A0000}"/>
    <cellStyle name="40% - Accent2 2 3 2 3 3 3" xfId="14950" xr:uid="{00000000-0005-0000-0000-0000953A0000}"/>
    <cellStyle name="40% - Accent2 2 3 2 3 3 3 2" xfId="14951" xr:uid="{00000000-0005-0000-0000-0000963A0000}"/>
    <cellStyle name="40% - Accent2 2 3 2 3 3 4" xfId="14952" xr:uid="{00000000-0005-0000-0000-0000973A0000}"/>
    <cellStyle name="40% - Accent2 2 3 2 3 4" xfId="14953" xr:uid="{00000000-0005-0000-0000-0000983A0000}"/>
    <cellStyle name="40% - Accent2 2 3 2 3 4 2" xfId="14954" xr:uid="{00000000-0005-0000-0000-0000993A0000}"/>
    <cellStyle name="40% - Accent2 2 3 2 3 4 2 2" xfId="14955" xr:uid="{00000000-0005-0000-0000-00009A3A0000}"/>
    <cellStyle name="40% - Accent2 2 3 2 3 4 3" xfId="14956" xr:uid="{00000000-0005-0000-0000-00009B3A0000}"/>
    <cellStyle name="40% - Accent2 2 3 2 3 5" xfId="14957" xr:uid="{00000000-0005-0000-0000-00009C3A0000}"/>
    <cellStyle name="40% - Accent2 2 3 2 3 5 2" xfId="14958" xr:uid="{00000000-0005-0000-0000-00009D3A0000}"/>
    <cellStyle name="40% - Accent2 2 3 2 3 6" xfId="14959" xr:uid="{00000000-0005-0000-0000-00009E3A0000}"/>
    <cellStyle name="40% - Accent2 2 3 2 4" xfId="14960" xr:uid="{00000000-0005-0000-0000-00009F3A0000}"/>
    <cellStyle name="40% - Accent2 2 3 2 4 2" xfId="14961" xr:uid="{00000000-0005-0000-0000-0000A03A0000}"/>
    <cellStyle name="40% - Accent2 2 3 2 4 2 2" xfId="14962" xr:uid="{00000000-0005-0000-0000-0000A13A0000}"/>
    <cellStyle name="40% - Accent2 2 3 2 4 2 2 2" xfId="14963" xr:uid="{00000000-0005-0000-0000-0000A23A0000}"/>
    <cellStyle name="40% - Accent2 2 3 2 4 2 2 2 2" xfId="14964" xr:uid="{00000000-0005-0000-0000-0000A33A0000}"/>
    <cellStyle name="40% - Accent2 2 3 2 4 2 2 3" xfId="14965" xr:uid="{00000000-0005-0000-0000-0000A43A0000}"/>
    <cellStyle name="40% - Accent2 2 3 2 4 2 3" xfId="14966" xr:uid="{00000000-0005-0000-0000-0000A53A0000}"/>
    <cellStyle name="40% - Accent2 2 3 2 4 2 3 2" xfId="14967" xr:uid="{00000000-0005-0000-0000-0000A63A0000}"/>
    <cellStyle name="40% - Accent2 2 3 2 4 2 4" xfId="14968" xr:uid="{00000000-0005-0000-0000-0000A73A0000}"/>
    <cellStyle name="40% - Accent2 2 3 2 4 3" xfId="14969" xr:uid="{00000000-0005-0000-0000-0000A83A0000}"/>
    <cellStyle name="40% - Accent2 2 3 2 4 3 2" xfId="14970" xr:uid="{00000000-0005-0000-0000-0000A93A0000}"/>
    <cellStyle name="40% - Accent2 2 3 2 4 3 2 2" xfId="14971" xr:uid="{00000000-0005-0000-0000-0000AA3A0000}"/>
    <cellStyle name="40% - Accent2 2 3 2 4 3 3" xfId="14972" xr:uid="{00000000-0005-0000-0000-0000AB3A0000}"/>
    <cellStyle name="40% - Accent2 2 3 2 4 4" xfId="14973" xr:uid="{00000000-0005-0000-0000-0000AC3A0000}"/>
    <cellStyle name="40% - Accent2 2 3 2 4 4 2" xfId="14974" xr:uid="{00000000-0005-0000-0000-0000AD3A0000}"/>
    <cellStyle name="40% - Accent2 2 3 2 4 5" xfId="14975" xr:uid="{00000000-0005-0000-0000-0000AE3A0000}"/>
    <cellStyle name="40% - Accent2 2 3 2 5" xfId="14976" xr:uid="{00000000-0005-0000-0000-0000AF3A0000}"/>
    <cellStyle name="40% - Accent2 2 3 2 5 2" xfId="14977" xr:uid="{00000000-0005-0000-0000-0000B03A0000}"/>
    <cellStyle name="40% - Accent2 2 3 2 5 2 2" xfId="14978" xr:uid="{00000000-0005-0000-0000-0000B13A0000}"/>
    <cellStyle name="40% - Accent2 2 3 2 5 2 2 2" xfId="14979" xr:uid="{00000000-0005-0000-0000-0000B23A0000}"/>
    <cellStyle name="40% - Accent2 2 3 2 5 2 3" xfId="14980" xr:uid="{00000000-0005-0000-0000-0000B33A0000}"/>
    <cellStyle name="40% - Accent2 2 3 2 5 3" xfId="14981" xr:uid="{00000000-0005-0000-0000-0000B43A0000}"/>
    <cellStyle name="40% - Accent2 2 3 2 5 3 2" xfId="14982" xr:uid="{00000000-0005-0000-0000-0000B53A0000}"/>
    <cellStyle name="40% - Accent2 2 3 2 5 4" xfId="14983" xr:uid="{00000000-0005-0000-0000-0000B63A0000}"/>
    <cellStyle name="40% - Accent2 2 3 2 6" xfId="14984" xr:uid="{00000000-0005-0000-0000-0000B73A0000}"/>
    <cellStyle name="40% - Accent2 2 3 2 6 2" xfId="14985" xr:uid="{00000000-0005-0000-0000-0000B83A0000}"/>
    <cellStyle name="40% - Accent2 2 3 2 6 2 2" xfId="14986" xr:uid="{00000000-0005-0000-0000-0000B93A0000}"/>
    <cellStyle name="40% - Accent2 2 3 2 6 3" xfId="14987" xr:uid="{00000000-0005-0000-0000-0000BA3A0000}"/>
    <cellStyle name="40% - Accent2 2 3 2 7" xfId="14988" xr:uid="{00000000-0005-0000-0000-0000BB3A0000}"/>
    <cellStyle name="40% - Accent2 2 3 2 7 2" xfId="14989" xr:uid="{00000000-0005-0000-0000-0000BC3A0000}"/>
    <cellStyle name="40% - Accent2 2 3 2 8" xfId="14990" xr:uid="{00000000-0005-0000-0000-0000BD3A0000}"/>
    <cellStyle name="40% - Accent2 2 3 3" xfId="14991" xr:uid="{00000000-0005-0000-0000-0000BE3A0000}"/>
    <cellStyle name="40% - Accent2 2 3 3 2" xfId="14992" xr:uid="{00000000-0005-0000-0000-0000BF3A0000}"/>
    <cellStyle name="40% - Accent2 2 3 3 2 2" xfId="14993" xr:uid="{00000000-0005-0000-0000-0000C03A0000}"/>
    <cellStyle name="40% - Accent2 2 3 3 2 2 2" xfId="14994" xr:uid="{00000000-0005-0000-0000-0000C13A0000}"/>
    <cellStyle name="40% - Accent2 2 3 3 2 2 2 2" xfId="14995" xr:uid="{00000000-0005-0000-0000-0000C23A0000}"/>
    <cellStyle name="40% - Accent2 2 3 3 2 2 2 2 2" xfId="14996" xr:uid="{00000000-0005-0000-0000-0000C33A0000}"/>
    <cellStyle name="40% - Accent2 2 3 3 2 2 2 2 2 2" xfId="14997" xr:uid="{00000000-0005-0000-0000-0000C43A0000}"/>
    <cellStyle name="40% - Accent2 2 3 3 2 2 2 2 3" xfId="14998" xr:uid="{00000000-0005-0000-0000-0000C53A0000}"/>
    <cellStyle name="40% - Accent2 2 3 3 2 2 2 3" xfId="14999" xr:uid="{00000000-0005-0000-0000-0000C63A0000}"/>
    <cellStyle name="40% - Accent2 2 3 3 2 2 2 3 2" xfId="15000" xr:uid="{00000000-0005-0000-0000-0000C73A0000}"/>
    <cellStyle name="40% - Accent2 2 3 3 2 2 2 4" xfId="15001" xr:uid="{00000000-0005-0000-0000-0000C83A0000}"/>
    <cellStyle name="40% - Accent2 2 3 3 2 2 3" xfId="15002" xr:uid="{00000000-0005-0000-0000-0000C93A0000}"/>
    <cellStyle name="40% - Accent2 2 3 3 2 2 3 2" xfId="15003" xr:uid="{00000000-0005-0000-0000-0000CA3A0000}"/>
    <cellStyle name="40% - Accent2 2 3 3 2 2 3 2 2" xfId="15004" xr:uid="{00000000-0005-0000-0000-0000CB3A0000}"/>
    <cellStyle name="40% - Accent2 2 3 3 2 2 3 3" xfId="15005" xr:uid="{00000000-0005-0000-0000-0000CC3A0000}"/>
    <cellStyle name="40% - Accent2 2 3 3 2 2 4" xfId="15006" xr:uid="{00000000-0005-0000-0000-0000CD3A0000}"/>
    <cellStyle name="40% - Accent2 2 3 3 2 2 4 2" xfId="15007" xr:uid="{00000000-0005-0000-0000-0000CE3A0000}"/>
    <cellStyle name="40% - Accent2 2 3 3 2 2 5" xfId="15008" xr:uid="{00000000-0005-0000-0000-0000CF3A0000}"/>
    <cellStyle name="40% - Accent2 2 3 3 2 3" xfId="15009" xr:uid="{00000000-0005-0000-0000-0000D03A0000}"/>
    <cellStyle name="40% - Accent2 2 3 3 2 3 2" xfId="15010" xr:uid="{00000000-0005-0000-0000-0000D13A0000}"/>
    <cellStyle name="40% - Accent2 2 3 3 2 3 2 2" xfId="15011" xr:uid="{00000000-0005-0000-0000-0000D23A0000}"/>
    <cellStyle name="40% - Accent2 2 3 3 2 3 2 2 2" xfId="15012" xr:uid="{00000000-0005-0000-0000-0000D33A0000}"/>
    <cellStyle name="40% - Accent2 2 3 3 2 3 2 3" xfId="15013" xr:uid="{00000000-0005-0000-0000-0000D43A0000}"/>
    <cellStyle name="40% - Accent2 2 3 3 2 3 3" xfId="15014" xr:uid="{00000000-0005-0000-0000-0000D53A0000}"/>
    <cellStyle name="40% - Accent2 2 3 3 2 3 3 2" xfId="15015" xr:uid="{00000000-0005-0000-0000-0000D63A0000}"/>
    <cellStyle name="40% - Accent2 2 3 3 2 3 4" xfId="15016" xr:uid="{00000000-0005-0000-0000-0000D73A0000}"/>
    <cellStyle name="40% - Accent2 2 3 3 2 4" xfId="15017" xr:uid="{00000000-0005-0000-0000-0000D83A0000}"/>
    <cellStyle name="40% - Accent2 2 3 3 2 4 2" xfId="15018" xr:uid="{00000000-0005-0000-0000-0000D93A0000}"/>
    <cellStyle name="40% - Accent2 2 3 3 2 4 2 2" xfId="15019" xr:uid="{00000000-0005-0000-0000-0000DA3A0000}"/>
    <cellStyle name="40% - Accent2 2 3 3 2 4 3" xfId="15020" xr:uid="{00000000-0005-0000-0000-0000DB3A0000}"/>
    <cellStyle name="40% - Accent2 2 3 3 2 5" xfId="15021" xr:uid="{00000000-0005-0000-0000-0000DC3A0000}"/>
    <cellStyle name="40% - Accent2 2 3 3 2 5 2" xfId="15022" xr:uid="{00000000-0005-0000-0000-0000DD3A0000}"/>
    <cellStyle name="40% - Accent2 2 3 3 2 6" xfId="15023" xr:uid="{00000000-0005-0000-0000-0000DE3A0000}"/>
    <cellStyle name="40% - Accent2 2 3 3 3" xfId="15024" xr:uid="{00000000-0005-0000-0000-0000DF3A0000}"/>
    <cellStyle name="40% - Accent2 2 3 3 3 2" xfId="15025" xr:uid="{00000000-0005-0000-0000-0000E03A0000}"/>
    <cellStyle name="40% - Accent2 2 3 3 3 2 2" xfId="15026" xr:uid="{00000000-0005-0000-0000-0000E13A0000}"/>
    <cellStyle name="40% - Accent2 2 3 3 3 2 2 2" xfId="15027" xr:uid="{00000000-0005-0000-0000-0000E23A0000}"/>
    <cellStyle name="40% - Accent2 2 3 3 3 2 2 2 2" xfId="15028" xr:uid="{00000000-0005-0000-0000-0000E33A0000}"/>
    <cellStyle name="40% - Accent2 2 3 3 3 2 2 3" xfId="15029" xr:uid="{00000000-0005-0000-0000-0000E43A0000}"/>
    <cellStyle name="40% - Accent2 2 3 3 3 2 3" xfId="15030" xr:uid="{00000000-0005-0000-0000-0000E53A0000}"/>
    <cellStyle name="40% - Accent2 2 3 3 3 2 3 2" xfId="15031" xr:uid="{00000000-0005-0000-0000-0000E63A0000}"/>
    <cellStyle name="40% - Accent2 2 3 3 3 2 4" xfId="15032" xr:uid="{00000000-0005-0000-0000-0000E73A0000}"/>
    <cellStyle name="40% - Accent2 2 3 3 3 3" xfId="15033" xr:uid="{00000000-0005-0000-0000-0000E83A0000}"/>
    <cellStyle name="40% - Accent2 2 3 3 3 3 2" xfId="15034" xr:uid="{00000000-0005-0000-0000-0000E93A0000}"/>
    <cellStyle name="40% - Accent2 2 3 3 3 3 2 2" xfId="15035" xr:uid="{00000000-0005-0000-0000-0000EA3A0000}"/>
    <cellStyle name="40% - Accent2 2 3 3 3 3 3" xfId="15036" xr:uid="{00000000-0005-0000-0000-0000EB3A0000}"/>
    <cellStyle name="40% - Accent2 2 3 3 3 4" xfId="15037" xr:uid="{00000000-0005-0000-0000-0000EC3A0000}"/>
    <cellStyle name="40% - Accent2 2 3 3 3 4 2" xfId="15038" xr:uid="{00000000-0005-0000-0000-0000ED3A0000}"/>
    <cellStyle name="40% - Accent2 2 3 3 3 5" xfId="15039" xr:uid="{00000000-0005-0000-0000-0000EE3A0000}"/>
    <cellStyle name="40% - Accent2 2 3 3 4" xfId="15040" xr:uid="{00000000-0005-0000-0000-0000EF3A0000}"/>
    <cellStyle name="40% - Accent2 2 3 3 4 2" xfId="15041" xr:uid="{00000000-0005-0000-0000-0000F03A0000}"/>
    <cellStyle name="40% - Accent2 2 3 3 4 2 2" xfId="15042" xr:uid="{00000000-0005-0000-0000-0000F13A0000}"/>
    <cellStyle name="40% - Accent2 2 3 3 4 2 2 2" xfId="15043" xr:uid="{00000000-0005-0000-0000-0000F23A0000}"/>
    <cellStyle name="40% - Accent2 2 3 3 4 2 3" xfId="15044" xr:uid="{00000000-0005-0000-0000-0000F33A0000}"/>
    <cellStyle name="40% - Accent2 2 3 3 4 3" xfId="15045" xr:uid="{00000000-0005-0000-0000-0000F43A0000}"/>
    <cellStyle name="40% - Accent2 2 3 3 4 3 2" xfId="15046" xr:uid="{00000000-0005-0000-0000-0000F53A0000}"/>
    <cellStyle name="40% - Accent2 2 3 3 4 4" xfId="15047" xr:uid="{00000000-0005-0000-0000-0000F63A0000}"/>
    <cellStyle name="40% - Accent2 2 3 3 5" xfId="15048" xr:uid="{00000000-0005-0000-0000-0000F73A0000}"/>
    <cellStyle name="40% - Accent2 2 3 3 5 2" xfId="15049" xr:uid="{00000000-0005-0000-0000-0000F83A0000}"/>
    <cellStyle name="40% - Accent2 2 3 3 5 2 2" xfId="15050" xr:uid="{00000000-0005-0000-0000-0000F93A0000}"/>
    <cellStyle name="40% - Accent2 2 3 3 5 3" xfId="15051" xr:uid="{00000000-0005-0000-0000-0000FA3A0000}"/>
    <cellStyle name="40% - Accent2 2 3 3 6" xfId="15052" xr:uid="{00000000-0005-0000-0000-0000FB3A0000}"/>
    <cellStyle name="40% - Accent2 2 3 3 6 2" xfId="15053" xr:uid="{00000000-0005-0000-0000-0000FC3A0000}"/>
    <cellStyle name="40% - Accent2 2 3 3 7" xfId="15054" xr:uid="{00000000-0005-0000-0000-0000FD3A0000}"/>
    <cellStyle name="40% - Accent2 2 3 4" xfId="15055" xr:uid="{00000000-0005-0000-0000-0000FE3A0000}"/>
    <cellStyle name="40% - Accent2 2 3 4 2" xfId="15056" xr:uid="{00000000-0005-0000-0000-0000FF3A0000}"/>
    <cellStyle name="40% - Accent2 2 3 4 2 2" xfId="15057" xr:uid="{00000000-0005-0000-0000-0000003B0000}"/>
    <cellStyle name="40% - Accent2 2 3 4 2 2 2" xfId="15058" xr:uid="{00000000-0005-0000-0000-0000013B0000}"/>
    <cellStyle name="40% - Accent2 2 3 4 2 2 2 2" xfId="15059" xr:uid="{00000000-0005-0000-0000-0000023B0000}"/>
    <cellStyle name="40% - Accent2 2 3 4 2 2 2 2 2" xfId="15060" xr:uid="{00000000-0005-0000-0000-0000033B0000}"/>
    <cellStyle name="40% - Accent2 2 3 4 2 2 2 3" xfId="15061" xr:uid="{00000000-0005-0000-0000-0000043B0000}"/>
    <cellStyle name="40% - Accent2 2 3 4 2 2 3" xfId="15062" xr:uid="{00000000-0005-0000-0000-0000053B0000}"/>
    <cellStyle name="40% - Accent2 2 3 4 2 2 3 2" xfId="15063" xr:uid="{00000000-0005-0000-0000-0000063B0000}"/>
    <cellStyle name="40% - Accent2 2 3 4 2 2 4" xfId="15064" xr:uid="{00000000-0005-0000-0000-0000073B0000}"/>
    <cellStyle name="40% - Accent2 2 3 4 2 3" xfId="15065" xr:uid="{00000000-0005-0000-0000-0000083B0000}"/>
    <cellStyle name="40% - Accent2 2 3 4 2 3 2" xfId="15066" xr:uid="{00000000-0005-0000-0000-0000093B0000}"/>
    <cellStyle name="40% - Accent2 2 3 4 2 3 2 2" xfId="15067" xr:uid="{00000000-0005-0000-0000-00000A3B0000}"/>
    <cellStyle name="40% - Accent2 2 3 4 2 3 3" xfId="15068" xr:uid="{00000000-0005-0000-0000-00000B3B0000}"/>
    <cellStyle name="40% - Accent2 2 3 4 2 4" xfId="15069" xr:uid="{00000000-0005-0000-0000-00000C3B0000}"/>
    <cellStyle name="40% - Accent2 2 3 4 2 4 2" xfId="15070" xr:uid="{00000000-0005-0000-0000-00000D3B0000}"/>
    <cellStyle name="40% - Accent2 2 3 4 2 5" xfId="15071" xr:uid="{00000000-0005-0000-0000-00000E3B0000}"/>
    <cellStyle name="40% - Accent2 2 3 4 3" xfId="15072" xr:uid="{00000000-0005-0000-0000-00000F3B0000}"/>
    <cellStyle name="40% - Accent2 2 3 4 3 2" xfId="15073" xr:uid="{00000000-0005-0000-0000-0000103B0000}"/>
    <cellStyle name="40% - Accent2 2 3 4 3 2 2" xfId="15074" xr:uid="{00000000-0005-0000-0000-0000113B0000}"/>
    <cellStyle name="40% - Accent2 2 3 4 3 2 2 2" xfId="15075" xr:uid="{00000000-0005-0000-0000-0000123B0000}"/>
    <cellStyle name="40% - Accent2 2 3 4 3 2 3" xfId="15076" xr:uid="{00000000-0005-0000-0000-0000133B0000}"/>
    <cellStyle name="40% - Accent2 2 3 4 3 3" xfId="15077" xr:uid="{00000000-0005-0000-0000-0000143B0000}"/>
    <cellStyle name="40% - Accent2 2 3 4 3 3 2" xfId="15078" xr:uid="{00000000-0005-0000-0000-0000153B0000}"/>
    <cellStyle name="40% - Accent2 2 3 4 3 4" xfId="15079" xr:uid="{00000000-0005-0000-0000-0000163B0000}"/>
    <cellStyle name="40% - Accent2 2 3 4 4" xfId="15080" xr:uid="{00000000-0005-0000-0000-0000173B0000}"/>
    <cellStyle name="40% - Accent2 2 3 4 4 2" xfId="15081" xr:uid="{00000000-0005-0000-0000-0000183B0000}"/>
    <cellStyle name="40% - Accent2 2 3 4 4 2 2" xfId="15082" xr:uid="{00000000-0005-0000-0000-0000193B0000}"/>
    <cellStyle name="40% - Accent2 2 3 4 4 3" xfId="15083" xr:uid="{00000000-0005-0000-0000-00001A3B0000}"/>
    <cellStyle name="40% - Accent2 2 3 4 5" xfId="15084" xr:uid="{00000000-0005-0000-0000-00001B3B0000}"/>
    <cellStyle name="40% - Accent2 2 3 4 5 2" xfId="15085" xr:uid="{00000000-0005-0000-0000-00001C3B0000}"/>
    <cellStyle name="40% - Accent2 2 3 4 6" xfId="15086" xr:uid="{00000000-0005-0000-0000-00001D3B0000}"/>
    <cellStyle name="40% - Accent2 2 3 5" xfId="15087" xr:uid="{00000000-0005-0000-0000-00001E3B0000}"/>
    <cellStyle name="40% - Accent2 2 3 5 2" xfId="15088" xr:uid="{00000000-0005-0000-0000-00001F3B0000}"/>
    <cellStyle name="40% - Accent2 2 3 5 2 2" xfId="15089" xr:uid="{00000000-0005-0000-0000-0000203B0000}"/>
    <cellStyle name="40% - Accent2 2 3 5 2 2 2" xfId="15090" xr:uid="{00000000-0005-0000-0000-0000213B0000}"/>
    <cellStyle name="40% - Accent2 2 3 5 2 2 2 2" xfId="15091" xr:uid="{00000000-0005-0000-0000-0000223B0000}"/>
    <cellStyle name="40% - Accent2 2 3 5 2 2 3" xfId="15092" xr:uid="{00000000-0005-0000-0000-0000233B0000}"/>
    <cellStyle name="40% - Accent2 2 3 5 2 3" xfId="15093" xr:uid="{00000000-0005-0000-0000-0000243B0000}"/>
    <cellStyle name="40% - Accent2 2 3 5 2 3 2" xfId="15094" xr:uid="{00000000-0005-0000-0000-0000253B0000}"/>
    <cellStyle name="40% - Accent2 2 3 5 2 4" xfId="15095" xr:uid="{00000000-0005-0000-0000-0000263B0000}"/>
    <cellStyle name="40% - Accent2 2 3 5 3" xfId="15096" xr:uid="{00000000-0005-0000-0000-0000273B0000}"/>
    <cellStyle name="40% - Accent2 2 3 5 3 2" xfId="15097" xr:uid="{00000000-0005-0000-0000-0000283B0000}"/>
    <cellStyle name="40% - Accent2 2 3 5 3 2 2" xfId="15098" xr:uid="{00000000-0005-0000-0000-0000293B0000}"/>
    <cellStyle name="40% - Accent2 2 3 5 3 3" xfId="15099" xr:uid="{00000000-0005-0000-0000-00002A3B0000}"/>
    <cellStyle name="40% - Accent2 2 3 5 4" xfId="15100" xr:uid="{00000000-0005-0000-0000-00002B3B0000}"/>
    <cellStyle name="40% - Accent2 2 3 5 4 2" xfId="15101" xr:uid="{00000000-0005-0000-0000-00002C3B0000}"/>
    <cellStyle name="40% - Accent2 2 3 5 5" xfId="15102" xr:uid="{00000000-0005-0000-0000-00002D3B0000}"/>
    <cellStyle name="40% - Accent2 2 3 6" xfId="15103" xr:uid="{00000000-0005-0000-0000-00002E3B0000}"/>
    <cellStyle name="40% - Accent2 2 3 6 2" xfId="15104" xr:uid="{00000000-0005-0000-0000-00002F3B0000}"/>
    <cellStyle name="40% - Accent2 2 3 6 2 2" xfId="15105" xr:uid="{00000000-0005-0000-0000-0000303B0000}"/>
    <cellStyle name="40% - Accent2 2 3 6 2 2 2" xfId="15106" xr:uid="{00000000-0005-0000-0000-0000313B0000}"/>
    <cellStyle name="40% - Accent2 2 3 6 2 3" xfId="15107" xr:uid="{00000000-0005-0000-0000-0000323B0000}"/>
    <cellStyle name="40% - Accent2 2 3 6 3" xfId="15108" xr:uid="{00000000-0005-0000-0000-0000333B0000}"/>
    <cellStyle name="40% - Accent2 2 3 6 3 2" xfId="15109" xr:uid="{00000000-0005-0000-0000-0000343B0000}"/>
    <cellStyle name="40% - Accent2 2 3 6 4" xfId="15110" xr:uid="{00000000-0005-0000-0000-0000353B0000}"/>
    <cellStyle name="40% - Accent2 2 3 7" xfId="15111" xr:uid="{00000000-0005-0000-0000-0000363B0000}"/>
    <cellStyle name="40% - Accent2 2 3 7 2" xfId="15112" xr:uid="{00000000-0005-0000-0000-0000373B0000}"/>
    <cellStyle name="40% - Accent2 2 3 7 2 2" xfId="15113" xr:uid="{00000000-0005-0000-0000-0000383B0000}"/>
    <cellStyle name="40% - Accent2 2 3 7 3" xfId="15114" xr:uid="{00000000-0005-0000-0000-0000393B0000}"/>
    <cellStyle name="40% - Accent2 2 3 8" xfId="15115" xr:uid="{00000000-0005-0000-0000-00003A3B0000}"/>
    <cellStyle name="40% - Accent2 2 3 8 2" xfId="15116" xr:uid="{00000000-0005-0000-0000-00003B3B0000}"/>
    <cellStyle name="40% - Accent2 2 3 9" xfId="15117" xr:uid="{00000000-0005-0000-0000-00003C3B0000}"/>
    <cellStyle name="40% - Accent2 2 4" xfId="15118" xr:uid="{00000000-0005-0000-0000-00003D3B0000}"/>
    <cellStyle name="40% - Accent2 2 4 2" xfId="15119" xr:uid="{00000000-0005-0000-0000-00003E3B0000}"/>
    <cellStyle name="40% - Accent2 2 4 2 2" xfId="15120" xr:uid="{00000000-0005-0000-0000-00003F3B0000}"/>
    <cellStyle name="40% - Accent2 2 4 2 2 2" xfId="15121" xr:uid="{00000000-0005-0000-0000-0000403B0000}"/>
    <cellStyle name="40% - Accent2 2 4 2 2 2 2" xfId="15122" xr:uid="{00000000-0005-0000-0000-0000413B0000}"/>
    <cellStyle name="40% - Accent2 2 4 2 2 2 2 2" xfId="15123" xr:uid="{00000000-0005-0000-0000-0000423B0000}"/>
    <cellStyle name="40% - Accent2 2 4 2 2 2 2 2 2" xfId="15124" xr:uid="{00000000-0005-0000-0000-0000433B0000}"/>
    <cellStyle name="40% - Accent2 2 4 2 2 2 2 2 2 2" xfId="15125" xr:uid="{00000000-0005-0000-0000-0000443B0000}"/>
    <cellStyle name="40% - Accent2 2 4 2 2 2 2 2 3" xfId="15126" xr:uid="{00000000-0005-0000-0000-0000453B0000}"/>
    <cellStyle name="40% - Accent2 2 4 2 2 2 2 3" xfId="15127" xr:uid="{00000000-0005-0000-0000-0000463B0000}"/>
    <cellStyle name="40% - Accent2 2 4 2 2 2 2 3 2" xfId="15128" xr:uid="{00000000-0005-0000-0000-0000473B0000}"/>
    <cellStyle name="40% - Accent2 2 4 2 2 2 2 4" xfId="15129" xr:uid="{00000000-0005-0000-0000-0000483B0000}"/>
    <cellStyle name="40% - Accent2 2 4 2 2 2 3" xfId="15130" xr:uid="{00000000-0005-0000-0000-0000493B0000}"/>
    <cellStyle name="40% - Accent2 2 4 2 2 2 3 2" xfId="15131" xr:uid="{00000000-0005-0000-0000-00004A3B0000}"/>
    <cellStyle name="40% - Accent2 2 4 2 2 2 3 2 2" xfId="15132" xr:uid="{00000000-0005-0000-0000-00004B3B0000}"/>
    <cellStyle name="40% - Accent2 2 4 2 2 2 3 3" xfId="15133" xr:uid="{00000000-0005-0000-0000-00004C3B0000}"/>
    <cellStyle name="40% - Accent2 2 4 2 2 2 4" xfId="15134" xr:uid="{00000000-0005-0000-0000-00004D3B0000}"/>
    <cellStyle name="40% - Accent2 2 4 2 2 2 4 2" xfId="15135" xr:uid="{00000000-0005-0000-0000-00004E3B0000}"/>
    <cellStyle name="40% - Accent2 2 4 2 2 2 5" xfId="15136" xr:uid="{00000000-0005-0000-0000-00004F3B0000}"/>
    <cellStyle name="40% - Accent2 2 4 2 2 3" xfId="15137" xr:uid="{00000000-0005-0000-0000-0000503B0000}"/>
    <cellStyle name="40% - Accent2 2 4 2 2 3 2" xfId="15138" xr:uid="{00000000-0005-0000-0000-0000513B0000}"/>
    <cellStyle name="40% - Accent2 2 4 2 2 3 2 2" xfId="15139" xr:uid="{00000000-0005-0000-0000-0000523B0000}"/>
    <cellStyle name="40% - Accent2 2 4 2 2 3 2 2 2" xfId="15140" xr:uid="{00000000-0005-0000-0000-0000533B0000}"/>
    <cellStyle name="40% - Accent2 2 4 2 2 3 2 3" xfId="15141" xr:uid="{00000000-0005-0000-0000-0000543B0000}"/>
    <cellStyle name="40% - Accent2 2 4 2 2 3 3" xfId="15142" xr:uid="{00000000-0005-0000-0000-0000553B0000}"/>
    <cellStyle name="40% - Accent2 2 4 2 2 3 3 2" xfId="15143" xr:uid="{00000000-0005-0000-0000-0000563B0000}"/>
    <cellStyle name="40% - Accent2 2 4 2 2 3 4" xfId="15144" xr:uid="{00000000-0005-0000-0000-0000573B0000}"/>
    <cellStyle name="40% - Accent2 2 4 2 2 4" xfId="15145" xr:uid="{00000000-0005-0000-0000-0000583B0000}"/>
    <cellStyle name="40% - Accent2 2 4 2 2 4 2" xfId="15146" xr:uid="{00000000-0005-0000-0000-0000593B0000}"/>
    <cellStyle name="40% - Accent2 2 4 2 2 4 2 2" xfId="15147" xr:uid="{00000000-0005-0000-0000-00005A3B0000}"/>
    <cellStyle name="40% - Accent2 2 4 2 2 4 3" xfId="15148" xr:uid="{00000000-0005-0000-0000-00005B3B0000}"/>
    <cellStyle name="40% - Accent2 2 4 2 2 5" xfId="15149" xr:uid="{00000000-0005-0000-0000-00005C3B0000}"/>
    <cellStyle name="40% - Accent2 2 4 2 2 5 2" xfId="15150" xr:uid="{00000000-0005-0000-0000-00005D3B0000}"/>
    <cellStyle name="40% - Accent2 2 4 2 2 6" xfId="15151" xr:uid="{00000000-0005-0000-0000-00005E3B0000}"/>
    <cellStyle name="40% - Accent2 2 4 2 3" xfId="15152" xr:uid="{00000000-0005-0000-0000-00005F3B0000}"/>
    <cellStyle name="40% - Accent2 2 4 2 3 2" xfId="15153" xr:uid="{00000000-0005-0000-0000-0000603B0000}"/>
    <cellStyle name="40% - Accent2 2 4 2 3 2 2" xfId="15154" xr:uid="{00000000-0005-0000-0000-0000613B0000}"/>
    <cellStyle name="40% - Accent2 2 4 2 3 2 2 2" xfId="15155" xr:uid="{00000000-0005-0000-0000-0000623B0000}"/>
    <cellStyle name="40% - Accent2 2 4 2 3 2 2 2 2" xfId="15156" xr:uid="{00000000-0005-0000-0000-0000633B0000}"/>
    <cellStyle name="40% - Accent2 2 4 2 3 2 2 3" xfId="15157" xr:uid="{00000000-0005-0000-0000-0000643B0000}"/>
    <cellStyle name="40% - Accent2 2 4 2 3 2 3" xfId="15158" xr:uid="{00000000-0005-0000-0000-0000653B0000}"/>
    <cellStyle name="40% - Accent2 2 4 2 3 2 3 2" xfId="15159" xr:uid="{00000000-0005-0000-0000-0000663B0000}"/>
    <cellStyle name="40% - Accent2 2 4 2 3 2 4" xfId="15160" xr:uid="{00000000-0005-0000-0000-0000673B0000}"/>
    <cellStyle name="40% - Accent2 2 4 2 3 3" xfId="15161" xr:uid="{00000000-0005-0000-0000-0000683B0000}"/>
    <cellStyle name="40% - Accent2 2 4 2 3 3 2" xfId="15162" xr:uid="{00000000-0005-0000-0000-0000693B0000}"/>
    <cellStyle name="40% - Accent2 2 4 2 3 3 2 2" xfId="15163" xr:uid="{00000000-0005-0000-0000-00006A3B0000}"/>
    <cellStyle name="40% - Accent2 2 4 2 3 3 3" xfId="15164" xr:uid="{00000000-0005-0000-0000-00006B3B0000}"/>
    <cellStyle name="40% - Accent2 2 4 2 3 4" xfId="15165" xr:uid="{00000000-0005-0000-0000-00006C3B0000}"/>
    <cellStyle name="40% - Accent2 2 4 2 3 4 2" xfId="15166" xr:uid="{00000000-0005-0000-0000-00006D3B0000}"/>
    <cellStyle name="40% - Accent2 2 4 2 3 5" xfId="15167" xr:uid="{00000000-0005-0000-0000-00006E3B0000}"/>
    <cellStyle name="40% - Accent2 2 4 2 4" xfId="15168" xr:uid="{00000000-0005-0000-0000-00006F3B0000}"/>
    <cellStyle name="40% - Accent2 2 4 2 4 2" xfId="15169" xr:uid="{00000000-0005-0000-0000-0000703B0000}"/>
    <cellStyle name="40% - Accent2 2 4 2 4 2 2" xfId="15170" xr:uid="{00000000-0005-0000-0000-0000713B0000}"/>
    <cellStyle name="40% - Accent2 2 4 2 4 2 2 2" xfId="15171" xr:uid="{00000000-0005-0000-0000-0000723B0000}"/>
    <cellStyle name="40% - Accent2 2 4 2 4 2 3" xfId="15172" xr:uid="{00000000-0005-0000-0000-0000733B0000}"/>
    <cellStyle name="40% - Accent2 2 4 2 4 3" xfId="15173" xr:uid="{00000000-0005-0000-0000-0000743B0000}"/>
    <cellStyle name="40% - Accent2 2 4 2 4 3 2" xfId="15174" xr:uid="{00000000-0005-0000-0000-0000753B0000}"/>
    <cellStyle name="40% - Accent2 2 4 2 4 4" xfId="15175" xr:uid="{00000000-0005-0000-0000-0000763B0000}"/>
    <cellStyle name="40% - Accent2 2 4 2 5" xfId="15176" xr:uid="{00000000-0005-0000-0000-0000773B0000}"/>
    <cellStyle name="40% - Accent2 2 4 2 5 2" xfId="15177" xr:uid="{00000000-0005-0000-0000-0000783B0000}"/>
    <cellStyle name="40% - Accent2 2 4 2 5 2 2" xfId="15178" xr:uid="{00000000-0005-0000-0000-0000793B0000}"/>
    <cellStyle name="40% - Accent2 2 4 2 5 3" xfId="15179" xr:uid="{00000000-0005-0000-0000-00007A3B0000}"/>
    <cellStyle name="40% - Accent2 2 4 2 6" xfId="15180" xr:uid="{00000000-0005-0000-0000-00007B3B0000}"/>
    <cellStyle name="40% - Accent2 2 4 2 6 2" xfId="15181" xr:uid="{00000000-0005-0000-0000-00007C3B0000}"/>
    <cellStyle name="40% - Accent2 2 4 2 7" xfId="15182" xr:uid="{00000000-0005-0000-0000-00007D3B0000}"/>
    <cellStyle name="40% - Accent2 2 4 3" xfId="15183" xr:uid="{00000000-0005-0000-0000-00007E3B0000}"/>
    <cellStyle name="40% - Accent2 2 4 3 2" xfId="15184" xr:uid="{00000000-0005-0000-0000-00007F3B0000}"/>
    <cellStyle name="40% - Accent2 2 4 3 2 2" xfId="15185" xr:uid="{00000000-0005-0000-0000-0000803B0000}"/>
    <cellStyle name="40% - Accent2 2 4 3 2 2 2" xfId="15186" xr:uid="{00000000-0005-0000-0000-0000813B0000}"/>
    <cellStyle name="40% - Accent2 2 4 3 2 2 2 2" xfId="15187" xr:uid="{00000000-0005-0000-0000-0000823B0000}"/>
    <cellStyle name="40% - Accent2 2 4 3 2 2 2 2 2" xfId="15188" xr:uid="{00000000-0005-0000-0000-0000833B0000}"/>
    <cellStyle name="40% - Accent2 2 4 3 2 2 2 3" xfId="15189" xr:uid="{00000000-0005-0000-0000-0000843B0000}"/>
    <cellStyle name="40% - Accent2 2 4 3 2 2 3" xfId="15190" xr:uid="{00000000-0005-0000-0000-0000853B0000}"/>
    <cellStyle name="40% - Accent2 2 4 3 2 2 3 2" xfId="15191" xr:uid="{00000000-0005-0000-0000-0000863B0000}"/>
    <cellStyle name="40% - Accent2 2 4 3 2 2 4" xfId="15192" xr:uid="{00000000-0005-0000-0000-0000873B0000}"/>
    <cellStyle name="40% - Accent2 2 4 3 2 3" xfId="15193" xr:uid="{00000000-0005-0000-0000-0000883B0000}"/>
    <cellStyle name="40% - Accent2 2 4 3 2 3 2" xfId="15194" xr:uid="{00000000-0005-0000-0000-0000893B0000}"/>
    <cellStyle name="40% - Accent2 2 4 3 2 3 2 2" xfId="15195" xr:uid="{00000000-0005-0000-0000-00008A3B0000}"/>
    <cellStyle name="40% - Accent2 2 4 3 2 3 3" xfId="15196" xr:uid="{00000000-0005-0000-0000-00008B3B0000}"/>
    <cellStyle name="40% - Accent2 2 4 3 2 4" xfId="15197" xr:uid="{00000000-0005-0000-0000-00008C3B0000}"/>
    <cellStyle name="40% - Accent2 2 4 3 2 4 2" xfId="15198" xr:uid="{00000000-0005-0000-0000-00008D3B0000}"/>
    <cellStyle name="40% - Accent2 2 4 3 2 5" xfId="15199" xr:uid="{00000000-0005-0000-0000-00008E3B0000}"/>
    <cellStyle name="40% - Accent2 2 4 3 3" xfId="15200" xr:uid="{00000000-0005-0000-0000-00008F3B0000}"/>
    <cellStyle name="40% - Accent2 2 4 3 3 2" xfId="15201" xr:uid="{00000000-0005-0000-0000-0000903B0000}"/>
    <cellStyle name="40% - Accent2 2 4 3 3 2 2" xfId="15202" xr:uid="{00000000-0005-0000-0000-0000913B0000}"/>
    <cellStyle name="40% - Accent2 2 4 3 3 2 2 2" xfId="15203" xr:uid="{00000000-0005-0000-0000-0000923B0000}"/>
    <cellStyle name="40% - Accent2 2 4 3 3 2 3" xfId="15204" xr:uid="{00000000-0005-0000-0000-0000933B0000}"/>
    <cellStyle name="40% - Accent2 2 4 3 3 3" xfId="15205" xr:uid="{00000000-0005-0000-0000-0000943B0000}"/>
    <cellStyle name="40% - Accent2 2 4 3 3 3 2" xfId="15206" xr:uid="{00000000-0005-0000-0000-0000953B0000}"/>
    <cellStyle name="40% - Accent2 2 4 3 3 4" xfId="15207" xr:uid="{00000000-0005-0000-0000-0000963B0000}"/>
    <cellStyle name="40% - Accent2 2 4 3 4" xfId="15208" xr:uid="{00000000-0005-0000-0000-0000973B0000}"/>
    <cellStyle name="40% - Accent2 2 4 3 4 2" xfId="15209" xr:uid="{00000000-0005-0000-0000-0000983B0000}"/>
    <cellStyle name="40% - Accent2 2 4 3 4 2 2" xfId="15210" xr:uid="{00000000-0005-0000-0000-0000993B0000}"/>
    <cellStyle name="40% - Accent2 2 4 3 4 3" xfId="15211" xr:uid="{00000000-0005-0000-0000-00009A3B0000}"/>
    <cellStyle name="40% - Accent2 2 4 3 5" xfId="15212" xr:uid="{00000000-0005-0000-0000-00009B3B0000}"/>
    <cellStyle name="40% - Accent2 2 4 3 5 2" xfId="15213" xr:uid="{00000000-0005-0000-0000-00009C3B0000}"/>
    <cellStyle name="40% - Accent2 2 4 3 6" xfId="15214" xr:uid="{00000000-0005-0000-0000-00009D3B0000}"/>
    <cellStyle name="40% - Accent2 2 4 4" xfId="15215" xr:uid="{00000000-0005-0000-0000-00009E3B0000}"/>
    <cellStyle name="40% - Accent2 2 4 4 2" xfId="15216" xr:uid="{00000000-0005-0000-0000-00009F3B0000}"/>
    <cellStyle name="40% - Accent2 2 4 4 2 2" xfId="15217" xr:uid="{00000000-0005-0000-0000-0000A03B0000}"/>
    <cellStyle name="40% - Accent2 2 4 4 2 2 2" xfId="15218" xr:uid="{00000000-0005-0000-0000-0000A13B0000}"/>
    <cellStyle name="40% - Accent2 2 4 4 2 2 2 2" xfId="15219" xr:uid="{00000000-0005-0000-0000-0000A23B0000}"/>
    <cellStyle name="40% - Accent2 2 4 4 2 2 3" xfId="15220" xr:uid="{00000000-0005-0000-0000-0000A33B0000}"/>
    <cellStyle name="40% - Accent2 2 4 4 2 3" xfId="15221" xr:uid="{00000000-0005-0000-0000-0000A43B0000}"/>
    <cellStyle name="40% - Accent2 2 4 4 2 3 2" xfId="15222" xr:uid="{00000000-0005-0000-0000-0000A53B0000}"/>
    <cellStyle name="40% - Accent2 2 4 4 2 4" xfId="15223" xr:uid="{00000000-0005-0000-0000-0000A63B0000}"/>
    <cellStyle name="40% - Accent2 2 4 4 3" xfId="15224" xr:uid="{00000000-0005-0000-0000-0000A73B0000}"/>
    <cellStyle name="40% - Accent2 2 4 4 3 2" xfId="15225" xr:uid="{00000000-0005-0000-0000-0000A83B0000}"/>
    <cellStyle name="40% - Accent2 2 4 4 3 2 2" xfId="15226" xr:uid="{00000000-0005-0000-0000-0000A93B0000}"/>
    <cellStyle name="40% - Accent2 2 4 4 3 3" xfId="15227" xr:uid="{00000000-0005-0000-0000-0000AA3B0000}"/>
    <cellStyle name="40% - Accent2 2 4 4 4" xfId="15228" xr:uid="{00000000-0005-0000-0000-0000AB3B0000}"/>
    <cellStyle name="40% - Accent2 2 4 4 4 2" xfId="15229" xr:uid="{00000000-0005-0000-0000-0000AC3B0000}"/>
    <cellStyle name="40% - Accent2 2 4 4 5" xfId="15230" xr:uid="{00000000-0005-0000-0000-0000AD3B0000}"/>
    <cellStyle name="40% - Accent2 2 4 5" xfId="15231" xr:uid="{00000000-0005-0000-0000-0000AE3B0000}"/>
    <cellStyle name="40% - Accent2 2 4 5 2" xfId="15232" xr:uid="{00000000-0005-0000-0000-0000AF3B0000}"/>
    <cellStyle name="40% - Accent2 2 4 5 2 2" xfId="15233" xr:uid="{00000000-0005-0000-0000-0000B03B0000}"/>
    <cellStyle name="40% - Accent2 2 4 5 2 2 2" xfId="15234" xr:uid="{00000000-0005-0000-0000-0000B13B0000}"/>
    <cellStyle name="40% - Accent2 2 4 5 2 3" xfId="15235" xr:uid="{00000000-0005-0000-0000-0000B23B0000}"/>
    <cellStyle name="40% - Accent2 2 4 5 3" xfId="15236" xr:uid="{00000000-0005-0000-0000-0000B33B0000}"/>
    <cellStyle name="40% - Accent2 2 4 5 3 2" xfId="15237" xr:uid="{00000000-0005-0000-0000-0000B43B0000}"/>
    <cellStyle name="40% - Accent2 2 4 5 4" xfId="15238" xr:uid="{00000000-0005-0000-0000-0000B53B0000}"/>
    <cellStyle name="40% - Accent2 2 4 6" xfId="15239" xr:uid="{00000000-0005-0000-0000-0000B63B0000}"/>
    <cellStyle name="40% - Accent2 2 4 6 2" xfId="15240" xr:uid="{00000000-0005-0000-0000-0000B73B0000}"/>
    <cellStyle name="40% - Accent2 2 4 6 2 2" xfId="15241" xr:uid="{00000000-0005-0000-0000-0000B83B0000}"/>
    <cellStyle name="40% - Accent2 2 4 6 3" xfId="15242" xr:uid="{00000000-0005-0000-0000-0000B93B0000}"/>
    <cellStyle name="40% - Accent2 2 4 7" xfId="15243" xr:uid="{00000000-0005-0000-0000-0000BA3B0000}"/>
    <cellStyle name="40% - Accent2 2 4 7 2" xfId="15244" xr:uid="{00000000-0005-0000-0000-0000BB3B0000}"/>
    <cellStyle name="40% - Accent2 2 4 8" xfId="15245" xr:uid="{00000000-0005-0000-0000-0000BC3B0000}"/>
    <cellStyle name="40% - Accent2 2 5" xfId="15246" xr:uid="{00000000-0005-0000-0000-0000BD3B0000}"/>
    <cellStyle name="40% - Accent2 2 5 2" xfId="15247" xr:uid="{00000000-0005-0000-0000-0000BE3B0000}"/>
    <cellStyle name="40% - Accent2 2 5 2 2" xfId="15248" xr:uid="{00000000-0005-0000-0000-0000BF3B0000}"/>
    <cellStyle name="40% - Accent2 2 5 2 2 2" xfId="15249" xr:uid="{00000000-0005-0000-0000-0000C03B0000}"/>
    <cellStyle name="40% - Accent2 2 5 2 2 2 2" xfId="15250" xr:uid="{00000000-0005-0000-0000-0000C13B0000}"/>
    <cellStyle name="40% - Accent2 2 5 2 2 2 2 2" xfId="15251" xr:uid="{00000000-0005-0000-0000-0000C23B0000}"/>
    <cellStyle name="40% - Accent2 2 5 2 2 2 2 2 2" xfId="15252" xr:uid="{00000000-0005-0000-0000-0000C33B0000}"/>
    <cellStyle name="40% - Accent2 2 5 2 2 2 2 3" xfId="15253" xr:uid="{00000000-0005-0000-0000-0000C43B0000}"/>
    <cellStyle name="40% - Accent2 2 5 2 2 2 3" xfId="15254" xr:uid="{00000000-0005-0000-0000-0000C53B0000}"/>
    <cellStyle name="40% - Accent2 2 5 2 2 2 3 2" xfId="15255" xr:uid="{00000000-0005-0000-0000-0000C63B0000}"/>
    <cellStyle name="40% - Accent2 2 5 2 2 2 4" xfId="15256" xr:uid="{00000000-0005-0000-0000-0000C73B0000}"/>
    <cellStyle name="40% - Accent2 2 5 2 2 3" xfId="15257" xr:uid="{00000000-0005-0000-0000-0000C83B0000}"/>
    <cellStyle name="40% - Accent2 2 5 2 2 3 2" xfId="15258" xr:uid="{00000000-0005-0000-0000-0000C93B0000}"/>
    <cellStyle name="40% - Accent2 2 5 2 2 3 2 2" xfId="15259" xr:uid="{00000000-0005-0000-0000-0000CA3B0000}"/>
    <cellStyle name="40% - Accent2 2 5 2 2 3 3" xfId="15260" xr:uid="{00000000-0005-0000-0000-0000CB3B0000}"/>
    <cellStyle name="40% - Accent2 2 5 2 2 4" xfId="15261" xr:uid="{00000000-0005-0000-0000-0000CC3B0000}"/>
    <cellStyle name="40% - Accent2 2 5 2 2 4 2" xfId="15262" xr:uid="{00000000-0005-0000-0000-0000CD3B0000}"/>
    <cellStyle name="40% - Accent2 2 5 2 2 5" xfId="15263" xr:uid="{00000000-0005-0000-0000-0000CE3B0000}"/>
    <cellStyle name="40% - Accent2 2 5 2 3" xfId="15264" xr:uid="{00000000-0005-0000-0000-0000CF3B0000}"/>
    <cellStyle name="40% - Accent2 2 5 2 3 2" xfId="15265" xr:uid="{00000000-0005-0000-0000-0000D03B0000}"/>
    <cellStyle name="40% - Accent2 2 5 2 3 2 2" xfId="15266" xr:uid="{00000000-0005-0000-0000-0000D13B0000}"/>
    <cellStyle name="40% - Accent2 2 5 2 3 2 2 2" xfId="15267" xr:uid="{00000000-0005-0000-0000-0000D23B0000}"/>
    <cellStyle name="40% - Accent2 2 5 2 3 2 3" xfId="15268" xr:uid="{00000000-0005-0000-0000-0000D33B0000}"/>
    <cellStyle name="40% - Accent2 2 5 2 3 3" xfId="15269" xr:uid="{00000000-0005-0000-0000-0000D43B0000}"/>
    <cellStyle name="40% - Accent2 2 5 2 3 3 2" xfId="15270" xr:uid="{00000000-0005-0000-0000-0000D53B0000}"/>
    <cellStyle name="40% - Accent2 2 5 2 3 4" xfId="15271" xr:uid="{00000000-0005-0000-0000-0000D63B0000}"/>
    <cellStyle name="40% - Accent2 2 5 2 4" xfId="15272" xr:uid="{00000000-0005-0000-0000-0000D73B0000}"/>
    <cellStyle name="40% - Accent2 2 5 2 4 2" xfId="15273" xr:uid="{00000000-0005-0000-0000-0000D83B0000}"/>
    <cellStyle name="40% - Accent2 2 5 2 4 2 2" xfId="15274" xr:uid="{00000000-0005-0000-0000-0000D93B0000}"/>
    <cellStyle name="40% - Accent2 2 5 2 4 3" xfId="15275" xr:uid="{00000000-0005-0000-0000-0000DA3B0000}"/>
    <cellStyle name="40% - Accent2 2 5 2 5" xfId="15276" xr:uid="{00000000-0005-0000-0000-0000DB3B0000}"/>
    <cellStyle name="40% - Accent2 2 5 2 5 2" xfId="15277" xr:uid="{00000000-0005-0000-0000-0000DC3B0000}"/>
    <cellStyle name="40% - Accent2 2 5 2 6" xfId="15278" xr:uid="{00000000-0005-0000-0000-0000DD3B0000}"/>
    <cellStyle name="40% - Accent2 2 5 3" xfId="15279" xr:uid="{00000000-0005-0000-0000-0000DE3B0000}"/>
    <cellStyle name="40% - Accent2 2 5 3 2" xfId="15280" xr:uid="{00000000-0005-0000-0000-0000DF3B0000}"/>
    <cellStyle name="40% - Accent2 2 5 3 2 2" xfId="15281" xr:uid="{00000000-0005-0000-0000-0000E03B0000}"/>
    <cellStyle name="40% - Accent2 2 5 3 2 2 2" xfId="15282" xr:uid="{00000000-0005-0000-0000-0000E13B0000}"/>
    <cellStyle name="40% - Accent2 2 5 3 2 2 2 2" xfId="15283" xr:uid="{00000000-0005-0000-0000-0000E23B0000}"/>
    <cellStyle name="40% - Accent2 2 5 3 2 2 3" xfId="15284" xr:uid="{00000000-0005-0000-0000-0000E33B0000}"/>
    <cellStyle name="40% - Accent2 2 5 3 2 3" xfId="15285" xr:uid="{00000000-0005-0000-0000-0000E43B0000}"/>
    <cellStyle name="40% - Accent2 2 5 3 2 3 2" xfId="15286" xr:uid="{00000000-0005-0000-0000-0000E53B0000}"/>
    <cellStyle name="40% - Accent2 2 5 3 2 4" xfId="15287" xr:uid="{00000000-0005-0000-0000-0000E63B0000}"/>
    <cellStyle name="40% - Accent2 2 5 3 3" xfId="15288" xr:uid="{00000000-0005-0000-0000-0000E73B0000}"/>
    <cellStyle name="40% - Accent2 2 5 3 3 2" xfId="15289" xr:uid="{00000000-0005-0000-0000-0000E83B0000}"/>
    <cellStyle name="40% - Accent2 2 5 3 3 2 2" xfId="15290" xr:uid="{00000000-0005-0000-0000-0000E93B0000}"/>
    <cellStyle name="40% - Accent2 2 5 3 3 3" xfId="15291" xr:uid="{00000000-0005-0000-0000-0000EA3B0000}"/>
    <cellStyle name="40% - Accent2 2 5 3 4" xfId="15292" xr:uid="{00000000-0005-0000-0000-0000EB3B0000}"/>
    <cellStyle name="40% - Accent2 2 5 3 4 2" xfId="15293" xr:uid="{00000000-0005-0000-0000-0000EC3B0000}"/>
    <cellStyle name="40% - Accent2 2 5 3 5" xfId="15294" xr:uid="{00000000-0005-0000-0000-0000ED3B0000}"/>
    <cellStyle name="40% - Accent2 2 5 4" xfId="15295" xr:uid="{00000000-0005-0000-0000-0000EE3B0000}"/>
    <cellStyle name="40% - Accent2 2 5 4 2" xfId="15296" xr:uid="{00000000-0005-0000-0000-0000EF3B0000}"/>
    <cellStyle name="40% - Accent2 2 5 4 2 2" xfId="15297" xr:uid="{00000000-0005-0000-0000-0000F03B0000}"/>
    <cellStyle name="40% - Accent2 2 5 4 2 2 2" xfId="15298" xr:uid="{00000000-0005-0000-0000-0000F13B0000}"/>
    <cellStyle name="40% - Accent2 2 5 4 2 3" xfId="15299" xr:uid="{00000000-0005-0000-0000-0000F23B0000}"/>
    <cellStyle name="40% - Accent2 2 5 4 3" xfId="15300" xr:uid="{00000000-0005-0000-0000-0000F33B0000}"/>
    <cellStyle name="40% - Accent2 2 5 4 3 2" xfId="15301" xr:uid="{00000000-0005-0000-0000-0000F43B0000}"/>
    <cellStyle name="40% - Accent2 2 5 4 4" xfId="15302" xr:uid="{00000000-0005-0000-0000-0000F53B0000}"/>
    <cellStyle name="40% - Accent2 2 5 5" xfId="15303" xr:uid="{00000000-0005-0000-0000-0000F63B0000}"/>
    <cellStyle name="40% - Accent2 2 5 5 2" xfId="15304" xr:uid="{00000000-0005-0000-0000-0000F73B0000}"/>
    <cellStyle name="40% - Accent2 2 5 5 2 2" xfId="15305" xr:uid="{00000000-0005-0000-0000-0000F83B0000}"/>
    <cellStyle name="40% - Accent2 2 5 5 3" xfId="15306" xr:uid="{00000000-0005-0000-0000-0000F93B0000}"/>
    <cellStyle name="40% - Accent2 2 5 6" xfId="15307" xr:uid="{00000000-0005-0000-0000-0000FA3B0000}"/>
    <cellStyle name="40% - Accent2 2 5 6 2" xfId="15308" xr:uid="{00000000-0005-0000-0000-0000FB3B0000}"/>
    <cellStyle name="40% - Accent2 2 5 7" xfId="15309" xr:uid="{00000000-0005-0000-0000-0000FC3B0000}"/>
    <cellStyle name="40% - Accent2 2 6" xfId="15310" xr:uid="{00000000-0005-0000-0000-0000FD3B0000}"/>
    <cellStyle name="40% - Accent2 2 6 2" xfId="15311" xr:uid="{00000000-0005-0000-0000-0000FE3B0000}"/>
    <cellStyle name="40% - Accent2 2 6 2 2" xfId="15312" xr:uid="{00000000-0005-0000-0000-0000FF3B0000}"/>
    <cellStyle name="40% - Accent2 2 6 2 2 2" xfId="15313" xr:uid="{00000000-0005-0000-0000-0000003C0000}"/>
    <cellStyle name="40% - Accent2 2 6 2 2 2 2" xfId="15314" xr:uid="{00000000-0005-0000-0000-0000013C0000}"/>
    <cellStyle name="40% - Accent2 2 6 2 2 2 2 2" xfId="15315" xr:uid="{00000000-0005-0000-0000-0000023C0000}"/>
    <cellStyle name="40% - Accent2 2 6 2 2 2 3" xfId="15316" xr:uid="{00000000-0005-0000-0000-0000033C0000}"/>
    <cellStyle name="40% - Accent2 2 6 2 2 3" xfId="15317" xr:uid="{00000000-0005-0000-0000-0000043C0000}"/>
    <cellStyle name="40% - Accent2 2 6 2 2 3 2" xfId="15318" xr:uid="{00000000-0005-0000-0000-0000053C0000}"/>
    <cellStyle name="40% - Accent2 2 6 2 2 4" xfId="15319" xr:uid="{00000000-0005-0000-0000-0000063C0000}"/>
    <cellStyle name="40% - Accent2 2 6 2 3" xfId="15320" xr:uid="{00000000-0005-0000-0000-0000073C0000}"/>
    <cellStyle name="40% - Accent2 2 6 2 3 2" xfId="15321" xr:uid="{00000000-0005-0000-0000-0000083C0000}"/>
    <cellStyle name="40% - Accent2 2 6 2 3 2 2" xfId="15322" xr:uid="{00000000-0005-0000-0000-0000093C0000}"/>
    <cellStyle name="40% - Accent2 2 6 2 3 3" xfId="15323" xr:uid="{00000000-0005-0000-0000-00000A3C0000}"/>
    <cellStyle name="40% - Accent2 2 6 2 4" xfId="15324" xr:uid="{00000000-0005-0000-0000-00000B3C0000}"/>
    <cellStyle name="40% - Accent2 2 6 2 4 2" xfId="15325" xr:uid="{00000000-0005-0000-0000-00000C3C0000}"/>
    <cellStyle name="40% - Accent2 2 6 2 5" xfId="15326" xr:uid="{00000000-0005-0000-0000-00000D3C0000}"/>
    <cellStyle name="40% - Accent2 2 6 3" xfId="15327" xr:uid="{00000000-0005-0000-0000-00000E3C0000}"/>
    <cellStyle name="40% - Accent2 2 6 3 2" xfId="15328" xr:uid="{00000000-0005-0000-0000-00000F3C0000}"/>
    <cellStyle name="40% - Accent2 2 6 3 2 2" xfId="15329" xr:uid="{00000000-0005-0000-0000-0000103C0000}"/>
    <cellStyle name="40% - Accent2 2 6 3 2 2 2" xfId="15330" xr:uid="{00000000-0005-0000-0000-0000113C0000}"/>
    <cellStyle name="40% - Accent2 2 6 3 2 3" xfId="15331" xr:uid="{00000000-0005-0000-0000-0000123C0000}"/>
    <cellStyle name="40% - Accent2 2 6 3 3" xfId="15332" xr:uid="{00000000-0005-0000-0000-0000133C0000}"/>
    <cellStyle name="40% - Accent2 2 6 3 3 2" xfId="15333" xr:uid="{00000000-0005-0000-0000-0000143C0000}"/>
    <cellStyle name="40% - Accent2 2 6 3 4" xfId="15334" xr:uid="{00000000-0005-0000-0000-0000153C0000}"/>
    <cellStyle name="40% - Accent2 2 6 4" xfId="15335" xr:uid="{00000000-0005-0000-0000-0000163C0000}"/>
    <cellStyle name="40% - Accent2 2 6 4 2" xfId="15336" xr:uid="{00000000-0005-0000-0000-0000173C0000}"/>
    <cellStyle name="40% - Accent2 2 6 4 2 2" xfId="15337" xr:uid="{00000000-0005-0000-0000-0000183C0000}"/>
    <cellStyle name="40% - Accent2 2 6 4 3" xfId="15338" xr:uid="{00000000-0005-0000-0000-0000193C0000}"/>
    <cellStyle name="40% - Accent2 2 6 5" xfId="15339" xr:uid="{00000000-0005-0000-0000-00001A3C0000}"/>
    <cellStyle name="40% - Accent2 2 6 5 2" xfId="15340" xr:uid="{00000000-0005-0000-0000-00001B3C0000}"/>
    <cellStyle name="40% - Accent2 2 6 6" xfId="15341" xr:uid="{00000000-0005-0000-0000-00001C3C0000}"/>
    <cellStyle name="40% - Accent2 2 7" xfId="15342" xr:uid="{00000000-0005-0000-0000-00001D3C0000}"/>
    <cellStyle name="40% - Accent2 2 7 2" xfId="15343" xr:uid="{00000000-0005-0000-0000-00001E3C0000}"/>
    <cellStyle name="40% - Accent2 2 7 2 2" xfId="15344" xr:uid="{00000000-0005-0000-0000-00001F3C0000}"/>
    <cellStyle name="40% - Accent2 2 7 2 2 2" xfId="15345" xr:uid="{00000000-0005-0000-0000-0000203C0000}"/>
    <cellStyle name="40% - Accent2 2 7 2 2 2 2" xfId="15346" xr:uid="{00000000-0005-0000-0000-0000213C0000}"/>
    <cellStyle name="40% - Accent2 2 7 2 2 3" xfId="15347" xr:uid="{00000000-0005-0000-0000-0000223C0000}"/>
    <cellStyle name="40% - Accent2 2 7 2 3" xfId="15348" xr:uid="{00000000-0005-0000-0000-0000233C0000}"/>
    <cellStyle name="40% - Accent2 2 7 2 3 2" xfId="15349" xr:uid="{00000000-0005-0000-0000-0000243C0000}"/>
    <cellStyle name="40% - Accent2 2 7 2 4" xfId="15350" xr:uid="{00000000-0005-0000-0000-0000253C0000}"/>
    <cellStyle name="40% - Accent2 2 7 3" xfId="15351" xr:uid="{00000000-0005-0000-0000-0000263C0000}"/>
    <cellStyle name="40% - Accent2 2 7 3 2" xfId="15352" xr:uid="{00000000-0005-0000-0000-0000273C0000}"/>
    <cellStyle name="40% - Accent2 2 7 3 2 2" xfId="15353" xr:uid="{00000000-0005-0000-0000-0000283C0000}"/>
    <cellStyle name="40% - Accent2 2 7 3 3" xfId="15354" xr:uid="{00000000-0005-0000-0000-0000293C0000}"/>
    <cellStyle name="40% - Accent2 2 7 4" xfId="15355" xr:uid="{00000000-0005-0000-0000-00002A3C0000}"/>
    <cellStyle name="40% - Accent2 2 7 4 2" xfId="15356" xr:uid="{00000000-0005-0000-0000-00002B3C0000}"/>
    <cellStyle name="40% - Accent2 2 7 5" xfId="15357" xr:uid="{00000000-0005-0000-0000-00002C3C0000}"/>
    <cellStyle name="40% - Accent2 2 8" xfId="15358" xr:uid="{00000000-0005-0000-0000-00002D3C0000}"/>
    <cellStyle name="40% - Accent2 2 8 2" xfId="15359" xr:uid="{00000000-0005-0000-0000-00002E3C0000}"/>
    <cellStyle name="40% - Accent2 2 8 2 2" xfId="15360" xr:uid="{00000000-0005-0000-0000-00002F3C0000}"/>
    <cellStyle name="40% - Accent2 2 8 2 2 2" xfId="15361" xr:uid="{00000000-0005-0000-0000-0000303C0000}"/>
    <cellStyle name="40% - Accent2 2 8 2 3" xfId="15362" xr:uid="{00000000-0005-0000-0000-0000313C0000}"/>
    <cellStyle name="40% - Accent2 2 8 3" xfId="15363" xr:uid="{00000000-0005-0000-0000-0000323C0000}"/>
    <cellStyle name="40% - Accent2 2 8 3 2" xfId="15364" xr:uid="{00000000-0005-0000-0000-0000333C0000}"/>
    <cellStyle name="40% - Accent2 2 8 4" xfId="15365" xr:uid="{00000000-0005-0000-0000-0000343C0000}"/>
    <cellStyle name="40% - Accent2 2 9" xfId="15366" xr:uid="{00000000-0005-0000-0000-0000353C0000}"/>
    <cellStyle name="40% - Accent2 2 9 2" xfId="15367" xr:uid="{00000000-0005-0000-0000-0000363C0000}"/>
    <cellStyle name="40% - Accent2 2 9 2 2" xfId="15368" xr:uid="{00000000-0005-0000-0000-0000373C0000}"/>
    <cellStyle name="40% - Accent2 2 9 3" xfId="15369" xr:uid="{00000000-0005-0000-0000-0000383C0000}"/>
    <cellStyle name="40% - Accent2 3" xfId="15370" xr:uid="{00000000-0005-0000-0000-0000393C0000}"/>
    <cellStyle name="40% - Accent2 3 10" xfId="15371" xr:uid="{00000000-0005-0000-0000-00003A3C0000}"/>
    <cellStyle name="40% - Accent2 3 2" xfId="15372" xr:uid="{00000000-0005-0000-0000-00003B3C0000}"/>
    <cellStyle name="40% - Accent2 3 2 2" xfId="15373" xr:uid="{00000000-0005-0000-0000-00003C3C0000}"/>
    <cellStyle name="40% - Accent2 3 2 2 2" xfId="15374" xr:uid="{00000000-0005-0000-0000-00003D3C0000}"/>
    <cellStyle name="40% - Accent2 3 2 2 2 2" xfId="15375" xr:uid="{00000000-0005-0000-0000-00003E3C0000}"/>
    <cellStyle name="40% - Accent2 3 2 2 2 2 2" xfId="15376" xr:uid="{00000000-0005-0000-0000-00003F3C0000}"/>
    <cellStyle name="40% - Accent2 3 2 2 2 2 2 2" xfId="15377" xr:uid="{00000000-0005-0000-0000-0000403C0000}"/>
    <cellStyle name="40% - Accent2 3 2 2 2 2 2 2 2" xfId="15378" xr:uid="{00000000-0005-0000-0000-0000413C0000}"/>
    <cellStyle name="40% - Accent2 3 2 2 2 2 2 2 2 2" xfId="15379" xr:uid="{00000000-0005-0000-0000-0000423C0000}"/>
    <cellStyle name="40% - Accent2 3 2 2 2 2 2 2 2 2 2" xfId="15380" xr:uid="{00000000-0005-0000-0000-0000433C0000}"/>
    <cellStyle name="40% - Accent2 3 2 2 2 2 2 2 2 3" xfId="15381" xr:uid="{00000000-0005-0000-0000-0000443C0000}"/>
    <cellStyle name="40% - Accent2 3 2 2 2 2 2 2 3" xfId="15382" xr:uid="{00000000-0005-0000-0000-0000453C0000}"/>
    <cellStyle name="40% - Accent2 3 2 2 2 2 2 2 3 2" xfId="15383" xr:uid="{00000000-0005-0000-0000-0000463C0000}"/>
    <cellStyle name="40% - Accent2 3 2 2 2 2 2 2 4" xfId="15384" xr:uid="{00000000-0005-0000-0000-0000473C0000}"/>
    <cellStyle name="40% - Accent2 3 2 2 2 2 2 3" xfId="15385" xr:uid="{00000000-0005-0000-0000-0000483C0000}"/>
    <cellStyle name="40% - Accent2 3 2 2 2 2 2 3 2" xfId="15386" xr:uid="{00000000-0005-0000-0000-0000493C0000}"/>
    <cellStyle name="40% - Accent2 3 2 2 2 2 2 3 2 2" xfId="15387" xr:uid="{00000000-0005-0000-0000-00004A3C0000}"/>
    <cellStyle name="40% - Accent2 3 2 2 2 2 2 3 3" xfId="15388" xr:uid="{00000000-0005-0000-0000-00004B3C0000}"/>
    <cellStyle name="40% - Accent2 3 2 2 2 2 2 4" xfId="15389" xr:uid="{00000000-0005-0000-0000-00004C3C0000}"/>
    <cellStyle name="40% - Accent2 3 2 2 2 2 2 4 2" xfId="15390" xr:uid="{00000000-0005-0000-0000-00004D3C0000}"/>
    <cellStyle name="40% - Accent2 3 2 2 2 2 2 5" xfId="15391" xr:uid="{00000000-0005-0000-0000-00004E3C0000}"/>
    <cellStyle name="40% - Accent2 3 2 2 2 2 3" xfId="15392" xr:uid="{00000000-0005-0000-0000-00004F3C0000}"/>
    <cellStyle name="40% - Accent2 3 2 2 2 2 3 2" xfId="15393" xr:uid="{00000000-0005-0000-0000-0000503C0000}"/>
    <cellStyle name="40% - Accent2 3 2 2 2 2 3 2 2" xfId="15394" xr:uid="{00000000-0005-0000-0000-0000513C0000}"/>
    <cellStyle name="40% - Accent2 3 2 2 2 2 3 2 2 2" xfId="15395" xr:uid="{00000000-0005-0000-0000-0000523C0000}"/>
    <cellStyle name="40% - Accent2 3 2 2 2 2 3 2 3" xfId="15396" xr:uid="{00000000-0005-0000-0000-0000533C0000}"/>
    <cellStyle name="40% - Accent2 3 2 2 2 2 3 3" xfId="15397" xr:uid="{00000000-0005-0000-0000-0000543C0000}"/>
    <cellStyle name="40% - Accent2 3 2 2 2 2 3 3 2" xfId="15398" xr:uid="{00000000-0005-0000-0000-0000553C0000}"/>
    <cellStyle name="40% - Accent2 3 2 2 2 2 3 4" xfId="15399" xr:uid="{00000000-0005-0000-0000-0000563C0000}"/>
    <cellStyle name="40% - Accent2 3 2 2 2 2 4" xfId="15400" xr:uid="{00000000-0005-0000-0000-0000573C0000}"/>
    <cellStyle name="40% - Accent2 3 2 2 2 2 4 2" xfId="15401" xr:uid="{00000000-0005-0000-0000-0000583C0000}"/>
    <cellStyle name="40% - Accent2 3 2 2 2 2 4 2 2" xfId="15402" xr:uid="{00000000-0005-0000-0000-0000593C0000}"/>
    <cellStyle name="40% - Accent2 3 2 2 2 2 4 3" xfId="15403" xr:uid="{00000000-0005-0000-0000-00005A3C0000}"/>
    <cellStyle name="40% - Accent2 3 2 2 2 2 5" xfId="15404" xr:uid="{00000000-0005-0000-0000-00005B3C0000}"/>
    <cellStyle name="40% - Accent2 3 2 2 2 2 5 2" xfId="15405" xr:uid="{00000000-0005-0000-0000-00005C3C0000}"/>
    <cellStyle name="40% - Accent2 3 2 2 2 2 6" xfId="15406" xr:uid="{00000000-0005-0000-0000-00005D3C0000}"/>
    <cellStyle name="40% - Accent2 3 2 2 2 3" xfId="15407" xr:uid="{00000000-0005-0000-0000-00005E3C0000}"/>
    <cellStyle name="40% - Accent2 3 2 2 2 3 2" xfId="15408" xr:uid="{00000000-0005-0000-0000-00005F3C0000}"/>
    <cellStyle name="40% - Accent2 3 2 2 2 3 2 2" xfId="15409" xr:uid="{00000000-0005-0000-0000-0000603C0000}"/>
    <cellStyle name="40% - Accent2 3 2 2 2 3 2 2 2" xfId="15410" xr:uid="{00000000-0005-0000-0000-0000613C0000}"/>
    <cellStyle name="40% - Accent2 3 2 2 2 3 2 2 2 2" xfId="15411" xr:uid="{00000000-0005-0000-0000-0000623C0000}"/>
    <cellStyle name="40% - Accent2 3 2 2 2 3 2 2 3" xfId="15412" xr:uid="{00000000-0005-0000-0000-0000633C0000}"/>
    <cellStyle name="40% - Accent2 3 2 2 2 3 2 3" xfId="15413" xr:uid="{00000000-0005-0000-0000-0000643C0000}"/>
    <cellStyle name="40% - Accent2 3 2 2 2 3 2 3 2" xfId="15414" xr:uid="{00000000-0005-0000-0000-0000653C0000}"/>
    <cellStyle name="40% - Accent2 3 2 2 2 3 2 4" xfId="15415" xr:uid="{00000000-0005-0000-0000-0000663C0000}"/>
    <cellStyle name="40% - Accent2 3 2 2 2 3 3" xfId="15416" xr:uid="{00000000-0005-0000-0000-0000673C0000}"/>
    <cellStyle name="40% - Accent2 3 2 2 2 3 3 2" xfId="15417" xr:uid="{00000000-0005-0000-0000-0000683C0000}"/>
    <cellStyle name="40% - Accent2 3 2 2 2 3 3 2 2" xfId="15418" xr:uid="{00000000-0005-0000-0000-0000693C0000}"/>
    <cellStyle name="40% - Accent2 3 2 2 2 3 3 3" xfId="15419" xr:uid="{00000000-0005-0000-0000-00006A3C0000}"/>
    <cellStyle name="40% - Accent2 3 2 2 2 3 4" xfId="15420" xr:uid="{00000000-0005-0000-0000-00006B3C0000}"/>
    <cellStyle name="40% - Accent2 3 2 2 2 3 4 2" xfId="15421" xr:uid="{00000000-0005-0000-0000-00006C3C0000}"/>
    <cellStyle name="40% - Accent2 3 2 2 2 3 5" xfId="15422" xr:uid="{00000000-0005-0000-0000-00006D3C0000}"/>
    <cellStyle name="40% - Accent2 3 2 2 2 4" xfId="15423" xr:uid="{00000000-0005-0000-0000-00006E3C0000}"/>
    <cellStyle name="40% - Accent2 3 2 2 2 4 2" xfId="15424" xr:uid="{00000000-0005-0000-0000-00006F3C0000}"/>
    <cellStyle name="40% - Accent2 3 2 2 2 4 2 2" xfId="15425" xr:uid="{00000000-0005-0000-0000-0000703C0000}"/>
    <cellStyle name="40% - Accent2 3 2 2 2 4 2 2 2" xfId="15426" xr:uid="{00000000-0005-0000-0000-0000713C0000}"/>
    <cellStyle name="40% - Accent2 3 2 2 2 4 2 3" xfId="15427" xr:uid="{00000000-0005-0000-0000-0000723C0000}"/>
    <cellStyle name="40% - Accent2 3 2 2 2 4 3" xfId="15428" xr:uid="{00000000-0005-0000-0000-0000733C0000}"/>
    <cellStyle name="40% - Accent2 3 2 2 2 4 3 2" xfId="15429" xr:uid="{00000000-0005-0000-0000-0000743C0000}"/>
    <cellStyle name="40% - Accent2 3 2 2 2 4 4" xfId="15430" xr:uid="{00000000-0005-0000-0000-0000753C0000}"/>
    <cellStyle name="40% - Accent2 3 2 2 2 5" xfId="15431" xr:uid="{00000000-0005-0000-0000-0000763C0000}"/>
    <cellStyle name="40% - Accent2 3 2 2 2 5 2" xfId="15432" xr:uid="{00000000-0005-0000-0000-0000773C0000}"/>
    <cellStyle name="40% - Accent2 3 2 2 2 5 2 2" xfId="15433" xr:uid="{00000000-0005-0000-0000-0000783C0000}"/>
    <cellStyle name="40% - Accent2 3 2 2 2 5 3" xfId="15434" xr:uid="{00000000-0005-0000-0000-0000793C0000}"/>
    <cellStyle name="40% - Accent2 3 2 2 2 6" xfId="15435" xr:uid="{00000000-0005-0000-0000-00007A3C0000}"/>
    <cellStyle name="40% - Accent2 3 2 2 2 6 2" xfId="15436" xr:uid="{00000000-0005-0000-0000-00007B3C0000}"/>
    <cellStyle name="40% - Accent2 3 2 2 2 7" xfId="15437" xr:uid="{00000000-0005-0000-0000-00007C3C0000}"/>
    <cellStyle name="40% - Accent2 3 2 2 3" xfId="15438" xr:uid="{00000000-0005-0000-0000-00007D3C0000}"/>
    <cellStyle name="40% - Accent2 3 2 2 3 2" xfId="15439" xr:uid="{00000000-0005-0000-0000-00007E3C0000}"/>
    <cellStyle name="40% - Accent2 3 2 2 3 2 2" xfId="15440" xr:uid="{00000000-0005-0000-0000-00007F3C0000}"/>
    <cellStyle name="40% - Accent2 3 2 2 3 2 2 2" xfId="15441" xr:uid="{00000000-0005-0000-0000-0000803C0000}"/>
    <cellStyle name="40% - Accent2 3 2 2 3 2 2 2 2" xfId="15442" xr:uid="{00000000-0005-0000-0000-0000813C0000}"/>
    <cellStyle name="40% - Accent2 3 2 2 3 2 2 2 2 2" xfId="15443" xr:uid="{00000000-0005-0000-0000-0000823C0000}"/>
    <cellStyle name="40% - Accent2 3 2 2 3 2 2 2 3" xfId="15444" xr:uid="{00000000-0005-0000-0000-0000833C0000}"/>
    <cellStyle name="40% - Accent2 3 2 2 3 2 2 3" xfId="15445" xr:uid="{00000000-0005-0000-0000-0000843C0000}"/>
    <cellStyle name="40% - Accent2 3 2 2 3 2 2 3 2" xfId="15446" xr:uid="{00000000-0005-0000-0000-0000853C0000}"/>
    <cellStyle name="40% - Accent2 3 2 2 3 2 2 4" xfId="15447" xr:uid="{00000000-0005-0000-0000-0000863C0000}"/>
    <cellStyle name="40% - Accent2 3 2 2 3 2 3" xfId="15448" xr:uid="{00000000-0005-0000-0000-0000873C0000}"/>
    <cellStyle name="40% - Accent2 3 2 2 3 2 3 2" xfId="15449" xr:uid="{00000000-0005-0000-0000-0000883C0000}"/>
    <cellStyle name="40% - Accent2 3 2 2 3 2 3 2 2" xfId="15450" xr:uid="{00000000-0005-0000-0000-0000893C0000}"/>
    <cellStyle name="40% - Accent2 3 2 2 3 2 3 3" xfId="15451" xr:uid="{00000000-0005-0000-0000-00008A3C0000}"/>
    <cellStyle name="40% - Accent2 3 2 2 3 2 4" xfId="15452" xr:uid="{00000000-0005-0000-0000-00008B3C0000}"/>
    <cellStyle name="40% - Accent2 3 2 2 3 2 4 2" xfId="15453" xr:uid="{00000000-0005-0000-0000-00008C3C0000}"/>
    <cellStyle name="40% - Accent2 3 2 2 3 2 5" xfId="15454" xr:uid="{00000000-0005-0000-0000-00008D3C0000}"/>
    <cellStyle name="40% - Accent2 3 2 2 3 3" xfId="15455" xr:uid="{00000000-0005-0000-0000-00008E3C0000}"/>
    <cellStyle name="40% - Accent2 3 2 2 3 3 2" xfId="15456" xr:uid="{00000000-0005-0000-0000-00008F3C0000}"/>
    <cellStyle name="40% - Accent2 3 2 2 3 3 2 2" xfId="15457" xr:uid="{00000000-0005-0000-0000-0000903C0000}"/>
    <cellStyle name="40% - Accent2 3 2 2 3 3 2 2 2" xfId="15458" xr:uid="{00000000-0005-0000-0000-0000913C0000}"/>
    <cellStyle name="40% - Accent2 3 2 2 3 3 2 3" xfId="15459" xr:uid="{00000000-0005-0000-0000-0000923C0000}"/>
    <cellStyle name="40% - Accent2 3 2 2 3 3 3" xfId="15460" xr:uid="{00000000-0005-0000-0000-0000933C0000}"/>
    <cellStyle name="40% - Accent2 3 2 2 3 3 3 2" xfId="15461" xr:uid="{00000000-0005-0000-0000-0000943C0000}"/>
    <cellStyle name="40% - Accent2 3 2 2 3 3 4" xfId="15462" xr:uid="{00000000-0005-0000-0000-0000953C0000}"/>
    <cellStyle name="40% - Accent2 3 2 2 3 4" xfId="15463" xr:uid="{00000000-0005-0000-0000-0000963C0000}"/>
    <cellStyle name="40% - Accent2 3 2 2 3 4 2" xfId="15464" xr:uid="{00000000-0005-0000-0000-0000973C0000}"/>
    <cellStyle name="40% - Accent2 3 2 2 3 4 2 2" xfId="15465" xr:uid="{00000000-0005-0000-0000-0000983C0000}"/>
    <cellStyle name="40% - Accent2 3 2 2 3 4 3" xfId="15466" xr:uid="{00000000-0005-0000-0000-0000993C0000}"/>
    <cellStyle name="40% - Accent2 3 2 2 3 5" xfId="15467" xr:uid="{00000000-0005-0000-0000-00009A3C0000}"/>
    <cellStyle name="40% - Accent2 3 2 2 3 5 2" xfId="15468" xr:uid="{00000000-0005-0000-0000-00009B3C0000}"/>
    <cellStyle name="40% - Accent2 3 2 2 3 6" xfId="15469" xr:uid="{00000000-0005-0000-0000-00009C3C0000}"/>
    <cellStyle name="40% - Accent2 3 2 2 4" xfId="15470" xr:uid="{00000000-0005-0000-0000-00009D3C0000}"/>
    <cellStyle name="40% - Accent2 3 2 2 4 2" xfId="15471" xr:uid="{00000000-0005-0000-0000-00009E3C0000}"/>
    <cellStyle name="40% - Accent2 3 2 2 4 2 2" xfId="15472" xr:uid="{00000000-0005-0000-0000-00009F3C0000}"/>
    <cellStyle name="40% - Accent2 3 2 2 4 2 2 2" xfId="15473" xr:uid="{00000000-0005-0000-0000-0000A03C0000}"/>
    <cellStyle name="40% - Accent2 3 2 2 4 2 2 2 2" xfId="15474" xr:uid="{00000000-0005-0000-0000-0000A13C0000}"/>
    <cellStyle name="40% - Accent2 3 2 2 4 2 2 3" xfId="15475" xr:uid="{00000000-0005-0000-0000-0000A23C0000}"/>
    <cellStyle name="40% - Accent2 3 2 2 4 2 3" xfId="15476" xr:uid="{00000000-0005-0000-0000-0000A33C0000}"/>
    <cellStyle name="40% - Accent2 3 2 2 4 2 3 2" xfId="15477" xr:uid="{00000000-0005-0000-0000-0000A43C0000}"/>
    <cellStyle name="40% - Accent2 3 2 2 4 2 4" xfId="15478" xr:uid="{00000000-0005-0000-0000-0000A53C0000}"/>
    <cellStyle name="40% - Accent2 3 2 2 4 3" xfId="15479" xr:uid="{00000000-0005-0000-0000-0000A63C0000}"/>
    <cellStyle name="40% - Accent2 3 2 2 4 3 2" xfId="15480" xr:uid="{00000000-0005-0000-0000-0000A73C0000}"/>
    <cellStyle name="40% - Accent2 3 2 2 4 3 2 2" xfId="15481" xr:uid="{00000000-0005-0000-0000-0000A83C0000}"/>
    <cellStyle name="40% - Accent2 3 2 2 4 3 3" xfId="15482" xr:uid="{00000000-0005-0000-0000-0000A93C0000}"/>
    <cellStyle name="40% - Accent2 3 2 2 4 4" xfId="15483" xr:uid="{00000000-0005-0000-0000-0000AA3C0000}"/>
    <cellStyle name="40% - Accent2 3 2 2 4 4 2" xfId="15484" xr:uid="{00000000-0005-0000-0000-0000AB3C0000}"/>
    <cellStyle name="40% - Accent2 3 2 2 4 5" xfId="15485" xr:uid="{00000000-0005-0000-0000-0000AC3C0000}"/>
    <cellStyle name="40% - Accent2 3 2 2 5" xfId="15486" xr:uid="{00000000-0005-0000-0000-0000AD3C0000}"/>
    <cellStyle name="40% - Accent2 3 2 2 5 2" xfId="15487" xr:uid="{00000000-0005-0000-0000-0000AE3C0000}"/>
    <cellStyle name="40% - Accent2 3 2 2 5 2 2" xfId="15488" xr:uid="{00000000-0005-0000-0000-0000AF3C0000}"/>
    <cellStyle name="40% - Accent2 3 2 2 5 2 2 2" xfId="15489" xr:uid="{00000000-0005-0000-0000-0000B03C0000}"/>
    <cellStyle name="40% - Accent2 3 2 2 5 2 3" xfId="15490" xr:uid="{00000000-0005-0000-0000-0000B13C0000}"/>
    <cellStyle name="40% - Accent2 3 2 2 5 3" xfId="15491" xr:uid="{00000000-0005-0000-0000-0000B23C0000}"/>
    <cellStyle name="40% - Accent2 3 2 2 5 3 2" xfId="15492" xr:uid="{00000000-0005-0000-0000-0000B33C0000}"/>
    <cellStyle name="40% - Accent2 3 2 2 5 4" xfId="15493" xr:uid="{00000000-0005-0000-0000-0000B43C0000}"/>
    <cellStyle name="40% - Accent2 3 2 2 6" xfId="15494" xr:uid="{00000000-0005-0000-0000-0000B53C0000}"/>
    <cellStyle name="40% - Accent2 3 2 2 6 2" xfId="15495" xr:uid="{00000000-0005-0000-0000-0000B63C0000}"/>
    <cellStyle name="40% - Accent2 3 2 2 6 2 2" xfId="15496" xr:uid="{00000000-0005-0000-0000-0000B73C0000}"/>
    <cellStyle name="40% - Accent2 3 2 2 6 3" xfId="15497" xr:uid="{00000000-0005-0000-0000-0000B83C0000}"/>
    <cellStyle name="40% - Accent2 3 2 2 7" xfId="15498" xr:uid="{00000000-0005-0000-0000-0000B93C0000}"/>
    <cellStyle name="40% - Accent2 3 2 2 7 2" xfId="15499" xr:uid="{00000000-0005-0000-0000-0000BA3C0000}"/>
    <cellStyle name="40% - Accent2 3 2 2 8" xfId="15500" xr:uid="{00000000-0005-0000-0000-0000BB3C0000}"/>
    <cellStyle name="40% - Accent2 3 2 3" xfId="15501" xr:uid="{00000000-0005-0000-0000-0000BC3C0000}"/>
    <cellStyle name="40% - Accent2 3 2 3 2" xfId="15502" xr:uid="{00000000-0005-0000-0000-0000BD3C0000}"/>
    <cellStyle name="40% - Accent2 3 2 3 2 2" xfId="15503" xr:uid="{00000000-0005-0000-0000-0000BE3C0000}"/>
    <cellStyle name="40% - Accent2 3 2 3 2 2 2" xfId="15504" xr:uid="{00000000-0005-0000-0000-0000BF3C0000}"/>
    <cellStyle name="40% - Accent2 3 2 3 2 2 2 2" xfId="15505" xr:uid="{00000000-0005-0000-0000-0000C03C0000}"/>
    <cellStyle name="40% - Accent2 3 2 3 2 2 2 2 2" xfId="15506" xr:uid="{00000000-0005-0000-0000-0000C13C0000}"/>
    <cellStyle name="40% - Accent2 3 2 3 2 2 2 2 2 2" xfId="15507" xr:uid="{00000000-0005-0000-0000-0000C23C0000}"/>
    <cellStyle name="40% - Accent2 3 2 3 2 2 2 2 3" xfId="15508" xr:uid="{00000000-0005-0000-0000-0000C33C0000}"/>
    <cellStyle name="40% - Accent2 3 2 3 2 2 2 3" xfId="15509" xr:uid="{00000000-0005-0000-0000-0000C43C0000}"/>
    <cellStyle name="40% - Accent2 3 2 3 2 2 2 3 2" xfId="15510" xr:uid="{00000000-0005-0000-0000-0000C53C0000}"/>
    <cellStyle name="40% - Accent2 3 2 3 2 2 2 4" xfId="15511" xr:uid="{00000000-0005-0000-0000-0000C63C0000}"/>
    <cellStyle name="40% - Accent2 3 2 3 2 2 3" xfId="15512" xr:uid="{00000000-0005-0000-0000-0000C73C0000}"/>
    <cellStyle name="40% - Accent2 3 2 3 2 2 3 2" xfId="15513" xr:uid="{00000000-0005-0000-0000-0000C83C0000}"/>
    <cellStyle name="40% - Accent2 3 2 3 2 2 3 2 2" xfId="15514" xr:uid="{00000000-0005-0000-0000-0000C93C0000}"/>
    <cellStyle name="40% - Accent2 3 2 3 2 2 3 3" xfId="15515" xr:uid="{00000000-0005-0000-0000-0000CA3C0000}"/>
    <cellStyle name="40% - Accent2 3 2 3 2 2 4" xfId="15516" xr:uid="{00000000-0005-0000-0000-0000CB3C0000}"/>
    <cellStyle name="40% - Accent2 3 2 3 2 2 4 2" xfId="15517" xr:uid="{00000000-0005-0000-0000-0000CC3C0000}"/>
    <cellStyle name="40% - Accent2 3 2 3 2 2 5" xfId="15518" xr:uid="{00000000-0005-0000-0000-0000CD3C0000}"/>
    <cellStyle name="40% - Accent2 3 2 3 2 3" xfId="15519" xr:uid="{00000000-0005-0000-0000-0000CE3C0000}"/>
    <cellStyle name="40% - Accent2 3 2 3 2 3 2" xfId="15520" xr:uid="{00000000-0005-0000-0000-0000CF3C0000}"/>
    <cellStyle name="40% - Accent2 3 2 3 2 3 2 2" xfId="15521" xr:uid="{00000000-0005-0000-0000-0000D03C0000}"/>
    <cellStyle name="40% - Accent2 3 2 3 2 3 2 2 2" xfId="15522" xr:uid="{00000000-0005-0000-0000-0000D13C0000}"/>
    <cellStyle name="40% - Accent2 3 2 3 2 3 2 3" xfId="15523" xr:uid="{00000000-0005-0000-0000-0000D23C0000}"/>
    <cellStyle name="40% - Accent2 3 2 3 2 3 3" xfId="15524" xr:uid="{00000000-0005-0000-0000-0000D33C0000}"/>
    <cellStyle name="40% - Accent2 3 2 3 2 3 3 2" xfId="15525" xr:uid="{00000000-0005-0000-0000-0000D43C0000}"/>
    <cellStyle name="40% - Accent2 3 2 3 2 3 4" xfId="15526" xr:uid="{00000000-0005-0000-0000-0000D53C0000}"/>
    <cellStyle name="40% - Accent2 3 2 3 2 4" xfId="15527" xr:uid="{00000000-0005-0000-0000-0000D63C0000}"/>
    <cellStyle name="40% - Accent2 3 2 3 2 4 2" xfId="15528" xr:uid="{00000000-0005-0000-0000-0000D73C0000}"/>
    <cellStyle name="40% - Accent2 3 2 3 2 4 2 2" xfId="15529" xr:uid="{00000000-0005-0000-0000-0000D83C0000}"/>
    <cellStyle name="40% - Accent2 3 2 3 2 4 3" xfId="15530" xr:uid="{00000000-0005-0000-0000-0000D93C0000}"/>
    <cellStyle name="40% - Accent2 3 2 3 2 5" xfId="15531" xr:uid="{00000000-0005-0000-0000-0000DA3C0000}"/>
    <cellStyle name="40% - Accent2 3 2 3 2 5 2" xfId="15532" xr:uid="{00000000-0005-0000-0000-0000DB3C0000}"/>
    <cellStyle name="40% - Accent2 3 2 3 2 6" xfId="15533" xr:uid="{00000000-0005-0000-0000-0000DC3C0000}"/>
    <cellStyle name="40% - Accent2 3 2 3 3" xfId="15534" xr:uid="{00000000-0005-0000-0000-0000DD3C0000}"/>
    <cellStyle name="40% - Accent2 3 2 3 3 2" xfId="15535" xr:uid="{00000000-0005-0000-0000-0000DE3C0000}"/>
    <cellStyle name="40% - Accent2 3 2 3 3 2 2" xfId="15536" xr:uid="{00000000-0005-0000-0000-0000DF3C0000}"/>
    <cellStyle name="40% - Accent2 3 2 3 3 2 2 2" xfId="15537" xr:uid="{00000000-0005-0000-0000-0000E03C0000}"/>
    <cellStyle name="40% - Accent2 3 2 3 3 2 2 2 2" xfId="15538" xr:uid="{00000000-0005-0000-0000-0000E13C0000}"/>
    <cellStyle name="40% - Accent2 3 2 3 3 2 2 3" xfId="15539" xr:uid="{00000000-0005-0000-0000-0000E23C0000}"/>
    <cellStyle name="40% - Accent2 3 2 3 3 2 3" xfId="15540" xr:uid="{00000000-0005-0000-0000-0000E33C0000}"/>
    <cellStyle name="40% - Accent2 3 2 3 3 2 3 2" xfId="15541" xr:uid="{00000000-0005-0000-0000-0000E43C0000}"/>
    <cellStyle name="40% - Accent2 3 2 3 3 2 4" xfId="15542" xr:uid="{00000000-0005-0000-0000-0000E53C0000}"/>
    <cellStyle name="40% - Accent2 3 2 3 3 3" xfId="15543" xr:uid="{00000000-0005-0000-0000-0000E63C0000}"/>
    <cellStyle name="40% - Accent2 3 2 3 3 3 2" xfId="15544" xr:uid="{00000000-0005-0000-0000-0000E73C0000}"/>
    <cellStyle name="40% - Accent2 3 2 3 3 3 2 2" xfId="15545" xr:uid="{00000000-0005-0000-0000-0000E83C0000}"/>
    <cellStyle name="40% - Accent2 3 2 3 3 3 3" xfId="15546" xr:uid="{00000000-0005-0000-0000-0000E93C0000}"/>
    <cellStyle name="40% - Accent2 3 2 3 3 4" xfId="15547" xr:uid="{00000000-0005-0000-0000-0000EA3C0000}"/>
    <cellStyle name="40% - Accent2 3 2 3 3 4 2" xfId="15548" xr:uid="{00000000-0005-0000-0000-0000EB3C0000}"/>
    <cellStyle name="40% - Accent2 3 2 3 3 5" xfId="15549" xr:uid="{00000000-0005-0000-0000-0000EC3C0000}"/>
    <cellStyle name="40% - Accent2 3 2 3 4" xfId="15550" xr:uid="{00000000-0005-0000-0000-0000ED3C0000}"/>
    <cellStyle name="40% - Accent2 3 2 3 4 2" xfId="15551" xr:uid="{00000000-0005-0000-0000-0000EE3C0000}"/>
    <cellStyle name="40% - Accent2 3 2 3 4 2 2" xfId="15552" xr:uid="{00000000-0005-0000-0000-0000EF3C0000}"/>
    <cellStyle name="40% - Accent2 3 2 3 4 2 2 2" xfId="15553" xr:uid="{00000000-0005-0000-0000-0000F03C0000}"/>
    <cellStyle name="40% - Accent2 3 2 3 4 2 3" xfId="15554" xr:uid="{00000000-0005-0000-0000-0000F13C0000}"/>
    <cellStyle name="40% - Accent2 3 2 3 4 3" xfId="15555" xr:uid="{00000000-0005-0000-0000-0000F23C0000}"/>
    <cellStyle name="40% - Accent2 3 2 3 4 3 2" xfId="15556" xr:uid="{00000000-0005-0000-0000-0000F33C0000}"/>
    <cellStyle name="40% - Accent2 3 2 3 4 4" xfId="15557" xr:uid="{00000000-0005-0000-0000-0000F43C0000}"/>
    <cellStyle name="40% - Accent2 3 2 3 5" xfId="15558" xr:uid="{00000000-0005-0000-0000-0000F53C0000}"/>
    <cellStyle name="40% - Accent2 3 2 3 5 2" xfId="15559" xr:uid="{00000000-0005-0000-0000-0000F63C0000}"/>
    <cellStyle name="40% - Accent2 3 2 3 5 2 2" xfId="15560" xr:uid="{00000000-0005-0000-0000-0000F73C0000}"/>
    <cellStyle name="40% - Accent2 3 2 3 5 3" xfId="15561" xr:uid="{00000000-0005-0000-0000-0000F83C0000}"/>
    <cellStyle name="40% - Accent2 3 2 3 6" xfId="15562" xr:uid="{00000000-0005-0000-0000-0000F93C0000}"/>
    <cellStyle name="40% - Accent2 3 2 3 6 2" xfId="15563" xr:uid="{00000000-0005-0000-0000-0000FA3C0000}"/>
    <cellStyle name="40% - Accent2 3 2 3 7" xfId="15564" xr:uid="{00000000-0005-0000-0000-0000FB3C0000}"/>
    <cellStyle name="40% - Accent2 3 2 4" xfId="15565" xr:uid="{00000000-0005-0000-0000-0000FC3C0000}"/>
    <cellStyle name="40% - Accent2 3 2 4 2" xfId="15566" xr:uid="{00000000-0005-0000-0000-0000FD3C0000}"/>
    <cellStyle name="40% - Accent2 3 2 4 2 2" xfId="15567" xr:uid="{00000000-0005-0000-0000-0000FE3C0000}"/>
    <cellStyle name="40% - Accent2 3 2 4 2 2 2" xfId="15568" xr:uid="{00000000-0005-0000-0000-0000FF3C0000}"/>
    <cellStyle name="40% - Accent2 3 2 4 2 2 2 2" xfId="15569" xr:uid="{00000000-0005-0000-0000-0000003D0000}"/>
    <cellStyle name="40% - Accent2 3 2 4 2 2 2 2 2" xfId="15570" xr:uid="{00000000-0005-0000-0000-0000013D0000}"/>
    <cellStyle name="40% - Accent2 3 2 4 2 2 2 3" xfId="15571" xr:uid="{00000000-0005-0000-0000-0000023D0000}"/>
    <cellStyle name="40% - Accent2 3 2 4 2 2 3" xfId="15572" xr:uid="{00000000-0005-0000-0000-0000033D0000}"/>
    <cellStyle name="40% - Accent2 3 2 4 2 2 3 2" xfId="15573" xr:uid="{00000000-0005-0000-0000-0000043D0000}"/>
    <cellStyle name="40% - Accent2 3 2 4 2 2 4" xfId="15574" xr:uid="{00000000-0005-0000-0000-0000053D0000}"/>
    <cellStyle name="40% - Accent2 3 2 4 2 3" xfId="15575" xr:uid="{00000000-0005-0000-0000-0000063D0000}"/>
    <cellStyle name="40% - Accent2 3 2 4 2 3 2" xfId="15576" xr:uid="{00000000-0005-0000-0000-0000073D0000}"/>
    <cellStyle name="40% - Accent2 3 2 4 2 3 2 2" xfId="15577" xr:uid="{00000000-0005-0000-0000-0000083D0000}"/>
    <cellStyle name="40% - Accent2 3 2 4 2 3 3" xfId="15578" xr:uid="{00000000-0005-0000-0000-0000093D0000}"/>
    <cellStyle name="40% - Accent2 3 2 4 2 4" xfId="15579" xr:uid="{00000000-0005-0000-0000-00000A3D0000}"/>
    <cellStyle name="40% - Accent2 3 2 4 2 4 2" xfId="15580" xr:uid="{00000000-0005-0000-0000-00000B3D0000}"/>
    <cellStyle name="40% - Accent2 3 2 4 2 5" xfId="15581" xr:uid="{00000000-0005-0000-0000-00000C3D0000}"/>
    <cellStyle name="40% - Accent2 3 2 4 3" xfId="15582" xr:uid="{00000000-0005-0000-0000-00000D3D0000}"/>
    <cellStyle name="40% - Accent2 3 2 4 3 2" xfId="15583" xr:uid="{00000000-0005-0000-0000-00000E3D0000}"/>
    <cellStyle name="40% - Accent2 3 2 4 3 2 2" xfId="15584" xr:uid="{00000000-0005-0000-0000-00000F3D0000}"/>
    <cellStyle name="40% - Accent2 3 2 4 3 2 2 2" xfId="15585" xr:uid="{00000000-0005-0000-0000-0000103D0000}"/>
    <cellStyle name="40% - Accent2 3 2 4 3 2 3" xfId="15586" xr:uid="{00000000-0005-0000-0000-0000113D0000}"/>
    <cellStyle name="40% - Accent2 3 2 4 3 3" xfId="15587" xr:uid="{00000000-0005-0000-0000-0000123D0000}"/>
    <cellStyle name="40% - Accent2 3 2 4 3 3 2" xfId="15588" xr:uid="{00000000-0005-0000-0000-0000133D0000}"/>
    <cellStyle name="40% - Accent2 3 2 4 3 4" xfId="15589" xr:uid="{00000000-0005-0000-0000-0000143D0000}"/>
    <cellStyle name="40% - Accent2 3 2 4 4" xfId="15590" xr:uid="{00000000-0005-0000-0000-0000153D0000}"/>
    <cellStyle name="40% - Accent2 3 2 4 4 2" xfId="15591" xr:uid="{00000000-0005-0000-0000-0000163D0000}"/>
    <cellStyle name="40% - Accent2 3 2 4 4 2 2" xfId="15592" xr:uid="{00000000-0005-0000-0000-0000173D0000}"/>
    <cellStyle name="40% - Accent2 3 2 4 4 3" xfId="15593" xr:uid="{00000000-0005-0000-0000-0000183D0000}"/>
    <cellStyle name="40% - Accent2 3 2 4 5" xfId="15594" xr:uid="{00000000-0005-0000-0000-0000193D0000}"/>
    <cellStyle name="40% - Accent2 3 2 4 5 2" xfId="15595" xr:uid="{00000000-0005-0000-0000-00001A3D0000}"/>
    <cellStyle name="40% - Accent2 3 2 4 6" xfId="15596" xr:uid="{00000000-0005-0000-0000-00001B3D0000}"/>
    <cellStyle name="40% - Accent2 3 2 5" xfId="15597" xr:uid="{00000000-0005-0000-0000-00001C3D0000}"/>
    <cellStyle name="40% - Accent2 3 2 5 2" xfId="15598" xr:uid="{00000000-0005-0000-0000-00001D3D0000}"/>
    <cellStyle name="40% - Accent2 3 2 5 2 2" xfId="15599" xr:uid="{00000000-0005-0000-0000-00001E3D0000}"/>
    <cellStyle name="40% - Accent2 3 2 5 2 2 2" xfId="15600" xr:uid="{00000000-0005-0000-0000-00001F3D0000}"/>
    <cellStyle name="40% - Accent2 3 2 5 2 2 2 2" xfId="15601" xr:uid="{00000000-0005-0000-0000-0000203D0000}"/>
    <cellStyle name="40% - Accent2 3 2 5 2 2 3" xfId="15602" xr:uid="{00000000-0005-0000-0000-0000213D0000}"/>
    <cellStyle name="40% - Accent2 3 2 5 2 3" xfId="15603" xr:uid="{00000000-0005-0000-0000-0000223D0000}"/>
    <cellStyle name="40% - Accent2 3 2 5 2 3 2" xfId="15604" xr:uid="{00000000-0005-0000-0000-0000233D0000}"/>
    <cellStyle name="40% - Accent2 3 2 5 2 4" xfId="15605" xr:uid="{00000000-0005-0000-0000-0000243D0000}"/>
    <cellStyle name="40% - Accent2 3 2 5 3" xfId="15606" xr:uid="{00000000-0005-0000-0000-0000253D0000}"/>
    <cellStyle name="40% - Accent2 3 2 5 3 2" xfId="15607" xr:uid="{00000000-0005-0000-0000-0000263D0000}"/>
    <cellStyle name="40% - Accent2 3 2 5 3 2 2" xfId="15608" xr:uid="{00000000-0005-0000-0000-0000273D0000}"/>
    <cellStyle name="40% - Accent2 3 2 5 3 3" xfId="15609" xr:uid="{00000000-0005-0000-0000-0000283D0000}"/>
    <cellStyle name="40% - Accent2 3 2 5 4" xfId="15610" xr:uid="{00000000-0005-0000-0000-0000293D0000}"/>
    <cellStyle name="40% - Accent2 3 2 5 4 2" xfId="15611" xr:uid="{00000000-0005-0000-0000-00002A3D0000}"/>
    <cellStyle name="40% - Accent2 3 2 5 5" xfId="15612" xr:uid="{00000000-0005-0000-0000-00002B3D0000}"/>
    <cellStyle name="40% - Accent2 3 2 6" xfId="15613" xr:uid="{00000000-0005-0000-0000-00002C3D0000}"/>
    <cellStyle name="40% - Accent2 3 2 6 2" xfId="15614" xr:uid="{00000000-0005-0000-0000-00002D3D0000}"/>
    <cellStyle name="40% - Accent2 3 2 6 2 2" xfId="15615" xr:uid="{00000000-0005-0000-0000-00002E3D0000}"/>
    <cellStyle name="40% - Accent2 3 2 6 2 2 2" xfId="15616" xr:uid="{00000000-0005-0000-0000-00002F3D0000}"/>
    <cellStyle name="40% - Accent2 3 2 6 2 3" xfId="15617" xr:uid="{00000000-0005-0000-0000-0000303D0000}"/>
    <cellStyle name="40% - Accent2 3 2 6 3" xfId="15618" xr:uid="{00000000-0005-0000-0000-0000313D0000}"/>
    <cellStyle name="40% - Accent2 3 2 6 3 2" xfId="15619" xr:uid="{00000000-0005-0000-0000-0000323D0000}"/>
    <cellStyle name="40% - Accent2 3 2 6 4" xfId="15620" xr:uid="{00000000-0005-0000-0000-0000333D0000}"/>
    <cellStyle name="40% - Accent2 3 2 7" xfId="15621" xr:uid="{00000000-0005-0000-0000-0000343D0000}"/>
    <cellStyle name="40% - Accent2 3 2 7 2" xfId="15622" xr:uid="{00000000-0005-0000-0000-0000353D0000}"/>
    <cellStyle name="40% - Accent2 3 2 7 2 2" xfId="15623" xr:uid="{00000000-0005-0000-0000-0000363D0000}"/>
    <cellStyle name="40% - Accent2 3 2 7 3" xfId="15624" xr:uid="{00000000-0005-0000-0000-0000373D0000}"/>
    <cellStyle name="40% - Accent2 3 2 8" xfId="15625" xr:uid="{00000000-0005-0000-0000-0000383D0000}"/>
    <cellStyle name="40% - Accent2 3 2 8 2" xfId="15626" xr:uid="{00000000-0005-0000-0000-0000393D0000}"/>
    <cellStyle name="40% - Accent2 3 2 9" xfId="15627" xr:uid="{00000000-0005-0000-0000-00003A3D0000}"/>
    <cellStyle name="40% - Accent2 3 3" xfId="15628" xr:uid="{00000000-0005-0000-0000-00003B3D0000}"/>
    <cellStyle name="40% - Accent2 3 3 2" xfId="15629" xr:uid="{00000000-0005-0000-0000-00003C3D0000}"/>
    <cellStyle name="40% - Accent2 3 3 2 2" xfId="15630" xr:uid="{00000000-0005-0000-0000-00003D3D0000}"/>
    <cellStyle name="40% - Accent2 3 3 2 2 2" xfId="15631" xr:uid="{00000000-0005-0000-0000-00003E3D0000}"/>
    <cellStyle name="40% - Accent2 3 3 2 2 2 2" xfId="15632" xr:uid="{00000000-0005-0000-0000-00003F3D0000}"/>
    <cellStyle name="40% - Accent2 3 3 2 2 2 2 2" xfId="15633" xr:uid="{00000000-0005-0000-0000-0000403D0000}"/>
    <cellStyle name="40% - Accent2 3 3 2 2 2 2 2 2" xfId="15634" xr:uid="{00000000-0005-0000-0000-0000413D0000}"/>
    <cellStyle name="40% - Accent2 3 3 2 2 2 2 2 2 2" xfId="15635" xr:uid="{00000000-0005-0000-0000-0000423D0000}"/>
    <cellStyle name="40% - Accent2 3 3 2 2 2 2 2 3" xfId="15636" xr:uid="{00000000-0005-0000-0000-0000433D0000}"/>
    <cellStyle name="40% - Accent2 3 3 2 2 2 2 3" xfId="15637" xr:uid="{00000000-0005-0000-0000-0000443D0000}"/>
    <cellStyle name="40% - Accent2 3 3 2 2 2 2 3 2" xfId="15638" xr:uid="{00000000-0005-0000-0000-0000453D0000}"/>
    <cellStyle name="40% - Accent2 3 3 2 2 2 2 4" xfId="15639" xr:uid="{00000000-0005-0000-0000-0000463D0000}"/>
    <cellStyle name="40% - Accent2 3 3 2 2 2 3" xfId="15640" xr:uid="{00000000-0005-0000-0000-0000473D0000}"/>
    <cellStyle name="40% - Accent2 3 3 2 2 2 3 2" xfId="15641" xr:uid="{00000000-0005-0000-0000-0000483D0000}"/>
    <cellStyle name="40% - Accent2 3 3 2 2 2 3 2 2" xfId="15642" xr:uid="{00000000-0005-0000-0000-0000493D0000}"/>
    <cellStyle name="40% - Accent2 3 3 2 2 2 3 3" xfId="15643" xr:uid="{00000000-0005-0000-0000-00004A3D0000}"/>
    <cellStyle name="40% - Accent2 3 3 2 2 2 4" xfId="15644" xr:uid="{00000000-0005-0000-0000-00004B3D0000}"/>
    <cellStyle name="40% - Accent2 3 3 2 2 2 4 2" xfId="15645" xr:uid="{00000000-0005-0000-0000-00004C3D0000}"/>
    <cellStyle name="40% - Accent2 3 3 2 2 2 5" xfId="15646" xr:uid="{00000000-0005-0000-0000-00004D3D0000}"/>
    <cellStyle name="40% - Accent2 3 3 2 2 3" xfId="15647" xr:uid="{00000000-0005-0000-0000-00004E3D0000}"/>
    <cellStyle name="40% - Accent2 3 3 2 2 3 2" xfId="15648" xr:uid="{00000000-0005-0000-0000-00004F3D0000}"/>
    <cellStyle name="40% - Accent2 3 3 2 2 3 2 2" xfId="15649" xr:uid="{00000000-0005-0000-0000-0000503D0000}"/>
    <cellStyle name="40% - Accent2 3 3 2 2 3 2 2 2" xfId="15650" xr:uid="{00000000-0005-0000-0000-0000513D0000}"/>
    <cellStyle name="40% - Accent2 3 3 2 2 3 2 3" xfId="15651" xr:uid="{00000000-0005-0000-0000-0000523D0000}"/>
    <cellStyle name="40% - Accent2 3 3 2 2 3 3" xfId="15652" xr:uid="{00000000-0005-0000-0000-0000533D0000}"/>
    <cellStyle name="40% - Accent2 3 3 2 2 3 3 2" xfId="15653" xr:uid="{00000000-0005-0000-0000-0000543D0000}"/>
    <cellStyle name="40% - Accent2 3 3 2 2 3 4" xfId="15654" xr:uid="{00000000-0005-0000-0000-0000553D0000}"/>
    <cellStyle name="40% - Accent2 3 3 2 2 4" xfId="15655" xr:uid="{00000000-0005-0000-0000-0000563D0000}"/>
    <cellStyle name="40% - Accent2 3 3 2 2 4 2" xfId="15656" xr:uid="{00000000-0005-0000-0000-0000573D0000}"/>
    <cellStyle name="40% - Accent2 3 3 2 2 4 2 2" xfId="15657" xr:uid="{00000000-0005-0000-0000-0000583D0000}"/>
    <cellStyle name="40% - Accent2 3 3 2 2 4 3" xfId="15658" xr:uid="{00000000-0005-0000-0000-0000593D0000}"/>
    <cellStyle name="40% - Accent2 3 3 2 2 5" xfId="15659" xr:uid="{00000000-0005-0000-0000-00005A3D0000}"/>
    <cellStyle name="40% - Accent2 3 3 2 2 5 2" xfId="15660" xr:uid="{00000000-0005-0000-0000-00005B3D0000}"/>
    <cellStyle name="40% - Accent2 3 3 2 2 6" xfId="15661" xr:uid="{00000000-0005-0000-0000-00005C3D0000}"/>
    <cellStyle name="40% - Accent2 3 3 2 3" xfId="15662" xr:uid="{00000000-0005-0000-0000-00005D3D0000}"/>
    <cellStyle name="40% - Accent2 3 3 2 3 2" xfId="15663" xr:uid="{00000000-0005-0000-0000-00005E3D0000}"/>
    <cellStyle name="40% - Accent2 3 3 2 3 2 2" xfId="15664" xr:uid="{00000000-0005-0000-0000-00005F3D0000}"/>
    <cellStyle name="40% - Accent2 3 3 2 3 2 2 2" xfId="15665" xr:uid="{00000000-0005-0000-0000-0000603D0000}"/>
    <cellStyle name="40% - Accent2 3 3 2 3 2 2 2 2" xfId="15666" xr:uid="{00000000-0005-0000-0000-0000613D0000}"/>
    <cellStyle name="40% - Accent2 3 3 2 3 2 2 3" xfId="15667" xr:uid="{00000000-0005-0000-0000-0000623D0000}"/>
    <cellStyle name="40% - Accent2 3 3 2 3 2 3" xfId="15668" xr:uid="{00000000-0005-0000-0000-0000633D0000}"/>
    <cellStyle name="40% - Accent2 3 3 2 3 2 3 2" xfId="15669" xr:uid="{00000000-0005-0000-0000-0000643D0000}"/>
    <cellStyle name="40% - Accent2 3 3 2 3 2 4" xfId="15670" xr:uid="{00000000-0005-0000-0000-0000653D0000}"/>
    <cellStyle name="40% - Accent2 3 3 2 3 3" xfId="15671" xr:uid="{00000000-0005-0000-0000-0000663D0000}"/>
    <cellStyle name="40% - Accent2 3 3 2 3 3 2" xfId="15672" xr:uid="{00000000-0005-0000-0000-0000673D0000}"/>
    <cellStyle name="40% - Accent2 3 3 2 3 3 2 2" xfId="15673" xr:uid="{00000000-0005-0000-0000-0000683D0000}"/>
    <cellStyle name="40% - Accent2 3 3 2 3 3 3" xfId="15674" xr:uid="{00000000-0005-0000-0000-0000693D0000}"/>
    <cellStyle name="40% - Accent2 3 3 2 3 4" xfId="15675" xr:uid="{00000000-0005-0000-0000-00006A3D0000}"/>
    <cellStyle name="40% - Accent2 3 3 2 3 4 2" xfId="15676" xr:uid="{00000000-0005-0000-0000-00006B3D0000}"/>
    <cellStyle name="40% - Accent2 3 3 2 3 5" xfId="15677" xr:uid="{00000000-0005-0000-0000-00006C3D0000}"/>
    <cellStyle name="40% - Accent2 3 3 2 4" xfId="15678" xr:uid="{00000000-0005-0000-0000-00006D3D0000}"/>
    <cellStyle name="40% - Accent2 3 3 2 4 2" xfId="15679" xr:uid="{00000000-0005-0000-0000-00006E3D0000}"/>
    <cellStyle name="40% - Accent2 3 3 2 4 2 2" xfId="15680" xr:uid="{00000000-0005-0000-0000-00006F3D0000}"/>
    <cellStyle name="40% - Accent2 3 3 2 4 2 2 2" xfId="15681" xr:uid="{00000000-0005-0000-0000-0000703D0000}"/>
    <cellStyle name="40% - Accent2 3 3 2 4 2 3" xfId="15682" xr:uid="{00000000-0005-0000-0000-0000713D0000}"/>
    <cellStyle name="40% - Accent2 3 3 2 4 3" xfId="15683" xr:uid="{00000000-0005-0000-0000-0000723D0000}"/>
    <cellStyle name="40% - Accent2 3 3 2 4 3 2" xfId="15684" xr:uid="{00000000-0005-0000-0000-0000733D0000}"/>
    <cellStyle name="40% - Accent2 3 3 2 4 4" xfId="15685" xr:uid="{00000000-0005-0000-0000-0000743D0000}"/>
    <cellStyle name="40% - Accent2 3 3 2 5" xfId="15686" xr:uid="{00000000-0005-0000-0000-0000753D0000}"/>
    <cellStyle name="40% - Accent2 3 3 2 5 2" xfId="15687" xr:uid="{00000000-0005-0000-0000-0000763D0000}"/>
    <cellStyle name="40% - Accent2 3 3 2 5 2 2" xfId="15688" xr:uid="{00000000-0005-0000-0000-0000773D0000}"/>
    <cellStyle name="40% - Accent2 3 3 2 5 3" xfId="15689" xr:uid="{00000000-0005-0000-0000-0000783D0000}"/>
    <cellStyle name="40% - Accent2 3 3 2 6" xfId="15690" xr:uid="{00000000-0005-0000-0000-0000793D0000}"/>
    <cellStyle name="40% - Accent2 3 3 2 6 2" xfId="15691" xr:uid="{00000000-0005-0000-0000-00007A3D0000}"/>
    <cellStyle name="40% - Accent2 3 3 2 7" xfId="15692" xr:uid="{00000000-0005-0000-0000-00007B3D0000}"/>
    <cellStyle name="40% - Accent2 3 3 3" xfId="15693" xr:uid="{00000000-0005-0000-0000-00007C3D0000}"/>
    <cellStyle name="40% - Accent2 3 3 3 2" xfId="15694" xr:uid="{00000000-0005-0000-0000-00007D3D0000}"/>
    <cellStyle name="40% - Accent2 3 3 3 2 2" xfId="15695" xr:uid="{00000000-0005-0000-0000-00007E3D0000}"/>
    <cellStyle name="40% - Accent2 3 3 3 2 2 2" xfId="15696" xr:uid="{00000000-0005-0000-0000-00007F3D0000}"/>
    <cellStyle name="40% - Accent2 3 3 3 2 2 2 2" xfId="15697" xr:uid="{00000000-0005-0000-0000-0000803D0000}"/>
    <cellStyle name="40% - Accent2 3 3 3 2 2 2 2 2" xfId="15698" xr:uid="{00000000-0005-0000-0000-0000813D0000}"/>
    <cellStyle name="40% - Accent2 3 3 3 2 2 2 3" xfId="15699" xr:uid="{00000000-0005-0000-0000-0000823D0000}"/>
    <cellStyle name="40% - Accent2 3 3 3 2 2 3" xfId="15700" xr:uid="{00000000-0005-0000-0000-0000833D0000}"/>
    <cellStyle name="40% - Accent2 3 3 3 2 2 3 2" xfId="15701" xr:uid="{00000000-0005-0000-0000-0000843D0000}"/>
    <cellStyle name="40% - Accent2 3 3 3 2 2 4" xfId="15702" xr:uid="{00000000-0005-0000-0000-0000853D0000}"/>
    <cellStyle name="40% - Accent2 3 3 3 2 3" xfId="15703" xr:uid="{00000000-0005-0000-0000-0000863D0000}"/>
    <cellStyle name="40% - Accent2 3 3 3 2 3 2" xfId="15704" xr:uid="{00000000-0005-0000-0000-0000873D0000}"/>
    <cellStyle name="40% - Accent2 3 3 3 2 3 2 2" xfId="15705" xr:uid="{00000000-0005-0000-0000-0000883D0000}"/>
    <cellStyle name="40% - Accent2 3 3 3 2 3 3" xfId="15706" xr:uid="{00000000-0005-0000-0000-0000893D0000}"/>
    <cellStyle name="40% - Accent2 3 3 3 2 4" xfId="15707" xr:uid="{00000000-0005-0000-0000-00008A3D0000}"/>
    <cellStyle name="40% - Accent2 3 3 3 2 4 2" xfId="15708" xr:uid="{00000000-0005-0000-0000-00008B3D0000}"/>
    <cellStyle name="40% - Accent2 3 3 3 2 5" xfId="15709" xr:uid="{00000000-0005-0000-0000-00008C3D0000}"/>
    <cellStyle name="40% - Accent2 3 3 3 3" xfId="15710" xr:uid="{00000000-0005-0000-0000-00008D3D0000}"/>
    <cellStyle name="40% - Accent2 3 3 3 3 2" xfId="15711" xr:uid="{00000000-0005-0000-0000-00008E3D0000}"/>
    <cellStyle name="40% - Accent2 3 3 3 3 2 2" xfId="15712" xr:uid="{00000000-0005-0000-0000-00008F3D0000}"/>
    <cellStyle name="40% - Accent2 3 3 3 3 2 2 2" xfId="15713" xr:uid="{00000000-0005-0000-0000-0000903D0000}"/>
    <cellStyle name="40% - Accent2 3 3 3 3 2 3" xfId="15714" xr:uid="{00000000-0005-0000-0000-0000913D0000}"/>
    <cellStyle name="40% - Accent2 3 3 3 3 3" xfId="15715" xr:uid="{00000000-0005-0000-0000-0000923D0000}"/>
    <cellStyle name="40% - Accent2 3 3 3 3 3 2" xfId="15716" xr:uid="{00000000-0005-0000-0000-0000933D0000}"/>
    <cellStyle name="40% - Accent2 3 3 3 3 4" xfId="15717" xr:uid="{00000000-0005-0000-0000-0000943D0000}"/>
    <cellStyle name="40% - Accent2 3 3 3 4" xfId="15718" xr:uid="{00000000-0005-0000-0000-0000953D0000}"/>
    <cellStyle name="40% - Accent2 3 3 3 4 2" xfId="15719" xr:uid="{00000000-0005-0000-0000-0000963D0000}"/>
    <cellStyle name="40% - Accent2 3 3 3 4 2 2" xfId="15720" xr:uid="{00000000-0005-0000-0000-0000973D0000}"/>
    <cellStyle name="40% - Accent2 3 3 3 4 3" xfId="15721" xr:uid="{00000000-0005-0000-0000-0000983D0000}"/>
    <cellStyle name="40% - Accent2 3 3 3 5" xfId="15722" xr:uid="{00000000-0005-0000-0000-0000993D0000}"/>
    <cellStyle name="40% - Accent2 3 3 3 5 2" xfId="15723" xr:uid="{00000000-0005-0000-0000-00009A3D0000}"/>
    <cellStyle name="40% - Accent2 3 3 3 6" xfId="15724" xr:uid="{00000000-0005-0000-0000-00009B3D0000}"/>
    <cellStyle name="40% - Accent2 3 3 4" xfId="15725" xr:uid="{00000000-0005-0000-0000-00009C3D0000}"/>
    <cellStyle name="40% - Accent2 3 3 4 2" xfId="15726" xr:uid="{00000000-0005-0000-0000-00009D3D0000}"/>
    <cellStyle name="40% - Accent2 3 3 4 2 2" xfId="15727" xr:uid="{00000000-0005-0000-0000-00009E3D0000}"/>
    <cellStyle name="40% - Accent2 3 3 4 2 2 2" xfId="15728" xr:uid="{00000000-0005-0000-0000-00009F3D0000}"/>
    <cellStyle name="40% - Accent2 3 3 4 2 2 2 2" xfId="15729" xr:uid="{00000000-0005-0000-0000-0000A03D0000}"/>
    <cellStyle name="40% - Accent2 3 3 4 2 2 3" xfId="15730" xr:uid="{00000000-0005-0000-0000-0000A13D0000}"/>
    <cellStyle name="40% - Accent2 3 3 4 2 3" xfId="15731" xr:uid="{00000000-0005-0000-0000-0000A23D0000}"/>
    <cellStyle name="40% - Accent2 3 3 4 2 3 2" xfId="15732" xr:uid="{00000000-0005-0000-0000-0000A33D0000}"/>
    <cellStyle name="40% - Accent2 3 3 4 2 4" xfId="15733" xr:uid="{00000000-0005-0000-0000-0000A43D0000}"/>
    <cellStyle name="40% - Accent2 3 3 4 3" xfId="15734" xr:uid="{00000000-0005-0000-0000-0000A53D0000}"/>
    <cellStyle name="40% - Accent2 3 3 4 3 2" xfId="15735" xr:uid="{00000000-0005-0000-0000-0000A63D0000}"/>
    <cellStyle name="40% - Accent2 3 3 4 3 2 2" xfId="15736" xr:uid="{00000000-0005-0000-0000-0000A73D0000}"/>
    <cellStyle name="40% - Accent2 3 3 4 3 3" xfId="15737" xr:uid="{00000000-0005-0000-0000-0000A83D0000}"/>
    <cellStyle name="40% - Accent2 3 3 4 4" xfId="15738" xr:uid="{00000000-0005-0000-0000-0000A93D0000}"/>
    <cellStyle name="40% - Accent2 3 3 4 4 2" xfId="15739" xr:uid="{00000000-0005-0000-0000-0000AA3D0000}"/>
    <cellStyle name="40% - Accent2 3 3 4 5" xfId="15740" xr:uid="{00000000-0005-0000-0000-0000AB3D0000}"/>
    <cellStyle name="40% - Accent2 3 3 5" xfId="15741" xr:uid="{00000000-0005-0000-0000-0000AC3D0000}"/>
    <cellStyle name="40% - Accent2 3 3 5 2" xfId="15742" xr:uid="{00000000-0005-0000-0000-0000AD3D0000}"/>
    <cellStyle name="40% - Accent2 3 3 5 2 2" xfId="15743" xr:uid="{00000000-0005-0000-0000-0000AE3D0000}"/>
    <cellStyle name="40% - Accent2 3 3 5 2 2 2" xfId="15744" xr:uid="{00000000-0005-0000-0000-0000AF3D0000}"/>
    <cellStyle name="40% - Accent2 3 3 5 2 3" xfId="15745" xr:uid="{00000000-0005-0000-0000-0000B03D0000}"/>
    <cellStyle name="40% - Accent2 3 3 5 3" xfId="15746" xr:uid="{00000000-0005-0000-0000-0000B13D0000}"/>
    <cellStyle name="40% - Accent2 3 3 5 3 2" xfId="15747" xr:uid="{00000000-0005-0000-0000-0000B23D0000}"/>
    <cellStyle name="40% - Accent2 3 3 5 4" xfId="15748" xr:uid="{00000000-0005-0000-0000-0000B33D0000}"/>
    <cellStyle name="40% - Accent2 3 3 6" xfId="15749" xr:uid="{00000000-0005-0000-0000-0000B43D0000}"/>
    <cellStyle name="40% - Accent2 3 3 6 2" xfId="15750" xr:uid="{00000000-0005-0000-0000-0000B53D0000}"/>
    <cellStyle name="40% - Accent2 3 3 6 2 2" xfId="15751" xr:uid="{00000000-0005-0000-0000-0000B63D0000}"/>
    <cellStyle name="40% - Accent2 3 3 6 3" xfId="15752" xr:uid="{00000000-0005-0000-0000-0000B73D0000}"/>
    <cellStyle name="40% - Accent2 3 3 7" xfId="15753" xr:uid="{00000000-0005-0000-0000-0000B83D0000}"/>
    <cellStyle name="40% - Accent2 3 3 7 2" xfId="15754" xr:uid="{00000000-0005-0000-0000-0000B93D0000}"/>
    <cellStyle name="40% - Accent2 3 3 8" xfId="15755" xr:uid="{00000000-0005-0000-0000-0000BA3D0000}"/>
    <cellStyle name="40% - Accent2 3 4" xfId="15756" xr:uid="{00000000-0005-0000-0000-0000BB3D0000}"/>
    <cellStyle name="40% - Accent2 3 4 2" xfId="15757" xr:uid="{00000000-0005-0000-0000-0000BC3D0000}"/>
    <cellStyle name="40% - Accent2 3 4 2 2" xfId="15758" xr:uid="{00000000-0005-0000-0000-0000BD3D0000}"/>
    <cellStyle name="40% - Accent2 3 4 2 2 2" xfId="15759" xr:uid="{00000000-0005-0000-0000-0000BE3D0000}"/>
    <cellStyle name="40% - Accent2 3 4 2 2 2 2" xfId="15760" xr:uid="{00000000-0005-0000-0000-0000BF3D0000}"/>
    <cellStyle name="40% - Accent2 3 4 2 2 2 2 2" xfId="15761" xr:uid="{00000000-0005-0000-0000-0000C03D0000}"/>
    <cellStyle name="40% - Accent2 3 4 2 2 2 2 2 2" xfId="15762" xr:uid="{00000000-0005-0000-0000-0000C13D0000}"/>
    <cellStyle name="40% - Accent2 3 4 2 2 2 2 3" xfId="15763" xr:uid="{00000000-0005-0000-0000-0000C23D0000}"/>
    <cellStyle name="40% - Accent2 3 4 2 2 2 3" xfId="15764" xr:uid="{00000000-0005-0000-0000-0000C33D0000}"/>
    <cellStyle name="40% - Accent2 3 4 2 2 2 3 2" xfId="15765" xr:uid="{00000000-0005-0000-0000-0000C43D0000}"/>
    <cellStyle name="40% - Accent2 3 4 2 2 2 4" xfId="15766" xr:uid="{00000000-0005-0000-0000-0000C53D0000}"/>
    <cellStyle name="40% - Accent2 3 4 2 2 3" xfId="15767" xr:uid="{00000000-0005-0000-0000-0000C63D0000}"/>
    <cellStyle name="40% - Accent2 3 4 2 2 3 2" xfId="15768" xr:uid="{00000000-0005-0000-0000-0000C73D0000}"/>
    <cellStyle name="40% - Accent2 3 4 2 2 3 2 2" xfId="15769" xr:uid="{00000000-0005-0000-0000-0000C83D0000}"/>
    <cellStyle name="40% - Accent2 3 4 2 2 3 3" xfId="15770" xr:uid="{00000000-0005-0000-0000-0000C93D0000}"/>
    <cellStyle name="40% - Accent2 3 4 2 2 4" xfId="15771" xr:uid="{00000000-0005-0000-0000-0000CA3D0000}"/>
    <cellStyle name="40% - Accent2 3 4 2 2 4 2" xfId="15772" xr:uid="{00000000-0005-0000-0000-0000CB3D0000}"/>
    <cellStyle name="40% - Accent2 3 4 2 2 5" xfId="15773" xr:uid="{00000000-0005-0000-0000-0000CC3D0000}"/>
    <cellStyle name="40% - Accent2 3 4 2 3" xfId="15774" xr:uid="{00000000-0005-0000-0000-0000CD3D0000}"/>
    <cellStyle name="40% - Accent2 3 4 2 3 2" xfId="15775" xr:uid="{00000000-0005-0000-0000-0000CE3D0000}"/>
    <cellStyle name="40% - Accent2 3 4 2 3 2 2" xfId="15776" xr:uid="{00000000-0005-0000-0000-0000CF3D0000}"/>
    <cellStyle name="40% - Accent2 3 4 2 3 2 2 2" xfId="15777" xr:uid="{00000000-0005-0000-0000-0000D03D0000}"/>
    <cellStyle name="40% - Accent2 3 4 2 3 2 3" xfId="15778" xr:uid="{00000000-0005-0000-0000-0000D13D0000}"/>
    <cellStyle name="40% - Accent2 3 4 2 3 3" xfId="15779" xr:uid="{00000000-0005-0000-0000-0000D23D0000}"/>
    <cellStyle name="40% - Accent2 3 4 2 3 3 2" xfId="15780" xr:uid="{00000000-0005-0000-0000-0000D33D0000}"/>
    <cellStyle name="40% - Accent2 3 4 2 3 4" xfId="15781" xr:uid="{00000000-0005-0000-0000-0000D43D0000}"/>
    <cellStyle name="40% - Accent2 3 4 2 4" xfId="15782" xr:uid="{00000000-0005-0000-0000-0000D53D0000}"/>
    <cellStyle name="40% - Accent2 3 4 2 4 2" xfId="15783" xr:uid="{00000000-0005-0000-0000-0000D63D0000}"/>
    <cellStyle name="40% - Accent2 3 4 2 4 2 2" xfId="15784" xr:uid="{00000000-0005-0000-0000-0000D73D0000}"/>
    <cellStyle name="40% - Accent2 3 4 2 4 3" xfId="15785" xr:uid="{00000000-0005-0000-0000-0000D83D0000}"/>
    <cellStyle name="40% - Accent2 3 4 2 5" xfId="15786" xr:uid="{00000000-0005-0000-0000-0000D93D0000}"/>
    <cellStyle name="40% - Accent2 3 4 2 5 2" xfId="15787" xr:uid="{00000000-0005-0000-0000-0000DA3D0000}"/>
    <cellStyle name="40% - Accent2 3 4 2 6" xfId="15788" xr:uid="{00000000-0005-0000-0000-0000DB3D0000}"/>
    <cellStyle name="40% - Accent2 3 4 3" xfId="15789" xr:uid="{00000000-0005-0000-0000-0000DC3D0000}"/>
    <cellStyle name="40% - Accent2 3 4 3 2" xfId="15790" xr:uid="{00000000-0005-0000-0000-0000DD3D0000}"/>
    <cellStyle name="40% - Accent2 3 4 3 2 2" xfId="15791" xr:uid="{00000000-0005-0000-0000-0000DE3D0000}"/>
    <cellStyle name="40% - Accent2 3 4 3 2 2 2" xfId="15792" xr:uid="{00000000-0005-0000-0000-0000DF3D0000}"/>
    <cellStyle name="40% - Accent2 3 4 3 2 2 2 2" xfId="15793" xr:uid="{00000000-0005-0000-0000-0000E03D0000}"/>
    <cellStyle name="40% - Accent2 3 4 3 2 2 3" xfId="15794" xr:uid="{00000000-0005-0000-0000-0000E13D0000}"/>
    <cellStyle name="40% - Accent2 3 4 3 2 3" xfId="15795" xr:uid="{00000000-0005-0000-0000-0000E23D0000}"/>
    <cellStyle name="40% - Accent2 3 4 3 2 3 2" xfId="15796" xr:uid="{00000000-0005-0000-0000-0000E33D0000}"/>
    <cellStyle name="40% - Accent2 3 4 3 2 4" xfId="15797" xr:uid="{00000000-0005-0000-0000-0000E43D0000}"/>
    <cellStyle name="40% - Accent2 3 4 3 3" xfId="15798" xr:uid="{00000000-0005-0000-0000-0000E53D0000}"/>
    <cellStyle name="40% - Accent2 3 4 3 3 2" xfId="15799" xr:uid="{00000000-0005-0000-0000-0000E63D0000}"/>
    <cellStyle name="40% - Accent2 3 4 3 3 2 2" xfId="15800" xr:uid="{00000000-0005-0000-0000-0000E73D0000}"/>
    <cellStyle name="40% - Accent2 3 4 3 3 3" xfId="15801" xr:uid="{00000000-0005-0000-0000-0000E83D0000}"/>
    <cellStyle name="40% - Accent2 3 4 3 4" xfId="15802" xr:uid="{00000000-0005-0000-0000-0000E93D0000}"/>
    <cellStyle name="40% - Accent2 3 4 3 4 2" xfId="15803" xr:uid="{00000000-0005-0000-0000-0000EA3D0000}"/>
    <cellStyle name="40% - Accent2 3 4 3 5" xfId="15804" xr:uid="{00000000-0005-0000-0000-0000EB3D0000}"/>
    <cellStyle name="40% - Accent2 3 4 4" xfId="15805" xr:uid="{00000000-0005-0000-0000-0000EC3D0000}"/>
    <cellStyle name="40% - Accent2 3 4 4 2" xfId="15806" xr:uid="{00000000-0005-0000-0000-0000ED3D0000}"/>
    <cellStyle name="40% - Accent2 3 4 4 2 2" xfId="15807" xr:uid="{00000000-0005-0000-0000-0000EE3D0000}"/>
    <cellStyle name="40% - Accent2 3 4 4 2 2 2" xfId="15808" xr:uid="{00000000-0005-0000-0000-0000EF3D0000}"/>
    <cellStyle name="40% - Accent2 3 4 4 2 3" xfId="15809" xr:uid="{00000000-0005-0000-0000-0000F03D0000}"/>
    <cellStyle name="40% - Accent2 3 4 4 3" xfId="15810" xr:uid="{00000000-0005-0000-0000-0000F13D0000}"/>
    <cellStyle name="40% - Accent2 3 4 4 3 2" xfId="15811" xr:uid="{00000000-0005-0000-0000-0000F23D0000}"/>
    <cellStyle name="40% - Accent2 3 4 4 4" xfId="15812" xr:uid="{00000000-0005-0000-0000-0000F33D0000}"/>
    <cellStyle name="40% - Accent2 3 4 5" xfId="15813" xr:uid="{00000000-0005-0000-0000-0000F43D0000}"/>
    <cellStyle name="40% - Accent2 3 4 5 2" xfId="15814" xr:uid="{00000000-0005-0000-0000-0000F53D0000}"/>
    <cellStyle name="40% - Accent2 3 4 5 2 2" xfId="15815" xr:uid="{00000000-0005-0000-0000-0000F63D0000}"/>
    <cellStyle name="40% - Accent2 3 4 5 3" xfId="15816" xr:uid="{00000000-0005-0000-0000-0000F73D0000}"/>
    <cellStyle name="40% - Accent2 3 4 6" xfId="15817" xr:uid="{00000000-0005-0000-0000-0000F83D0000}"/>
    <cellStyle name="40% - Accent2 3 4 6 2" xfId="15818" xr:uid="{00000000-0005-0000-0000-0000F93D0000}"/>
    <cellStyle name="40% - Accent2 3 4 7" xfId="15819" xr:uid="{00000000-0005-0000-0000-0000FA3D0000}"/>
    <cellStyle name="40% - Accent2 3 5" xfId="15820" xr:uid="{00000000-0005-0000-0000-0000FB3D0000}"/>
    <cellStyle name="40% - Accent2 3 5 2" xfId="15821" xr:uid="{00000000-0005-0000-0000-0000FC3D0000}"/>
    <cellStyle name="40% - Accent2 3 5 2 2" xfId="15822" xr:uid="{00000000-0005-0000-0000-0000FD3D0000}"/>
    <cellStyle name="40% - Accent2 3 5 2 2 2" xfId="15823" xr:uid="{00000000-0005-0000-0000-0000FE3D0000}"/>
    <cellStyle name="40% - Accent2 3 5 2 2 2 2" xfId="15824" xr:uid="{00000000-0005-0000-0000-0000FF3D0000}"/>
    <cellStyle name="40% - Accent2 3 5 2 2 2 2 2" xfId="15825" xr:uid="{00000000-0005-0000-0000-0000003E0000}"/>
    <cellStyle name="40% - Accent2 3 5 2 2 2 3" xfId="15826" xr:uid="{00000000-0005-0000-0000-0000013E0000}"/>
    <cellStyle name="40% - Accent2 3 5 2 2 3" xfId="15827" xr:uid="{00000000-0005-0000-0000-0000023E0000}"/>
    <cellStyle name="40% - Accent2 3 5 2 2 3 2" xfId="15828" xr:uid="{00000000-0005-0000-0000-0000033E0000}"/>
    <cellStyle name="40% - Accent2 3 5 2 2 4" xfId="15829" xr:uid="{00000000-0005-0000-0000-0000043E0000}"/>
    <cellStyle name="40% - Accent2 3 5 2 3" xfId="15830" xr:uid="{00000000-0005-0000-0000-0000053E0000}"/>
    <cellStyle name="40% - Accent2 3 5 2 3 2" xfId="15831" xr:uid="{00000000-0005-0000-0000-0000063E0000}"/>
    <cellStyle name="40% - Accent2 3 5 2 3 2 2" xfId="15832" xr:uid="{00000000-0005-0000-0000-0000073E0000}"/>
    <cellStyle name="40% - Accent2 3 5 2 3 3" xfId="15833" xr:uid="{00000000-0005-0000-0000-0000083E0000}"/>
    <cellStyle name="40% - Accent2 3 5 2 4" xfId="15834" xr:uid="{00000000-0005-0000-0000-0000093E0000}"/>
    <cellStyle name="40% - Accent2 3 5 2 4 2" xfId="15835" xr:uid="{00000000-0005-0000-0000-00000A3E0000}"/>
    <cellStyle name="40% - Accent2 3 5 2 5" xfId="15836" xr:uid="{00000000-0005-0000-0000-00000B3E0000}"/>
    <cellStyle name="40% - Accent2 3 5 3" xfId="15837" xr:uid="{00000000-0005-0000-0000-00000C3E0000}"/>
    <cellStyle name="40% - Accent2 3 5 3 2" xfId="15838" xr:uid="{00000000-0005-0000-0000-00000D3E0000}"/>
    <cellStyle name="40% - Accent2 3 5 3 2 2" xfId="15839" xr:uid="{00000000-0005-0000-0000-00000E3E0000}"/>
    <cellStyle name="40% - Accent2 3 5 3 2 2 2" xfId="15840" xr:uid="{00000000-0005-0000-0000-00000F3E0000}"/>
    <cellStyle name="40% - Accent2 3 5 3 2 3" xfId="15841" xr:uid="{00000000-0005-0000-0000-0000103E0000}"/>
    <cellStyle name="40% - Accent2 3 5 3 3" xfId="15842" xr:uid="{00000000-0005-0000-0000-0000113E0000}"/>
    <cellStyle name="40% - Accent2 3 5 3 3 2" xfId="15843" xr:uid="{00000000-0005-0000-0000-0000123E0000}"/>
    <cellStyle name="40% - Accent2 3 5 3 4" xfId="15844" xr:uid="{00000000-0005-0000-0000-0000133E0000}"/>
    <cellStyle name="40% - Accent2 3 5 4" xfId="15845" xr:uid="{00000000-0005-0000-0000-0000143E0000}"/>
    <cellStyle name="40% - Accent2 3 5 4 2" xfId="15846" xr:uid="{00000000-0005-0000-0000-0000153E0000}"/>
    <cellStyle name="40% - Accent2 3 5 4 2 2" xfId="15847" xr:uid="{00000000-0005-0000-0000-0000163E0000}"/>
    <cellStyle name="40% - Accent2 3 5 4 3" xfId="15848" xr:uid="{00000000-0005-0000-0000-0000173E0000}"/>
    <cellStyle name="40% - Accent2 3 5 5" xfId="15849" xr:uid="{00000000-0005-0000-0000-0000183E0000}"/>
    <cellStyle name="40% - Accent2 3 5 5 2" xfId="15850" xr:uid="{00000000-0005-0000-0000-0000193E0000}"/>
    <cellStyle name="40% - Accent2 3 5 6" xfId="15851" xr:uid="{00000000-0005-0000-0000-00001A3E0000}"/>
    <cellStyle name="40% - Accent2 3 6" xfId="15852" xr:uid="{00000000-0005-0000-0000-00001B3E0000}"/>
    <cellStyle name="40% - Accent2 3 6 2" xfId="15853" xr:uid="{00000000-0005-0000-0000-00001C3E0000}"/>
    <cellStyle name="40% - Accent2 3 6 2 2" xfId="15854" xr:uid="{00000000-0005-0000-0000-00001D3E0000}"/>
    <cellStyle name="40% - Accent2 3 6 2 2 2" xfId="15855" xr:uid="{00000000-0005-0000-0000-00001E3E0000}"/>
    <cellStyle name="40% - Accent2 3 6 2 2 2 2" xfId="15856" xr:uid="{00000000-0005-0000-0000-00001F3E0000}"/>
    <cellStyle name="40% - Accent2 3 6 2 2 3" xfId="15857" xr:uid="{00000000-0005-0000-0000-0000203E0000}"/>
    <cellStyle name="40% - Accent2 3 6 2 3" xfId="15858" xr:uid="{00000000-0005-0000-0000-0000213E0000}"/>
    <cellStyle name="40% - Accent2 3 6 2 3 2" xfId="15859" xr:uid="{00000000-0005-0000-0000-0000223E0000}"/>
    <cellStyle name="40% - Accent2 3 6 2 4" xfId="15860" xr:uid="{00000000-0005-0000-0000-0000233E0000}"/>
    <cellStyle name="40% - Accent2 3 6 3" xfId="15861" xr:uid="{00000000-0005-0000-0000-0000243E0000}"/>
    <cellStyle name="40% - Accent2 3 6 3 2" xfId="15862" xr:uid="{00000000-0005-0000-0000-0000253E0000}"/>
    <cellStyle name="40% - Accent2 3 6 3 2 2" xfId="15863" xr:uid="{00000000-0005-0000-0000-0000263E0000}"/>
    <cellStyle name="40% - Accent2 3 6 3 3" xfId="15864" xr:uid="{00000000-0005-0000-0000-0000273E0000}"/>
    <cellStyle name="40% - Accent2 3 6 4" xfId="15865" xr:uid="{00000000-0005-0000-0000-0000283E0000}"/>
    <cellStyle name="40% - Accent2 3 6 4 2" xfId="15866" xr:uid="{00000000-0005-0000-0000-0000293E0000}"/>
    <cellStyle name="40% - Accent2 3 6 5" xfId="15867" xr:uid="{00000000-0005-0000-0000-00002A3E0000}"/>
    <cellStyle name="40% - Accent2 3 7" xfId="15868" xr:uid="{00000000-0005-0000-0000-00002B3E0000}"/>
    <cellStyle name="40% - Accent2 3 7 2" xfId="15869" xr:uid="{00000000-0005-0000-0000-00002C3E0000}"/>
    <cellStyle name="40% - Accent2 3 7 2 2" xfId="15870" xr:uid="{00000000-0005-0000-0000-00002D3E0000}"/>
    <cellStyle name="40% - Accent2 3 7 2 2 2" xfId="15871" xr:uid="{00000000-0005-0000-0000-00002E3E0000}"/>
    <cellStyle name="40% - Accent2 3 7 2 3" xfId="15872" xr:uid="{00000000-0005-0000-0000-00002F3E0000}"/>
    <cellStyle name="40% - Accent2 3 7 3" xfId="15873" xr:uid="{00000000-0005-0000-0000-0000303E0000}"/>
    <cellStyle name="40% - Accent2 3 7 3 2" xfId="15874" xr:uid="{00000000-0005-0000-0000-0000313E0000}"/>
    <cellStyle name="40% - Accent2 3 7 4" xfId="15875" xr:uid="{00000000-0005-0000-0000-0000323E0000}"/>
    <cellStyle name="40% - Accent2 3 8" xfId="15876" xr:uid="{00000000-0005-0000-0000-0000333E0000}"/>
    <cellStyle name="40% - Accent2 3 8 2" xfId="15877" xr:uid="{00000000-0005-0000-0000-0000343E0000}"/>
    <cellStyle name="40% - Accent2 3 8 2 2" xfId="15878" xr:uid="{00000000-0005-0000-0000-0000353E0000}"/>
    <cellStyle name="40% - Accent2 3 8 3" xfId="15879" xr:uid="{00000000-0005-0000-0000-0000363E0000}"/>
    <cellStyle name="40% - Accent2 3 9" xfId="15880" xr:uid="{00000000-0005-0000-0000-0000373E0000}"/>
    <cellStyle name="40% - Accent2 3 9 2" xfId="15881" xr:uid="{00000000-0005-0000-0000-0000383E0000}"/>
    <cellStyle name="40% - Accent2 4" xfId="15882" xr:uid="{00000000-0005-0000-0000-0000393E0000}"/>
    <cellStyle name="40% - Accent2 4 2" xfId="15883" xr:uid="{00000000-0005-0000-0000-00003A3E0000}"/>
    <cellStyle name="40% - Accent2 4 2 2" xfId="15884" xr:uid="{00000000-0005-0000-0000-00003B3E0000}"/>
    <cellStyle name="40% - Accent2 4 2 2 2" xfId="15885" xr:uid="{00000000-0005-0000-0000-00003C3E0000}"/>
    <cellStyle name="40% - Accent2 4 2 2 2 2" xfId="15886" xr:uid="{00000000-0005-0000-0000-00003D3E0000}"/>
    <cellStyle name="40% - Accent2 4 2 2 2 2 2" xfId="15887" xr:uid="{00000000-0005-0000-0000-00003E3E0000}"/>
    <cellStyle name="40% - Accent2 4 2 2 2 2 2 2" xfId="15888" xr:uid="{00000000-0005-0000-0000-00003F3E0000}"/>
    <cellStyle name="40% - Accent2 4 2 2 2 2 2 2 2" xfId="15889" xr:uid="{00000000-0005-0000-0000-0000403E0000}"/>
    <cellStyle name="40% - Accent2 4 2 2 2 2 2 2 2 2" xfId="15890" xr:uid="{00000000-0005-0000-0000-0000413E0000}"/>
    <cellStyle name="40% - Accent2 4 2 2 2 2 2 2 3" xfId="15891" xr:uid="{00000000-0005-0000-0000-0000423E0000}"/>
    <cellStyle name="40% - Accent2 4 2 2 2 2 2 3" xfId="15892" xr:uid="{00000000-0005-0000-0000-0000433E0000}"/>
    <cellStyle name="40% - Accent2 4 2 2 2 2 2 3 2" xfId="15893" xr:uid="{00000000-0005-0000-0000-0000443E0000}"/>
    <cellStyle name="40% - Accent2 4 2 2 2 2 2 4" xfId="15894" xr:uid="{00000000-0005-0000-0000-0000453E0000}"/>
    <cellStyle name="40% - Accent2 4 2 2 2 2 3" xfId="15895" xr:uid="{00000000-0005-0000-0000-0000463E0000}"/>
    <cellStyle name="40% - Accent2 4 2 2 2 2 3 2" xfId="15896" xr:uid="{00000000-0005-0000-0000-0000473E0000}"/>
    <cellStyle name="40% - Accent2 4 2 2 2 2 3 2 2" xfId="15897" xr:uid="{00000000-0005-0000-0000-0000483E0000}"/>
    <cellStyle name="40% - Accent2 4 2 2 2 2 3 3" xfId="15898" xr:uid="{00000000-0005-0000-0000-0000493E0000}"/>
    <cellStyle name="40% - Accent2 4 2 2 2 2 4" xfId="15899" xr:uid="{00000000-0005-0000-0000-00004A3E0000}"/>
    <cellStyle name="40% - Accent2 4 2 2 2 2 4 2" xfId="15900" xr:uid="{00000000-0005-0000-0000-00004B3E0000}"/>
    <cellStyle name="40% - Accent2 4 2 2 2 2 5" xfId="15901" xr:uid="{00000000-0005-0000-0000-00004C3E0000}"/>
    <cellStyle name="40% - Accent2 4 2 2 2 3" xfId="15902" xr:uid="{00000000-0005-0000-0000-00004D3E0000}"/>
    <cellStyle name="40% - Accent2 4 2 2 2 3 2" xfId="15903" xr:uid="{00000000-0005-0000-0000-00004E3E0000}"/>
    <cellStyle name="40% - Accent2 4 2 2 2 3 2 2" xfId="15904" xr:uid="{00000000-0005-0000-0000-00004F3E0000}"/>
    <cellStyle name="40% - Accent2 4 2 2 2 3 2 2 2" xfId="15905" xr:uid="{00000000-0005-0000-0000-0000503E0000}"/>
    <cellStyle name="40% - Accent2 4 2 2 2 3 2 3" xfId="15906" xr:uid="{00000000-0005-0000-0000-0000513E0000}"/>
    <cellStyle name="40% - Accent2 4 2 2 2 3 3" xfId="15907" xr:uid="{00000000-0005-0000-0000-0000523E0000}"/>
    <cellStyle name="40% - Accent2 4 2 2 2 3 3 2" xfId="15908" xr:uid="{00000000-0005-0000-0000-0000533E0000}"/>
    <cellStyle name="40% - Accent2 4 2 2 2 3 4" xfId="15909" xr:uid="{00000000-0005-0000-0000-0000543E0000}"/>
    <cellStyle name="40% - Accent2 4 2 2 2 4" xfId="15910" xr:uid="{00000000-0005-0000-0000-0000553E0000}"/>
    <cellStyle name="40% - Accent2 4 2 2 2 4 2" xfId="15911" xr:uid="{00000000-0005-0000-0000-0000563E0000}"/>
    <cellStyle name="40% - Accent2 4 2 2 2 4 2 2" xfId="15912" xr:uid="{00000000-0005-0000-0000-0000573E0000}"/>
    <cellStyle name="40% - Accent2 4 2 2 2 4 3" xfId="15913" xr:uid="{00000000-0005-0000-0000-0000583E0000}"/>
    <cellStyle name="40% - Accent2 4 2 2 2 5" xfId="15914" xr:uid="{00000000-0005-0000-0000-0000593E0000}"/>
    <cellStyle name="40% - Accent2 4 2 2 2 5 2" xfId="15915" xr:uid="{00000000-0005-0000-0000-00005A3E0000}"/>
    <cellStyle name="40% - Accent2 4 2 2 2 6" xfId="15916" xr:uid="{00000000-0005-0000-0000-00005B3E0000}"/>
    <cellStyle name="40% - Accent2 4 2 2 3" xfId="15917" xr:uid="{00000000-0005-0000-0000-00005C3E0000}"/>
    <cellStyle name="40% - Accent2 4 2 2 3 2" xfId="15918" xr:uid="{00000000-0005-0000-0000-00005D3E0000}"/>
    <cellStyle name="40% - Accent2 4 2 2 3 2 2" xfId="15919" xr:uid="{00000000-0005-0000-0000-00005E3E0000}"/>
    <cellStyle name="40% - Accent2 4 2 2 3 2 2 2" xfId="15920" xr:uid="{00000000-0005-0000-0000-00005F3E0000}"/>
    <cellStyle name="40% - Accent2 4 2 2 3 2 2 2 2" xfId="15921" xr:uid="{00000000-0005-0000-0000-0000603E0000}"/>
    <cellStyle name="40% - Accent2 4 2 2 3 2 2 3" xfId="15922" xr:uid="{00000000-0005-0000-0000-0000613E0000}"/>
    <cellStyle name="40% - Accent2 4 2 2 3 2 3" xfId="15923" xr:uid="{00000000-0005-0000-0000-0000623E0000}"/>
    <cellStyle name="40% - Accent2 4 2 2 3 2 3 2" xfId="15924" xr:uid="{00000000-0005-0000-0000-0000633E0000}"/>
    <cellStyle name="40% - Accent2 4 2 2 3 2 4" xfId="15925" xr:uid="{00000000-0005-0000-0000-0000643E0000}"/>
    <cellStyle name="40% - Accent2 4 2 2 3 3" xfId="15926" xr:uid="{00000000-0005-0000-0000-0000653E0000}"/>
    <cellStyle name="40% - Accent2 4 2 2 3 3 2" xfId="15927" xr:uid="{00000000-0005-0000-0000-0000663E0000}"/>
    <cellStyle name="40% - Accent2 4 2 2 3 3 2 2" xfId="15928" xr:uid="{00000000-0005-0000-0000-0000673E0000}"/>
    <cellStyle name="40% - Accent2 4 2 2 3 3 3" xfId="15929" xr:uid="{00000000-0005-0000-0000-0000683E0000}"/>
    <cellStyle name="40% - Accent2 4 2 2 3 4" xfId="15930" xr:uid="{00000000-0005-0000-0000-0000693E0000}"/>
    <cellStyle name="40% - Accent2 4 2 2 3 4 2" xfId="15931" xr:uid="{00000000-0005-0000-0000-00006A3E0000}"/>
    <cellStyle name="40% - Accent2 4 2 2 3 5" xfId="15932" xr:uid="{00000000-0005-0000-0000-00006B3E0000}"/>
    <cellStyle name="40% - Accent2 4 2 2 4" xfId="15933" xr:uid="{00000000-0005-0000-0000-00006C3E0000}"/>
    <cellStyle name="40% - Accent2 4 2 2 4 2" xfId="15934" xr:uid="{00000000-0005-0000-0000-00006D3E0000}"/>
    <cellStyle name="40% - Accent2 4 2 2 4 2 2" xfId="15935" xr:uid="{00000000-0005-0000-0000-00006E3E0000}"/>
    <cellStyle name="40% - Accent2 4 2 2 4 2 2 2" xfId="15936" xr:uid="{00000000-0005-0000-0000-00006F3E0000}"/>
    <cellStyle name="40% - Accent2 4 2 2 4 2 3" xfId="15937" xr:uid="{00000000-0005-0000-0000-0000703E0000}"/>
    <cellStyle name="40% - Accent2 4 2 2 4 3" xfId="15938" xr:uid="{00000000-0005-0000-0000-0000713E0000}"/>
    <cellStyle name="40% - Accent2 4 2 2 4 3 2" xfId="15939" xr:uid="{00000000-0005-0000-0000-0000723E0000}"/>
    <cellStyle name="40% - Accent2 4 2 2 4 4" xfId="15940" xr:uid="{00000000-0005-0000-0000-0000733E0000}"/>
    <cellStyle name="40% - Accent2 4 2 2 5" xfId="15941" xr:uid="{00000000-0005-0000-0000-0000743E0000}"/>
    <cellStyle name="40% - Accent2 4 2 2 5 2" xfId="15942" xr:uid="{00000000-0005-0000-0000-0000753E0000}"/>
    <cellStyle name="40% - Accent2 4 2 2 5 2 2" xfId="15943" xr:uid="{00000000-0005-0000-0000-0000763E0000}"/>
    <cellStyle name="40% - Accent2 4 2 2 5 3" xfId="15944" xr:uid="{00000000-0005-0000-0000-0000773E0000}"/>
    <cellStyle name="40% - Accent2 4 2 2 6" xfId="15945" xr:uid="{00000000-0005-0000-0000-0000783E0000}"/>
    <cellStyle name="40% - Accent2 4 2 2 6 2" xfId="15946" xr:uid="{00000000-0005-0000-0000-0000793E0000}"/>
    <cellStyle name="40% - Accent2 4 2 2 7" xfId="15947" xr:uid="{00000000-0005-0000-0000-00007A3E0000}"/>
    <cellStyle name="40% - Accent2 4 2 3" xfId="15948" xr:uid="{00000000-0005-0000-0000-00007B3E0000}"/>
    <cellStyle name="40% - Accent2 4 2 3 2" xfId="15949" xr:uid="{00000000-0005-0000-0000-00007C3E0000}"/>
    <cellStyle name="40% - Accent2 4 2 3 2 2" xfId="15950" xr:uid="{00000000-0005-0000-0000-00007D3E0000}"/>
    <cellStyle name="40% - Accent2 4 2 3 2 2 2" xfId="15951" xr:uid="{00000000-0005-0000-0000-00007E3E0000}"/>
    <cellStyle name="40% - Accent2 4 2 3 2 2 2 2" xfId="15952" xr:uid="{00000000-0005-0000-0000-00007F3E0000}"/>
    <cellStyle name="40% - Accent2 4 2 3 2 2 2 2 2" xfId="15953" xr:uid="{00000000-0005-0000-0000-0000803E0000}"/>
    <cellStyle name="40% - Accent2 4 2 3 2 2 2 3" xfId="15954" xr:uid="{00000000-0005-0000-0000-0000813E0000}"/>
    <cellStyle name="40% - Accent2 4 2 3 2 2 3" xfId="15955" xr:uid="{00000000-0005-0000-0000-0000823E0000}"/>
    <cellStyle name="40% - Accent2 4 2 3 2 2 3 2" xfId="15956" xr:uid="{00000000-0005-0000-0000-0000833E0000}"/>
    <cellStyle name="40% - Accent2 4 2 3 2 2 4" xfId="15957" xr:uid="{00000000-0005-0000-0000-0000843E0000}"/>
    <cellStyle name="40% - Accent2 4 2 3 2 3" xfId="15958" xr:uid="{00000000-0005-0000-0000-0000853E0000}"/>
    <cellStyle name="40% - Accent2 4 2 3 2 3 2" xfId="15959" xr:uid="{00000000-0005-0000-0000-0000863E0000}"/>
    <cellStyle name="40% - Accent2 4 2 3 2 3 2 2" xfId="15960" xr:uid="{00000000-0005-0000-0000-0000873E0000}"/>
    <cellStyle name="40% - Accent2 4 2 3 2 3 3" xfId="15961" xr:uid="{00000000-0005-0000-0000-0000883E0000}"/>
    <cellStyle name="40% - Accent2 4 2 3 2 4" xfId="15962" xr:uid="{00000000-0005-0000-0000-0000893E0000}"/>
    <cellStyle name="40% - Accent2 4 2 3 2 4 2" xfId="15963" xr:uid="{00000000-0005-0000-0000-00008A3E0000}"/>
    <cellStyle name="40% - Accent2 4 2 3 2 5" xfId="15964" xr:uid="{00000000-0005-0000-0000-00008B3E0000}"/>
    <cellStyle name="40% - Accent2 4 2 3 3" xfId="15965" xr:uid="{00000000-0005-0000-0000-00008C3E0000}"/>
    <cellStyle name="40% - Accent2 4 2 3 3 2" xfId="15966" xr:uid="{00000000-0005-0000-0000-00008D3E0000}"/>
    <cellStyle name="40% - Accent2 4 2 3 3 2 2" xfId="15967" xr:uid="{00000000-0005-0000-0000-00008E3E0000}"/>
    <cellStyle name="40% - Accent2 4 2 3 3 2 2 2" xfId="15968" xr:uid="{00000000-0005-0000-0000-00008F3E0000}"/>
    <cellStyle name="40% - Accent2 4 2 3 3 2 3" xfId="15969" xr:uid="{00000000-0005-0000-0000-0000903E0000}"/>
    <cellStyle name="40% - Accent2 4 2 3 3 3" xfId="15970" xr:uid="{00000000-0005-0000-0000-0000913E0000}"/>
    <cellStyle name="40% - Accent2 4 2 3 3 3 2" xfId="15971" xr:uid="{00000000-0005-0000-0000-0000923E0000}"/>
    <cellStyle name="40% - Accent2 4 2 3 3 4" xfId="15972" xr:uid="{00000000-0005-0000-0000-0000933E0000}"/>
    <cellStyle name="40% - Accent2 4 2 3 4" xfId="15973" xr:uid="{00000000-0005-0000-0000-0000943E0000}"/>
    <cellStyle name="40% - Accent2 4 2 3 4 2" xfId="15974" xr:uid="{00000000-0005-0000-0000-0000953E0000}"/>
    <cellStyle name="40% - Accent2 4 2 3 4 2 2" xfId="15975" xr:uid="{00000000-0005-0000-0000-0000963E0000}"/>
    <cellStyle name="40% - Accent2 4 2 3 4 3" xfId="15976" xr:uid="{00000000-0005-0000-0000-0000973E0000}"/>
    <cellStyle name="40% - Accent2 4 2 3 5" xfId="15977" xr:uid="{00000000-0005-0000-0000-0000983E0000}"/>
    <cellStyle name="40% - Accent2 4 2 3 5 2" xfId="15978" xr:uid="{00000000-0005-0000-0000-0000993E0000}"/>
    <cellStyle name="40% - Accent2 4 2 3 6" xfId="15979" xr:uid="{00000000-0005-0000-0000-00009A3E0000}"/>
    <cellStyle name="40% - Accent2 4 2 4" xfId="15980" xr:uid="{00000000-0005-0000-0000-00009B3E0000}"/>
    <cellStyle name="40% - Accent2 4 2 4 2" xfId="15981" xr:uid="{00000000-0005-0000-0000-00009C3E0000}"/>
    <cellStyle name="40% - Accent2 4 2 4 2 2" xfId="15982" xr:uid="{00000000-0005-0000-0000-00009D3E0000}"/>
    <cellStyle name="40% - Accent2 4 2 4 2 2 2" xfId="15983" xr:uid="{00000000-0005-0000-0000-00009E3E0000}"/>
    <cellStyle name="40% - Accent2 4 2 4 2 2 2 2" xfId="15984" xr:uid="{00000000-0005-0000-0000-00009F3E0000}"/>
    <cellStyle name="40% - Accent2 4 2 4 2 2 3" xfId="15985" xr:uid="{00000000-0005-0000-0000-0000A03E0000}"/>
    <cellStyle name="40% - Accent2 4 2 4 2 3" xfId="15986" xr:uid="{00000000-0005-0000-0000-0000A13E0000}"/>
    <cellStyle name="40% - Accent2 4 2 4 2 3 2" xfId="15987" xr:uid="{00000000-0005-0000-0000-0000A23E0000}"/>
    <cellStyle name="40% - Accent2 4 2 4 2 4" xfId="15988" xr:uid="{00000000-0005-0000-0000-0000A33E0000}"/>
    <cellStyle name="40% - Accent2 4 2 4 3" xfId="15989" xr:uid="{00000000-0005-0000-0000-0000A43E0000}"/>
    <cellStyle name="40% - Accent2 4 2 4 3 2" xfId="15990" xr:uid="{00000000-0005-0000-0000-0000A53E0000}"/>
    <cellStyle name="40% - Accent2 4 2 4 3 2 2" xfId="15991" xr:uid="{00000000-0005-0000-0000-0000A63E0000}"/>
    <cellStyle name="40% - Accent2 4 2 4 3 3" xfId="15992" xr:uid="{00000000-0005-0000-0000-0000A73E0000}"/>
    <cellStyle name="40% - Accent2 4 2 4 4" xfId="15993" xr:uid="{00000000-0005-0000-0000-0000A83E0000}"/>
    <cellStyle name="40% - Accent2 4 2 4 4 2" xfId="15994" xr:uid="{00000000-0005-0000-0000-0000A93E0000}"/>
    <cellStyle name="40% - Accent2 4 2 4 5" xfId="15995" xr:uid="{00000000-0005-0000-0000-0000AA3E0000}"/>
    <cellStyle name="40% - Accent2 4 2 5" xfId="15996" xr:uid="{00000000-0005-0000-0000-0000AB3E0000}"/>
    <cellStyle name="40% - Accent2 4 2 5 2" xfId="15997" xr:uid="{00000000-0005-0000-0000-0000AC3E0000}"/>
    <cellStyle name="40% - Accent2 4 2 5 2 2" xfId="15998" xr:uid="{00000000-0005-0000-0000-0000AD3E0000}"/>
    <cellStyle name="40% - Accent2 4 2 5 2 2 2" xfId="15999" xr:uid="{00000000-0005-0000-0000-0000AE3E0000}"/>
    <cellStyle name="40% - Accent2 4 2 5 2 3" xfId="16000" xr:uid="{00000000-0005-0000-0000-0000AF3E0000}"/>
    <cellStyle name="40% - Accent2 4 2 5 3" xfId="16001" xr:uid="{00000000-0005-0000-0000-0000B03E0000}"/>
    <cellStyle name="40% - Accent2 4 2 5 3 2" xfId="16002" xr:uid="{00000000-0005-0000-0000-0000B13E0000}"/>
    <cellStyle name="40% - Accent2 4 2 5 4" xfId="16003" xr:uid="{00000000-0005-0000-0000-0000B23E0000}"/>
    <cellStyle name="40% - Accent2 4 2 6" xfId="16004" xr:uid="{00000000-0005-0000-0000-0000B33E0000}"/>
    <cellStyle name="40% - Accent2 4 2 6 2" xfId="16005" xr:uid="{00000000-0005-0000-0000-0000B43E0000}"/>
    <cellStyle name="40% - Accent2 4 2 6 2 2" xfId="16006" xr:uid="{00000000-0005-0000-0000-0000B53E0000}"/>
    <cellStyle name="40% - Accent2 4 2 6 3" xfId="16007" xr:uid="{00000000-0005-0000-0000-0000B63E0000}"/>
    <cellStyle name="40% - Accent2 4 2 7" xfId="16008" xr:uid="{00000000-0005-0000-0000-0000B73E0000}"/>
    <cellStyle name="40% - Accent2 4 2 7 2" xfId="16009" xr:uid="{00000000-0005-0000-0000-0000B83E0000}"/>
    <cellStyle name="40% - Accent2 4 2 8" xfId="16010" xr:uid="{00000000-0005-0000-0000-0000B93E0000}"/>
    <cellStyle name="40% - Accent2 4 3" xfId="16011" xr:uid="{00000000-0005-0000-0000-0000BA3E0000}"/>
    <cellStyle name="40% - Accent2 4 3 2" xfId="16012" xr:uid="{00000000-0005-0000-0000-0000BB3E0000}"/>
    <cellStyle name="40% - Accent2 4 3 2 2" xfId="16013" xr:uid="{00000000-0005-0000-0000-0000BC3E0000}"/>
    <cellStyle name="40% - Accent2 4 3 2 2 2" xfId="16014" xr:uid="{00000000-0005-0000-0000-0000BD3E0000}"/>
    <cellStyle name="40% - Accent2 4 3 2 2 2 2" xfId="16015" xr:uid="{00000000-0005-0000-0000-0000BE3E0000}"/>
    <cellStyle name="40% - Accent2 4 3 2 2 2 2 2" xfId="16016" xr:uid="{00000000-0005-0000-0000-0000BF3E0000}"/>
    <cellStyle name="40% - Accent2 4 3 2 2 2 2 2 2" xfId="16017" xr:uid="{00000000-0005-0000-0000-0000C03E0000}"/>
    <cellStyle name="40% - Accent2 4 3 2 2 2 2 3" xfId="16018" xr:uid="{00000000-0005-0000-0000-0000C13E0000}"/>
    <cellStyle name="40% - Accent2 4 3 2 2 2 3" xfId="16019" xr:uid="{00000000-0005-0000-0000-0000C23E0000}"/>
    <cellStyle name="40% - Accent2 4 3 2 2 2 3 2" xfId="16020" xr:uid="{00000000-0005-0000-0000-0000C33E0000}"/>
    <cellStyle name="40% - Accent2 4 3 2 2 2 4" xfId="16021" xr:uid="{00000000-0005-0000-0000-0000C43E0000}"/>
    <cellStyle name="40% - Accent2 4 3 2 2 3" xfId="16022" xr:uid="{00000000-0005-0000-0000-0000C53E0000}"/>
    <cellStyle name="40% - Accent2 4 3 2 2 3 2" xfId="16023" xr:uid="{00000000-0005-0000-0000-0000C63E0000}"/>
    <cellStyle name="40% - Accent2 4 3 2 2 3 2 2" xfId="16024" xr:uid="{00000000-0005-0000-0000-0000C73E0000}"/>
    <cellStyle name="40% - Accent2 4 3 2 2 3 3" xfId="16025" xr:uid="{00000000-0005-0000-0000-0000C83E0000}"/>
    <cellStyle name="40% - Accent2 4 3 2 2 4" xfId="16026" xr:uid="{00000000-0005-0000-0000-0000C93E0000}"/>
    <cellStyle name="40% - Accent2 4 3 2 2 4 2" xfId="16027" xr:uid="{00000000-0005-0000-0000-0000CA3E0000}"/>
    <cellStyle name="40% - Accent2 4 3 2 2 5" xfId="16028" xr:uid="{00000000-0005-0000-0000-0000CB3E0000}"/>
    <cellStyle name="40% - Accent2 4 3 2 3" xfId="16029" xr:uid="{00000000-0005-0000-0000-0000CC3E0000}"/>
    <cellStyle name="40% - Accent2 4 3 2 3 2" xfId="16030" xr:uid="{00000000-0005-0000-0000-0000CD3E0000}"/>
    <cellStyle name="40% - Accent2 4 3 2 3 2 2" xfId="16031" xr:uid="{00000000-0005-0000-0000-0000CE3E0000}"/>
    <cellStyle name="40% - Accent2 4 3 2 3 2 2 2" xfId="16032" xr:uid="{00000000-0005-0000-0000-0000CF3E0000}"/>
    <cellStyle name="40% - Accent2 4 3 2 3 2 3" xfId="16033" xr:uid="{00000000-0005-0000-0000-0000D03E0000}"/>
    <cellStyle name="40% - Accent2 4 3 2 3 3" xfId="16034" xr:uid="{00000000-0005-0000-0000-0000D13E0000}"/>
    <cellStyle name="40% - Accent2 4 3 2 3 3 2" xfId="16035" xr:uid="{00000000-0005-0000-0000-0000D23E0000}"/>
    <cellStyle name="40% - Accent2 4 3 2 3 4" xfId="16036" xr:uid="{00000000-0005-0000-0000-0000D33E0000}"/>
    <cellStyle name="40% - Accent2 4 3 2 4" xfId="16037" xr:uid="{00000000-0005-0000-0000-0000D43E0000}"/>
    <cellStyle name="40% - Accent2 4 3 2 4 2" xfId="16038" xr:uid="{00000000-0005-0000-0000-0000D53E0000}"/>
    <cellStyle name="40% - Accent2 4 3 2 4 2 2" xfId="16039" xr:uid="{00000000-0005-0000-0000-0000D63E0000}"/>
    <cellStyle name="40% - Accent2 4 3 2 4 3" xfId="16040" xr:uid="{00000000-0005-0000-0000-0000D73E0000}"/>
    <cellStyle name="40% - Accent2 4 3 2 5" xfId="16041" xr:uid="{00000000-0005-0000-0000-0000D83E0000}"/>
    <cellStyle name="40% - Accent2 4 3 2 5 2" xfId="16042" xr:uid="{00000000-0005-0000-0000-0000D93E0000}"/>
    <cellStyle name="40% - Accent2 4 3 2 6" xfId="16043" xr:uid="{00000000-0005-0000-0000-0000DA3E0000}"/>
    <cellStyle name="40% - Accent2 4 3 3" xfId="16044" xr:uid="{00000000-0005-0000-0000-0000DB3E0000}"/>
    <cellStyle name="40% - Accent2 4 3 3 2" xfId="16045" xr:uid="{00000000-0005-0000-0000-0000DC3E0000}"/>
    <cellStyle name="40% - Accent2 4 3 3 2 2" xfId="16046" xr:uid="{00000000-0005-0000-0000-0000DD3E0000}"/>
    <cellStyle name="40% - Accent2 4 3 3 2 2 2" xfId="16047" xr:uid="{00000000-0005-0000-0000-0000DE3E0000}"/>
    <cellStyle name="40% - Accent2 4 3 3 2 2 2 2" xfId="16048" xr:uid="{00000000-0005-0000-0000-0000DF3E0000}"/>
    <cellStyle name="40% - Accent2 4 3 3 2 2 3" xfId="16049" xr:uid="{00000000-0005-0000-0000-0000E03E0000}"/>
    <cellStyle name="40% - Accent2 4 3 3 2 3" xfId="16050" xr:uid="{00000000-0005-0000-0000-0000E13E0000}"/>
    <cellStyle name="40% - Accent2 4 3 3 2 3 2" xfId="16051" xr:uid="{00000000-0005-0000-0000-0000E23E0000}"/>
    <cellStyle name="40% - Accent2 4 3 3 2 4" xfId="16052" xr:uid="{00000000-0005-0000-0000-0000E33E0000}"/>
    <cellStyle name="40% - Accent2 4 3 3 3" xfId="16053" xr:uid="{00000000-0005-0000-0000-0000E43E0000}"/>
    <cellStyle name="40% - Accent2 4 3 3 3 2" xfId="16054" xr:uid="{00000000-0005-0000-0000-0000E53E0000}"/>
    <cellStyle name="40% - Accent2 4 3 3 3 2 2" xfId="16055" xr:uid="{00000000-0005-0000-0000-0000E63E0000}"/>
    <cellStyle name="40% - Accent2 4 3 3 3 3" xfId="16056" xr:uid="{00000000-0005-0000-0000-0000E73E0000}"/>
    <cellStyle name="40% - Accent2 4 3 3 4" xfId="16057" xr:uid="{00000000-0005-0000-0000-0000E83E0000}"/>
    <cellStyle name="40% - Accent2 4 3 3 4 2" xfId="16058" xr:uid="{00000000-0005-0000-0000-0000E93E0000}"/>
    <cellStyle name="40% - Accent2 4 3 3 5" xfId="16059" xr:uid="{00000000-0005-0000-0000-0000EA3E0000}"/>
    <cellStyle name="40% - Accent2 4 3 4" xfId="16060" xr:uid="{00000000-0005-0000-0000-0000EB3E0000}"/>
    <cellStyle name="40% - Accent2 4 3 4 2" xfId="16061" xr:uid="{00000000-0005-0000-0000-0000EC3E0000}"/>
    <cellStyle name="40% - Accent2 4 3 4 2 2" xfId="16062" xr:uid="{00000000-0005-0000-0000-0000ED3E0000}"/>
    <cellStyle name="40% - Accent2 4 3 4 2 2 2" xfId="16063" xr:uid="{00000000-0005-0000-0000-0000EE3E0000}"/>
    <cellStyle name="40% - Accent2 4 3 4 2 3" xfId="16064" xr:uid="{00000000-0005-0000-0000-0000EF3E0000}"/>
    <cellStyle name="40% - Accent2 4 3 4 3" xfId="16065" xr:uid="{00000000-0005-0000-0000-0000F03E0000}"/>
    <cellStyle name="40% - Accent2 4 3 4 3 2" xfId="16066" xr:uid="{00000000-0005-0000-0000-0000F13E0000}"/>
    <cellStyle name="40% - Accent2 4 3 4 4" xfId="16067" xr:uid="{00000000-0005-0000-0000-0000F23E0000}"/>
    <cellStyle name="40% - Accent2 4 3 5" xfId="16068" xr:uid="{00000000-0005-0000-0000-0000F33E0000}"/>
    <cellStyle name="40% - Accent2 4 3 5 2" xfId="16069" xr:uid="{00000000-0005-0000-0000-0000F43E0000}"/>
    <cellStyle name="40% - Accent2 4 3 5 2 2" xfId="16070" xr:uid="{00000000-0005-0000-0000-0000F53E0000}"/>
    <cellStyle name="40% - Accent2 4 3 5 3" xfId="16071" xr:uid="{00000000-0005-0000-0000-0000F63E0000}"/>
    <cellStyle name="40% - Accent2 4 3 6" xfId="16072" xr:uid="{00000000-0005-0000-0000-0000F73E0000}"/>
    <cellStyle name="40% - Accent2 4 3 6 2" xfId="16073" xr:uid="{00000000-0005-0000-0000-0000F83E0000}"/>
    <cellStyle name="40% - Accent2 4 3 7" xfId="16074" xr:uid="{00000000-0005-0000-0000-0000F93E0000}"/>
    <cellStyle name="40% - Accent2 4 4" xfId="16075" xr:uid="{00000000-0005-0000-0000-0000FA3E0000}"/>
    <cellStyle name="40% - Accent2 4 4 2" xfId="16076" xr:uid="{00000000-0005-0000-0000-0000FB3E0000}"/>
    <cellStyle name="40% - Accent2 4 4 2 2" xfId="16077" xr:uid="{00000000-0005-0000-0000-0000FC3E0000}"/>
    <cellStyle name="40% - Accent2 4 4 2 2 2" xfId="16078" xr:uid="{00000000-0005-0000-0000-0000FD3E0000}"/>
    <cellStyle name="40% - Accent2 4 4 2 2 2 2" xfId="16079" xr:uid="{00000000-0005-0000-0000-0000FE3E0000}"/>
    <cellStyle name="40% - Accent2 4 4 2 2 2 2 2" xfId="16080" xr:uid="{00000000-0005-0000-0000-0000FF3E0000}"/>
    <cellStyle name="40% - Accent2 4 4 2 2 2 3" xfId="16081" xr:uid="{00000000-0005-0000-0000-0000003F0000}"/>
    <cellStyle name="40% - Accent2 4 4 2 2 3" xfId="16082" xr:uid="{00000000-0005-0000-0000-0000013F0000}"/>
    <cellStyle name="40% - Accent2 4 4 2 2 3 2" xfId="16083" xr:uid="{00000000-0005-0000-0000-0000023F0000}"/>
    <cellStyle name="40% - Accent2 4 4 2 2 4" xfId="16084" xr:uid="{00000000-0005-0000-0000-0000033F0000}"/>
    <cellStyle name="40% - Accent2 4 4 2 3" xfId="16085" xr:uid="{00000000-0005-0000-0000-0000043F0000}"/>
    <cellStyle name="40% - Accent2 4 4 2 3 2" xfId="16086" xr:uid="{00000000-0005-0000-0000-0000053F0000}"/>
    <cellStyle name="40% - Accent2 4 4 2 3 2 2" xfId="16087" xr:uid="{00000000-0005-0000-0000-0000063F0000}"/>
    <cellStyle name="40% - Accent2 4 4 2 3 3" xfId="16088" xr:uid="{00000000-0005-0000-0000-0000073F0000}"/>
    <cellStyle name="40% - Accent2 4 4 2 4" xfId="16089" xr:uid="{00000000-0005-0000-0000-0000083F0000}"/>
    <cellStyle name="40% - Accent2 4 4 2 4 2" xfId="16090" xr:uid="{00000000-0005-0000-0000-0000093F0000}"/>
    <cellStyle name="40% - Accent2 4 4 2 5" xfId="16091" xr:uid="{00000000-0005-0000-0000-00000A3F0000}"/>
    <cellStyle name="40% - Accent2 4 4 3" xfId="16092" xr:uid="{00000000-0005-0000-0000-00000B3F0000}"/>
    <cellStyle name="40% - Accent2 4 4 3 2" xfId="16093" xr:uid="{00000000-0005-0000-0000-00000C3F0000}"/>
    <cellStyle name="40% - Accent2 4 4 3 2 2" xfId="16094" xr:uid="{00000000-0005-0000-0000-00000D3F0000}"/>
    <cellStyle name="40% - Accent2 4 4 3 2 2 2" xfId="16095" xr:uid="{00000000-0005-0000-0000-00000E3F0000}"/>
    <cellStyle name="40% - Accent2 4 4 3 2 3" xfId="16096" xr:uid="{00000000-0005-0000-0000-00000F3F0000}"/>
    <cellStyle name="40% - Accent2 4 4 3 3" xfId="16097" xr:uid="{00000000-0005-0000-0000-0000103F0000}"/>
    <cellStyle name="40% - Accent2 4 4 3 3 2" xfId="16098" xr:uid="{00000000-0005-0000-0000-0000113F0000}"/>
    <cellStyle name="40% - Accent2 4 4 3 4" xfId="16099" xr:uid="{00000000-0005-0000-0000-0000123F0000}"/>
    <cellStyle name="40% - Accent2 4 4 4" xfId="16100" xr:uid="{00000000-0005-0000-0000-0000133F0000}"/>
    <cellStyle name="40% - Accent2 4 4 4 2" xfId="16101" xr:uid="{00000000-0005-0000-0000-0000143F0000}"/>
    <cellStyle name="40% - Accent2 4 4 4 2 2" xfId="16102" xr:uid="{00000000-0005-0000-0000-0000153F0000}"/>
    <cellStyle name="40% - Accent2 4 4 4 3" xfId="16103" xr:uid="{00000000-0005-0000-0000-0000163F0000}"/>
    <cellStyle name="40% - Accent2 4 4 5" xfId="16104" xr:uid="{00000000-0005-0000-0000-0000173F0000}"/>
    <cellStyle name="40% - Accent2 4 4 5 2" xfId="16105" xr:uid="{00000000-0005-0000-0000-0000183F0000}"/>
    <cellStyle name="40% - Accent2 4 4 6" xfId="16106" xr:uid="{00000000-0005-0000-0000-0000193F0000}"/>
    <cellStyle name="40% - Accent2 4 5" xfId="16107" xr:uid="{00000000-0005-0000-0000-00001A3F0000}"/>
    <cellStyle name="40% - Accent2 4 5 2" xfId="16108" xr:uid="{00000000-0005-0000-0000-00001B3F0000}"/>
    <cellStyle name="40% - Accent2 4 5 2 2" xfId="16109" xr:uid="{00000000-0005-0000-0000-00001C3F0000}"/>
    <cellStyle name="40% - Accent2 4 5 2 2 2" xfId="16110" xr:uid="{00000000-0005-0000-0000-00001D3F0000}"/>
    <cellStyle name="40% - Accent2 4 5 2 2 2 2" xfId="16111" xr:uid="{00000000-0005-0000-0000-00001E3F0000}"/>
    <cellStyle name="40% - Accent2 4 5 2 2 3" xfId="16112" xr:uid="{00000000-0005-0000-0000-00001F3F0000}"/>
    <cellStyle name="40% - Accent2 4 5 2 3" xfId="16113" xr:uid="{00000000-0005-0000-0000-0000203F0000}"/>
    <cellStyle name="40% - Accent2 4 5 2 3 2" xfId="16114" xr:uid="{00000000-0005-0000-0000-0000213F0000}"/>
    <cellStyle name="40% - Accent2 4 5 2 4" xfId="16115" xr:uid="{00000000-0005-0000-0000-0000223F0000}"/>
    <cellStyle name="40% - Accent2 4 5 3" xfId="16116" xr:uid="{00000000-0005-0000-0000-0000233F0000}"/>
    <cellStyle name="40% - Accent2 4 5 3 2" xfId="16117" xr:uid="{00000000-0005-0000-0000-0000243F0000}"/>
    <cellStyle name="40% - Accent2 4 5 3 2 2" xfId="16118" xr:uid="{00000000-0005-0000-0000-0000253F0000}"/>
    <cellStyle name="40% - Accent2 4 5 3 3" xfId="16119" xr:uid="{00000000-0005-0000-0000-0000263F0000}"/>
    <cellStyle name="40% - Accent2 4 5 4" xfId="16120" xr:uid="{00000000-0005-0000-0000-0000273F0000}"/>
    <cellStyle name="40% - Accent2 4 5 4 2" xfId="16121" xr:uid="{00000000-0005-0000-0000-0000283F0000}"/>
    <cellStyle name="40% - Accent2 4 5 5" xfId="16122" xr:uid="{00000000-0005-0000-0000-0000293F0000}"/>
    <cellStyle name="40% - Accent2 4 6" xfId="16123" xr:uid="{00000000-0005-0000-0000-00002A3F0000}"/>
    <cellStyle name="40% - Accent2 4 6 2" xfId="16124" xr:uid="{00000000-0005-0000-0000-00002B3F0000}"/>
    <cellStyle name="40% - Accent2 4 6 2 2" xfId="16125" xr:uid="{00000000-0005-0000-0000-00002C3F0000}"/>
    <cellStyle name="40% - Accent2 4 6 2 2 2" xfId="16126" xr:uid="{00000000-0005-0000-0000-00002D3F0000}"/>
    <cellStyle name="40% - Accent2 4 6 2 3" xfId="16127" xr:uid="{00000000-0005-0000-0000-00002E3F0000}"/>
    <cellStyle name="40% - Accent2 4 6 3" xfId="16128" xr:uid="{00000000-0005-0000-0000-00002F3F0000}"/>
    <cellStyle name="40% - Accent2 4 6 3 2" xfId="16129" xr:uid="{00000000-0005-0000-0000-0000303F0000}"/>
    <cellStyle name="40% - Accent2 4 6 4" xfId="16130" xr:uid="{00000000-0005-0000-0000-0000313F0000}"/>
    <cellStyle name="40% - Accent2 4 7" xfId="16131" xr:uid="{00000000-0005-0000-0000-0000323F0000}"/>
    <cellStyle name="40% - Accent2 4 7 2" xfId="16132" xr:uid="{00000000-0005-0000-0000-0000333F0000}"/>
    <cellStyle name="40% - Accent2 4 7 2 2" xfId="16133" xr:uid="{00000000-0005-0000-0000-0000343F0000}"/>
    <cellStyle name="40% - Accent2 4 7 3" xfId="16134" xr:uid="{00000000-0005-0000-0000-0000353F0000}"/>
    <cellStyle name="40% - Accent2 4 8" xfId="16135" xr:uid="{00000000-0005-0000-0000-0000363F0000}"/>
    <cellStyle name="40% - Accent2 4 8 2" xfId="16136" xr:uid="{00000000-0005-0000-0000-0000373F0000}"/>
    <cellStyle name="40% - Accent2 4 9" xfId="16137" xr:uid="{00000000-0005-0000-0000-0000383F0000}"/>
    <cellStyle name="40% - Accent2 5" xfId="16138" xr:uid="{00000000-0005-0000-0000-0000393F0000}"/>
    <cellStyle name="40% - Accent2 5 2" xfId="16139" xr:uid="{00000000-0005-0000-0000-00003A3F0000}"/>
    <cellStyle name="40% - Accent2 5 2 2" xfId="16140" xr:uid="{00000000-0005-0000-0000-00003B3F0000}"/>
    <cellStyle name="40% - Accent2 5 2 2 2" xfId="16141" xr:uid="{00000000-0005-0000-0000-00003C3F0000}"/>
    <cellStyle name="40% - Accent2 5 2 2 2 2" xfId="16142" xr:uid="{00000000-0005-0000-0000-00003D3F0000}"/>
    <cellStyle name="40% - Accent2 5 2 2 2 2 2" xfId="16143" xr:uid="{00000000-0005-0000-0000-00003E3F0000}"/>
    <cellStyle name="40% - Accent2 5 2 2 2 2 2 2" xfId="16144" xr:uid="{00000000-0005-0000-0000-00003F3F0000}"/>
    <cellStyle name="40% - Accent2 5 2 2 2 2 2 2 2" xfId="16145" xr:uid="{00000000-0005-0000-0000-0000403F0000}"/>
    <cellStyle name="40% - Accent2 5 2 2 2 2 2 3" xfId="16146" xr:uid="{00000000-0005-0000-0000-0000413F0000}"/>
    <cellStyle name="40% - Accent2 5 2 2 2 2 3" xfId="16147" xr:uid="{00000000-0005-0000-0000-0000423F0000}"/>
    <cellStyle name="40% - Accent2 5 2 2 2 2 3 2" xfId="16148" xr:uid="{00000000-0005-0000-0000-0000433F0000}"/>
    <cellStyle name="40% - Accent2 5 2 2 2 2 4" xfId="16149" xr:uid="{00000000-0005-0000-0000-0000443F0000}"/>
    <cellStyle name="40% - Accent2 5 2 2 2 3" xfId="16150" xr:uid="{00000000-0005-0000-0000-0000453F0000}"/>
    <cellStyle name="40% - Accent2 5 2 2 2 3 2" xfId="16151" xr:uid="{00000000-0005-0000-0000-0000463F0000}"/>
    <cellStyle name="40% - Accent2 5 2 2 2 3 2 2" xfId="16152" xr:uid="{00000000-0005-0000-0000-0000473F0000}"/>
    <cellStyle name="40% - Accent2 5 2 2 2 3 3" xfId="16153" xr:uid="{00000000-0005-0000-0000-0000483F0000}"/>
    <cellStyle name="40% - Accent2 5 2 2 2 4" xfId="16154" xr:uid="{00000000-0005-0000-0000-0000493F0000}"/>
    <cellStyle name="40% - Accent2 5 2 2 2 4 2" xfId="16155" xr:uid="{00000000-0005-0000-0000-00004A3F0000}"/>
    <cellStyle name="40% - Accent2 5 2 2 2 5" xfId="16156" xr:uid="{00000000-0005-0000-0000-00004B3F0000}"/>
    <cellStyle name="40% - Accent2 5 2 2 3" xfId="16157" xr:uid="{00000000-0005-0000-0000-00004C3F0000}"/>
    <cellStyle name="40% - Accent2 5 2 2 3 2" xfId="16158" xr:uid="{00000000-0005-0000-0000-00004D3F0000}"/>
    <cellStyle name="40% - Accent2 5 2 2 3 2 2" xfId="16159" xr:uid="{00000000-0005-0000-0000-00004E3F0000}"/>
    <cellStyle name="40% - Accent2 5 2 2 3 2 2 2" xfId="16160" xr:uid="{00000000-0005-0000-0000-00004F3F0000}"/>
    <cellStyle name="40% - Accent2 5 2 2 3 2 3" xfId="16161" xr:uid="{00000000-0005-0000-0000-0000503F0000}"/>
    <cellStyle name="40% - Accent2 5 2 2 3 3" xfId="16162" xr:uid="{00000000-0005-0000-0000-0000513F0000}"/>
    <cellStyle name="40% - Accent2 5 2 2 3 3 2" xfId="16163" xr:uid="{00000000-0005-0000-0000-0000523F0000}"/>
    <cellStyle name="40% - Accent2 5 2 2 3 4" xfId="16164" xr:uid="{00000000-0005-0000-0000-0000533F0000}"/>
    <cellStyle name="40% - Accent2 5 2 2 4" xfId="16165" xr:uid="{00000000-0005-0000-0000-0000543F0000}"/>
    <cellStyle name="40% - Accent2 5 2 2 4 2" xfId="16166" xr:uid="{00000000-0005-0000-0000-0000553F0000}"/>
    <cellStyle name="40% - Accent2 5 2 2 4 2 2" xfId="16167" xr:uid="{00000000-0005-0000-0000-0000563F0000}"/>
    <cellStyle name="40% - Accent2 5 2 2 4 3" xfId="16168" xr:uid="{00000000-0005-0000-0000-0000573F0000}"/>
    <cellStyle name="40% - Accent2 5 2 2 5" xfId="16169" xr:uid="{00000000-0005-0000-0000-0000583F0000}"/>
    <cellStyle name="40% - Accent2 5 2 2 5 2" xfId="16170" xr:uid="{00000000-0005-0000-0000-0000593F0000}"/>
    <cellStyle name="40% - Accent2 5 2 2 6" xfId="16171" xr:uid="{00000000-0005-0000-0000-00005A3F0000}"/>
    <cellStyle name="40% - Accent2 5 2 3" xfId="16172" xr:uid="{00000000-0005-0000-0000-00005B3F0000}"/>
    <cellStyle name="40% - Accent2 5 2 3 2" xfId="16173" xr:uid="{00000000-0005-0000-0000-00005C3F0000}"/>
    <cellStyle name="40% - Accent2 5 2 3 2 2" xfId="16174" xr:uid="{00000000-0005-0000-0000-00005D3F0000}"/>
    <cellStyle name="40% - Accent2 5 2 3 2 2 2" xfId="16175" xr:uid="{00000000-0005-0000-0000-00005E3F0000}"/>
    <cellStyle name="40% - Accent2 5 2 3 2 2 2 2" xfId="16176" xr:uid="{00000000-0005-0000-0000-00005F3F0000}"/>
    <cellStyle name="40% - Accent2 5 2 3 2 2 3" xfId="16177" xr:uid="{00000000-0005-0000-0000-0000603F0000}"/>
    <cellStyle name="40% - Accent2 5 2 3 2 3" xfId="16178" xr:uid="{00000000-0005-0000-0000-0000613F0000}"/>
    <cellStyle name="40% - Accent2 5 2 3 2 3 2" xfId="16179" xr:uid="{00000000-0005-0000-0000-0000623F0000}"/>
    <cellStyle name="40% - Accent2 5 2 3 2 4" xfId="16180" xr:uid="{00000000-0005-0000-0000-0000633F0000}"/>
    <cellStyle name="40% - Accent2 5 2 3 3" xfId="16181" xr:uid="{00000000-0005-0000-0000-0000643F0000}"/>
    <cellStyle name="40% - Accent2 5 2 3 3 2" xfId="16182" xr:uid="{00000000-0005-0000-0000-0000653F0000}"/>
    <cellStyle name="40% - Accent2 5 2 3 3 2 2" xfId="16183" xr:uid="{00000000-0005-0000-0000-0000663F0000}"/>
    <cellStyle name="40% - Accent2 5 2 3 3 3" xfId="16184" xr:uid="{00000000-0005-0000-0000-0000673F0000}"/>
    <cellStyle name="40% - Accent2 5 2 3 4" xfId="16185" xr:uid="{00000000-0005-0000-0000-0000683F0000}"/>
    <cellStyle name="40% - Accent2 5 2 3 4 2" xfId="16186" xr:uid="{00000000-0005-0000-0000-0000693F0000}"/>
    <cellStyle name="40% - Accent2 5 2 3 5" xfId="16187" xr:uid="{00000000-0005-0000-0000-00006A3F0000}"/>
    <cellStyle name="40% - Accent2 5 2 4" xfId="16188" xr:uid="{00000000-0005-0000-0000-00006B3F0000}"/>
    <cellStyle name="40% - Accent2 5 2 4 2" xfId="16189" xr:uid="{00000000-0005-0000-0000-00006C3F0000}"/>
    <cellStyle name="40% - Accent2 5 2 4 2 2" xfId="16190" xr:uid="{00000000-0005-0000-0000-00006D3F0000}"/>
    <cellStyle name="40% - Accent2 5 2 4 2 2 2" xfId="16191" xr:uid="{00000000-0005-0000-0000-00006E3F0000}"/>
    <cellStyle name="40% - Accent2 5 2 4 2 3" xfId="16192" xr:uid="{00000000-0005-0000-0000-00006F3F0000}"/>
    <cellStyle name="40% - Accent2 5 2 4 3" xfId="16193" xr:uid="{00000000-0005-0000-0000-0000703F0000}"/>
    <cellStyle name="40% - Accent2 5 2 4 3 2" xfId="16194" xr:uid="{00000000-0005-0000-0000-0000713F0000}"/>
    <cellStyle name="40% - Accent2 5 2 4 4" xfId="16195" xr:uid="{00000000-0005-0000-0000-0000723F0000}"/>
    <cellStyle name="40% - Accent2 5 2 5" xfId="16196" xr:uid="{00000000-0005-0000-0000-0000733F0000}"/>
    <cellStyle name="40% - Accent2 5 2 5 2" xfId="16197" xr:uid="{00000000-0005-0000-0000-0000743F0000}"/>
    <cellStyle name="40% - Accent2 5 2 5 2 2" xfId="16198" xr:uid="{00000000-0005-0000-0000-0000753F0000}"/>
    <cellStyle name="40% - Accent2 5 2 5 3" xfId="16199" xr:uid="{00000000-0005-0000-0000-0000763F0000}"/>
    <cellStyle name="40% - Accent2 5 2 6" xfId="16200" xr:uid="{00000000-0005-0000-0000-0000773F0000}"/>
    <cellStyle name="40% - Accent2 5 2 6 2" xfId="16201" xr:uid="{00000000-0005-0000-0000-0000783F0000}"/>
    <cellStyle name="40% - Accent2 5 2 7" xfId="16202" xr:uid="{00000000-0005-0000-0000-0000793F0000}"/>
    <cellStyle name="40% - Accent2 5 3" xfId="16203" xr:uid="{00000000-0005-0000-0000-00007A3F0000}"/>
    <cellStyle name="40% - Accent2 5 3 2" xfId="16204" xr:uid="{00000000-0005-0000-0000-00007B3F0000}"/>
    <cellStyle name="40% - Accent2 5 3 2 2" xfId="16205" xr:uid="{00000000-0005-0000-0000-00007C3F0000}"/>
    <cellStyle name="40% - Accent2 5 3 2 2 2" xfId="16206" xr:uid="{00000000-0005-0000-0000-00007D3F0000}"/>
    <cellStyle name="40% - Accent2 5 3 2 2 2 2" xfId="16207" xr:uid="{00000000-0005-0000-0000-00007E3F0000}"/>
    <cellStyle name="40% - Accent2 5 3 2 2 2 2 2" xfId="16208" xr:uid="{00000000-0005-0000-0000-00007F3F0000}"/>
    <cellStyle name="40% - Accent2 5 3 2 2 2 3" xfId="16209" xr:uid="{00000000-0005-0000-0000-0000803F0000}"/>
    <cellStyle name="40% - Accent2 5 3 2 2 3" xfId="16210" xr:uid="{00000000-0005-0000-0000-0000813F0000}"/>
    <cellStyle name="40% - Accent2 5 3 2 2 3 2" xfId="16211" xr:uid="{00000000-0005-0000-0000-0000823F0000}"/>
    <cellStyle name="40% - Accent2 5 3 2 2 4" xfId="16212" xr:uid="{00000000-0005-0000-0000-0000833F0000}"/>
    <cellStyle name="40% - Accent2 5 3 2 3" xfId="16213" xr:uid="{00000000-0005-0000-0000-0000843F0000}"/>
    <cellStyle name="40% - Accent2 5 3 2 3 2" xfId="16214" xr:uid="{00000000-0005-0000-0000-0000853F0000}"/>
    <cellStyle name="40% - Accent2 5 3 2 3 2 2" xfId="16215" xr:uid="{00000000-0005-0000-0000-0000863F0000}"/>
    <cellStyle name="40% - Accent2 5 3 2 3 3" xfId="16216" xr:uid="{00000000-0005-0000-0000-0000873F0000}"/>
    <cellStyle name="40% - Accent2 5 3 2 4" xfId="16217" xr:uid="{00000000-0005-0000-0000-0000883F0000}"/>
    <cellStyle name="40% - Accent2 5 3 2 4 2" xfId="16218" xr:uid="{00000000-0005-0000-0000-0000893F0000}"/>
    <cellStyle name="40% - Accent2 5 3 2 5" xfId="16219" xr:uid="{00000000-0005-0000-0000-00008A3F0000}"/>
    <cellStyle name="40% - Accent2 5 3 3" xfId="16220" xr:uid="{00000000-0005-0000-0000-00008B3F0000}"/>
    <cellStyle name="40% - Accent2 5 3 3 2" xfId="16221" xr:uid="{00000000-0005-0000-0000-00008C3F0000}"/>
    <cellStyle name="40% - Accent2 5 3 3 2 2" xfId="16222" xr:uid="{00000000-0005-0000-0000-00008D3F0000}"/>
    <cellStyle name="40% - Accent2 5 3 3 2 2 2" xfId="16223" xr:uid="{00000000-0005-0000-0000-00008E3F0000}"/>
    <cellStyle name="40% - Accent2 5 3 3 2 3" xfId="16224" xr:uid="{00000000-0005-0000-0000-00008F3F0000}"/>
    <cellStyle name="40% - Accent2 5 3 3 3" xfId="16225" xr:uid="{00000000-0005-0000-0000-0000903F0000}"/>
    <cellStyle name="40% - Accent2 5 3 3 3 2" xfId="16226" xr:uid="{00000000-0005-0000-0000-0000913F0000}"/>
    <cellStyle name="40% - Accent2 5 3 3 4" xfId="16227" xr:uid="{00000000-0005-0000-0000-0000923F0000}"/>
    <cellStyle name="40% - Accent2 5 3 4" xfId="16228" xr:uid="{00000000-0005-0000-0000-0000933F0000}"/>
    <cellStyle name="40% - Accent2 5 3 4 2" xfId="16229" xr:uid="{00000000-0005-0000-0000-0000943F0000}"/>
    <cellStyle name="40% - Accent2 5 3 4 2 2" xfId="16230" xr:uid="{00000000-0005-0000-0000-0000953F0000}"/>
    <cellStyle name="40% - Accent2 5 3 4 3" xfId="16231" xr:uid="{00000000-0005-0000-0000-0000963F0000}"/>
    <cellStyle name="40% - Accent2 5 3 5" xfId="16232" xr:uid="{00000000-0005-0000-0000-0000973F0000}"/>
    <cellStyle name="40% - Accent2 5 3 5 2" xfId="16233" xr:uid="{00000000-0005-0000-0000-0000983F0000}"/>
    <cellStyle name="40% - Accent2 5 3 6" xfId="16234" xr:uid="{00000000-0005-0000-0000-0000993F0000}"/>
    <cellStyle name="40% - Accent2 5 4" xfId="16235" xr:uid="{00000000-0005-0000-0000-00009A3F0000}"/>
    <cellStyle name="40% - Accent2 5 4 2" xfId="16236" xr:uid="{00000000-0005-0000-0000-00009B3F0000}"/>
    <cellStyle name="40% - Accent2 5 4 2 2" xfId="16237" xr:uid="{00000000-0005-0000-0000-00009C3F0000}"/>
    <cellStyle name="40% - Accent2 5 4 2 2 2" xfId="16238" xr:uid="{00000000-0005-0000-0000-00009D3F0000}"/>
    <cellStyle name="40% - Accent2 5 4 2 2 2 2" xfId="16239" xr:uid="{00000000-0005-0000-0000-00009E3F0000}"/>
    <cellStyle name="40% - Accent2 5 4 2 2 3" xfId="16240" xr:uid="{00000000-0005-0000-0000-00009F3F0000}"/>
    <cellStyle name="40% - Accent2 5 4 2 3" xfId="16241" xr:uid="{00000000-0005-0000-0000-0000A03F0000}"/>
    <cellStyle name="40% - Accent2 5 4 2 3 2" xfId="16242" xr:uid="{00000000-0005-0000-0000-0000A13F0000}"/>
    <cellStyle name="40% - Accent2 5 4 2 4" xfId="16243" xr:uid="{00000000-0005-0000-0000-0000A23F0000}"/>
    <cellStyle name="40% - Accent2 5 4 3" xfId="16244" xr:uid="{00000000-0005-0000-0000-0000A33F0000}"/>
    <cellStyle name="40% - Accent2 5 4 3 2" xfId="16245" xr:uid="{00000000-0005-0000-0000-0000A43F0000}"/>
    <cellStyle name="40% - Accent2 5 4 3 2 2" xfId="16246" xr:uid="{00000000-0005-0000-0000-0000A53F0000}"/>
    <cellStyle name="40% - Accent2 5 4 3 3" xfId="16247" xr:uid="{00000000-0005-0000-0000-0000A63F0000}"/>
    <cellStyle name="40% - Accent2 5 4 4" xfId="16248" xr:uid="{00000000-0005-0000-0000-0000A73F0000}"/>
    <cellStyle name="40% - Accent2 5 4 4 2" xfId="16249" xr:uid="{00000000-0005-0000-0000-0000A83F0000}"/>
    <cellStyle name="40% - Accent2 5 4 5" xfId="16250" xr:uid="{00000000-0005-0000-0000-0000A93F0000}"/>
    <cellStyle name="40% - Accent2 5 5" xfId="16251" xr:uid="{00000000-0005-0000-0000-0000AA3F0000}"/>
    <cellStyle name="40% - Accent2 5 5 2" xfId="16252" xr:uid="{00000000-0005-0000-0000-0000AB3F0000}"/>
    <cellStyle name="40% - Accent2 5 5 2 2" xfId="16253" xr:uid="{00000000-0005-0000-0000-0000AC3F0000}"/>
    <cellStyle name="40% - Accent2 5 5 2 2 2" xfId="16254" xr:uid="{00000000-0005-0000-0000-0000AD3F0000}"/>
    <cellStyle name="40% - Accent2 5 5 2 3" xfId="16255" xr:uid="{00000000-0005-0000-0000-0000AE3F0000}"/>
    <cellStyle name="40% - Accent2 5 5 3" xfId="16256" xr:uid="{00000000-0005-0000-0000-0000AF3F0000}"/>
    <cellStyle name="40% - Accent2 5 5 3 2" xfId="16257" xr:uid="{00000000-0005-0000-0000-0000B03F0000}"/>
    <cellStyle name="40% - Accent2 5 5 4" xfId="16258" xr:uid="{00000000-0005-0000-0000-0000B13F0000}"/>
    <cellStyle name="40% - Accent2 5 6" xfId="16259" xr:uid="{00000000-0005-0000-0000-0000B23F0000}"/>
    <cellStyle name="40% - Accent2 5 6 2" xfId="16260" xr:uid="{00000000-0005-0000-0000-0000B33F0000}"/>
    <cellStyle name="40% - Accent2 5 6 2 2" xfId="16261" xr:uid="{00000000-0005-0000-0000-0000B43F0000}"/>
    <cellStyle name="40% - Accent2 5 6 3" xfId="16262" xr:uid="{00000000-0005-0000-0000-0000B53F0000}"/>
    <cellStyle name="40% - Accent2 5 7" xfId="16263" xr:uid="{00000000-0005-0000-0000-0000B63F0000}"/>
    <cellStyle name="40% - Accent2 5 7 2" xfId="16264" xr:uid="{00000000-0005-0000-0000-0000B73F0000}"/>
    <cellStyle name="40% - Accent2 5 8" xfId="16265" xr:uid="{00000000-0005-0000-0000-0000B83F0000}"/>
    <cellStyle name="40% - Accent2 6" xfId="16266" xr:uid="{00000000-0005-0000-0000-0000B93F0000}"/>
    <cellStyle name="40% - Accent2 6 2" xfId="16267" xr:uid="{00000000-0005-0000-0000-0000BA3F0000}"/>
    <cellStyle name="40% - Accent2 6 2 2" xfId="16268" xr:uid="{00000000-0005-0000-0000-0000BB3F0000}"/>
    <cellStyle name="40% - Accent2 6 2 2 2" xfId="16269" xr:uid="{00000000-0005-0000-0000-0000BC3F0000}"/>
    <cellStyle name="40% - Accent2 6 2 2 2 2" xfId="16270" xr:uid="{00000000-0005-0000-0000-0000BD3F0000}"/>
    <cellStyle name="40% - Accent2 6 2 2 2 2 2" xfId="16271" xr:uid="{00000000-0005-0000-0000-0000BE3F0000}"/>
    <cellStyle name="40% - Accent2 6 2 2 2 2 2 2" xfId="16272" xr:uid="{00000000-0005-0000-0000-0000BF3F0000}"/>
    <cellStyle name="40% - Accent2 6 2 2 2 2 3" xfId="16273" xr:uid="{00000000-0005-0000-0000-0000C03F0000}"/>
    <cellStyle name="40% - Accent2 6 2 2 2 3" xfId="16274" xr:uid="{00000000-0005-0000-0000-0000C13F0000}"/>
    <cellStyle name="40% - Accent2 6 2 2 2 3 2" xfId="16275" xr:uid="{00000000-0005-0000-0000-0000C23F0000}"/>
    <cellStyle name="40% - Accent2 6 2 2 2 4" xfId="16276" xr:uid="{00000000-0005-0000-0000-0000C33F0000}"/>
    <cellStyle name="40% - Accent2 6 2 2 3" xfId="16277" xr:uid="{00000000-0005-0000-0000-0000C43F0000}"/>
    <cellStyle name="40% - Accent2 6 2 2 3 2" xfId="16278" xr:uid="{00000000-0005-0000-0000-0000C53F0000}"/>
    <cellStyle name="40% - Accent2 6 2 2 3 2 2" xfId="16279" xr:uid="{00000000-0005-0000-0000-0000C63F0000}"/>
    <cellStyle name="40% - Accent2 6 2 2 3 3" xfId="16280" xr:uid="{00000000-0005-0000-0000-0000C73F0000}"/>
    <cellStyle name="40% - Accent2 6 2 2 4" xfId="16281" xr:uid="{00000000-0005-0000-0000-0000C83F0000}"/>
    <cellStyle name="40% - Accent2 6 2 2 4 2" xfId="16282" xr:uid="{00000000-0005-0000-0000-0000C93F0000}"/>
    <cellStyle name="40% - Accent2 6 2 2 5" xfId="16283" xr:uid="{00000000-0005-0000-0000-0000CA3F0000}"/>
    <cellStyle name="40% - Accent2 6 2 3" xfId="16284" xr:uid="{00000000-0005-0000-0000-0000CB3F0000}"/>
    <cellStyle name="40% - Accent2 6 2 3 2" xfId="16285" xr:uid="{00000000-0005-0000-0000-0000CC3F0000}"/>
    <cellStyle name="40% - Accent2 6 2 3 2 2" xfId="16286" xr:uid="{00000000-0005-0000-0000-0000CD3F0000}"/>
    <cellStyle name="40% - Accent2 6 2 3 2 2 2" xfId="16287" xr:uid="{00000000-0005-0000-0000-0000CE3F0000}"/>
    <cellStyle name="40% - Accent2 6 2 3 2 3" xfId="16288" xr:uid="{00000000-0005-0000-0000-0000CF3F0000}"/>
    <cellStyle name="40% - Accent2 6 2 3 3" xfId="16289" xr:uid="{00000000-0005-0000-0000-0000D03F0000}"/>
    <cellStyle name="40% - Accent2 6 2 3 3 2" xfId="16290" xr:uid="{00000000-0005-0000-0000-0000D13F0000}"/>
    <cellStyle name="40% - Accent2 6 2 3 4" xfId="16291" xr:uid="{00000000-0005-0000-0000-0000D23F0000}"/>
    <cellStyle name="40% - Accent2 6 2 4" xfId="16292" xr:uid="{00000000-0005-0000-0000-0000D33F0000}"/>
    <cellStyle name="40% - Accent2 6 2 4 2" xfId="16293" xr:uid="{00000000-0005-0000-0000-0000D43F0000}"/>
    <cellStyle name="40% - Accent2 6 2 4 2 2" xfId="16294" xr:uid="{00000000-0005-0000-0000-0000D53F0000}"/>
    <cellStyle name="40% - Accent2 6 2 4 3" xfId="16295" xr:uid="{00000000-0005-0000-0000-0000D63F0000}"/>
    <cellStyle name="40% - Accent2 6 2 5" xfId="16296" xr:uid="{00000000-0005-0000-0000-0000D73F0000}"/>
    <cellStyle name="40% - Accent2 6 2 5 2" xfId="16297" xr:uid="{00000000-0005-0000-0000-0000D83F0000}"/>
    <cellStyle name="40% - Accent2 6 2 6" xfId="16298" xr:uid="{00000000-0005-0000-0000-0000D93F0000}"/>
    <cellStyle name="40% - Accent2 6 3" xfId="16299" xr:uid="{00000000-0005-0000-0000-0000DA3F0000}"/>
    <cellStyle name="40% - Accent2 6 3 2" xfId="16300" xr:uid="{00000000-0005-0000-0000-0000DB3F0000}"/>
    <cellStyle name="40% - Accent2 6 3 2 2" xfId="16301" xr:uid="{00000000-0005-0000-0000-0000DC3F0000}"/>
    <cellStyle name="40% - Accent2 6 3 2 2 2" xfId="16302" xr:uid="{00000000-0005-0000-0000-0000DD3F0000}"/>
    <cellStyle name="40% - Accent2 6 3 2 2 2 2" xfId="16303" xr:uid="{00000000-0005-0000-0000-0000DE3F0000}"/>
    <cellStyle name="40% - Accent2 6 3 2 2 3" xfId="16304" xr:uid="{00000000-0005-0000-0000-0000DF3F0000}"/>
    <cellStyle name="40% - Accent2 6 3 2 3" xfId="16305" xr:uid="{00000000-0005-0000-0000-0000E03F0000}"/>
    <cellStyle name="40% - Accent2 6 3 2 3 2" xfId="16306" xr:uid="{00000000-0005-0000-0000-0000E13F0000}"/>
    <cellStyle name="40% - Accent2 6 3 2 4" xfId="16307" xr:uid="{00000000-0005-0000-0000-0000E23F0000}"/>
    <cellStyle name="40% - Accent2 6 3 3" xfId="16308" xr:uid="{00000000-0005-0000-0000-0000E33F0000}"/>
    <cellStyle name="40% - Accent2 6 3 3 2" xfId="16309" xr:uid="{00000000-0005-0000-0000-0000E43F0000}"/>
    <cellStyle name="40% - Accent2 6 3 3 2 2" xfId="16310" xr:uid="{00000000-0005-0000-0000-0000E53F0000}"/>
    <cellStyle name="40% - Accent2 6 3 3 3" xfId="16311" xr:uid="{00000000-0005-0000-0000-0000E63F0000}"/>
    <cellStyle name="40% - Accent2 6 3 4" xfId="16312" xr:uid="{00000000-0005-0000-0000-0000E73F0000}"/>
    <cellStyle name="40% - Accent2 6 3 4 2" xfId="16313" xr:uid="{00000000-0005-0000-0000-0000E83F0000}"/>
    <cellStyle name="40% - Accent2 6 3 5" xfId="16314" xr:uid="{00000000-0005-0000-0000-0000E93F0000}"/>
    <cellStyle name="40% - Accent2 6 4" xfId="16315" xr:uid="{00000000-0005-0000-0000-0000EA3F0000}"/>
    <cellStyle name="40% - Accent2 6 4 2" xfId="16316" xr:uid="{00000000-0005-0000-0000-0000EB3F0000}"/>
    <cellStyle name="40% - Accent2 6 4 2 2" xfId="16317" xr:uid="{00000000-0005-0000-0000-0000EC3F0000}"/>
    <cellStyle name="40% - Accent2 6 4 2 2 2" xfId="16318" xr:uid="{00000000-0005-0000-0000-0000ED3F0000}"/>
    <cellStyle name="40% - Accent2 6 4 2 3" xfId="16319" xr:uid="{00000000-0005-0000-0000-0000EE3F0000}"/>
    <cellStyle name="40% - Accent2 6 4 3" xfId="16320" xr:uid="{00000000-0005-0000-0000-0000EF3F0000}"/>
    <cellStyle name="40% - Accent2 6 4 3 2" xfId="16321" xr:uid="{00000000-0005-0000-0000-0000F03F0000}"/>
    <cellStyle name="40% - Accent2 6 4 4" xfId="16322" xr:uid="{00000000-0005-0000-0000-0000F13F0000}"/>
    <cellStyle name="40% - Accent2 6 5" xfId="16323" xr:uid="{00000000-0005-0000-0000-0000F23F0000}"/>
    <cellStyle name="40% - Accent2 6 5 2" xfId="16324" xr:uid="{00000000-0005-0000-0000-0000F33F0000}"/>
    <cellStyle name="40% - Accent2 6 5 2 2" xfId="16325" xr:uid="{00000000-0005-0000-0000-0000F43F0000}"/>
    <cellStyle name="40% - Accent2 6 5 3" xfId="16326" xr:uid="{00000000-0005-0000-0000-0000F53F0000}"/>
    <cellStyle name="40% - Accent2 6 6" xfId="16327" xr:uid="{00000000-0005-0000-0000-0000F63F0000}"/>
    <cellStyle name="40% - Accent2 6 6 2" xfId="16328" xr:uid="{00000000-0005-0000-0000-0000F73F0000}"/>
    <cellStyle name="40% - Accent2 6 7" xfId="16329" xr:uid="{00000000-0005-0000-0000-0000F83F0000}"/>
    <cellStyle name="40% - Accent2 7" xfId="16330" xr:uid="{00000000-0005-0000-0000-0000F93F0000}"/>
    <cellStyle name="40% - Accent2 7 2" xfId="16331" xr:uid="{00000000-0005-0000-0000-0000FA3F0000}"/>
    <cellStyle name="40% - Accent2 7 2 2" xfId="16332" xr:uid="{00000000-0005-0000-0000-0000FB3F0000}"/>
    <cellStyle name="40% - Accent2 7 2 2 2" xfId="16333" xr:uid="{00000000-0005-0000-0000-0000FC3F0000}"/>
    <cellStyle name="40% - Accent2 7 2 2 2 2" xfId="16334" xr:uid="{00000000-0005-0000-0000-0000FD3F0000}"/>
    <cellStyle name="40% - Accent2 7 2 2 2 2 2" xfId="16335" xr:uid="{00000000-0005-0000-0000-0000FE3F0000}"/>
    <cellStyle name="40% - Accent2 7 2 2 2 3" xfId="16336" xr:uid="{00000000-0005-0000-0000-0000FF3F0000}"/>
    <cellStyle name="40% - Accent2 7 2 2 3" xfId="16337" xr:uid="{00000000-0005-0000-0000-000000400000}"/>
    <cellStyle name="40% - Accent2 7 2 2 3 2" xfId="16338" xr:uid="{00000000-0005-0000-0000-000001400000}"/>
    <cellStyle name="40% - Accent2 7 2 2 4" xfId="16339" xr:uid="{00000000-0005-0000-0000-000002400000}"/>
    <cellStyle name="40% - Accent2 7 2 3" xfId="16340" xr:uid="{00000000-0005-0000-0000-000003400000}"/>
    <cellStyle name="40% - Accent2 7 2 3 2" xfId="16341" xr:uid="{00000000-0005-0000-0000-000004400000}"/>
    <cellStyle name="40% - Accent2 7 2 3 2 2" xfId="16342" xr:uid="{00000000-0005-0000-0000-000005400000}"/>
    <cellStyle name="40% - Accent2 7 2 3 3" xfId="16343" xr:uid="{00000000-0005-0000-0000-000006400000}"/>
    <cellStyle name="40% - Accent2 7 2 4" xfId="16344" xr:uid="{00000000-0005-0000-0000-000007400000}"/>
    <cellStyle name="40% - Accent2 7 2 4 2" xfId="16345" xr:uid="{00000000-0005-0000-0000-000008400000}"/>
    <cellStyle name="40% - Accent2 7 2 5" xfId="16346" xr:uid="{00000000-0005-0000-0000-000009400000}"/>
    <cellStyle name="40% - Accent2 7 3" xfId="16347" xr:uid="{00000000-0005-0000-0000-00000A400000}"/>
    <cellStyle name="40% - Accent2 7 3 2" xfId="16348" xr:uid="{00000000-0005-0000-0000-00000B400000}"/>
    <cellStyle name="40% - Accent2 7 3 2 2" xfId="16349" xr:uid="{00000000-0005-0000-0000-00000C400000}"/>
    <cellStyle name="40% - Accent2 7 3 2 2 2" xfId="16350" xr:uid="{00000000-0005-0000-0000-00000D400000}"/>
    <cellStyle name="40% - Accent2 7 3 2 3" xfId="16351" xr:uid="{00000000-0005-0000-0000-00000E400000}"/>
    <cellStyle name="40% - Accent2 7 3 3" xfId="16352" xr:uid="{00000000-0005-0000-0000-00000F400000}"/>
    <cellStyle name="40% - Accent2 7 3 3 2" xfId="16353" xr:uid="{00000000-0005-0000-0000-000010400000}"/>
    <cellStyle name="40% - Accent2 7 3 4" xfId="16354" xr:uid="{00000000-0005-0000-0000-000011400000}"/>
    <cellStyle name="40% - Accent2 7 4" xfId="16355" xr:uid="{00000000-0005-0000-0000-000012400000}"/>
    <cellStyle name="40% - Accent2 7 4 2" xfId="16356" xr:uid="{00000000-0005-0000-0000-000013400000}"/>
    <cellStyle name="40% - Accent2 7 4 2 2" xfId="16357" xr:uid="{00000000-0005-0000-0000-000014400000}"/>
    <cellStyle name="40% - Accent2 7 4 3" xfId="16358" xr:uid="{00000000-0005-0000-0000-000015400000}"/>
    <cellStyle name="40% - Accent2 7 5" xfId="16359" xr:uid="{00000000-0005-0000-0000-000016400000}"/>
    <cellStyle name="40% - Accent2 7 5 2" xfId="16360" xr:uid="{00000000-0005-0000-0000-000017400000}"/>
    <cellStyle name="40% - Accent2 7 6" xfId="16361" xr:uid="{00000000-0005-0000-0000-000018400000}"/>
    <cellStyle name="40% - Accent2 8" xfId="16362" xr:uid="{00000000-0005-0000-0000-000019400000}"/>
    <cellStyle name="40% - Accent2 8 2" xfId="16363" xr:uid="{00000000-0005-0000-0000-00001A400000}"/>
    <cellStyle name="40% - Accent2 8 2 2" xfId="16364" xr:uid="{00000000-0005-0000-0000-00001B400000}"/>
    <cellStyle name="40% - Accent2 8 2 2 2" xfId="16365" xr:uid="{00000000-0005-0000-0000-00001C400000}"/>
    <cellStyle name="40% - Accent2 8 2 2 2 2" xfId="16366" xr:uid="{00000000-0005-0000-0000-00001D400000}"/>
    <cellStyle name="40% - Accent2 8 2 2 3" xfId="16367" xr:uid="{00000000-0005-0000-0000-00001E400000}"/>
    <cellStyle name="40% - Accent2 8 2 3" xfId="16368" xr:uid="{00000000-0005-0000-0000-00001F400000}"/>
    <cellStyle name="40% - Accent2 8 2 3 2" xfId="16369" xr:uid="{00000000-0005-0000-0000-000020400000}"/>
    <cellStyle name="40% - Accent2 8 2 4" xfId="16370" xr:uid="{00000000-0005-0000-0000-000021400000}"/>
    <cellStyle name="40% - Accent2 8 3" xfId="16371" xr:uid="{00000000-0005-0000-0000-000022400000}"/>
    <cellStyle name="40% - Accent2 8 3 2" xfId="16372" xr:uid="{00000000-0005-0000-0000-000023400000}"/>
    <cellStyle name="40% - Accent2 8 3 2 2" xfId="16373" xr:uid="{00000000-0005-0000-0000-000024400000}"/>
    <cellStyle name="40% - Accent2 8 3 3" xfId="16374" xr:uid="{00000000-0005-0000-0000-000025400000}"/>
    <cellStyle name="40% - Accent2 8 4" xfId="16375" xr:uid="{00000000-0005-0000-0000-000026400000}"/>
    <cellStyle name="40% - Accent2 8 4 2" xfId="16376" xr:uid="{00000000-0005-0000-0000-000027400000}"/>
    <cellStyle name="40% - Accent2 8 5" xfId="16377" xr:uid="{00000000-0005-0000-0000-000028400000}"/>
    <cellStyle name="40% - Accent2 9" xfId="16378" xr:uid="{00000000-0005-0000-0000-000029400000}"/>
    <cellStyle name="40% - Accent2 9 2" xfId="16379" xr:uid="{00000000-0005-0000-0000-00002A400000}"/>
    <cellStyle name="40% - Accent2 9 2 2" xfId="16380" xr:uid="{00000000-0005-0000-0000-00002B400000}"/>
    <cellStyle name="40% - Accent2 9 2 2 2" xfId="16381" xr:uid="{00000000-0005-0000-0000-00002C400000}"/>
    <cellStyle name="40% - Accent2 9 2 3" xfId="16382" xr:uid="{00000000-0005-0000-0000-00002D400000}"/>
    <cellStyle name="40% - Accent2 9 3" xfId="16383" xr:uid="{00000000-0005-0000-0000-00002E400000}"/>
    <cellStyle name="40% - Accent2 9 3 2" xfId="16384" xr:uid="{00000000-0005-0000-0000-00002F400000}"/>
    <cellStyle name="40% - Accent2 9 4" xfId="16385" xr:uid="{00000000-0005-0000-0000-000030400000}"/>
    <cellStyle name="40% - Accent3 10" xfId="16386" xr:uid="{00000000-0005-0000-0000-000031400000}"/>
    <cellStyle name="40% - Accent3 10 2" xfId="16387" xr:uid="{00000000-0005-0000-0000-000032400000}"/>
    <cellStyle name="40% - Accent3 10 2 2" xfId="16388" xr:uid="{00000000-0005-0000-0000-000033400000}"/>
    <cellStyle name="40% - Accent3 10 3" xfId="16389" xr:uid="{00000000-0005-0000-0000-000034400000}"/>
    <cellStyle name="40% - Accent3 11" xfId="16390" xr:uid="{00000000-0005-0000-0000-000035400000}"/>
    <cellStyle name="40% - Accent3 11 2" xfId="16391" xr:uid="{00000000-0005-0000-0000-000036400000}"/>
    <cellStyle name="40% - Accent3 12" xfId="16392" xr:uid="{00000000-0005-0000-0000-000037400000}"/>
    <cellStyle name="40% - Accent3 13" xfId="16393" xr:uid="{00000000-0005-0000-0000-000038400000}"/>
    <cellStyle name="40% - Accent3 2" xfId="16394" xr:uid="{00000000-0005-0000-0000-000039400000}"/>
    <cellStyle name="40% - Accent3 2 10" xfId="16395" xr:uid="{00000000-0005-0000-0000-00003A400000}"/>
    <cellStyle name="40% - Accent3 2 10 2" xfId="16396" xr:uid="{00000000-0005-0000-0000-00003B400000}"/>
    <cellStyle name="40% - Accent3 2 11" xfId="16397" xr:uid="{00000000-0005-0000-0000-00003C400000}"/>
    <cellStyle name="40% - Accent3 2 2" xfId="16398" xr:uid="{00000000-0005-0000-0000-00003D400000}"/>
    <cellStyle name="40% - Accent3 2 2 10" xfId="16399" xr:uid="{00000000-0005-0000-0000-00003E400000}"/>
    <cellStyle name="40% - Accent3 2 2 2" xfId="16400" xr:uid="{00000000-0005-0000-0000-00003F400000}"/>
    <cellStyle name="40% - Accent3 2 2 2 2" xfId="16401" xr:uid="{00000000-0005-0000-0000-000040400000}"/>
    <cellStyle name="40% - Accent3 2 2 2 2 2" xfId="16402" xr:uid="{00000000-0005-0000-0000-000041400000}"/>
    <cellStyle name="40% - Accent3 2 2 2 2 2 2" xfId="16403" xr:uid="{00000000-0005-0000-0000-000042400000}"/>
    <cellStyle name="40% - Accent3 2 2 2 2 2 2 2" xfId="16404" xr:uid="{00000000-0005-0000-0000-000043400000}"/>
    <cellStyle name="40% - Accent3 2 2 2 2 2 2 2 2" xfId="16405" xr:uid="{00000000-0005-0000-0000-000044400000}"/>
    <cellStyle name="40% - Accent3 2 2 2 2 2 2 2 2 2" xfId="16406" xr:uid="{00000000-0005-0000-0000-000045400000}"/>
    <cellStyle name="40% - Accent3 2 2 2 2 2 2 2 2 2 2" xfId="16407" xr:uid="{00000000-0005-0000-0000-000046400000}"/>
    <cellStyle name="40% - Accent3 2 2 2 2 2 2 2 2 2 2 2" xfId="16408" xr:uid="{00000000-0005-0000-0000-000047400000}"/>
    <cellStyle name="40% - Accent3 2 2 2 2 2 2 2 2 2 3" xfId="16409" xr:uid="{00000000-0005-0000-0000-000048400000}"/>
    <cellStyle name="40% - Accent3 2 2 2 2 2 2 2 2 3" xfId="16410" xr:uid="{00000000-0005-0000-0000-000049400000}"/>
    <cellStyle name="40% - Accent3 2 2 2 2 2 2 2 2 3 2" xfId="16411" xr:uid="{00000000-0005-0000-0000-00004A400000}"/>
    <cellStyle name="40% - Accent3 2 2 2 2 2 2 2 2 4" xfId="16412" xr:uid="{00000000-0005-0000-0000-00004B400000}"/>
    <cellStyle name="40% - Accent3 2 2 2 2 2 2 2 3" xfId="16413" xr:uid="{00000000-0005-0000-0000-00004C400000}"/>
    <cellStyle name="40% - Accent3 2 2 2 2 2 2 2 3 2" xfId="16414" xr:uid="{00000000-0005-0000-0000-00004D400000}"/>
    <cellStyle name="40% - Accent3 2 2 2 2 2 2 2 3 2 2" xfId="16415" xr:uid="{00000000-0005-0000-0000-00004E400000}"/>
    <cellStyle name="40% - Accent3 2 2 2 2 2 2 2 3 3" xfId="16416" xr:uid="{00000000-0005-0000-0000-00004F400000}"/>
    <cellStyle name="40% - Accent3 2 2 2 2 2 2 2 4" xfId="16417" xr:uid="{00000000-0005-0000-0000-000050400000}"/>
    <cellStyle name="40% - Accent3 2 2 2 2 2 2 2 4 2" xfId="16418" xr:uid="{00000000-0005-0000-0000-000051400000}"/>
    <cellStyle name="40% - Accent3 2 2 2 2 2 2 2 5" xfId="16419" xr:uid="{00000000-0005-0000-0000-000052400000}"/>
    <cellStyle name="40% - Accent3 2 2 2 2 2 2 3" xfId="16420" xr:uid="{00000000-0005-0000-0000-000053400000}"/>
    <cellStyle name="40% - Accent3 2 2 2 2 2 2 3 2" xfId="16421" xr:uid="{00000000-0005-0000-0000-000054400000}"/>
    <cellStyle name="40% - Accent3 2 2 2 2 2 2 3 2 2" xfId="16422" xr:uid="{00000000-0005-0000-0000-000055400000}"/>
    <cellStyle name="40% - Accent3 2 2 2 2 2 2 3 2 2 2" xfId="16423" xr:uid="{00000000-0005-0000-0000-000056400000}"/>
    <cellStyle name="40% - Accent3 2 2 2 2 2 2 3 2 3" xfId="16424" xr:uid="{00000000-0005-0000-0000-000057400000}"/>
    <cellStyle name="40% - Accent3 2 2 2 2 2 2 3 3" xfId="16425" xr:uid="{00000000-0005-0000-0000-000058400000}"/>
    <cellStyle name="40% - Accent3 2 2 2 2 2 2 3 3 2" xfId="16426" xr:uid="{00000000-0005-0000-0000-000059400000}"/>
    <cellStyle name="40% - Accent3 2 2 2 2 2 2 3 4" xfId="16427" xr:uid="{00000000-0005-0000-0000-00005A400000}"/>
    <cellStyle name="40% - Accent3 2 2 2 2 2 2 4" xfId="16428" xr:uid="{00000000-0005-0000-0000-00005B400000}"/>
    <cellStyle name="40% - Accent3 2 2 2 2 2 2 4 2" xfId="16429" xr:uid="{00000000-0005-0000-0000-00005C400000}"/>
    <cellStyle name="40% - Accent3 2 2 2 2 2 2 4 2 2" xfId="16430" xr:uid="{00000000-0005-0000-0000-00005D400000}"/>
    <cellStyle name="40% - Accent3 2 2 2 2 2 2 4 3" xfId="16431" xr:uid="{00000000-0005-0000-0000-00005E400000}"/>
    <cellStyle name="40% - Accent3 2 2 2 2 2 2 5" xfId="16432" xr:uid="{00000000-0005-0000-0000-00005F400000}"/>
    <cellStyle name="40% - Accent3 2 2 2 2 2 2 5 2" xfId="16433" xr:uid="{00000000-0005-0000-0000-000060400000}"/>
    <cellStyle name="40% - Accent3 2 2 2 2 2 2 6" xfId="16434" xr:uid="{00000000-0005-0000-0000-000061400000}"/>
    <cellStyle name="40% - Accent3 2 2 2 2 2 3" xfId="16435" xr:uid="{00000000-0005-0000-0000-000062400000}"/>
    <cellStyle name="40% - Accent3 2 2 2 2 2 3 2" xfId="16436" xr:uid="{00000000-0005-0000-0000-000063400000}"/>
    <cellStyle name="40% - Accent3 2 2 2 2 2 3 2 2" xfId="16437" xr:uid="{00000000-0005-0000-0000-000064400000}"/>
    <cellStyle name="40% - Accent3 2 2 2 2 2 3 2 2 2" xfId="16438" xr:uid="{00000000-0005-0000-0000-000065400000}"/>
    <cellStyle name="40% - Accent3 2 2 2 2 2 3 2 2 2 2" xfId="16439" xr:uid="{00000000-0005-0000-0000-000066400000}"/>
    <cellStyle name="40% - Accent3 2 2 2 2 2 3 2 2 3" xfId="16440" xr:uid="{00000000-0005-0000-0000-000067400000}"/>
    <cellStyle name="40% - Accent3 2 2 2 2 2 3 2 3" xfId="16441" xr:uid="{00000000-0005-0000-0000-000068400000}"/>
    <cellStyle name="40% - Accent3 2 2 2 2 2 3 2 3 2" xfId="16442" xr:uid="{00000000-0005-0000-0000-000069400000}"/>
    <cellStyle name="40% - Accent3 2 2 2 2 2 3 2 4" xfId="16443" xr:uid="{00000000-0005-0000-0000-00006A400000}"/>
    <cellStyle name="40% - Accent3 2 2 2 2 2 3 3" xfId="16444" xr:uid="{00000000-0005-0000-0000-00006B400000}"/>
    <cellStyle name="40% - Accent3 2 2 2 2 2 3 3 2" xfId="16445" xr:uid="{00000000-0005-0000-0000-00006C400000}"/>
    <cellStyle name="40% - Accent3 2 2 2 2 2 3 3 2 2" xfId="16446" xr:uid="{00000000-0005-0000-0000-00006D400000}"/>
    <cellStyle name="40% - Accent3 2 2 2 2 2 3 3 3" xfId="16447" xr:uid="{00000000-0005-0000-0000-00006E400000}"/>
    <cellStyle name="40% - Accent3 2 2 2 2 2 3 4" xfId="16448" xr:uid="{00000000-0005-0000-0000-00006F400000}"/>
    <cellStyle name="40% - Accent3 2 2 2 2 2 3 4 2" xfId="16449" xr:uid="{00000000-0005-0000-0000-000070400000}"/>
    <cellStyle name="40% - Accent3 2 2 2 2 2 3 5" xfId="16450" xr:uid="{00000000-0005-0000-0000-000071400000}"/>
    <cellStyle name="40% - Accent3 2 2 2 2 2 4" xfId="16451" xr:uid="{00000000-0005-0000-0000-000072400000}"/>
    <cellStyle name="40% - Accent3 2 2 2 2 2 4 2" xfId="16452" xr:uid="{00000000-0005-0000-0000-000073400000}"/>
    <cellStyle name="40% - Accent3 2 2 2 2 2 4 2 2" xfId="16453" xr:uid="{00000000-0005-0000-0000-000074400000}"/>
    <cellStyle name="40% - Accent3 2 2 2 2 2 4 2 2 2" xfId="16454" xr:uid="{00000000-0005-0000-0000-000075400000}"/>
    <cellStyle name="40% - Accent3 2 2 2 2 2 4 2 3" xfId="16455" xr:uid="{00000000-0005-0000-0000-000076400000}"/>
    <cellStyle name="40% - Accent3 2 2 2 2 2 4 3" xfId="16456" xr:uid="{00000000-0005-0000-0000-000077400000}"/>
    <cellStyle name="40% - Accent3 2 2 2 2 2 4 3 2" xfId="16457" xr:uid="{00000000-0005-0000-0000-000078400000}"/>
    <cellStyle name="40% - Accent3 2 2 2 2 2 4 4" xfId="16458" xr:uid="{00000000-0005-0000-0000-000079400000}"/>
    <cellStyle name="40% - Accent3 2 2 2 2 2 5" xfId="16459" xr:uid="{00000000-0005-0000-0000-00007A400000}"/>
    <cellStyle name="40% - Accent3 2 2 2 2 2 5 2" xfId="16460" xr:uid="{00000000-0005-0000-0000-00007B400000}"/>
    <cellStyle name="40% - Accent3 2 2 2 2 2 5 2 2" xfId="16461" xr:uid="{00000000-0005-0000-0000-00007C400000}"/>
    <cellStyle name="40% - Accent3 2 2 2 2 2 5 3" xfId="16462" xr:uid="{00000000-0005-0000-0000-00007D400000}"/>
    <cellStyle name="40% - Accent3 2 2 2 2 2 6" xfId="16463" xr:uid="{00000000-0005-0000-0000-00007E400000}"/>
    <cellStyle name="40% - Accent3 2 2 2 2 2 6 2" xfId="16464" xr:uid="{00000000-0005-0000-0000-00007F400000}"/>
    <cellStyle name="40% - Accent3 2 2 2 2 2 7" xfId="16465" xr:uid="{00000000-0005-0000-0000-000080400000}"/>
    <cellStyle name="40% - Accent3 2 2 2 2 3" xfId="16466" xr:uid="{00000000-0005-0000-0000-000081400000}"/>
    <cellStyle name="40% - Accent3 2 2 2 2 3 2" xfId="16467" xr:uid="{00000000-0005-0000-0000-000082400000}"/>
    <cellStyle name="40% - Accent3 2 2 2 2 3 2 2" xfId="16468" xr:uid="{00000000-0005-0000-0000-000083400000}"/>
    <cellStyle name="40% - Accent3 2 2 2 2 3 2 2 2" xfId="16469" xr:uid="{00000000-0005-0000-0000-000084400000}"/>
    <cellStyle name="40% - Accent3 2 2 2 2 3 2 2 2 2" xfId="16470" xr:uid="{00000000-0005-0000-0000-000085400000}"/>
    <cellStyle name="40% - Accent3 2 2 2 2 3 2 2 2 2 2" xfId="16471" xr:uid="{00000000-0005-0000-0000-000086400000}"/>
    <cellStyle name="40% - Accent3 2 2 2 2 3 2 2 2 3" xfId="16472" xr:uid="{00000000-0005-0000-0000-000087400000}"/>
    <cellStyle name="40% - Accent3 2 2 2 2 3 2 2 3" xfId="16473" xr:uid="{00000000-0005-0000-0000-000088400000}"/>
    <cellStyle name="40% - Accent3 2 2 2 2 3 2 2 3 2" xfId="16474" xr:uid="{00000000-0005-0000-0000-000089400000}"/>
    <cellStyle name="40% - Accent3 2 2 2 2 3 2 2 4" xfId="16475" xr:uid="{00000000-0005-0000-0000-00008A400000}"/>
    <cellStyle name="40% - Accent3 2 2 2 2 3 2 3" xfId="16476" xr:uid="{00000000-0005-0000-0000-00008B400000}"/>
    <cellStyle name="40% - Accent3 2 2 2 2 3 2 3 2" xfId="16477" xr:uid="{00000000-0005-0000-0000-00008C400000}"/>
    <cellStyle name="40% - Accent3 2 2 2 2 3 2 3 2 2" xfId="16478" xr:uid="{00000000-0005-0000-0000-00008D400000}"/>
    <cellStyle name="40% - Accent3 2 2 2 2 3 2 3 3" xfId="16479" xr:uid="{00000000-0005-0000-0000-00008E400000}"/>
    <cellStyle name="40% - Accent3 2 2 2 2 3 2 4" xfId="16480" xr:uid="{00000000-0005-0000-0000-00008F400000}"/>
    <cellStyle name="40% - Accent3 2 2 2 2 3 2 4 2" xfId="16481" xr:uid="{00000000-0005-0000-0000-000090400000}"/>
    <cellStyle name="40% - Accent3 2 2 2 2 3 2 5" xfId="16482" xr:uid="{00000000-0005-0000-0000-000091400000}"/>
    <cellStyle name="40% - Accent3 2 2 2 2 3 3" xfId="16483" xr:uid="{00000000-0005-0000-0000-000092400000}"/>
    <cellStyle name="40% - Accent3 2 2 2 2 3 3 2" xfId="16484" xr:uid="{00000000-0005-0000-0000-000093400000}"/>
    <cellStyle name="40% - Accent3 2 2 2 2 3 3 2 2" xfId="16485" xr:uid="{00000000-0005-0000-0000-000094400000}"/>
    <cellStyle name="40% - Accent3 2 2 2 2 3 3 2 2 2" xfId="16486" xr:uid="{00000000-0005-0000-0000-000095400000}"/>
    <cellStyle name="40% - Accent3 2 2 2 2 3 3 2 3" xfId="16487" xr:uid="{00000000-0005-0000-0000-000096400000}"/>
    <cellStyle name="40% - Accent3 2 2 2 2 3 3 3" xfId="16488" xr:uid="{00000000-0005-0000-0000-000097400000}"/>
    <cellStyle name="40% - Accent3 2 2 2 2 3 3 3 2" xfId="16489" xr:uid="{00000000-0005-0000-0000-000098400000}"/>
    <cellStyle name="40% - Accent3 2 2 2 2 3 3 4" xfId="16490" xr:uid="{00000000-0005-0000-0000-000099400000}"/>
    <cellStyle name="40% - Accent3 2 2 2 2 3 4" xfId="16491" xr:uid="{00000000-0005-0000-0000-00009A400000}"/>
    <cellStyle name="40% - Accent3 2 2 2 2 3 4 2" xfId="16492" xr:uid="{00000000-0005-0000-0000-00009B400000}"/>
    <cellStyle name="40% - Accent3 2 2 2 2 3 4 2 2" xfId="16493" xr:uid="{00000000-0005-0000-0000-00009C400000}"/>
    <cellStyle name="40% - Accent3 2 2 2 2 3 4 3" xfId="16494" xr:uid="{00000000-0005-0000-0000-00009D400000}"/>
    <cellStyle name="40% - Accent3 2 2 2 2 3 5" xfId="16495" xr:uid="{00000000-0005-0000-0000-00009E400000}"/>
    <cellStyle name="40% - Accent3 2 2 2 2 3 5 2" xfId="16496" xr:uid="{00000000-0005-0000-0000-00009F400000}"/>
    <cellStyle name="40% - Accent3 2 2 2 2 3 6" xfId="16497" xr:uid="{00000000-0005-0000-0000-0000A0400000}"/>
    <cellStyle name="40% - Accent3 2 2 2 2 4" xfId="16498" xr:uid="{00000000-0005-0000-0000-0000A1400000}"/>
    <cellStyle name="40% - Accent3 2 2 2 2 4 2" xfId="16499" xr:uid="{00000000-0005-0000-0000-0000A2400000}"/>
    <cellStyle name="40% - Accent3 2 2 2 2 4 2 2" xfId="16500" xr:uid="{00000000-0005-0000-0000-0000A3400000}"/>
    <cellStyle name="40% - Accent3 2 2 2 2 4 2 2 2" xfId="16501" xr:uid="{00000000-0005-0000-0000-0000A4400000}"/>
    <cellStyle name="40% - Accent3 2 2 2 2 4 2 2 2 2" xfId="16502" xr:uid="{00000000-0005-0000-0000-0000A5400000}"/>
    <cellStyle name="40% - Accent3 2 2 2 2 4 2 2 3" xfId="16503" xr:uid="{00000000-0005-0000-0000-0000A6400000}"/>
    <cellStyle name="40% - Accent3 2 2 2 2 4 2 3" xfId="16504" xr:uid="{00000000-0005-0000-0000-0000A7400000}"/>
    <cellStyle name="40% - Accent3 2 2 2 2 4 2 3 2" xfId="16505" xr:uid="{00000000-0005-0000-0000-0000A8400000}"/>
    <cellStyle name="40% - Accent3 2 2 2 2 4 2 4" xfId="16506" xr:uid="{00000000-0005-0000-0000-0000A9400000}"/>
    <cellStyle name="40% - Accent3 2 2 2 2 4 3" xfId="16507" xr:uid="{00000000-0005-0000-0000-0000AA400000}"/>
    <cellStyle name="40% - Accent3 2 2 2 2 4 3 2" xfId="16508" xr:uid="{00000000-0005-0000-0000-0000AB400000}"/>
    <cellStyle name="40% - Accent3 2 2 2 2 4 3 2 2" xfId="16509" xr:uid="{00000000-0005-0000-0000-0000AC400000}"/>
    <cellStyle name="40% - Accent3 2 2 2 2 4 3 3" xfId="16510" xr:uid="{00000000-0005-0000-0000-0000AD400000}"/>
    <cellStyle name="40% - Accent3 2 2 2 2 4 4" xfId="16511" xr:uid="{00000000-0005-0000-0000-0000AE400000}"/>
    <cellStyle name="40% - Accent3 2 2 2 2 4 4 2" xfId="16512" xr:uid="{00000000-0005-0000-0000-0000AF400000}"/>
    <cellStyle name="40% - Accent3 2 2 2 2 4 5" xfId="16513" xr:uid="{00000000-0005-0000-0000-0000B0400000}"/>
    <cellStyle name="40% - Accent3 2 2 2 2 5" xfId="16514" xr:uid="{00000000-0005-0000-0000-0000B1400000}"/>
    <cellStyle name="40% - Accent3 2 2 2 2 5 2" xfId="16515" xr:uid="{00000000-0005-0000-0000-0000B2400000}"/>
    <cellStyle name="40% - Accent3 2 2 2 2 5 2 2" xfId="16516" xr:uid="{00000000-0005-0000-0000-0000B3400000}"/>
    <cellStyle name="40% - Accent3 2 2 2 2 5 2 2 2" xfId="16517" xr:uid="{00000000-0005-0000-0000-0000B4400000}"/>
    <cellStyle name="40% - Accent3 2 2 2 2 5 2 3" xfId="16518" xr:uid="{00000000-0005-0000-0000-0000B5400000}"/>
    <cellStyle name="40% - Accent3 2 2 2 2 5 3" xfId="16519" xr:uid="{00000000-0005-0000-0000-0000B6400000}"/>
    <cellStyle name="40% - Accent3 2 2 2 2 5 3 2" xfId="16520" xr:uid="{00000000-0005-0000-0000-0000B7400000}"/>
    <cellStyle name="40% - Accent3 2 2 2 2 5 4" xfId="16521" xr:uid="{00000000-0005-0000-0000-0000B8400000}"/>
    <cellStyle name="40% - Accent3 2 2 2 2 6" xfId="16522" xr:uid="{00000000-0005-0000-0000-0000B9400000}"/>
    <cellStyle name="40% - Accent3 2 2 2 2 6 2" xfId="16523" xr:uid="{00000000-0005-0000-0000-0000BA400000}"/>
    <cellStyle name="40% - Accent3 2 2 2 2 6 2 2" xfId="16524" xr:uid="{00000000-0005-0000-0000-0000BB400000}"/>
    <cellStyle name="40% - Accent3 2 2 2 2 6 3" xfId="16525" xr:uid="{00000000-0005-0000-0000-0000BC400000}"/>
    <cellStyle name="40% - Accent3 2 2 2 2 7" xfId="16526" xr:uid="{00000000-0005-0000-0000-0000BD400000}"/>
    <cellStyle name="40% - Accent3 2 2 2 2 7 2" xfId="16527" xr:uid="{00000000-0005-0000-0000-0000BE400000}"/>
    <cellStyle name="40% - Accent3 2 2 2 2 8" xfId="16528" xr:uid="{00000000-0005-0000-0000-0000BF400000}"/>
    <cellStyle name="40% - Accent3 2 2 2 3" xfId="16529" xr:uid="{00000000-0005-0000-0000-0000C0400000}"/>
    <cellStyle name="40% - Accent3 2 2 2 3 2" xfId="16530" xr:uid="{00000000-0005-0000-0000-0000C1400000}"/>
    <cellStyle name="40% - Accent3 2 2 2 3 2 2" xfId="16531" xr:uid="{00000000-0005-0000-0000-0000C2400000}"/>
    <cellStyle name="40% - Accent3 2 2 2 3 2 2 2" xfId="16532" xr:uid="{00000000-0005-0000-0000-0000C3400000}"/>
    <cellStyle name="40% - Accent3 2 2 2 3 2 2 2 2" xfId="16533" xr:uid="{00000000-0005-0000-0000-0000C4400000}"/>
    <cellStyle name="40% - Accent3 2 2 2 3 2 2 2 2 2" xfId="16534" xr:uid="{00000000-0005-0000-0000-0000C5400000}"/>
    <cellStyle name="40% - Accent3 2 2 2 3 2 2 2 2 2 2" xfId="16535" xr:uid="{00000000-0005-0000-0000-0000C6400000}"/>
    <cellStyle name="40% - Accent3 2 2 2 3 2 2 2 2 3" xfId="16536" xr:uid="{00000000-0005-0000-0000-0000C7400000}"/>
    <cellStyle name="40% - Accent3 2 2 2 3 2 2 2 3" xfId="16537" xr:uid="{00000000-0005-0000-0000-0000C8400000}"/>
    <cellStyle name="40% - Accent3 2 2 2 3 2 2 2 3 2" xfId="16538" xr:uid="{00000000-0005-0000-0000-0000C9400000}"/>
    <cellStyle name="40% - Accent3 2 2 2 3 2 2 2 4" xfId="16539" xr:uid="{00000000-0005-0000-0000-0000CA400000}"/>
    <cellStyle name="40% - Accent3 2 2 2 3 2 2 3" xfId="16540" xr:uid="{00000000-0005-0000-0000-0000CB400000}"/>
    <cellStyle name="40% - Accent3 2 2 2 3 2 2 3 2" xfId="16541" xr:uid="{00000000-0005-0000-0000-0000CC400000}"/>
    <cellStyle name="40% - Accent3 2 2 2 3 2 2 3 2 2" xfId="16542" xr:uid="{00000000-0005-0000-0000-0000CD400000}"/>
    <cellStyle name="40% - Accent3 2 2 2 3 2 2 3 3" xfId="16543" xr:uid="{00000000-0005-0000-0000-0000CE400000}"/>
    <cellStyle name="40% - Accent3 2 2 2 3 2 2 4" xfId="16544" xr:uid="{00000000-0005-0000-0000-0000CF400000}"/>
    <cellStyle name="40% - Accent3 2 2 2 3 2 2 4 2" xfId="16545" xr:uid="{00000000-0005-0000-0000-0000D0400000}"/>
    <cellStyle name="40% - Accent3 2 2 2 3 2 2 5" xfId="16546" xr:uid="{00000000-0005-0000-0000-0000D1400000}"/>
    <cellStyle name="40% - Accent3 2 2 2 3 2 3" xfId="16547" xr:uid="{00000000-0005-0000-0000-0000D2400000}"/>
    <cellStyle name="40% - Accent3 2 2 2 3 2 3 2" xfId="16548" xr:uid="{00000000-0005-0000-0000-0000D3400000}"/>
    <cellStyle name="40% - Accent3 2 2 2 3 2 3 2 2" xfId="16549" xr:uid="{00000000-0005-0000-0000-0000D4400000}"/>
    <cellStyle name="40% - Accent3 2 2 2 3 2 3 2 2 2" xfId="16550" xr:uid="{00000000-0005-0000-0000-0000D5400000}"/>
    <cellStyle name="40% - Accent3 2 2 2 3 2 3 2 3" xfId="16551" xr:uid="{00000000-0005-0000-0000-0000D6400000}"/>
    <cellStyle name="40% - Accent3 2 2 2 3 2 3 3" xfId="16552" xr:uid="{00000000-0005-0000-0000-0000D7400000}"/>
    <cellStyle name="40% - Accent3 2 2 2 3 2 3 3 2" xfId="16553" xr:uid="{00000000-0005-0000-0000-0000D8400000}"/>
    <cellStyle name="40% - Accent3 2 2 2 3 2 3 4" xfId="16554" xr:uid="{00000000-0005-0000-0000-0000D9400000}"/>
    <cellStyle name="40% - Accent3 2 2 2 3 2 4" xfId="16555" xr:uid="{00000000-0005-0000-0000-0000DA400000}"/>
    <cellStyle name="40% - Accent3 2 2 2 3 2 4 2" xfId="16556" xr:uid="{00000000-0005-0000-0000-0000DB400000}"/>
    <cellStyle name="40% - Accent3 2 2 2 3 2 4 2 2" xfId="16557" xr:uid="{00000000-0005-0000-0000-0000DC400000}"/>
    <cellStyle name="40% - Accent3 2 2 2 3 2 4 3" xfId="16558" xr:uid="{00000000-0005-0000-0000-0000DD400000}"/>
    <cellStyle name="40% - Accent3 2 2 2 3 2 5" xfId="16559" xr:uid="{00000000-0005-0000-0000-0000DE400000}"/>
    <cellStyle name="40% - Accent3 2 2 2 3 2 5 2" xfId="16560" xr:uid="{00000000-0005-0000-0000-0000DF400000}"/>
    <cellStyle name="40% - Accent3 2 2 2 3 2 6" xfId="16561" xr:uid="{00000000-0005-0000-0000-0000E0400000}"/>
    <cellStyle name="40% - Accent3 2 2 2 3 3" xfId="16562" xr:uid="{00000000-0005-0000-0000-0000E1400000}"/>
    <cellStyle name="40% - Accent3 2 2 2 3 3 2" xfId="16563" xr:uid="{00000000-0005-0000-0000-0000E2400000}"/>
    <cellStyle name="40% - Accent3 2 2 2 3 3 2 2" xfId="16564" xr:uid="{00000000-0005-0000-0000-0000E3400000}"/>
    <cellStyle name="40% - Accent3 2 2 2 3 3 2 2 2" xfId="16565" xr:uid="{00000000-0005-0000-0000-0000E4400000}"/>
    <cellStyle name="40% - Accent3 2 2 2 3 3 2 2 2 2" xfId="16566" xr:uid="{00000000-0005-0000-0000-0000E5400000}"/>
    <cellStyle name="40% - Accent3 2 2 2 3 3 2 2 3" xfId="16567" xr:uid="{00000000-0005-0000-0000-0000E6400000}"/>
    <cellStyle name="40% - Accent3 2 2 2 3 3 2 3" xfId="16568" xr:uid="{00000000-0005-0000-0000-0000E7400000}"/>
    <cellStyle name="40% - Accent3 2 2 2 3 3 2 3 2" xfId="16569" xr:uid="{00000000-0005-0000-0000-0000E8400000}"/>
    <cellStyle name="40% - Accent3 2 2 2 3 3 2 4" xfId="16570" xr:uid="{00000000-0005-0000-0000-0000E9400000}"/>
    <cellStyle name="40% - Accent3 2 2 2 3 3 3" xfId="16571" xr:uid="{00000000-0005-0000-0000-0000EA400000}"/>
    <cellStyle name="40% - Accent3 2 2 2 3 3 3 2" xfId="16572" xr:uid="{00000000-0005-0000-0000-0000EB400000}"/>
    <cellStyle name="40% - Accent3 2 2 2 3 3 3 2 2" xfId="16573" xr:uid="{00000000-0005-0000-0000-0000EC400000}"/>
    <cellStyle name="40% - Accent3 2 2 2 3 3 3 3" xfId="16574" xr:uid="{00000000-0005-0000-0000-0000ED400000}"/>
    <cellStyle name="40% - Accent3 2 2 2 3 3 4" xfId="16575" xr:uid="{00000000-0005-0000-0000-0000EE400000}"/>
    <cellStyle name="40% - Accent3 2 2 2 3 3 4 2" xfId="16576" xr:uid="{00000000-0005-0000-0000-0000EF400000}"/>
    <cellStyle name="40% - Accent3 2 2 2 3 3 5" xfId="16577" xr:uid="{00000000-0005-0000-0000-0000F0400000}"/>
    <cellStyle name="40% - Accent3 2 2 2 3 4" xfId="16578" xr:uid="{00000000-0005-0000-0000-0000F1400000}"/>
    <cellStyle name="40% - Accent3 2 2 2 3 4 2" xfId="16579" xr:uid="{00000000-0005-0000-0000-0000F2400000}"/>
    <cellStyle name="40% - Accent3 2 2 2 3 4 2 2" xfId="16580" xr:uid="{00000000-0005-0000-0000-0000F3400000}"/>
    <cellStyle name="40% - Accent3 2 2 2 3 4 2 2 2" xfId="16581" xr:uid="{00000000-0005-0000-0000-0000F4400000}"/>
    <cellStyle name="40% - Accent3 2 2 2 3 4 2 3" xfId="16582" xr:uid="{00000000-0005-0000-0000-0000F5400000}"/>
    <cellStyle name="40% - Accent3 2 2 2 3 4 3" xfId="16583" xr:uid="{00000000-0005-0000-0000-0000F6400000}"/>
    <cellStyle name="40% - Accent3 2 2 2 3 4 3 2" xfId="16584" xr:uid="{00000000-0005-0000-0000-0000F7400000}"/>
    <cellStyle name="40% - Accent3 2 2 2 3 4 4" xfId="16585" xr:uid="{00000000-0005-0000-0000-0000F8400000}"/>
    <cellStyle name="40% - Accent3 2 2 2 3 5" xfId="16586" xr:uid="{00000000-0005-0000-0000-0000F9400000}"/>
    <cellStyle name="40% - Accent3 2 2 2 3 5 2" xfId="16587" xr:uid="{00000000-0005-0000-0000-0000FA400000}"/>
    <cellStyle name="40% - Accent3 2 2 2 3 5 2 2" xfId="16588" xr:uid="{00000000-0005-0000-0000-0000FB400000}"/>
    <cellStyle name="40% - Accent3 2 2 2 3 5 3" xfId="16589" xr:uid="{00000000-0005-0000-0000-0000FC400000}"/>
    <cellStyle name="40% - Accent3 2 2 2 3 6" xfId="16590" xr:uid="{00000000-0005-0000-0000-0000FD400000}"/>
    <cellStyle name="40% - Accent3 2 2 2 3 6 2" xfId="16591" xr:uid="{00000000-0005-0000-0000-0000FE400000}"/>
    <cellStyle name="40% - Accent3 2 2 2 3 7" xfId="16592" xr:uid="{00000000-0005-0000-0000-0000FF400000}"/>
    <cellStyle name="40% - Accent3 2 2 2 4" xfId="16593" xr:uid="{00000000-0005-0000-0000-000000410000}"/>
    <cellStyle name="40% - Accent3 2 2 2 4 2" xfId="16594" xr:uid="{00000000-0005-0000-0000-000001410000}"/>
    <cellStyle name="40% - Accent3 2 2 2 4 2 2" xfId="16595" xr:uid="{00000000-0005-0000-0000-000002410000}"/>
    <cellStyle name="40% - Accent3 2 2 2 4 2 2 2" xfId="16596" xr:uid="{00000000-0005-0000-0000-000003410000}"/>
    <cellStyle name="40% - Accent3 2 2 2 4 2 2 2 2" xfId="16597" xr:uid="{00000000-0005-0000-0000-000004410000}"/>
    <cellStyle name="40% - Accent3 2 2 2 4 2 2 2 2 2" xfId="16598" xr:uid="{00000000-0005-0000-0000-000005410000}"/>
    <cellStyle name="40% - Accent3 2 2 2 4 2 2 2 3" xfId="16599" xr:uid="{00000000-0005-0000-0000-000006410000}"/>
    <cellStyle name="40% - Accent3 2 2 2 4 2 2 3" xfId="16600" xr:uid="{00000000-0005-0000-0000-000007410000}"/>
    <cellStyle name="40% - Accent3 2 2 2 4 2 2 3 2" xfId="16601" xr:uid="{00000000-0005-0000-0000-000008410000}"/>
    <cellStyle name="40% - Accent3 2 2 2 4 2 2 4" xfId="16602" xr:uid="{00000000-0005-0000-0000-000009410000}"/>
    <cellStyle name="40% - Accent3 2 2 2 4 2 3" xfId="16603" xr:uid="{00000000-0005-0000-0000-00000A410000}"/>
    <cellStyle name="40% - Accent3 2 2 2 4 2 3 2" xfId="16604" xr:uid="{00000000-0005-0000-0000-00000B410000}"/>
    <cellStyle name="40% - Accent3 2 2 2 4 2 3 2 2" xfId="16605" xr:uid="{00000000-0005-0000-0000-00000C410000}"/>
    <cellStyle name="40% - Accent3 2 2 2 4 2 3 3" xfId="16606" xr:uid="{00000000-0005-0000-0000-00000D410000}"/>
    <cellStyle name="40% - Accent3 2 2 2 4 2 4" xfId="16607" xr:uid="{00000000-0005-0000-0000-00000E410000}"/>
    <cellStyle name="40% - Accent3 2 2 2 4 2 4 2" xfId="16608" xr:uid="{00000000-0005-0000-0000-00000F410000}"/>
    <cellStyle name="40% - Accent3 2 2 2 4 2 5" xfId="16609" xr:uid="{00000000-0005-0000-0000-000010410000}"/>
    <cellStyle name="40% - Accent3 2 2 2 4 3" xfId="16610" xr:uid="{00000000-0005-0000-0000-000011410000}"/>
    <cellStyle name="40% - Accent3 2 2 2 4 3 2" xfId="16611" xr:uid="{00000000-0005-0000-0000-000012410000}"/>
    <cellStyle name="40% - Accent3 2 2 2 4 3 2 2" xfId="16612" xr:uid="{00000000-0005-0000-0000-000013410000}"/>
    <cellStyle name="40% - Accent3 2 2 2 4 3 2 2 2" xfId="16613" xr:uid="{00000000-0005-0000-0000-000014410000}"/>
    <cellStyle name="40% - Accent3 2 2 2 4 3 2 3" xfId="16614" xr:uid="{00000000-0005-0000-0000-000015410000}"/>
    <cellStyle name="40% - Accent3 2 2 2 4 3 3" xfId="16615" xr:uid="{00000000-0005-0000-0000-000016410000}"/>
    <cellStyle name="40% - Accent3 2 2 2 4 3 3 2" xfId="16616" xr:uid="{00000000-0005-0000-0000-000017410000}"/>
    <cellStyle name="40% - Accent3 2 2 2 4 3 4" xfId="16617" xr:uid="{00000000-0005-0000-0000-000018410000}"/>
    <cellStyle name="40% - Accent3 2 2 2 4 4" xfId="16618" xr:uid="{00000000-0005-0000-0000-000019410000}"/>
    <cellStyle name="40% - Accent3 2 2 2 4 4 2" xfId="16619" xr:uid="{00000000-0005-0000-0000-00001A410000}"/>
    <cellStyle name="40% - Accent3 2 2 2 4 4 2 2" xfId="16620" xr:uid="{00000000-0005-0000-0000-00001B410000}"/>
    <cellStyle name="40% - Accent3 2 2 2 4 4 3" xfId="16621" xr:uid="{00000000-0005-0000-0000-00001C410000}"/>
    <cellStyle name="40% - Accent3 2 2 2 4 5" xfId="16622" xr:uid="{00000000-0005-0000-0000-00001D410000}"/>
    <cellStyle name="40% - Accent3 2 2 2 4 5 2" xfId="16623" xr:uid="{00000000-0005-0000-0000-00001E410000}"/>
    <cellStyle name="40% - Accent3 2 2 2 4 6" xfId="16624" xr:uid="{00000000-0005-0000-0000-00001F410000}"/>
    <cellStyle name="40% - Accent3 2 2 2 5" xfId="16625" xr:uid="{00000000-0005-0000-0000-000020410000}"/>
    <cellStyle name="40% - Accent3 2 2 2 5 2" xfId="16626" xr:uid="{00000000-0005-0000-0000-000021410000}"/>
    <cellStyle name="40% - Accent3 2 2 2 5 2 2" xfId="16627" xr:uid="{00000000-0005-0000-0000-000022410000}"/>
    <cellStyle name="40% - Accent3 2 2 2 5 2 2 2" xfId="16628" xr:uid="{00000000-0005-0000-0000-000023410000}"/>
    <cellStyle name="40% - Accent3 2 2 2 5 2 2 2 2" xfId="16629" xr:uid="{00000000-0005-0000-0000-000024410000}"/>
    <cellStyle name="40% - Accent3 2 2 2 5 2 2 3" xfId="16630" xr:uid="{00000000-0005-0000-0000-000025410000}"/>
    <cellStyle name="40% - Accent3 2 2 2 5 2 3" xfId="16631" xr:uid="{00000000-0005-0000-0000-000026410000}"/>
    <cellStyle name="40% - Accent3 2 2 2 5 2 3 2" xfId="16632" xr:uid="{00000000-0005-0000-0000-000027410000}"/>
    <cellStyle name="40% - Accent3 2 2 2 5 2 4" xfId="16633" xr:uid="{00000000-0005-0000-0000-000028410000}"/>
    <cellStyle name="40% - Accent3 2 2 2 5 3" xfId="16634" xr:uid="{00000000-0005-0000-0000-000029410000}"/>
    <cellStyle name="40% - Accent3 2 2 2 5 3 2" xfId="16635" xr:uid="{00000000-0005-0000-0000-00002A410000}"/>
    <cellStyle name="40% - Accent3 2 2 2 5 3 2 2" xfId="16636" xr:uid="{00000000-0005-0000-0000-00002B410000}"/>
    <cellStyle name="40% - Accent3 2 2 2 5 3 3" xfId="16637" xr:uid="{00000000-0005-0000-0000-00002C410000}"/>
    <cellStyle name="40% - Accent3 2 2 2 5 4" xfId="16638" xr:uid="{00000000-0005-0000-0000-00002D410000}"/>
    <cellStyle name="40% - Accent3 2 2 2 5 4 2" xfId="16639" xr:uid="{00000000-0005-0000-0000-00002E410000}"/>
    <cellStyle name="40% - Accent3 2 2 2 5 5" xfId="16640" xr:uid="{00000000-0005-0000-0000-00002F410000}"/>
    <cellStyle name="40% - Accent3 2 2 2 6" xfId="16641" xr:uid="{00000000-0005-0000-0000-000030410000}"/>
    <cellStyle name="40% - Accent3 2 2 2 6 2" xfId="16642" xr:uid="{00000000-0005-0000-0000-000031410000}"/>
    <cellStyle name="40% - Accent3 2 2 2 6 2 2" xfId="16643" xr:uid="{00000000-0005-0000-0000-000032410000}"/>
    <cellStyle name="40% - Accent3 2 2 2 6 2 2 2" xfId="16644" xr:uid="{00000000-0005-0000-0000-000033410000}"/>
    <cellStyle name="40% - Accent3 2 2 2 6 2 3" xfId="16645" xr:uid="{00000000-0005-0000-0000-000034410000}"/>
    <cellStyle name="40% - Accent3 2 2 2 6 3" xfId="16646" xr:uid="{00000000-0005-0000-0000-000035410000}"/>
    <cellStyle name="40% - Accent3 2 2 2 6 3 2" xfId="16647" xr:uid="{00000000-0005-0000-0000-000036410000}"/>
    <cellStyle name="40% - Accent3 2 2 2 6 4" xfId="16648" xr:uid="{00000000-0005-0000-0000-000037410000}"/>
    <cellStyle name="40% - Accent3 2 2 2 7" xfId="16649" xr:uid="{00000000-0005-0000-0000-000038410000}"/>
    <cellStyle name="40% - Accent3 2 2 2 7 2" xfId="16650" xr:uid="{00000000-0005-0000-0000-000039410000}"/>
    <cellStyle name="40% - Accent3 2 2 2 7 2 2" xfId="16651" xr:uid="{00000000-0005-0000-0000-00003A410000}"/>
    <cellStyle name="40% - Accent3 2 2 2 7 3" xfId="16652" xr:uid="{00000000-0005-0000-0000-00003B410000}"/>
    <cellStyle name="40% - Accent3 2 2 2 8" xfId="16653" xr:uid="{00000000-0005-0000-0000-00003C410000}"/>
    <cellStyle name="40% - Accent3 2 2 2 8 2" xfId="16654" xr:uid="{00000000-0005-0000-0000-00003D410000}"/>
    <cellStyle name="40% - Accent3 2 2 2 9" xfId="16655" xr:uid="{00000000-0005-0000-0000-00003E410000}"/>
    <cellStyle name="40% - Accent3 2 2 3" xfId="16656" xr:uid="{00000000-0005-0000-0000-00003F410000}"/>
    <cellStyle name="40% - Accent3 2 2 3 2" xfId="16657" xr:uid="{00000000-0005-0000-0000-000040410000}"/>
    <cellStyle name="40% - Accent3 2 2 3 2 2" xfId="16658" xr:uid="{00000000-0005-0000-0000-000041410000}"/>
    <cellStyle name="40% - Accent3 2 2 3 2 2 2" xfId="16659" xr:uid="{00000000-0005-0000-0000-000042410000}"/>
    <cellStyle name="40% - Accent3 2 2 3 2 2 2 2" xfId="16660" xr:uid="{00000000-0005-0000-0000-000043410000}"/>
    <cellStyle name="40% - Accent3 2 2 3 2 2 2 2 2" xfId="16661" xr:uid="{00000000-0005-0000-0000-000044410000}"/>
    <cellStyle name="40% - Accent3 2 2 3 2 2 2 2 2 2" xfId="16662" xr:uid="{00000000-0005-0000-0000-000045410000}"/>
    <cellStyle name="40% - Accent3 2 2 3 2 2 2 2 2 2 2" xfId="16663" xr:uid="{00000000-0005-0000-0000-000046410000}"/>
    <cellStyle name="40% - Accent3 2 2 3 2 2 2 2 2 3" xfId="16664" xr:uid="{00000000-0005-0000-0000-000047410000}"/>
    <cellStyle name="40% - Accent3 2 2 3 2 2 2 2 3" xfId="16665" xr:uid="{00000000-0005-0000-0000-000048410000}"/>
    <cellStyle name="40% - Accent3 2 2 3 2 2 2 2 3 2" xfId="16666" xr:uid="{00000000-0005-0000-0000-000049410000}"/>
    <cellStyle name="40% - Accent3 2 2 3 2 2 2 2 4" xfId="16667" xr:uid="{00000000-0005-0000-0000-00004A410000}"/>
    <cellStyle name="40% - Accent3 2 2 3 2 2 2 3" xfId="16668" xr:uid="{00000000-0005-0000-0000-00004B410000}"/>
    <cellStyle name="40% - Accent3 2 2 3 2 2 2 3 2" xfId="16669" xr:uid="{00000000-0005-0000-0000-00004C410000}"/>
    <cellStyle name="40% - Accent3 2 2 3 2 2 2 3 2 2" xfId="16670" xr:uid="{00000000-0005-0000-0000-00004D410000}"/>
    <cellStyle name="40% - Accent3 2 2 3 2 2 2 3 3" xfId="16671" xr:uid="{00000000-0005-0000-0000-00004E410000}"/>
    <cellStyle name="40% - Accent3 2 2 3 2 2 2 4" xfId="16672" xr:uid="{00000000-0005-0000-0000-00004F410000}"/>
    <cellStyle name="40% - Accent3 2 2 3 2 2 2 4 2" xfId="16673" xr:uid="{00000000-0005-0000-0000-000050410000}"/>
    <cellStyle name="40% - Accent3 2 2 3 2 2 2 5" xfId="16674" xr:uid="{00000000-0005-0000-0000-000051410000}"/>
    <cellStyle name="40% - Accent3 2 2 3 2 2 3" xfId="16675" xr:uid="{00000000-0005-0000-0000-000052410000}"/>
    <cellStyle name="40% - Accent3 2 2 3 2 2 3 2" xfId="16676" xr:uid="{00000000-0005-0000-0000-000053410000}"/>
    <cellStyle name="40% - Accent3 2 2 3 2 2 3 2 2" xfId="16677" xr:uid="{00000000-0005-0000-0000-000054410000}"/>
    <cellStyle name="40% - Accent3 2 2 3 2 2 3 2 2 2" xfId="16678" xr:uid="{00000000-0005-0000-0000-000055410000}"/>
    <cellStyle name="40% - Accent3 2 2 3 2 2 3 2 3" xfId="16679" xr:uid="{00000000-0005-0000-0000-000056410000}"/>
    <cellStyle name="40% - Accent3 2 2 3 2 2 3 3" xfId="16680" xr:uid="{00000000-0005-0000-0000-000057410000}"/>
    <cellStyle name="40% - Accent3 2 2 3 2 2 3 3 2" xfId="16681" xr:uid="{00000000-0005-0000-0000-000058410000}"/>
    <cellStyle name="40% - Accent3 2 2 3 2 2 3 4" xfId="16682" xr:uid="{00000000-0005-0000-0000-000059410000}"/>
    <cellStyle name="40% - Accent3 2 2 3 2 2 4" xfId="16683" xr:uid="{00000000-0005-0000-0000-00005A410000}"/>
    <cellStyle name="40% - Accent3 2 2 3 2 2 4 2" xfId="16684" xr:uid="{00000000-0005-0000-0000-00005B410000}"/>
    <cellStyle name="40% - Accent3 2 2 3 2 2 4 2 2" xfId="16685" xr:uid="{00000000-0005-0000-0000-00005C410000}"/>
    <cellStyle name="40% - Accent3 2 2 3 2 2 4 3" xfId="16686" xr:uid="{00000000-0005-0000-0000-00005D410000}"/>
    <cellStyle name="40% - Accent3 2 2 3 2 2 5" xfId="16687" xr:uid="{00000000-0005-0000-0000-00005E410000}"/>
    <cellStyle name="40% - Accent3 2 2 3 2 2 5 2" xfId="16688" xr:uid="{00000000-0005-0000-0000-00005F410000}"/>
    <cellStyle name="40% - Accent3 2 2 3 2 2 6" xfId="16689" xr:uid="{00000000-0005-0000-0000-000060410000}"/>
    <cellStyle name="40% - Accent3 2 2 3 2 3" xfId="16690" xr:uid="{00000000-0005-0000-0000-000061410000}"/>
    <cellStyle name="40% - Accent3 2 2 3 2 3 2" xfId="16691" xr:uid="{00000000-0005-0000-0000-000062410000}"/>
    <cellStyle name="40% - Accent3 2 2 3 2 3 2 2" xfId="16692" xr:uid="{00000000-0005-0000-0000-000063410000}"/>
    <cellStyle name="40% - Accent3 2 2 3 2 3 2 2 2" xfId="16693" xr:uid="{00000000-0005-0000-0000-000064410000}"/>
    <cellStyle name="40% - Accent3 2 2 3 2 3 2 2 2 2" xfId="16694" xr:uid="{00000000-0005-0000-0000-000065410000}"/>
    <cellStyle name="40% - Accent3 2 2 3 2 3 2 2 3" xfId="16695" xr:uid="{00000000-0005-0000-0000-000066410000}"/>
    <cellStyle name="40% - Accent3 2 2 3 2 3 2 3" xfId="16696" xr:uid="{00000000-0005-0000-0000-000067410000}"/>
    <cellStyle name="40% - Accent3 2 2 3 2 3 2 3 2" xfId="16697" xr:uid="{00000000-0005-0000-0000-000068410000}"/>
    <cellStyle name="40% - Accent3 2 2 3 2 3 2 4" xfId="16698" xr:uid="{00000000-0005-0000-0000-000069410000}"/>
    <cellStyle name="40% - Accent3 2 2 3 2 3 3" xfId="16699" xr:uid="{00000000-0005-0000-0000-00006A410000}"/>
    <cellStyle name="40% - Accent3 2 2 3 2 3 3 2" xfId="16700" xr:uid="{00000000-0005-0000-0000-00006B410000}"/>
    <cellStyle name="40% - Accent3 2 2 3 2 3 3 2 2" xfId="16701" xr:uid="{00000000-0005-0000-0000-00006C410000}"/>
    <cellStyle name="40% - Accent3 2 2 3 2 3 3 3" xfId="16702" xr:uid="{00000000-0005-0000-0000-00006D410000}"/>
    <cellStyle name="40% - Accent3 2 2 3 2 3 4" xfId="16703" xr:uid="{00000000-0005-0000-0000-00006E410000}"/>
    <cellStyle name="40% - Accent3 2 2 3 2 3 4 2" xfId="16704" xr:uid="{00000000-0005-0000-0000-00006F410000}"/>
    <cellStyle name="40% - Accent3 2 2 3 2 3 5" xfId="16705" xr:uid="{00000000-0005-0000-0000-000070410000}"/>
    <cellStyle name="40% - Accent3 2 2 3 2 4" xfId="16706" xr:uid="{00000000-0005-0000-0000-000071410000}"/>
    <cellStyle name="40% - Accent3 2 2 3 2 4 2" xfId="16707" xr:uid="{00000000-0005-0000-0000-000072410000}"/>
    <cellStyle name="40% - Accent3 2 2 3 2 4 2 2" xfId="16708" xr:uid="{00000000-0005-0000-0000-000073410000}"/>
    <cellStyle name="40% - Accent3 2 2 3 2 4 2 2 2" xfId="16709" xr:uid="{00000000-0005-0000-0000-000074410000}"/>
    <cellStyle name="40% - Accent3 2 2 3 2 4 2 3" xfId="16710" xr:uid="{00000000-0005-0000-0000-000075410000}"/>
    <cellStyle name="40% - Accent3 2 2 3 2 4 3" xfId="16711" xr:uid="{00000000-0005-0000-0000-000076410000}"/>
    <cellStyle name="40% - Accent3 2 2 3 2 4 3 2" xfId="16712" xr:uid="{00000000-0005-0000-0000-000077410000}"/>
    <cellStyle name="40% - Accent3 2 2 3 2 4 4" xfId="16713" xr:uid="{00000000-0005-0000-0000-000078410000}"/>
    <cellStyle name="40% - Accent3 2 2 3 2 5" xfId="16714" xr:uid="{00000000-0005-0000-0000-000079410000}"/>
    <cellStyle name="40% - Accent3 2 2 3 2 5 2" xfId="16715" xr:uid="{00000000-0005-0000-0000-00007A410000}"/>
    <cellStyle name="40% - Accent3 2 2 3 2 5 2 2" xfId="16716" xr:uid="{00000000-0005-0000-0000-00007B410000}"/>
    <cellStyle name="40% - Accent3 2 2 3 2 5 3" xfId="16717" xr:uid="{00000000-0005-0000-0000-00007C410000}"/>
    <cellStyle name="40% - Accent3 2 2 3 2 6" xfId="16718" xr:uid="{00000000-0005-0000-0000-00007D410000}"/>
    <cellStyle name="40% - Accent3 2 2 3 2 6 2" xfId="16719" xr:uid="{00000000-0005-0000-0000-00007E410000}"/>
    <cellStyle name="40% - Accent3 2 2 3 2 7" xfId="16720" xr:uid="{00000000-0005-0000-0000-00007F410000}"/>
    <cellStyle name="40% - Accent3 2 2 3 3" xfId="16721" xr:uid="{00000000-0005-0000-0000-000080410000}"/>
    <cellStyle name="40% - Accent3 2 2 3 3 2" xfId="16722" xr:uid="{00000000-0005-0000-0000-000081410000}"/>
    <cellStyle name="40% - Accent3 2 2 3 3 2 2" xfId="16723" xr:uid="{00000000-0005-0000-0000-000082410000}"/>
    <cellStyle name="40% - Accent3 2 2 3 3 2 2 2" xfId="16724" xr:uid="{00000000-0005-0000-0000-000083410000}"/>
    <cellStyle name="40% - Accent3 2 2 3 3 2 2 2 2" xfId="16725" xr:uid="{00000000-0005-0000-0000-000084410000}"/>
    <cellStyle name="40% - Accent3 2 2 3 3 2 2 2 2 2" xfId="16726" xr:uid="{00000000-0005-0000-0000-000085410000}"/>
    <cellStyle name="40% - Accent3 2 2 3 3 2 2 2 3" xfId="16727" xr:uid="{00000000-0005-0000-0000-000086410000}"/>
    <cellStyle name="40% - Accent3 2 2 3 3 2 2 3" xfId="16728" xr:uid="{00000000-0005-0000-0000-000087410000}"/>
    <cellStyle name="40% - Accent3 2 2 3 3 2 2 3 2" xfId="16729" xr:uid="{00000000-0005-0000-0000-000088410000}"/>
    <cellStyle name="40% - Accent3 2 2 3 3 2 2 4" xfId="16730" xr:uid="{00000000-0005-0000-0000-000089410000}"/>
    <cellStyle name="40% - Accent3 2 2 3 3 2 3" xfId="16731" xr:uid="{00000000-0005-0000-0000-00008A410000}"/>
    <cellStyle name="40% - Accent3 2 2 3 3 2 3 2" xfId="16732" xr:uid="{00000000-0005-0000-0000-00008B410000}"/>
    <cellStyle name="40% - Accent3 2 2 3 3 2 3 2 2" xfId="16733" xr:uid="{00000000-0005-0000-0000-00008C410000}"/>
    <cellStyle name="40% - Accent3 2 2 3 3 2 3 3" xfId="16734" xr:uid="{00000000-0005-0000-0000-00008D410000}"/>
    <cellStyle name="40% - Accent3 2 2 3 3 2 4" xfId="16735" xr:uid="{00000000-0005-0000-0000-00008E410000}"/>
    <cellStyle name="40% - Accent3 2 2 3 3 2 4 2" xfId="16736" xr:uid="{00000000-0005-0000-0000-00008F410000}"/>
    <cellStyle name="40% - Accent3 2 2 3 3 2 5" xfId="16737" xr:uid="{00000000-0005-0000-0000-000090410000}"/>
    <cellStyle name="40% - Accent3 2 2 3 3 3" xfId="16738" xr:uid="{00000000-0005-0000-0000-000091410000}"/>
    <cellStyle name="40% - Accent3 2 2 3 3 3 2" xfId="16739" xr:uid="{00000000-0005-0000-0000-000092410000}"/>
    <cellStyle name="40% - Accent3 2 2 3 3 3 2 2" xfId="16740" xr:uid="{00000000-0005-0000-0000-000093410000}"/>
    <cellStyle name="40% - Accent3 2 2 3 3 3 2 2 2" xfId="16741" xr:uid="{00000000-0005-0000-0000-000094410000}"/>
    <cellStyle name="40% - Accent3 2 2 3 3 3 2 3" xfId="16742" xr:uid="{00000000-0005-0000-0000-000095410000}"/>
    <cellStyle name="40% - Accent3 2 2 3 3 3 3" xfId="16743" xr:uid="{00000000-0005-0000-0000-000096410000}"/>
    <cellStyle name="40% - Accent3 2 2 3 3 3 3 2" xfId="16744" xr:uid="{00000000-0005-0000-0000-000097410000}"/>
    <cellStyle name="40% - Accent3 2 2 3 3 3 4" xfId="16745" xr:uid="{00000000-0005-0000-0000-000098410000}"/>
    <cellStyle name="40% - Accent3 2 2 3 3 4" xfId="16746" xr:uid="{00000000-0005-0000-0000-000099410000}"/>
    <cellStyle name="40% - Accent3 2 2 3 3 4 2" xfId="16747" xr:uid="{00000000-0005-0000-0000-00009A410000}"/>
    <cellStyle name="40% - Accent3 2 2 3 3 4 2 2" xfId="16748" xr:uid="{00000000-0005-0000-0000-00009B410000}"/>
    <cellStyle name="40% - Accent3 2 2 3 3 4 3" xfId="16749" xr:uid="{00000000-0005-0000-0000-00009C410000}"/>
    <cellStyle name="40% - Accent3 2 2 3 3 5" xfId="16750" xr:uid="{00000000-0005-0000-0000-00009D410000}"/>
    <cellStyle name="40% - Accent3 2 2 3 3 5 2" xfId="16751" xr:uid="{00000000-0005-0000-0000-00009E410000}"/>
    <cellStyle name="40% - Accent3 2 2 3 3 6" xfId="16752" xr:uid="{00000000-0005-0000-0000-00009F410000}"/>
    <cellStyle name="40% - Accent3 2 2 3 4" xfId="16753" xr:uid="{00000000-0005-0000-0000-0000A0410000}"/>
    <cellStyle name="40% - Accent3 2 2 3 4 2" xfId="16754" xr:uid="{00000000-0005-0000-0000-0000A1410000}"/>
    <cellStyle name="40% - Accent3 2 2 3 4 2 2" xfId="16755" xr:uid="{00000000-0005-0000-0000-0000A2410000}"/>
    <cellStyle name="40% - Accent3 2 2 3 4 2 2 2" xfId="16756" xr:uid="{00000000-0005-0000-0000-0000A3410000}"/>
    <cellStyle name="40% - Accent3 2 2 3 4 2 2 2 2" xfId="16757" xr:uid="{00000000-0005-0000-0000-0000A4410000}"/>
    <cellStyle name="40% - Accent3 2 2 3 4 2 2 3" xfId="16758" xr:uid="{00000000-0005-0000-0000-0000A5410000}"/>
    <cellStyle name="40% - Accent3 2 2 3 4 2 3" xfId="16759" xr:uid="{00000000-0005-0000-0000-0000A6410000}"/>
    <cellStyle name="40% - Accent3 2 2 3 4 2 3 2" xfId="16760" xr:uid="{00000000-0005-0000-0000-0000A7410000}"/>
    <cellStyle name="40% - Accent3 2 2 3 4 2 4" xfId="16761" xr:uid="{00000000-0005-0000-0000-0000A8410000}"/>
    <cellStyle name="40% - Accent3 2 2 3 4 3" xfId="16762" xr:uid="{00000000-0005-0000-0000-0000A9410000}"/>
    <cellStyle name="40% - Accent3 2 2 3 4 3 2" xfId="16763" xr:uid="{00000000-0005-0000-0000-0000AA410000}"/>
    <cellStyle name="40% - Accent3 2 2 3 4 3 2 2" xfId="16764" xr:uid="{00000000-0005-0000-0000-0000AB410000}"/>
    <cellStyle name="40% - Accent3 2 2 3 4 3 3" xfId="16765" xr:uid="{00000000-0005-0000-0000-0000AC410000}"/>
    <cellStyle name="40% - Accent3 2 2 3 4 4" xfId="16766" xr:uid="{00000000-0005-0000-0000-0000AD410000}"/>
    <cellStyle name="40% - Accent3 2 2 3 4 4 2" xfId="16767" xr:uid="{00000000-0005-0000-0000-0000AE410000}"/>
    <cellStyle name="40% - Accent3 2 2 3 4 5" xfId="16768" xr:uid="{00000000-0005-0000-0000-0000AF410000}"/>
    <cellStyle name="40% - Accent3 2 2 3 5" xfId="16769" xr:uid="{00000000-0005-0000-0000-0000B0410000}"/>
    <cellStyle name="40% - Accent3 2 2 3 5 2" xfId="16770" xr:uid="{00000000-0005-0000-0000-0000B1410000}"/>
    <cellStyle name="40% - Accent3 2 2 3 5 2 2" xfId="16771" xr:uid="{00000000-0005-0000-0000-0000B2410000}"/>
    <cellStyle name="40% - Accent3 2 2 3 5 2 2 2" xfId="16772" xr:uid="{00000000-0005-0000-0000-0000B3410000}"/>
    <cellStyle name="40% - Accent3 2 2 3 5 2 3" xfId="16773" xr:uid="{00000000-0005-0000-0000-0000B4410000}"/>
    <cellStyle name="40% - Accent3 2 2 3 5 3" xfId="16774" xr:uid="{00000000-0005-0000-0000-0000B5410000}"/>
    <cellStyle name="40% - Accent3 2 2 3 5 3 2" xfId="16775" xr:uid="{00000000-0005-0000-0000-0000B6410000}"/>
    <cellStyle name="40% - Accent3 2 2 3 5 4" xfId="16776" xr:uid="{00000000-0005-0000-0000-0000B7410000}"/>
    <cellStyle name="40% - Accent3 2 2 3 6" xfId="16777" xr:uid="{00000000-0005-0000-0000-0000B8410000}"/>
    <cellStyle name="40% - Accent3 2 2 3 6 2" xfId="16778" xr:uid="{00000000-0005-0000-0000-0000B9410000}"/>
    <cellStyle name="40% - Accent3 2 2 3 6 2 2" xfId="16779" xr:uid="{00000000-0005-0000-0000-0000BA410000}"/>
    <cellStyle name="40% - Accent3 2 2 3 6 3" xfId="16780" xr:uid="{00000000-0005-0000-0000-0000BB410000}"/>
    <cellStyle name="40% - Accent3 2 2 3 7" xfId="16781" xr:uid="{00000000-0005-0000-0000-0000BC410000}"/>
    <cellStyle name="40% - Accent3 2 2 3 7 2" xfId="16782" xr:uid="{00000000-0005-0000-0000-0000BD410000}"/>
    <cellStyle name="40% - Accent3 2 2 3 8" xfId="16783" xr:uid="{00000000-0005-0000-0000-0000BE410000}"/>
    <cellStyle name="40% - Accent3 2 2 4" xfId="16784" xr:uid="{00000000-0005-0000-0000-0000BF410000}"/>
    <cellStyle name="40% - Accent3 2 2 4 2" xfId="16785" xr:uid="{00000000-0005-0000-0000-0000C0410000}"/>
    <cellStyle name="40% - Accent3 2 2 4 2 2" xfId="16786" xr:uid="{00000000-0005-0000-0000-0000C1410000}"/>
    <cellStyle name="40% - Accent3 2 2 4 2 2 2" xfId="16787" xr:uid="{00000000-0005-0000-0000-0000C2410000}"/>
    <cellStyle name="40% - Accent3 2 2 4 2 2 2 2" xfId="16788" xr:uid="{00000000-0005-0000-0000-0000C3410000}"/>
    <cellStyle name="40% - Accent3 2 2 4 2 2 2 2 2" xfId="16789" xr:uid="{00000000-0005-0000-0000-0000C4410000}"/>
    <cellStyle name="40% - Accent3 2 2 4 2 2 2 2 2 2" xfId="16790" xr:uid="{00000000-0005-0000-0000-0000C5410000}"/>
    <cellStyle name="40% - Accent3 2 2 4 2 2 2 2 3" xfId="16791" xr:uid="{00000000-0005-0000-0000-0000C6410000}"/>
    <cellStyle name="40% - Accent3 2 2 4 2 2 2 3" xfId="16792" xr:uid="{00000000-0005-0000-0000-0000C7410000}"/>
    <cellStyle name="40% - Accent3 2 2 4 2 2 2 3 2" xfId="16793" xr:uid="{00000000-0005-0000-0000-0000C8410000}"/>
    <cellStyle name="40% - Accent3 2 2 4 2 2 2 4" xfId="16794" xr:uid="{00000000-0005-0000-0000-0000C9410000}"/>
    <cellStyle name="40% - Accent3 2 2 4 2 2 3" xfId="16795" xr:uid="{00000000-0005-0000-0000-0000CA410000}"/>
    <cellStyle name="40% - Accent3 2 2 4 2 2 3 2" xfId="16796" xr:uid="{00000000-0005-0000-0000-0000CB410000}"/>
    <cellStyle name="40% - Accent3 2 2 4 2 2 3 2 2" xfId="16797" xr:uid="{00000000-0005-0000-0000-0000CC410000}"/>
    <cellStyle name="40% - Accent3 2 2 4 2 2 3 3" xfId="16798" xr:uid="{00000000-0005-0000-0000-0000CD410000}"/>
    <cellStyle name="40% - Accent3 2 2 4 2 2 4" xfId="16799" xr:uid="{00000000-0005-0000-0000-0000CE410000}"/>
    <cellStyle name="40% - Accent3 2 2 4 2 2 4 2" xfId="16800" xr:uid="{00000000-0005-0000-0000-0000CF410000}"/>
    <cellStyle name="40% - Accent3 2 2 4 2 2 5" xfId="16801" xr:uid="{00000000-0005-0000-0000-0000D0410000}"/>
    <cellStyle name="40% - Accent3 2 2 4 2 3" xfId="16802" xr:uid="{00000000-0005-0000-0000-0000D1410000}"/>
    <cellStyle name="40% - Accent3 2 2 4 2 3 2" xfId="16803" xr:uid="{00000000-0005-0000-0000-0000D2410000}"/>
    <cellStyle name="40% - Accent3 2 2 4 2 3 2 2" xfId="16804" xr:uid="{00000000-0005-0000-0000-0000D3410000}"/>
    <cellStyle name="40% - Accent3 2 2 4 2 3 2 2 2" xfId="16805" xr:uid="{00000000-0005-0000-0000-0000D4410000}"/>
    <cellStyle name="40% - Accent3 2 2 4 2 3 2 3" xfId="16806" xr:uid="{00000000-0005-0000-0000-0000D5410000}"/>
    <cellStyle name="40% - Accent3 2 2 4 2 3 3" xfId="16807" xr:uid="{00000000-0005-0000-0000-0000D6410000}"/>
    <cellStyle name="40% - Accent3 2 2 4 2 3 3 2" xfId="16808" xr:uid="{00000000-0005-0000-0000-0000D7410000}"/>
    <cellStyle name="40% - Accent3 2 2 4 2 3 4" xfId="16809" xr:uid="{00000000-0005-0000-0000-0000D8410000}"/>
    <cellStyle name="40% - Accent3 2 2 4 2 4" xfId="16810" xr:uid="{00000000-0005-0000-0000-0000D9410000}"/>
    <cellStyle name="40% - Accent3 2 2 4 2 4 2" xfId="16811" xr:uid="{00000000-0005-0000-0000-0000DA410000}"/>
    <cellStyle name="40% - Accent3 2 2 4 2 4 2 2" xfId="16812" xr:uid="{00000000-0005-0000-0000-0000DB410000}"/>
    <cellStyle name="40% - Accent3 2 2 4 2 4 3" xfId="16813" xr:uid="{00000000-0005-0000-0000-0000DC410000}"/>
    <cellStyle name="40% - Accent3 2 2 4 2 5" xfId="16814" xr:uid="{00000000-0005-0000-0000-0000DD410000}"/>
    <cellStyle name="40% - Accent3 2 2 4 2 5 2" xfId="16815" xr:uid="{00000000-0005-0000-0000-0000DE410000}"/>
    <cellStyle name="40% - Accent3 2 2 4 2 6" xfId="16816" xr:uid="{00000000-0005-0000-0000-0000DF410000}"/>
    <cellStyle name="40% - Accent3 2 2 4 3" xfId="16817" xr:uid="{00000000-0005-0000-0000-0000E0410000}"/>
    <cellStyle name="40% - Accent3 2 2 4 3 2" xfId="16818" xr:uid="{00000000-0005-0000-0000-0000E1410000}"/>
    <cellStyle name="40% - Accent3 2 2 4 3 2 2" xfId="16819" xr:uid="{00000000-0005-0000-0000-0000E2410000}"/>
    <cellStyle name="40% - Accent3 2 2 4 3 2 2 2" xfId="16820" xr:uid="{00000000-0005-0000-0000-0000E3410000}"/>
    <cellStyle name="40% - Accent3 2 2 4 3 2 2 2 2" xfId="16821" xr:uid="{00000000-0005-0000-0000-0000E4410000}"/>
    <cellStyle name="40% - Accent3 2 2 4 3 2 2 3" xfId="16822" xr:uid="{00000000-0005-0000-0000-0000E5410000}"/>
    <cellStyle name="40% - Accent3 2 2 4 3 2 3" xfId="16823" xr:uid="{00000000-0005-0000-0000-0000E6410000}"/>
    <cellStyle name="40% - Accent3 2 2 4 3 2 3 2" xfId="16824" xr:uid="{00000000-0005-0000-0000-0000E7410000}"/>
    <cellStyle name="40% - Accent3 2 2 4 3 2 4" xfId="16825" xr:uid="{00000000-0005-0000-0000-0000E8410000}"/>
    <cellStyle name="40% - Accent3 2 2 4 3 3" xfId="16826" xr:uid="{00000000-0005-0000-0000-0000E9410000}"/>
    <cellStyle name="40% - Accent3 2 2 4 3 3 2" xfId="16827" xr:uid="{00000000-0005-0000-0000-0000EA410000}"/>
    <cellStyle name="40% - Accent3 2 2 4 3 3 2 2" xfId="16828" xr:uid="{00000000-0005-0000-0000-0000EB410000}"/>
    <cellStyle name="40% - Accent3 2 2 4 3 3 3" xfId="16829" xr:uid="{00000000-0005-0000-0000-0000EC410000}"/>
    <cellStyle name="40% - Accent3 2 2 4 3 4" xfId="16830" xr:uid="{00000000-0005-0000-0000-0000ED410000}"/>
    <cellStyle name="40% - Accent3 2 2 4 3 4 2" xfId="16831" xr:uid="{00000000-0005-0000-0000-0000EE410000}"/>
    <cellStyle name="40% - Accent3 2 2 4 3 5" xfId="16832" xr:uid="{00000000-0005-0000-0000-0000EF410000}"/>
    <cellStyle name="40% - Accent3 2 2 4 4" xfId="16833" xr:uid="{00000000-0005-0000-0000-0000F0410000}"/>
    <cellStyle name="40% - Accent3 2 2 4 4 2" xfId="16834" xr:uid="{00000000-0005-0000-0000-0000F1410000}"/>
    <cellStyle name="40% - Accent3 2 2 4 4 2 2" xfId="16835" xr:uid="{00000000-0005-0000-0000-0000F2410000}"/>
    <cellStyle name="40% - Accent3 2 2 4 4 2 2 2" xfId="16836" xr:uid="{00000000-0005-0000-0000-0000F3410000}"/>
    <cellStyle name="40% - Accent3 2 2 4 4 2 3" xfId="16837" xr:uid="{00000000-0005-0000-0000-0000F4410000}"/>
    <cellStyle name="40% - Accent3 2 2 4 4 3" xfId="16838" xr:uid="{00000000-0005-0000-0000-0000F5410000}"/>
    <cellStyle name="40% - Accent3 2 2 4 4 3 2" xfId="16839" xr:uid="{00000000-0005-0000-0000-0000F6410000}"/>
    <cellStyle name="40% - Accent3 2 2 4 4 4" xfId="16840" xr:uid="{00000000-0005-0000-0000-0000F7410000}"/>
    <cellStyle name="40% - Accent3 2 2 4 5" xfId="16841" xr:uid="{00000000-0005-0000-0000-0000F8410000}"/>
    <cellStyle name="40% - Accent3 2 2 4 5 2" xfId="16842" xr:uid="{00000000-0005-0000-0000-0000F9410000}"/>
    <cellStyle name="40% - Accent3 2 2 4 5 2 2" xfId="16843" xr:uid="{00000000-0005-0000-0000-0000FA410000}"/>
    <cellStyle name="40% - Accent3 2 2 4 5 3" xfId="16844" xr:uid="{00000000-0005-0000-0000-0000FB410000}"/>
    <cellStyle name="40% - Accent3 2 2 4 6" xfId="16845" xr:uid="{00000000-0005-0000-0000-0000FC410000}"/>
    <cellStyle name="40% - Accent3 2 2 4 6 2" xfId="16846" xr:uid="{00000000-0005-0000-0000-0000FD410000}"/>
    <cellStyle name="40% - Accent3 2 2 4 7" xfId="16847" xr:uid="{00000000-0005-0000-0000-0000FE410000}"/>
    <cellStyle name="40% - Accent3 2 2 5" xfId="16848" xr:uid="{00000000-0005-0000-0000-0000FF410000}"/>
    <cellStyle name="40% - Accent3 2 2 5 2" xfId="16849" xr:uid="{00000000-0005-0000-0000-000000420000}"/>
    <cellStyle name="40% - Accent3 2 2 5 2 2" xfId="16850" xr:uid="{00000000-0005-0000-0000-000001420000}"/>
    <cellStyle name="40% - Accent3 2 2 5 2 2 2" xfId="16851" xr:uid="{00000000-0005-0000-0000-000002420000}"/>
    <cellStyle name="40% - Accent3 2 2 5 2 2 2 2" xfId="16852" xr:uid="{00000000-0005-0000-0000-000003420000}"/>
    <cellStyle name="40% - Accent3 2 2 5 2 2 2 2 2" xfId="16853" xr:uid="{00000000-0005-0000-0000-000004420000}"/>
    <cellStyle name="40% - Accent3 2 2 5 2 2 2 3" xfId="16854" xr:uid="{00000000-0005-0000-0000-000005420000}"/>
    <cellStyle name="40% - Accent3 2 2 5 2 2 3" xfId="16855" xr:uid="{00000000-0005-0000-0000-000006420000}"/>
    <cellStyle name="40% - Accent3 2 2 5 2 2 3 2" xfId="16856" xr:uid="{00000000-0005-0000-0000-000007420000}"/>
    <cellStyle name="40% - Accent3 2 2 5 2 2 4" xfId="16857" xr:uid="{00000000-0005-0000-0000-000008420000}"/>
    <cellStyle name="40% - Accent3 2 2 5 2 3" xfId="16858" xr:uid="{00000000-0005-0000-0000-000009420000}"/>
    <cellStyle name="40% - Accent3 2 2 5 2 3 2" xfId="16859" xr:uid="{00000000-0005-0000-0000-00000A420000}"/>
    <cellStyle name="40% - Accent3 2 2 5 2 3 2 2" xfId="16860" xr:uid="{00000000-0005-0000-0000-00000B420000}"/>
    <cellStyle name="40% - Accent3 2 2 5 2 3 3" xfId="16861" xr:uid="{00000000-0005-0000-0000-00000C420000}"/>
    <cellStyle name="40% - Accent3 2 2 5 2 4" xfId="16862" xr:uid="{00000000-0005-0000-0000-00000D420000}"/>
    <cellStyle name="40% - Accent3 2 2 5 2 4 2" xfId="16863" xr:uid="{00000000-0005-0000-0000-00000E420000}"/>
    <cellStyle name="40% - Accent3 2 2 5 2 5" xfId="16864" xr:uid="{00000000-0005-0000-0000-00000F420000}"/>
    <cellStyle name="40% - Accent3 2 2 5 3" xfId="16865" xr:uid="{00000000-0005-0000-0000-000010420000}"/>
    <cellStyle name="40% - Accent3 2 2 5 3 2" xfId="16866" xr:uid="{00000000-0005-0000-0000-000011420000}"/>
    <cellStyle name="40% - Accent3 2 2 5 3 2 2" xfId="16867" xr:uid="{00000000-0005-0000-0000-000012420000}"/>
    <cellStyle name="40% - Accent3 2 2 5 3 2 2 2" xfId="16868" xr:uid="{00000000-0005-0000-0000-000013420000}"/>
    <cellStyle name="40% - Accent3 2 2 5 3 2 3" xfId="16869" xr:uid="{00000000-0005-0000-0000-000014420000}"/>
    <cellStyle name="40% - Accent3 2 2 5 3 3" xfId="16870" xr:uid="{00000000-0005-0000-0000-000015420000}"/>
    <cellStyle name="40% - Accent3 2 2 5 3 3 2" xfId="16871" xr:uid="{00000000-0005-0000-0000-000016420000}"/>
    <cellStyle name="40% - Accent3 2 2 5 3 4" xfId="16872" xr:uid="{00000000-0005-0000-0000-000017420000}"/>
    <cellStyle name="40% - Accent3 2 2 5 4" xfId="16873" xr:uid="{00000000-0005-0000-0000-000018420000}"/>
    <cellStyle name="40% - Accent3 2 2 5 4 2" xfId="16874" xr:uid="{00000000-0005-0000-0000-000019420000}"/>
    <cellStyle name="40% - Accent3 2 2 5 4 2 2" xfId="16875" xr:uid="{00000000-0005-0000-0000-00001A420000}"/>
    <cellStyle name="40% - Accent3 2 2 5 4 3" xfId="16876" xr:uid="{00000000-0005-0000-0000-00001B420000}"/>
    <cellStyle name="40% - Accent3 2 2 5 5" xfId="16877" xr:uid="{00000000-0005-0000-0000-00001C420000}"/>
    <cellStyle name="40% - Accent3 2 2 5 5 2" xfId="16878" xr:uid="{00000000-0005-0000-0000-00001D420000}"/>
    <cellStyle name="40% - Accent3 2 2 5 6" xfId="16879" xr:uid="{00000000-0005-0000-0000-00001E420000}"/>
    <cellStyle name="40% - Accent3 2 2 6" xfId="16880" xr:uid="{00000000-0005-0000-0000-00001F420000}"/>
    <cellStyle name="40% - Accent3 2 2 6 2" xfId="16881" xr:uid="{00000000-0005-0000-0000-000020420000}"/>
    <cellStyle name="40% - Accent3 2 2 6 2 2" xfId="16882" xr:uid="{00000000-0005-0000-0000-000021420000}"/>
    <cellStyle name="40% - Accent3 2 2 6 2 2 2" xfId="16883" xr:uid="{00000000-0005-0000-0000-000022420000}"/>
    <cellStyle name="40% - Accent3 2 2 6 2 2 2 2" xfId="16884" xr:uid="{00000000-0005-0000-0000-000023420000}"/>
    <cellStyle name="40% - Accent3 2 2 6 2 2 3" xfId="16885" xr:uid="{00000000-0005-0000-0000-000024420000}"/>
    <cellStyle name="40% - Accent3 2 2 6 2 3" xfId="16886" xr:uid="{00000000-0005-0000-0000-000025420000}"/>
    <cellStyle name="40% - Accent3 2 2 6 2 3 2" xfId="16887" xr:uid="{00000000-0005-0000-0000-000026420000}"/>
    <cellStyle name="40% - Accent3 2 2 6 2 4" xfId="16888" xr:uid="{00000000-0005-0000-0000-000027420000}"/>
    <cellStyle name="40% - Accent3 2 2 6 3" xfId="16889" xr:uid="{00000000-0005-0000-0000-000028420000}"/>
    <cellStyle name="40% - Accent3 2 2 6 3 2" xfId="16890" xr:uid="{00000000-0005-0000-0000-000029420000}"/>
    <cellStyle name="40% - Accent3 2 2 6 3 2 2" xfId="16891" xr:uid="{00000000-0005-0000-0000-00002A420000}"/>
    <cellStyle name="40% - Accent3 2 2 6 3 3" xfId="16892" xr:uid="{00000000-0005-0000-0000-00002B420000}"/>
    <cellStyle name="40% - Accent3 2 2 6 4" xfId="16893" xr:uid="{00000000-0005-0000-0000-00002C420000}"/>
    <cellStyle name="40% - Accent3 2 2 6 4 2" xfId="16894" xr:uid="{00000000-0005-0000-0000-00002D420000}"/>
    <cellStyle name="40% - Accent3 2 2 6 5" xfId="16895" xr:uid="{00000000-0005-0000-0000-00002E420000}"/>
    <cellStyle name="40% - Accent3 2 2 7" xfId="16896" xr:uid="{00000000-0005-0000-0000-00002F420000}"/>
    <cellStyle name="40% - Accent3 2 2 7 2" xfId="16897" xr:uid="{00000000-0005-0000-0000-000030420000}"/>
    <cellStyle name="40% - Accent3 2 2 7 2 2" xfId="16898" xr:uid="{00000000-0005-0000-0000-000031420000}"/>
    <cellStyle name="40% - Accent3 2 2 7 2 2 2" xfId="16899" xr:uid="{00000000-0005-0000-0000-000032420000}"/>
    <cellStyle name="40% - Accent3 2 2 7 2 3" xfId="16900" xr:uid="{00000000-0005-0000-0000-000033420000}"/>
    <cellStyle name="40% - Accent3 2 2 7 3" xfId="16901" xr:uid="{00000000-0005-0000-0000-000034420000}"/>
    <cellStyle name="40% - Accent3 2 2 7 3 2" xfId="16902" xr:uid="{00000000-0005-0000-0000-000035420000}"/>
    <cellStyle name="40% - Accent3 2 2 7 4" xfId="16903" xr:uid="{00000000-0005-0000-0000-000036420000}"/>
    <cellStyle name="40% - Accent3 2 2 8" xfId="16904" xr:uid="{00000000-0005-0000-0000-000037420000}"/>
    <cellStyle name="40% - Accent3 2 2 8 2" xfId="16905" xr:uid="{00000000-0005-0000-0000-000038420000}"/>
    <cellStyle name="40% - Accent3 2 2 8 2 2" xfId="16906" xr:uid="{00000000-0005-0000-0000-000039420000}"/>
    <cellStyle name="40% - Accent3 2 2 8 3" xfId="16907" xr:uid="{00000000-0005-0000-0000-00003A420000}"/>
    <cellStyle name="40% - Accent3 2 2 9" xfId="16908" xr:uid="{00000000-0005-0000-0000-00003B420000}"/>
    <cellStyle name="40% - Accent3 2 2 9 2" xfId="16909" xr:uid="{00000000-0005-0000-0000-00003C420000}"/>
    <cellStyle name="40% - Accent3 2 3" xfId="16910" xr:uid="{00000000-0005-0000-0000-00003D420000}"/>
    <cellStyle name="40% - Accent3 2 3 2" xfId="16911" xr:uid="{00000000-0005-0000-0000-00003E420000}"/>
    <cellStyle name="40% - Accent3 2 3 2 2" xfId="16912" xr:uid="{00000000-0005-0000-0000-00003F420000}"/>
    <cellStyle name="40% - Accent3 2 3 2 2 2" xfId="16913" xr:uid="{00000000-0005-0000-0000-000040420000}"/>
    <cellStyle name="40% - Accent3 2 3 2 2 2 2" xfId="16914" xr:uid="{00000000-0005-0000-0000-000041420000}"/>
    <cellStyle name="40% - Accent3 2 3 2 2 2 2 2" xfId="16915" xr:uid="{00000000-0005-0000-0000-000042420000}"/>
    <cellStyle name="40% - Accent3 2 3 2 2 2 2 2 2" xfId="16916" xr:uid="{00000000-0005-0000-0000-000043420000}"/>
    <cellStyle name="40% - Accent3 2 3 2 2 2 2 2 2 2" xfId="16917" xr:uid="{00000000-0005-0000-0000-000044420000}"/>
    <cellStyle name="40% - Accent3 2 3 2 2 2 2 2 2 2 2" xfId="16918" xr:uid="{00000000-0005-0000-0000-000045420000}"/>
    <cellStyle name="40% - Accent3 2 3 2 2 2 2 2 2 3" xfId="16919" xr:uid="{00000000-0005-0000-0000-000046420000}"/>
    <cellStyle name="40% - Accent3 2 3 2 2 2 2 2 3" xfId="16920" xr:uid="{00000000-0005-0000-0000-000047420000}"/>
    <cellStyle name="40% - Accent3 2 3 2 2 2 2 2 3 2" xfId="16921" xr:uid="{00000000-0005-0000-0000-000048420000}"/>
    <cellStyle name="40% - Accent3 2 3 2 2 2 2 2 4" xfId="16922" xr:uid="{00000000-0005-0000-0000-000049420000}"/>
    <cellStyle name="40% - Accent3 2 3 2 2 2 2 3" xfId="16923" xr:uid="{00000000-0005-0000-0000-00004A420000}"/>
    <cellStyle name="40% - Accent3 2 3 2 2 2 2 3 2" xfId="16924" xr:uid="{00000000-0005-0000-0000-00004B420000}"/>
    <cellStyle name="40% - Accent3 2 3 2 2 2 2 3 2 2" xfId="16925" xr:uid="{00000000-0005-0000-0000-00004C420000}"/>
    <cellStyle name="40% - Accent3 2 3 2 2 2 2 3 3" xfId="16926" xr:uid="{00000000-0005-0000-0000-00004D420000}"/>
    <cellStyle name="40% - Accent3 2 3 2 2 2 2 4" xfId="16927" xr:uid="{00000000-0005-0000-0000-00004E420000}"/>
    <cellStyle name="40% - Accent3 2 3 2 2 2 2 4 2" xfId="16928" xr:uid="{00000000-0005-0000-0000-00004F420000}"/>
    <cellStyle name="40% - Accent3 2 3 2 2 2 2 5" xfId="16929" xr:uid="{00000000-0005-0000-0000-000050420000}"/>
    <cellStyle name="40% - Accent3 2 3 2 2 2 3" xfId="16930" xr:uid="{00000000-0005-0000-0000-000051420000}"/>
    <cellStyle name="40% - Accent3 2 3 2 2 2 3 2" xfId="16931" xr:uid="{00000000-0005-0000-0000-000052420000}"/>
    <cellStyle name="40% - Accent3 2 3 2 2 2 3 2 2" xfId="16932" xr:uid="{00000000-0005-0000-0000-000053420000}"/>
    <cellStyle name="40% - Accent3 2 3 2 2 2 3 2 2 2" xfId="16933" xr:uid="{00000000-0005-0000-0000-000054420000}"/>
    <cellStyle name="40% - Accent3 2 3 2 2 2 3 2 3" xfId="16934" xr:uid="{00000000-0005-0000-0000-000055420000}"/>
    <cellStyle name="40% - Accent3 2 3 2 2 2 3 3" xfId="16935" xr:uid="{00000000-0005-0000-0000-000056420000}"/>
    <cellStyle name="40% - Accent3 2 3 2 2 2 3 3 2" xfId="16936" xr:uid="{00000000-0005-0000-0000-000057420000}"/>
    <cellStyle name="40% - Accent3 2 3 2 2 2 3 4" xfId="16937" xr:uid="{00000000-0005-0000-0000-000058420000}"/>
    <cellStyle name="40% - Accent3 2 3 2 2 2 4" xfId="16938" xr:uid="{00000000-0005-0000-0000-000059420000}"/>
    <cellStyle name="40% - Accent3 2 3 2 2 2 4 2" xfId="16939" xr:uid="{00000000-0005-0000-0000-00005A420000}"/>
    <cellStyle name="40% - Accent3 2 3 2 2 2 4 2 2" xfId="16940" xr:uid="{00000000-0005-0000-0000-00005B420000}"/>
    <cellStyle name="40% - Accent3 2 3 2 2 2 4 3" xfId="16941" xr:uid="{00000000-0005-0000-0000-00005C420000}"/>
    <cellStyle name="40% - Accent3 2 3 2 2 2 5" xfId="16942" xr:uid="{00000000-0005-0000-0000-00005D420000}"/>
    <cellStyle name="40% - Accent3 2 3 2 2 2 5 2" xfId="16943" xr:uid="{00000000-0005-0000-0000-00005E420000}"/>
    <cellStyle name="40% - Accent3 2 3 2 2 2 6" xfId="16944" xr:uid="{00000000-0005-0000-0000-00005F420000}"/>
    <cellStyle name="40% - Accent3 2 3 2 2 3" xfId="16945" xr:uid="{00000000-0005-0000-0000-000060420000}"/>
    <cellStyle name="40% - Accent3 2 3 2 2 3 2" xfId="16946" xr:uid="{00000000-0005-0000-0000-000061420000}"/>
    <cellStyle name="40% - Accent3 2 3 2 2 3 2 2" xfId="16947" xr:uid="{00000000-0005-0000-0000-000062420000}"/>
    <cellStyle name="40% - Accent3 2 3 2 2 3 2 2 2" xfId="16948" xr:uid="{00000000-0005-0000-0000-000063420000}"/>
    <cellStyle name="40% - Accent3 2 3 2 2 3 2 2 2 2" xfId="16949" xr:uid="{00000000-0005-0000-0000-000064420000}"/>
    <cellStyle name="40% - Accent3 2 3 2 2 3 2 2 3" xfId="16950" xr:uid="{00000000-0005-0000-0000-000065420000}"/>
    <cellStyle name="40% - Accent3 2 3 2 2 3 2 3" xfId="16951" xr:uid="{00000000-0005-0000-0000-000066420000}"/>
    <cellStyle name="40% - Accent3 2 3 2 2 3 2 3 2" xfId="16952" xr:uid="{00000000-0005-0000-0000-000067420000}"/>
    <cellStyle name="40% - Accent3 2 3 2 2 3 2 4" xfId="16953" xr:uid="{00000000-0005-0000-0000-000068420000}"/>
    <cellStyle name="40% - Accent3 2 3 2 2 3 3" xfId="16954" xr:uid="{00000000-0005-0000-0000-000069420000}"/>
    <cellStyle name="40% - Accent3 2 3 2 2 3 3 2" xfId="16955" xr:uid="{00000000-0005-0000-0000-00006A420000}"/>
    <cellStyle name="40% - Accent3 2 3 2 2 3 3 2 2" xfId="16956" xr:uid="{00000000-0005-0000-0000-00006B420000}"/>
    <cellStyle name="40% - Accent3 2 3 2 2 3 3 3" xfId="16957" xr:uid="{00000000-0005-0000-0000-00006C420000}"/>
    <cellStyle name="40% - Accent3 2 3 2 2 3 4" xfId="16958" xr:uid="{00000000-0005-0000-0000-00006D420000}"/>
    <cellStyle name="40% - Accent3 2 3 2 2 3 4 2" xfId="16959" xr:uid="{00000000-0005-0000-0000-00006E420000}"/>
    <cellStyle name="40% - Accent3 2 3 2 2 3 5" xfId="16960" xr:uid="{00000000-0005-0000-0000-00006F420000}"/>
    <cellStyle name="40% - Accent3 2 3 2 2 4" xfId="16961" xr:uid="{00000000-0005-0000-0000-000070420000}"/>
    <cellStyle name="40% - Accent3 2 3 2 2 4 2" xfId="16962" xr:uid="{00000000-0005-0000-0000-000071420000}"/>
    <cellStyle name="40% - Accent3 2 3 2 2 4 2 2" xfId="16963" xr:uid="{00000000-0005-0000-0000-000072420000}"/>
    <cellStyle name="40% - Accent3 2 3 2 2 4 2 2 2" xfId="16964" xr:uid="{00000000-0005-0000-0000-000073420000}"/>
    <cellStyle name="40% - Accent3 2 3 2 2 4 2 3" xfId="16965" xr:uid="{00000000-0005-0000-0000-000074420000}"/>
    <cellStyle name="40% - Accent3 2 3 2 2 4 3" xfId="16966" xr:uid="{00000000-0005-0000-0000-000075420000}"/>
    <cellStyle name="40% - Accent3 2 3 2 2 4 3 2" xfId="16967" xr:uid="{00000000-0005-0000-0000-000076420000}"/>
    <cellStyle name="40% - Accent3 2 3 2 2 4 4" xfId="16968" xr:uid="{00000000-0005-0000-0000-000077420000}"/>
    <cellStyle name="40% - Accent3 2 3 2 2 5" xfId="16969" xr:uid="{00000000-0005-0000-0000-000078420000}"/>
    <cellStyle name="40% - Accent3 2 3 2 2 5 2" xfId="16970" xr:uid="{00000000-0005-0000-0000-000079420000}"/>
    <cellStyle name="40% - Accent3 2 3 2 2 5 2 2" xfId="16971" xr:uid="{00000000-0005-0000-0000-00007A420000}"/>
    <cellStyle name="40% - Accent3 2 3 2 2 5 3" xfId="16972" xr:uid="{00000000-0005-0000-0000-00007B420000}"/>
    <cellStyle name="40% - Accent3 2 3 2 2 6" xfId="16973" xr:uid="{00000000-0005-0000-0000-00007C420000}"/>
    <cellStyle name="40% - Accent3 2 3 2 2 6 2" xfId="16974" xr:uid="{00000000-0005-0000-0000-00007D420000}"/>
    <cellStyle name="40% - Accent3 2 3 2 2 7" xfId="16975" xr:uid="{00000000-0005-0000-0000-00007E420000}"/>
    <cellStyle name="40% - Accent3 2 3 2 3" xfId="16976" xr:uid="{00000000-0005-0000-0000-00007F420000}"/>
    <cellStyle name="40% - Accent3 2 3 2 3 2" xfId="16977" xr:uid="{00000000-0005-0000-0000-000080420000}"/>
    <cellStyle name="40% - Accent3 2 3 2 3 2 2" xfId="16978" xr:uid="{00000000-0005-0000-0000-000081420000}"/>
    <cellStyle name="40% - Accent3 2 3 2 3 2 2 2" xfId="16979" xr:uid="{00000000-0005-0000-0000-000082420000}"/>
    <cellStyle name="40% - Accent3 2 3 2 3 2 2 2 2" xfId="16980" xr:uid="{00000000-0005-0000-0000-000083420000}"/>
    <cellStyle name="40% - Accent3 2 3 2 3 2 2 2 2 2" xfId="16981" xr:uid="{00000000-0005-0000-0000-000084420000}"/>
    <cellStyle name="40% - Accent3 2 3 2 3 2 2 2 3" xfId="16982" xr:uid="{00000000-0005-0000-0000-000085420000}"/>
    <cellStyle name="40% - Accent3 2 3 2 3 2 2 3" xfId="16983" xr:uid="{00000000-0005-0000-0000-000086420000}"/>
    <cellStyle name="40% - Accent3 2 3 2 3 2 2 3 2" xfId="16984" xr:uid="{00000000-0005-0000-0000-000087420000}"/>
    <cellStyle name="40% - Accent3 2 3 2 3 2 2 4" xfId="16985" xr:uid="{00000000-0005-0000-0000-000088420000}"/>
    <cellStyle name="40% - Accent3 2 3 2 3 2 3" xfId="16986" xr:uid="{00000000-0005-0000-0000-000089420000}"/>
    <cellStyle name="40% - Accent3 2 3 2 3 2 3 2" xfId="16987" xr:uid="{00000000-0005-0000-0000-00008A420000}"/>
    <cellStyle name="40% - Accent3 2 3 2 3 2 3 2 2" xfId="16988" xr:uid="{00000000-0005-0000-0000-00008B420000}"/>
    <cellStyle name="40% - Accent3 2 3 2 3 2 3 3" xfId="16989" xr:uid="{00000000-0005-0000-0000-00008C420000}"/>
    <cellStyle name="40% - Accent3 2 3 2 3 2 4" xfId="16990" xr:uid="{00000000-0005-0000-0000-00008D420000}"/>
    <cellStyle name="40% - Accent3 2 3 2 3 2 4 2" xfId="16991" xr:uid="{00000000-0005-0000-0000-00008E420000}"/>
    <cellStyle name="40% - Accent3 2 3 2 3 2 5" xfId="16992" xr:uid="{00000000-0005-0000-0000-00008F420000}"/>
    <cellStyle name="40% - Accent3 2 3 2 3 3" xfId="16993" xr:uid="{00000000-0005-0000-0000-000090420000}"/>
    <cellStyle name="40% - Accent3 2 3 2 3 3 2" xfId="16994" xr:uid="{00000000-0005-0000-0000-000091420000}"/>
    <cellStyle name="40% - Accent3 2 3 2 3 3 2 2" xfId="16995" xr:uid="{00000000-0005-0000-0000-000092420000}"/>
    <cellStyle name="40% - Accent3 2 3 2 3 3 2 2 2" xfId="16996" xr:uid="{00000000-0005-0000-0000-000093420000}"/>
    <cellStyle name="40% - Accent3 2 3 2 3 3 2 3" xfId="16997" xr:uid="{00000000-0005-0000-0000-000094420000}"/>
    <cellStyle name="40% - Accent3 2 3 2 3 3 3" xfId="16998" xr:uid="{00000000-0005-0000-0000-000095420000}"/>
    <cellStyle name="40% - Accent3 2 3 2 3 3 3 2" xfId="16999" xr:uid="{00000000-0005-0000-0000-000096420000}"/>
    <cellStyle name="40% - Accent3 2 3 2 3 3 4" xfId="17000" xr:uid="{00000000-0005-0000-0000-000097420000}"/>
    <cellStyle name="40% - Accent3 2 3 2 3 4" xfId="17001" xr:uid="{00000000-0005-0000-0000-000098420000}"/>
    <cellStyle name="40% - Accent3 2 3 2 3 4 2" xfId="17002" xr:uid="{00000000-0005-0000-0000-000099420000}"/>
    <cellStyle name="40% - Accent3 2 3 2 3 4 2 2" xfId="17003" xr:uid="{00000000-0005-0000-0000-00009A420000}"/>
    <cellStyle name="40% - Accent3 2 3 2 3 4 3" xfId="17004" xr:uid="{00000000-0005-0000-0000-00009B420000}"/>
    <cellStyle name="40% - Accent3 2 3 2 3 5" xfId="17005" xr:uid="{00000000-0005-0000-0000-00009C420000}"/>
    <cellStyle name="40% - Accent3 2 3 2 3 5 2" xfId="17006" xr:uid="{00000000-0005-0000-0000-00009D420000}"/>
    <cellStyle name="40% - Accent3 2 3 2 3 6" xfId="17007" xr:uid="{00000000-0005-0000-0000-00009E420000}"/>
    <cellStyle name="40% - Accent3 2 3 2 4" xfId="17008" xr:uid="{00000000-0005-0000-0000-00009F420000}"/>
    <cellStyle name="40% - Accent3 2 3 2 4 2" xfId="17009" xr:uid="{00000000-0005-0000-0000-0000A0420000}"/>
    <cellStyle name="40% - Accent3 2 3 2 4 2 2" xfId="17010" xr:uid="{00000000-0005-0000-0000-0000A1420000}"/>
    <cellStyle name="40% - Accent3 2 3 2 4 2 2 2" xfId="17011" xr:uid="{00000000-0005-0000-0000-0000A2420000}"/>
    <cellStyle name="40% - Accent3 2 3 2 4 2 2 2 2" xfId="17012" xr:uid="{00000000-0005-0000-0000-0000A3420000}"/>
    <cellStyle name="40% - Accent3 2 3 2 4 2 2 3" xfId="17013" xr:uid="{00000000-0005-0000-0000-0000A4420000}"/>
    <cellStyle name="40% - Accent3 2 3 2 4 2 3" xfId="17014" xr:uid="{00000000-0005-0000-0000-0000A5420000}"/>
    <cellStyle name="40% - Accent3 2 3 2 4 2 3 2" xfId="17015" xr:uid="{00000000-0005-0000-0000-0000A6420000}"/>
    <cellStyle name="40% - Accent3 2 3 2 4 2 4" xfId="17016" xr:uid="{00000000-0005-0000-0000-0000A7420000}"/>
    <cellStyle name="40% - Accent3 2 3 2 4 3" xfId="17017" xr:uid="{00000000-0005-0000-0000-0000A8420000}"/>
    <cellStyle name="40% - Accent3 2 3 2 4 3 2" xfId="17018" xr:uid="{00000000-0005-0000-0000-0000A9420000}"/>
    <cellStyle name="40% - Accent3 2 3 2 4 3 2 2" xfId="17019" xr:uid="{00000000-0005-0000-0000-0000AA420000}"/>
    <cellStyle name="40% - Accent3 2 3 2 4 3 3" xfId="17020" xr:uid="{00000000-0005-0000-0000-0000AB420000}"/>
    <cellStyle name="40% - Accent3 2 3 2 4 4" xfId="17021" xr:uid="{00000000-0005-0000-0000-0000AC420000}"/>
    <cellStyle name="40% - Accent3 2 3 2 4 4 2" xfId="17022" xr:uid="{00000000-0005-0000-0000-0000AD420000}"/>
    <cellStyle name="40% - Accent3 2 3 2 4 5" xfId="17023" xr:uid="{00000000-0005-0000-0000-0000AE420000}"/>
    <cellStyle name="40% - Accent3 2 3 2 5" xfId="17024" xr:uid="{00000000-0005-0000-0000-0000AF420000}"/>
    <cellStyle name="40% - Accent3 2 3 2 5 2" xfId="17025" xr:uid="{00000000-0005-0000-0000-0000B0420000}"/>
    <cellStyle name="40% - Accent3 2 3 2 5 2 2" xfId="17026" xr:uid="{00000000-0005-0000-0000-0000B1420000}"/>
    <cellStyle name="40% - Accent3 2 3 2 5 2 2 2" xfId="17027" xr:uid="{00000000-0005-0000-0000-0000B2420000}"/>
    <cellStyle name="40% - Accent3 2 3 2 5 2 3" xfId="17028" xr:uid="{00000000-0005-0000-0000-0000B3420000}"/>
    <cellStyle name="40% - Accent3 2 3 2 5 3" xfId="17029" xr:uid="{00000000-0005-0000-0000-0000B4420000}"/>
    <cellStyle name="40% - Accent3 2 3 2 5 3 2" xfId="17030" xr:uid="{00000000-0005-0000-0000-0000B5420000}"/>
    <cellStyle name="40% - Accent3 2 3 2 5 4" xfId="17031" xr:uid="{00000000-0005-0000-0000-0000B6420000}"/>
    <cellStyle name="40% - Accent3 2 3 2 6" xfId="17032" xr:uid="{00000000-0005-0000-0000-0000B7420000}"/>
    <cellStyle name="40% - Accent3 2 3 2 6 2" xfId="17033" xr:uid="{00000000-0005-0000-0000-0000B8420000}"/>
    <cellStyle name="40% - Accent3 2 3 2 6 2 2" xfId="17034" xr:uid="{00000000-0005-0000-0000-0000B9420000}"/>
    <cellStyle name="40% - Accent3 2 3 2 6 3" xfId="17035" xr:uid="{00000000-0005-0000-0000-0000BA420000}"/>
    <cellStyle name="40% - Accent3 2 3 2 7" xfId="17036" xr:uid="{00000000-0005-0000-0000-0000BB420000}"/>
    <cellStyle name="40% - Accent3 2 3 2 7 2" xfId="17037" xr:uid="{00000000-0005-0000-0000-0000BC420000}"/>
    <cellStyle name="40% - Accent3 2 3 2 8" xfId="17038" xr:uid="{00000000-0005-0000-0000-0000BD420000}"/>
    <cellStyle name="40% - Accent3 2 3 3" xfId="17039" xr:uid="{00000000-0005-0000-0000-0000BE420000}"/>
    <cellStyle name="40% - Accent3 2 3 3 2" xfId="17040" xr:uid="{00000000-0005-0000-0000-0000BF420000}"/>
    <cellStyle name="40% - Accent3 2 3 3 2 2" xfId="17041" xr:uid="{00000000-0005-0000-0000-0000C0420000}"/>
    <cellStyle name="40% - Accent3 2 3 3 2 2 2" xfId="17042" xr:uid="{00000000-0005-0000-0000-0000C1420000}"/>
    <cellStyle name="40% - Accent3 2 3 3 2 2 2 2" xfId="17043" xr:uid="{00000000-0005-0000-0000-0000C2420000}"/>
    <cellStyle name="40% - Accent3 2 3 3 2 2 2 2 2" xfId="17044" xr:uid="{00000000-0005-0000-0000-0000C3420000}"/>
    <cellStyle name="40% - Accent3 2 3 3 2 2 2 2 2 2" xfId="17045" xr:uid="{00000000-0005-0000-0000-0000C4420000}"/>
    <cellStyle name="40% - Accent3 2 3 3 2 2 2 2 3" xfId="17046" xr:uid="{00000000-0005-0000-0000-0000C5420000}"/>
    <cellStyle name="40% - Accent3 2 3 3 2 2 2 3" xfId="17047" xr:uid="{00000000-0005-0000-0000-0000C6420000}"/>
    <cellStyle name="40% - Accent3 2 3 3 2 2 2 3 2" xfId="17048" xr:uid="{00000000-0005-0000-0000-0000C7420000}"/>
    <cellStyle name="40% - Accent3 2 3 3 2 2 2 4" xfId="17049" xr:uid="{00000000-0005-0000-0000-0000C8420000}"/>
    <cellStyle name="40% - Accent3 2 3 3 2 2 3" xfId="17050" xr:uid="{00000000-0005-0000-0000-0000C9420000}"/>
    <cellStyle name="40% - Accent3 2 3 3 2 2 3 2" xfId="17051" xr:uid="{00000000-0005-0000-0000-0000CA420000}"/>
    <cellStyle name="40% - Accent3 2 3 3 2 2 3 2 2" xfId="17052" xr:uid="{00000000-0005-0000-0000-0000CB420000}"/>
    <cellStyle name="40% - Accent3 2 3 3 2 2 3 3" xfId="17053" xr:uid="{00000000-0005-0000-0000-0000CC420000}"/>
    <cellStyle name="40% - Accent3 2 3 3 2 2 4" xfId="17054" xr:uid="{00000000-0005-0000-0000-0000CD420000}"/>
    <cellStyle name="40% - Accent3 2 3 3 2 2 4 2" xfId="17055" xr:uid="{00000000-0005-0000-0000-0000CE420000}"/>
    <cellStyle name="40% - Accent3 2 3 3 2 2 5" xfId="17056" xr:uid="{00000000-0005-0000-0000-0000CF420000}"/>
    <cellStyle name="40% - Accent3 2 3 3 2 3" xfId="17057" xr:uid="{00000000-0005-0000-0000-0000D0420000}"/>
    <cellStyle name="40% - Accent3 2 3 3 2 3 2" xfId="17058" xr:uid="{00000000-0005-0000-0000-0000D1420000}"/>
    <cellStyle name="40% - Accent3 2 3 3 2 3 2 2" xfId="17059" xr:uid="{00000000-0005-0000-0000-0000D2420000}"/>
    <cellStyle name="40% - Accent3 2 3 3 2 3 2 2 2" xfId="17060" xr:uid="{00000000-0005-0000-0000-0000D3420000}"/>
    <cellStyle name="40% - Accent3 2 3 3 2 3 2 3" xfId="17061" xr:uid="{00000000-0005-0000-0000-0000D4420000}"/>
    <cellStyle name="40% - Accent3 2 3 3 2 3 3" xfId="17062" xr:uid="{00000000-0005-0000-0000-0000D5420000}"/>
    <cellStyle name="40% - Accent3 2 3 3 2 3 3 2" xfId="17063" xr:uid="{00000000-0005-0000-0000-0000D6420000}"/>
    <cellStyle name="40% - Accent3 2 3 3 2 3 4" xfId="17064" xr:uid="{00000000-0005-0000-0000-0000D7420000}"/>
    <cellStyle name="40% - Accent3 2 3 3 2 4" xfId="17065" xr:uid="{00000000-0005-0000-0000-0000D8420000}"/>
    <cellStyle name="40% - Accent3 2 3 3 2 4 2" xfId="17066" xr:uid="{00000000-0005-0000-0000-0000D9420000}"/>
    <cellStyle name="40% - Accent3 2 3 3 2 4 2 2" xfId="17067" xr:uid="{00000000-0005-0000-0000-0000DA420000}"/>
    <cellStyle name="40% - Accent3 2 3 3 2 4 3" xfId="17068" xr:uid="{00000000-0005-0000-0000-0000DB420000}"/>
    <cellStyle name="40% - Accent3 2 3 3 2 5" xfId="17069" xr:uid="{00000000-0005-0000-0000-0000DC420000}"/>
    <cellStyle name="40% - Accent3 2 3 3 2 5 2" xfId="17070" xr:uid="{00000000-0005-0000-0000-0000DD420000}"/>
    <cellStyle name="40% - Accent3 2 3 3 2 6" xfId="17071" xr:uid="{00000000-0005-0000-0000-0000DE420000}"/>
    <cellStyle name="40% - Accent3 2 3 3 3" xfId="17072" xr:uid="{00000000-0005-0000-0000-0000DF420000}"/>
    <cellStyle name="40% - Accent3 2 3 3 3 2" xfId="17073" xr:uid="{00000000-0005-0000-0000-0000E0420000}"/>
    <cellStyle name="40% - Accent3 2 3 3 3 2 2" xfId="17074" xr:uid="{00000000-0005-0000-0000-0000E1420000}"/>
    <cellStyle name="40% - Accent3 2 3 3 3 2 2 2" xfId="17075" xr:uid="{00000000-0005-0000-0000-0000E2420000}"/>
    <cellStyle name="40% - Accent3 2 3 3 3 2 2 2 2" xfId="17076" xr:uid="{00000000-0005-0000-0000-0000E3420000}"/>
    <cellStyle name="40% - Accent3 2 3 3 3 2 2 3" xfId="17077" xr:uid="{00000000-0005-0000-0000-0000E4420000}"/>
    <cellStyle name="40% - Accent3 2 3 3 3 2 3" xfId="17078" xr:uid="{00000000-0005-0000-0000-0000E5420000}"/>
    <cellStyle name="40% - Accent3 2 3 3 3 2 3 2" xfId="17079" xr:uid="{00000000-0005-0000-0000-0000E6420000}"/>
    <cellStyle name="40% - Accent3 2 3 3 3 2 4" xfId="17080" xr:uid="{00000000-0005-0000-0000-0000E7420000}"/>
    <cellStyle name="40% - Accent3 2 3 3 3 3" xfId="17081" xr:uid="{00000000-0005-0000-0000-0000E8420000}"/>
    <cellStyle name="40% - Accent3 2 3 3 3 3 2" xfId="17082" xr:uid="{00000000-0005-0000-0000-0000E9420000}"/>
    <cellStyle name="40% - Accent3 2 3 3 3 3 2 2" xfId="17083" xr:uid="{00000000-0005-0000-0000-0000EA420000}"/>
    <cellStyle name="40% - Accent3 2 3 3 3 3 3" xfId="17084" xr:uid="{00000000-0005-0000-0000-0000EB420000}"/>
    <cellStyle name="40% - Accent3 2 3 3 3 4" xfId="17085" xr:uid="{00000000-0005-0000-0000-0000EC420000}"/>
    <cellStyle name="40% - Accent3 2 3 3 3 4 2" xfId="17086" xr:uid="{00000000-0005-0000-0000-0000ED420000}"/>
    <cellStyle name="40% - Accent3 2 3 3 3 5" xfId="17087" xr:uid="{00000000-0005-0000-0000-0000EE420000}"/>
    <cellStyle name="40% - Accent3 2 3 3 4" xfId="17088" xr:uid="{00000000-0005-0000-0000-0000EF420000}"/>
    <cellStyle name="40% - Accent3 2 3 3 4 2" xfId="17089" xr:uid="{00000000-0005-0000-0000-0000F0420000}"/>
    <cellStyle name="40% - Accent3 2 3 3 4 2 2" xfId="17090" xr:uid="{00000000-0005-0000-0000-0000F1420000}"/>
    <cellStyle name="40% - Accent3 2 3 3 4 2 2 2" xfId="17091" xr:uid="{00000000-0005-0000-0000-0000F2420000}"/>
    <cellStyle name="40% - Accent3 2 3 3 4 2 3" xfId="17092" xr:uid="{00000000-0005-0000-0000-0000F3420000}"/>
    <cellStyle name="40% - Accent3 2 3 3 4 3" xfId="17093" xr:uid="{00000000-0005-0000-0000-0000F4420000}"/>
    <cellStyle name="40% - Accent3 2 3 3 4 3 2" xfId="17094" xr:uid="{00000000-0005-0000-0000-0000F5420000}"/>
    <cellStyle name="40% - Accent3 2 3 3 4 4" xfId="17095" xr:uid="{00000000-0005-0000-0000-0000F6420000}"/>
    <cellStyle name="40% - Accent3 2 3 3 5" xfId="17096" xr:uid="{00000000-0005-0000-0000-0000F7420000}"/>
    <cellStyle name="40% - Accent3 2 3 3 5 2" xfId="17097" xr:uid="{00000000-0005-0000-0000-0000F8420000}"/>
    <cellStyle name="40% - Accent3 2 3 3 5 2 2" xfId="17098" xr:uid="{00000000-0005-0000-0000-0000F9420000}"/>
    <cellStyle name="40% - Accent3 2 3 3 5 3" xfId="17099" xr:uid="{00000000-0005-0000-0000-0000FA420000}"/>
    <cellStyle name="40% - Accent3 2 3 3 6" xfId="17100" xr:uid="{00000000-0005-0000-0000-0000FB420000}"/>
    <cellStyle name="40% - Accent3 2 3 3 6 2" xfId="17101" xr:uid="{00000000-0005-0000-0000-0000FC420000}"/>
    <cellStyle name="40% - Accent3 2 3 3 7" xfId="17102" xr:uid="{00000000-0005-0000-0000-0000FD420000}"/>
    <cellStyle name="40% - Accent3 2 3 4" xfId="17103" xr:uid="{00000000-0005-0000-0000-0000FE420000}"/>
    <cellStyle name="40% - Accent3 2 3 4 2" xfId="17104" xr:uid="{00000000-0005-0000-0000-0000FF420000}"/>
    <cellStyle name="40% - Accent3 2 3 4 2 2" xfId="17105" xr:uid="{00000000-0005-0000-0000-000000430000}"/>
    <cellStyle name="40% - Accent3 2 3 4 2 2 2" xfId="17106" xr:uid="{00000000-0005-0000-0000-000001430000}"/>
    <cellStyle name="40% - Accent3 2 3 4 2 2 2 2" xfId="17107" xr:uid="{00000000-0005-0000-0000-000002430000}"/>
    <cellStyle name="40% - Accent3 2 3 4 2 2 2 2 2" xfId="17108" xr:uid="{00000000-0005-0000-0000-000003430000}"/>
    <cellStyle name="40% - Accent3 2 3 4 2 2 2 3" xfId="17109" xr:uid="{00000000-0005-0000-0000-000004430000}"/>
    <cellStyle name="40% - Accent3 2 3 4 2 2 3" xfId="17110" xr:uid="{00000000-0005-0000-0000-000005430000}"/>
    <cellStyle name="40% - Accent3 2 3 4 2 2 3 2" xfId="17111" xr:uid="{00000000-0005-0000-0000-000006430000}"/>
    <cellStyle name="40% - Accent3 2 3 4 2 2 4" xfId="17112" xr:uid="{00000000-0005-0000-0000-000007430000}"/>
    <cellStyle name="40% - Accent3 2 3 4 2 3" xfId="17113" xr:uid="{00000000-0005-0000-0000-000008430000}"/>
    <cellStyle name="40% - Accent3 2 3 4 2 3 2" xfId="17114" xr:uid="{00000000-0005-0000-0000-000009430000}"/>
    <cellStyle name="40% - Accent3 2 3 4 2 3 2 2" xfId="17115" xr:uid="{00000000-0005-0000-0000-00000A430000}"/>
    <cellStyle name="40% - Accent3 2 3 4 2 3 3" xfId="17116" xr:uid="{00000000-0005-0000-0000-00000B430000}"/>
    <cellStyle name="40% - Accent3 2 3 4 2 4" xfId="17117" xr:uid="{00000000-0005-0000-0000-00000C430000}"/>
    <cellStyle name="40% - Accent3 2 3 4 2 4 2" xfId="17118" xr:uid="{00000000-0005-0000-0000-00000D430000}"/>
    <cellStyle name="40% - Accent3 2 3 4 2 5" xfId="17119" xr:uid="{00000000-0005-0000-0000-00000E430000}"/>
    <cellStyle name="40% - Accent3 2 3 4 3" xfId="17120" xr:uid="{00000000-0005-0000-0000-00000F430000}"/>
    <cellStyle name="40% - Accent3 2 3 4 3 2" xfId="17121" xr:uid="{00000000-0005-0000-0000-000010430000}"/>
    <cellStyle name="40% - Accent3 2 3 4 3 2 2" xfId="17122" xr:uid="{00000000-0005-0000-0000-000011430000}"/>
    <cellStyle name="40% - Accent3 2 3 4 3 2 2 2" xfId="17123" xr:uid="{00000000-0005-0000-0000-000012430000}"/>
    <cellStyle name="40% - Accent3 2 3 4 3 2 3" xfId="17124" xr:uid="{00000000-0005-0000-0000-000013430000}"/>
    <cellStyle name="40% - Accent3 2 3 4 3 3" xfId="17125" xr:uid="{00000000-0005-0000-0000-000014430000}"/>
    <cellStyle name="40% - Accent3 2 3 4 3 3 2" xfId="17126" xr:uid="{00000000-0005-0000-0000-000015430000}"/>
    <cellStyle name="40% - Accent3 2 3 4 3 4" xfId="17127" xr:uid="{00000000-0005-0000-0000-000016430000}"/>
    <cellStyle name="40% - Accent3 2 3 4 4" xfId="17128" xr:uid="{00000000-0005-0000-0000-000017430000}"/>
    <cellStyle name="40% - Accent3 2 3 4 4 2" xfId="17129" xr:uid="{00000000-0005-0000-0000-000018430000}"/>
    <cellStyle name="40% - Accent3 2 3 4 4 2 2" xfId="17130" xr:uid="{00000000-0005-0000-0000-000019430000}"/>
    <cellStyle name="40% - Accent3 2 3 4 4 3" xfId="17131" xr:uid="{00000000-0005-0000-0000-00001A430000}"/>
    <cellStyle name="40% - Accent3 2 3 4 5" xfId="17132" xr:uid="{00000000-0005-0000-0000-00001B430000}"/>
    <cellStyle name="40% - Accent3 2 3 4 5 2" xfId="17133" xr:uid="{00000000-0005-0000-0000-00001C430000}"/>
    <cellStyle name="40% - Accent3 2 3 4 6" xfId="17134" xr:uid="{00000000-0005-0000-0000-00001D430000}"/>
    <cellStyle name="40% - Accent3 2 3 5" xfId="17135" xr:uid="{00000000-0005-0000-0000-00001E430000}"/>
    <cellStyle name="40% - Accent3 2 3 5 2" xfId="17136" xr:uid="{00000000-0005-0000-0000-00001F430000}"/>
    <cellStyle name="40% - Accent3 2 3 5 2 2" xfId="17137" xr:uid="{00000000-0005-0000-0000-000020430000}"/>
    <cellStyle name="40% - Accent3 2 3 5 2 2 2" xfId="17138" xr:uid="{00000000-0005-0000-0000-000021430000}"/>
    <cellStyle name="40% - Accent3 2 3 5 2 2 2 2" xfId="17139" xr:uid="{00000000-0005-0000-0000-000022430000}"/>
    <cellStyle name="40% - Accent3 2 3 5 2 2 3" xfId="17140" xr:uid="{00000000-0005-0000-0000-000023430000}"/>
    <cellStyle name="40% - Accent3 2 3 5 2 3" xfId="17141" xr:uid="{00000000-0005-0000-0000-000024430000}"/>
    <cellStyle name="40% - Accent3 2 3 5 2 3 2" xfId="17142" xr:uid="{00000000-0005-0000-0000-000025430000}"/>
    <cellStyle name="40% - Accent3 2 3 5 2 4" xfId="17143" xr:uid="{00000000-0005-0000-0000-000026430000}"/>
    <cellStyle name="40% - Accent3 2 3 5 3" xfId="17144" xr:uid="{00000000-0005-0000-0000-000027430000}"/>
    <cellStyle name="40% - Accent3 2 3 5 3 2" xfId="17145" xr:uid="{00000000-0005-0000-0000-000028430000}"/>
    <cellStyle name="40% - Accent3 2 3 5 3 2 2" xfId="17146" xr:uid="{00000000-0005-0000-0000-000029430000}"/>
    <cellStyle name="40% - Accent3 2 3 5 3 3" xfId="17147" xr:uid="{00000000-0005-0000-0000-00002A430000}"/>
    <cellStyle name="40% - Accent3 2 3 5 4" xfId="17148" xr:uid="{00000000-0005-0000-0000-00002B430000}"/>
    <cellStyle name="40% - Accent3 2 3 5 4 2" xfId="17149" xr:uid="{00000000-0005-0000-0000-00002C430000}"/>
    <cellStyle name="40% - Accent3 2 3 5 5" xfId="17150" xr:uid="{00000000-0005-0000-0000-00002D430000}"/>
    <cellStyle name="40% - Accent3 2 3 6" xfId="17151" xr:uid="{00000000-0005-0000-0000-00002E430000}"/>
    <cellStyle name="40% - Accent3 2 3 6 2" xfId="17152" xr:uid="{00000000-0005-0000-0000-00002F430000}"/>
    <cellStyle name="40% - Accent3 2 3 6 2 2" xfId="17153" xr:uid="{00000000-0005-0000-0000-000030430000}"/>
    <cellStyle name="40% - Accent3 2 3 6 2 2 2" xfId="17154" xr:uid="{00000000-0005-0000-0000-000031430000}"/>
    <cellStyle name="40% - Accent3 2 3 6 2 3" xfId="17155" xr:uid="{00000000-0005-0000-0000-000032430000}"/>
    <cellStyle name="40% - Accent3 2 3 6 3" xfId="17156" xr:uid="{00000000-0005-0000-0000-000033430000}"/>
    <cellStyle name="40% - Accent3 2 3 6 3 2" xfId="17157" xr:uid="{00000000-0005-0000-0000-000034430000}"/>
    <cellStyle name="40% - Accent3 2 3 6 4" xfId="17158" xr:uid="{00000000-0005-0000-0000-000035430000}"/>
    <cellStyle name="40% - Accent3 2 3 7" xfId="17159" xr:uid="{00000000-0005-0000-0000-000036430000}"/>
    <cellStyle name="40% - Accent3 2 3 7 2" xfId="17160" xr:uid="{00000000-0005-0000-0000-000037430000}"/>
    <cellStyle name="40% - Accent3 2 3 7 2 2" xfId="17161" xr:uid="{00000000-0005-0000-0000-000038430000}"/>
    <cellStyle name="40% - Accent3 2 3 7 3" xfId="17162" xr:uid="{00000000-0005-0000-0000-000039430000}"/>
    <cellStyle name="40% - Accent3 2 3 8" xfId="17163" xr:uid="{00000000-0005-0000-0000-00003A430000}"/>
    <cellStyle name="40% - Accent3 2 3 8 2" xfId="17164" xr:uid="{00000000-0005-0000-0000-00003B430000}"/>
    <cellStyle name="40% - Accent3 2 3 9" xfId="17165" xr:uid="{00000000-0005-0000-0000-00003C430000}"/>
    <cellStyle name="40% - Accent3 2 4" xfId="17166" xr:uid="{00000000-0005-0000-0000-00003D430000}"/>
    <cellStyle name="40% - Accent3 2 4 2" xfId="17167" xr:uid="{00000000-0005-0000-0000-00003E430000}"/>
    <cellStyle name="40% - Accent3 2 4 2 2" xfId="17168" xr:uid="{00000000-0005-0000-0000-00003F430000}"/>
    <cellStyle name="40% - Accent3 2 4 2 2 2" xfId="17169" xr:uid="{00000000-0005-0000-0000-000040430000}"/>
    <cellStyle name="40% - Accent3 2 4 2 2 2 2" xfId="17170" xr:uid="{00000000-0005-0000-0000-000041430000}"/>
    <cellStyle name="40% - Accent3 2 4 2 2 2 2 2" xfId="17171" xr:uid="{00000000-0005-0000-0000-000042430000}"/>
    <cellStyle name="40% - Accent3 2 4 2 2 2 2 2 2" xfId="17172" xr:uid="{00000000-0005-0000-0000-000043430000}"/>
    <cellStyle name="40% - Accent3 2 4 2 2 2 2 2 2 2" xfId="17173" xr:uid="{00000000-0005-0000-0000-000044430000}"/>
    <cellStyle name="40% - Accent3 2 4 2 2 2 2 2 3" xfId="17174" xr:uid="{00000000-0005-0000-0000-000045430000}"/>
    <cellStyle name="40% - Accent3 2 4 2 2 2 2 3" xfId="17175" xr:uid="{00000000-0005-0000-0000-000046430000}"/>
    <cellStyle name="40% - Accent3 2 4 2 2 2 2 3 2" xfId="17176" xr:uid="{00000000-0005-0000-0000-000047430000}"/>
    <cellStyle name="40% - Accent3 2 4 2 2 2 2 4" xfId="17177" xr:uid="{00000000-0005-0000-0000-000048430000}"/>
    <cellStyle name="40% - Accent3 2 4 2 2 2 3" xfId="17178" xr:uid="{00000000-0005-0000-0000-000049430000}"/>
    <cellStyle name="40% - Accent3 2 4 2 2 2 3 2" xfId="17179" xr:uid="{00000000-0005-0000-0000-00004A430000}"/>
    <cellStyle name="40% - Accent3 2 4 2 2 2 3 2 2" xfId="17180" xr:uid="{00000000-0005-0000-0000-00004B430000}"/>
    <cellStyle name="40% - Accent3 2 4 2 2 2 3 3" xfId="17181" xr:uid="{00000000-0005-0000-0000-00004C430000}"/>
    <cellStyle name="40% - Accent3 2 4 2 2 2 4" xfId="17182" xr:uid="{00000000-0005-0000-0000-00004D430000}"/>
    <cellStyle name="40% - Accent3 2 4 2 2 2 4 2" xfId="17183" xr:uid="{00000000-0005-0000-0000-00004E430000}"/>
    <cellStyle name="40% - Accent3 2 4 2 2 2 5" xfId="17184" xr:uid="{00000000-0005-0000-0000-00004F430000}"/>
    <cellStyle name="40% - Accent3 2 4 2 2 3" xfId="17185" xr:uid="{00000000-0005-0000-0000-000050430000}"/>
    <cellStyle name="40% - Accent3 2 4 2 2 3 2" xfId="17186" xr:uid="{00000000-0005-0000-0000-000051430000}"/>
    <cellStyle name="40% - Accent3 2 4 2 2 3 2 2" xfId="17187" xr:uid="{00000000-0005-0000-0000-000052430000}"/>
    <cellStyle name="40% - Accent3 2 4 2 2 3 2 2 2" xfId="17188" xr:uid="{00000000-0005-0000-0000-000053430000}"/>
    <cellStyle name="40% - Accent3 2 4 2 2 3 2 3" xfId="17189" xr:uid="{00000000-0005-0000-0000-000054430000}"/>
    <cellStyle name="40% - Accent3 2 4 2 2 3 3" xfId="17190" xr:uid="{00000000-0005-0000-0000-000055430000}"/>
    <cellStyle name="40% - Accent3 2 4 2 2 3 3 2" xfId="17191" xr:uid="{00000000-0005-0000-0000-000056430000}"/>
    <cellStyle name="40% - Accent3 2 4 2 2 3 4" xfId="17192" xr:uid="{00000000-0005-0000-0000-000057430000}"/>
    <cellStyle name="40% - Accent3 2 4 2 2 4" xfId="17193" xr:uid="{00000000-0005-0000-0000-000058430000}"/>
    <cellStyle name="40% - Accent3 2 4 2 2 4 2" xfId="17194" xr:uid="{00000000-0005-0000-0000-000059430000}"/>
    <cellStyle name="40% - Accent3 2 4 2 2 4 2 2" xfId="17195" xr:uid="{00000000-0005-0000-0000-00005A430000}"/>
    <cellStyle name="40% - Accent3 2 4 2 2 4 3" xfId="17196" xr:uid="{00000000-0005-0000-0000-00005B430000}"/>
    <cellStyle name="40% - Accent3 2 4 2 2 5" xfId="17197" xr:uid="{00000000-0005-0000-0000-00005C430000}"/>
    <cellStyle name="40% - Accent3 2 4 2 2 5 2" xfId="17198" xr:uid="{00000000-0005-0000-0000-00005D430000}"/>
    <cellStyle name="40% - Accent3 2 4 2 2 6" xfId="17199" xr:uid="{00000000-0005-0000-0000-00005E430000}"/>
    <cellStyle name="40% - Accent3 2 4 2 3" xfId="17200" xr:uid="{00000000-0005-0000-0000-00005F430000}"/>
    <cellStyle name="40% - Accent3 2 4 2 3 2" xfId="17201" xr:uid="{00000000-0005-0000-0000-000060430000}"/>
    <cellStyle name="40% - Accent3 2 4 2 3 2 2" xfId="17202" xr:uid="{00000000-0005-0000-0000-000061430000}"/>
    <cellStyle name="40% - Accent3 2 4 2 3 2 2 2" xfId="17203" xr:uid="{00000000-0005-0000-0000-000062430000}"/>
    <cellStyle name="40% - Accent3 2 4 2 3 2 2 2 2" xfId="17204" xr:uid="{00000000-0005-0000-0000-000063430000}"/>
    <cellStyle name="40% - Accent3 2 4 2 3 2 2 3" xfId="17205" xr:uid="{00000000-0005-0000-0000-000064430000}"/>
    <cellStyle name="40% - Accent3 2 4 2 3 2 3" xfId="17206" xr:uid="{00000000-0005-0000-0000-000065430000}"/>
    <cellStyle name="40% - Accent3 2 4 2 3 2 3 2" xfId="17207" xr:uid="{00000000-0005-0000-0000-000066430000}"/>
    <cellStyle name="40% - Accent3 2 4 2 3 2 4" xfId="17208" xr:uid="{00000000-0005-0000-0000-000067430000}"/>
    <cellStyle name="40% - Accent3 2 4 2 3 3" xfId="17209" xr:uid="{00000000-0005-0000-0000-000068430000}"/>
    <cellStyle name="40% - Accent3 2 4 2 3 3 2" xfId="17210" xr:uid="{00000000-0005-0000-0000-000069430000}"/>
    <cellStyle name="40% - Accent3 2 4 2 3 3 2 2" xfId="17211" xr:uid="{00000000-0005-0000-0000-00006A430000}"/>
    <cellStyle name="40% - Accent3 2 4 2 3 3 3" xfId="17212" xr:uid="{00000000-0005-0000-0000-00006B430000}"/>
    <cellStyle name="40% - Accent3 2 4 2 3 4" xfId="17213" xr:uid="{00000000-0005-0000-0000-00006C430000}"/>
    <cellStyle name="40% - Accent3 2 4 2 3 4 2" xfId="17214" xr:uid="{00000000-0005-0000-0000-00006D430000}"/>
    <cellStyle name="40% - Accent3 2 4 2 3 5" xfId="17215" xr:uid="{00000000-0005-0000-0000-00006E430000}"/>
    <cellStyle name="40% - Accent3 2 4 2 4" xfId="17216" xr:uid="{00000000-0005-0000-0000-00006F430000}"/>
    <cellStyle name="40% - Accent3 2 4 2 4 2" xfId="17217" xr:uid="{00000000-0005-0000-0000-000070430000}"/>
    <cellStyle name="40% - Accent3 2 4 2 4 2 2" xfId="17218" xr:uid="{00000000-0005-0000-0000-000071430000}"/>
    <cellStyle name="40% - Accent3 2 4 2 4 2 2 2" xfId="17219" xr:uid="{00000000-0005-0000-0000-000072430000}"/>
    <cellStyle name="40% - Accent3 2 4 2 4 2 3" xfId="17220" xr:uid="{00000000-0005-0000-0000-000073430000}"/>
    <cellStyle name="40% - Accent3 2 4 2 4 3" xfId="17221" xr:uid="{00000000-0005-0000-0000-000074430000}"/>
    <cellStyle name="40% - Accent3 2 4 2 4 3 2" xfId="17222" xr:uid="{00000000-0005-0000-0000-000075430000}"/>
    <cellStyle name="40% - Accent3 2 4 2 4 4" xfId="17223" xr:uid="{00000000-0005-0000-0000-000076430000}"/>
    <cellStyle name="40% - Accent3 2 4 2 5" xfId="17224" xr:uid="{00000000-0005-0000-0000-000077430000}"/>
    <cellStyle name="40% - Accent3 2 4 2 5 2" xfId="17225" xr:uid="{00000000-0005-0000-0000-000078430000}"/>
    <cellStyle name="40% - Accent3 2 4 2 5 2 2" xfId="17226" xr:uid="{00000000-0005-0000-0000-000079430000}"/>
    <cellStyle name="40% - Accent3 2 4 2 5 3" xfId="17227" xr:uid="{00000000-0005-0000-0000-00007A430000}"/>
    <cellStyle name="40% - Accent3 2 4 2 6" xfId="17228" xr:uid="{00000000-0005-0000-0000-00007B430000}"/>
    <cellStyle name="40% - Accent3 2 4 2 6 2" xfId="17229" xr:uid="{00000000-0005-0000-0000-00007C430000}"/>
    <cellStyle name="40% - Accent3 2 4 2 7" xfId="17230" xr:uid="{00000000-0005-0000-0000-00007D430000}"/>
    <cellStyle name="40% - Accent3 2 4 3" xfId="17231" xr:uid="{00000000-0005-0000-0000-00007E430000}"/>
    <cellStyle name="40% - Accent3 2 4 3 2" xfId="17232" xr:uid="{00000000-0005-0000-0000-00007F430000}"/>
    <cellStyle name="40% - Accent3 2 4 3 2 2" xfId="17233" xr:uid="{00000000-0005-0000-0000-000080430000}"/>
    <cellStyle name="40% - Accent3 2 4 3 2 2 2" xfId="17234" xr:uid="{00000000-0005-0000-0000-000081430000}"/>
    <cellStyle name="40% - Accent3 2 4 3 2 2 2 2" xfId="17235" xr:uid="{00000000-0005-0000-0000-000082430000}"/>
    <cellStyle name="40% - Accent3 2 4 3 2 2 2 2 2" xfId="17236" xr:uid="{00000000-0005-0000-0000-000083430000}"/>
    <cellStyle name="40% - Accent3 2 4 3 2 2 2 3" xfId="17237" xr:uid="{00000000-0005-0000-0000-000084430000}"/>
    <cellStyle name="40% - Accent3 2 4 3 2 2 3" xfId="17238" xr:uid="{00000000-0005-0000-0000-000085430000}"/>
    <cellStyle name="40% - Accent3 2 4 3 2 2 3 2" xfId="17239" xr:uid="{00000000-0005-0000-0000-000086430000}"/>
    <cellStyle name="40% - Accent3 2 4 3 2 2 4" xfId="17240" xr:uid="{00000000-0005-0000-0000-000087430000}"/>
    <cellStyle name="40% - Accent3 2 4 3 2 3" xfId="17241" xr:uid="{00000000-0005-0000-0000-000088430000}"/>
    <cellStyle name="40% - Accent3 2 4 3 2 3 2" xfId="17242" xr:uid="{00000000-0005-0000-0000-000089430000}"/>
    <cellStyle name="40% - Accent3 2 4 3 2 3 2 2" xfId="17243" xr:uid="{00000000-0005-0000-0000-00008A430000}"/>
    <cellStyle name="40% - Accent3 2 4 3 2 3 3" xfId="17244" xr:uid="{00000000-0005-0000-0000-00008B430000}"/>
    <cellStyle name="40% - Accent3 2 4 3 2 4" xfId="17245" xr:uid="{00000000-0005-0000-0000-00008C430000}"/>
    <cellStyle name="40% - Accent3 2 4 3 2 4 2" xfId="17246" xr:uid="{00000000-0005-0000-0000-00008D430000}"/>
    <cellStyle name="40% - Accent3 2 4 3 2 5" xfId="17247" xr:uid="{00000000-0005-0000-0000-00008E430000}"/>
    <cellStyle name="40% - Accent3 2 4 3 3" xfId="17248" xr:uid="{00000000-0005-0000-0000-00008F430000}"/>
    <cellStyle name="40% - Accent3 2 4 3 3 2" xfId="17249" xr:uid="{00000000-0005-0000-0000-000090430000}"/>
    <cellStyle name="40% - Accent3 2 4 3 3 2 2" xfId="17250" xr:uid="{00000000-0005-0000-0000-000091430000}"/>
    <cellStyle name="40% - Accent3 2 4 3 3 2 2 2" xfId="17251" xr:uid="{00000000-0005-0000-0000-000092430000}"/>
    <cellStyle name="40% - Accent3 2 4 3 3 2 3" xfId="17252" xr:uid="{00000000-0005-0000-0000-000093430000}"/>
    <cellStyle name="40% - Accent3 2 4 3 3 3" xfId="17253" xr:uid="{00000000-0005-0000-0000-000094430000}"/>
    <cellStyle name="40% - Accent3 2 4 3 3 3 2" xfId="17254" xr:uid="{00000000-0005-0000-0000-000095430000}"/>
    <cellStyle name="40% - Accent3 2 4 3 3 4" xfId="17255" xr:uid="{00000000-0005-0000-0000-000096430000}"/>
    <cellStyle name="40% - Accent3 2 4 3 4" xfId="17256" xr:uid="{00000000-0005-0000-0000-000097430000}"/>
    <cellStyle name="40% - Accent3 2 4 3 4 2" xfId="17257" xr:uid="{00000000-0005-0000-0000-000098430000}"/>
    <cellStyle name="40% - Accent3 2 4 3 4 2 2" xfId="17258" xr:uid="{00000000-0005-0000-0000-000099430000}"/>
    <cellStyle name="40% - Accent3 2 4 3 4 3" xfId="17259" xr:uid="{00000000-0005-0000-0000-00009A430000}"/>
    <cellStyle name="40% - Accent3 2 4 3 5" xfId="17260" xr:uid="{00000000-0005-0000-0000-00009B430000}"/>
    <cellStyle name="40% - Accent3 2 4 3 5 2" xfId="17261" xr:uid="{00000000-0005-0000-0000-00009C430000}"/>
    <cellStyle name="40% - Accent3 2 4 3 6" xfId="17262" xr:uid="{00000000-0005-0000-0000-00009D430000}"/>
    <cellStyle name="40% - Accent3 2 4 4" xfId="17263" xr:uid="{00000000-0005-0000-0000-00009E430000}"/>
    <cellStyle name="40% - Accent3 2 4 4 2" xfId="17264" xr:uid="{00000000-0005-0000-0000-00009F430000}"/>
    <cellStyle name="40% - Accent3 2 4 4 2 2" xfId="17265" xr:uid="{00000000-0005-0000-0000-0000A0430000}"/>
    <cellStyle name="40% - Accent3 2 4 4 2 2 2" xfId="17266" xr:uid="{00000000-0005-0000-0000-0000A1430000}"/>
    <cellStyle name="40% - Accent3 2 4 4 2 2 2 2" xfId="17267" xr:uid="{00000000-0005-0000-0000-0000A2430000}"/>
    <cellStyle name="40% - Accent3 2 4 4 2 2 3" xfId="17268" xr:uid="{00000000-0005-0000-0000-0000A3430000}"/>
    <cellStyle name="40% - Accent3 2 4 4 2 3" xfId="17269" xr:uid="{00000000-0005-0000-0000-0000A4430000}"/>
    <cellStyle name="40% - Accent3 2 4 4 2 3 2" xfId="17270" xr:uid="{00000000-0005-0000-0000-0000A5430000}"/>
    <cellStyle name="40% - Accent3 2 4 4 2 4" xfId="17271" xr:uid="{00000000-0005-0000-0000-0000A6430000}"/>
    <cellStyle name="40% - Accent3 2 4 4 3" xfId="17272" xr:uid="{00000000-0005-0000-0000-0000A7430000}"/>
    <cellStyle name="40% - Accent3 2 4 4 3 2" xfId="17273" xr:uid="{00000000-0005-0000-0000-0000A8430000}"/>
    <cellStyle name="40% - Accent3 2 4 4 3 2 2" xfId="17274" xr:uid="{00000000-0005-0000-0000-0000A9430000}"/>
    <cellStyle name="40% - Accent3 2 4 4 3 3" xfId="17275" xr:uid="{00000000-0005-0000-0000-0000AA430000}"/>
    <cellStyle name="40% - Accent3 2 4 4 4" xfId="17276" xr:uid="{00000000-0005-0000-0000-0000AB430000}"/>
    <cellStyle name="40% - Accent3 2 4 4 4 2" xfId="17277" xr:uid="{00000000-0005-0000-0000-0000AC430000}"/>
    <cellStyle name="40% - Accent3 2 4 4 5" xfId="17278" xr:uid="{00000000-0005-0000-0000-0000AD430000}"/>
    <cellStyle name="40% - Accent3 2 4 5" xfId="17279" xr:uid="{00000000-0005-0000-0000-0000AE430000}"/>
    <cellStyle name="40% - Accent3 2 4 5 2" xfId="17280" xr:uid="{00000000-0005-0000-0000-0000AF430000}"/>
    <cellStyle name="40% - Accent3 2 4 5 2 2" xfId="17281" xr:uid="{00000000-0005-0000-0000-0000B0430000}"/>
    <cellStyle name="40% - Accent3 2 4 5 2 2 2" xfId="17282" xr:uid="{00000000-0005-0000-0000-0000B1430000}"/>
    <cellStyle name="40% - Accent3 2 4 5 2 3" xfId="17283" xr:uid="{00000000-0005-0000-0000-0000B2430000}"/>
    <cellStyle name="40% - Accent3 2 4 5 3" xfId="17284" xr:uid="{00000000-0005-0000-0000-0000B3430000}"/>
    <cellStyle name="40% - Accent3 2 4 5 3 2" xfId="17285" xr:uid="{00000000-0005-0000-0000-0000B4430000}"/>
    <cellStyle name="40% - Accent3 2 4 5 4" xfId="17286" xr:uid="{00000000-0005-0000-0000-0000B5430000}"/>
    <cellStyle name="40% - Accent3 2 4 6" xfId="17287" xr:uid="{00000000-0005-0000-0000-0000B6430000}"/>
    <cellStyle name="40% - Accent3 2 4 6 2" xfId="17288" xr:uid="{00000000-0005-0000-0000-0000B7430000}"/>
    <cellStyle name="40% - Accent3 2 4 6 2 2" xfId="17289" xr:uid="{00000000-0005-0000-0000-0000B8430000}"/>
    <cellStyle name="40% - Accent3 2 4 6 3" xfId="17290" xr:uid="{00000000-0005-0000-0000-0000B9430000}"/>
    <cellStyle name="40% - Accent3 2 4 7" xfId="17291" xr:uid="{00000000-0005-0000-0000-0000BA430000}"/>
    <cellStyle name="40% - Accent3 2 4 7 2" xfId="17292" xr:uid="{00000000-0005-0000-0000-0000BB430000}"/>
    <cellStyle name="40% - Accent3 2 4 8" xfId="17293" xr:uid="{00000000-0005-0000-0000-0000BC430000}"/>
    <cellStyle name="40% - Accent3 2 5" xfId="17294" xr:uid="{00000000-0005-0000-0000-0000BD430000}"/>
    <cellStyle name="40% - Accent3 2 5 2" xfId="17295" xr:uid="{00000000-0005-0000-0000-0000BE430000}"/>
    <cellStyle name="40% - Accent3 2 5 2 2" xfId="17296" xr:uid="{00000000-0005-0000-0000-0000BF430000}"/>
    <cellStyle name="40% - Accent3 2 5 2 2 2" xfId="17297" xr:uid="{00000000-0005-0000-0000-0000C0430000}"/>
    <cellStyle name="40% - Accent3 2 5 2 2 2 2" xfId="17298" xr:uid="{00000000-0005-0000-0000-0000C1430000}"/>
    <cellStyle name="40% - Accent3 2 5 2 2 2 2 2" xfId="17299" xr:uid="{00000000-0005-0000-0000-0000C2430000}"/>
    <cellStyle name="40% - Accent3 2 5 2 2 2 2 2 2" xfId="17300" xr:uid="{00000000-0005-0000-0000-0000C3430000}"/>
    <cellStyle name="40% - Accent3 2 5 2 2 2 2 3" xfId="17301" xr:uid="{00000000-0005-0000-0000-0000C4430000}"/>
    <cellStyle name="40% - Accent3 2 5 2 2 2 3" xfId="17302" xr:uid="{00000000-0005-0000-0000-0000C5430000}"/>
    <cellStyle name="40% - Accent3 2 5 2 2 2 3 2" xfId="17303" xr:uid="{00000000-0005-0000-0000-0000C6430000}"/>
    <cellStyle name="40% - Accent3 2 5 2 2 2 4" xfId="17304" xr:uid="{00000000-0005-0000-0000-0000C7430000}"/>
    <cellStyle name="40% - Accent3 2 5 2 2 3" xfId="17305" xr:uid="{00000000-0005-0000-0000-0000C8430000}"/>
    <cellStyle name="40% - Accent3 2 5 2 2 3 2" xfId="17306" xr:uid="{00000000-0005-0000-0000-0000C9430000}"/>
    <cellStyle name="40% - Accent3 2 5 2 2 3 2 2" xfId="17307" xr:uid="{00000000-0005-0000-0000-0000CA430000}"/>
    <cellStyle name="40% - Accent3 2 5 2 2 3 3" xfId="17308" xr:uid="{00000000-0005-0000-0000-0000CB430000}"/>
    <cellStyle name="40% - Accent3 2 5 2 2 4" xfId="17309" xr:uid="{00000000-0005-0000-0000-0000CC430000}"/>
    <cellStyle name="40% - Accent3 2 5 2 2 4 2" xfId="17310" xr:uid="{00000000-0005-0000-0000-0000CD430000}"/>
    <cellStyle name="40% - Accent3 2 5 2 2 5" xfId="17311" xr:uid="{00000000-0005-0000-0000-0000CE430000}"/>
    <cellStyle name="40% - Accent3 2 5 2 3" xfId="17312" xr:uid="{00000000-0005-0000-0000-0000CF430000}"/>
    <cellStyle name="40% - Accent3 2 5 2 3 2" xfId="17313" xr:uid="{00000000-0005-0000-0000-0000D0430000}"/>
    <cellStyle name="40% - Accent3 2 5 2 3 2 2" xfId="17314" xr:uid="{00000000-0005-0000-0000-0000D1430000}"/>
    <cellStyle name="40% - Accent3 2 5 2 3 2 2 2" xfId="17315" xr:uid="{00000000-0005-0000-0000-0000D2430000}"/>
    <cellStyle name="40% - Accent3 2 5 2 3 2 3" xfId="17316" xr:uid="{00000000-0005-0000-0000-0000D3430000}"/>
    <cellStyle name="40% - Accent3 2 5 2 3 3" xfId="17317" xr:uid="{00000000-0005-0000-0000-0000D4430000}"/>
    <cellStyle name="40% - Accent3 2 5 2 3 3 2" xfId="17318" xr:uid="{00000000-0005-0000-0000-0000D5430000}"/>
    <cellStyle name="40% - Accent3 2 5 2 3 4" xfId="17319" xr:uid="{00000000-0005-0000-0000-0000D6430000}"/>
    <cellStyle name="40% - Accent3 2 5 2 4" xfId="17320" xr:uid="{00000000-0005-0000-0000-0000D7430000}"/>
    <cellStyle name="40% - Accent3 2 5 2 4 2" xfId="17321" xr:uid="{00000000-0005-0000-0000-0000D8430000}"/>
    <cellStyle name="40% - Accent3 2 5 2 4 2 2" xfId="17322" xr:uid="{00000000-0005-0000-0000-0000D9430000}"/>
    <cellStyle name="40% - Accent3 2 5 2 4 3" xfId="17323" xr:uid="{00000000-0005-0000-0000-0000DA430000}"/>
    <cellStyle name="40% - Accent3 2 5 2 5" xfId="17324" xr:uid="{00000000-0005-0000-0000-0000DB430000}"/>
    <cellStyle name="40% - Accent3 2 5 2 5 2" xfId="17325" xr:uid="{00000000-0005-0000-0000-0000DC430000}"/>
    <cellStyle name="40% - Accent3 2 5 2 6" xfId="17326" xr:uid="{00000000-0005-0000-0000-0000DD430000}"/>
    <cellStyle name="40% - Accent3 2 5 3" xfId="17327" xr:uid="{00000000-0005-0000-0000-0000DE430000}"/>
    <cellStyle name="40% - Accent3 2 5 3 2" xfId="17328" xr:uid="{00000000-0005-0000-0000-0000DF430000}"/>
    <cellStyle name="40% - Accent3 2 5 3 2 2" xfId="17329" xr:uid="{00000000-0005-0000-0000-0000E0430000}"/>
    <cellStyle name="40% - Accent3 2 5 3 2 2 2" xfId="17330" xr:uid="{00000000-0005-0000-0000-0000E1430000}"/>
    <cellStyle name="40% - Accent3 2 5 3 2 2 2 2" xfId="17331" xr:uid="{00000000-0005-0000-0000-0000E2430000}"/>
    <cellStyle name="40% - Accent3 2 5 3 2 2 3" xfId="17332" xr:uid="{00000000-0005-0000-0000-0000E3430000}"/>
    <cellStyle name="40% - Accent3 2 5 3 2 3" xfId="17333" xr:uid="{00000000-0005-0000-0000-0000E4430000}"/>
    <cellStyle name="40% - Accent3 2 5 3 2 3 2" xfId="17334" xr:uid="{00000000-0005-0000-0000-0000E5430000}"/>
    <cellStyle name="40% - Accent3 2 5 3 2 4" xfId="17335" xr:uid="{00000000-0005-0000-0000-0000E6430000}"/>
    <cellStyle name="40% - Accent3 2 5 3 3" xfId="17336" xr:uid="{00000000-0005-0000-0000-0000E7430000}"/>
    <cellStyle name="40% - Accent3 2 5 3 3 2" xfId="17337" xr:uid="{00000000-0005-0000-0000-0000E8430000}"/>
    <cellStyle name="40% - Accent3 2 5 3 3 2 2" xfId="17338" xr:uid="{00000000-0005-0000-0000-0000E9430000}"/>
    <cellStyle name="40% - Accent3 2 5 3 3 3" xfId="17339" xr:uid="{00000000-0005-0000-0000-0000EA430000}"/>
    <cellStyle name="40% - Accent3 2 5 3 4" xfId="17340" xr:uid="{00000000-0005-0000-0000-0000EB430000}"/>
    <cellStyle name="40% - Accent3 2 5 3 4 2" xfId="17341" xr:uid="{00000000-0005-0000-0000-0000EC430000}"/>
    <cellStyle name="40% - Accent3 2 5 3 5" xfId="17342" xr:uid="{00000000-0005-0000-0000-0000ED430000}"/>
    <cellStyle name="40% - Accent3 2 5 4" xfId="17343" xr:uid="{00000000-0005-0000-0000-0000EE430000}"/>
    <cellStyle name="40% - Accent3 2 5 4 2" xfId="17344" xr:uid="{00000000-0005-0000-0000-0000EF430000}"/>
    <cellStyle name="40% - Accent3 2 5 4 2 2" xfId="17345" xr:uid="{00000000-0005-0000-0000-0000F0430000}"/>
    <cellStyle name="40% - Accent3 2 5 4 2 2 2" xfId="17346" xr:uid="{00000000-0005-0000-0000-0000F1430000}"/>
    <cellStyle name="40% - Accent3 2 5 4 2 3" xfId="17347" xr:uid="{00000000-0005-0000-0000-0000F2430000}"/>
    <cellStyle name="40% - Accent3 2 5 4 3" xfId="17348" xr:uid="{00000000-0005-0000-0000-0000F3430000}"/>
    <cellStyle name="40% - Accent3 2 5 4 3 2" xfId="17349" xr:uid="{00000000-0005-0000-0000-0000F4430000}"/>
    <cellStyle name="40% - Accent3 2 5 4 4" xfId="17350" xr:uid="{00000000-0005-0000-0000-0000F5430000}"/>
    <cellStyle name="40% - Accent3 2 5 5" xfId="17351" xr:uid="{00000000-0005-0000-0000-0000F6430000}"/>
    <cellStyle name="40% - Accent3 2 5 5 2" xfId="17352" xr:uid="{00000000-0005-0000-0000-0000F7430000}"/>
    <cellStyle name="40% - Accent3 2 5 5 2 2" xfId="17353" xr:uid="{00000000-0005-0000-0000-0000F8430000}"/>
    <cellStyle name="40% - Accent3 2 5 5 3" xfId="17354" xr:uid="{00000000-0005-0000-0000-0000F9430000}"/>
    <cellStyle name="40% - Accent3 2 5 6" xfId="17355" xr:uid="{00000000-0005-0000-0000-0000FA430000}"/>
    <cellStyle name="40% - Accent3 2 5 6 2" xfId="17356" xr:uid="{00000000-0005-0000-0000-0000FB430000}"/>
    <cellStyle name="40% - Accent3 2 5 7" xfId="17357" xr:uid="{00000000-0005-0000-0000-0000FC430000}"/>
    <cellStyle name="40% - Accent3 2 6" xfId="17358" xr:uid="{00000000-0005-0000-0000-0000FD430000}"/>
    <cellStyle name="40% - Accent3 2 6 2" xfId="17359" xr:uid="{00000000-0005-0000-0000-0000FE430000}"/>
    <cellStyle name="40% - Accent3 2 6 2 2" xfId="17360" xr:uid="{00000000-0005-0000-0000-0000FF430000}"/>
    <cellStyle name="40% - Accent3 2 6 2 2 2" xfId="17361" xr:uid="{00000000-0005-0000-0000-000000440000}"/>
    <cellStyle name="40% - Accent3 2 6 2 2 2 2" xfId="17362" xr:uid="{00000000-0005-0000-0000-000001440000}"/>
    <cellStyle name="40% - Accent3 2 6 2 2 2 2 2" xfId="17363" xr:uid="{00000000-0005-0000-0000-000002440000}"/>
    <cellStyle name="40% - Accent3 2 6 2 2 2 3" xfId="17364" xr:uid="{00000000-0005-0000-0000-000003440000}"/>
    <cellStyle name="40% - Accent3 2 6 2 2 3" xfId="17365" xr:uid="{00000000-0005-0000-0000-000004440000}"/>
    <cellStyle name="40% - Accent3 2 6 2 2 3 2" xfId="17366" xr:uid="{00000000-0005-0000-0000-000005440000}"/>
    <cellStyle name="40% - Accent3 2 6 2 2 4" xfId="17367" xr:uid="{00000000-0005-0000-0000-000006440000}"/>
    <cellStyle name="40% - Accent3 2 6 2 3" xfId="17368" xr:uid="{00000000-0005-0000-0000-000007440000}"/>
    <cellStyle name="40% - Accent3 2 6 2 3 2" xfId="17369" xr:uid="{00000000-0005-0000-0000-000008440000}"/>
    <cellStyle name="40% - Accent3 2 6 2 3 2 2" xfId="17370" xr:uid="{00000000-0005-0000-0000-000009440000}"/>
    <cellStyle name="40% - Accent3 2 6 2 3 3" xfId="17371" xr:uid="{00000000-0005-0000-0000-00000A440000}"/>
    <cellStyle name="40% - Accent3 2 6 2 4" xfId="17372" xr:uid="{00000000-0005-0000-0000-00000B440000}"/>
    <cellStyle name="40% - Accent3 2 6 2 4 2" xfId="17373" xr:uid="{00000000-0005-0000-0000-00000C440000}"/>
    <cellStyle name="40% - Accent3 2 6 2 5" xfId="17374" xr:uid="{00000000-0005-0000-0000-00000D440000}"/>
    <cellStyle name="40% - Accent3 2 6 3" xfId="17375" xr:uid="{00000000-0005-0000-0000-00000E440000}"/>
    <cellStyle name="40% - Accent3 2 6 3 2" xfId="17376" xr:uid="{00000000-0005-0000-0000-00000F440000}"/>
    <cellStyle name="40% - Accent3 2 6 3 2 2" xfId="17377" xr:uid="{00000000-0005-0000-0000-000010440000}"/>
    <cellStyle name="40% - Accent3 2 6 3 2 2 2" xfId="17378" xr:uid="{00000000-0005-0000-0000-000011440000}"/>
    <cellStyle name="40% - Accent3 2 6 3 2 3" xfId="17379" xr:uid="{00000000-0005-0000-0000-000012440000}"/>
    <cellStyle name="40% - Accent3 2 6 3 3" xfId="17380" xr:uid="{00000000-0005-0000-0000-000013440000}"/>
    <cellStyle name="40% - Accent3 2 6 3 3 2" xfId="17381" xr:uid="{00000000-0005-0000-0000-000014440000}"/>
    <cellStyle name="40% - Accent3 2 6 3 4" xfId="17382" xr:uid="{00000000-0005-0000-0000-000015440000}"/>
    <cellStyle name="40% - Accent3 2 6 4" xfId="17383" xr:uid="{00000000-0005-0000-0000-000016440000}"/>
    <cellStyle name="40% - Accent3 2 6 4 2" xfId="17384" xr:uid="{00000000-0005-0000-0000-000017440000}"/>
    <cellStyle name="40% - Accent3 2 6 4 2 2" xfId="17385" xr:uid="{00000000-0005-0000-0000-000018440000}"/>
    <cellStyle name="40% - Accent3 2 6 4 3" xfId="17386" xr:uid="{00000000-0005-0000-0000-000019440000}"/>
    <cellStyle name="40% - Accent3 2 6 5" xfId="17387" xr:uid="{00000000-0005-0000-0000-00001A440000}"/>
    <cellStyle name="40% - Accent3 2 6 5 2" xfId="17388" xr:uid="{00000000-0005-0000-0000-00001B440000}"/>
    <cellStyle name="40% - Accent3 2 6 6" xfId="17389" xr:uid="{00000000-0005-0000-0000-00001C440000}"/>
    <cellStyle name="40% - Accent3 2 7" xfId="17390" xr:uid="{00000000-0005-0000-0000-00001D440000}"/>
    <cellStyle name="40% - Accent3 2 7 2" xfId="17391" xr:uid="{00000000-0005-0000-0000-00001E440000}"/>
    <cellStyle name="40% - Accent3 2 7 2 2" xfId="17392" xr:uid="{00000000-0005-0000-0000-00001F440000}"/>
    <cellStyle name="40% - Accent3 2 7 2 2 2" xfId="17393" xr:uid="{00000000-0005-0000-0000-000020440000}"/>
    <cellStyle name="40% - Accent3 2 7 2 2 2 2" xfId="17394" xr:uid="{00000000-0005-0000-0000-000021440000}"/>
    <cellStyle name="40% - Accent3 2 7 2 2 3" xfId="17395" xr:uid="{00000000-0005-0000-0000-000022440000}"/>
    <cellStyle name="40% - Accent3 2 7 2 3" xfId="17396" xr:uid="{00000000-0005-0000-0000-000023440000}"/>
    <cellStyle name="40% - Accent3 2 7 2 3 2" xfId="17397" xr:uid="{00000000-0005-0000-0000-000024440000}"/>
    <cellStyle name="40% - Accent3 2 7 2 4" xfId="17398" xr:uid="{00000000-0005-0000-0000-000025440000}"/>
    <cellStyle name="40% - Accent3 2 7 3" xfId="17399" xr:uid="{00000000-0005-0000-0000-000026440000}"/>
    <cellStyle name="40% - Accent3 2 7 3 2" xfId="17400" xr:uid="{00000000-0005-0000-0000-000027440000}"/>
    <cellStyle name="40% - Accent3 2 7 3 2 2" xfId="17401" xr:uid="{00000000-0005-0000-0000-000028440000}"/>
    <cellStyle name="40% - Accent3 2 7 3 3" xfId="17402" xr:uid="{00000000-0005-0000-0000-000029440000}"/>
    <cellStyle name="40% - Accent3 2 7 4" xfId="17403" xr:uid="{00000000-0005-0000-0000-00002A440000}"/>
    <cellStyle name="40% - Accent3 2 7 4 2" xfId="17404" xr:uid="{00000000-0005-0000-0000-00002B440000}"/>
    <cellStyle name="40% - Accent3 2 7 5" xfId="17405" xr:uid="{00000000-0005-0000-0000-00002C440000}"/>
    <cellStyle name="40% - Accent3 2 8" xfId="17406" xr:uid="{00000000-0005-0000-0000-00002D440000}"/>
    <cellStyle name="40% - Accent3 2 8 2" xfId="17407" xr:uid="{00000000-0005-0000-0000-00002E440000}"/>
    <cellStyle name="40% - Accent3 2 8 2 2" xfId="17408" xr:uid="{00000000-0005-0000-0000-00002F440000}"/>
    <cellStyle name="40% - Accent3 2 8 2 2 2" xfId="17409" xr:uid="{00000000-0005-0000-0000-000030440000}"/>
    <cellStyle name="40% - Accent3 2 8 2 3" xfId="17410" xr:uid="{00000000-0005-0000-0000-000031440000}"/>
    <cellStyle name="40% - Accent3 2 8 3" xfId="17411" xr:uid="{00000000-0005-0000-0000-000032440000}"/>
    <cellStyle name="40% - Accent3 2 8 3 2" xfId="17412" xr:uid="{00000000-0005-0000-0000-000033440000}"/>
    <cellStyle name="40% - Accent3 2 8 4" xfId="17413" xr:uid="{00000000-0005-0000-0000-000034440000}"/>
    <cellStyle name="40% - Accent3 2 9" xfId="17414" xr:uid="{00000000-0005-0000-0000-000035440000}"/>
    <cellStyle name="40% - Accent3 2 9 2" xfId="17415" xr:uid="{00000000-0005-0000-0000-000036440000}"/>
    <cellStyle name="40% - Accent3 2 9 2 2" xfId="17416" xr:uid="{00000000-0005-0000-0000-000037440000}"/>
    <cellStyle name="40% - Accent3 2 9 3" xfId="17417" xr:uid="{00000000-0005-0000-0000-000038440000}"/>
    <cellStyle name="40% - Accent3 3" xfId="17418" xr:uid="{00000000-0005-0000-0000-000039440000}"/>
    <cellStyle name="40% - Accent3 3 10" xfId="17419" xr:uid="{00000000-0005-0000-0000-00003A440000}"/>
    <cellStyle name="40% - Accent3 3 2" xfId="17420" xr:uid="{00000000-0005-0000-0000-00003B440000}"/>
    <cellStyle name="40% - Accent3 3 2 2" xfId="17421" xr:uid="{00000000-0005-0000-0000-00003C440000}"/>
    <cellStyle name="40% - Accent3 3 2 2 2" xfId="17422" xr:uid="{00000000-0005-0000-0000-00003D440000}"/>
    <cellStyle name="40% - Accent3 3 2 2 2 2" xfId="17423" xr:uid="{00000000-0005-0000-0000-00003E440000}"/>
    <cellStyle name="40% - Accent3 3 2 2 2 2 2" xfId="17424" xr:uid="{00000000-0005-0000-0000-00003F440000}"/>
    <cellStyle name="40% - Accent3 3 2 2 2 2 2 2" xfId="17425" xr:uid="{00000000-0005-0000-0000-000040440000}"/>
    <cellStyle name="40% - Accent3 3 2 2 2 2 2 2 2" xfId="17426" xr:uid="{00000000-0005-0000-0000-000041440000}"/>
    <cellStyle name="40% - Accent3 3 2 2 2 2 2 2 2 2" xfId="17427" xr:uid="{00000000-0005-0000-0000-000042440000}"/>
    <cellStyle name="40% - Accent3 3 2 2 2 2 2 2 2 2 2" xfId="17428" xr:uid="{00000000-0005-0000-0000-000043440000}"/>
    <cellStyle name="40% - Accent3 3 2 2 2 2 2 2 2 3" xfId="17429" xr:uid="{00000000-0005-0000-0000-000044440000}"/>
    <cellStyle name="40% - Accent3 3 2 2 2 2 2 2 3" xfId="17430" xr:uid="{00000000-0005-0000-0000-000045440000}"/>
    <cellStyle name="40% - Accent3 3 2 2 2 2 2 2 3 2" xfId="17431" xr:uid="{00000000-0005-0000-0000-000046440000}"/>
    <cellStyle name="40% - Accent3 3 2 2 2 2 2 2 4" xfId="17432" xr:uid="{00000000-0005-0000-0000-000047440000}"/>
    <cellStyle name="40% - Accent3 3 2 2 2 2 2 3" xfId="17433" xr:uid="{00000000-0005-0000-0000-000048440000}"/>
    <cellStyle name="40% - Accent3 3 2 2 2 2 2 3 2" xfId="17434" xr:uid="{00000000-0005-0000-0000-000049440000}"/>
    <cellStyle name="40% - Accent3 3 2 2 2 2 2 3 2 2" xfId="17435" xr:uid="{00000000-0005-0000-0000-00004A440000}"/>
    <cellStyle name="40% - Accent3 3 2 2 2 2 2 3 3" xfId="17436" xr:uid="{00000000-0005-0000-0000-00004B440000}"/>
    <cellStyle name="40% - Accent3 3 2 2 2 2 2 4" xfId="17437" xr:uid="{00000000-0005-0000-0000-00004C440000}"/>
    <cellStyle name="40% - Accent3 3 2 2 2 2 2 4 2" xfId="17438" xr:uid="{00000000-0005-0000-0000-00004D440000}"/>
    <cellStyle name="40% - Accent3 3 2 2 2 2 2 5" xfId="17439" xr:uid="{00000000-0005-0000-0000-00004E440000}"/>
    <cellStyle name="40% - Accent3 3 2 2 2 2 3" xfId="17440" xr:uid="{00000000-0005-0000-0000-00004F440000}"/>
    <cellStyle name="40% - Accent3 3 2 2 2 2 3 2" xfId="17441" xr:uid="{00000000-0005-0000-0000-000050440000}"/>
    <cellStyle name="40% - Accent3 3 2 2 2 2 3 2 2" xfId="17442" xr:uid="{00000000-0005-0000-0000-000051440000}"/>
    <cellStyle name="40% - Accent3 3 2 2 2 2 3 2 2 2" xfId="17443" xr:uid="{00000000-0005-0000-0000-000052440000}"/>
    <cellStyle name="40% - Accent3 3 2 2 2 2 3 2 3" xfId="17444" xr:uid="{00000000-0005-0000-0000-000053440000}"/>
    <cellStyle name="40% - Accent3 3 2 2 2 2 3 3" xfId="17445" xr:uid="{00000000-0005-0000-0000-000054440000}"/>
    <cellStyle name="40% - Accent3 3 2 2 2 2 3 3 2" xfId="17446" xr:uid="{00000000-0005-0000-0000-000055440000}"/>
    <cellStyle name="40% - Accent3 3 2 2 2 2 3 4" xfId="17447" xr:uid="{00000000-0005-0000-0000-000056440000}"/>
    <cellStyle name="40% - Accent3 3 2 2 2 2 4" xfId="17448" xr:uid="{00000000-0005-0000-0000-000057440000}"/>
    <cellStyle name="40% - Accent3 3 2 2 2 2 4 2" xfId="17449" xr:uid="{00000000-0005-0000-0000-000058440000}"/>
    <cellStyle name="40% - Accent3 3 2 2 2 2 4 2 2" xfId="17450" xr:uid="{00000000-0005-0000-0000-000059440000}"/>
    <cellStyle name="40% - Accent3 3 2 2 2 2 4 3" xfId="17451" xr:uid="{00000000-0005-0000-0000-00005A440000}"/>
    <cellStyle name="40% - Accent3 3 2 2 2 2 5" xfId="17452" xr:uid="{00000000-0005-0000-0000-00005B440000}"/>
    <cellStyle name="40% - Accent3 3 2 2 2 2 5 2" xfId="17453" xr:uid="{00000000-0005-0000-0000-00005C440000}"/>
    <cellStyle name="40% - Accent3 3 2 2 2 2 6" xfId="17454" xr:uid="{00000000-0005-0000-0000-00005D440000}"/>
    <cellStyle name="40% - Accent3 3 2 2 2 3" xfId="17455" xr:uid="{00000000-0005-0000-0000-00005E440000}"/>
    <cellStyle name="40% - Accent3 3 2 2 2 3 2" xfId="17456" xr:uid="{00000000-0005-0000-0000-00005F440000}"/>
    <cellStyle name="40% - Accent3 3 2 2 2 3 2 2" xfId="17457" xr:uid="{00000000-0005-0000-0000-000060440000}"/>
    <cellStyle name="40% - Accent3 3 2 2 2 3 2 2 2" xfId="17458" xr:uid="{00000000-0005-0000-0000-000061440000}"/>
    <cellStyle name="40% - Accent3 3 2 2 2 3 2 2 2 2" xfId="17459" xr:uid="{00000000-0005-0000-0000-000062440000}"/>
    <cellStyle name="40% - Accent3 3 2 2 2 3 2 2 3" xfId="17460" xr:uid="{00000000-0005-0000-0000-000063440000}"/>
    <cellStyle name="40% - Accent3 3 2 2 2 3 2 3" xfId="17461" xr:uid="{00000000-0005-0000-0000-000064440000}"/>
    <cellStyle name="40% - Accent3 3 2 2 2 3 2 3 2" xfId="17462" xr:uid="{00000000-0005-0000-0000-000065440000}"/>
    <cellStyle name="40% - Accent3 3 2 2 2 3 2 4" xfId="17463" xr:uid="{00000000-0005-0000-0000-000066440000}"/>
    <cellStyle name="40% - Accent3 3 2 2 2 3 3" xfId="17464" xr:uid="{00000000-0005-0000-0000-000067440000}"/>
    <cellStyle name="40% - Accent3 3 2 2 2 3 3 2" xfId="17465" xr:uid="{00000000-0005-0000-0000-000068440000}"/>
    <cellStyle name="40% - Accent3 3 2 2 2 3 3 2 2" xfId="17466" xr:uid="{00000000-0005-0000-0000-000069440000}"/>
    <cellStyle name="40% - Accent3 3 2 2 2 3 3 3" xfId="17467" xr:uid="{00000000-0005-0000-0000-00006A440000}"/>
    <cellStyle name="40% - Accent3 3 2 2 2 3 4" xfId="17468" xr:uid="{00000000-0005-0000-0000-00006B440000}"/>
    <cellStyle name="40% - Accent3 3 2 2 2 3 4 2" xfId="17469" xr:uid="{00000000-0005-0000-0000-00006C440000}"/>
    <cellStyle name="40% - Accent3 3 2 2 2 3 5" xfId="17470" xr:uid="{00000000-0005-0000-0000-00006D440000}"/>
    <cellStyle name="40% - Accent3 3 2 2 2 4" xfId="17471" xr:uid="{00000000-0005-0000-0000-00006E440000}"/>
    <cellStyle name="40% - Accent3 3 2 2 2 4 2" xfId="17472" xr:uid="{00000000-0005-0000-0000-00006F440000}"/>
    <cellStyle name="40% - Accent3 3 2 2 2 4 2 2" xfId="17473" xr:uid="{00000000-0005-0000-0000-000070440000}"/>
    <cellStyle name="40% - Accent3 3 2 2 2 4 2 2 2" xfId="17474" xr:uid="{00000000-0005-0000-0000-000071440000}"/>
    <cellStyle name="40% - Accent3 3 2 2 2 4 2 3" xfId="17475" xr:uid="{00000000-0005-0000-0000-000072440000}"/>
    <cellStyle name="40% - Accent3 3 2 2 2 4 3" xfId="17476" xr:uid="{00000000-0005-0000-0000-000073440000}"/>
    <cellStyle name="40% - Accent3 3 2 2 2 4 3 2" xfId="17477" xr:uid="{00000000-0005-0000-0000-000074440000}"/>
    <cellStyle name="40% - Accent3 3 2 2 2 4 4" xfId="17478" xr:uid="{00000000-0005-0000-0000-000075440000}"/>
    <cellStyle name="40% - Accent3 3 2 2 2 5" xfId="17479" xr:uid="{00000000-0005-0000-0000-000076440000}"/>
    <cellStyle name="40% - Accent3 3 2 2 2 5 2" xfId="17480" xr:uid="{00000000-0005-0000-0000-000077440000}"/>
    <cellStyle name="40% - Accent3 3 2 2 2 5 2 2" xfId="17481" xr:uid="{00000000-0005-0000-0000-000078440000}"/>
    <cellStyle name="40% - Accent3 3 2 2 2 5 3" xfId="17482" xr:uid="{00000000-0005-0000-0000-000079440000}"/>
    <cellStyle name="40% - Accent3 3 2 2 2 6" xfId="17483" xr:uid="{00000000-0005-0000-0000-00007A440000}"/>
    <cellStyle name="40% - Accent3 3 2 2 2 6 2" xfId="17484" xr:uid="{00000000-0005-0000-0000-00007B440000}"/>
    <cellStyle name="40% - Accent3 3 2 2 2 7" xfId="17485" xr:uid="{00000000-0005-0000-0000-00007C440000}"/>
    <cellStyle name="40% - Accent3 3 2 2 3" xfId="17486" xr:uid="{00000000-0005-0000-0000-00007D440000}"/>
    <cellStyle name="40% - Accent3 3 2 2 3 2" xfId="17487" xr:uid="{00000000-0005-0000-0000-00007E440000}"/>
    <cellStyle name="40% - Accent3 3 2 2 3 2 2" xfId="17488" xr:uid="{00000000-0005-0000-0000-00007F440000}"/>
    <cellStyle name="40% - Accent3 3 2 2 3 2 2 2" xfId="17489" xr:uid="{00000000-0005-0000-0000-000080440000}"/>
    <cellStyle name="40% - Accent3 3 2 2 3 2 2 2 2" xfId="17490" xr:uid="{00000000-0005-0000-0000-000081440000}"/>
    <cellStyle name="40% - Accent3 3 2 2 3 2 2 2 2 2" xfId="17491" xr:uid="{00000000-0005-0000-0000-000082440000}"/>
    <cellStyle name="40% - Accent3 3 2 2 3 2 2 2 3" xfId="17492" xr:uid="{00000000-0005-0000-0000-000083440000}"/>
    <cellStyle name="40% - Accent3 3 2 2 3 2 2 3" xfId="17493" xr:uid="{00000000-0005-0000-0000-000084440000}"/>
    <cellStyle name="40% - Accent3 3 2 2 3 2 2 3 2" xfId="17494" xr:uid="{00000000-0005-0000-0000-000085440000}"/>
    <cellStyle name="40% - Accent3 3 2 2 3 2 2 4" xfId="17495" xr:uid="{00000000-0005-0000-0000-000086440000}"/>
    <cellStyle name="40% - Accent3 3 2 2 3 2 3" xfId="17496" xr:uid="{00000000-0005-0000-0000-000087440000}"/>
    <cellStyle name="40% - Accent3 3 2 2 3 2 3 2" xfId="17497" xr:uid="{00000000-0005-0000-0000-000088440000}"/>
    <cellStyle name="40% - Accent3 3 2 2 3 2 3 2 2" xfId="17498" xr:uid="{00000000-0005-0000-0000-000089440000}"/>
    <cellStyle name="40% - Accent3 3 2 2 3 2 3 3" xfId="17499" xr:uid="{00000000-0005-0000-0000-00008A440000}"/>
    <cellStyle name="40% - Accent3 3 2 2 3 2 4" xfId="17500" xr:uid="{00000000-0005-0000-0000-00008B440000}"/>
    <cellStyle name="40% - Accent3 3 2 2 3 2 4 2" xfId="17501" xr:uid="{00000000-0005-0000-0000-00008C440000}"/>
    <cellStyle name="40% - Accent3 3 2 2 3 2 5" xfId="17502" xr:uid="{00000000-0005-0000-0000-00008D440000}"/>
    <cellStyle name="40% - Accent3 3 2 2 3 3" xfId="17503" xr:uid="{00000000-0005-0000-0000-00008E440000}"/>
    <cellStyle name="40% - Accent3 3 2 2 3 3 2" xfId="17504" xr:uid="{00000000-0005-0000-0000-00008F440000}"/>
    <cellStyle name="40% - Accent3 3 2 2 3 3 2 2" xfId="17505" xr:uid="{00000000-0005-0000-0000-000090440000}"/>
    <cellStyle name="40% - Accent3 3 2 2 3 3 2 2 2" xfId="17506" xr:uid="{00000000-0005-0000-0000-000091440000}"/>
    <cellStyle name="40% - Accent3 3 2 2 3 3 2 3" xfId="17507" xr:uid="{00000000-0005-0000-0000-000092440000}"/>
    <cellStyle name="40% - Accent3 3 2 2 3 3 3" xfId="17508" xr:uid="{00000000-0005-0000-0000-000093440000}"/>
    <cellStyle name="40% - Accent3 3 2 2 3 3 3 2" xfId="17509" xr:uid="{00000000-0005-0000-0000-000094440000}"/>
    <cellStyle name="40% - Accent3 3 2 2 3 3 4" xfId="17510" xr:uid="{00000000-0005-0000-0000-000095440000}"/>
    <cellStyle name="40% - Accent3 3 2 2 3 4" xfId="17511" xr:uid="{00000000-0005-0000-0000-000096440000}"/>
    <cellStyle name="40% - Accent3 3 2 2 3 4 2" xfId="17512" xr:uid="{00000000-0005-0000-0000-000097440000}"/>
    <cellStyle name="40% - Accent3 3 2 2 3 4 2 2" xfId="17513" xr:uid="{00000000-0005-0000-0000-000098440000}"/>
    <cellStyle name="40% - Accent3 3 2 2 3 4 3" xfId="17514" xr:uid="{00000000-0005-0000-0000-000099440000}"/>
    <cellStyle name="40% - Accent3 3 2 2 3 5" xfId="17515" xr:uid="{00000000-0005-0000-0000-00009A440000}"/>
    <cellStyle name="40% - Accent3 3 2 2 3 5 2" xfId="17516" xr:uid="{00000000-0005-0000-0000-00009B440000}"/>
    <cellStyle name="40% - Accent3 3 2 2 3 6" xfId="17517" xr:uid="{00000000-0005-0000-0000-00009C440000}"/>
    <cellStyle name="40% - Accent3 3 2 2 4" xfId="17518" xr:uid="{00000000-0005-0000-0000-00009D440000}"/>
    <cellStyle name="40% - Accent3 3 2 2 4 2" xfId="17519" xr:uid="{00000000-0005-0000-0000-00009E440000}"/>
    <cellStyle name="40% - Accent3 3 2 2 4 2 2" xfId="17520" xr:uid="{00000000-0005-0000-0000-00009F440000}"/>
    <cellStyle name="40% - Accent3 3 2 2 4 2 2 2" xfId="17521" xr:uid="{00000000-0005-0000-0000-0000A0440000}"/>
    <cellStyle name="40% - Accent3 3 2 2 4 2 2 2 2" xfId="17522" xr:uid="{00000000-0005-0000-0000-0000A1440000}"/>
    <cellStyle name="40% - Accent3 3 2 2 4 2 2 3" xfId="17523" xr:uid="{00000000-0005-0000-0000-0000A2440000}"/>
    <cellStyle name="40% - Accent3 3 2 2 4 2 3" xfId="17524" xr:uid="{00000000-0005-0000-0000-0000A3440000}"/>
    <cellStyle name="40% - Accent3 3 2 2 4 2 3 2" xfId="17525" xr:uid="{00000000-0005-0000-0000-0000A4440000}"/>
    <cellStyle name="40% - Accent3 3 2 2 4 2 4" xfId="17526" xr:uid="{00000000-0005-0000-0000-0000A5440000}"/>
    <cellStyle name="40% - Accent3 3 2 2 4 3" xfId="17527" xr:uid="{00000000-0005-0000-0000-0000A6440000}"/>
    <cellStyle name="40% - Accent3 3 2 2 4 3 2" xfId="17528" xr:uid="{00000000-0005-0000-0000-0000A7440000}"/>
    <cellStyle name="40% - Accent3 3 2 2 4 3 2 2" xfId="17529" xr:uid="{00000000-0005-0000-0000-0000A8440000}"/>
    <cellStyle name="40% - Accent3 3 2 2 4 3 3" xfId="17530" xr:uid="{00000000-0005-0000-0000-0000A9440000}"/>
    <cellStyle name="40% - Accent3 3 2 2 4 4" xfId="17531" xr:uid="{00000000-0005-0000-0000-0000AA440000}"/>
    <cellStyle name="40% - Accent3 3 2 2 4 4 2" xfId="17532" xr:uid="{00000000-0005-0000-0000-0000AB440000}"/>
    <cellStyle name="40% - Accent3 3 2 2 4 5" xfId="17533" xr:uid="{00000000-0005-0000-0000-0000AC440000}"/>
    <cellStyle name="40% - Accent3 3 2 2 5" xfId="17534" xr:uid="{00000000-0005-0000-0000-0000AD440000}"/>
    <cellStyle name="40% - Accent3 3 2 2 5 2" xfId="17535" xr:uid="{00000000-0005-0000-0000-0000AE440000}"/>
    <cellStyle name="40% - Accent3 3 2 2 5 2 2" xfId="17536" xr:uid="{00000000-0005-0000-0000-0000AF440000}"/>
    <cellStyle name="40% - Accent3 3 2 2 5 2 2 2" xfId="17537" xr:uid="{00000000-0005-0000-0000-0000B0440000}"/>
    <cellStyle name="40% - Accent3 3 2 2 5 2 3" xfId="17538" xr:uid="{00000000-0005-0000-0000-0000B1440000}"/>
    <cellStyle name="40% - Accent3 3 2 2 5 3" xfId="17539" xr:uid="{00000000-0005-0000-0000-0000B2440000}"/>
    <cellStyle name="40% - Accent3 3 2 2 5 3 2" xfId="17540" xr:uid="{00000000-0005-0000-0000-0000B3440000}"/>
    <cellStyle name="40% - Accent3 3 2 2 5 4" xfId="17541" xr:uid="{00000000-0005-0000-0000-0000B4440000}"/>
    <cellStyle name="40% - Accent3 3 2 2 6" xfId="17542" xr:uid="{00000000-0005-0000-0000-0000B5440000}"/>
    <cellStyle name="40% - Accent3 3 2 2 6 2" xfId="17543" xr:uid="{00000000-0005-0000-0000-0000B6440000}"/>
    <cellStyle name="40% - Accent3 3 2 2 6 2 2" xfId="17544" xr:uid="{00000000-0005-0000-0000-0000B7440000}"/>
    <cellStyle name="40% - Accent3 3 2 2 6 3" xfId="17545" xr:uid="{00000000-0005-0000-0000-0000B8440000}"/>
    <cellStyle name="40% - Accent3 3 2 2 7" xfId="17546" xr:uid="{00000000-0005-0000-0000-0000B9440000}"/>
    <cellStyle name="40% - Accent3 3 2 2 7 2" xfId="17547" xr:uid="{00000000-0005-0000-0000-0000BA440000}"/>
    <cellStyle name="40% - Accent3 3 2 2 8" xfId="17548" xr:uid="{00000000-0005-0000-0000-0000BB440000}"/>
    <cellStyle name="40% - Accent3 3 2 3" xfId="17549" xr:uid="{00000000-0005-0000-0000-0000BC440000}"/>
    <cellStyle name="40% - Accent3 3 2 3 2" xfId="17550" xr:uid="{00000000-0005-0000-0000-0000BD440000}"/>
    <cellStyle name="40% - Accent3 3 2 3 2 2" xfId="17551" xr:uid="{00000000-0005-0000-0000-0000BE440000}"/>
    <cellStyle name="40% - Accent3 3 2 3 2 2 2" xfId="17552" xr:uid="{00000000-0005-0000-0000-0000BF440000}"/>
    <cellStyle name="40% - Accent3 3 2 3 2 2 2 2" xfId="17553" xr:uid="{00000000-0005-0000-0000-0000C0440000}"/>
    <cellStyle name="40% - Accent3 3 2 3 2 2 2 2 2" xfId="17554" xr:uid="{00000000-0005-0000-0000-0000C1440000}"/>
    <cellStyle name="40% - Accent3 3 2 3 2 2 2 2 2 2" xfId="17555" xr:uid="{00000000-0005-0000-0000-0000C2440000}"/>
    <cellStyle name="40% - Accent3 3 2 3 2 2 2 2 3" xfId="17556" xr:uid="{00000000-0005-0000-0000-0000C3440000}"/>
    <cellStyle name="40% - Accent3 3 2 3 2 2 2 3" xfId="17557" xr:uid="{00000000-0005-0000-0000-0000C4440000}"/>
    <cellStyle name="40% - Accent3 3 2 3 2 2 2 3 2" xfId="17558" xr:uid="{00000000-0005-0000-0000-0000C5440000}"/>
    <cellStyle name="40% - Accent3 3 2 3 2 2 2 4" xfId="17559" xr:uid="{00000000-0005-0000-0000-0000C6440000}"/>
    <cellStyle name="40% - Accent3 3 2 3 2 2 3" xfId="17560" xr:uid="{00000000-0005-0000-0000-0000C7440000}"/>
    <cellStyle name="40% - Accent3 3 2 3 2 2 3 2" xfId="17561" xr:uid="{00000000-0005-0000-0000-0000C8440000}"/>
    <cellStyle name="40% - Accent3 3 2 3 2 2 3 2 2" xfId="17562" xr:uid="{00000000-0005-0000-0000-0000C9440000}"/>
    <cellStyle name="40% - Accent3 3 2 3 2 2 3 3" xfId="17563" xr:uid="{00000000-0005-0000-0000-0000CA440000}"/>
    <cellStyle name="40% - Accent3 3 2 3 2 2 4" xfId="17564" xr:uid="{00000000-0005-0000-0000-0000CB440000}"/>
    <cellStyle name="40% - Accent3 3 2 3 2 2 4 2" xfId="17565" xr:uid="{00000000-0005-0000-0000-0000CC440000}"/>
    <cellStyle name="40% - Accent3 3 2 3 2 2 5" xfId="17566" xr:uid="{00000000-0005-0000-0000-0000CD440000}"/>
    <cellStyle name="40% - Accent3 3 2 3 2 3" xfId="17567" xr:uid="{00000000-0005-0000-0000-0000CE440000}"/>
    <cellStyle name="40% - Accent3 3 2 3 2 3 2" xfId="17568" xr:uid="{00000000-0005-0000-0000-0000CF440000}"/>
    <cellStyle name="40% - Accent3 3 2 3 2 3 2 2" xfId="17569" xr:uid="{00000000-0005-0000-0000-0000D0440000}"/>
    <cellStyle name="40% - Accent3 3 2 3 2 3 2 2 2" xfId="17570" xr:uid="{00000000-0005-0000-0000-0000D1440000}"/>
    <cellStyle name="40% - Accent3 3 2 3 2 3 2 3" xfId="17571" xr:uid="{00000000-0005-0000-0000-0000D2440000}"/>
    <cellStyle name="40% - Accent3 3 2 3 2 3 3" xfId="17572" xr:uid="{00000000-0005-0000-0000-0000D3440000}"/>
    <cellStyle name="40% - Accent3 3 2 3 2 3 3 2" xfId="17573" xr:uid="{00000000-0005-0000-0000-0000D4440000}"/>
    <cellStyle name="40% - Accent3 3 2 3 2 3 4" xfId="17574" xr:uid="{00000000-0005-0000-0000-0000D5440000}"/>
    <cellStyle name="40% - Accent3 3 2 3 2 4" xfId="17575" xr:uid="{00000000-0005-0000-0000-0000D6440000}"/>
    <cellStyle name="40% - Accent3 3 2 3 2 4 2" xfId="17576" xr:uid="{00000000-0005-0000-0000-0000D7440000}"/>
    <cellStyle name="40% - Accent3 3 2 3 2 4 2 2" xfId="17577" xr:uid="{00000000-0005-0000-0000-0000D8440000}"/>
    <cellStyle name="40% - Accent3 3 2 3 2 4 3" xfId="17578" xr:uid="{00000000-0005-0000-0000-0000D9440000}"/>
    <cellStyle name="40% - Accent3 3 2 3 2 5" xfId="17579" xr:uid="{00000000-0005-0000-0000-0000DA440000}"/>
    <cellStyle name="40% - Accent3 3 2 3 2 5 2" xfId="17580" xr:uid="{00000000-0005-0000-0000-0000DB440000}"/>
    <cellStyle name="40% - Accent3 3 2 3 2 6" xfId="17581" xr:uid="{00000000-0005-0000-0000-0000DC440000}"/>
    <cellStyle name="40% - Accent3 3 2 3 3" xfId="17582" xr:uid="{00000000-0005-0000-0000-0000DD440000}"/>
    <cellStyle name="40% - Accent3 3 2 3 3 2" xfId="17583" xr:uid="{00000000-0005-0000-0000-0000DE440000}"/>
    <cellStyle name="40% - Accent3 3 2 3 3 2 2" xfId="17584" xr:uid="{00000000-0005-0000-0000-0000DF440000}"/>
    <cellStyle name="40% - Accent3 3 2 3 3 2 2 2" xfId="17585" xr:uid="{00000000-0005-0000-0000-0000E0440000}"/>
    <cellStyle name="40% - Accent3 3 2 3 3 2 2 2 2" xfId="17586" xr:uid="{00000000-0005-0000-0000-0000E1440000}"/>
    <cellStyle name="40% - Accent3 3 2 3 3 2 2 3" xfId="17587" xr:uid="{00000000-0005-0000-0000-0000E2440000}"/>
    <cellStyle name="40% - Accent3 3 2 3 3 2 3" xfId="17588" xr:uid="{00000000-0005-0000-0000-0000E3440000}"/>
    <cellStyle name="40% - Accent3 3 2 3 3 2 3 2" xfId="17589" xr:uid="{00000000-0005-0000-0000-0000E4440000}"/>
    <cellStyle name="40% - Accent3 3 2 3 3 2 4" xfId="17590" xr:uid="{00000000-0005-0000-0000-0000E5440000}"/>
    <cellStyle name="40% - Accent3 3 2 3 3 3" xfId="17591" xr:uid="{00000000-0005-0000-0000-0000E6440000}"/>
    <cellStyle name="40% - Accent3 3 2 3 3 3 2" xfId="17592" xr:uid="{00000000-0005-0000-0000-0000E7440000}"/>
    <cellStyle name="40% - Accent3 3 2 3 3 3 2 2" xfId="17593" xr:uid="{00000000-0005-0000-0000-0000E8440000}"/>
    <cellStyle name="40% - Accent3 3 2 3 3 3 3" xfId="17594" xr:uid="{00000000-0005-0000-0000-0000E9440000}"/>
    <cellStyle name="40% - Accent3 3 2 3 3 4" xfId="17595" xr:uid="{00000000-0005-0000-0000-0000EA440000}"/>
    <cellStyle name="40% - Accent3 3 2 3 3 4 2" xfId="17596" xr:uid="{00000000-0005-0000-0000-0000EB440000}"/>
    <cellStyle name="40% - Accent3 3 2 3 3 5" xfId="17597" xr:uid="{00000000-0005-0000-0000-0000EC440000}"/>
    <cellStyle name="40% - Accent3 3 2 3 4" xfId="17598" xr:uid="{00000000-0005-0000-0000-0000ED440000}"/>
    <cellStyle name="40% - Accent3 3 2 3 4 2" xfId="17599" xr:uid="{00000000-0005-0000-0000-0000EE440000}"/>
    <cellStyle name="40% - Accent3 3 2 3 4 2 2" xfId="17600" xr:uid="{00000000-0005-0000-0000-0000EF440000}"/>
    <cellStyle name="40% - Accent3 3 2 3 4 2 2 2" xfId="17601" xr:uid="{00000000-0005-0000-0000-0000F0440000}"/>
    <cellStyle name="40% - Accent3 3 2 3 4 2 3" xfId="17602" xr:uid="{00000000-0005-0000-0000-0000F1440000}"/>
    <cellStyle name="40% - Accent3 3 2 3 4 3" xfId="17603" xr:uid="{00000000-0005-0000-0000-0000F2440000}"/>
    <cellStyle name="40% - Accent3 3 2 3 4 3 2" xfId="17604" xr:uid="{00000000-0005-0000-0000-0000F3440000}"/>
    <cellStyle name="40% - Accent3 3 2 3 4 4" xfId="17605" xr:uid="{00000000-0005-0000-0000-0000F4440000}"/>
    <cellStyle name="40% - Accent3 3 2 3 5" xfId="17606" xr:uid="{00000000-0005-0000-0000-0000F5440000}"/>
    <cellStyle name="40% - Accent3 3 2 3 5 2" xfId="17607" xr:uid="{00000000-0005-0000-0000-0000F6440000}"/>
    <cellStyle name="40% - Accent3 3 2 3 5 2 2" xfId="17608" xr:uid="{00000000-0005-0000-0000-0000F7440000}"/>
    <cellStyle name="40% - Accent3 3 2 3 5 3" xfId="17609" xr:uid="{00000000-0005-0000-0000-0000F8440000}"/>
    <cellStyle name="40% - Accent3 3 2 3 6" xfId="17610" xr:uid="{00000000-0005-0000-0000-0000F9440000}"/>
    <cellStyle name="40% - Accent3 3 2 3 6 2" xfId="17611" xr:uid="{00000000-0005-0000-0000-0000FA440000}"/>
    <cellStyle name="40% - Accent3 3 2 3 7" xfId="17612" xr:uid="{00000000-0005-0000-0000-0000FB440000}"/>
    <cellStyle name="40% - Accent3 3 2 4" xfId="17613" xr:uid="{00000000-0005-0000-0000-0000FC440000}"/>
    <cellStyle name="40% - Accent3 3 2 4 2" xfId="17614" xr:uid="{00000000-0005-0000-0000-0000FD440000}"/>
    <cellStyle name="40% - Accent3 3 2 4 2 2" xfId="17615" xr:uid="{00000000-0005-0000-0000-0000FE440000}"/>
    <cellStyle name="40% - Accent3 3 2 4 2 2 2" xfId="17616" xr:uid="{00000000-0005-0000-0000-0000FF440000}"/>
    <cellStyle name="40% - Accent3 3 2 4 2 2 2 2" xfId="17617" xr:uid="{00000000-0005-0000-0000-000000450000}"/>
    <cellStyle name="40% - Accent3 3 2 4 2 2 2 2 2" xfId="17618" xr:uid="{00000000-0005-0000-0000-000001450000}"/>
    <cellStyle name="40% - Accent3 3 2 4 2 2 2 3" xfId="17619" xr:uid="{00000000-0005-0000-0000-000002450000}"/>
    <cellStyle name="40% - Accent3 3 2 4 2 2 3" xfId="17620" xr:uid="{00000000-0005-0000-0000-000003450000}"/>
    <cellStyle name="40% - Accent3 3 2 4 2 2 3 2" xfId="17621" xr:uid="{00000000-0005-0000-0000-000004450000}"/>
    <cellStyle name="40% - Accent3 3 2 4 2 2 4" xfId="17622" xr:uid="{00000000-0005-0000-0000-000005450000}"/>
    <cellStyle name="40% - Accent3 3 2 4 2 3" xfId="17623" xr:uid="{00000000-0005-0000-0000-000006450000}"/>
    <cellStyle name="40% - Accent3 3 2 4 2 3 2" xfId="17624" xr:uid="{00000000-0005-0000-0000-000007450000}"/>
    <cellStyle name="40% - Accent3 3 2 4 2 3 2 2" xfId="17625" xr:uid="{00000000-0005-0000-0000-000008450000}"/>
    <cellStyle name="40% - Accent3 3 2 4 2 3 3" xfId="17626" xr:uid="{00000000-0005-0000-0000-000009450000}"/>
    <cellStyle name="40% - Accent3 3 2 4 2 4" xfId="17627" xr:uid="{00000000-0005-0000-0000-00000A450000}"/>
    <cellStyle name="40% - Accent3 3 2 4 2 4 2" xfId="17628" xr:uid="{00000000-0005-0000-0000-00000B450000}"/>
    <cellStyle name="40% - Accent3 3 2 4 2 5" xfId="17629" xr:uid="{00000000-0005-0000-0000-00000C450000}"/>
    <cellStyle name="40% - Accent3 3 2 4 3" xfId="17630" xr:uid="{00000000-0005-0000-0000-00000D450000}"/>
    <cellStyle name="40% - Accent3 3 2 4 3 2" xfId="17631" xr:uid="{00000000-0005-0000-0000-00000E450000}"/>
    <cellStyle name="40% - Accent3 3 2 4 3 2 2" xfId="17632" xr:uid="{00000000-0005-0000-0000-00000F450000}"/>
    <cellStyle name="40% - Accent3 3 2 4 3 2 2 2" xfId="17633" xr:uid="{00000000-0005-0000-0000-000010450000}"/>
    <cellStyle name="40% - Accent3 3 2 4 3 2 3" xfId="17634" xr:uid="{00000000-0005-0000-0000-000011450000}"/>
    <cellStyle name="40% - Accent3 3 2 4 3 3" xfId="17635" xr:uid="{00000000-0005-0000-0000-000012450000}"/>
    <cellStyle name="40% - Accent3 3 2 4 3 3 2" xfId="17636" xr:uid="{00000000-0005-0000-0000-000013450000}"/>
    <cellStyle name="40% - Accent3 3 2 4 3 4" xfId="17637" xr:uid="{00000000-0005-0000-0000-000014450000}"/>
    <cellStyle name="40% - Accent3 3 2 4 4" xfId="17638" xr:uid="{00000000-0005-0000-0000-000015450000}"/>
    <cellStyle name="40% - Accent3 3 2 4 4 2" xfId="17639" xr:uid="{00000000-0005-0000-0000-000016450000}"/>
    <cellStyle name="40% - Accent3 3 2 4 4 2 2" xfId="17640" xr:uid="{00000000-0005-0000-0000-000017450000}"/>
    <cellStyle name="40% - Accent3 3 2 4 4 3" xfId="17641" xr:uid="{00000000-0005-0000-0000-000018450000}"/>
    <cellStyle name="40% - Accent3 3 2 4 5" xfId="17642" xr:uid="{00000000-0005-0000-0000-000019450000}"/>
    <cellStyle name="40% - Accent3 3 2 4 5 2" xfId="17643" xr:uid="{00000000-0005-0000-0000-00001A450000}"/>
    <cellStyle name="40% - Accent3 3 2 4 6" xfId="17644" xr:uid="{00000000-0005-0000-0000-00001B450000}"/>
    <cellStyle name="40% - Accent3 3 2 5" xfId="17645" xr:uid="{00000000-0005-0000-0000-00001C450000}"/>
    <cellStyle name="40% - Accent3 3 2 5 2" xfId="17646" xr:uid="{00000000-0005-0000-0000-00001D450000}"/>
    <cellStyle name="40% - Accent3 3 2 5 2 2" xfId="17647" xr:uid="{00000000-0005-0000-0000-00001E450000}"/>
    <cellStyle name="40% - Accent3 3 2 5 2 2 2" xfId="17648" xr:uid="{00000000-0005-0000-0000-00001F450000}"/>
    <cellStyle name="40% - Accent3 3 2 5 2 2 2 2" xfId="17649" xr:uid="{00000000-0005-0000-0000-000020450000}"/>
    <cellStyle name="40% - Accent3 3 2 5 2 2 3" xfId="17650" xr:uid="{00000000-0005-0000-0000-000021450000}"/>
    <cellStyle name="40% - Accent3 3 2 5 2 3" xfId="17651" xr:uid="{00000000-0005-0000-0000-000022450000}"/>
    <cellStyle name="40% - Accent3 3 2 5 2 3 2" xfId="17652" xr:uid="{00000000-0005-0000-0000-000023450000}"/>
    <cellStyle name="40% - Accent3 3 2 5 2 4" xfId="17653" xr:uid="{00000000-0005-0000-0000-000024450000}"/>
    <cellStyle name="40% - Accent3 3 2 5 3" xfId="17654" xr:uid="{00000000-0005-0000-0000-000025450000}"/>
    <cellStyle name="40% - Accent3 3 2 5 3 2" xfId="17655" xr:uid="{00000000-0005-0000-0000-000026450000}"/>
    <cellStyle name="40% - Accent3 3 2 5 3 2 2" xfId="17656" xr:uid="{00000000-0005-0000-0000-000027450000}"/>
    <cellStyle name="40% - Accent3 3 2 5 3 3" xfId="17657" xr:uid="{00000000-0005-0000-0000-000028450000}"/>
    <cellStyle name="40% - Accent3 3 2 5 4" xfId="17658" xr:uid="{00000000-0005-0000-0000-000029450000}"/>
    <cellStyle name="40% - Accent3 3 2 5 4 2" xfId="17659" xr:uid="{00000000-0005-0000-0000-00002A450000}"/>
    <cellStyle name="40% - Accent3 3 2 5 5" xfId="17660" xr:uid="{00000000-0005-0000-0000-00002B450000}"/>
    <cellStyle name="40% - Accent3 3 2 6" xfId="17661" xr:uid="{00000000-0005-0000-0000-00002C450000}"/>
    <cellStyle name="40% - Accent3 3 2 6 2" xfId="17662" xr:uid="{00000000-0005-0000-0000-00002D450000}"/>
    <cellStyle name="40% - Accent3 3 2 6 2 2" xfId="17663" xr:uid="{00000000-0005-0000-0000-00002E450000}"/>
    <cellStyle name="40% - Accent3 3 2 6 2 2 2" xfId="17664" xr:uid="{00000000-0005-0000-0000-00002F450000}"/>
    <cellStyle name="40% - Accent3 3 2 6 2 3" xfId="17665" xr:uid="{00000000-0005-0000-0000-000030450000}"/>
    <cellStyle name="40% - Accent3 3 2 6 3" xfId="17666" xr:uid="{00000000-0005-0000-0000-000031450000}"/>
    <cellStyle name="40% - Accent3 3 2 6 3 2" xfId="17667" xr:uid="{00000000-0005-0000-0000-000032450000}"/>
    <cellStyle name="40% - Accent3 3 2 6 4" xfId="17668" xr:uid="{00000000-0005-0000-0000-000033450000}"/>
    <cellStyle name="40% - Accent3 3 2 7" xfId="17669" xr:uid="{00000000-0005-0000-0000-000034450000}"/>
    <cellStyle name="40% - Accent3 3 2 7 2" xfId="17670" xr:uid="{00000000-0005-0000-0000-000035450000}"/>
    <cellStyle name="40% - Accent3 3 2 7 2 2" xfId="17671" xr:uid="{00000000-0005-0000-0000-000036450000}"/>
    <cellStyle name="40% - Accent3 3 2 7 3" xfId="17672" xr:uid="{00000000-0005-0000-0000-000037450000}"/>
    <cellStyle name="40% - Accent3 3 2 8" xfId="17673" xr:uid="{00000000-0005-0000-0000-000038450000}"/>
    <cellStyle name="40% - Accent3 3 2 8 2" xfId="17674" xr:uid="{00000000-0005-0000-0000-000039450000}"/>
    <cellStyle name="40% - Accent3 3 2 9" xfId="17675" xr:uid="{00000000-0005-0000-0000-00003A450000}"/>
    <cellStyle name="40% - Accent3 3 3" xfId="17676" xr:uid="{00000000-0005-0000-0000-00003B450000}"/>
    <cellStyle name="40% - Accent3 3 3 2" xfId="17677" xr:uid="{00000000-0005-0000-0000-00003C450000}"/>
    <cellStyle name="40% - Accent3 3 3 2 2" xfId="17678" xr:uid="{00000000-0005-0000-0000-00003D450000}"/>
    <cellStyle name="40% - Accent3 3 3 2 2 2" xfId="17679" xr:uid="{00000000-0005-0000-0000-00003E450000}"/>
    <cellStyle name="40% - Accent3 3 3 2 2 2 2" xfId="17680" xr:uid="{00000000-0005-0000-0000-00003F450000}"/>
    <cellStyle name="40% - Accent3 3 3 2 2 2 2 2" xfId="17681" xr:uid="{00000000-0005-0000-0000-000040450000}"/>
    <cellStyle name="40% - Accent3 3 3 2 2 2 2 2 2" xfId="17682" xr:uid="{00000000-0005-0000-0000-000041450000}"/>
    <cellStyle name="40% - Accent3 3 3 2 2 2 2 2 2 2" xfId="17683" xr:uid="{00000000-0005-0000-0000-000042450000}"/>
    <cellStyle name="40% - Accent3 3 3 2 2 2 2 2 3" xfId="17684" xr:uid="{00000000-0005-0000-0000-000043450000}"/>
    <cellStyle name="40% - Accent3 3 3 2 2 2 2 3" xfId="17685" xr:uid="{00000000-0005-0000-0000-000044450000}"/>
    <cellStyle name="40% - Accent3 3 3 2 2 2 2 3 2" xfId="17686" xr:uid="{00000000-0005-0000-0000-000045450000}"/>
    <cellStyle name="40% - Accent3 3 3 2 2 2 2 4" xfId="17687" xr:uid="{00000000-0005-0000-0000-000046450000}"/>
    <cellStyle name="40% - Accent3 3 3 2 2 2 3" xfId="17688" xr:uid="{00000000-0005-0000-0000-000047450000}"/>
    <cellStyle name="40% - Accent3 3 3 2 2 2 3 2" xfId="17689" xr:uid="{00000000-0005-0000-0000-000048450000}"/>
    <cellStyle name="40% - Accent3 3 3 2 2 2 3 2 2" xfId="17690" xr:uid="{00000000-0005-0000-0000-000049450000}"/>
    <cellStyle name="40% - Accent3 3 3 2 2 2 3 3" xfId="17691" xr:uid="{00000000-0005-0000-0000-00004A450000}"/>
    <cellStyle name="40% - Accent3 3 3 2 2 2 4" xfId="17692" xr:uid="{00000000-0005-0000-0000-00004B450000}"/>
    <cellStyle name="40% - Accent3 3 3 2 2 2 4 2" xfId="17693" xr:uid="{00000000-0005-0000-0000-00004C450000}"/>
    <cellStyle name="40% - Accent3 3 3 2 2 2 5" xfId="17694" xr:uid="{00000000-0005-0000-0000-00004D450000}"/>
    <cellStyle name="40% - Accent3 3 3 2 2 3" xfId="17695" xr:uid="{00000000-0005-0000-0000-00004E450000}"/>
    <cellStyle name="40% - Accent3 3 3 2 2 3 2" xfId="17696" xr:uid="{00000000-0005-0000-0000-00004F450000}"/>
    <cellStyle name="40% - Accent3 3 3 2 2 3 2 2" xfId="17697" xr:uid="{00000000-0005-0000-0000-000050450000}"/>
    <cellStyle name="40% - Accent3 3 3 2 2 3 2 2 2" xfId="17698" xr:uid="{00000000-0005-0000-0000-000051450000}"/>
    <cellStyle name="40% - Accent3 3 3 2 2 3 2 3" xfId="17699" xr:uid="{00000000-0005-0000-0000-000052450000}"/>
    <cellStyle name="40% - Accent3 3 3 2 2 3 3" xfId="17700" xr:uid="{00000000-0005-0000-0000-000053450000}"/>
    <cellStyle name="40% - Accent3 3 3 2 2 3 3 2" xfId="17701" xr:uid="{00000000-0005-0000-0000-000054450000}"/>
    <cellStyle name="40% - Accent3 3 3 2 2 3 4" xfId="17702" xr:uid="{00000000-0005-0000-0000-000055450000}"/>
    <cellStyle name="40% - Accent3 3 3 2 2 4" xfId="17703" xr:uid="{00000000-0005-0000-0000-000056450000}"/>
    <cellStyle name="40% - Accent3 3 3 2 2 4 2" xfId="17704" xr:uid="{00000000-0005-0000-0000-000057450000}"/>
    <cellStyle name="40% - Accent3 3 3 2 2 4 2 2" xfId="17705" xr:uid="{00000000-0005-0000-0000-000058450000}"/>
    <cellStyle name="40% - Accent3 3 3 2 2 4 3" xfId="17706" xr:uid="{00000000-0005-0000-0000-000059450000}"/>
    <cellStyle name="40% - Accent3 3 3 2 2 5" xfId="17707" xr:uid="{00000000-0005-0000-0000-00005A450000}"/>
    <cellStyle name="40% - Accent3 3 3 2 2 5 2" xfId="17708" xr:uid="{00000000-0005-0000-0000-00005B450000}"/>
    <cellStyle name="40% - Accent3 3 3 2 2 6" xfId="17709" xr:uid="{00000000-0005-0000-0000-00005C450000}"/>
    <cellStyle name="40% - Accent3 3 3 2 3" xfId="17710" xr:uid="{00000000-0005-0000-0000-00005D450000}"/>
    <cellStyle name="40% - Accent3 3 3 2 3 2" xfId="17711" xr:uid="{00000000-0005-0000-0000-00005E450000}"/>
    <cellStyle name="40% - Accent3 3 3 2 3 2 2" xfId="17712" xr:uid="{00000000-0005-0000-0000-00005F450000}"/>
    <cellStyle name="40% - Accent3 3 3 2 3 2 2 2" xfId="17713" xr:uid="{00000000-0005-0000-0000-000060450000}"/>
    <cellStyle name="40% - Accent3 3 3 2 3 2 2 2 2" xfId="17714" xr:uid="{00000000-0005-0000-0000-000061450000}"/>
    <cellStyle name="40% - Accent3 3 3 2 3 2 2 3" xfId="17715" xr:uid="{00000000-0005-0000-0000-000062450000}"/>
    <cellStyle name="40% - Accent3 3 3 2 3 2 3" xfId="17716" xr:uid="{00000000-0005-0000-0000-000063450000}"/>
    <cellStyle name="40% - Accent3 3 3 2 3 2 3 2" xfId="17717" xr:uid="{00000000-0005-0000-0000-000064450000}"/>
    <cellStyle name="40% - Accent3 3 3 2 3 2 4" xfId="17718" xr:uid="{00000000-0005-0000-0000-000065450000}"/>
    <cellStyle name="40% - Accent3 3 3 2 3 3" xfId="17719" xr:uid="{00000000-0005-0000-0000-000066450000}"/>
    <cellStyle name="40% - Accent3 3 3 2 3 3 2" xfId="17720" xr:uid="{00000000-0005-0000-0000-000067450000}"/>
    <cellStyle name="40% - Accent3 3 3 2 3 3 2 2" xfId="17721" xr:uid="{00000000-0005-0000-0000-000068450000}"/>
    <cellStyle name="40% - Accent3 3 3 2 3 3 3" xfId="17722" xr:uid="{00000000-0005-0000-0000-000069450000}"/>
    <cellStyle name="40% - Accent3 3 3 2 3 4" xfId="17723" xr:uid="{00000000-0005-0000-0000-00006A450000}"/>
    <cellStyle name="40% - Accent3 3 3 2 3 4 2" xfId="17724" xr:uid="{00000000-0005-0000-0000-00006B450000}"/>
    <cellStyle name="40% - Accent3 3 3 2 3 5" xfId="17725" xr:uid="{00000000-0005-0000-0000-00006C450000}"/>
    <cellStyle name="40% - Accent3 3 3 2 4" xfId="17726" xr:uid="{00000000-0005-0000-0000-00006D450000}"/>
    <cellStyle name="40% - Accent3 3 3 2 4 2" xfId="17727" xr:uid="{00000000-0005-0000-0000-00006E450000}"/>
    <cellStyle name="40% - Accent3 3 3 2 4 2 2" xfId="17728" xr:uid="{00000000-0005-0000-0000-00006F450000}"/>
    <cellStyle name="40% - Accent3 3 3 2 4 2 2 2" xfId="17729" xr:uid="{00000000-0005-0000-0000-000070450000}"/>
    <cellStyle name="40% - Accent3 3 3 2 4 2 3" xfId="17730" xr:uid="{00000000-0005-0000-0000-000071450000}"/>
    <cellStyle name="40% - Accent3 3 3 2 4 3" xfId="17731" xr:uid="{00000000-0005-0000-0000-000072450000}"/>
    <cellStyle name="40% - Accent3 3 3 2 4 3 2" xfId="17732" xr:uid="{00000000-0005-0000-0000-000073450000}"/>
    <cellStyle name="40% - Accent3 3 3 2 4 4" xfId="17733" xr:uid="{00000000-0005-0000-0000-000074450000}"/>
    <cellStyle name="40% - Accent3 3 3 2 5" xfId="17734" xr:uid="{00000000-0005-0000-0000-000075450000}"/>
    <cellStyle name="40% - Accent3 3 3 2 5 2" xfId="17735" xr:uid="{00000000-0005-0000-0000-000076450000}"/>
    <cellStyle name="40% - Accent3 3 3 2 5 2 2" xfId="17736" xr:uid="{00000000-0005-0000-0000-000077450000}"/>
    <cellStyle name="40% - Accent3 3 3 2 5 3" xfId="17737" xr:uid="{00000000-0005-0000-0000-000078450000}"/>
    <cellStyle name="40% - Accent3 3 3 2 6" xfId="17738" xr:uid="{00000000-0005-0000-0000-000079450000}"/>
    <cellStyle name="40% - Accent3 3 3 2 6 2" xfId="17739" xr:uid="{00000000-0005-0000-0000-00007A450000}"/>
    <cellStyle name="40% - Accent3 3 3 2 7" xfId="17740" xr:uid="{00000000-0005-0000-0000-00007B450000}"/>
    <cellStyle name="40% - Accent3 3 3 3" xfId="17741" xr:uid="{00000000-0005-0000-0000-00007C450000}"/>
    <cellStyle name="40% - Accent3 3 3 3 2" xfId="17742" xr:uid="{00000000-0005-0000-0000-00007D450000}"/>
    <cellStyle name="40% - Accent3 3 3 3 2 2" xfId="17743" xr:uid="{00000000-0005-0000-0000-00007E450000}"/>
    <cellStyle name="40% - Accent3 3 3 3 2 2 2" xfId="17744" xr:uid="{00000000-0005-0000-0000-00007F450000}"/>
    <cellStyle name="40% - Accent3 3 3 3 2 2 2 2" xfId="17745" xr:uid="{00000000-0005-0000-0000-000080450000}"/>
    <cellStyle name="40% - Accent3 3 3 3 2 2 2 2 2" xfId="17746" xr:uid="{00000000-0005-0000-0000-000081450000}"/>
    <cellStyle name="40% - Accent3 3 3 3 2 2 2 3" xfId="17747" xr:uid="{00000000-0005-0000-0000-000082450000}"/>
    <cellStyle name="40% - Accent3 3 3 3 2 2 3" xfId="17748" xr:uid="{00000000-0005-0000-0000-000083450000}"/>
    <cellStyle name="40% - Accent3 3 3 3 2 2 3 2" xfId="17749" xr:uid="{00000000-0005-0000-0000-000084450000}"/>
    <cellStyle name="40% - Accent3 3 3 3 2 2 4" xfId="17750" xr:uid="{00000000-0005-0000-0000-000085450000}"/>
    <cellStyle name="40% - Accent3 3 3 3 2 3" xfId="17751" xr:uid="{00000000-0005-0000-0000-000086450000}"/>
    <cellStyle name="40% - Accent3 3 3 3 2 3 2" xfId="17752" xr:uid="{00000000-0005-0000-0000-000087450000}"/>
    <cellStyle name="40% - Accent3 3 3 3 2 3 2 2" xfId="17753" xr:uid="{00000000-0005-0000-0000-000088450000}"/>
    <cellStyle name="40% - Accent3 3 3 3 2 3 3" xfId="17754" xr:uid="{00000000-0005-0000-0000-000089450000}"/>
    <cellStyle name="40% - Accent3 3 3 3 2 4" xfId="17755" xr:uid="{00000000-0005-0000-0000-00008A450000}"/>
    <cellStyle name="40% - Accent3 3 3 3 2 4 2" xfId="17756" xr:uid="{00000000-0005-0000-0000-00008B450000}"/>
    <cellStyle name="40% - Accent3 3 3 3 2 5" xfId="17757" xr:uid="{00000000-0005-0000-0000-00008C450000}"/>
    <cellStyle name="40% - Accent3 3 3 3 3" xfId="17758" xr:uid="{00000000-0005-0000-0000-00008D450000}"/>
    <cellStyle name="40% - Accent3 3 3 3 3 2" xfId="17759" xr:uid="{00000000-0005-0000-0000-00008E450000}"/>
    <cellStyle name="40% - Accent3 3 3 3 3 2 2" xfId="17760" xr:uid="{00000000-0005-0000-0000-00008F450000}"/>
    <cellStyle name="40% - Accent3 3 3 3 3 2 2 2" xfId="17761" xr:uid="{00000000-0005-0000-0000-000090450000}"/>
    <cellStyle name="40% - Accent3 3 3 3 3 2 3" xfId="17762" xr:uid="{00000000-0005-0000-0000-000091450000}"/>
    <cellStyle name="40% - Accent3 3 3 3 3 3" xfId="17763" xr:uid="{00000000-0005-0000-0000-000092450000}"/>
    <cellStyle name="40% - Accent3 3 3 3 3 3 2" xfId="17764" xr:uid="{00000000-0005-0000-0000-000093450000}"/>
    <cellStyle name="40% - Accent3 3 3 3 3 4" xfId="17765" xr:uid="{00000000-0005-0000-0000-000094450000}"/>
    <cellStyle name="40% - Accent3 3 3 3 4" xfId="17766" xr:uid="{00000000-0005-0000-0000-000095450000}"/>
    <cellStyle name="40% - Accent3 3 3 3 4 2" xfId="17767" xr:uid="{00000000-0005-0000-0000-000096450000}"/>
    <cellStyle name="40% - Accent3 3 3 3 4 2 2" xfId="17768" xr:uid="{00000000-0005-0000-0000-000097450000}"/>
    <cellStyle name="40% - Accent3 3 3 3 4 3" xfId="17769" xr:uid="{00000000-0005-0000-0000-000098450000}"/>
    <cellStyle name="40% - Accent3 3 3 3 5" xfId="17770" xr:uid="{00000000-0005-0000-0000-000099450000}"/>
    <cellStyle name="40% - Accent3 3 3 3 5 2" xfId="17771" xr:uid="{00000000-0005-0000-0000-00009A450000}"/>
    <cellStyle name="40% - Accent3 3 3 3 6" xfId="17772" xr:uid="{00000000-0005-0000-0000-00009B450000}"/>
    <cellStyle name="40% - Accent3 3 3 4" xfId="17773" xr:uid="{00000000-0005-0000-0000-00009C450000}"/>
    <cellStyle name="40% - Accent3 3 3 4 2" xfId="17774" xr:uid="{00000000-0005-0000-0000-00009D450000}"/>
    <cellStyle name="40% - Accent3 3 3 4 2 2" xfId="17775" xr:uid="{00000000-0005-0000-0000-00009E450000}"/>
    <cellStyle name="40% - Accent3 3 3 4 2 2 2" xfId="17776" xr:uid="{00000000-0005-0000-0000-00009F450000}"/>
    <cellStyle name="40% - Accent3 3 3 4 2 2 2 2" xfId="17777" xr:uid="{00000000-0005-0000-0000-0000A0450000}"/>
    <cellStyle name="40% - Accent3 3 3 4 2 2 3" xfId="17778" xr:uid="{00000000-0005-0000-0000-0000A1450000}"/>
    <cellStyle name="40% - Accent3 3 3 4 2 3" xfId="17779" xr:uid="{00000000-0005-0000-0000-0000A2450000}"/>
    <cellStyle name="40% - Accent3 3 3 4 2 3 2" xfId="17780" xr:uid="{00000000-0005-0000-0000-0000A3450000}"/>
    <cellStyle name="40% - Accent3 3 3 4 2 4" xfId="17781" xr:uid="{00000000-0005-0000-0000-0000A4450000}"/>
    <cellStyle name="40% - Accent3 3 3 4 3" xfId="17782" xr:uid="{00000000-0005-0000-0000-0000A5450000}"/>
    <cellStyle name="40% - Accent3 3 3 4 3 2" xfId="17783" xr:uid="{00000000-0005-0000-0000-0000A6450000}"/>
    <cellStyle name="40% - Accent3 3 3 4 3 2 2" xfId="17784" xr:uid="{00000000-0005-0000-0000-0000A7450000}"/>
    <cellStyle name="40% - Accent3 3 3 4 3 3" xfId="17785" xr:uid="{00000000-0005-0000-0000-0000A8450000}"/>
    <cellStyle name="40% - Accent3 3 3 4 4" xfId="17786" xr:uid="{00000000-0005-0000-0000-0000A9450000}"/>
    <cellStyle name="40% - Accent3 3 3 4 4 2" xfId="17787" xr:uid="{00000000-0005-0000-0000-0000AA450000}"/>
    <cellStyle name="40% - Accent3 3 3 4 5" xfId="17788" xr:uid="{00000000-0005-0000-0000-0000AB450000}"/>
    <cellStyle name="40% - Accent3 3 3 5" xfId="17789" xr:uid="{00000000-0005-0000-0000-0000AC450000}"/>
    <cellStyle name="40% - Accent3 3 3 5 2" xfId="17790" xr:uid="{00000000-0005-0000-0000-0000AD450000}"/>
    <cellStyle name="40% - Accent3 3 3 5 2 2" xfId="17791" xr:uid="{00000000-0005-0000-0000-0000AE450000}"/>
    <cellStyle name="40% - Accent3 3 3 5 2 2 2" xfId="17792" xr:uid="{00000000-0005-0000-0000-0000AF450000}"/>
    <cellStyle name="40% - Accent3 3 3 5 2 3" xfId="17793" xr:uid="{00000000-0005-0000-0000-0000B0450000}"/>
    <cellStyle name="40% - Accent3 3 3 5 3" xfId="17794" xr:uid="{00000000-0005-0000-0000-0000B1450000}"/>
    <cellStyle name="40% - Accent3 3 3 5 3 2" xfId="17795" xr:uid="{00000000-0005-0000-0000-0000B2450000}"/>
    <cellStyle name="40% - Accent3 3 3 5 4" xfId="17796" xr:uid="{00000000-0005-0000-0000-0000B3450000}"/>
    <cellStyle name="40% - Accent3 3 3 6" xfId="17797" xr:uid="{00000000-0005-0000-0000-0000B4450000}"/>
    <cellStyle name="40% - Accent3 3 3 6 2" xfId="17798" xr:uid="{00000000-0005-0000-0000-0000B5450000}"/>
    <cellStyle name="40% - Accent3 3 3 6 2 2" xfId="17799" xr:uid="{00000000-0005-0000-0000-0000B6450000}"/>
    <cellStyle name="40% - Accent3 3 3 6 3" xfId="17800" xr:uid="{00000000-0005-0000-0000-0000B7450000}"/>
    <cellStyle name="40% - Accent3 3 3 7" xfId="17801" xr:uid="{00000000-0005-0000-0000-0000B8450000}"/>
    <cellStyle name="40% - Accent3 3 3 7 2" xfId="17802" xr:uid="{00000000-0005-0000-0000-0000B9450000}"/>
    <cellStyle name="40% - Accent3 3 3 8" xfId="17803" xr:uid="{00000000-0005-0000-0000-0000BA450000}"/>
    <cellStyle name="40% - Accent3 3 4" xfId="17804" xr:uid="{00000000-0005-0000-0000-0000BB450000}"/>
    <cellStyle name="40% - Accent3 3 4 2" xfId="17805" xr:uid="{00000000-0005-0000-0000-0000BC450000}"/>
    <cellStyle name="40% - Accent3 3 4 2 2" xfId="17806" xr:uid="{00000000-0005-0000-0000-0000BD450000}"/>
    <cellStyle name="40% - Accent3 3 4 2 2 2" xfId="17807" xr:uid="{00000000-0005-0000-0000-0000BE450000}"/>
    <cellStyle name="40% - Accent3 3 4 2 2 2 2" xfId="17808" xr:uid="{00000000-0005-0000-0000-0000BF450000}"/>
    <cellStyle name="40% - Accent3 3 4 2 2 2 2 2" xfId="17809" xr:uid="{00000000-0005-0000-0000-0000C0450000}"/>
    <cellStyle name="40% - Accent3 3 4 2 2 2 2 2 2" xfId="17810" xr:uid="{00000000-0005-0000-0000-0000C1450000}"/>
    <cellStyle name="40% - Accent3 3 4 2 2 2 2 3" xfId="17811" xr:uid="{00000000-0005-0000-0000-0000C2450000}"/>
    <cellStyle name="40% - Accent3 3 4 2 2 2 3" xfId="17812" xr:uid="{00000000-0005-0000-0000-0000C3450000}"/>
    <cellStyle name="40% - Accent3 3 4 2 2 2 3 2" xfId="17813" xr:uid="{00000000-0005-0000-0000-0000C4450000}"/>
    <cellStyle name="40% - Accent3 3 4 2 2 2 4" xfId="17814" xr:uid="{00000000-0005-0000-0000-0000C5450000}"/>
    <cellStyle name="40% - Accent3 3 4 2 2 3" xfId="17815" xr:uid="{00000000-0005-0000-0000-0000C6450000}"/>
    <cellStyle name="40% - Accent3 3 4 2 2 3 2" xfId="17816" xr:uid="{00000000-0005-0000-0000-0000C7450000}"/>
    <cellStyle name="40% - Accent3 3 4 2 2 3 2 2" xfId="17817" xr:uid="{00000000-0005-0000-0000-0000C8450000}"/>
    <cellStyle name="40% - Accent3 3 4 2 2 3 3" xfId="17818" xr:uid="{00000000-0005-0000-0000-0000C9450000}"/>
    <cellStyle name="40% - Accent3 3 4 2 2 4" xfId="17819" xr:uid="{00000000-0005-0000-0000-0000CA450000}"/>
    <cellStyle name="40% - Accent3 3 4 2 2 4 2" xfId="17820" xr:uid="{00000000-0005-0000-0000-0000CB450000}"/>
    <cellStyle name="40% - Accent3 3 4 2 2 5" xfId="17821" xr:uid="{00000000-0005-0000-0000-0000CC450000}"/>
    <cellStyle name="40% - Accent3 3 4 2 3" xfId="17822" xr:uid="{00000000-0005-0000-0000-0000CD450000}"/>
    <cellStyle name="40% - Accent3 3 4 2 3 2" xfId="17823" xr:uid="{00000000-0005-0000-0000-0000CE450000}"/>
    <cellStyle name="40% - Accent3 3 4 2 3 2 2" xfId="17824" xr:uid="{00000000-0005-0000-0000-0000CF450000}"/>
    <cellStyle name="40% - Accent3 3 4 2 3 2 2 2" xfId="17825" xr:uid="{00000000-0005-0000-0000-0000D0450000}"/>
    <cellStyle name="40% - Accent3 3 4 2 3 2 3" xfId="17826" xr:uid="{00000000-0005-0000-0000-0000D1450000}"/>
    <cellStyle name="40% - Accent3 3 4 2 3 3" xfId="17827" xr:uid="{00000000-0005-0000-0000-0000D2450000}"/>
    <cellStyle name="40% - Accent3 3 4 2 3 3 2" xfId="17828" xr:uid="{00000000-0005-0000-0000-0000D3450000}"/>
    <cellStyle name="40% - Accent3 3 4 2 3 4" xfId="17829" xr:uid="{00000000-0005-0000-0000-0000D4450000}"/>
    <cellStyle name="40% - Accent3 3 4 2 4" xfId="17830" xr:uid="{00000000-0005-0000-0000-0000D5450000}"/>
    <cellStyle name="40% - Accent3 3 4 2 4 2" xfId="17831" xr:uid="{00000000-0005-0000-0000-0000D6450000}"/>
    <cellStyle name="40% - Accent3 3 4 2 4 2 2" xfId="17832" xr:uid="{00000000-0005-0000-0000-0000D7450000}"/>
    <cellStyle name="40% - Accent3 3 4 2 4 3" xfId="17833" xr:uid="{00000000-0005-0000-0000-0000D8450000}"/>
    <cellStyle name="40% - Accent3 3 4 2 5" xfId="17834" xr:uid="{00000000-0005-0000-0000-0000D9450000}"/>
    <cellStyle name="40% - Accent3 3 4 2 5 2" xfId="17835" xr:uid="{00000000-0005-0000-0000-0000DA450000}"/>
    <cellStyle name="40% - Accent3 3 4 2 6" xfId="17836" xr:uid="{00000000-0005-0000-0000-0000DB450000}"/>
    <cellStyle name="40% - Accent3 3 4 3" xfId="17837" xr:uid="{00000000-0005-0000-0000-0000DC450000}"/>
    <cellStyle name="40% - Accent3 3 4 3 2" xfId="17838" xr:uid="{00000000-0005-0000-0000-0000DD450000}"/>
    <cellStyle name="40% - Accent3 3 4 3 2 2" xfId="17839" xr:uid="{00000000-0005-0000-0000-0000DE450000}"/>
    <cellStyle name="40% - Accent3 3 4 3 2 2 2" xfId="17840" xr:uid="{00000000-0005-0000-0000-0000DF450000}"/>
    <cellStyle name="40% - Accent3 3 4 3 2 2 2 2" xfId="17841" xr:uid="{00000000-0005-0000-0000-0000E0450000}"/>
    <cellStyle name="40% - Accent3 3 4 3 2 2 3" xfId="17842" xr:uid="{00000000-0005-0000-0000-0000E1450000}"/>
    <cellStyle name="40% - Accent3 3 4 3 2 3" xfId="17843" xr:uid="{00000000-0005-0000-0000-0000E2450000}"/>
    <cellStyle name="40% - Accent3 3 4 3 2 3 2" xfId="17844" xr:uid="{00000000-0005-0000-0000-0000E3450000}"/>
    <cellStyle name="40% - Accent3 3 4 3 2 4" xfId="17845" xr:uid="{00000000-0005-0000-0000-0000E4450000}"/>
    <cellStyle name="40% - Accent3 3 4 3 3" xfId="17846" xr:uid="{00000000-0005-0000-0000-0000E5450000}"/>
    <cellStyle name="40% - Accent3 3 4 3 3 2" xfId="17847" xr:uid="{00000000-0005-0000-0000-0000E6450000}"/>
    <cellStyle name="40% - Accent3 3 4 3 3 2 2" xfId="17848" xr:uid="{00000000-0005-0000-0000-0000E7450000}"/>
    <cellStyle name="40% - Accent3 3 4 3 3 3" xfId="17849" xr:uid="{00000000-0005-0000-0000-0000E8450000}"/>
    <cellStyle name="40% - Accent3 3 4 3 4" xfId="17850" xr:uid="{00000000-0005-0000-0000-0000E9450000}"/>
    <cellStyle name="40% - Accent3 3 4 3 4 2" xfId="17851" xr:uid="{00000000-0005-0000-0000-0000EA450000}"/>
    <cellStyle name="40% - Accent3 3 4 3 5" xfId="17852" xr:uid="{00000000-0005-0000-0000-0000EB450000}"/>
    <cellStyle name="40% - Accent3 3 4 4" xfId="17853" xr:uid="{00000000-0005-0000-0000-0000EC450000}"/>
    <cellStyle name="40% - Accent3 3 4 4 2" xfId="17854" xr:uid="{00000000-0005-0000-0000-0000ED450000}"/>
    <cellStyle name="40% - Accent3 3 4 4 2 2" xfId="17855" xr:uid="{00000000-0005-0000-0000-0000EE450000}"/>
    <cellStyle name="40% - Accent3 3 4 4 2 2 2" xfId="17856" xr:uid="{00000000-0005-0000-0000-0000EF450000}"/>
    <cellStyle name="40% - Accent3 3 4 4 2 3" xfId="17857" xr:uid="{00000000-0005-0000-0000-0000F0450000}"/>
    <cellStyle name="40% - Accent3 3 4 4 3" xfId="17858" xr:uid="{00000000-0005-0000-0000-0000F1450000}"/>
    <cellStyle name="40% - Accent3 3 4 4 3 2" xfId="17859" xr:uid="{00000000-0005-0000-0000-0000F2450000}"/>
    <cellStyle name="40% - Accent3 3 4 4 4" xfId="17860" xr:uid="{00000000-0005-0000-0000-0000F3450000}"/>
    <cellStyle name="40% - Accent3 3 4 5" xfId="17861" xr:uid="{00000000-0005-0000-0000-0000F4450000}"/>
    <cellStyle name="40% - Accent3 3 4 5 2" xfId="17862" xr:uid="{00000000-0005-0000-0000-0000F5450000}"/>
    <cellStyle name="40% - Accent3 3 4 5 2 2" xfId="17863" xr:uid="{00000000-0005-0000-0000-0000F6450000}"/>
    <cellStyle name="40% - Accent3 3 4 5 3" xfId="17864" xr:uid="{00000000-0005-0000-0000-0000F7450000}"/>
    <cellStyle name="40% - Accent3 3 4 6" xfId="17865" xr:uid="{00000000-0005-0000-0000-0000F8450000}"/>
    <cellStyle name="40% - Accent3 3 4 6 2" xfId="17866" xr:uid="{00000000-0005-0000-0000-0000F9450000}"/>
    <cellStyle name="40% - Accent3 3 4 7" xfId="17867" xr:uid="{00000000-0005-0000-0000-0000FA450000}"/>
    <cellStyle name="40% - Accent3 3 5" xfId="17868" xr:uid="{00000000-0005-0000-0000-0000FB450000}"/>
    <cellStyle name="40% - Accent3 3 5 2" xfId="17869" xr:uid="{00000000-0005-0000-0000-0000FC450000}"/>
    <cellStyle name="40% - Accent3 3 5 2 2" xfId="17870" xr:uid="{00000000-0005-0000-0000-0000FD450000}"/>
    <cellStyle name="40% - Accent3 3 5 2 2 2" xfId="17871" xr:uid="{00000000-0005-0000-0000-0000FE450000}"/>
    <cellStyle name="40% - Accent3 3 5 2 2 2 2" xfId="17872" xr:uid="{00000000-0005-0000-0000-0000FF450000}"/>
    <cellStyle name="40% - Accent3 3 5 2 2 2 2 2" xfId="17873" xr:uid="{00000000-0005-0000-0000-000000460000}"/>
    <cellStyle name="40% - Accent3 3 5 2 2 2 3" xfId="17874" xr:uid="{00000000-0005-0000-0000-000001460000}"/>
    <cellStyle name="40% - Accent3 3 5 2 2 3" xfId="17875" xr:uid="{00000000-0005-0000-0000-000002460000}"/>
    <cellStyle name="40% - Accent3 3 5 2 2 3 2" xfId="17876" xr:uid="{00000000-0005-0000-0000-000003460000}"/>
    <cellStyle name="40% - Accent3 3 5 2 2 4" xfId="17877" xr:uid="{00000000-0005-0000-0000-000004460000}"/>
    <cellStyle name="40% - Accent3 3 5 2 3" xfId="17878" xr:uid="{00000000-0005-0000-0000-000005460000}"/>
    <cellStyle name="40% - Accent3 3 5 2 3 2" xfId="17879" xr:uid="{00000000-0005-0000-0000-000006460000}"/>
    <cellStyle name="40% - Accent3 3 5 2 3 2 2" xfId="17880" xr:uid="{00000000-0005-0000-0000-000007460000}"/>
    <cellStyle name="40% - Accent3 3 5 2 3 3" xfId="17881" xr:uid="{00000000-0005-0000-0000-000008460000}"/>
    <cellStyle name="40% - Accent3 3 5 2 4" xfId="17882" xr:uid="{00000000-0005-0000-0000-000009460000}"/>
    <cellStyle name="40% - Accent3 3 5 2 4 2" xfId="17883" xr:uid="{00000000-0005-0000-0000-00000A460000}"/>
    <cellStyle name="40% - Accent3 3 5 2 5" xfId="17884" xr:uid="{00000000-0005-0000-0000-00000B460000}"/>
    <cellStyle name="40% - Accent3 3 5 3" xfId="17885" xr:uid="{00000000-0005-0000-0000-00000C460000}"/>
    <cellStyle name="40% - Accent3 3 5 3 2" xfId="17886" xr:uid="{00000000-0005-0000-0000-00000D460000}"/>
    <cellStyle name="40% - Accent3 3 5 3 2 2" xfId="17887" xr:uid="{00000000-0005-0000-0000-00000E460000}"/>
    <cellStyle name="40% - Accent3 3 5 3 2 2 2" xfId="17888" xr:uid="{00000000-0005-0000-0000-00000F460000}"/>
    <cellStyle name="40% - Accent3 3 5 3 2 3" xfId="17889" xr:uid="{00000000-0005-0000-0000-000010460000}"/>
    <cellStyle name="40% - Accent3 3 5 3 3" xfId="17890" xr:uid="{00000000-0005-0000-0000-000011460000}"/>
    <cellStyle name="40% - Accent3 3 5 3 3 2" xfId="17891" xr:uid="{00000000-0005-0000-0000-000012460000}"/>
    <cellStyle name="40% - Accent3 3 5 3 4" xfId="17892" xr:uid="{00000000-0005-0000-0000-000013460000}"/>
    <cellStyle name="40% - Accent3 3 5 4" xfId="17893" xr:uid="{00000000-0005-0000-0000-000014460000}"/>
    <cellStyle name="40% - Accent3 3 5 4 2" xfId="17894" xr:uid="{00000000-0005-0000-0000-000015460000}"/>
    <cellStyle name="40% - Accent3 3 5 4 2 2" xfId="17895" xr:uid="{00000000-0005-0000-0000-000016460000}"/>
    <cellStyle name="40% - Accent3 3 5 4 3" xfId="17896" xr:uid="{00000000-0005-0000-0000-000017460000}"/>
    <cellStyle name="40% - Accent3 3 5 5" xfId="17897" xr:uid="{00000000-0005-0000-0000-000018460000}"/>
    <cellStyle name="40% - Accent3 3 5 5 2" xfId="17898" xr:uid="{00000000-0005-0000-0000-000019460000}"/>
    <cellStyle name="40% - Accent3 3 5 6" xfId="17899" xr:uid="{00000000-0005-0000-0000-00001A460000}"/>
    <cellStyle name="40% - Accent3 3 6" xfId="17900" xr:uid="{00000000-0005-0000-0000-00001B460000}"/>
    <cellStyle name="40% - Accent3 3 6 2" xfId="17901" xr:uid="{00000000-0005-0000-0000-00001C460000}"/>
    <cellStyle name="40% - Accent3 3 6 2 2" xfId="17902" xr:uid="{00000000-0005-0000-0000-00001D460000}"/>
    <cellStyle name="40% - Accent3 3 6 2 2 2" xfId="17903" xr:uid="{00000000-0005-0000-0000-00001E460000}"/>
    <cellStyle name="40% - Accent3 3 6 2 2 2 2" xfId="17904" xr:uid="{00000000-0005-0000-0000-00001F460000}"/>
    <cellStyle name="40% - Accent3 3 6 2 2 3" xfId="17905" xr:uid="{00000000-0005-0000-0000-000020460000}"/>
    <cellStyle name="40% - Accent3 3 6 2 3" xfId="17906" xr:uid="{00000000-0005-0000-0000-000021460000}"/>
    <cellStyle name="40% - Accent3 3 6 2 3 2" xfId="17907" xr:uid="{00000000-0005-0000-0000-000022460000}"/>
    <cellStyle name="40% - Accent3 3 6 2 4" xfId="17908" xr:uid="{00000000-0005-0000-0000-000023460000}"/>
    <cellStyle name="40% - Accent3 3 6 3" xfId="17909" xr:uid="{00000000-0005-0000-0000-000024460000}"/>
    <cellStyle name="40% - Accent3 3 6 3 2" xfId="17910" xr:uid="{00000000-0005-0000-0000-000025460000}"/>
    <cellStyle name="40% - Accent3 3 6 3 2 2" xfId="17911" xr:uid="{00000000-0005-0000-0000-000026460000}"/>
    <cellStyle name="40% - Accent3 3 6 3 3" xfId="17912" xr:uid="{00000000-0005-0000-0000-000027460000}"/>
    <cellStyle name="40% - Accent3 3 6 4" xfId="17913" xr:uid="{00000000-0005-0000-0000-000028460000}"/>
    <cellStyle name="40% - Accent3 3 6 4 2" xfId="17914" xr:uid="{00000000-0005-0000-0000-000029460000}"/>
    <cellStyle name="40% - Accent3 3 6 5" xfId="17915" xr:uid="{00000000-0005-0000-0000-00002A460000}"/>
    <cellStyle name="40% - Accent3 3 7" xfId="17916" xr:uid="{00000000-0005-0000-0000-00002B460000}"/>
    <cellStyle name="40% - Accent3 3 7 2" xfId="17917" xr:uid="{00000000-0005-0000-0000-00002C460000}"/>
    <cellStyle name="40% - Accent3 3 7 2 2" xfId="17918" xr:uid="{00000000-0005-0000-0000-00002D460000}"/>
    <cellStyle name="40% - Accent3 3 7 2 2 2" xfId="17919" xr:uid="{00000000-0005-0000-0000-00002E460000}"/>
    <cellStyle name="40% - Accent3 3 7 2 3" xfId="17920" xr:uid="{00000000-0005-0000-0000-00002F460000}"/>
    <cellStyle name="40% - Accent3 3 7 3" xfId="17921" xr:uid="{00000000-0005-0000-0000-000030460000}"/>
    <cellStyle name="40% - Accent3 3 7 3 2" xfId="17922" xr:uid="{00000000-0005-0000-0000-000031460000}"/>
    <cellStyle name="40% - Accent3 3 7 4" xfId="17923" xr:uid="{00000000-0005-0000-0000-000032460000}"/>
    <cellStyle name="40% - Accent3 3 8" xfId="17924" xr:uid="{00000000-0005-0000-0000-000033460000}"/>
    <cellStyle name="40% - Accent3 3 8 2" xfId="17925" xr:uid="{00000000-0005-0000-0000-000034460000}"/>
    <cellStyle name="40% - Accent3 3 8 2 2" xfId="17926" xr:uid="{00000000-0005-0000-0000-000035460000}"/>
    <cellStyle name="40% - Accent3 3 8 3" xfId="17927" xr:uid="{00000000-0005-0000-0000-000036460000}"/>
    <cellStyle name="40% - Accent3 3 9" xfId="17928" xr:uid="{00000000-0005-0000-0000-000037460000}"/>
    <cellStyle name="40% - Accent3 3 9 2" xfId="17929" xr:uid="{00000000-0005-0000-0000-000038460000}"/>
    <cellStyle name="40% - Accent3 4" xfId="17930" xr:uid="{00000000-0005-0000-0000-000039460000}"/>
    <cellStyle name="40% - Accent3 4 2" xfId="17931" xr:uid="{00000000-0005-0000-0000-00003A460000}"/>
    <cellStyle name="40% - Accent3 4 2 2" xfId="17932" xr:uid="{00000000-0005-0000-0000-00003B460000}"/>
    <cellStyle name="40% - Accent3 4 2 2 2" xfId="17933" xr:uid="{00000000-0005-0000-0000-00003C460000}"/>
    <cellStyle name="40% - Accent3 4 2 2 2 2" xfId="17934" xr:uid="{00000000-0005-0000-0000-00003D460000}"/>
    <cellStyle name="40% - Accent3 4 2 2 2 2 2" xfId="17935" xr:uid="{00000000-0005-0000-0000-00003E460000}"/>
    <cellStyle name="40% - Accent3 4 2 2 2 2 2 2" xfId="17936" xr:uid="{00000000-0005-0000-0000-00003F460000}"/>
    <cellStyle name="40% - Accent3 4 2 2 2 2 2 2 2" xfId="17937" xr:uid="{00000000-0005-0000-0000-000040460000}"/>
    <cellStyle name="40% - Accent3 4 2 2 2 2 2 2 2 2" xfId="17938" xr:uid="{00000000-0005-0000-0000-000041460000}"/>
    <cellStyle name="40% - Accent3 4 2 2 2 2 2 2 3" xfId="17939" xr:uid="{00000000-0005-0000-0000-000042460000}"/>
    <cellStyle name="40% - Accent3 4 2 2 2 2 2 3" xfId="17940" xr:uid="{00000000-0005-0000-0000-000043460000}"/>
    <cellStyle name="40% - Accent3 4 2 2 2 2 2 3 2" xfId="17941" xr:uid="{00000000-0005-0000-0000-000044460000}"/>
    <cellStyle name="40% - Accent3 4 2 2 2 2 2 4" xfId="17942" xr:uid="{00000000-0005-0000-0000-000045460000}"/>
    <cellStyle name="40% - Accent3 4 2 2 2 2 3" xfId="17943" xr:uid="{00000000-0005-0000-0000-000046460000}"/>
    <cellStyle name="40% - Accent3 4 2 2 2 2 3 2" xfId="17944" xr:uid="{00000000-0005-0000-0000-000047460000}"/>
    <cellStyle name="40% - Accent3 4 2 2 2 2 3 2 2" xfId="17945" xr:uid="{00000000-0005-0000-0000-000048460000}"/>
    <cellStyle name="40% - Accent3 4 2 2 2 2 3 3" xfId="17946" xr:uid="{00000000-0005-0000-0000-000049460000}"/>
    <cellStyle name="40% - Accent3 4 2 2 2 2 4" xfId="17947" xr:uid="{00000000-0005-0000-0000-00004A460000}"/>
    <cellStyle name="40% - Accent3 4 2 2 2 2 4 2" xfId="17948" xr:uid="{00000000-0005-0000-0000-00004B460000}"/>
    <cellStyle name="40% - Accent3 4 2 2 2 2 5" xfId="17949" xr:uid="{00000000-0005-0000-0000-00004C460000}"/>
    <cellStyle name="40% - Accent3 4 2 2 2 3" xfId="17950" xr:uid="{00000000-0005-0000-0000-00004D460000}"/>
    <cellStyle name="40% - Accent3 4 2 2 2 3 2" xfId="17951" xr:uid="{00000000-0005-0000-0000-00004E460000}"/>
    <cellStyle name="40% - Accent3 4 2 2 2 3 2 2" xfId="17952" xr:uid="{00000000-0005-0000-0000-00004F460000}"/>
    <cellStyle name="40% - Accent3 4 2 2 2 3 2 2 2" xfId="17953" xr:uid="{00000000-0005-0000-0000-000050460000}"/>
    <cellStyle name="40% - Accent3 4 2 2 2 3 2 3" xfId="17954" xr:uid="{00000000-0005-0000-0000-000051460000}"/>
    <cellStyle name="40% - Accent3 4 2 2 2 3 3" xfId="17955" xr:uid="{00000000-0005-0000-0000-000052460000}"/>
    <cellStyle name="40% - Accent3 4 2 2 2 3 3 2" xfId="17956" xr:uid="{00000000-0005-0000-0000-000053460000}"/>
    <cellStyle name="40% - Accent3 4 2 2 2 3 4" xfId="17957" xr:uid="{00000000-0005-0000-0000-000054460000}"/>
    <cellStyle name="40% - Accent3 4 2 2 2 4" xfId="17958" xr:uid="{00000000-0005-0000-0000-000055460000}"/>
    <cellStyle name="40% - Accent3 4 2 2 2 4 2" xfId="17959" xr:uid="{00000000-0005-0000-0000-000056460000}"/>
    <cellStyle name="40% - Accent3 4 2 2 2 4 2 2" xfId="17960" xr:uid="{00000000-0005-0000-0000-000057460000}"/>
    <cellStyle name="40% - Accent3 4 2 2 2 4 3" xfId="17961" xr:uid="{00000000-0005-0000-0000-000058460000}"/>
    <cellStyle name="40% - Accent3 4 2 2 2 5" xfId="17962" xr:uid="{00000000-0005-0000-0000-000059460000}"/>
    <cellStyle name="40% - Accent3 4 2 2 2 5 2" xfId="17963" xr:uid="{00000000-0005-0000-0000-00005A460000}"/>
    <cellStyle name="40% - Accent3 4 2 2 2 6" xfId="17964" xr:uid="{00000000-0005-0000-0000-00005B460000}"/>
    <cellStyle name="40% - Accent3 4 2 2 3" xfId="17965" xr:uid="{00000000-0005-0000-0000-00005C460000}"/>
    <cellStyle name="40% - Accent3 4 2 2 3 2" xfId="17966" xr:uid="{00000000-0005-0000-0000-00005D460000}"/>
    <cellStyle name="40% - Accent3 4 2 2 3 2 2" xfId="17967" xr:uid="{00000000-0005-0000-0000-00005E460000}"/>
    <cellStyle name="40% - Accent3 4 2 2 3 2 2 2" xfId="17968" xr:uid="{00000000-0005-0000-0000-00005F460000}"/>
    <cellStyle name="40% - Accent3 4 2 2 3 2 2 2 2" xfId="17969" xr:uid="{00000000-0005-0000-0000-000060460000}"/>
    <cellStyle name="40% - Accent3 4 2 2 3 2 2 3" xfId="17970" xr:uid="{00000000-0005-0000-0000-000061460000}"/>
    <cellStyle name="40% - Accent3 4 2 2 3 2 3" xfId="17971" xr:uid="{00000000-0005-0000-0000-000062460000}"/>
    <cellStyle name="40% - Accent3 4 2 2 3 2 3 2" xfId="17972" xr:uid="{00000000-0005-0000-0000-000063460000}"/>
    <cellStyle name="40% - Accent3 4 2 2 3 2 4" xfId="17973" xr:uid="{00000000-0005-0000-0000-000064460000}"/>
    <cellStyle name="40% - Accent3 4 2 2 3 3" xfId="17974" xr:uid="{00000000-0005-0000-0000-000065460000}"/>
    <cellStyle name="40% - Accent3 4 2 2 3 3 2" xfId="17975" xr:uid="{00000000-0005-0000-0000-000066460000}"/>
    <cellStyle name="40% - Accent3 4 2 2 3 3 2 2" xfId="17976" xr:uid="{00000000-0005-0000-0000-000067460000}"/>
    <cellStyle name="40% - Accent3 4 2 2 3 3 3" xfId="17977" xr:uid="{00000000-0005-0000-0000-000068460000}"/>
    <cellStyle name="40% - Accent3 4 2 2 3 4" xfId="17978" xr:uid="{00000000-0005-0000-0000-000069460000}"/>
    <cellStyle name="40% - Accent3 4 2 2 3 4 2" xfId="17979" xr:uid="{00000000-0005-0000-0000-00006A460000}"/>
    <cellStyle name="40% - Accent3 4 2 2 3 5" xfId="17980" xr:uid="{00000000-0005-0000-0000-00006B460000}"/>
    <cellStyle name="40% - Accent3 4 2 2 4" xfId="17981" xr:uid="{00000000-0005-0000-0000-00006C460000}"/>
    <cellStyle name="40% - Accent3 4 2 2 4 2" xfId="17982" xr:uid="{00000000-0005-0000-0000-00006D460000}"/>
    <cellStyle name="40% - Accent3 4 2 2 4 2 2" xfId="17983" xr:uid="{00000000-0005-0000-0000-00006E460000}"/>
    <cellStyle name="40% - Accent3 4 2 2 4 2 2 2" xfId="17984" xr:uid="{00000000-0005-0000-0000-00006F460000}"/>
    <cellStyle name="40% - Accent3 4 2 2 4 2 3" xfId="17985" xr:uid="{00000000-0005-0000-0000-000070460000}"/>
    <cellStyle name="40% - Accent3 4 2 2 4 3" xfId="17986" xr:uid="{00000000-0005-0000-0000-000071460000}"/>
    <cellStyle name="40% - Accent3 4 2 2 4 3 2" xfId="17987" xr:uid="{00000000-0005-0000-0000-000072460000}"/>
    <cellStyle name="40% - Accent3 4 2 2 4 4" xfId="17988" xr:uid="{00000000-0005-0000-0000-000073460000}"/>
    <cellStyle name="40% - Accent3 4 2 2 5" xfId="17989" xr:uid="{00000000-0005-0000-0000-000074460000}"/>
    <cellStyle name="40% - Accent3 4 2 2 5 2" xfId="17990" xr:uid="{00000000-0005-0000-0000-000075460000}"/>
    <cellStyle name="40% - Accent3 4 2 2 5 2 2" xfId="17991" xr:uid="{00000000-0005-0000-0000-000076460000}"/>
    <cellStyle name="40% - Accent3 4 2 2 5 3" xfId="17992" xr:uid="{00000000-0005-0000-0000-000077460000}"/>
    <cellStyle name="40% - Accent3 4 2 2 6" xfId="17993" xr:uid="{00000000-0005-0000-0000-000078460000}"/>
    <cellStyle name="40% - Accent3 4 2 2 6 2" xfId="17994" xr:uid="{00000000-0005-0000-0000-000079460000}"/>
    <cellStyle name="40% - Accent3 4 2 2 7" xfId="17995" xr:uid="{00000000-0005-0000-0000-00007A460000}"/>
    <cellStyle name="40% - Accent3 4 2 3" xfId="17996" xr:uid="{00000000-0005-0000-0000-00007B460000}"/>
    <cellStyle name="40% - Accent3 4 2 3 2" xfId="17997" xr:uid="{00000000-0005-0000-0000-00007C460000}"/>
    <cellStyle name="40% - Accent3 4 2 3 2 2" xfId="17998" xr:uid="{00000000-0005-0000-0000-00007D460000}"/>
    <cellStyle name="40% - Accent3 4 2 3 2 2 2" xfId="17999" xr:uid="{00000000-0005-0000-0000-00007E460000}"/>
    <cellStyle name="40% - Accent3 4 2 3 2 2 2 2" xfId="18000" xr:uid="{00000000-0005-0000-0000-00007F460000}"/>
    <cellStyle name="40% - Accent3 4 2 3 2 2 2 2 2" xfId="18001" xr:uid="{00000000-0005-0000-0000-000080460000}"/>
    <cellStyle name="40% - Accent3 4 2 3 2 2 2 3" xfId="18002" xr:uid="{00000000-0005-0000-0000-000081460000}"/>
    <cellStyle name="40% - Accent3 4 2 3 2 2 3" xfId="18003" xr:uid="{00000000-0005-0000-0000-000082460000}"/>
    <cellStyle name="40% - Accent3 4 2 3 2 2 3 2" xfId="18004" xr:uid="{00000000-0005-0000-0000-000083460000}"/>
    <cellStyle name="40% - Accent3 4 2 3 2 2 4" xfId="18005" xr:uid="{00000000-0005-0000-0000-000084460000}"/>
    <cellStyle name="40% - Accent3 4 2 3 2 3" xfId="18006" xr:uid="{00000000-0005-0000-0000-000085460000}"/>
    <cellStyle name="40% - Accent3 4 2 3 2 3 2" xfId="18007" xr:uid="{00000000-0005-0000-0000-000086460000}"/>
    <cellStyle name="40% - Accent3 4 2 3 2 3 2 2" xfId="18008" xr:uid="{00000000-0005-0000-0000-000087460000}"/>
    <cellStyle name="40% - Accent3 4 2 3 2 3 3" xfId="18009" xr:uid="{00000000-0005-0000-0000-000088460000}"/>
    <cellStyle name="40% - Accent3 4 2 3 2 4" xfId="18010" xr:uid="{00000000-0005-0000-0000-000089460000}"/>
    <cellStyle name="40% - Accent3 4 2 3 2 4 2" xfId="18011" xr:uid="{00000000-0005-0000-0000-00008A460000}"/>
    <cellStyle name="40% - Accent3 4 2 3 2 5" xfId="18012" xr:uid="{00000000-0005-0000-0000-00008B460000}"/>
    <cellStyle name="40% - Accent3 4 2 3 3" xfId="18013" xr:uid="{00000000-0005-0000-0000-00008C460000}"/>
    <cellStyle name="40% - Accent3 4 2 3 3 2" xfId="18014" xr:uid="{00000000-0005-0000-0000-00008D460000}"/>
    <cellStyle name="40% - Accent3 4 2 3 3 2 2" xfId="18015" xr:uid="{00000000-0005-0000-0000-00008E460000}"/>
    <cellStyle name="40% - Accent3 4 2 3 3 2 2 2" xfId="18016" xr:uid="{00000000-0005-0000-0000-00008F460000}"/>
    <cellStyle name="40% - Accent3 4 2 3 3 2 3" xfId="18017" xr:uid="{00000000-0005-0000-0000-000090460000}"/>
    <cellStyle name="40% - Accent3 4 2 3 3 3" xfId="18018" xr:uid="{00000000-0005-0000-0000-000091460000}"/>
    <cellStyle name="40% - Accent3 4 2 3 3 3 2" xfId="18019" xr:uid="{00000000-0005-0000-0000-000092460000}"/>
    <cellStyle name="40% - Accent3 4 2 3 3 4" xfId="18020" xr:uid="{00000000-0005-0000-0000-000093460000}"/>
    <cellStyle name="40% - Accent3 4 2 3 4" xfId="18021" xr:uid="{00000000-0005-0000-0000-000094460000}"/>
    <cellStyle name="40% - Accent3 4 2 3 4 2" xfId="18022" xr:uid="{00000000-0005-0000-0000-000095460000}"/>
    <cellStyle name="40% - Accent3 4 2 3 4 2 2" xfId="18023" xr:uid="{00000000-0005-0000-0000-000096460000}"/>
    <cellStyle name="40% - Accent3 4 2 3 4 3" xfId="18024" xr:uid="{00000000-0005-0000-0000-000097460000}"/>
    <cellStyle name="40% - Accent3 4 2 3 5" xfId="18025" xr:uid="{00000000-0005-0000-0000-000098460000}"/>
    <cellStyle name="40% - Accent3 4 2 3 5 2" xfId="18026" xr:uid="{00000000-0005-0000-0000-000099460000}"/>
    <cellStyle name="40% - Accent3 4 2 3 6" xfId="18027" xr:uid="{00000000-0005-0000-0000-00009A460000}"/>
    <cellStyle name="40% - Accent3 4 2 4" xfId="18028" xr:uid="{00000000-0005-0000-0000-00009B460000}"/>
    <cellStyle name="40% - Accent3 4 2 4 2" xfId="18029" xr:uid="{00000000-0005-0000-0000-00009C460000}"/>
    <cellStyle name="40% - Accent3 4 2 4 2 2" xfId="18030" xr:uid="{00000000-0005-0000-0000-00009D460000}"/>
    <cellStyle name="40% - Accent3 4 2 4 2 2 2" xfId="18031" xr:uid="{00000000-0005-0000-0000-00009E460000}"/>
    <cellStyle name="40% - Accent3 4 2 4 2 2 2 2" xfId="18032" xr:uid="{00000000-0005-0000-0000-00009F460000}"/>
    <cellStyle name="40% - Accent3 4 2 4 2 2 3" xfId="18033" xr:uid="{00000000-0005-0000-0000-0000A0460000}"/>
    <cellStyle name="40% - Accent3 4 2 4 2 3" xfId="18034" xr:uid="{00000000-0005-0000-0000-0000A1460000}"/>
    <cellStyle name="40% - Accent3 4 2 4 2 3 2" xfId="18035" xr:uid="{00000000-0005-0000-0000-0000A2460000}"/>
    <cellStyle name="40% - Accent3 4 2 4 2 4" xfId="18036" xr:uid="{00000000-0005-0000-0000-0000A3460000}"/>
    <cellStyle name="40% - Accent3 4 2 4 3" xfId="18037" xr:uid="{00000000-0005-0000-0000-0000A4460000}"/>
    <cellStyle name="40% - Accent3 4 2 4 3 2" xfId="18038" xr:uid="{00000000-0005-0000-0000-0000A5460000}"/>
    <cellStyle name="40% - Accent3 4 2 4 3 2 2" xfId="18039" xr:uid="{00000000-0005-0000-0000-0000A6460000}"/>
    <cellStyle name="40% - Accent3 4 2 4 3 3" xfId="18040" xr:uid="{00000000-0005-0000-0000-0000A7460000}"/>
    <cellStyle name="40% - Accent3 4 2 4 4" xfId="18041" xr:uid="{00000000-0005-0000-0000-0000A8460000}"/>
    <cellStyle name="40% - Accent3 4 2 4 4 2" xfId="18042" xr:uid="{00000000-0005-0000-0000-0000A9460000}"/>
    <cellStyle name="40% - Accent3 4 2 4 5" xfId="18043" xr:uid="{00000000-0005-0000-0000-0000AA460000}"/>
    <cellStyle name="40% - Accent3 4 2 5" xfId="18044" xr:uid="{00000000-0005-0000-0000-0000AB460000}"/>
    <cellStyle name="40% - Accent3 4 2 5 2" xfId="18045" xr:uid="{00000000-0005-0000-0000-0000AC460000}"/>
    <cellStyle name="40% - Accent3 4 2 5 2 2" xfId="18046" xr:uid="{00000000-0005-0000-0000-0000AD460000}"/>
    <cellStyle name="40% - Accent3 4 2 5 2 2 2" xfId="18047" xr:uid="{00000000-0005-0000-0000-0000AE460000}"/>
    <cellStyle name="40% - Accent3 4 2 5 2 3" xfId="18048" xr:uid="{00000000-0005-0000-0000-0000AF460000}"/>
    <cellStyle name="40% - Accent3 4 2 5 3" xfId="18049" xr:uid="{00000000-0005-0000-0000-0000B0460000}"/>
    <cellStyle name="40% - Accent3 4 2 5 3 2" xfId="18050" xr:uid="{00000000-0005-0000-0000-0000B1460000}"/>
    <cellStyle name="40% - Accent3 4 2 5 4" xfId="18051" xr:uid="{00000000-0005-0000-0000-0000B2460000}"/>
    <cellStyle name="40% - Accent3 4 2 6" xfId="18052" xr:uid="{00000000-0005-0000-0000-0000B3460000}"/>
    <cellStyle name="40% - Accent3 4 2 6 2" xfId="18053" xr:uid="{00000000-0005-0000-0000-0000B4460000}"/>
    <cellStyle name="40% - Accent3 4 2 6 2 2" xfId="18054" xr:uid="{00000000-0005-0000-0000-0000B5460000}"/>
    <cellStyle name="40% - Accent3 4 2 6 3" xfId="18055" xr:uid="{00000000-0005-0000-0000-0000B6460000}"/>
    <cellStyle name="40% - Accent3 4 2 7" xfId="18056" xr:uid="{00000000-0005-0000-0000-0000B7460000}"/>
    <cellStyle name="40% - Accent3 4 2 7 2" xfId="18057" xr:uid="{00000000-0005-0000-0000-0000B8460000}"/>
    <cellStyle name="40% - Accent3 4 2 8" xfId="18058" xr:uid="{00000000-0005-0000-0000-0000B9460000}"/>
    <cellStyle name="40% - Accent3 4 3" xfId="18059" xr:uid="{00000000-0005-0000-0000-0000BA460000}"/>
    <cellStyle name="40% - Accent3 4 3 2" xfId="18060" xr:uid="{00000000-0005-0000-0000-0000BB460000}"/>
    <cellStyle name="40% - Accent3 4 3 2 2" xfId="18061" xr:uid="{00000000-0005-0000-0000-0000BC460000}"/>
    <cellStyle name="40% - Accent3 4 3 2 2 2" xfId="18062" xr:uid="{00000000-0005-0000-0000-0000BD460000}"/>
    <cellStyle name="40% - Accent3 4 3 2 2 2 2" xfId="18063" xr:uid="{00000000-0005-0000-0000-0000BE460000}"/>
    <cellStyle name="40% - Accent3 4 3 2 2 2 2 2" xfId="18064" xr:uid="{00000000-0005-0000-0000-0000BF460000}"/>
    <cellStyle name="40% - Accent3 4 3 2 2 2 2 2 2" xfId="18065" xr:uid="{00000000-0005-0000-0000-0000C0460000}"/>
    <cellStyle name="40% - Accent3 4 3 2 2 2 2 3" xfId="18066" xr:uid="{00000000-0005-0000-0000-0000C1460000}"/>
    <cellStyle name="40% - Accent3 4 3 2 2 2 3" xfId="18067" xr:uid="{00000000-0005-0000-0000-0000C2460000}"/>
    <cellStyle name="40% - Accent3 4 3 2 2 2 3 2" xfId="18068" xr:uid="{00000000-0005-0000-0000-0000C3460000}"/>
    <cellStyle name="40% - Accent3 4 3 2 2 2 4" xfId="18069" xr:uid="{00000000-0005-0000-0000-0000C4460000}"/>
    <cellStyle name="40% - Accent3 4 3 2 2 3" xfId="18070" xr:uid="{00000000-0005-0000-0000-0000C5460000}"/>
    <cellStyle name="40% - Accent3 4 3 2 2 3 2" xfId="18071" xr:uid="{00000000-0005-0000-0000-0000C6460000}"/>
    <cellStyle name="40% - Accent3 4 3 2 2 3 2 2" xfId="18072" xr:uid="{00000000-0005-0000-0000-0000C7460000}"/>
    <cellStyle name="40% - Accent3 4 3 2 2 3 3" xfId="18073" xr:uid="{00000000-0005-0000-0000-0000C8460000}"/>
    <cellStyle name="40% - Accent3 4 3 2 2 4" xfId="18074" xr:uid="{00000000-0005-0000-0000-0000C9460000}"/>
    <cellStyle name="40% - Accent3 4 3 2 2 4 2" xfId="18075" xr:uid="{00000000-0005-0000-0000-0000CA460000}"/>
    <cellStyle name="40% - Accent3 4 3 2 2 5" xfId="18076" xr:uid="{00000000-0005-0000-0000-0000CB460000}"/>
    <cellStyle name="40% - Accent3 4 3 2 3" xfId="18077" xr:uid="{00000000-0005-0000-0000-0000CC460000}"/>
    <cellStyle name="40% - Accent3 4 3 2 3 2" xfId="18078" xr:uid="{00000000-0005-0000-0000-0000CD460000}"/>
    <cellStyle name="40% - Accent3 4 3 2 3 2 2" xfId="18079" xr:uid="{00000000-0005-0000-0000-0000CE460000}"/>
    <cellStyle name="40% - Accent3 4 3 2 3 2 2 2" xfId="18080" xr:uid="{00000000-0005-0000-0000-0000CF460000}"/>
    <cellStyle name="40% - Accent3 4 3 2 3 2 3" xfId="18081" xr:uid="{00000000-0005-0000-0000-0000D0460000}"/>
    <cellStyle name="40% - Accent3 4 3 2 3 3" xfId="18082" xr:uid="{00000000-0005-0000-0000-0000D1460000}"/>
    <cellStyle name="40% - Accent3 4 3 2 3 3 2" xfId="18083" xr:uid="{00000000-0005-0000-0000-0000D2460000}"/>
    <cellStyle name="40% - Accent3 4 3 2 3 4" xfId="18084" xr:uid="{00000000-0005-0000-0000-0000D3460000}"/>
    <cellStyle name="40% - Accent3 4 3 2 4" xfId="18085" xr:uid="{00000000-0005-0000-0000-0000D4460000}"/>
    <cellStyle name="40% - Accent3 4 3 2 4 2" xfId="18086" xr:uid="{00000000-0005-0000-0000-0000D5460000}"/>
    <cellStyle name="40% - Accent3 4 3 2 4 2 2" xfId="18087" xr:uid="{00000000-0005-0000-0000-0000D6460000}"/>
    <cellStyle name="40% - Accent3 4 3 2 4 3" xfId="18088" xr:uid="{00000000-0005-0000-0000-0000D7460000}"/>
    <cellStyle name="40% - Accent3 4 3 2 5" xfId="18089" xr:uid="{00000000-0005-0000-0000-0000D8460000}"/>
    <cellStyle name="40% - Accent3 4 3 2 5 2" xfId="18090" xr:uid="{00000000-0005-0000-0000-0000D9460000}"/>
    <cellStyle name="40% - Accent3 4 3 2 6" xfId="18091" xr:uid="{00000000-0005-0000-0000-0000DA460000}"/>
    <cellStyle name="40% - Accent3 4 3 3" xfId="18092" xr:uid="{00000000-0005-0000-0000-0000DB460000}"/>
    <cellStyle name="40% - Accent3 4 3 3 2" xfId="18093" xr:uid="{00000000-0005-0000-0000-0000DC460000}"/>
    <cellStyle name="40% - Accent3 4 3 3 2 2" xfId="18094" xr:uid="{00000000-0005-0000-0000-0000DD460000}"/>
    <cellStyle name="40% - Accent3 4 3 3 2 2 2" xfId="18095" xr:uid="{00000000-0005-0000-0000-0000DE460000}"/>
    <cellStyle name="40% - Accent3 4 3 3 2 2 2 2" xfId="18096" xr:uid="{00000000-0005-0000-0000-0000DF460000}"/>
    <cellStyle name="40% - Accent3 4 3 3 2 2 3" xfId="18097" xr:uid="{00000000-0005-0000-0000-0000E0460000}"/>
    <cellStyle name="40% - Accent3 4 3 3 2 3" xfId="18098" xr:uid="{00000000-0005-0000-0000-0000E1460000}"/>
    <cellStyle name="40% - Accent3 4 3 3 2 3 2" xfId="18099" xr:uid="{00000000-0005-0000-0000-0000E2460000}"/>
    <cellStyle name="40% - Accent3 4 3 3 2 4" xfId="18100" xr:uid="{00000000-0005-0000-0000-0000E3460000}"/>
    <cellStyle name="40% - Accent3 4 3 3 3" xfId="18101" xr:uid="{00000000-0005-0000-0000-0000E4460000}"/>
    <cellStyle name="40% - Accent3 4 3 3 3 2" xfId="18102" xr:uid="{00000000-0005-0000-0000-0000E5460000}"/>
    <cellStyle name="40% - Accent3 4 3 3 3 2 2" xfId="18103" xr:uid="{00000000-0005-0000-0000-0000E6460000}"/>
    <cellStyle name="40% - Accent3 4 3 3 3 3" xfId="18104" xr:uid="{00000000-0005-0000-0000-0000E7460000}"/>
    <cellStyle name="40% - Accent3 4 3 3 4" xfId="18105" xr:uid="{00000000-0005-0000-0000-0000E8460000}"/>
    <cellStyle name="40% - Accent3 4 3 3 4 2" xfId="18106" xr:uid="{00000000-0005-0000-0000-0000E9460000}"/>
    <cellStyle name="40% - Accent3 4 3 3 5" xfId="18107" xr:uid="{00000000-0005-0000-0000-0000EA460000}"/>
    <cellStyle name="40% - Accent3 4 3 4" xfId="18108" xr:uid="{00000000-0005-0000-0000-0000EB460000}"/>
    <cellStyle name="40% - Accent3 4 3 4 2" xfId="18109" xr:uid="{00000000-0005-0000-0000-0000EC460000}"/>
    <cellStyle name="40% - Accent3 4 3 4 2 2" xfId="18110" xr:uid="{00000000-0005-0000-0000-0000ED460000}"/>
    <cellStyle name="40% - Accent3 4 3 4 2 2 2" xfId="18111" xr:uid="{00000000-0005-0000-0000-0000EE460000}"/>
    <cellStyle name="40% - Accent3 4 3 4 2 3" xfId="18112" xr:uid="{00000000-0005-0000-0000-0000EF460000}"/>
    <cellStyle name="40% - Accent3 4 3 4 3" xfId="18113" xr:uid="{00000000-0005-0000-0000-0000F0460000}"/>
    <cellStyle name="40% - Accent3 4 3 4 3 2" xfId="18114" xr:uid="{00000000-0005-0000-0000-0000F1460000}"/>
    <cellStyle name="40% - Accent3 4 3 4 4" xfId="18115" xr:uid="{00000000-0005-0000-0000-0000F2460000}"/>
    <cellStyle name="40% - Accent3 4 3 5" xfId="18116" xr:uid="{00000000-0005-0000-0000-0000F3460000}"/>
    <cellStyle name="40% - Accent3 4 3 5 2" xfId="18117" xr:uid="{00000000-0005-0000-0000-0000F4460000}"/>
    <cellStyle name="40% - Accent3 4 3 5 2 2" xfId="18118" xr:uid="{00000000-0005-0000-0000-0000F5460000}"/>
    <cellStyle name="40% - Accent3 4 3 5 3" xfId="18119" xr:uid="{00000000-0005-0000-0000-0000F6460000}"/>
    <cellStyle name="40% - Accent3 4 3 6" xfId="18120" xr:uid="{00000000-0005-0000-0000-0000F7460000}"/>
    <cellStyle name="40% - Accent3 4 3 6 2" xfId="18121" xr:uid="{00000000-0005-0000-0000-0000F8460000}"/>
    <cellStyle name="40% - Accent3 4 3 7" xfId="18122" xr:uid="{00000000-0005-0000-0000-0000F9460000}"/>
    <cellStyle name="40% - Accent3 4 4" xfId="18123" xr:uid="{00000000-0005-0000-0000-0000FA460000}"/>
    <cellStyle name="40% - Accent3 4 4 2" xfId="18124" xr:uid="{00000000-0005-0000-0000-0000FB460000}"/>
    <cellStyle name="40% - Accent3 4 4 2 2" xfId="18125" xr:uid="{00000000-0005-0000-0000-0000FC460000}"/>
    <cellStyle name="40% - Accent3 4 4 2 2 2" xfId="18126" xr:uid="{00000000-0005-0000-0000-0000FD460000}"/>
    <cellStyle name="40% - Accent3 4 4 2 2 2 2" xfId="18127" xr:uid="{00000000-0005-0000-0000-0000FE460000}"/>
    <cellStyle name="40% - Accent3 4 4 2 2 2 2 2" xfId="18128" xr:uid="{00000000-0005-0000-0000-0000FF460000}"/>
    <cellStyle name="40% - Accent3 4 4 2 2 2 3" xfId="18129" xr:uid="{00000000-0005-0000-0000-000000470000}"/>
    <cellStyle name="40% - Accent3 4 4 2 2 3" xfId="18130" xr:uid="{00000000-0005-0000-0000-000001470000}"/>
    <cellStyle name="40% - Accent3 4 4 2 2 3 2" xfId="18131" xr:uid="{00000000-0005-0000-0000-000002470000}"/>
    <cellStyle name="40% - Accent3 4 4 2 2 4" xfId="18132" xr:uid="{00000000-0005-0000-0000-000003470000}"/>
    <cellStyle name="40% - Accent3 4 4 2 3" xfId="18133" xr:uid="{00000000-0005-0000-0000-000004470000}"/>
    <cellStyle name="40% - Accent3 4 4 2 3 2" xfId="18134" xr:uid="{00000000-0005-0000-0000-000005470000}"/>
    <cellStyle name="40% - Accent3 4 4 2 3 2 2" xfId="18135" xr:uid="{00000000-0005-0000-0000-000006470000}"/>
    <cellStyle name="40% - Accent3 4 4 2 3 3" xfId="18136" xr:uid="{00000000-0005-0000-0000-000007470000}"/>
    <cellStyle name="40% - Accent3 4 4 2 4" xfId="18137" xr:uid="{00000000-0005-0000-0000-000008470000}"/>
    <cellStyle name="40% - Accent3 4 4 2 4 2" xfId="18138" xr:uid="{00000000-0005-0000-0000-000009470000}"/>
    <cellStyle name="40% - Accent3 4 4 2 5" xfId="18139" xr:uid="{00000000-0005-0000-0000-00000A470000}"/>
    <cellStyle name="40% - Accent3 4 4 3" xfId="18140" xr:uid="{00000000-0005-0000-0000-00000B470000}"/>
    <cellStyle name="40% - Accent3 4 4 3 2" xfId="18141" xr:uid="{00000000-0005-0000-0000-00000C470000}"/>
    <cellStyle name="40% - Accent3 4 4 3 2 2" xfId="18142" xr:uid="{00000000-0005-0000-0000-00000D470000}"/>
    <cellStyle name="40% - Accent3 4 4 3 2 2 2" xfId="18143" xr:uid="{00000000-0005-0000-0000-00000E470000}"/>
    <cellStyle name="40% - Accent3 4 4 3 2 3" xfId="18144" xr:uid="{00000000-0005-0000-0000-00000F470000}"/>
    <cellStyle name="40% - Accent3 4 4 3 3" xfId="18145" xr:uid="{00000000-0005-0000-0000-000010470000}"/>
    <cellStyle name="40% - Accent3 4 4 3 3 2" xfId="18146" xr:uid="{00000000-0005-0000-0000-000011470000}"/>
    <cellStyle name="40% - Accent3 4 4 3 4" xfId="18147" xr:uid="{00000000-0005-0000-0000-000012470000}"/>
    <cellStyle name="40% - Accent3 4 4 4" xfId="18148" xr:uid="{00000000-0005-0000-0000-000013470000}"/>
    <cellStyle name="40% - Accent3 4 4 4 2" xfId="18149" xr:uid="{00000000-0005-0000-0000-000014470000}"/>
    <cellStyle name="40% - Accent3 4 4 4 2 2" xfId="18150" xr:uid="{00000000-0005-0000-0000-000015470000}"/>
    <cellStyle name="40% - Accent3 4 4 4 3" xfId="18151" xr:uid="{00000000-0005-0000-0000-000016470000}"/>
    <cellStyle name="40% - Accent3 4 4 5" xfId="18152" xr:uid="{00000000-0005-0000-0000-000017470000}"/>
    <cellStyle name="40% - Accent3 4 4 5 2" xfId="18153" xr:uid="{00000000-0005-0000-0000-000018470000}"/>
    <cellStyle name="40% - Accent3 4 4 6" xfId="18154" xr:uid="{00000000-0005-0000-0000-000019470000}"/>
    <cellStyle name="40% - Accent3 4 5" xfId="18155" xr:uid="{00000000-0005-0000-0000-00001A470000}"/>
    <cellStyle name="40% - Accent3 4 5 2" xfId="18156" xr:uid="{00000000-0005-0000-0000-00001B470000}"/>
    <cellStyle name="40% - Accent3 4 5 2 2" xfId="18157" xr:uid="{00000000-0005-0000-0000-00001C470000}"/>
    <cellStyle name="40% - Accent3 4 5 2 2 2" xfId="18158" xr:uid="{00000000-0005-0000-0000-00001D470000}"/>
    <cellStyle name="40% - Accent3 4 5 2 2 2 2" xfId="18159" xr:uid="{00000000-0005-0000-0000-00001E470000}"/>
    <cellStyle name="40% - Accent3 4 5 2 2 3" xfId="18160" xr:uid="{00000000-0005-0000-0000-00001F470000}"/>
    <cellStyle name="40% - Accent3 4 5 2 3" xfId="18161" xr:uid="{00000000-0005-0000-0000-000020470000}"/>
    <cellStyle name="40% - Accent3 4 5 2 3 2" xfId="18162" xr:uid="{00000000-0005-0000-0000-000021470000}"/>
    <cellStyle name="40% - Accent3 4 5 2 4" xfId="18163" xr:uid="{00000000-0005-0000-0000-000022470000}"/>
    <cellStyle name="40% - Accent3 4 5 3" xfId="18164" xr:uid="{00000000-0005-0000-0000-000023470000}"/>
    <cellStyle name="40% - Accent3 4 5 3 2" xfId="18165" xr:uid="{00000000-0005-0000-0000-000024470000}"/>
    <cellStyle name="40% - Accent3 4 5 3 2 2" xfId="18166" xr:uid="{00000000-0005-0000-0000-000025470000}"/>
    <cellStyle name="40% - Accent3 4 5 3 3" xfId="18167" xr:uid="{00000000-0005-0000-0000-000026470000}"/>
    <cellStyle name="40% - Accent3 4 5 4" xfId="18168" xr:uid="{00000000-0005-0000-0000-000027470000}"/>
    <cellStyle name="40% - Accent3 4 5 4 2" xfId="18169" xr:uid="{00000000-0005-0000-0000-000028470000}"/>
    <cellStyle name="40% - Accent3 4 5 5" xfId="18170" xr:uid="{00000000-0005-0000-0000-000029470000}"/>
    <cellStyle name="40% - Accent3 4 6" xfId="18171" xr:uid="{00000000-0005-0000-0000-00002A470000}"/>
    <cellStyle name="40% - Accent3 4 6 2" xfId="18172" xr:uid="{00000000-0005-0000-0000-00002B470000}"/>
    <cellStyle name="40% - Accent3 4 6 2 2" xfId="18173" xr:uid="{00000000-0005-0000-0000-00002C470000}"/>
    <cellStyle name="40% - Accent3 4 6 2 2 2" xfId="18174" xr:uid="{00000000-0005-0000-0000-00002D470000}"/>
    <cellStyle name="40% - Accent3 4 6 2 3" xfId="18175" xr:uid="{00000000-0005-0000-0000-00002E470000}"/>
    <cellStyle name="40% - Accent3 4 6 3" xfId="18176" xr:uid="{00000000-0005-0000-0000-00002F470000}"/>
    <cellStyle name="40% - Accent3 4 6 3 2" xfId="18177" xr:uid="{00000000-0005-0000-0000-000030470000}"/>
    <cellStyle name="40% - Accent3 4 6 4" xfId="18178" xr:uid="{00000000-0005-0000-0000-000031470000}"/>
    <cellStyle name="40% - Accent3 4 7" xfId="18179" xr:uid="{00000000-0005-0000-0000-000032470000}"/>
    <cellStyle name="40% - Accent3 4 7 2" xfId="18180" xr:uid="{00000000-0005-0000-0000-000033470000}"/>
    <cellStyle name="40% - Accent3 4 7 2 2" xfId="18181" xr:uid="{00000000-0005-0000-0000-000034470000}"/>
    <cellStyle name="40% - Accent3 4 7 3" xfId="18182" xr:uid="{00000000-0005-0000-0000-000035470000}"/>
    <cellStyle name="40% - Accent3 4 8" xfId="18183" xr:uid="{00000000-0005-0000-0000-000036470000}"/>
    <cellStyle name="40% - Accent3 4 8 2" xfId="18184" xr:uid="{00000000-0005-0000-0000-000037470000}"/>
    <cellStyle name="40% - Accent3 4 9" xfId="18185" xr:uid="{00000000-0005-0000-0000-000038470000}"/>
    <cellStyle name="40% - Accent3 5" xfId="18186" xr:uid="{00000000-0005-0000-0000-000039470000}"/>
    <cellStyle name="40% - Accent3 5 2" xfId="18187" xr:uid="{00000000-0005-0000-0000-00003A470000}"/>
    <cellStyle name="40% - Accent3 5 2 2" xfId="18188" xr:uid="{00000000-0005-0000-0000-00003B470000}"/>
    <cellStyle name="40% - Accent3 5 2 2 2" xfId="18189" xr:uid="{00000000-0005-0000-0000-00003C470000}"/>
    <cellStyle name="40% - Accent3 5 2 2 2 2" xfId="18190" xr:uid="{00000000-0005-0000-0000-00003D470000}"/>
    <cellStyle name="40% - Accent3 5 2 2 2 2 2" xfId="18191" xr:uid="{00000000-0005-0000-0000-00003E470000}"/>
    <cellStyle name="40% - Accent3 5 2 2 2 2 2 2" xfId="18192" xr:uid="{00000000-0005-0000-0000-00003F470000}"/>
    <cellStyle name="40% - Accent3 5 2 2 2 2 2 2 2" xfId="18193" xr:uid="{00000000-0005-0000-0000-000040470000}"/>
    <cellStyle name="40% - Accent3 5 2 2 2 2 2 3" xfId="18194" xr:uid="{00000000-0005-0000-0000-000041470000}"/>
    <cellStyle name="40% - Accent3 5 2 2 2 2 3" xfId="18195" xr:uid="{00000000-0005-0000-0000-000042470000}"/>
    <cellStyle name="40% - Accent3 5 2 2 2 2 3 2" xfId="18196" xr:uid="{00000000-0005-0000-0000-000043470000}"/>
    <cellStyle name="40% - Accent3 5 2 2 2 2 4" xfId="18197" xr:uid="{00000000-0005-0000-0000-000044470000}"/>
    <cellStyle name="40% - Accent3 5 2 2 2 3" xfId="18198" xr:uid="{00000000-0005-0000-0000-000045470000}"/>
    <cellStyle name="40% - Accent3 5 2 2 2 3 2" xfId="18199" xr:uid="{00000000-0005-0000-0000-000046470000}"/>
    <cellStyle name="40% - Accent3 5 2 2 2 3 2 2" xfId="18200" xr:uid="{00000000-0005-0000-0000-000047470000}"/>
    <cellStyle name="40% - Accent3 5 2 2 2 3 3" xfId="18201" xr:uid="{00000000-0005-0000-0000-000048470000}"/>
    <cellStyle name="40% - Accent3 5 2 2 2 4" xfId="18202" xr:uid="{00000000-0005-0000-0000-000049470000}"/>
    <cellStyle name="40% - Accent3 5 2 2 2 4 2" xfId="18203" xr:uid="{00000000-0005-0000-0000-00004A470000}"/>
    <cellStyle name="40% - Accent3 5 2 2 2 5" xfId="18204" xr:uid="{00000000-0005-0000-0000-00004B470000}"/>
    <cellStyle name="40% - Accent3 5 2 2 3" xfId="18205" xr:uid="{00000000-0005-0000-0000-00004C470000}"/>
    <cellStyle name="40% - Accent3 5 2 2 3 2" xfId="18206" xr:uid="{00000000-0005-0000-0000-00004D470000}"/>
    <cellStyle name="40% - Accent3 5 2 2 3 2 2" xfId="18207" xr:uid="{00000000-0005-0000-0000-00004E470000}"/>
    <cellStyle name="40% - Accent3 5 2 2 3 2 2 2" xfId="18208" xr:uid="{00000000-0005-0000-0000-00004F470000}"/>
    <cellStyle name="40% - Accent3 5 2 2 3 2 3" xfId="18209" xr:uid="{00000000-0005-0000-0000-000050470000}"/>
    <cellStyle name="40% - Accent3 5 2 2 3 3" xfId="18210" xr:uid="{00000000-0005-0000-0000-000051470000}"/>
    <cellStyle name="40% - Accent3 5 2 2 3 3 2" xfId="18211" xr:uid="{00000000-0005-0000-0000-000052470000}"/>
    <cellStyle name="40% - Accent3 5 2 2 3 4" xfId="18212" xr:uid="{00000000-0005-0000-0000-000053470000}"/>
    <cellStyle name="40% - Accent3 5 2 2 4" xfId="18213" xr:uid="{00000000-0005-0000-0000-000054470000}"/>
    <cellStyle name="40% - Accent3 5 2 2 4 2" xfId="18214" xr:uid="{00000000-0005-0000-0000-000055470000}"/>
    <cellStyle name="40% - Accent3 5 2 2 4 2 2" xfId="18215" xr:uid="{00000000-0005-0000-0000-000056470000}"/>
    <cellStyle name="40% - Accent3 5 2 2 4 3" xfId="18216" xr:uid="{00000000-0005-0000-0000-000057470000}"/>
    <cellStyle name="40% - Accent3 5 2 2 5" xfId="18217" xr:uid="{00000000-0005-0000-0000-000058470000}"/>
    <cellStyle name="40% - Accent3 5 2 2 5 2" xfId="18218" xr:uid="{00000000-0005-0000-0000-000059470000}"/>
    <cellStyle name="40% - Accent3 5 2 2 6" xfId="18219" xr:uid="{00000000-0005-0000-0000-00005A470000}"/>
    <cellStyle name="40% - Accent3 5 2 3" xfId="18220" xr:uid="{00000000-0005-0000-0000-00005B470000}"/>
    <cellStyle name="40% - Accent3 5 2 3 2" xfId="18221" xr:uid="{00000000-0005-0000-0000-00005C470000}"/>
    <cellStyle name="40% - Accent3 5 2 3 2 2" xfId="18222" xr:uid="{00000000-0005-0000-0000-00005D470000}"/>
    <cellStyle name="40% - Accent3 5 2 3 2 2 2" xfId="18223" xr:uid="{00000000-0005-0000-0000-00005E470000}"/>
    <cellStyle name="40% - Accent3 5 2 3 2 2 2 2" xfId="18224" xr:uid="{00000000-0005-0000-0000-00005F470000}"/>
    <cellStyle name="40% - Accent3 5 2 3 2 2 3" xfId="18225" xr:uid="{00000000-0005-0000-0000-000060470000}"/>
    <cellStyle name="40% - Accent3 5 2 3 2 3" xfId="18226" xr:uid="{00000000-0005-0000-0000-000061470000}"/>
    <cellStyle name="40% - Accent3 5 2 3 2 3 2" xfId="18227" xr:uid="{00000000-0005-0000-0000-000062470000}"/>
    <cellStyle name="40% - Accent3 5 2 3 2 4" xfId="18228" xr:uid="{00000000-0005-0000-0000-000063470000}"/>
    <cellStyle name="40% - Accent3 5 2 3 3" xfId="18229" xr:uid="{00000000-0005-0000-0000-000064470000}"/>
    <cellStyle name="40% - Accent3 5 2 3 3 2" xfId="18230" xr:uid="{00000000-0005-0000-0000-000065470000}"/>
    <cellStyle name="40% - Accent3 5 2 3 3 2 2" xfId="18231" xr:uid="{00000000-0005-0000-0000-000066470000}"/>
    <cellStyle name="40% - Accent3 5 2 3 3 3" xfId="18232" xr:uid="{00000000-0005-0000-0000-000067470000}"/>
    <cellStyle name="40% - Accent3 5 2 3 4" xfId="18233" xr:uid="{00000000-0005-0000-0000-000068470000}"/>
    <cellStyle name="40% - Accent3 5 2 3 4 2" xfId="18234" xr:uid="{00000000-0005-0000-0000-000069470000}"/>
    <cellStyle name="40% - Accent3 5 2 3 5" xfId="18235" xr:uid="{00000000-0005-0000-0000-00006A470000}"/>
    <cellStyle name="40% - Accent3 5 2 4" xfId="18236" xr:uid="{00000000-0005-0000-0000-00006B470000}"/>
    <cellStyle name="40% - Accent3 5 2 4 2" xfId="18237" xr:uid="{00000000-0005-0000-0000-00006C470000}"/>
    <cellStyle name="40% - Accent3 5 2 4 2 2" xfId="18238" xr:uid="{00000000-0005-0000-0000-00006D470000}"/>
    <cellStyle name="40% - Accent3 5 2 4 2 2 2" xfId="18239" xr:uid="{00000000-0005-0000-0000-00006E470000}"/>
    <cellStyle name="40% - Accent3 5 2 4 2 3" xfId="18240" xr:uid="{00000000-0005-0000-0000-00006F470000}"/>
    <cellStyle name="40% - Accent3 5 2 4 3" xfId="18241" xr:uid="{00000000-0005-0000-0000-000070470000}"/>
    <cellStyle name="40% - Accent3 5 2 4 3 2" xfId="18242" xr:uid="{00000000-0005-0000-0000-000071470000}"/>
    <cellStyle name="40% - Accent3 5 2 4 4" xfId="18243" xr:uid="{00000000-0005-0000-0000-000072470000}"/>
    <cellStyle name="40% - Accent3 5 2 5" xfId="18244" xr:uid="{00000000-0005-0000-0000-000073470000}"/>
    <cellStyle name="40% - Accent3 5 2 5 2" xfId="18245" xr:uid="{00000000-0005-0000-0000-000074470000}"/>
    <cellStyle name="40% - Accent3 5 2 5 2 2" xfId="18246" xr:uid="{00000000-0005-0000-0000-000075470000}"/>
    <cellStyle name="40% - Accent3 5 2 5 3" xfId="18247" xr:uid="{00000000-0005-0000-0000-000076470000}"/>
    <cellStyle name="40% - Accent3 5 2 6" xfId="18248" xr:uid="{00000000-0005-0000-0000-000077470000}"/>
    <cellStyle name="40% - Accent3 5 2 6 2" xfId="18249" xr:uid="{00000000-0005-0000-0000-000078470000}"/>
    <cellStyle name="40% - Accent3 5 2 7" xfId="18250" xr:uid="{00000000-0005-0000-0000-000079470000}"/>
    <cellStyle name="40% - Accent3 5 3" xfId="18251" xr:uid="{00000000-0005-0000-0000-00007A470000}"/>
    <cellStyle name="40% - Accent3 5 3 2" xfId="18252" xr:uid="{00000000-0005-0000-0000-00007B470000}"/>
    <cellStyle name="40% - Accent3 5 3 2 2" xfId="18253" xr:uid="{00000000-0005-0000-0000-00007C470000}"/>
    <cellStyle name="40% - Accent3 5 3 2 2 2" xfId="18254" xr:uid="{00000000-0005-0000-0000-00007D470000}"/>
    <cellStyle name="40% - Accent3 5 3 2 2 2 2" xfId="18255" xr:uid="{00000000-0005-0000-0000-00007E470000}"/>
    <cellStyle name="40% - Accent3 5 3 2 2 2 2 2" xfId="18256" xr:uid="{00000000-0005-0000-0000-00007F470000}"/>
    <cellStyle name="40% - Accent3 5 3 2 2 2 3" xfId="18257" xr:uid="{00000000-0005-0000-0000-000080470000}"/>
    <cellStyle name="40% - Accent3 5 3 2 2 3" xfId="18258" xr:uid="{00000000-0005-0000-0000-000081470000}"/>
    <cellStyle name="40% - Accent3 5 3 2 2 3 2" xfId="18259" xr:uid="{00000000-0005-0000-0000-000082470000}"/>
    <cellStyle name="40% - Accent3 5 3 2 2 4" xfId="18260" xr:uid="{00000000-0005-0000-0000-000083470000}"/>
    <cellStyle name="40% - Accent3 5 3 2 3" xfId="18261" xr:uid="{00000000-0005-0000-0000-000084470000}"/>
    <cellStyle name="40% - Accent3 5 3 2 3 2" xfId="18262" xr:uid="{00000000-0005-0000-0000-000085470000}"/>
    <cellStyle name="40% - Accent3 5 3 2 3 2 2" xfId="18263" xr:uid="{00000000-0005-0000-0000-000086470000}"/>
    <cellStyle name="40% - Accent3 5 3 2 3 3" xfId="18264" xr:uid="{00000000-0005-0000-0000-000087470000}"/>
    <cellStyle name="40% - Accent3 5 3 2 4" xfId="18265" xr:uid="{00000000-0005-0000-0000-000088470000}"/>
    <cellStyle name="40% - Accent3 5 3 2 4 2" xfId="18266" xr:uid="{00000000-0005-0000-0000-000089470000}"/>
    <cellStyle name="40% - Accent3 5 3 2 5" xfId="18267" xr:uid="{00000000-0005-0000-0000-00008A470000}"/>
    <cellStyle name="40% - Accent3 5 3 3" xfId="18268" xr:uid="{00000000-0005-0000-0000-00008B470000}"/>
    <cellStyle name="40% - Accent3 5 3 3 2" xfId="18269" xr:uid="{00000000-0005-0000-0000-00008C470000}"/>
    <cellStyle name="40% - Accent3 5 3 3 2 2" xfId="18270" xr:uid="{00000000-0005-0000-0000-00008D470000}"/>
    <cellStyle name="40% - Accent3 5 3 3 2 2 2" xfId="18271" xr:uid="{00000000-0005-0000-0000-00008E470000}"/>
    <cellStyle name="40% - Accent3 5 3 3 2 3" xfId="18272" xr:uid="{00000000-0005-0000-0000-00008F470000}"/>
    <cellStyle name="40% - Accent3 5 3 3 3" xfId="18273" xr:uid="{00000000-0005-0000-0000-000090470000}"/>
    <cellStyle name="40% - Accent3 5 3 3 3 2" xfId="18274" xr:uid="{00000000-0005-0000-0000-000091470000}"/>
    <cellStyle name="40% - Accent3 5 3 3 4" xfId="18275" xr:uid="{00000000-0005-0000-0000-000092470000}"/>
    <cellStyle name="40% - Accent3 5 3 4" xfId="18276" xr:uid="{00000000-0005-0000-0000-000093470000}"/>
    <cellStyle name="40% - Accent3 5 3 4 2" xfId="18277" xr:uid="{00000000-0005-0000-0000-000094470000}"/>
    <cellStyle name="40% - Accent3 5 3 4 2 2" xfId="18278" xr:uid="{00000000-0005-0000-0000-000095470000}"/>
    <cellStyle name="40% - Accent3 5 3 4 3" xfId="18279" xr:uid="{00000000-0005-0000-0000-000096470000}"/>
    <cellStyle name="40% - Accent3 5 3 5" xfId="18280" xr:uid="{00000000-0005-0000-0000-000097470000}"/>
    <cellStyle name="40% - Accent3 5 3 5 2" xfId="18281" xr:uid="{00000000-0005-0000-0000-000098470000}"/>
    <cellStyle name="40% - Accent3 5 3 6" xfId="18282" xr:uid="{00000000-0005-0000-0000-000099470000}"/>
    <cellStyle name="40% - Accent3 5 4" xfId="18283" xr:uid="{00000000-0005-0000-0000-00009A470000}"/>
    <cellStyle name="40% - Accent3 5 4 2" xfId="18284" xr:uid="{00000000-0005-0000-0000-00009B470000}"/>
    <cellStyle name="40% - Accent3 5 4 2 2" xfId="18285" xr:uid="{00000000-0005-0000-0000-00009C470000}"/>
    <cellStyle name="40% - Accent3 5 4 2 2 2" xfId="18286" xr:uid="{00000000-0005-0000-0000-00009D470000}"/>
    <cellStyle name="40% - Accent3 5 4 2 2 2 2" xfId="18287" xr:uid="{00000000-0005-0000-0000-00009E470000}"/>
    <cellStyle name="40% - Accent3 5 4 2 2 3" xfId="18288" xr:uid="{00000000-0005-0000-0000-00009F470000}"/>
    <cellStyle name="40% - Accent3 5 4 2 3" xfId="18289" xr:uid="{00000000-0005-0000-0000-0000A0470000}"/>
    <cellStyle name="40% - Accent3 5 4 2 3 2" xfId="18290" xr:uid="{00000000-0005-0000-0000-0000A1470000}"/>
    <cellStyle name="40% - Accent3 5 4 2 4" xfId="18291" xr:uid="{00000000-0005-0000-0000-0000A2470000}"/>
    <cellStyle name="40% - Accent3 5 4 3" xfId="18292" xr:uid="{00000000-0005-0000-0000-0000A3470000}"/>
    <cellStyle name="40% - Accent3 5 4 3 2" xfId="18293" xr:uid="{00000000-0005-0000-0000-0000A4470000}"/>
    <cellStyle name="40% - Accent3 5 4 3 2 2" xfId="18294" xr:uid="{00000000-0005-0000-0000-0000A5470000}"/>
    <cellStyle name="40% - Accent3 5 4 3 3" xfId="18295" xr:uid="{00000000-0005-0000-0000-0000A6470000}"/>
    <cellStyle name="40% - Accent3 5 4 4" xfId="18296" xr:uid="{00000000-0005-0000-0000-0000A7470000}"/>
    <cellStyle name="40% - Accent3 5 4 4 2" xfId="18297" xr:uid="{00000000-0005-0000-0000-0000A8470000}"/>
    <cellStyle name="40% - Accent3 5 4 5" xfId="18298" xr:uid="{00000000-0005-0000-0000-0000A9470000}"/>
    <cellStyle name="40% - Accent3 5 5" xfId="18299" xr:uid="{00000000-0005-0000-0000-0000AA470000}"/>
    <cellStyle name="40% - Accent3 5 5 2" xfId="18300" xr:uid="{00000000-0005-0000-0000-0000AB470000}"/>
    <cellStyle name="40% - Accent3 5 5 2 2" xfId="18301" xr:uid="{00000000-0005-0000-0000-0000AC470000}"/>
    <cellStyle name="40% - Accent3 5 5 2 2 2" xfId="18302" xr:uid="{00000000-0005-0000-0000-0000AD470000}"/>
    <cellStyle name="40% - Accent3 5 5 2 3" xfId="18303" xr:uid="{00000000-0005-0000-0000-0000AE470000}"/>
    <cellStyle name="40% - Accent3 5 5 3" xfId="18304" xr:uid="{00000000-0005-0000-0000-0000AF470000}"/>
    <cellStyle name="40% - Accent3 5 5 3 2" xfId="18305" xr:uid="{00000000-0005-0000-0000-0000B0470000}"/>
    <cellStyle name="40% - Accent3 5 5 4" xfId="18306" xr:uid="{00000000-0005-0000-0000-0000B1470000}"/>
    <cellStyle name="40% - Accent3 5 6" xfId="18307" xr:uid="{00000000-0005-0000-0000-0000B2470000}"/>
    <cellStyle name="40% - Accent3 5 6 2" xfId="18308" xr:uid="{00000000-0005-0000-0000-0000B3470000}"/>
    <cellStyle name="40% - Accent3 5 6 2 2" xfId="18309" xr:uid="{00000000-0005-0000-0000-0000B4470000}"/>
    <cellStyle name="40% - Accent3 5 6 3" xfId="18310" xr:uid="{00000000-0005-0000-0000-0000B5470000}"/>
    <cellStyle name="40% - Accent3 5 7" xfId="18311" xr:uid="{00000000-0005-0000-0000-0000B6470000}"/>
    <cellStyle name="40% - Accent3 5 7 2" xfId="18312" xr:uid="{00000000-0005-0000-0000-0000B7470000}"/>
    <cellStyle name="40% - Accent3 5 8" xfId="18313" xr:uid="{00000000-0005-0000-0000-0000B8470000}"/>
    <cellStyle name="40% - Accent3 6" xfId="18314" xr:uid="{00000000-0005-0000-0000-0000B9470000}"/>
    <cellStyle name="40% - Accent3 6 2" xfId="18315" xr:uid="{00000000-0005-0000-0000-0000BA470000}"/>
    <cellStyle name="40% - Accent3 6 2 2" xfId="18316" xr:uid="{00000000-0005-0000-0000-0000BB470000}"/>
    <cellStyle name="40% - Accent3 6 2 2 2" xfId="18317" xr:uid="{00000000-0005-0000-0000-0000BC470000}"/>
    <cellStyle name="40% - Accent3 6 2 2 2 2" xfId="18318" xr:uid="{00000000-0005-0000-0000-0000BD470000}"/>
    <cellStyle name="40% - Accent3 6 2 2 2 2 2" xfId="18319" xr:uid="{00000000-0005-0000-0000-0000BE470000}"/>
    <cellStyle name="40% - Accent3 6 2 2 2 2 2 2" xfId="18320" xr:uid="{00000000-0005-0000-0000-0000BF470000}"/>
    <cellStyle name="40% - Accent3 6 2 2 2 2 3" xfId="18321" xr:uid="{00000000-0005-0000-0000-0000C0470000}"/>
    <cellStyle name="40% - Accent3 6 2 2 2 3" xfId="18322" xr:uid="{00000000-0005-0000-0000-0000C1470000}"/>
    <cellStyle name="40% - Accent3 6 2 2 2 3 2" xfId="18323" xr:uid="{00000000-0005-0000-0000-0000C2470000}"/>
    <cellStyle name="40% - Accent3 6 2 2 2 4" xfId="18324" xr:uid="{00000000-0005-0000-0000-0000C3470000}"/>
    <cellStyle name="40% - Accent3 6 2 2 3" xfId="18325" xr:uid="{00000000-0005-0000-0000-0000C4470000}"/>
    <cellStyle name="40% - Accent3 6 2 2 3 2" xfId="18326" xr:uid="{00000000-0005-0000-0000-0000C5470000}"/>
    <cellStyle name="40% - Accent3 6 2 2 3 2 2" xfId="18327" xr:uid="{00000000-0005-0000-0000-0000C6470000}"/>
    <cellStyle name="40% - Accent3 6 2 2 3 3" xfId="18328" xr:uid="{00000000-0005-0000-0000-0000C7470000}"/>
    <cellStyle name="40% - Accent3 6 2 2 4" xfId="18329" xr:uid="{00000000-0005-0000-0000-0000C8470000}"/>
    <cellStyle name="40% - Accent3 6 2 2 4 2" xfId="18330" xr:uid="{00000000-0005-0000-0000-0000C9470000}"/>
    <cellStyle name="40% - Accent3 6 2 2 5" xfId="18331" xr:uid="{00000000-0005-0000-0000-0000CA470000}"/>
    <cellStyle name="40% - Accent3 6 2 3" xfId="18332" xr:uid="{00000000-0005-0000-0000-0000CB470000}"/>
    <cellStyle name="40% - Accent3 6 2 3 2" xfId="18333" xr:uid="{00000000-0005-0000-0000-0000CC470000}"/>
    <cellStyle name="40% - Accent3 6 2 3 2 2" xfId="18334" xr:uid="{00000000-0005-0000-0000-0000CD470000}"/>
    <cellStyle name="40% - Accent3 6 2 3 2 2 2" xfId="18335" xr:uid="{00000000-0005-0000-0000-0000CE470000}"/>
    <cellStyle name="40% - Accent3 6 2 3 2 3" xfId="18336" xr:uid="{00000000-0005-0000-0000-0000CF470000}"/>
    <cellStyle name="40% - Accent3 6 2 3 3" xfId="18337" xr:uid="{00000000-0005-0000-0000-0000D0470000}"/>
    <cellStyle name="40% - Accent3 6 2 3 3 2" xfId="18338" xr:uid="{00000000-0005-0000-0000-0000D1470000}"/>
    <cellStyle name="40% - Accent3 6 2 3 4" xfId="18339" xr:uid="{00000000-0005-0000-0000-0000D2470000}"/>
    <cellStyle name="40% - Accent3 6 2 4" xfId="18340" xr:uid="{00000000-0005-0000-0000-0000D3470000}"/>
    <cellStyle name="40% - Accent3 6 2 4 2" xfId="18341" xr:uid="{00000000-0005-0000-0000-0000D4470000}"/>
    <cellStyle name="40% - Accent3 6 2 4 2 2" xfId="18342" xr:uid="{00000000-0005-0000-0000-0000D5470000}"/>
    <cellStyle name="40% - Accent3 6 2 4 3" xfId="18343" xr:uid="{00000000-0005-0000-0000-0000D6470000}"/>
    <cellStyle name="40% - Accent3 6 2 5" xfId="18344" xr:uid="{00000000-0005-0000-0000-0000D7470000}"/>
    <cellStyle name="40% - Accent3 6 2 5 2" xfId="18345" xr:uid="{00000000-0005-0000-0000-0000D8470000}"/>
    <cellStyle name="40% - Accent3 6 2 6" xfId="18346" xr:uid="{00000000-0005-0000-0000-0000D9470000}"/>
    <cellStyle name="40% - Accent3 6 3" xfId="18347" xr:uid="{00000000-0005-0000-0000-0000DA470000}"/>
    <cellStyle name="40% - Accent3 6 3 2" xfId="18348" xr:uid="{00000000-0005-0000-0000-0000DB470000}"/>
    <cellStyle name="40% - Accent3 6 3 2 2" xfId="18349" xr:uid="{00000000-0005-0000-0000-0000DC470000}"/>
    <cellStyle name="40% - Accent3 6 3 2 2 2" xfId="18350" xr:uid="{00000000-0005-0000-0000-0000DD470000}"/>
    <cellStyle name="40% - Accent3 6 3 2 2 2 2" xfId="18351" xr:uid="{00000000-0005-0000-0000-0000DE470000}"/>
    <cellStyle name="40% - Accent3 6 3 2 2 3" xfId="18352" xr:uid="{00000000-0005-0000-0000-0000DF470000}"/>
    <cellStyle name="40% - Accent3 6 3 2 3" xfId="18353" xr:uid="{00000000-0005-0000-0000-0000E0470000}"/>
    <cellStyle name="40% - Accent3 6 3 2 3 2" xfId="18354" xr:uid="{00000000-0005-0000-0000-0000E1470000}"/>
    <cellStyle name="40% - Accent3 6 3 2 4" xfId="18355" xr:uid="{00000000-0005-0000-0000-0000E2470000}"/>
    <cellStyle name="40% - Accent3 6 3 3" xfId="18356" xr:uid="{00000000-0005-0000-0000-0000E3470000}"/>
    <cellStyle name="40% - Accent3 6 3 3 2" xfId="18357" xr:uid="{00000000-0005-0000-0000-0000E4470000}"/>
    <cellStyle name="40% - Accent3 6 3 3 2 2" xfId="18358" xr:uid="{00000000-0005-0000-0000-0000E5470000}"/>
    <cellStyle name="40% - Accent3 6 3 3 3" xfId="18359" xr:uid="{00000000-0005-0000-0000-0000E6470000}"/>
    <cellStyle name="40% - Accent3 6 3 4" xfId="18360" xr:uid="{00000000-0005-0000-0000-0000E7470000}"/>
    <cellStyle name="40% - Accent3 6 3 4 2" xfId="18361" xr:uid="{00000000-0005-0000-0000-0000E8470000}"/>
    <cellStyle name="40% - Accent3 6 3 5" xfId="18362" xr:uid="{00000000-0005-0000-0000-0000E9470000}"/>
    <cellStyle name="40% - Accent3 6 4" xfId="18363" xr:uid="{00000000-0005-0000-0000-0000EA470000}"/>
    <cellStyle name="40% - Accent3 6 4 2" xfId="18364" xr:uid="{00000000-0005-0000-0000-0000EB470000}"/>
    <cellStyle name="40% - Accent3 6 4 2 2" xfId="18365" xr:uid="{00000000-0005-0000-0000-0000EC470000}"/>
    <cellStyle name="40% - Accent3 6 4 2 2 2" xfId="18366" xr:uid="{00000000-0005-0000-0000-0000ED470000}"/>
    <cellStyle name="40% - Accent3 6 4 2 3" xfId="18367" xr:uid="{00000000-0005-0000-0000-0000EE470000}"/>
    <cellStyle name="40% - Accent3 6 4 3" xfId="18368" xr:uid="{00000000-0005-0000-0000-0000EF470000}"/>
    <cellStyle name="40% - Accent3 6 4 3 2" xfId="18369" xr:uid="{00000000-0005-0000-0000-0000F0470000}"/>
    <cellStyle name="40% - Accent3 6 4 4" xfId="18370" xr:uid="{00000000-0005-0000-0000-0000F1470000}"/>
    <cellStyle name="40% - Accent3 6 5" xfId="18371" xr:uid="{00000000-0005-0000-0000-0000F2470000}"/>
    <cellStyle name="40% - Accent3 6 5 2" xfId="18372" xr:uid="{00000000-0005-0000-0000-0000F3470000}"/>
    <cellStyle name="40% - Accent3 6 5 2 2" xfId="18373" xr:uid="{00000000-0005-0000-0000-0000F4470000}"/>
    <cellStyle name="40% - Accent3 6 5 3" xfId="18374" xr:uid="{00000000-0005-0000-0000-0000F5470000}"/>
    <cellStyle name="40% - Accent3 6 6" xfId="18375" xr:uid="{00000000-0005-0000-0000-0000F6470000}"/>
    <cellStyle name="40% - Accent3 6 6 2" xfId="18376" xr:uid="{00000000-0005-0000-0000-0000F7470000}"/>
    <cellStyle name="40% - Accent3 6 7" xfId="18377" xr:uid="{00000000-0005-0000-0000-0000F8470000}"/>
    <cellStyle name="40% - Accent3 7" xfId="18378" xr:uid="{00000000-0005-0000-0000-0000F9470000}"/>
    <cellStyle name="40% - Accent3 7 2" xfId="18379" xr:uid="{00000000-0005-0000-0000-0000FA470000}"/>
    <cellStyle name="40% - Accent3 7 2 2" xfId="18380" xr:uid="{00000000-0005-0000-0000-0000FB470000}"/>
    <cellStyle name="40% - Accent3 7 2 2 2" xfId="18381" xr:uid="{00000000-0005-0000-0000-0000FC470000}"/>
    <cellStyle name="40% - Accent3 7 2 2 2 2" xfId="18382" xr:uid="{00000000-0005-0000-0000-0000FD470000}"/>
    <cellStyle name="40% - Accent3 7 2 2 2 2 2" xfId="18383" xr:uid="{00000000-0005-0000-0000-0000FE470000}"/>
    <cellStyle name="40% - Accent3 7 2 2 2 3" xfId="18384" xr:uid="{00000000-0005-0000-0000-0000FF470000}"/>
    <cellStyle name="40% - Accent3 7 2 2 3" xfId="18385" xr:uid="{00000000-0005-0000-0000-000000480000}"/>
    <cellStyle name="40% - Accent3 7 2 2 3 2" xfId="18386" xr:uid="{00000000-0005-0000-0000-000001480000}"/>
    <cellStyle name="40% - Accent3 7 2 2 4" xfId="18387" xr:uid="{00000000-0005-0000-0000-000002480000}"/>
    <cellStyle name="40% - Accent3 7 2 3" xfId="18388" xr:uid="{00000000-0005-0000-0000-000003480000}"/>
    <cellStyle name="40% - Accent3 7 2 3 2" xfId="18389" xr:uid="{00000000-0005-0000-0000-000004480000}"/>
    <cellStyle name="40% - Accent3 7 2 3 2 2" xfId="18390" xr:uid="{00000000-0005-0000-0000-000005480000}"/>
    <cellStyle name="40% - Accent3 7 2 3 3" xfId="18391" xr:uid="{00000000-0005-0000-0000-000006480000}"/>
    <cellStyle name="40% - Accent3 7 2 4" xfId="18392" xr:uid="{00000000-0005-0000-0000-000007480000}"/>
    <cellStyle name="40% - Accent3 7 2 4 2" xfId="18393" xr:uid="{00000000-0005-0000-0000-000008480000}"/>
    <cellStyle name="40% - Accent3 7 2 5" xfId="18394" xr:uid="{00000000-0005-0000-0000-000009480000}"/>
    <cellStyle name="40% - Accent3 7 3" xfId="18395" xr:uid="{00000000-0005-0000-0000-00000A480000}"/>
    <cellStyle name="40% - Accent3 7 3 2" xfId="18396" xr:uid="{00000000-0005-0000-0000-00000B480000}"/>
    <cellStyle name="40% - Accent3 7 3 2 2" xfId="18397" xr:uid="{00000000-0005-0000-0000-00000C480000}"/>
    <cellStyle name="40% - Accent3 7 3 2 2 2" xfId="18398" xr:uid="{00000000-0005-0000-0000-00000D480000}"/>
    <cellStyle name="40% - Accent3 7 3 2 3" xfId="18399" xr:uid="{00000000-0005-0000-0000-00000E480000}"/>
    <cellStyle name="40% - Accent3 7 3 3" xfId="18400" xr:uid="{00000000-0005-0000-0000-00000F480000}"/>
    <cellStyle name="40% - Accent3 7 3 3 2" xfId="18401" xr:uid="{00000000-0005-0000-0000-000010480000}"/>
    <cellStyle name="40% - Accent3 7 3 4" xfId="18402" xr:uid="{00000000-0005-0000-0000-000011480000}"/>
    <cellStyle name="40% - Accent3 7 4" xfId="18403" xr:uid="{00000000-0005-0000-0000-000012480000}"/>
    <cellStyle name="40% - Accent3 7 4 2" xfId="18404" xr:uid="{00000000-0005-0000-0000-000013480000}"/>
    <cellStyle name="40% - Accent3 7 4 2 2" xfId="18405" xr:uid="{00000000-0005-0000-0000-000014480000}"/>
    <cellStyle name="40% - Accent3 7 4 3" xfId="18406" xr:uid="{00000000-0005-0000-0000-000015480000}"/>
    <cellStyle name="40% - Accent3 7 5" xfId="18407" xr:uid="{00000000-0005-0000-0000-000016480000}"/>
    <cellStyle name="40% - Accent3 7 5 2" xfId="18408" xr:uid="{00000000-0005-0000-0000-000017480000}"/>
    <cellStyle name="40% - Accent3 7 6" xfId="18409" xr:uid="{00000000-0005-0000-0000-000018480000}"/>
    <cellStyle name="40% - Accent3 8" xfId="18410" xr:uid="{00000000-0005-0000-0000-000019480000}"/>
    <cellStyle name="40% - Accent3 8 2" xfId="18411" xr:uid="{00000000-0005-0000-0000-00001A480000}"/>
    <cellStyle name="40% - Accent3 8 2 2" xfId="18412" xr:uid="{00000000-0005-0000-0000-00001B480000}"/>
    <cellStyle name="40% - Accent3 8 2 2 2" xfId="18413" xr:uid="{00000000-0005-0000-0000-00001C480000}"/>
    <cellStyle name="40% - Accent3 8 2 2 2 2" xfId="18414" xr:uid="{00000000-0005-0000-0000-00001D480000}"/>
    <cellStyle name="40% - Accent3 8 2 2 3" xfId="18415" xr:uid="{00000000-0005-0000-0000-00001E480000}"/>
    <cellStyle name="40% - Accent3 8 2 3" xfId="18416" xr:uid="{00000000-0005-0000-0000-00001F480000}"/>
    <cellStyle name="40% - Accent3 8 2 3 2" xfId="18417" xr:uid="{00000000-0005-0000-0000-000020480000}"/>
    <cellStyle name="40% - Accent3 8 2 4" xfId="18418" xr:uid="{00000000-0005-0000-0000-000021480000}"/>
    <cellStyle name="40% - Accent3 8 3" xfId="18419" xr:uid="{00000000-0005-0000-0000-000022480000}"/>
    <cellStyle name="40% - Accent3 8 3 2" xfId="18420" xr:uid="{00000000-0005-0000-0000-000023480000}"/>
    <cellStyle name="40% - Accent3 8 3 2 2" xfId="18421" xr:uid="{00000000-0005-0000-0000-000024480000}"/>
    <cellStyle name="40% - Accent3 8 3 3" xfId="18422" xr:uid="{00000000-0005-0000-0000-000025480000}"/>
    <cellStyle name="40% - Accent3 8 4" xfId="18423" xr:uid="{00000000-0005-0000-0000-000026480000}"/>
    <cellStyle name="40% - Accent3 8 4 2" xfId="18424" xr:uid="{00000000-0005-0000-0000-000027480000}"/>
    <cellStyle name="40% - Accent3 8 5" xfId="18425" xr:uid="{00000000-0005-0000-0000-000028480000}"/>
    <cellStyle name="40% - Accent3 9" xfId="18426" xr:uid="{00000000-0005-0000-0000-000029480000}"/>
    <cellStyle name="40% - Accent3 9 2" xfId="18427" xr:uid="{00000000-0005-0000-0000-00002A480000}"/>
    <cellStyle name="40% - Accent3 9 2 2" xfId="18428" xr:uid="{00000000-0005-0000-0000-00002B480000}"/>
    <cellStyle name="40% - Accent3 9 2 2 2" xfId="18429" xr:uid="{00000000-0005-0000-0000-00002C480000}"/>
    <cellStyle name="40% - Accent3 9 2 3" xfId="18430" xr:uid="{00000000-0005-0000-0000-00002D480000}"/>
    <cellStyle name="40% - Accent3 9 3" xfId="18431" xr:uid="{00000000-0005-0000-0000-00002E480000}"/>
    <cellStyle name="40% - Accent3 9 3 2" xfId="18432" xr:uid="{00000000-0005-0000-0000-00002F480000}"/>
    <cellStyle name="40% - Accent3 9 4" xfId="18433" xr:uid="{00000000-0005-0000-0000-000030480000}"/>
    <cellStyle name="40% - Accent4 10" xfId="18434" xr:uid="{00000000-0005-0000-0000-000031480000}"/>
    <cellStyle name="40% - Accent4 10 2" xfId="18435" xr:uid="{00000000-0005-0000-0000-000032480000}"/>
    <cellStyle name="40% - Accent4 10 2 2" xfId="18436" xr:uid="{00000000-0005-0000-0000-000033480000}"/>
    <cellStyle name="40% - Accent4 10 3" xfId="18437" xr:uid="{00000000-0005-0000-0000-000034480000}"/>
    <cellStyle name="40% - Accent4 11" xfId="18438" xr:uid="{00000000-0005-0000-0000-000035480000}"/>
    <cellStyle name="40% - Accent4 11 2" xfId="18439" xr:uid="{00000000-0005-0000-0000-000036480000}"/>
    <cellStyle name="40% - Accent4 12" xfId="18440" xr:uid="{00000000-0005-0000-0000-000037480000}"/>
    <cellStyle name="40% - Accent4 13" xfId="18441" xr:uid="{00000000-0005-0000-0000-000038480000}"/>
    <cellStyle name="40% - Accent4 2" xfId="18442" xr:uid="{00000000-0005-0000-0000-000039480000}"/>
    <cellStyle name="40% - Accent4 2 10" xfId="18443" xr:uid="{00000000-0005-0000-0000-00003A480000}"/>
    <cellStyle name="40% - Accent4 2 10 2" xfId="18444" xr:uid="{00000000-0005-0000-0000-00003B480000}"/>
    <cellStyle name="40% - Accent4 2 11" xfId="18445" xr:uid="{00000000-0005-0000-0000-00003C480000}"/>
    <cellStyle name="40% - Accent4 2 2" xfId="18446" xr:uid="{00000000-0005-0000-0000-00003D480000}"/>
    <cellStyle name="40% - Accent4 2 2 10" xfId="18447" xr:uid="{00000000-0005-0000-0000-00003E480000}"/>
    <cellStyle name="40% - Accent4 2 2 2" xfId="18448" xr:uid="{00000000-0005-0000-0000-00003F480000}"/>
    <cellStyle name="40% - Accent4 2 2 2 2" xfId="18449" xr:uid="{00000000-0005-0000-0000-000040480000}"/>
    <cellStyle name="40% - Accent4 2 2 2 2 2" xfId="18450" xr:uid="{00000000-0005-0000-0000-000041480000}"/>
    <cellStyle name="40% - Accent4 2 2 2 2 2 2" xfId="18451" xr:uid="{00000000-0005-0000-0000-000042480000}"/>
    <cellStyle name="40% - Accent4 2 2 2 2 2 2 2" xfId="18452" xr:uid="{00000000-0005-0000-0000-000043480000}"/>
    <cellStyle name="40% - Accent4 2 2 2 2 2 2 2 2" xfId="18453" xr:uid="{00000000-0005-0000-0000-000044480000}"/>
    <cellStyle name="40% - Accent4 2 2 2 2 2 2 2 2 2" xfId="18454" xr:uid="{00000000-0005-0000-0000-000045480000}"/>
    <cellStyle name="40% - Accent4 2 2 2 2 2 2 2 2 2 2" xfId="18455" xr:uid="{00000000-0005-0000-0000-000046480000}"/>
    <cellStyle name="40% - Accent4 2 2 2 2 2 2 2 2 2 2 2" xfId="18456" xr:uid="{00000000-0005-0000-0000-000047480000}"/>
    <cellStyle name="40% - Accent4 2 2 2 2 2 2 2 2 2 3" xfId="18457" xr:uid="{00000000-0005-0000-0000-000048480000}"/>
    <cellStyle name="40% - Accent4 2 2 2 2 2 2 2 2 3" xfId="18458" xr:uid="{00000000-0005-0000-0000-000049480000}"/>
    <cellStyle name="40% - Accent4 2 2 2 2 2 2 2 2 3 2" xfId="18459" xr:uid="{00000000-0005-0000-0000-00004A480000}"/>
    <cellStyle name="40% - Accent4 2 2 2 2 2 2 2 2 4" xfId="18460" xr:uid="{00000000-0005-0000-0000-00004B480000}"/>
    <cellStyle name="40% - Accent4 2 2 2 2 2 2 2 3" xfId="18461" xr:uid="{00000000-0005-0000-0000-00004C480000}"/>
    <cellStyle name="40% - Accent4 2 2 2 2 2 2 2 3 2" xfId="18462" xr:uid="{00000000-0005-0000-0000-00004D480000}"/>
    <cellStyle name="40% - Accent4 2 2 2 2 2 2 2 3 2 2" xfId="18463" xr:uid="{00000000-0005-0000-0000-00004E480000}"/>
    <cellStyle name="40% - Accent4 2 2 2 2 2 2 2 3 3" xfId="18464" xr:uid="{00000000-0005-0000-0000-00004F480000}"/>
    <cellStyle name="40% - Accent4 2 2 2 2 2 2 2 4" xfId="18465" xr:uid="{00000000-0005-0000-0000-000050480000}"/>
    <cellStyle name="40% - Accent4 2 2 2 2 2 2 2 4 2" xfId="18466" xr:uid="{00000000-0005-0000-0000-000051480000}"/>
    <cellStyle name="40% - Accent4 2 2 2 2 2 2 2 5" xfId="18467" xr:uid="{00000000-0005-0000-0000-000052480000}"/>
    <cellStyle name="40% - Accent4 2 2 2 2 2 2 3" xfId="18468" xr:uid="{00000000-0005-0000-0000-000053480000}"/>
    <cellStyle name="40% - Accent4 2 2 2 2 2 2 3 2" xfId="18469" xr:uid="{00000000-0005-0000-0000-000054480000}"/>
    <cellStyle name="40% - Accent4 2 2 2 2 2 2 3 2 2" xfId="18470" xr:uid="{00000000-0005-0000-0000-000055480000}"/>
    <cellStyle name="40% - Accent4 2 2 2 2 2 2 3 2 2 2" xfId="18471" xr:uid="{00000000-0005-0000-0000-000056480000}"/>
    <cellStyle name="40% - Accent4 2 2 2 2 2 2 3 2 3" xfId="18472" xr:uid="{00000000-0005-0000-0000-000057480000}"/>
    <cellStyle name="40% - Accent4 2 2 2 2 2 2 3 3" xfId="18473" xr:uid="{00000000-0005-0000-0000-000058480000}"/>
    <cellStyle name="40% - Accent4 2 2 2 2 2 2 3 3 2" xfId="18474" xr:uid="{00000000-0005-0000-0000-000059480000}"/>
    <cellStyle name="40% - Accent4 2 2 2 2 2 2 3 4" xfId="18475" xr:uid="{00000000-0005-0000-0000-00005A480000}"/>
    <cellStyle name="40% - Accent4 2 2 2 2 2 2 4" xfId="18476" xr:uid="{00000000-0005-0000-0000-00005B480000}"/>
    <cellStyle name="40% - Accent4 2 2 2 2 2 2 4 2" xfId="18477" xr:uid="{00000000-0005-0000-0000-00005C480000}"/>
    <cellStyle name="40% - Accent4 2 2 2 2 2 2 4 2 2" xfId="18478" xr:uid="{00000000-0005-0000-0000-00005D480000}"/>
    <cellStyle name="40% - Accent4 2 2 2 2 2 2 4 3" xfId="18479" xr:uid="{00000000-0005-0000-0000-00005E480000}"/>
    <cellStyle name="40% - Accent4 2 2 2 2 2 2 5" xfId="18480" xr:uid="{00000000-0005-0000-0000-00005F480000}"/>
    <cellStyle name="40% - Accent4 2 2 2 2 2 2 5 2" xfId="18481" xr:uid="{00000000-0005-0000-0000-000060480000}"/>
    <cellStyle name="40% - Accent4 2 2 2 2 2 2 6" xfId="18482" xr:uid="{00000000-0005-0000-0000-000061480000}"/>
    <cellStyle name="40% - Accent4 2 2 2 2 2 3" xfId="18483" xr:uid="{00000000-0005-0000-0000-000062480000}"/>
    <cellStyle name="40% - Accent4 2 2 2 2 2 3 2" xfId="18484" xr:uid="{00000000-0005-0000-0000-000063480000}"/>
    <cellStyle name="40% - Accent4 2 2 2 2 2 3 2 2" xfId="18485" xr:uid="{00000000-0005-0000-0000-000064480000}"/>
    <cellStyle name="40% - Accent4 2 2 2 2 2 3 2 2 2" xfId="18486" xr:uid="{00000000-0005-0000-0000-000065480000}"/>
    <cellStyle name="40% - Accent4 2 2 2 2 2 3 2 2 2 2" xfId="18487" xr:uid="{00000000-0005-0000-0000-000066480000}"/>
    <cellStyle name="40% - Accent4 2 2 2 2 2 3 2 2 3" xfId="18488" xr:uid="{00000000-0005-0000-0000-000067480000}"/>
    <cellStyle name="40% - Accent4 2 2 2 2 2 3 2 3" xfId="18489" xr:uid="{00000000-0005-0000-0000-000068480000}"/>
    <cellStyle name="40% - Accent4 2 2 2 2 2 3 2 3 2" xfId="18490" xr:uid="{00000000-0005-0000-0000-000069480000}"/>
    <cellStyle name="40% - Accent4 2 2 2 2 2 3 2 4" xfId="18491" xr:uid="{00000000-0005-0000-0000-00006A480000}"/>
    <cellStyle name="40% - Accent4 2 2 2 2 2 3 3" xfId="18492" xr:uid="{00000000-0005-0000-0000-00006B480000}"/>
    <cellStyle name="40% - Accent4 2 2 2 2 2 3 3 2" xfId="18493" xr:uid="{00000000-0005-0000-0000-00006C480000}"/>
    <cellStyle name="40% - Accent4 2 2 2 2 2 3 3 2 2" xfId="18494" xr:uid="{00000000-0005-0000-0000-00006D480000}"/>
    <cellStyle name="40% - Accent4 2 2 2 2 2 3 3 3" xfId="18495" xr:uid="{00000000-0005-0000-0000-00006E480000}"/>
    <cellStyle name="40% - Accent4 2 2 2 2 2 3 4" xfId="18496" xr:uid="{00000000-0005-0000-0000-00006F480000}"/>
    <cellStyle name="40% - Accent4 2 2 2 2 2 3 4 2" xfId="18497" xr:uid="{00000000-0005-0000-0000-000070480000}"/>
    <cellStyle name="40% - Accent4 2 2 2 2 2 3 5" xfId="18498" xr:uid="{00000000-0005-0000-0000-000071480000}"/>
    <cellStyle name="40% - Accent4 2 2 2 2 2 4" xfId="18499" xr:uid="{00000000-0005-0000-0000-000072480000}"/>
    <cellStyle name="40% - Accent4 2 2 2 2 2 4 2" xfId="18500" xr:uid="{00000000-0005-0000-0000-000073480000}"/>
    <cellStyle name="40% - Accent4 2 2 2 2 2 4 2 2" xfId="18501" xr:uid="{00000000-0005-0000-0000-000074480000}"/>
    <cellStyle name="40% - Accent4 2 2 2 2 2 4 2 2 2" xfId="18502" xr:uid="{00000000-0005-0000-0000-000075480000}"/>
    <cellStyle name="40% - Accent4 2 2 2 2 2 4 2 3" xfId="18503" xr:uid="{00000000-0005-0000-0000-000076480000}"/>
    <cellStyle name="40% - Accent4 2 2 2 2 2 4 3" xfId="18504" xr:uid="{00000000-0005-0000-0000-000077480000}"/>
    <cellStyle name="40% - Accent4 2 2 2 2 2 4 3 2" xfId="18505" xr:uid="{00000000-0005-0000-0000-000078480000}"/>
    <cellStyle name="40% - Accent4 2 2 2 2 2 4 4" xfId="18506" xr:uid="{00000000-0005-0000-0000-000079480000}"/>
    <cellStyle name="40% - Accent4 2 2 2 2 2 5" xfId="18507" xr:uid="{00000000-0005-0000-0000-00007A480000}"/>
    <cellStyle name="40% - Accent4 2 2 2 2 2 5 2" xfId="18508" xr:uid="{00000000-0005-0000-0000-00007B480000}"/>
    <cellStyle name="40% - Accent4 2 2 2 2 2 5 2 2" xfId="18509" xr:uid="{00000000-0005-0000-0000-00007C480000}"/>
    <cellStyle name="40% - Accent4 2 2 2 2 2 5 3" xfId="18510" xr:uid="{00000000-0005-0000-0000-00007D480000}"/>
    <cellStyle name="40% - Accent4 2 2 2 2 2 6" xfId="18511" xr:uid="{00000000-0005-0000-0000-00007E480000}"/>
    <cellStyle name="40% - Accent4 2 2 2 2 2 6 2" xfId="18512" xr:uid="{00000000-0005-0000-0000-00007F480000}"/>
    <cellStyle name="40% - Accent4 2 2 2 2 2 7" xfId="18513" xr:uid="{00000000-0005-0000-0000-000080480000}"/>
    <cellStyle name="40% - Accent4 2 2 2 2 3" xfId="18514" xr:uid="{00000000-0005-0000-0000-000081480000}"/>
    <cellStyle name="40% - Accent4 2 2 2 2 3 2" xfId="18515" xr:uid="{00000000-0005-0000-0000-000082480000}"/>
    <cellStyle name="40% - Accent4 2 2 2 2 3 2 2" xfId="18516" xr:uid="{00000000-0005-0000-0000-000083480000}"/>
    <cellStyle name="40% - Accent4 2 2 2 2 3 2 2 2" xfId="18517" xr:uid="{00000000-0005-0000-0000-000084480000}"/>
    <cellStyle name="40% - Accent4 2 2 2 2 3 2 2 2 2" xfId="18518" xr:uid="{00000000-0005-0000-0000-000085480000}"/>
    <cellStyle name="40% - Accent4 2 2 2 2 3 2 2 2 2 2" xfId="18519" xr:uid="{00000000-0005-0000-0000-000086480000}"/>
    <cellStyle name="40% - Accent4 2 2 2 2 3 2 2 2 3" xfId="18520" xr:uid="{00000000-0005-0000-0000-000087480000}"/>
    <cellStyle name="40% - Accent4 2 2 2 2 3 2 2 3" xfId="18521" xr:uid="{00000000-0005-0000-0000-000088480000}"/>
    <cellStyle name="40% - Accent4 2 2 2 2 3 2 2 3 2" xfId="18522" xr:uid="{00000000-0005-0000-0000-000089480000}"/>
    <cellStyle name="40% - Accent4 2 2 2 2 3 2 2 4" xfId="18523" xr:uid="{00000000-0005-0000-0000-00008A480000}"/>
    <cellStyle name="40% - Accent4 2 2 2 2 3 2 3" xfId="18524" xr:uid="{00000000-0005-0000-0000-00008B480000}"/>
    <cellStyle name="40% - Accent4 2 2 2 2 3 2 3 2" xfId="18525" xr:uid="{00000000-0005-0000-0000-00008C480000}"/>
    <cellStyle name="40% - Accent4 2 2 2 2 3 2 3 2 2" xfId="18526" xr:uid="{00000000-0005-0000-0000-00008D480000}"/>
    <cellStyle name="40% - Accent4 2 2 2 2 3 2 3 3" xfId="18527" xr:uid="{00000000-0005-0000-0000-00008E480000}"/>
    <cellStyle name="40% - Accent4 2 2 2 2 3 2 4" xfId="18528" xr:uid="{00000000-0005-0000-0000-00008F480000}"/>
    <cellStyle name="40% - Accent4 2 2 2 2 3 2 4 2" xfId="18529" xr:uid="{00000000-0005-0000-0000-000090480000}"/>
    <cellStyle name="40% - Accent4 2 2 2 2 3 2 5" xfId="18530" xr:uid="{00000000-0005-0000-0000-000091480000}"/>
    <cellStyle name="40% - Accent4 2 2 2 2 3 3" xfId="18531" xr:uid="{00000000-0005-0000-0000-000092480000}"/>
    <cellStyle name="40% - Accent4 2 2 2 2 3 3 2" xfId="18532" xr:uid="{00000000-0005-0000-0000-000093480000}"/>
    <cellStyle name="40% - Accent4 2 2 2 2 3 3 2 2" xfId="18533" xr:uid="{00000000-0005-0000-0000-000094480000}"/>
    <cellStyle name="40% - Accent4 2 2 2 2 3 3 2 2 2" xfId="18534" xr:uid="{00000000-0005-0000-0000-000095480000}"/>
    <cellStyle name="40% - Accent4 2 2 2 2 3 3 2 3" xfId="18535" xr:uid="{00000000-0005-0000-0000-000096480000}"/>
    <cellStyle name="40% - Accent4 2 2 2 2 3 3 3" xfId="18536" xr:uid="{00000000-0005-0000-0000-000097480000}"/>
    <cellStyle name="40% - Accent4 2 2 2 2 3 3 3 2" xfId="18537" xr:uid="{00000000-0005-0000-0000-000098480000}"/>
    <cellStyle name="40% - Accent4 2 2 2 2 3 3 4" xfId="18538" xr:uid="{00000000-0005-0000-0000-000099480000}"/>
    <cellStyle name="40% - Accent4 2 2 2 2 3 4" xfId="18539" xr:uid="{00000000-0005-0000-0000-00009A480000}"/>
    <cellStyle name="40% - Accent4 2 2 2 2 3 4 2" xfId="18540" xr:uid="{00000000-0005-0000-0000-00009B480000}"/>
    <cellStyle name="40% - Accent4 2 2 2 2 3 4 2 2" xfId="18541" xr:uid="{00000000-0005-0000-0000-00009C480000}"/>
    <cellStyle name="40% - Accent4 2 2 2 2 3 4 3" xfId="18542" xr:uid="{00000000-0005-0000-0000-00009D480000}"/>
    <cellStyle name="40% - Accent4 2 2 2 2 3 5" xfId="18543" xr:uid="{00000000-0005-0000-0000-00009E480000}"/>
    <cellStyle name="40% - Accent4 2 2 2 2 3 5 2" xfId="18544" xr:uid="{00000000-0005-0000-0000-00009F480000}"/>
    <cellStyle name="40% - Accent4 2 2 2 2 3 6" xfId="18545" xr:uid="{00000000-0005-0000-0000-0000A0480000}"/>
    <cellStyle name="40% - Accent4 2 2 2 2 4" xfId="18546" xr:uid="{00000000-0005-0000-0000-0000A1480000}"/>
    <cellStyle name="40% - Accent4 2 2 2 2 4 2" xfId="18547" xr:uid="{00000000-0005-0000-0000-0000A2480000}"/>
    <cellStyle name="40% - Accent4 2 2 2 2 4 2 2" xfId="18548" xr:uid="{00000000-0005-0000-0000-0000A3480000}"/>
    <cellStyle name="40% - Accent4 2 2 2 2 4 2 2 2" xfId="18549" xr:uid="{00000000-0005-0000-0000-0000A4480000}"/>
    <cellStyle name="40% - Accent4 2 2 2 2 4 2 2 2 2" xfId="18550" xr:uid="{00000000-0005-0000-0000-0000A5480000}"/>
    <cellStyle name="40% - Accent4 2 2 2 2 4 2 2 3" xfId="18551" xr:uid="{00000000-0005-0000-0000-0000A6480000}"/>
    <cellStyle name="40% - Accent4 2 2 2 2 4 2 3" xfId="18552" xr:uid="{00000000-0005-0000-0000-0000A7480000}"/>
    <cellStyle name="40% - Accent4 2 2 2 2 4 2 3 2" xfId="18553" xr:uid="{00000000-0005-0000-0000-0000A8480000}"/>
    <cellStyle name="40% - Accent4 2 2 2 2 4 2 4" xfId="18554" xr:uid="{00000000-0005-0000-0000-0000A9480000}"/>
    <cellStyle name="40% - Accent4 2 2 2 2 4 3" xfId="18555" xr:uid="{00000000-0005-0000-0000-0000AA480000}"/>
    <cellStyle name="40% - Accent4 2 2 2 2 4 3 2" xfId="18556" xr:uid="{00000000-0005-0000-0000-0000AB480000}"/>
    <cellStyle name="40% - Accent4 2 2 2 2 4 3 2 2" xfId="18557" xr:uid="{00000000-0005-0000-0000-0000AC480000}"/>
    <cellStyle name="40% - Accent4 2 2 2 2 4 3 3" xfId="18558" xr:uid="{00000000-0005-0000-0000-0000AD480000}"/>
    <cellStyle name="40% - Accent4 2 2 2 2 4 4" xfId="18559" xr:uid="{00000000-0005-0000-0000-0000AE480000}"/>
    <cellStyle name="40% - Accent4 2 2 2 2 4 4 2" xfId="18560" xr:uid="{00000000-0005-0000-0000-0000AF480000}"/>
    <cellStyle name="40% - Accent4 2 2 2 2 4 5" xfId="18561" xr:uid="{00000000-0005-0000-0000-0000B0480000}"/>
    <cellStyle name="40% - Accent4 2 2 2 2 5" xfId="18562" xr:uid="{00000000-0005-0000-0000-0000B1480000}"/>
    <cellStyle name="40% - Accent4 2 2 2 2 5 2" xfId="18563" xr:uid="{00000000-0005-0000-0000-0000B2480000}"/>
    <cellStyle name="40% - Accent4 2 2 2 2 5 2 2" xfId="18564" xr:uid="{00000000-0005-0000-0000-0000B3480000}"/>
    <cellStyle name="40% - Accent4 2 2 2 2 5 2 2 2" xfId="18565" xr:uid="{00000000-0005-0000-0000-0000B4480000}"/>
    <cellStyle name="40% - Accent4 2 2 2 2 5 2 3" xfId="18566" xr:uid="{00000000-0005-0000-0000-0000B5480000}"/>
    <cellStyle name="40% - Accent4 2 2 2 2 5 3" xfId="18567" xr:uid="{00000000-0005-0000-0000-0000B6480000}"/>
    <cellStyle name="40% - Accent4 2 2 2 2 5 3 2" xfId="18568" xr:uid="{00000000-0005-0000-0000-0000B7480000}"/>
    <cellStyle name="40% - Accent4 2 2 2 2 5 4" xfId="18569" xr:uid="{00000000-0005-0000-0000-0000B8480000}"/>
    <cellStyle name="40% - Accent4 2 2 2 2 6" xfId="18570" xr:uid="{00000000-0005-0000-0000-0000B9480000}"/>
    <cellStyle name="40% - Accent4 2 2 2 2 6 2" xfId="18571" xr:uid="{00000000-0005-0000-0000-0000BA480000}"/>
    <cellStyle name="40% - Accent4 2 2 2 2 6 2 2" xfId="18572" xr:uid="{00000000-0005-0000-0000-0000BB480000}"/>
    <cellStyle name="40% - Accent4 2 2 2 2 6 3" xfId="18573" xr:uid="{00000000-0005-0000-0000-0000BC480000}"/>
    <cellStyle name="40% - Accent4 2 2 2 2 7" xfId="18574" xr:uid="{00000000-0005-0000-0000-0000BD480000}"/>
    <cellStyle name="40% - Accent4 2 2 2 2 7 2" xfId="18575" xr:uid="{00000000-0005-0000-0000-0000BE480000}"/>
    <cellStyle name="40% - Accent4 2 2 2 2 8" xfId="18576" xr:uid="{00000000-0005-0000-0000-0000BF480000}"/>
    <cellStyle name="40% - Accent4 2 2 2 3" xfId="18577" xr:uid="{00000000-0005-0000-0000-0000C0480000}"/>
    <cellStyle name="40% - Accent4 2 2 2 3 2" xfId="18578" xr:uid="{00000000-0005-0000-0000-0000C1480000}"/>
    <cellStyle name="40% - Accent4 2 2 2 3 2 2" xfId="18579" xr:uid="{00000000-0005-0000-0000-0000C2480000}"/>
    <cellStyle name="40% - Accent4 2 2 2 3 2 2 2" xfId="18580" xr:uid="{00000000-0005-0000-0000-0000C3480000}"/>
    <cellStyle name="40% - Accent4 2 2 2 3 2 2 2 2" xfId="18581" xr:uid="{00000000-0005-0000-0000-0000C4480000}"/>
    <cellStyle name="40% - Accent4 2 2 2 3 2 2 2 2 2" xfId="18582" xr:uid="{00000000-0005-0000-0000-0000C5480000}"/>
    <cellStyle name="40% - Accent4 2 2 2 3 2 2 2 2 2 2" xfId="18583" xr:uid="{00000000-0005-0000-0000-0000C6480000}"/>
    <cellStyle name="40% - Accent4 2 2 2 3 2 2 2 2 3" xfId="18584" xr:uid="{00000000-0005-0000-0000-0000C7480000}"/>
    <cellStyle name="40% - Accent4 2 2 2 3 2 2 2 3" xfId="18585" xr:uid="{00000000-0005-0000-0000-0000C8480000}"/>
    <cellStyle name="40% - Accent4 2 2 2 3 2 2 2 3 2" xfId="18586" xr:uid="{00000000-0005-0000-0000-0000C9480000}"/>
    <cellStyle name="40% - Accent4 2 2 2 3 2 2 2 4" xfId="18587" xr:uid="{00000000-0005-0000-0000-0000CA480000}"/>
    <cellStyle name="40% - Accent4 2 2 2 3 2 2 3" xfId="18588" xr:uid="{00000000-0005-0000-0000-0000CB480000}"/>
    <cellStyle name="40% - Accent4 2 2 2 3 2 2 3 2" xfId="18589" xr:uid="{00000000-0005-0000-0000-0000CC480000}"/>
    <cellStyle name="40% - Accent4 2 2 2 3 2 2 3 2 2" xfId="18590" xr:uid="{00000000-0005-0000-0000-0000CD480000}"/>
    <cellStyle name="40% - Accent4 2 2 2 3 2 2 3 3" xfId="18591" xr:uid="{00000000-0005-0000-0000-0000CE480000}"/>
    <cellStyle name="40% - Accent4 2 2 2 3 2 2 4" xfId="18592" xr:uid="{00000000-0005-0000-0000-0000CF480000}"/>
    <cellStyle name="40% - Accent4 2 2 2 3 2 2 4 2" xfId="18593" xr:uid="{00000000-0005-0000-0000-0000D0480000}"/>
    <cellStyle name="40% - Accent4 2 2 2 3 2 2 5" xfId="18594" xr:uid="{00000000-0005-0000-0000-0000D1480000}"/>
    <cellStyle name="40% - Accent4 2 2 2 3 2 3" xfId="18595" xr:uid="{00000000-0005-0000-0000-0000D2480000}"/>
    <cellStyle name="40% - Accent4 2 2 2 3 2 3 2" xfId="18596" xr:uid="{00000000-0005-0000-0000-0000D3480000}"/>
    <cellStyle name="40% - Accent4 2 2 2 3 2 3 2 2" xfId="18597" xr:uid="{00000000-0005-0000-0000-0000D4480000}"/>
    <cellStyle name="40% - Accent4 2 2 2 3 2 3 2 2 2" xfId="18598" xr:uid="{00000000-0005-0000-0000-0000D5480000}"/>
    <cellStyle name="40% - Accent4 2 2 2 3 2 3 2 3" xfId="18599" xr:uid="{00000000-0005-0000-0000-0000D6480000}"/>
    <cellStyle name="40% - Accent4 2 2 2 3 2 3 3" xfId="18600" xr:uid="{00000000-0005-0000-0000-0000D7480000}"/>
    <cellStyle name="40% - Accent4 2 2 2 3 2 3 3 2" xfId="18601" xr:uid="{00000000-0005-0000-0000-0000D8480000}"/>
    <cellStyle name="40% - Accent4 2 2 2 3 2 3 4" xfId="18602" xr:uid="{00000000-0005-0000-0000-0000D9480000}"/>
    <cellStyle name="40% - Accent4 2 2 2 3 2 4" xfId="18603" xr:uid="{00000000-0005-0000-0000-0000DA480000}"/>
    <cellStyle name="40% - Accent4 2 2 2 3 2 4 2" xfId="18604" xr:uid="{00000000-0005-0000-0000-0000DB480000}"/>
    <cellStyle name="40% - Accent4 2 2 2 3 2 4 2 2" xfId="18605" xr:uid="{00000000-0005-0000-0000-0000DC480000}"/>
    <cellStyle name="40% - Accent4 2 2 2 3 2 4 3" xfId="18606" xr:uid="{00000000-0005-0000-0000-0000DD480000}"/>
    <cellStyle name="40% - Accent4 2 2 2 3 2 5" xfId="18607" xr:uid="{00000000-0005-0000-0000-0000DE480000}"/>
    <cellStyle name="40% - Accent4 2 2 2 3 2 5 2" xfId="18608" xr:uid="{00000000-0005-0000-0000-0000DF480000}"/>
    <cellStyle name="40% - Accent4 2 2 2 3 2 6" xfId="18609" xr:uid="{00000000-0005-0000-0000-0000E0480000}"/>
    <cellStyle name="40% - Accent4 2 2 2 3 3" xfId="18610" xr:uid="{00000000-0005-0000-0000-0000E1480000}"/>
    <cellStyle name="40% - Accent4 2 2 2 3 3 2" xfId="18611" xr:uid="{00000000-0005-0000-0000-0000E2480000}"/>
    <cellStyle name="40% - Accent4 2 2 2 3 3 2 2" xfId="18612" xr:uid="{00000000-0005-0000-0000-0000E3480000}"/>
    <cellStyle name="40% - Accent4 2 2 2 3 3 2 2 2" xfId="18613" xr:uid="{00000000-0005-0000-0000-0000E4480000}"/>
    <cellStyle name="40% - Accent4 2 2 2 3 3 2 2 2 2" xfId="18614" xr:uid="{00000000-0005-0000-0000-0000E5480000}"/>
    <cellStyle name="40% - Accent4 2 2 2 3 3 2 2 3" xfId="18615" xr:uid="{00000000-0005-0000-0000-0000E6480000}"/>
    <cellStyle name="40% - Accent4 2 2 2 3 3 2 3" xfId="18616" xr:uid="{00000000-0005-0000-0000-0000E7480000}"/>
    <cellStyle name="40% - Accent4 2 2 2 3 3 2 3 2" xfId="18617" xr:uid="{00000000-0005-0000-0000-0000E8480000}"/>
    <cellStyle name="40% - Accent4 2 2 2 3 3 2 4" xfId="18618" xr:uid="{00000000-0005-0000-0000-0000E9480000}"/>
    <cellStyle name="40% - Accent4 2 2 2 3 3 3" xfId="18619" xr:uid="{00000000-0005-0000-0000-0000EA480000}"/>
    <cellStyle name="40% - Accent4 2 2 2 3 3 3 2" xfId="18620" xr:uid="{00000000-0005-0000-0000-0000EB480000}"/>
    <cellStyle name="40% - Accent4 2 2 2 3 3 3 2 2" xfId="18621" xr:uid="{00000000-0005-0000-0000-0000EC480000}"/>
    <cellStyle name="40% - Accent4 2 2 2 3 3 3 3" xfId="18622" xr:uid="{00000000-0005-0000-0000-0000ED480000}"/>
    <cellStyle name="40% - Accent4 2 2 2 3 3 4" xfId="18623" xr:uid="{00000000-0005-0000-0000-0000EE480000}"/>
    <cellStyle name="40% - Accent4 2 2 2 3 3 4 2" xfId="18624" xr:uid="{00000000-0005-0000-0000-0000EF480000}"/>
    <cellStyle name="40% - Accent4 2 2 2 3 3 5" xfId="18625" xr:uid="{00000000-0005-0000-0000-0000F0480000}"/>
    <cellStyle name="40% - Accent4 2 2 2 3 4" xfId="18626" xr:uid="{00000000-0005-0000-0000-0000F1480000}"/>
    <cellStyle name="40% - Accent4 2 2 2 3 4 2" xfId="18627" xr:uid="{00000000-0005-0000-0000-0000F2480000}"/>
    <cellStyle name="40% - Accent4 2 2 2 3 4 2 2" xfId="18628" xr:uid="{00000000-0005-0000-0000-0000F3480000}"/>
    <cellStyle name="40% - Accent4 2 2 2 3 4 2 2 2" xfId="18629" xr:uid="{00000000-0005-0000-0000-0000F4480000}"/>
    <cellStyle name="40% - Accent4 2 2 2 3 4 2 3" xfId="18630" xr:uid="{00000000-0005-0000-0000-0000F5480000}"/>
    <cellStyle name="40% - Accent4 2 2 2 3 4 3" xfId="18631" xr:uid="{00000000-0005-0000-0000-0000F6480000}"/>
    <cellStyle name="40% - Accent4 2 2 2 3 4 3 2" xfId="18632" xr:uid="{00000000-0005-0000-0000-0000F7480000}"/>
    <cellStyle name="40% - Accent4 2 2 2 3 4 4" xfId="18633" xr:uid="{00000000-0005-0000-0000-0000F8480000}"/>
    <cellStyle name="40% - Accent4 2 2 2 3 5" xfId="18634" xr:uid="{00000000-0005-0000-0000-0000F9480000}"/>
    <cellStyle name="40% - Accent4 2 2 2 3 5 2" xfId="18635" xr:uid="{00000000-0005-0000-0000-0000FA480000}"/>
    <cellStyle name="40% - Accent4 2 2 2 3 5 2 2" xfId="18636" xr:uid="{00000000-0005-0000-0000-0000FB480000}"/>
    <cellStyle name="40% - Accent4 2 2 2 3 5 3" xfId="18637" xr:uid="{00000000-0005-0000-0000-0000FC480000}"/>
    <cellStyle name="40% - Accent4 2 2 2 3 6" xfId="18638" xr:uid="{00000000-0005-0000-0000-0000FD480000}"/>
    <cellStyle name="40% - Accent4 2 2 2 3 6 2" xfId="18639" xr:uid="{00000000-0005-0000-0000-0000FE480000}"/>
    <cellStyle name="40% - Accent4 2 2 2 3 7" xfId="18640" xr:uid="{00000000-0005-0000-0000-0000FF480000}"/>
    <cellStyle name="40% - Accent4 2 2 2 4" xfId="18641" xr:uid="{00000000-0005-0000-0000-000000490000}"/>
    <cellStyle name="40% - Accent4 2 2 2 4 2" xfId="18642" xr:uid="{00000000-0005-0000-0000-000001490000}"/>
    <cellStyle name="40% - Accent4 2 2 2 4 2 2" xfId="18643" xr:uid="{00000000-0005-0000-0000-000002490000}"/>
    <cellStyle name="40% - Accent4 2 2 2 4 2 2 2" xfId="18644" xr:uid="{00000000-0005-0000-0000-000003490000}"/>
    <cellStyle name="40% - Accent4 2 2 2 4 2 2 2 2" xfId="18645" xr:uid="{00000000-0005-0000-0000-000004490000}"/>
    <cellStyle name="40% - Accent4 2 2 2 4 2 2 2 2 2" xfId="18646" xr:uid="{00000000-0005-0000-0000-000005490000}"/>
    <cellStyle name="40% - Accent4 2 2 2 4 2 2 2 3" xfId="18647" xr:uid="{00000000-0005-0000-0000-000006490000}"/>
    <cellStyle name="40% - Accent4 2 2 2 4 2 2 3" xfId="18648" xr:uid="{00000000-0005-0000-0000-000007490000}"/>
    <cellStyle name="40% - Accent4 2 2 2 4 2 2 3 2" xfId="18649" xr:uid="{00000000-0005-0000-0000-000008490000}"/>
    <cellStyle name="40% - Accent4 2 2 2 4 2 2 4" xfId="18650" xr:uid="{00000000-0005-0000-0000-000009490000}"/>
    <cellStyle name="40% - Accent4 2 2 2 4 2 3" xfId="18651" xr:uid="{00000000-0005-0000-0000-00000A490000}"/>
    <cellStyle name="40% - Accent4 2 2 2 4 2 3 2" xfId="18652" xr:uid="{00000000-0005-0000-0000-00000B490000}"/>
    <cellStyle name="40% - Accent4 2 2 2 4 2 3 2 2" xfId="18653" xr:uid="{00000000-0005-0000-0000-00000C490000}"/>
    <cellStyle name="40% - Accent4 2 2 2 4 2 3 3" xfId="18654" xr:uid="{00000000-0005-0000-0000-00000D490000}"/>
    <cellStyle name="40% - Accent4 2 2 2 4 2 4" xfId="18655" xr:uid="{00000000-0005-0000-0000-00000E490000}"/>
    <cellStyle name="40% - Accent4 2 2 2 4 2 4 2" xfId="18656" xr:uid="{00000000-0005-0000-0000-00000F490000}"/>
    <cellStyle name="40% - Accent4 2 2 2 4 2 5" xfId="18657" xr:uid="{00000000-0005-0000-0000-000010490000}"/>
    <cellStyle name="40% - Accent4 2 2 2 4 3" xfId="18658" xr:uid="{00000000-0005-0000-0000-000011490000}"/>
    <cellStyle name="40% - Accent4 2 2 2 4 3 2" xfId="18659" xr:uid="{00000000-0005-0000-0000-000012490000}"/>
    <cellStyle name="40% - Accent4 2 2 2 4 3 2 2" xfId="18660" xr:uid="{00000000-0005-0000-0000-000013490000}"/>
    <cellStyle name="40% - Accent4 2 2 2 4 3 2 2 2" xfId="18661" xr:uid="{00000000-0005-0000-0000-000014490000}"/>
    <cellStyle name="40% - Accent4 2 2 2 4 3 2 3" xfId="18662" xr:uid="{00000000-0005-0000-0000-000015490000}"/>
    <cellStyle name="40% - Accent4 2 2 2 4 3 3" xfId="18663" xr:uid="{00000000-0005-0000-0000-000016490000}"/>
    <cellStyle name="40% - Accent4 2 2 2 4 3 3 2" xfId="18664" xr:uid="{00000000-0005-0000-0000-000017490000}"/>
    <cellStyle name="40% - Accent4 2 2 2 4 3 4" xfId="18665" xr:uid="{00000000-0005-0000-0000-000018490000}"/>
    <cellStyle name="40% - Accent4 2 2 2 4 4" xfId="18666" xr:uid="{00000000-0005-0000-0000-000019490000}"/>
    <cellStyle name="40% - Accent4 2 2 2 4 4 2" xfId="18667" xr:uid="{00000000-0005-0000-0000-00001A490000}"/>
    <cellStyle name="40% - Accent4 2 2 2 4 4 2 2" xfId="18668" xr:uid="{00000000-0005-0000-0000-00001B490000}"/>
    <cellStyle name="40% - Accent4 2 2 2 4 4 3" xfId="18669" xr:uid="{00000000-0005-0000-0000-00001C490000}"/>
    <cellStyle name="40% - Accent4 2 2 2 4 5" xfId="18670" xr:uid="{00000000-0005-0000-0000-00001D490000}"/>
    <cellStyle name="40% - Accent4 2 2 2 4 5 2" xfId="18671" xr:uid="{00000000-0005-0000-0000-00001E490000}"/>
    <cellStyle name="40% - Accent4 2 2 2 4 6" xfId="18672" xr:uid="{00000000-0005-0000-0000-00001F490000}"/>
    <cellStyle name="40% - Accent4 2 2 2 5" xfId="18673" xr:uid="{00000000-0005-0000-0000-000020490000}"/>
    <cellStyle name="40% - Accent4 2 2 2 5 2" xfId="18674" xr:uid="{00000000-0005-0000-0000-000021490000}"/>
    <cellStyle name="40% - Accent4 2 2 2 5 2 2" xfId="18675" xr:uid="{00000000-0005-0000-0000-000022490000}"/>
    <cellStyle name="40% - Accent4 2 2 2 5 2 2 2" xfId="18676" xr:uid="{00000000-0005-0000-0000-000023490000}"/>
    <cellStyle name="40% - Accent4 2 2 2 5 2 2 2 2" xfId="18677" xr:uid="{00000000-0005-0000-0000-000024490000}"/>
    <cellStyle name="40% - Accent4 2 2 2 5 2 2 3" xfId="18678" xr:uid="{00000000-0005-0000-0000-000025490000}"/>
    <cellStyle name="40% - Accent4 2 2 2 5 2 3" xfId="18679" xr:uid="{00000000-0005-0000-0000-000026490000}"/>
    <cellStyle name="40% - Accent4 2 2 2 5 2 3 2" xfId="18680" xr:uid="{00000000-0005-0000-0000-000027490000}"/>
    <cellStyle name="40% - Accent4 2 2 2 5 2 4" xfId="18681" xr:uid="{00000000-0005-0000-0000-000028490000}"/>
    <cellStyle name="40% - Accent4 2 2 2 5 3" xfId="18682" xr:uid="{00000000-0005-0000-0000-000029490000}"/>
    <cellStyle name="40% - Accent4 2 2 2 5 3 2" xfId="18683" xr:uid="{00000000-0005-0000-0000-00002A490000}"/>
    <cellStyle name="40% - Accent4 2 2 2 5 3 2 2" xfId="18684" xr:uid="{00000000-0005-0000-0000-00002B490000}"/>
    <cellStyle name="40% - Accent4 2 2 2 5 3 3" xfId="18685" xr:uid="{00000000-0005-0000-0000-00002C490000}"/>
    <cellStyle name="40% - Accent4 2 2 2 5 4" xfId="18686" xr:uid="{00000000-0005-0000-0000-00002D490000}"/>
    <cellStyle name="40% - Accent4 2 2 2 5 4 2" xfId="18687" xr:uid="{00000000-0005-0000-0000-00002E490000}"/>
    <cellStyle name="40% - Accent4 2 2 2 5 5" xfId="18688" xr:uid="{00000000-0005-0000-0000-00002F490000}"/>
    <cellStyle name="40% - Accent4 2 2 2 6" xfId="18689" xr:uid="{00000000-0005-0000-0000-000030490000}"/>
    <cellStyle name="40% - Accent4 2 2 2 6 2" xfId="18690" xr:uid="{00000000-0005-0000-0000-000031490000}"/>
    <cellStyle name="40% - Accent4 2 2 2 6 2 2" xfId="18691" xr:uid="{00000000-0005-0000-0000-000032490000}"/>
    <cellStyle name="40% - Accent4 2 2 2 6 2 2 2" xfId="18692" xr:uid="{00000000-0005-0000-0000-000033490000}"/>
    <cellStyle name="40% - Accent4 2 2 2 6 2 3" xfId="18693" xr:uid="{00000000-0005-0000-0000-000034490000}"/>
    <cellStyle name="40% - Accent4 2 2 2 6 3" xfId="18694" xr:uid="{00000000-0005-0000-0000-000035490000}"/>
    <cellStyle name="40% - Accent4 2 2 2 6 3 2" xfId="18695" xr:uid="{00000000-0005-0000-0000-000036490000}"/>
    <cellStyle name="40% - Accent4 2 2 2 6 4" xfId="18696" xr:uid="{00000000-0005-0000-0000-000037490000}"/>
    <cellStyle name="40% - Accent4 2 2 2 7" xfId="18697" xr:uid="{00000000-0005-0000-0000-000038490000}"/>
    <cellStyle name="40% - Accent4 2 2 2 7 2" xfId="18698" xr:uid="{00000000-0005-0000-0000-000039490000}"/>
    <cellStyle name="40% - Accent4 2 2 2 7 2 2" xfId="18699" xr:uid="{00000000-0005-0000-0000-00003A490000}"/>
    <cellStyle name="40% - Accent4 2 2 2 7 3" xfId="18700" xr:uid="{00000000-0005-0000-0000-00003B490000}"/>
    <cellStyle name="40% - Accent4 2 2 2 8" xfId="18701" xr:uid="{00000000-0005-0000-0000-00003C490000}"/>
    <cellStyle name="40% - Accent4 2 2 2 8 2" xfId="18702" xr:uid="{00000000-0005-0000-0000-00003D490000}"/>
    <cellStyle name="40% - Accent4 2 2 2 9" xfId="18703" xr:uid="{00000000-0005-0000-0000-00003E490000}"/>
    <cellStyle name="40% - Accent4 2 2 3" xfId="18704" xr:uid="{00000000-0005-0000-0000-00003F490000}"/>
    <cellStyle name="40% - Accent4 2 2 3 2" xfId="18705" xr:uid="{00000000-0005-0000-0000-000040490000}"/>
    <cellStyle name="40% - Accent4 2 2 3 2 2" xfId="18706" xr:uid="{00000000-0005-0000-0000-000041490000}"/>
    <cellStyle name="40% - Accent4 2 2 3 2 2 2" xfId="18707" xr:uid="{00000000-0005-0000-0000-000042490000}"/>
    <cellStyle name="40% - Accent4 2 2 3 2 2 2 2" xfId="18708" xr:uid="{00000000-0005-0000-0000-000043490000}"/>
    <cellStyle name="40% - Accent4 2 2 3 2 2 2 2 2" xfId="18709" xr:uid="{00000000-0005-0000-0000-000044490000}"/>
    <cellStyle name="40% - Accent4 2 2 3 2 2 2 2 2 2" xfId="18710" xr:uid="{00000000-0005-0000-0000-000045490000}"/>
    <cellStyle name="40% - Accent4 2 2 3 2 2 2 2 2 2 2" xfId="18711" xr:uid="{00000000-0005-0000-0000-000046490000}"/>
    <cellStyle name="40% - Accent4 2 2 3 2 2 2 2 2 3" xfId="18712" xr:uid="{00000000-0005-0000-0000-000047490000}"/>
    <cellStyle name="40% - Accent4 2 2 3 2 2 2 2 3" xfId="18713" xr:uid="{00000000-0005-0000-0000-000048490000}"/>
    <cellStyle name="40% - Accent4 2 2 3 2 2 2 2 3 2" xfId="18714" xr:uid="{00000000-0005-0000-0000-000049490000}"/>
    <cellStyle name="40% - Accent4 2 2 3 2 2 2 2 4" xfId="18715" xr:uid="{00000000-0005-0000-0000-00004A490000}"/>
    <cellStyle name="40% - Accent4 2 2 3 2 2 2 3" xfId="18716" xr:uid="{00000000-0005-0000-0000-00004B490000}"/>
    <cellStyle name="40% - Accent4 2 2 3 2 2 2 3 2" xfId="18717" xr:uid="{00000000-0005-0000-0000-00004C490000}"/>
    <cellStyle name="40% - Accent4 2 2 3 2 2 2 3 2 2" xfId="18718" xr:uid="{00000000-0005-0000-0000-00004D490000}"/>
    <cellStyle name="40% - Accent4 2 2 3 2 2 2 3 3" xfId="18719" xr:uid="{00000000-0005-0000-0000-00004E490000}"/>
    <cellStyle name="40% - Accent4 2 2 3 2 2 2 4" xfId="18720" xr:uid="{00000000-0005-0000-0000-00004F490000}"/>
    <cellStyle name="40% - Accent4 2 2 3 2 2 2 4 2" xfId="18721" xr:uid="{00000000-0005-0000-0000-000050490000}"/>
    <cellStyle name="40% - Accent4 2 2 3 2 2 2 5" xfId="18722" xr:uid="{00000000-0005-0000-0000-000051490000}"/>
    <cellStyle name="40% - Accent4 2 2 3 2 2 3" xfId="18723" xr:uid="{00000000-0005-0000-0000-000052490000}"/>
    <cellStyle name="40% - Accent4 2 2 3 2 2 3 2" xfId="18724" xr:uid="{00000000-0005-0000-0000-000053490000}"/>
    <cellStyle name="40% - Accent4 2 2 3 2 2 3 2 2" xfId="18725" xr:uid="{00000000-0005-0000-0000-000054490000}"/>
    <cellStyle name="40% - Accent4 2 2 3 2 2 3 2 2 2" xfId="18726" xr:uid="{00000000-0005-0000-0000-000055490000}"/>
    <cellStyle name="40% - Accent4 2 2 3 2 2 3 2 3" xfId="18727" xr:uid="{00000000-0005-0000-0000-000056490000}"/>
    <cellStyle name="40% - Accent4 2 2 3 2 2 3 3" xfId="18728" xr:uid="{00000000-0005-0000-0000-000057490000}"/>
    <cellStyle name="40% - Accent4 2 2 3 2 2 3 3 2" xfId="18729" xr:uid="{00000000-0005-0000-0000-000058490000}"/>
    <cellStyle name="40% - Accent4 2 2 3 2 2 3 4" xfId="18730" xr:uid="{00000000-0005-0000-0000-000059490000}"/>
    <cellStyle name="40% - Accent4 2 2 3 2 2 4" xfId="18731" xr:uid="{00000000-0005-0000-0000-00005A490000}"/>
    <cellStyle name="40% - Accent4 2 2 3 2 2 4 2" xfId="18732" xr:uid="{00000000-0005-0000-0000-00005B490000}"/>
    <cellStyle name="40% - Accent4 2 2 3 2 2 4 2 2" xfId="18733" xr:uid="{00000000-0005-0000-0000-00005C490000}"/>
    <cellStyle name="40% - Accent4 2 2 3 2 2 4 3" xfId="18734" xr:uid="{00000000-0005-0000-0000-00005D490000}"/>
    <cellStyle name="40% - Accent4 2 2 3 2 2 5" xfId="18735" xr:uid="{00000000-0005-0000-0000-00005E490000}"/>
    <cellStyle name="40% - Accent4 2 2 3 2 2 5 2" xfId="18736" xr:uid="{00000000-0005-0000-0000-00005F490000}"/>
    <cellStyle name="40% - Accent4 2 2 3 2 2 6" xfId="18737" xr:uid="{00000000-0005-0000-0000-000060490000}"/>
    <cellStyle name="40% - Accent4 2 2 3 2 3" xfId="18738" xr:uid="{00000000-0005-0000-0000-000061490000}"/>
    <cellStyle name="40% - Accent4 2 2 3 2 3 2" xfId="18739" xr:uid="{00000000-0005-0000-0000-000062490000}"/>
    <cellStyle name="40% - Accent4 2 2 3 2 3 2 2" xfId="18740" xr:uid="{00000000-0005-0000-0000-000063490000}"/>
    <cellStyle name="40% - Accent4 2 2 3 2 3 2 2 2" xfId="18741" xr:uid="{00000000-0005-0000-0000-000064490000}"/>
    <cellStyle name="40% - Accent4 2 2 3 2 3 2 2 2 2" xfId="18742" xr:uid="{00000000-0005-0000-0000-000065490000}"/>
    <cellStyle name="40% - Accent4 2 2 3 2 3 2 2 3" xfId="18743" xr:uid="{00000000-0005-0000-0000-000066490000}"/>
    <cellStyle name="40% - Accent4 2 2 3 2 3 2 3" xfId="18744" xr:uid="{00000000-0005-0000-0000-000067490000}"/>
    <cellStyle name="40% - Accent4 2 2 3 2 3 2 3 2" xfId="18745" xr:uid="{00000000-0005-0000-0000-000068490000}"/>
    <cellStyle name="40% - Accent4 2 2 3 2 3 2 4" xfId="18746" xr:uid="{00000000-0005-0000-0000-000069490000}"/>
    <cellStyle name="40% - Accent4 2 2 3 2 3 3" xfId="18747" xr:uid="{00000000-0005-0000-0000-00006A490000}"/>
    <cellStyle name="40% - Accent4 2 2 3 2 3 3 2" xfId="18748" xr:uid="{00000000-0005-0000-0000-00006B490000}"/>
    <cellStyle name="40% - Accent4 2 2 3 2 3 3 2 2" xfId="18749" xr:uid="{00000000-0005-0000-0000-00006C490000}"/>
    <cellStyle name="40% - Accent4 2 2 3 2 3 3 3" xfId="18750" xr:uid="{00000000-0005-0000-0000-00006D490000}"/>
    <cellStyle name="40% - Accent4 2 2 3 2 3 4" xfId="18751" xr:uid="{00000000-0005-0000-0000-00006E490000}"/>
    <cellStyle name="40% - Accent4 2 2 3 2 3 4 2" xfId="18752" xr:uid="{00000000-0005-0000-0000-00006F490000}"/>
    <cellStyle name="40% - Accent4 2 2 3 2 3 5" xfId="18753" xr:uid="{00000000-0005-0000-0000-000070490000}"/>
    <cellStyle name="40% - Accent4 2 2 3 2 4" xfId="18754" xr:uid="{00000000-0005-0000-0000-000071490000}"/>
    <cellStyle name="40% - Accent4 2 2 3 2 4 2" xfId="18755" xr:uid="{00000000-0005-0000-0000-000072490000}"/>
    <cellStyle name="40% - Accent4 2 2 3 2 4 2 2" xfId="18756" xr:uid="{00000000-0005-0000-0000-000073490000}"/>
    <cellStyle name="40% - Accent4 2 2 3 2 4 2 2 2" xfId="18757" xr:uid="{00000000-0005-0000-0000-000074490000}"/>
    <cellStyle name="40% - Accent4 2 2 3 2 4 2 3" xfId="18758" xr:uid="{00000000-0005-0000-0000-000075490000}"/>
    <cellStyle name="40% - Accent4 2 2 3 2 4 3" xfId="18759" xr:uid="{00000000-0005-0000-0000-000076490000}"/>
    <cellStyle name="40% - Accent4 2 2 3 2 4 3 2" xfId="18760" xr:uid="{00000000-0005-0000-0000-000077490000}"/>
    <cellStyle name="40% - Accent4 2 2 3 2 4 4" xfId="18761" xr:uid="{00000000-0005-0000-0000-000078490000}"/>
    <cellStyle name="40% - Accent4 2 2 3 2 5" xfId="18762" xr:uid="{00000000-0005-0000-0000-000079490000}"/>
    <cellStyle name="40% - Accent4 2 2 3 2 5 2" xfId="18763" xr:uid="{00000000-0005-0000-0000-00007A490000}"/>
    <cellStyle name="40% - Accent4 2 2 3 2 5 2 2" xfId="18764" xr:uid="{00000000-0005-0000-0000-00007B490000}"/>
    <cellStyle name="40% - Accent4 2 2 3 2 5 3" xfId="18765" xr:uid="{00000000-0005-0000-0000-00007C490000}"/>
    <cellStyle name="40% - Accent4 2 2 3 2 6" xfId="18766" xr:uid="{00000000-0005-0000-0000-00007D490000}"/>
    <cellStyle name="40% - Accent4 2 2 3 2 6 2" xfId="18767" xr:uid="{00000000-0005-0000-0000-00007E490000}"/>
    <cellStyle name="40% - Accent4 2 2 3 2 7" xfId="18768" xr:uid="{00000000-0005-0000-0000-00007F490000}"/>
    <cellStyle name="40% - Accent4 2 2 3 3" xfId="18769" xr:uid="{00000000-0005-0000-0000-000080490000}"/>
    <cellStyle name="40% - Accent4 2 2 3 3 2" xfId="18770" xr:uid="{00000000-0005-0000-0000-000081490000}"/>
    <cellStyle name="40% - Accent4 2 2 3 3 2 2" xfId="18771" xr:uid="{00000000-0005-0000-0000-000082490000}"/>
    <cellStyle name="40% - Accent4 2 2 3 3 2 2 2" xfId="18772" xr:uid="{00000000-0005-0000-0000-000083490000}"/>
    <cellStyle name="40% - Accent4 2 2 3 3 2 2 2 2" xfId="18773" xr:uid="{00000000-0005-0000-0000-000084490000}"/>
    <cellStyle name="40% - Accent4 2 2 3 3 2 2 2 2 2" xfId="18774" xr:uid="{00000000-0005-0000-0000-000085490000}"/>
    <cellStyle name="40% - Accent4 2 2 3 3 2 2 2 3" xfId="18775" xr:uid="{00000000-0005-0000-0000-000086490000}"/>
    <cellStyle name="40% - Accent4 2 2 3 3 2 2 3" xfId="18776" xr:uid="{00000000-0005-0000-0000-000087490000}"/>
    <cellStyle name="40% - Accent4 2 2 3 3 2 2 3 2" xfId="18777" xr:uid="{00000000-0005-0000-0000-000088490000}"/>
    <cellStyle name="40% - Accent4 2 2 3 3 2 2 4" xfId="18778" xr:uid="{00000000-0005-0000-0000-000089490000}"/>
    <cellStyle name="40% - Accent4 2 2 3 3 2 3" xfId="18779" xr:uid="{00000000-0005-0000-0000-00008A490000}"/>
    <cellStyle name="40% - Accent4 2 2 3 3 2 3 2" xfId="18780" xr:uid="{00000000-0005-0000-0000-00008B490000}"/>
    <cellStyle name="40% - Accent4 2 2 3 3 2 3 2 2" xfId="18781" xr:uid="{00000000-0005-0000-0000-00008C490000}"/>
    <cellStyle name="40% - Accent4 2 2 3 3 2 3 3" xfId="18782" xr:uid="{00000000-0005-0000-0000-00008D490000}"/>
    <cellStyle name="40% - Accent4 2 2 3 3 2 4" xfId="18783" xr:uid="{00000000-0005-0000-0000-00008E490000}"/>
    <cellStyle name="40% - Accent4 2 2 3 3 2 4 2" xfId="18784" xr:uid="{00000000-0005-0000-0000-00008F490000}"/>
    <cellStyle name="40% - Accent4 2 2 3 3 2 5" xfId="18785" xr:uid="{00000000-0005-0000-0000-000090490000}"/>
    <cellStyle name="40% - Accent4 2 2 3 3 3" xfId="18786" xr:uid="{00000000-0005-0000-0000-000091490000}"/>
    <cellStyle name="40% - Accent4 2 2 3 3 3 2" xfId="18787" xr:uid="{00000000-0005-0000-0000-000092490000}"/>
    <cellStyle name="40% - Accent4 2 2 3 3 3 2 2" xfId="18788" xr:uid="{00000000-0005-0000-0000-000093490000}"/>
    <cellStyle name="40% - Accent4 2 2 3 3 3 2 2 2" xfId="18789" xr:uid="{00000000-0005-0000-0000-000094490000}"/>
    <cellStyle name="40% - Accent4 2 2 3 3 3 2 3" xfId="18790" xr:uid="{00000000-0005-0000-0000-000095490000}"/>
    <cellStyle name="40% - Accent4 2 2 3 3 3 3" xfId="18791" xr:uid="{00000000-0005-0000-0000-000096490000}"/>
    <cellStyle name="40% - Accent4 2 2 3 3 3 3 2" xfId="18792" xr:uid="{00000000-0005-0000-0000-000097490000}"/>
    <cellStyle name="40% - Accent4 2 2 3 3 3 4" xfId="18793" xr:uid="{00000000-0005-0000-0000-000098490000}"/>
    <cellStyle name="40% - Accent4 2 2 3 3 4" xfId="18794" xr:uid="{00000000-0005-0000-0000-000099490000}"/>
    <cellStyle name="40% - Accent4 2 2 3 3 4 2" xfId="18795" xr:uid="{00000000-0005-0000-0000-00009A490000}"/>
    <cellStyle name="40% - Accent4 2 2 3 3 4 2 2" xfId="18796" xr:uid="{00000000-0005-0000-0000-00009B490000}"/>
    <cellStyle name="40% - Accent4 2 2 3 3 4 3" xfId="18797" xr:uid="{00000000-0005-0000-0000-00009C490000}"/>
    <cellStyle name="40% - Accent4 2 2 3 3 5" xfId="18798" xr:uid="{00000000-0005-0000-0000-00009D490000}"/>
    <cellStyle name="40% - Accent4 2 2 3 3 5 2" xfId="18799" xr:uid="{00000000-0005-0000-0000-00009E490000}"/>
    <cellStyle name="40% - Accent4 2 2 3 3 6" xfId="18800" xr:uid="{00000000-0005-0000-0000-00009F490000}"/>
    <cellStyle name="40% - Accent4 2 2 3 4" xfId="18801" xr:uid="{00000000-0005-0000-0000-0000A0490000}"/>
    <cellStyle name="40% - Accent4 2 2 3 4 2" xfId="18802" xr:uid="{00000000-0005-0000-0000-0000A1490000}"/>
    <cellStyle name="40% - Accent4 2 2 3 4 2 2" xfId="18803" xr:uid="{00000000-0005-0000-0000-0000A2490000}"/>
    <cellStyle name="40% - Accent4 2 2 3 4 2 2 2" xfId="18804" xr:uid="{00000000-0005-0000-0000-0000A3490000}"/>
    <cellStyle name="40% - Accent4 2 2 3 4 2 2 2 2" xfId="18805" xr:uid="{00000000-0005-0000-0000-0000A4490000}"/>
    <cellStyle name="40% - Accent4 2 2 3 4 2 2 3" xfId="18806" xr:uid="{00000000-0005-0000-0000-0000A5490000}"/>
    <cellStyle name="40% - Accent4 2 2 3 4 2 3" xfId="18807" xr:uid="{00000000-0005-0000-0000-0000A6490000}"/>
    <cellStyle name="40% - Accent4 2 2 3 4 2 3 2" xfId="18808" xr:uid="{00000000-0005-0000-0000-0000A7490000}"/>
    <cellStyle name="40% - Accent4 2 2 3 4 2 4" xfId="18809" xr:uid="{00000000-0005-0000-0000-0000A8490000}"/>
    <cellStyle name="40% - Accent4 2 2 3 4 3" xfId="18810" xr:uid="{00000000-0005-0000-0000-0000A9490000}"/>
    <cellStyle name="40% - Accent4 2 2 3 4 3 2" xfId="18811" xr:uid="{00000000-0005-0000-0000-0000AA490000}"/>
    <cellStyle name="40% - Accent4 2 2 3 4 3 2 2" xfId="18812" xr:uid="{00000000-0005-0000-0000-0000AB490000}"/>
    <cellStyle name="40% - Accent4 2 2 3 4 3 3" xfId="18813" xr:uid="{00000000-0005-0000-0000-0000AC490000}"/>
    <cellStyle name="40% - Accent4 2 2 3 4 4" xfId="18814" xr:uid="{00000000-0005-0000-0000-0000AD490000}"/>
    <cellStyle name="40% - Accent4 2 2 3 4 4 2" xfId="18815" xr:uid="{00000000-0005-0000-0000-0000AE490000}"/>
    <cellStyle name="40% - Accent4 2 2 3 4 5" xfId="18816" xr:uid="{00000000-0005-0000-0000-0000AF490000}"/>
    <cellStyle name="40% - Accent4 2 2 3 5" xfId="18817" xr:uid="{00000000-0005-0000-0000-0000B0490000}"/>
    <cellStyle name="40% - Accent4 2 2 3 5 2" xfId="18818" xr:uid="{00000000-0005-0000-0000-0000B1490000}"/>
    <cellStyle name="40% - Accent4 2 2 3 5 2 2" xfId="18819" xr:uid="{00000000-0005-0000-0000-0000B2490000}"/>
    <cellStyle name="40% - Accent4 2 2 3 5 2 2 2" xfId="18820" xr:uid="{00000000-0005-0000-0000-0000B3490000}"/>
    <cellStyle name="40% - Accent4 2 2 3 5 2 3" xfId="18821" xr:uid="{00000000-0005-0000-0000-0000B4490000}"/>
    <cellStyle name="40% - Accent4 2 2 3 5 3" xfId="18822" xr:uid="{00000000-0005-0000-0000-0000B5490000}"/>
    <cellStyle name="40% - Accent4 2 2 3 5 3 2" xfId="18823" xr:uid="{00000000-0005-0000-0000-0000B6490000}"/>
    <cellStyle name="40% - Accent4 2 2 3 5 4" xfId="18824" xr:uid="{00000000-0005-0000-0000-0000B7490000}"/>
    <cellStyle name="40% - Accent4 2 2 3 6" xfId="18825" xr:uid="{00000000-0005-0000-0000-0000B8490000}"/>
    <cellStyle name="40% - Accent4 2 2 3 6 2" xfId="18826" xr:uid="{00000000-0005-0000-0000-0000B9490000}"/>
    <cellStyle name="40% - Accent4 2 2 3 6 2 2" xfId="18827" xr:uid="{00000000-0005-0000-0000-0000BA490000}"/>
    <cellStyle name="40% - Accent4 2 2 3 6 3" xfId="18828" xr:uid="{00000000-0005-0000-0000-0000BB490000}"/>
    <cellStyle name="40% - Accent4 2 2 3 7" xfId="18829" xr:uid="{00000000-0005-0000-0000-0000BC490000}"/>
    <cellStyle name="40% - Accent4 2 2 3 7 2" xfId="18830" xr:uid="{00000000-0005-0000-0000-0000BD490000}"/>
    <cellStyle name="40% - Accent4 2 2 3 8" xfId="18831" xr:uid="{00000000-0005-0000-0000-0000BE490000}"/>
    <cellStyle name="40% - Accent4 2 2 4" xfId="18832" xr:uid="{00000000-0005-0000-0000-0000BF490000}"/>
    <cellStyle name="40% - Accent4 2 2 4 2" xfId="18833" xr:uid="{00000000-0005-0000-0000-0000C0490000}"/>
    <cellStyle name="40% - Accent4 2 2 4 2 2" xfId="18834" xr:uid="{00000000-0005-0000-0000-0000C1490000}"/>
    <cellStyle name="40% - Accent4 2 2 4 2 2 2" xfId="18835" xr:uid="{00000000-0005-0000-0000-0000C2490000}"/>
    <cellStyle name="40% - Accent4 2 2 4 2 2 2 2" xfId="18836" xr:uid="{00000000-0005-0000-0000-0000C3490000}"/>
    <cellStyle name="40% - Accent4 2 2 4 2 2 2 2 2" xfId="18837" xr:uid="{00000000-0005-0000-0000-0000C4490000}"/>
    <cellStyle name="40% - Accent4 2 2 4 2 2 2 2 2 2" xfId="18838" xr:uid="{00000000-0005-0000-0000-0000C5490000}"/>
    <cellStyle name="40% - Accent4 2 2 4 2 2 2 2 3" xfId="18839" xr:uid="{00000000-0005-0000-0000-0000C6490000}"/>
    <cellStyle name="40% - Accent4 2 2 4 2 2 2 3" xfId="18840" xr:uid="{00000000-0005-0000-0000-0000C7490000}"/>
    <cellStyle name="40% - Accent4 2 2 4 2 2 2 3 2" xfId="18841" xr:uid="{00000000-0005-0000-0000-0000C8490000}"/>
    <cellStyle name="40% - Accent4 2 2 4 2 2 2 4" xfId="18842" xr:uid="{00000000-0005-0000-0000-0000C9490000}"/>
    <cellStyle name="40% - Accent4 2 2 4 2 2 3" xfId="18843" xr:uid="{00000000-0005-0000-0000-0000CA490000}"/>
    <cellStyle name="40% - Accent4 2 2 4 2 2 3 2" xfId="18844" xr:uid="{00000000-0005-0000-0000-0000CB490000}"/>
    <cellStyle name="40% - Accent4 2 2 4 2 2 3 2 2" xfId="18845" xr:uid="{00000000-0005-0000-0000-0000CC490000}"/>
    <cellStyle name="40% - Accent4 2 2 4 2 2 3 3" xfId="18846" xr:uid="{00000000-0005-0000-0000-0000CD490000}"/>
    <cellStyle name="40% - Accent4 2 2 4 2 2 4" xfId="18847" xr:uid="{00000000-0005-0000-0000-0000CE490000}"/>
    <cellStyle name="40% - Accent4 2 2 4 2 2 4 2" xfId="18848" xr:uid="{00000000-0005-0000-0000-0000CF490000}"/>
    <cellStyle name="40% - Accent4 2 2 4 2 2 5" xfId="18849" xr:uid="{00000000-0005-0000-0000-0000D0490000}"/>
    <cellStyle name="40% - Accent4 2 2 4 2 3" xfId="18850" xr:uid="{00000000-0005-0000-0000-0000D1490000}"/>
    <cellStyle name="40% - Accent4 2 2 4 2 3 2" xfId="18851" xr:uid="{00000000-0005-0000-0000-0000D2490000}"/>
    <cellStyle name="40% - Accent4 2 2 4 2 3 2 2" xfId="18852" xr:uid="{00000000-0005-0000-0000-0000D3490000}"/>
    <cellStyle name="40% - Accent4 2 2 4 2 3 2 2 2" xfId="18853" xr:uid="{00000000-0005-0000-0000-0000D4490000}"/>
    <cellStyle name="40% - Accent4 2 2 4 2 3 2 3" xfId="18854" xr:uid="{00000000-0005-0000-0000-0000D5490000}"/>
    <cellStyle name="40% - Accent4 2 2 4 2 3 3" xfId="18855" xr:uid="{00000000-0005-0000-0000-0000D6490000}"/>
    <cellStyle name="40% - Accent4 2 2 4 2 3 3 2" xfId="18856" xr:uid="{00000000-0005-0000-0000-0000D7490000}"/>
    <cellStyle name="40% - Accent4 2 2 4 2 3 4" xfId="18857" xr:uid="{00000000-0005-0000-0000-0000D8490000}"/>
    <cellStyle name="40% - Accent4 2 2 4 2 4" xfId="18858" xr:uid="{00000000-0005-0000-0000-0000D9490000}"/>
    <cellStyle name="40% - Accent4 2 2 4 2 4 2" xfId="18859" xr:uid="{00000000-0005-0000-0000-0000DA490000}"/>
    <cellStyle name="40% - Accent4 2 2 4 2 4 2 2" xfId="18860" xr:uid="{00000000-0005-0000-0000-0000DB490000}"/>
    <cellStyle name="40% - Accent4 2 2 4 2 4 3" xfId="18861" xr:uid="{00000000-0005-0000-0000-0000DC490000}"/>
    <cellStyle name="40% - Accent4 2 2 4 2 5" xfId="18862" xr:uid="{00000000-0005-0000-0000-0000DD490000}"/>
    <cellStyle name="40% - Accent4 2 2 4 2 5 2" xfId="18863" xr:uid="{00000000-0005-0000-0000-0000DE490000}"/>
    <cellStyle name="40% - Accent4 2 2 4 2 6" xfId="18864" xr:uid="{00000000-0005-0000-0000-0000DF490000}"/>
    <cellStyle name="40% - Accent4 2 2 4 3" xfId="18865" xr:uid="{00000000-0005-0000-0000-0000E0490000}"/>
    <cellStyle name="40% - Accent4 2 2 4 3 2" xfId="18866" xr:uid="{00000000-0005-0000-0000-0000E1490000}"/>
    <cellStyle name="40% - Accent4 2 2 4 3 2 2" xfId="18867" xr:uid="{00000000-0005-0000-0000-0000E2490000}"/>
    <cellStyle name="40% - Accent4 2 2 4 3 2 2 2" xfId="18868" xr:uid="{00000000-0005-0000-0000-0000E3490000}"/>
    <cellStyle name="40% - Accent4 2 2 4 3 2 2 2 2" xfId="18869" xr:uid="{00000000-0005-0000-0000-0000E4490000}"/>
    <cellStyle name="40% - Accent4 2 2 4 3 2 2 3" xfId="18870" xr:uid="{00000000-0005-0000-0000-0000E5490000}"/>
    <cellStyle name="40% - Accent4 2 2 4 3 2 3" xfId="18871" xr:uid="{00000000-0005-0000-0000-0000E6490000}"/>
    <cellStyle name="40% - Accent4 2 2 4 3 2 3 2" xfId="18872" xr:uid="{00000000-0005-0000-0000-0000E7490000}"/>
    <cellStyle name="40% - Accent4 2 2 4 3 2 4" xfId="18873" xr:uid="{00000000-0005-0000-0000-0000E8490000}"/>
    <cellStyle name="40% - Accent4 2 2 4 3 3" xfId="18874" xr:uid="{00000000-0005-0000-0000-0000E9490000}"/>
    <cellStyle name="40% - Accent4 2 2 4 3 3 2" xfId="18875" xr:uid="{00000000-0005-0000-0000-0000EA490000}"/>
    <cellStyle name="40% - Accent4 2 2 4 3 3 2 2" xfId="18876" xr:uid="{00000000-0005-0000-0000-0000EB490000}"/>
    <cellStyle name="40% - Accent4 2 2 4 3 3 3" xfId="18877" xr:uid="{00000000-0005-0000-0000-0000EC490000}"/>
    <cellStyle name="40% - Accent4 2 2 4 3 4" xfId="18878" xr:uid="{00000000-0005-0000-0000-0000ED490000}"/>
    <cellStyle name="40% - Accent4 2 2 4 3 4 2" xfId="18879" xr:uid="{00000000-0005-0000-0000-0000EE490000}"/>
    <cellStyle name="40% - Accent4 2 2 4 3 5" xfId="18880" xr:uid="{00000000-0005-0000-0000-0000EF490000}"/>
    <cellStyle name="40% - Accent4 2 2 4 4" xfId="18881" xr:uid="{00000000-0005-0000-0000-0000F0490000}"/>
    <cellStyle name="40% - Accent4 2 2 4 4 2" xfId="18882" xr:uid="{00000000-0005-0000-0000-0000F1490000}"/>
    <cellStyle name="40% - Accent4 2 2 4 4 2 2" xfId="18883" xr:uid="{00000000-0005-0000-0000-0000F2490000}"/>
    <cellStyle name="40% - Accent4 2 2 4 4 2 2 2" xfId="18884" xr:uid="{00000000-0005-0000-0000-0000F3490000}"/>
    <cellStyle name="40% - Accent4 2 2 4 4 2 3" xfId="18885" xr:uid="{00000000-0005-0000-0000-0000F4490000}"/>
    <cellStyle name="40% - Accent4 2 2 4 4 3" xfId="18886" xr:uid="{00000000-0005-0000-0000-0000F5490000}"/>
    <cellStyle name="40% - Accent4 2 2 4 4 3 2" xfId="18887" xr:uid="{00000000-0005-0000-0000-0000F6490000}"/>
    <cellStyle name="40% - Accent4 2 2 4 4 4" xfId="18888" xr:uid="{00000000-0005-0000-0000-0000F7490000}"/>
    <cellStyle name="40% - Accent4 2 2 4 5" xfId="18889" xr:uid="{00000000-0005-0000-0000-0000F8490000}"/>
    <cellStyle name="40% - Accent4 2 2 4 5 2" xfId="18890" xr:uid="{00000000-0005-0000-0000-0000F9490000}"/>
    <cellStyle name="40% - Accent4 2 2 4 5 2 2" xfId="18891" xr:uid="{00000000-0005-0000-0000-0000FA490000}"/>
    <cellStyle name="40% - Accent4 2 2 4 5 3" xfId="18892" xr:uid="{00000000-0005-0000-0000-0000FB490000}"/>
    <cellStyle name="40% - Accent4 2 2 4 6" xfId="18893" xr:uid="{00000000-0005-0000-0000-0000FC490000}"/>
    <cellStyle name="40% - Accent4 2 2 4 6 2" xfId="18894" xr:uid="{00000000-0005-0000-0000-0000FD490000}"/>
    <cellStyle name="40% - Accent4 2 2 4 7" xfId="18895" xr:uid="{00000000-0005-0000-0000-0000FE490000}"/>
    <cellStyle name="40% - Accent4 2 2 5" xfId="18896" xr:uid="{00000000-0005-0000-0000-0000FF490000}"/>
    <cellStyle name="40% - Accent4 2 2 5 2" xfId="18897" xr:uid="{00000000-0005-0000-0000-0000004A0000}"/>
    <cellStyle name="40% - Accent4 2 2 5 2 2" xfId="18898" xr:uid="{00000000-0005-0000-0000-0000014A0000}"/>
    <cellStyle name="40% - Accent4 2 2 5 2 2 2" xfId="18899" xr:uid="{00000000-0005-0000-0000-0000024A0000}"/>
    <cellStyle name="40% - Accent4 2 2 5 2 2 2 2" xfId="18900" xr:uid="{00000000-0005-0000-0000-0000034A0000}"/>
    <cellStyle name="40% - Accent4 2 2 5 2 2 2 2 2" xfId="18901" xr:uid="{00000000-0005-0000-0000-0000044A0000}"/>
    <cellStyle name="40% - Accent4 2 2 5 2 2 2 3" xfId="18902" xr:uid="{00000000-0005-0000-0000-0000054A0000}"/>
    <cellStyle name="40% - Accent4 2 2 5 2 2 3" xfId="18903" xr:uid="{00000000-0005-0000-0000-0000064A0000}"/>
    <cellStyle name="40% - Accent4 2 2 5 2 2 3 2" xfId="18904" xr:uid="{00000000-0005-0000-0000-0000074A0000}"/>
    <cellStyle name="40% - Accent4 2 2 5 2 2 4" xfId="18905" xr:uid="{00000000-0005-0000-0000-0000084A0000}"/>
    <cellStyle name="40% - Accent4 2 2 5 2 3" xfId="18906" xr:uid="{00000000-0005-0000-0000-0000094A0000}"/>
    <cellStyle name="40% - Accent4 2 2 5 2 3 2" xfId="18907" xr:uid="{00000000-0005-0000-0000-00000A4A0000}"/>
    <cellStyle name="40% - Accent4 2 2 5 2 3 2 2" xfId="18908" xr:uid="{00000000-0005-0000-0000-00000B4A0000}"/>
    <cellStyle name="40% - Accent4 2 2 5 2 3 3" xfId="18909" xr:uid="{00000000-0005-0000-0000-00000C4A0000}"/>
    <cellStyle name="40% - Accent4 2 2 5 2 4" xfId="18910" xr:uid="{00000000-0005-0000-0000-00000D4A0000}"/>
    <cellStyle name="40% - Accent4 2 2 5 2 4 2" xfId="18911" xr:uid="{00000000-0005-0000-0000-00000E4A0000}"/>
    <cellStyle name="40% - Accent4 2 2 5 2 5" xfId="18912" xr:uid="{00000000-0005-0000-0000-00000F4A0000}"/>
    <cellStyle name="40% - Accent4 2 2 5 3" xfId="18913" xr:uid="{00000000-0005-0000-0000-0000104A0000}"/>
    <cellStyle name="40% - Accent4 2 2 5 3 2" xfId="18914" xr:uid="{00000000-0005-0000-0000-0000114A0000}"/>
    <cellStyle name="40% - Accent4 2 2 5 3 2 2" xfId="18915" xr:uid="{00000000-0005-0000-0000-0000124A0000}"/>
    <cellStyle name="40% - Accent4 2 2 5 3 2 2 2" xfId="18916" xr:uid="{00000000-0005-0000-0000-0000134A0000}"/>
    <cellStyle name="40% - Accent4 2 2 5 3 2 3" xfId="18917" xr:uid="{00000000-0005-0000-0000-0000144A0000}"/>
    <cellStyle name="40% - Accent4 2 2 5 3 3" xfId="18918" xr:uid="{00000000-0005-0000-0000-0000154A0000}"/>
    <cellStyle name="40% - Accent4 2 2 5 3 3 2" xfId="18919" xr:uid="{00000000-0005-0000-0000-0000164A0000}"/>
    <cellStyle name="40% - Accent4 2 2 5 3 4" xfId="18920" xr:uid="{00000000-0005-0000-0000-0000174A0000}"/>
    <cellStyle name="40% - Accent4 2 2 5 4" xfId="18921" xr:uid="{00000000-0005-0000-0000-0000184A0000}"/>
    <cellStyle name="40% - Accent4 2 2 5 4 2" xfId="18922" xr:uid="{00000000-0005-0000-0000-0000194A0000}"/>
    <cellStyle name="40% - Accent4 2 2 5 4 2 2" xfId="18923" xr:uid="{00000000-0005-0000-0000-00001A4A0000}"/>
    <cellStyle name="40% - Accent4 2 2 5 4 3" xfId="18924" xr:uid="{00000000-0005-0000-0000-00001B4A0000}"/>
    <cellStyle name="40% - Accent4 2 2 5 5" xfId="18925" xr:uid="{00000000-0005-0000-0000-00001C4A0000}"/>
    <cellStyle name="40% - Accent4 2 2 5 5 2" xfId="18926" xr:uid="{00000000-0005-0000-0000-00001D4A0000}"/>
    <cellStyle name="40% - Accent4 2 2 5 6" xfId="18927" xr:uid="{00000000-0005-0000-0000-00001E4A0000}"/>
    <cellStyle name="40% - Accent4 2 2 6" xfId="18928" xr:uid="{00000000-0005-0000-0000-00001F4A0000}"/>
    <cellStyle name="40% - Accent4 2 2 6 2" xfId="18929" xr:uid="{00000000-0005-0000-0000-0000204A0000}"/>
    <cellStyle name="40% - Accent4 2 2 6 2 2" xfId="18930" xr:uid="{00000000-0005-0000-0000-0000214A0000}"/>
    <cellStyle name="40% - Accent4 2 2 6 2 2 2" xfId="18931" xr:uid="{00000000-0005-0000-0000-0000224A0000}"/>
    <cellStyle name="40% - Accent4 2 2 6 2 2 2 2" xfId="18932" xr:uid="{00000000-0005-0000-0000-0000234A0000}"/>
    <cellStyle name="40% - Accent4 2 2 6 2 2 3" xfId="18933" xr:uid="{00000000-0005-0000-0000-0000244A0000}"/>
    <cellStyle name="40% - Accent4 2 2 6 2 3" xfId="18934" xr:uid="{00000000-0005-0000-0000-0000254A0000}"/>
    <cellStyle name="40% - Accent4 2 2 6 2 3 2" xfId="18935" xr:uid="{00000000-0005-0000-0000-0000264A0000}"/>
    <cellStyle name="40% - Accent4 2 2 6 2 4" xfId="18936" xr:uid="{00000000-0005-0000-0000-0000274A0000}"/>
    <cellStyle name="40% - Accent4 2 2 6 3" xfId="18937" xr:uid="{00000000-0005-0000-0000-0000284A0000}"/>
    <cellStyle name="40% - Accent4 2 2 6 3 2" xfId="18938" xr:uid="{00000000-0005-0000-0000-0000294A0000}"/>
    <cellStyle name="40% - Accent4 2 2 6 3 2 2" xfId="18939" xr:uid="{00000000-0005-0000-0000-00002A4A0000}"/>
    <cellStyle name="40% - Accent4 2 2 6 3 3" xfId="18940" xr:uid="{00000000-0005-0000-0000-00002B4A0000}"/>
    <cellStyle name="40% - Accent4 2 2 6 4" xfId="18941" xr:uid="{00000000-0005-0000-0000-00002C4A0000}"/>
    <cellStyle name="40% - Accent4 2 2 6 4 2" xfId="18942" xr:uid="{00000000-0005-0000-0000-00002D4A0000}"/>
    <cellStyle name="40% - Accent4 2 2 6 5" xfId="18943" xr:uid="{00000000-0005-0000-0000-00002E4A0000}"/>
    <cellStyle name="40% - Accent4 2 2 7" xfId="18944" xr:uid="{00000000-0005-0000-0000-00002F4A0000}"/>
    <cellStyle name="40% - Accent4 2 2 7 2" xfId="18945" xr:uid="{00000000-0005-0000-0000-0000304A0000}"/>
    <cellStyle name="40% - Accent4 2 2 7 2 2" xfId="18946" xr:uid="{00000000-0005-0000-0000-0000314A0000}"/>
    <cellStyle name="40% - Accent4 2 2 7 2 2 2" xfId="18947" xr:uid="{00000000-0005-0000-0000-0000324A0000}"/>
    <cellStyle name="40% - Accent4 2 2 7 2 3" xfId="18948" xr:uid="{00000000-0005-0000-0000-0000334A0000}"/>
    <cellStyle name="40% - Accent4 2 2 7 3" xfId="18949" xr:uid="{00000000-0005-0000-0000-0000344A0000}"/>
    <cellStyle name="40% - Accent4 2 2 7 3 2" xfId="18950" xr:uid="{00000000-0005-0000-0000-0000354A0000}"/>
    <cellStyle name="40% - Accent4 2 2 7 4" xfId="18951" xr:uid="{00000000-0005-0000-0000-0000364A0000}"/>
    <cellStyle name="40% - Accent4 2 2 8" xfId="18952" xr:uid="{00000000-0005-0000-0000-0000374A0000}"/>
    <cellStyle name="40% - Accent4 2 2 8 2" xfId="18953" xr:uid="{00000000-0005-0000-0000-0000384A0000}"/>
    <cellStyle name="40% - Accent4 2 2 8 2 2" xfId="18954" xr:uid="{00000000-0005-0000-0000-0000394A0000}"/>
    <cellStyle name="40% - Accent4 2 2 8 3" xfId="18955" xr:uid="{00000000-0005-0000-0000-00003A4A0000}"/>
    <cellStyle name="40% - Accent4 2 2 9" xfId="18956" xr:uid="{00000000-0005-0000-0000-00003B4A0000}"/>
    <cellStyle name="40% - Accent4 2 2 9 2" xfId="18957" xr:uid="{00000000-0005-0000-0000-00003C4A0000}"/>
    <cellStyle name="40% - Accent4 2 3" xfId="18958" xr:uid="{00000000-0005-0000-0000-00003D4A0000}"/>
    <cellStyle name="40% - Accent4 2 3 2" xfId="18959" xr:uid="{00000000-0005-0000-0000-00003E4A0000}"/>
    <cellStyle name="40% - Accent4 2 3 2 2" xfId="18960" xr:uid="{00000000-0005-0000-0000-00003F4A0000}"/>
    <cellStyle name="40% - Accent4 2 3 2 2 2" xfId="18961" xr:uid="{00000000-0005-0000-0000-0000404A0000}"/>
    <cellStyle name="40% - Accent4 2 3 2 2 2 2" xfId="18962" xr:uid="{00000000-0005-0000-0000-0000414A0000}"/>
    <cellStyle name="40% - Accent4 2 3 2 2 2 2 2" xfId="18963" xr:uid="{00000000-0005-0000-0000-0000424A0000}"/>
    <cellStyle name="40% - Accent4 2 3 2 2 2 2 2 2" xfId="18964" xr:uid="{00000000-0005-0000-0000-0000434A0000}"/>
    <cellStyle name="40% - Accent4 2 3 2 2 2 2 2 2 2" xfId="18965" xr:uid="{00000000-0005-0000-0000-0000444A0000}"/>
    <cellStyle name="40% - Accent4 2 3 2 2 2 2 2 2 2 2" xfId="18966" xr:uid="{00000000-0005-0000-0000-0000454A0000}"/>
    <cellStyle name="40% - Accent4 2 3 2 2 2 2 2 2 3" xfId="18967" xr:uid="{00000000-0005-0000-0000-0000464A0000}"/>
    <cellStyle name="40% - Accent4 2 3 2 2 2 2 2 3" xfId="18968" xr:uid="{00000000-0005-0000-0000-0000474A0000}"/>
    <cellStyle name="40% - Accent4 2 3 2 2 2 2 2 3 2" xfId="18969" xr:uid="{00000000-0005-0000-0000-0000484A0000}"/>
    <cellStyle name="40% - Accent4 2 3 2 2 2 2 2 4" xfId="18970" xr:uid="{00000000-0005-0000-0000-0000494A0000}"/>
    <cellStyle name="40% - Accent4 2 3 2 2 2 2 3" xfId="18971" xr:uid="{00000000-0005-0000-0000-00004A4A0000}"/>
    <cellStyle name="40% - Accent4 2 3 2 2 2 2 3 2" xfId="18972" xr:uid="{00000000-0005-0000-0000-00004B4A0000}"/>
    <cellStyle name="40% - Accent4 2 3 2 2 2 2 3 2 2" xfId="18973" xr:uid="{00000000-0005-0000-0000-00004C4A0000}"/>
    <cellStyle name="40% - Accent4 2 3 2 2 2 2 3 3" xfId="18974" xr:uid="{00000000-0005-0000-0000-00004D4A0000}"/>
    <cellStyle name="40% - Accent4 2 3 2 2 2 2 4" xfId="18975" xr:uid="{00000000-0005-0000-0000-00004E4A0000}"/>
    <cellStyle name="40% - Accent4 2 3 2 2 2 2 4 2" xfId="18976" xr:uid="{00000000-0005-0000-0000-00004F4A0000}"/>
    <cellStyle name="40% - Accent4 2 3 2 2 2 2 5" xfId="18977" xr:uid="{00000000-0005-0000-0000-0000504A0000}"/>
    <cellStyle name="40% - Accent4 2 3 2 2 2 3" xfId="18978" xr:uid="{00000000-0005-0000-0000-0000514A0000}"/>
    <cellStyle name="40% - Accent4 2 3 2 2 2 3 2" xfId="18979" xr:uid="{00000000-0005-0000-0000-0000524A0000}"/>
    <cellStyle name="40% - Accent4 2 3 2 2 2 3 2 2" xfId="18980" xr:uid="{00000000-0005-0000-0000-0000534A0000}"/>
    <cellStyle name="40% - Accent4 2 3 2 2 2 3 2 2 2" xfId="18981" xr:uid="{00000000-0005-0000-0000-0000544A0000}"/>
    <cellStyle name="40% - Accent4 2 3 2 2 2 3 2 3" xfId="18982" xr:uid="{00000000-0005-0000-0000-0000554A0000}"/>
    <cellStyle name="40% - Accent4 2 3 2 2 2 3 3" xfId="18983" xr:uid="{00000000-0005-0000-0000-0000564A0000}"/>
    <cellStyle name="40% - Accent4 2 3 2 2 2 3 3 2" xfId="18984" xr:uid="{00000000-0005-0000-0000-0000574A0000}"/>
    <cellStyle name="40% - Accent4 2 3 2 2 2 3 4" xfId="18985" xr:uid="{00000000-0005-0000-0000-0000584A0000}"/>
    <cellStyle name="40% - Accent4 2 3 2 2 2 4" xfId="18986" xr:uid="{00000000-0005-0000-0000-0000594A0000}"/>
    <cellStyle name="40% - Accent4 2 3 2 2 2 4 2" xfId="18987" xr:uid="{00000000-0005-0000-0000-00005A4A0000}"/>
    <cellStyle name="40% - Accent4 2 3 2 2 2 4 2 2" xfId="18988" xr:uid="{00000000-0005-0000-0000-00005B4A0000}"/>
    <cellStyle name="40% - Accent4 2 3 2 2 2 4 3" xfId="18989" xr:uid="{00000000-0005-0000-0000-00005C4A0000}"/>
    <cellStyle name="40% - Accent4 2 3 2 2 2 5" xfId="18990" xr:uid="{00000000-0005-0000-0000-00005D4A0000}"/>
    <cellStyle name="40% - Accent4 2 3 2 2 2 5 2" xfId="18991" xr:uid="{00000000-0005-0000-0000-00005E4A0000}"/>
    <cellStyle name="40% - Accent4 2 3 2 2 2 6" xfId="18992" xr:uid="{00000000-0005-0000-0000-00005F4A0000}"/>
    <cellStyle name="40% - Accent4 2 3 2 2 3" xfId="18993" xr:uid="{00000000-0005-0000-0000-0000604A0000}"/>
    <cellStyle name="40% - Accent4 2 3 2 2 3 2" xfId="18994" xr:uid="{00000000-0005-0000-0000-0000614A0000}"/>
    <cellStyle name="40% - Accent4 2 3 2 2 3 2 2" xfId="18995" xr:uid="{00000000-0005-0000-0000-0000624A0000}"/>
    <cellStyle name="40% - Accent4 2 3 2 2 3 2 2 2" xfId="18996" xr:uid="{00000000-0005-0000-0000-0000634A0000}"/>
    <cellStyle name="40% - Accent4 2 3 2 2 3 2 2 2 2" xfId="18997" xr:uid="{00000000-0005-0000-0000-0000644A0000}"/>
    <cellStyle name="40% - Accent4 2 3 2 2 3 2 2 3" xfId="18998" xr:uid="{00000000-0005-0000-0000-0000654A0000}"/>
    <cellStyle name="40% - Accent4 2 3 2 2 3 2 3" xfId="18999" xr:uid="{00000000-0005-0000-0000-0000664A0000}"/>
    <cellStyle name="40% - Accent4 2 3 2 2 3 2 3 2" xfId="19000" xr:uid="{00000000-0005-0000-0000-0000674A0000}"/>
    <cellStyle name="40% - Accent4 2 3 2 2 3 2 4" xfId="19001" xr:uid="{00000000-0005-0000-0000-0000684A0000}"/>
    <cellStyle name="40% - Accent4 2 3 2 2 3 3" xfId="19002" xr:uid="{00000000-0005-0000-0000-0000694A0000}"/>
    <cellStyle name="40% - Accent4 2 3 2 2 3 3 2" xfId="19003" xr:uid="{00000000-0005-0000-0000-00006A4A0000}"/>
    <cellStyle name="40% - Accent4 2 3 2 2 3 3 2 2" xfId="19004" xr:uid="{00000000-0005-0000-0000-00006B4A0000}"/>
    <cellStyle name="40% - Accent4 2 3 2 2 3 3 3" xfId="19005" xr:uid="{00000000-0005-0000-0000-00006C4A0000}"/>
    <cellStyle name="40% - Accent4 2 3 2 2 3 4" xfId="19006" xr:uid="{00000000-0005-0000-0000-00006D4A0000}"/>
    <cellStyle name="40% - Accent4 2 3 2 2 3 4 2" xfId="19007" xr:uid="{00000000-0005-0000-0000-00006E4A0000}"/>
    <cellStyle name="40% - Accent4 2 3 2 2 3 5" xfId="19008" xr:uid="{00000000-0005-0000-0000-00006F4A0000}"/>
    <cellStyle name="40% - Accent4 2 3 2 2 4" xfId="19009" xr:uid="{00000000-0005-0000-0000-0000704A0000}"/>
    <cellStyle name="40% - Accent4 2 3 2 2 4 2" xfId="19010" xr:uid="{00000000-0005-0000-0000-0000714A0000}"/>
    <cellStyle name="40% - Accent4 2 3 2 2 4 2 2" xfId="19011" xr:uid="{00000000-0005-0000-0000-0000724A0000}"/>
    <cellStyle name="40% - Accent4 2 3 2 2 4 2 2 2" xfId="19012" xr:uid="{00000000-0005-0000-0000-0000734A0000}"/>
    <cellStyle name="40% - Accent4 2 3 2 2 4 2 3" xfId="19013" xr:uid="{00000000-0005-0000-0000-0000744A0000}"/>
    <cellStyle name="40% - Accent4 2 3 2 2 4 3" xfId="19014" xr:uid="{00000000-0005-0000-0000-0000754A0000}"/>
    <cellStyle name="40% - Accent4 2 3 2 2 4 3 2" xfId="19015" xr:uid="{00000000-0005-0000-0000-0000764A0000}"/>
    <cellStyle name="40% - Accent4 2 3 2 2 4 4" xfId="19016" xr:uid="{00000000-0005-0000-0000-0000774A0000}"/>
    <cellStyle name="40% - Accent4 2 3 2 2 5" xfId="19017" xr:uid="{00000000-0005-0000-0000-0000784A0000}"/>
    <cellStyle name="40% - Accent4 2 3 2 2 5 2" xfId="19018" xr:uid="{00000000-0005-0000-0000-0000794A0000}"/>
    <cellStyle name="40% - Accent4 2 3 2 2 5 2 2" xfId="19019" xr:uid="{00000000-0005-0000-0000-00007A4A0000}"/>
    <cellStyle name="40% - Accent4 2 3 2 2 5 3" xfId="19020" xr:uid="{00000000-0005-0000-0000-00007B4A0000}"/>
    <cellStyle name="40% - Accent4 2 3 2 2 6" xfId="19021" xr:uid="{00000000-0005-0000-0000-00007C4A0000}"/>
    <cellStyle name="40% - Accent4 2 3 2 2 6 2" xfId="19022" xr:uid="{00000000-0005-0000-0000-00007D4A0000}"/>
    <cellStyle name="40% - Accent4 2 3 2 2 7" xfId="19023" xr:uid="{00000000-0005-0000-0000-00007E4A0000}"/>
    <cellStyle name="40% - Accent4 2 3 2 3" xfId="19024" xr:uid="{00000000-0005-0000-0000-00007F4A0000}"/>
    <cellStyle name="40% - Accent4 2 3 2 3 2" xfId="19025" xr:uid="{00000000-0005-0000-0000-0000804A0000}"/>
    <cellStyle name="40% - Accent4 2 3 2 3 2 2" xfId="19026" xr:uid="{00000000-0005-0000-0000-0000814A0000}"/>
    <cellStyle name="40% - Accent4 2 3 2 3 2 2 2" xfId="19027" xr:uid="{00000000-0005-0000-0000-0000824A0000}"/>
    <cellStyle name="40% - Accent4 2 3 2 3 2 2 2 2" xfId="19028" xr:uid="{00000000-0005-0000-0000-0000834A0000}"/>
    <cellStyle name="40% - Accent4 2 3 2 3 2 2 2 2 2" xfId="19029" xr:uid="{00000000-0005-0000-0000-0000844A0000}"/>
    <cellStyle name="40% - Accent4 2 3 2 3 2 2 2 3" xfId="19030" xr:uid="{00000000-0005-0000-0000-0000854A0000}"/>
    <cellStyle name="40% - Accent4 2 3 2 3 2 2 3" xfId="19031" xr:uid="{00000000-0005-0000-0000-0000864A0000}"/>
    <cellStyle name="40% - Accent4 2 3 2 3 2 2 3 2" xfId="19032" xr:uid="{00000000-0005-0000-0000-0000874A0000}"/>
    <cellStyle name="40% - Accent4 2 3 2 3 2 2 4" xfId="19033" xr:uid="{00000000-0005-0000-0000-0000884A0000}"/>
    <cellStyle name="40% - Accent4 2 3 2 3 2 3" xfId="19034" xr:uid="{00000000-0005-0000-0000-0000894A0000}"/>
    <cellStyle name="40% - Accent4 2 3 2 3 2 3 2" xfId="19035" xr:uid="{00000000-0005-0000-0000-00008A4A0000}"/>
    <cellStyle name="40% - Accent4 2 3 2 3 2 3 2 2" xfId="19036" xr:uid="{00000000-0005-0000-0000-00008B4A0000}"/>
    <cellStyle name="40% - Accent4 2 3 2 3 2 3 3" xfId="19037" xr:uid="{00000000-0005-0000-0000-00008C4A0000}"/>
    <cellStyle name="40% - Accent4 2 3 2 3 2 4" xfId="19038" xr:uid="{00000000-0005-0000-0000-00008D4A0000}"/>
    <cellStyle name="40% - Accent4 2 3 2 3 2 4 2" xfId="19039" xr:uid="{00000000-0005-0000-0000-00008E4A0000}"/>
    <cellStyle name="40% - Accent4 2 3 2 3 2 5" xfId="19040" xr:uid="{00000000-0005-0000-0000-00008F4A0000}"/>
    <cellStyle name="40% - Accent4 2 3 2 3 3" xfId="19041" xr:uid="{00000000-0005-0000-0000-0000904A0000}"/>
    <cellStyle name="40% - Accent4 2 3 2 3 3 2" xfId="19042" xr:uid="{00000000-0005-0000-0000-0000914A0000}"/>
    <cellStyle name="40% - Accent4 2 3 2 3 3 2 2" xfId="19043" xr:uid="{00000000-0005-0000-0000-0000924A0000}"/>
    <cellStyle name="40% - Accent4 2 3 2 3 3 2 2 2" xfId="19044" xr:uid="{00000000-0005-0000-0000-0000934A0000}"/>
    <cellStyle name="40% - Accent4 2 3 2 3 3 2 3" xfId="19045" xr:uid="{00000000-0005-0000-0000-0000944A0000}"/>
    <cellStyle name="40% - Accent4 2 3 2 3 3 3" xfId="19046" xr:uid="{00000000-0005-0000-0000-0000954A0000}"/>
    <cellStyle name="40% - Accent4 2 3 2 3 3 3 2" xfId="19047" xr:uid="{00000000-0005-0000-0000-0000964A0000}"/>
    <cellStyle name="40% - Accent4 2 3 2 3 3 4" xfId="19048" xr:uid="{00000000-0005-0000-0000-0000974A0000}"/>
    <cellStyle name="40% - Accent4 2 3 2 3 4" xfId="19049" xr:uid="{00000000-0005-0000-0000-0000984A0000}"/>
    <cellStyle name="40% - Accent4 2 3 2 3 4 2" xfId="19050" xr:uid="{00000000-0005-0000-0000-0000994A0000}"/>
    <cellStyle name="40% - Accent4 2 3 2 3 4 2 2" xfId="19051" xr:uid="{00000000-0005-0000-0000-00009A4A0000}"/>
    <cellStyle name="40% - Accent4 2 3 2 3 4 3" xfId="19052" xr:uid="{00000000-0005-0000-0000-00009B4A0000}"/>
    <cellStyle name="40% - Accent4 2 3 2 3 5" xfId="19053" xr:uid="{00000000-0005-0000-0000-00009C4A0000}"/>
    <cellStyle name="40% - Accent4 2 3 2 3 5 2" xfId="19054" xr:uid="{00000000-0005-0000-0000-00009D4A0000}"/>
    <cellStyle name="40% - Accent4 2 3 2 3 6" xfId="19055" xr:uid="{00000000-0005-0000-0000-00009E4A0000}"/>
    <cellStyle name="40% - Accent4 2 3 2 4" xfId="19056" xr:uid="{00000000-0005-0000-0000-00009F4A0000}"/>
    <cellStyle name="40% - Accent4 2 3 2 4 2" xfId="19057" xr:uid="{00000000-0005-0000-0000-0000A04A0000}"/>
    <cellStyle name="40% - Accent4 2 3 2 4 2 2" xfId="19058" xr:uid="{00000000-0005-0000-0000-0000A14A0000}"/>
    <cellStyle name="40% - Accent4 2 3 2 4 2 2 2" xfId="19059" xr:uid="{00000000-0005-0000-0000-0000A24A0000}"/>
    <cellStyle name="40% - Accent4 2 3 2 4 2 2 2 2" xfId="19060" xr:uid="{00000000-0005-0000-0000-0000A34A0000}"/>
    <cellStyle name="40% - Accent4 2 3 2 4 2 2 3" xfId="19061" xr:uid="{00000000-0005-0000-0000-0000A44A0000}"/>
    <cellStyle name="40% - Accent4 2 3 2 4 2 3" xfId="19062" xr:uid="{00000000-0005-0000-0000-0000A54A0000}"/>
    <cellStyle name="40% - Accent4 2 3 2 4 2 3 2" xfId="19063" xr:uid="{00000000-0005-0000-0000-0000A64A0000}"/>
    <cellStyle name="40% - Accent4 2 3 2 4 2 4" xfId="19064" xr:uid="{00000000-0005-0000-0000-0000A74A0000}"/>
    <cellStyle name="40% - Accent4 2 3 2 4 3" xfId="19065" xr:uid="{00000000-0005-0000-0000-0000A84A0000}"/>
    <cellStyle name="40% - Accent4 2 3 2 4 3 2" xfId="19066" xr:uid="{00000000-0005-0000-0000-0000A94A0000}"/>
    <cellStyle name="40% - Accent4 2 3 2 4 3 2 2" xfId="19067" xr:uid="{00000000-0005-0000-0000-0000AA4A0000}"/>
    <cellStyle name="40% - Accent4 2 3 2 4 3 3" xfId="19068" xr:uid="{00000000-0005-0000-0000-0000AB4A0000}"/>
    <cellStyle name="40% - Accent4 2 3 2 4 4" xfId="19069" xr:uid="{00000000-0005-0000-0000-0000AC4A0000}"/>
    <cellStyle name="40% - Accent4 2 3 2 4 4 2" xfId="19070" xr:uid="{00000000-0005-0000-0000-0000AD4A0000}"/>
    <cellStyle name="40% - Accent4 2 3 2 4 5" xfId="19071" xr:uid="{00000000-0005-0000-0000-0000AE4A0000}"/>
    <cellStyle name="40% - Accent4 2 3 2 5" xfId="19072" xr:uid="{00000000-0005-0000-0000-0000AF4A0000}"/>
    <cellStyle name="40% - Accent4 2 3 2 5 2" xfId="19073" xr:uid="{00000000-0005-0000-0000-0000B04A0000}"/>
    <cellStyle name="40% - Accent4 2 3 2 5 2 2" xfId="19074" xr:uid="{00000000-0005-0000-0000-0000B14A0000}"/>
    <cellStyle name="40% - Accent4 2 3 2 5 2 2 2" xfId="19075" xr:uid="{00000000-0005-0000-0000-0000B24A0000}"/>
    <cellStyle name="40% - Accent4 2 3 2 5 2 3" xfId="19076" xr:uid="{00000000-0005-0000-0000-0000B34A0000}"/>
    <cellStyle name="40% - Accent4 2 3 2 5 3" xfId="19077" xr:uid="{00000000-0005-0000-0000-0000B44A0000}"/>
    <cellStyle name="40% - Accent4 2 3 2 5 3 2" xfId="19078" xr:uid="{00000000-0005-0000-0000-0000B54A0000}"/>
    <cellStyle name="40% - Accent4 2 3 2 5 4" xfId="19079" xr:uid="{00000000-0005-0000-0000-0000B64A0000}"/>
    <cellStyle name="40% - Accent4 2 3 2 6" xfId="19080" xr:uid="{00000000-0005-0000-0000-0000B74A0000}"/>
    <cellStyle name="40% - Accent4 2 3 2 6 2" xfId="19081" xr:uid="{00000000-0005-0000-0000-0000B84A0000}"/>
    <cellStyle name="40% - Accent4 2 3 2 6 2 2" xfId="19082" xr:uid="{00000000-0005-0000-0000-0000B94A0000}"/>
    <cellStyle name="40% - Accent4 2 3 2 6 3" xfId="19083" xr:uid="{00000000-0005-0000-0000-0000BA4A0000}"/>
    <cellStyle name="40% - Accent4 2 3 2 7" xfId="19084" xr:uid="{00000000-0005-0000-0000-0000BB4A0000}"/>
    <cellStyle name="40% - Accent4 2 3 2 7 2" xfId="19085" xr:uid="{00000000-0005-0000-0000-0000BC4A0000}"/>
    <cellStyle name="40% - Accent4 2 3 2 8" xfId="19086" xr:uid="{00000000-0005-0000-0000-0000BD4A0000}"/>
    <cellStyle name="40% - Accent4 2 3 3" xfId="19087" xr:uid="{00000000-0005-0000-0000-0000BE4A0000}"/>
    <cellStyle name="40% - Accent4 2 3 3 2" xfId="19088" xr:uid="{00000000-0005-0000-0000-0000BF4A0000}"/>
    <cellStyle name="40% - Accent4 2 3 3 2 2" xfId="19089" xr:uid="{00000000-0005-0000-0000-0000C04A0000}"/>
    <cellStyle name="40% - Accent4 2 3 3 2 2 2" xfId="19090" xr:uid="{00000000-0005-0000-0000-0000C14A0000}"/>
    <cellStyle name="40% - Accent4 2 3 3 2 2 2 2" xfId="19091" xr:uid="{00000000-0005-0000-0000-0000C24A0000}"/>
    <cellStyle name="40% - Accent4 2 3 3 2 2 2 2 2" xfId="19092" xr:uid="{00000000-0005-0000-0000-0000C34A0000}"/>
    <cellStyle name="40% - Accent4 2 3 3 2 2 2 2 2 2" xfId="19093" xr:uid="{00000000-0005-0000-0000-0000C44A0000}"/>
    <cellStyle name="40% - Accent4 2 3 3 2 2 2 2 3" xfId="19094" xr:uid="{00000000-0005-0000-0000-0000C54A0000}"/>
    <cellStyle name="40% - Accent4 2 3 3 2 2 2 3" xfId="19095" xr:uid="{00000000-0005-0000-0000-0000C64A0000}"/>
    <cellStyle name="40% - Accent4 2 3 3 2 2 2 3 2" xfId="19096" xr:uid="{00000000-0005-0000-0000-0000C74A0000}"/>
    <cellStyle name="40% - Accent4 2 3 3 2 2 2 4" xfId="19097" xr:uid="{00000000-0005-0000-0000-0000C84A0000}"/>
    <cellStyle name="40% - Accent4 2 3 3 2 2 3" xfId="19098" xr:uid="{00000000-0005-0000-0000-0000C94A0000}"/>
    <cellStyle name="40% - Accent4 2 3 3 2 2 3 2" xfId="19099" xr:uid="{00000000-0005-0000-0000-0000CA4A0000}"/>
    <cellStyle name="40% - Accent4 2 3 3 2 2 3 2 2" xfId="19100" xr:uid="{00000000-0005-0000-0000-0000CB4A0000}"/>
    <cellStyle name="40% - Accent4 2 3 3 2 2 3 3" xfId="19101" xr:uid="{00000000-0005-0000-0000-0000CC4A0000}"/>
    <cellStyle name="40% - Accent4 2 3 3 2 2 4" xfId="19102" xr:uid="{00000000-0005-0000-0000-0000CD4A0000}"/>
    <cellStyle name="40% - Accent4 2 3 3 2 2 4 2" xfId="19103" xr:uid="{00000000-0005-0000-0000-0000CE4A0000}"/>
    <cellStyle name="40% - Accent4 2 3 3 2 2 5" xfId="19104" xr:uid="{00000000-0005-0000-0000-0000CF4A0000}"/>
    <cellStyle name="40% - Accent4 2 3 3 2 3" xfId="19105" xr:uid="{00000000-0005-0000-0000-0000D04A0000}"/>
    <cellStyle name="40% - Accent4 2 3 3 2 3 2" xfId="19106" xr:uid="{00000000-0005-0000-0000-0000D14A0000}"/>
    <cellStyle name="40% - Accent4 2 3 3 2 3 2 2" xfId="19107" xr:uid="{00000000-0005-0000-0000-0000D24A0000}"/>
    <cellStyle name="40% - Accent4 2 3 3 2 3 2 2 2" xfId="19108" xr:uid="{00000000-0005-0000-0000-0000D34A0000}"/>
    <cellStyle name="40% - Accent4 2 3 3 2 3 2 3" xfId="19109" xr:uid="{00000000-0005-0000-0000-0000D44A0000}"/>
    <cellStyle name="40% - Accent4 2 3 3 2 3 3" xfId="19110" xr:uid="{00000000-0005-0000-0000-0000D54A0000}"/>
    <cellStyle name="40% - Accent4 2 3 3 2 3 3 2" xfId="19111" xr:uid="{00000000-0005-0000-0000-0000D64A0000}"/>
    <cellStyle name="40% - Accent4 2 3 3 2 3 4" xfId="19112" xr:uid="{00000000-0005-0000-0000-0000D74A0000}"/>
    <cellStyle name="40% - Accent4 2 3 3 2 4" xfId="19113" xr:uid="{00000000-0005-0000-0000-0000D84A0000}"/>
    <cellStyle name="40% - Accent4 2 3 3 2 4 2" xfId="19114" xr:uid="{00000000-0005-0000-0000-0000D94A0000}"/>
    <cellStyle name="40% - Accent4 2 3 3 2 4 2 2" xfId="19115" xr:uid="{00000000-0005-0000-0000-0000DA4A0000}"/>
    <cellStyle name="40% - Accent4 2 3 3 2 4 3" xfId="19116" xr:uid="{00000000-0005-0000-0000-0000DB4A0000}"/>
    <cellStyle name="40% - Accent4 2 3 3 2 5" xfId="19117" xr:uid="{00000000-0005-0000-0000-0000DC4A0000}"/>
    <cellStyle name="40% - Accent4 2 3 3 2 5 2" xfId="19118" xr:uid="{00000000-0005-0000-0000-0000DD4A0000}"/>
    <cellStyle name="40% - Accent4 2 3 3 2 6" xfId="19119" xr:uid="{00000000-0005-0000-0000-0000DE4A0000}"/>
    <cellStyle name="40% - Accent4 2 3 3 3" xfId="19120" xr:uid="{00000000-0005-0000-0000-0000DF4A0000}"/>
    <cellStyle name="40% - Accent4 2 3 3 3 2" xfId="19121" xr:uid="{00000000-0005-0000-0000-0000E04A0000}"/>
    <cellStyle name="40% - Accent4 2 3 3 3 2 2" xfId="19122" xr:uid="{00000000-0005-0000-0000-0000E14A0000}"/>
    <cellStyle name="40% - Accent4 2 3 3 3 2 2 2" xfId="19123" xr:uid="{00000000-0005-0000-0000-0000E24A0000}"/>
    <cellStyle name="40% - Accent4 2 3 3 3 2 2 2 2" xfId="19124" xr:uid="{00000000-0005-0000-0000-0000E34A0000}"/>
    <cellStyle name="40% - Accent4 2 3 3 3 2 2 3" xfId="19125" xr:uid="{00000000-0005-0000-0000-0000E44A0000}"/>
    <cellStyle name="40% - Accent4 2 3 3 3 2 3" xfId="19126" xr:uid="{00000000-0005-0000-0000-0000E54A0000}"/>
    <cellStyle name="40% - Accent4 2 3 3 3 2 3 2" xfId="19127" xr:uid="{00000000-0005-0000-0000-0000E64A0000}"/>
    <cellStyle name="40% - Accent4 2 3 3 3 2 4" xfId="19128" xr:uid="{00000000-0005-0000-0000-0000E74A0000}"/>
    <cellStyle name="40% - Accent4 2 3 3 3 3" xfId="19129" xr:uid="{00000000-0005-0000-0000-0000E84A0000}"/>
    <cellStyle name="40% - Accent4 2 3 3 3 3 2" xfId="19130" xr:uid="{00000000-0005-0000-0000-0000E94A0000}"/>
    <cellStyle name="40% - Accent4 2 3 3 3 3 2 2" xfId="19131" xr:uid="{00000000-0005-0000-0000-0000EA4A0000}"/>
    <cellStyle name="40% - Accent4 2 3 3 3 3 3" xfId="19132" xr:uid="{00000000-0005-0000-0000-0000EB4A0000}"/>
    <cellStyle name="40% - Accent4 2 3 3 3 4" xfId="19133" xr:uid="{00000000-0005-0000-0000-0000EC4A0000}"/>
    <cellStyle name="40% - Accent4 2 3 3 3 4 2" xfId="19134" xr:uid="{00000000-0005-0000-0000-0000ED4A0000}"/>
    <cellStyle name="40% - Accent4 2 3 3 3 5" xfId="19135" xr:uid="{00000000-0005-0000-0000-0000EE4A0000}"/>
    <cellStyle name="40% - Accent4 2 3 3 4" xfId="19136" xr:uid="{00000000-0005-0000-0000-0000EF4A0000}"/>
    <cellStyle name="40% - Accent4 2 3 3 4 2" xfId="19137" xr:uid="{00000000-0005-0000-0000-0000F04A0000}"/>
    <cellStyle name="40% - Accent4 2 3 3 4 2 2" xfId="19138" xr:uid="{00000000-0005-0000-0000-0000F14A0000}"/>
    <cellStyle name="40% - Accent4 2 3 3 4 2 2 2" xfId="19139" xr:uid="{00000000-0005-0000-0000-0000F24A0000}"/>
    <cellStyle name="40% - Accent4 2 3 3 4 2 3" xfId="19140" xr:uid="{00000000-0005-0000-0000-0000F34A0000}"/>
    <cellStyle name="40% - Accent4 2 3 3 4 3" xfId="19141" xr:uid="{00000000-0005-0000-0000-0000F44A0000}"/>
    <cellStyle name="40% - Accent4 2 3 3 4 3 2" xfId="19142" xr:uid="{00000000-0005-0000-0000-0000F54A0000}"/>
    <cellStyle name="40% - Accent4 2 3 3 4 4" xfId="19143" xr:uid="{00000000-0005-0000-0000-0000F64A0000}"/>
    <cellStyle name="40% - Accent4 2 3 3 5" xfId="19144" xr:uid="{00000000-0005-0000-0000-0000F74A0000}"/>
    <cellStyle name="40% - Accent4 2 3 3 5 2" xfId="19145" xr:uid="{00000000-0005-0000-0000-0000F84A0000}"/>
    <cellStyle name="40% - Accent4 2 3 3 5 2 2" xfId="19146" xr:uid="{00000000-0005-0000-0000-0000F94A0000}"/>
    <cellStyle name="40% - Accent4 2 3 3 5 3" xfId="19147" xr:uid="{00000000-0005-0000-0000-0000FA4A0000}"/>
    <cellStyle name="40% - Accent4 2 3 3 6" xfId="19148" xr:uid="{00000000-0005-0000-0000-0000FB4A0000}"/>
    <cellStyle name="40% - Accent4 2 3 3 6 2" xfId="19149" xr:uid="{00000000-0005-0000-0000-0000FC4A0000}"/>
    <cellStyle name="40% - Accent4 2 3 3 7" xfId="19150" xr:uid="{00000000-0005-0000-0000-0000FD4A0000}"/>
    <cellStyle name="40% - Accent4 2 3 4" xfId="19151" xr:uid="{00000000-0005-0000-0000-0000FE4A0000}"/>
    <cellStyle name="40% - Accent4 2 3 4 2" xfId="19152" xr:uid="{00000000-0005-0000-0000-0000FF4A0000}"/>
    <cellStyle name="40% - Accent4 2 3 4 2 2" xfId="19153" xr:uid="{00000000-0005-0000-0000-0000004B0000}"/>
    <cellStyle name="40% - Accent4 2 3 4 2 2 2" xfId="19154" xr:uid="{00000000-0005-0000-0000-0000014B0000}"/>
    <cellStyle name="40% - Accent4 2 3 4 2 2 2 2" xfId="19155" xr:uid="{00000000-0005-0000-0000-0000024B0000}"/>
    <cellStyle name="40% - Accent4 2 3 4 2 2 2 2 2" xfId="19156" xr:uid="{00000000-0005-0000-0000-0000034B0000}"/>
    <cellStyle name="40% - Accent4 2 3 4 2 2 2 3" xfId="19157" xr:uid="{00000000-0005-0000-0000-0000044B0000}"/>
    <cellStyle name="40% - Accent4 2 3 4 2 2 3" xfId="19158" xr:uid="{00000000-0005-0000-0000-0000054B0000}"/>
    <cellStyle name="40% - Accent4 2 3 4 2 2 3 2" xfId="19159" xr:uid="{00000000-0005-0000-0000-0000064B0000}"/>
    <cellStyle name="40% - Accent4 2 3 4 2 2 4" xfId="19160" xr:uid="{00000000-0005-0000-0000-0000074B0000}"/>
    <cellStyle name="40% - Accent4 2 3 4 2 3" xfId="19161" xr:uid="{00000000-0005-0000-0000-0000084B0000}"/>
    <cellStyle name="40% - Accent4 2 3 4 2 3 2" xfId="19162" xr:uid="{00000000-0005-0000-0000-0000094B0000}"/>
    <cellStyle name="40% - Accent4 2 3 4 2 3 2 2" xfId="19163" xr:uid="{00000000-0005-0000-0000-00000A4B0000}"/>
    <cellStyle name="40% - Accent4 2 3 4 2 3 3" xfId="19164" xr:uid="{00000000-0005-0000-0000-00000B4B0000}"/>
    <cellStyle name="40% - Accent4 2 3 4 2 4" xfId="19165" xr:uid="{00000000-0005-0000-0000-00000C4B0000}"/>
    <cellStyle name="40% - Accent4 2 3 4 2 4 2" xfId="19166" xr:uid="{00000000-0005-0000-0000-00000D4B0000}"/>
    <cellStyle name="40% - Accent4 2 3 4 2 5" xfId="19167" xr:uid="{00000000-0005-0000-0000-00000E4B0000}"/>
    <cellStyle name="40% - Accent4 2 3 4 3" xfId="19168" xr:uid="{00000000-0005-0000-0000-00000F4B0000}"/>
    <cellStyle name="40% - Accent4 2 3 4 3 2" xfId="19169" xr:uid="{00000000-0005-0000-0000-0000104B0000}"/>
    <cellStyle name="40% - Accent4 2 3 4 3 2 2" xfId="19170" xr:uid="{00000000-0005-0000-0000-0000114B0000}"/>
    <cellStyle name="40% - Accent4 2 3 4 3 2 2 2" xfId="19171" xr:uid="{00000000-0005-0000-0000-0000124B0000}"/>
    <cellStyle name="40% - Accent4 2 3 4 3 2 3" xfId="19172" xr:uid="{00000000-0005-0000-0000-0000134B0000}"/>
    <cellStyle name="40% - Accent4 2 3 4 3 3" xfId="19173" xr:uid="{00000000-0005-0000-0000-0000144B0000}"/>
    <cellStyle name="40% - Accent4 2 3 4 3 3 2" xfId="19174" xr:uid="{00000000-0005-0000-0000-0000154B0000}"/>
    <cellStyle name="40% - Accent4 2 3 4 3 4" xfId="19175" xr:uid="{00000000-0005-0000-0000-0000164B0000}"/>
    <cellStyle name="40% - Accent4 2 3 4 4" xfId="19176" xr:uid="{00000000-0005-0000-0000-0000174B0000}"/>
    <cellStyle name="40% - Accent4 2 3 4 4 2" xfId="19177" xr:uid="{00000000-0005-0000-0000-0000184B0000}"/>
    <cellStyle name="40% - Accent4 2 3 4 4 2 2" xfId="19178" xr:uid="{00000000-0005-0000-0000-0000194B0000}"/>
    <cellStyle name="40% - Accent4 2 3 4 4 3" xfId="19179" xr:uid="{00000000-0005-0000-0000-00001A4B0000}"/>
    <cellStyle name="40% - Accent4 2 3 4 5" xfId="19180" xr:uid="{00000000-0005-0000-0000-00001B4B0000}"/>
    <cellStyle name="40% - Accent4 2 3 4 5 2" xfId="19181" xr:uid="{00000000-0005-0000-0000-00001C4B0000}"/>
    <cellStyle name="40% - Accent4 2 3 4 6" xfId="19182" xr:uid="{00000000-0005-0000-0000-00001D4B0000}"/>
    <cellStyle name="40% - Accent4 2 3 5" xfId="19183" xr:uid="{00000000-0005-0000-0000-00001E4B0000}"/>
    <cellStyle name="40% - Accent4 2 3 5 2" xfId="19184" xr:uid="{00000000-0005-0000-0000-00001F4B0000}"/>
    <cellStyle name="40% - Accent4 2 3 5 2 2" xfId="19185" xr:uid="{00000000-0005-0000-0000-0000204B0000}"/>
    <cellStyle name="40% - Accent4 2 3 5 2 2 2" xfId="19186" xr:uid="{00000000-0005-0000-0000-0000214B0000}"/>
    <cellStyle name="40% - Accent4 2 3 5 2 2 2 2" xfId="19187" xr:uid="{00000000-0005-0000-0000-0000224B0000}"/>
    <cellStyle name="40% - Accent4 2 3 5 2 2 3" xfId="19188" xr:uid="{00000000-0005-0000-0000-0000234B0000}"/>
    <cellStyle name="40% - Accent4 2 3 5 2 3" xfId="19189" xr:uid="{00000000-0005-0000-0000-0000244B0000}"/>
    <cellStyle name="40% - Accent4 2 3 5 2 3 2" xfId="19190" xr:uid="{00000000-0005-0000-0000-0000254B0000}"/>
    <cellStyle name="40% - Accent4 2 3 5 2 4" xfId="19191" xr:uid="{00000000-0005-0000-0000-0000264B0000}"/>
    <cellStyle name="40% - Accent4 2 3 5 3" xfId="19192" xr:uid="{00000000-0005-0000-0000-0000274B0000}"/>
    <cellStyle name="40% - Accent4 2 3 5 3 2" xfId="19193" xr:uid="{00000000-0005-0000-0000-0000284B0000}"/>
    <cellStyle name="40% - Accent4 2 3 5 3 2 2" xfId="19194" xr:uid="{00000000-0005-0000-0000-0000294B0000}"/>
    <cellStyle name="40% - Accent4 2 3 5 3 3" xfId="19195" xr:uid="{00000000-0005-0000-0000-00002A4B0000}"/>
    <cellStyle name="40% - Accent4 2 3 5 4" xfId="19196" xr:uid="{00000000-0005-0000-0000-00002B4B0000}"/>
    <cellStyle name="40% - Accent4 2 3 5 4 2" xfId="19197" xr:uid="{00000000-0005-0000-0000-00002C4B0000}"/>
    <cellStyle name="40% - Accent4 2 3 5 5" xfId="19198" xr:uid="{00000000-0005-0000-0000-00002D4B0000}"/>
    <cellStyle name="40% - Accent4 2 3 6" xfId="19199" xr:uid="{00000000-0005-0000-0000-00002E4B0000}"/>
    <cellStyle name="40% - Accent4 2 3 6 2" xfId="19200" xr:uid="{00000000-0005-0000-0000-00002F4B0000}"/>
    <cellStyle name="40% - Accent4 2 3 6 2 2" xfId="19201" xr:uid="{00000000-0005-0000-0000-0000304B0000}"/>
    <cellStyle name="40% - Accent4 2 3 6 2 2 2" xfId="19202" xr:uid="{00000000-0005-0000-0000-0000314B0000}"/>
    <cellStyle name="40% - Accent4 2 3 6 2 3" xfId="19203" xr:uid="{00000000-0005-0000-0000-0000324B0000}"/>
    <cellStyle name="40% - Accent4 2 3 6 3" xfId="19204" xr:uid="{00000000-0005-0000-0000-0000334B0000}"/>
    <cellStyle name="40% - Accent4 2 3 6 3 2" xfId="19205" xr:uid="{00000000-0005-0000-0000-0000344B0000}"/>
    <cellStyle name="40% - Accent4 2 3 6 4" xfId="19206" xr:uid="{00000000-0005-0000-0000-0000354B0000}"/>
    <cellStyle name="40% - Accent4 2 3 7" xfId="19207" xr:uid="{00000000-0005-0000-0000-0000364B0000}"/>
    <cellStyle name="40% - Accent4 2 3 7 2" xfId="19208" xr:uid="{00000000-0005-0000-0000-0000374B0000}"/>
    <cellStyle name="40% - Accent4 2 3 7 2 2" xfId="19209" xr:uid="{00000000-0005-0000-0000-0000384B0000}"/>
    <cellStyle name="40% - Accent4 2 3 7 3" xfId="19210" xr:uid="{00000000-0005-0000-0000-0000394B0000}"/>
    <cellStyle name="40% - Accent4 2 3 8" xfId="19211" xr:uid="{00000000-0005-0000-0000-00003A4B0000}"/>
    <cellStyle name="40% - Accent4 2 3 8 2" xfId="19212" xr:uid="{00000000-0005-0000-0000-00003B4B0000}"/>
    <cellStyle name="40% - Accent4 2 3 9" xfId="19213" xr:uid="{00000000-0005-0000-0000-00003C4B0000}"/>
    <cellStyle name="40% - Accent4 2 4" xfId="19214" xr:uid="{00000000-0005-0000-0000-00003D4B0000}"/>
    <cellStyle name="40% - Accent4 2 4 2" xfId="19215" xr:uid="{00000000-0005-0000-0000-00003E4B0000}"/>
    <cellStyle name="40% - Accent4 2 4 2 2" xfId="19216" xr:uid="{00000000-0005-0000-0000-00003F4B0000}"/>
    <cellStyle name="40% - Accent4 2 4 2 2 2" xfId="19217" xr:uid="{00000000-0005-0000-0000-0000404B0000}"/>
    <cellStyle name="40% - Accent4 2 4 2 2 2 2" xfId="19218" xr:uid="{00000000-0005-0000-0000-0000414B0000}"/>
    <cellStyle name="40% - Accent4 2 4 2 2 2 2 2" xfId="19219" xr:uid="{00000000-0005-0000-0000-0000424B0000}"/>
    <cellStyle name="40% - Accent4 2 4 2 2 2 2 2 2" xfId="19220" xr:uid="{00000000-0005-0000-0000-0000434B0000}"/>
    <cellStyle name="40% - Accent4 2 4 2 2 2 2 2 2 2" xfId="19221" xr:uid="{00000000-0005-0000-0000-0000444B0000}"/>
    <cellStyle name="40% - Accent4 2 4 2 2 2 2 2 3" xfId="19222" xr:uid="{00000000-0005-0000-0000-0000454B0000}"/>
    <cellStyle name="40% - Accent4 2 4 2 2 2 2 3" xfId="19223" xr:uid="{00000000-0005-0000-0000-0000464B0000}"/>
    <cellStyle name="40% - Accent4 2 4 2 2 2 2 3 2" xfId="19224" xr:uid="{00000000-0005-0000-0000-0000474B0000}"/>
    <cellStyle name="40% - Accent4 2 4 2 2 2 2 4" xfId="19225" xr:uid="{00000000-0005-0000-0000-0000484B0000}"/>
    <cellStyle name="40% - Accent4 2 4 2 2 2 3" xfId="19226" xr:uid="{00000000-0005-0000-0000-0000494B0000}"/>
    <cellStyle name="40% - Accent4 2 4 2 2 2 3 2" xfId="19227" xr:uid="{00000000-0005-0000-0000-00004A4B0000}"/>
    <cellStyle name="40% - Accent4 2 4 2 2 2 3 2 2" xfId="19228" xr:uid="{00000000-0005-0000-0000-00004B4B0000}"/>
    <cellStyle name="40% - Accent4 2 4 2 2 2 3 3" xfId="19229" xr:uid="{00000000-0005-0000-0000-00004C4B0000}"/>
    <cellStyle name="40% - Accent4 2 4 2 2 2 4" xfId="19230" xr:uid="{00000000-0005-0000-0000-00004D4B0000}"/>
    <cellStyle name="40% - Accent4 2 4 2 2 2 4 2" xfId="19231" xr:uid="{00000000-0005-0000-0000-00004E4B0000}"/>
    <cellStyle name="40% - Accent4 2 4 2 2 2 5" xfId="19232" xr:uid="{00000000-0005-0000-0000-00004F4B0000}"/>
    <cellStyle name="40% - Accent4 2 4 2 2 3" xfId="19233" xr:uid="{00000000-0005-0000-0000-0000504B0000}"/>
    <cellStyle name="40% - Accent4 2 4 2 2 3 2" xfId="19234" xr:uid="{00000000-0005-0000-0000-0000514B0000}"/>
    <cellStyle name="40% - Accent4 2 4 2 2 3 2 2" xfId="19235" xr:uid="{00000000-0005-0000-0000-0000524B0000}"/>
    <cellStyle name="40% - Accent4 2 4 2 2 3 2 2 2" xfId="19236" xr:uid="{00000000-0005-0000-0000-0000534B0000}"/>
    <cellStyle name="40% - Accent4 2 4 2 2 3 2 3" xfId="19237" xr:uid="{00000000-0005-0000-0000-0000544B0000}"/>
    <cellStyle name="40% - Accent4 2 4 2 2 3 3" xfId="19238" xr:uid="{00000000-0005-0000-0000-0000554B0000}"/>
    <cellStyle name="40% - Accent4 2 4 2 2 3 3 2" xfId="19239" xr:uid="{00000000-0005-0000-0000-0000564B0000}"/>
    <cellStyle name="40% - Accent4 2 4 2 2 3 4" xfId="19240" xr:uid="{00000000-0005-0000-0000-0000574B0000}"/>
    <cellStyle name="40% - Accent4 2 4 2 2 4" xfId="19241" xr:uid="{00000000-0005-0000-0000-0000584B0000}"/>
    <cellStyle name="40% - Accent4 2 4 2 2 4 2" xfId="19242" xr:uid="{00000000-0005-0000-0000-0000594B0000}"/>
    <cellStyle name="40% - Accent4 2 4 2 2 4 2 2" xfId="19243" xr:uid="{00000000-0005-0000-0000-00005A4B0000}"/>
    <cellStyle name="40% - Accent4 2 4 2 2 4 3" xfId="19244" xr:uid="{00000000-0005-0000-0000-00005B4B0000}"/>
    <cellStyle name="40% - Accent4 2 4 2 2 5" xfId="19245" xr:uid="{00000000-0005-0000-0000-00005C4B0000}"/>
    <cellStyle name="40% - Accent4 2 4 2 2 5 2" xfId="19246" xr:uid="{00000000-0005-0000-0000-00005D4B0000}"/>
    <cellStyle name="40% - Accent4 2 4 2 2 6" xfId="19247" xr:uid="{00000000-0005-0000-0000-00005E4B0000}"/>
    <cellStyle name="40% - Accent4 2 4 2 3" xfId="19248" xr:uid="{00000000-0005-0000-0000-00005F4B0000}"/>
    <cellStyle name="40% - Accent4 2 4 2 3 2" xfId="19249" xr:uid="{00000000-0005-0000-0000-0000604B0000}"/>
    <cellStyle name="40% - Accent4 2 4 2 3 2 2" xfId="19250" xr:uid="{00000000-0005-0000-0000-0000614B0000}"/>
    <cellStyle name="40% - Accent4 2 4 2 3 2 2 2" xfId="19251" xr:uid="{00000000-0005-0000-0000-0000624B0000}"/>
    <cellStyle name="40% - Accent4 2 4 2 3 2 2 2 2" xfId="19252" xr:uid="{00000000-0005-0000-0000-0000634B0000}"/>
    <cellStyle name="40% - Accent4 2 4 2 3 2 2 3" xfId="19253" xr:uid="{00000000-0005-0000-0000-0000644B0000}"/>
    <cellStyle name="40% - Accent4 2 4 2 3 2 3" xfId="19254" xr:uid="{00000000-0005-0000-0000-0000654B0000}"/>
    <cellStyle name="40% - Accent4 2 4 2 3 2 3 2" xfId="19255" xr:uid="{00000000-0005-0000-0000-0000664B0000}"/>
    <cellStyle name="40% - Accent4 2 4 2 3 2 4" xfId="19256" xr:uid="{00000000-0005-0000-0000-0000674B0000}"/>
    <cellStyle name="40% - Accent4 2 4 2 3 3" xfId="19257" xr:uid="{00000000-0005-0000-0000-0000684B0000}"/>
    <cellStyle name="40% - Accent4 2 4 2 3 3 2" xfId="19258" xr:uid="{00000000-0005-0000-0000-0000694B0000}"/>
    <cellStyle name="40% - Accent4 2 4 2 3 3 2 2" xfId="19259" xr:uid="{00000000-0005-0000-0000-00006A4B0000}"/>
    <cellStyle name="40% - Accent4 2 4 2 3 3 3" xfId="19260" xr:uid="{00000000-0005-0000-0000-00006B4B0000}"/>
    <cellStyle name="40% - Accent4 2 4 2 3 4" xfId="19261" xr:uid="{00000000-0005-0000-0000-00006C4B0000}"/>
    <cellStyle name="40% - Accent4 2 4 2 3 4 2" xfId="19262" xr:uid="{00000000-0005-0000-0000-00006D4B0000}"/>
    <cellStyle name="40% - Accent4 2 4 2 3 5" xfId="19263" xr:uid="{00000000-0005-0000-0000-00006E4B0000}"/>
    <cellStyle name="40% - Accent4 2 4 2 4" xfId="19264" xr:uid="{00000000-0005-0000-0000-00006F4B0000}"/>
    <cellStyle name="40% - Accent4 2 4 2 4 2" xfId="19265" xr:uid="{00000000-0005-0000-0000-0000704B0000}"/>
    <cellStyle name="40% - Accent4 2 4 2 4 2 2" xfId="19266" xr:uid="{00000000-0005-0000-0000-0000714B0000}"/>
    <cellStyle name="40% - Accent4 2 4 2 4 2 2 2" xfId="19267" xr:uid="{00000000-0005-0000-0000-0000724B0000}"/>
    <cellStyle name="40% - Accent4 2 4 2 4 2 3" xfId="19268" xr:uid="{00000000-0005-0000-0000-0000734B0000}"/>
    <cellStyle name="40% - Accent4 2 4 2 4 3" xfId="19269" xr:uid="{00000000-0005-0000-0000-0000744B0000}"/>
    <cellStyle name="40% - Accent4 2 4 2 4 3 2" xfId="19270" xr:uid="{00000000-0005-0000-0000-0000754B0000}"/>
    <cellStyle name="40% - Accent4 2 4 2 4 4" xfId="19271" xr:uid="{00000000-0005-0000-0000-0000764B0000}"/>
    <cellStyle name="40% - Accent4 2 4 2 5" xfId="19272" xr:uid="{00000000-0005-0000-0000-0000774B0000}"/>
    <cellStyle name="40% - Accent4 2 4 2 5 2" xfId="19273" xr:uid="{00000000-0005-0000-0000-0000784B0000}"/>
    <cellStyle name="40% - Accent4 2 4 2 5 2 2" xfId="19274" xr:uid="{00000000-0005-0000-0000-0000794B0000}"/>
    <cellStyle name="40% - Accent4 2 4 2 5 3" xfId="19275" xr:uid="{00000000-0005-0000-0000-00007A4B0000}"/>
    <cellStyle name="40% - Accent4 2 4 2 6" xfId="19276" xr:uid="{00000000-0005-0000-0000-00007B4B0000}"/>
    <cellStyle name="40% - Accent4 2 4 2 6 2" xfId="19277" xr:uid="{00000000-0005-0000-0000-00007C4B0000}"/>
    <cellStyle name="40% - Accent4 2 4 2 7" xfId="19278" xr:uid="{00000000-0005-0000-0000-00007D4B0000}"/>
    <cellStyle name="40% - Accent4 2 4 3" xfId="19279" xr:uid="{00000000-0005-0000-0000-00007E4B0000}"/>
    <cellStyle name="40% - Accent4 2 4 3 2" xfId="19280" xr:uid="{00000000-0005-0000-0000-00007F4B0000}"/>
    <cellStyle name="40% - Accent4 2 4 3 2 2" xfId="19281" xr:uid="{00000000-0005-0000-0000-0000804B0000}"/>
    <cellStyle name="40% - Accent4 2 4 3 2 2 2" xfId="19282" xr:uid="{00000000-0005-0000-0000-0000814B0000}"/>
    <cellStyle name="40% - Accent4 2 4 3 2 2 2 2" xfId="19283" xr:uid="{00000000-0005-0000-0000-0000824B0000}"/>
    <cellStyle name="40% - Accent4 2 4 3 2 2 2 2 2" xfId="19284" xr:uid="{00000000-0005-0000-0000-0000834B0000}"/>
    <cellStyle name="40% - Accent4 2 4 3 2 2 2 3" xfId="19285" xr:uid="{00000000-0005-0000-0000-0000844B0000}"/>
    <cellStyle name="40% - Accent4 2 4 3 2 2 3" xfId="19286" xr:uid="{00000000-0005-0000-0000-0000854B0000}"/>
    <cellStyle name="40% - Accent4 2 4 3 2 2 3 2" xfId="19287" xr:uid="{00000000-0005-0000-0000-0000864B0000}"/>
    <cellStyle name="40% - Accent4 2 4 3 2 2 4" xfId="19288" xr:uid="{00000000-0005-0000-0000-0000874B0000}"/>
    <cellStyle name="40% - Accent4 2 4 3 2 3" xfId="19289" xr:uid="{00000000-0005-0000-0000-0000884B0000}"/>
    <cellStyle name="40% - Accent4 2 4 3 2 3 2" xfId="19290" xr:uid="{00000000-0005-0000-0000-0000894B0000}"/>
    <cellStyle name="40% - Accent4 2 4 3 2 3 2 2" xfId="19291" xr:uid="{00000000-0005-0000-0000-00008A4B0000}"/>
    <cellStyle name="40% - Accent4 2 4 3 2 3 3" xfId="19292" xr:uid="{00000000-0005-0000-0000-00008B4B0000}"/>
    <cellStyle name="40% - Accent4 2 4 3 2 4" xfId="19293" xr:uid="{00000000-0005-0000-0000-00008C4B0000}"/>
    <cellStyle name="40% - Accent4 2 4 3 2 4 2" xfId="19294" xr:uid="{00000000-0005-0000-0000-00008D4B0000}"/>
    <cellStyle name="40% - Accent4 2 4 3 2 5" xfId="19295" xr:uid="{00000000-0005-0000-0000-00008E4B0000}"/>
    <cellStyle name="40% - Accent4 2 4 3 3" xfId="19296" xr:uid="{00000000-0005-0000-0000-00008F4B0000}"/>
    <cellStyle name="40% - Accent4 2 4 3 3 2" xfId="19297" xr:uid="{00000000-0005-0000-0000-0000904B0000}"/>
    <cellStyle name="40% - Accent4 2 4 3 3 2 2" xfId="19298" xr:uid="{00000000-0005-0000-0000-0000914B0000}"/>
    <cellStyle name="40% - Accent4 2 4 3 3 2 2 2" xfId="19299" xr:uid="{00000000-0005-0000-0000-0000924B0000}"/>
    <cellStyle name="40% - Accent4 2 4 3 3 2 3" xfId="19300" xr:uid="{00000000-0005-0000-0000-0000934B0000}"/>
    <cellStyle name="40% - Accent4 2 4 3 3 3" xfId="19301" xr:uid="{00000000-0005-0000-0000-0000944B0000}"/>
    <cellStyle name="40% - Accent4 2 4 3 3 3 2" xfId="19302" xr:uid="{00000000-0005-0000-0000-0000954B0000}"/>
    <cellStyle name="40% - Accent4 2 4 3 3 4" xfId="19303" xr:uid="{00000000-0005-0000-0000-0000964B0000}"/>
    <cellStyle name="40% - Accent4 2 4 3 4" xfId="19304" xr:uid="{00000000-0005-0000-0000-0000974B0000}"/>
    <cellStyle name="40% - Accent4 2 4 3 4 2" xfId="19305" xr:uid="{00000000-0005-0000-0000-0000984B0000}"/>
    <cellStyle name="40% - Accent4 2 4 3 4 2 2" xfId="19306" xr:uid="{00000000-0005-0000-0000-0000994B0000}"/>
    <cellStyle name="40% - Accent4 2 4 3 4 3" xfId="19307" xr:uid="{00000000-0005-0000-0000-00009A4B0000}"/>
    <cellStyle name="40% - Accent4 2 4 3 5" xfId="19308" xr:uid="{00000000-0005-0000-0000-00009B4B0000}"/>
    <cellStyle name="40% - Accent4 2 4 3 5 2" xfId="19309" xr:uid="{00000000-0005-0000-0000-00009C4B0000}"/>
    <cellStyle name="40% - Accent4 2 4 3 6" xfId="19310" xr:uid="{00000000-0005-0000-0000-00009D4B0000}"/>
    <cellStyle name="40% - Accent4 2 4 4" xfId="19311" xr:uid="{00000000-0005-0000-0000-00009E4B0000}"/>
    <cellStyle name="40% - Accent4 2 4 4 2" xfId="19312" xr:uid="{00000000-0005-0000-0000-00009F4B0000}"/>
    <cellStyle name="40% - Accent4 2 4 4 2 2" xfId="19313" xr:uid="{00000000-0005-0000-0000-0000A04B0000}"/>
    <cellStyle name="40% - Accent4 2 4 4 2 2 2" xfId="19314" xr:uid="{00000000-0005-0000-0000-0000A14B0000}"/>
    <cellStyle name="40% - Accent4 2 4 4 2 2 2 2" xfId="19315" xr:uid="{00000000-0005-0000-0000-0000A24B0000}"/>
    <cellStyle name="40% - Accent4 2 4 4 2 2 3" xfId="19316" xr:uid="{00000000-0005-0000-0000-0000A34B0000}"/>
    <cellStyle name="40% - Accent4 2 4 4 2 3" xfId="19317" xr:uid="{00000000-0005-0000-0000-0000A44B0000}"/>
    <cellStyle name="40% - Accent4 2 4 4 2 3 2" xfId="19318" xr:uid="{00000000-0005-0000-0000-0000A54B0000}"/>
    <cellStyle name="40% - Accent4 2 4 4 2 4" xfId="19319" xr:uid="{00000000-0005-0000-0000-0000A64B0000}"/>
    <cellStyle name="40% - Accent4 2 4 4 3" xfId="19320" xr:uid="{00000000-0005-0000-0000-0000A74B0000}"/>
    <cellStyle name="40% - Accent4 2 4 4 3 2" xfId="19321" xr:uid="{00000000-0005-0000-0000-0000A84B0000}"/>
    <cellStyle name="40% - Accent4 2 4 4 3 2 2" xfId="19322" xr:uid="{00000000-0005-0000-0000-0000A94B0000}"/>
    <cellStyle name="40% - Accent4 2 4 4 3 3" xfId="19323" xr:uid="{00000000-0005-0000-0000-0000AA4B0000}"/>
    <cellStyle name="40% - Accent4 2 4 4 4" xfId="19324" xr:uid="{00000000-0005-0000-0000-0000AB4B0000}"/>
    <cellStyle name="40% - Accent4 2 4 4 4 2" xfId="19325" xr:uid="{00000000-0005-0000-0000-0000AC4B0000}"/>
    <cellStyle name="40% - Accent4 2 4 4 5" xfId="19326" xr:uid="{00000000-0005-0000-0000-0000AD4B0000}"/>
    <cellStyle name="40% - Accent4 2 4 5" xfId="19327" xr:uid="{00000000-0005-0000-0000-0000AE4B0000}"/>
    <cellStyle name="40% - Accent4 2 4 5 2" xfId="19328" xr:uid="{00000000-0005-0000-0000-0000AF4B0000}"/>
    <cellStyle name="40% - Accent4 2 4 5 2 2" xfId="19329" xr:uid="{00000000-0005-0000-0000-0000B04B0000}"/>
    <cellStyle name="40% - Accent4 2 4 5 2 2 2" xfId="19330" xr:uid="{00000000-0005-0000-0000-0000B14B0000}"/>
    <cellStyle name="40% - Accent4 2 4 5 2 3" xfId="19331" xr:uid="{00000000-0005-0000-0000-0000B24B0000}"/>
    <cellStyle name="40% - Accent4 2 4 5 3" xfId="19332" xr:uid="{00000000-0005-0000-0000-0000B34B0000}"/>
    <cellStyle name="40% - Accent4 2 4 5 3 2" xfId="19333" xr:uid="{00000000-0005-0000-0000-0000B44B0000}"/>
    <cellStyle name="40% - Accent4 2 4 5 4" xfId="19334" xr:uid="{00000000-0005-0000-0000-0000B54B0000}"/>
    <cellStyle name="40% - Accent4 2 4 6" xfId="19335" xr:uid="{00000000-0005-0000-0000-0000B64B0000}"/>
    <cellStyle name="40% - Accent4 2 4 6 2" xfId="19336" xr:uid="{00000000-0005-0000-0000-0000B74B0000}"/>
    <cellStyle name="40% - Accent4 2 4 6 2 2" xfId="19337" xr:uid="{00000000-0005-0000-0000-0000B84B0000}"/>
    <cellStyle name="40% - Accent4 2 4 6 3" xfId="19338" xr:uid="{00000000-0005-0000-0000-0000B94B0000}"/>
    <cellStyle name="40% - Accent4 2 4 7" xfId="19339" xr:uid="{00000000-0005-0000-0000-0000BA4B0000}"/>
    <cellStyle name="40% - Accent4 2 4 7 2" xfId="19340" xr:uid="{00000000-0005-0000-0000-0000BB4B0000}"/>
    <cellStyle name="40% - Accent4 2 4 8" xfId="19341" xr:uid="{00000000-0005-0000-0000-0000BC4B0000}"/>
    <cellStyle name="40% - Accent4 2 5" xfId="19342" xr:uid="{00000000-0005-0000-0000-0000BD4B0000}"/>
    <cellStyle name="40% - Accent4 2 5 2" xfId="19343" xr:uid="{00000000-0005-0000-0000-0000BE4B0000}"/>
    <cellStyle name="40% - Accent4 2 5 2 2" xfId="19344" xr:uid="{00000000-0005-0000-0000-0000BF4B0000}"/>
    <cellStyle name="40% - Accent4 2 5 2 2 2" xfId="19345" xr:uid="{00000000-0005-0000-0000-0000C04B0000}"/>
    <cellStyle name="40% - Accent4 2 5 2 2 2 2" xfId="19346" xr:uid="{00000000-0005-0000-0000-0000C14B0000}"/>
    <cellStyle name="40% - Accent4 2 5 2 2 2 2 2" xfId="19347" xr:uid="{00000000-0005-0000-0000-0000C24B0000}"/>
    <cellStyle name="40% - Accent4 2 5 2 2 2 2 2 2" xfId="19348" xr:uid="{00000000-0005-0000-0000-0000C34B0000}"/>
    <cellStyle name="40% - Accent4 2 5 2 2 2 2 3" xfId="19349" xr:uid="{00000000-0005-0000-0000-0000C44B0000}"/>
    <cellStyle name="40% - Accent4 2 5 2 2 2 3" xfId="19350" xr:uid="{00000000-0005-0000-0000-0000C54B0000}"/>
    <cellStyle name="40% - Accent4 2 5 2 2 2 3 2" xfId="19351" xr:uid="{00000000-0005-0000-0000-0000C64B0000}"/>
    <cellStyle name="40% - Accent4 2 5 2 2 2 4" xfId="19352" xr:uid="{00000000-0005-0000-0000-0000C74B0000}"/>
    <cellStyle name="40% - Accent4 2 5 2 2 3" xfId="19353" xr:uid="{00000000-0005-0000-0000-0000C84B0000}"/>
    <cellStyle name="40% - Accent4 2 5 2 2 3 2" xfId="19354" xr:uid="{00000000-0005-0000-0000-0000C94B0000}"/>
    <cellStyle name="40% - Accent4 2 5 2 2 3 2 2" xfId="19355" xr:uid="{00000000-0005-0000-0000-0000CA4B0000}"/>
    <cellStyle name="40% - Accent4 2 5 2 2 3 3" xfId="19356" xr:uid="{00000000-0005-0000-0000-0000CB4B0000}"/>
    <cellStyle name="40% - Accent4 2 5 2 2 4" xfId="19357" xr:uid="{00000000-0005-0000-0000-0000CC4B0000}"/>
    <cellStyle name="40% - Accent4 2 5 2 2 4 2" xfId="19358" xr:uid="{00000000-0005-0000-0000-0000CD4B0000}"/>
    <cellStyle name="40% - Accent4 2 5 2 2 5" xfId="19359" xr:uid="{00000000-0005-0000-0000-0000CE4B0000}"/>
    <cellStyle name="40% - Accent4 2 5 2 3" xfId="19360" xr:uid="{00000000-0005-0000-0000-0000CF4B0000}"/>
    <cellStyle name="40% - Accent4 2 5 2 3 2" xfId="19361" xr:uid="{00000000-0005-0000-0000-0000D04B0000}"/>
    <cellStyle name="40% - Accent4 2 5 2 3 2 2" xfId="19362" xr:uid="{00000000-0005-0000-0000-0000D14B0000}"/>
    <cellStyle name="40% - Accent4 2 5 2 3 2 2 2" xfId="19363" xr:uid="{00000000-0005-0000-0000-0000D24B0000}"/>
    <cellStyle name="40% - Accent4 2 5 2 3 2 3" xfId="19364" xr:uid="{00000000-0005-0000-0000-0000D34B0000}"/>
    <cellStyle name="40% - Accent4 2 5 2 3 3" xfId="19365" xr:uid="{00000000-0005-0000-0000-0000D44B0000}"/>
    <cellStyle name="40% - Accent4 2 5 2 3 3 2" xfId="19366" xr:uid="{00000000-0005-0000-0000-0000D54B0000}"/>
    <cellStyle name="40% - Accent4 2 5 2 3 4" xfId="19367" xr:uid="{00000000-0005-0000-0000-0000D64B0000}"/>
    <cellStyle name="40% - Accent4 2 5 2 4" xfId="19368" xr:uid="{00000000-0005-0000-0000-0000D74B0000}"/>
    <cellStyle name="40% - Accent4 2 5 2 4 2" xfId="19369" xr:uid="{00000000-0005-0000-0000-0000D84B0000}"/>
    <cellStyle name="40% - Accent4 2 5 2 4 2 2" xfId="19370" xr:uid="{00000000-0005-0000-0000-0000D94B0000}"/>
    <cellStyle name="40% - Accent4 2 5 2 4 3" xfId="19371" xr:uid="{00000000-0005-0000-0000-0000DA4B0000}"/>
    <cellStyle name="40% - Accent4 2 5 2 5" xfId="19372" xr:uid="{00000000-0005-0000-0000-0000DB4B0000}"/>
    <cellStyle name="40% - Accent4 2 5 2 5 2" xfId="19373" xr:uid="{00000000-0005-0000-0000-0000DC4B0000}"/>
    <cellStyle name="40% - Accent4 2 5 2 6" xfId="19374" xr:uid="{00000000-0005-0000-0000-0000DD4B0000}"/>
    <cellStyle name="40% - Accent4 2 5 3" xfId="19375" xr:uid="{00000000-0005-0000-0000-0000DE4B0000}"/>
    <cellStyle name="40% - Accent4 2 5 3 2" xfId="19376" xr:uid="{00000000-0005-0000-0000-0000DF4B0000}"/>
    <cellStyle name="40% - Accent4 2 5 3 2 2" xfId="19377" xr:uid="{00000000-0005-0000-0000-0000E04B0000}"/>
    <cellStyle name="40% - Accent4 2 5 3 2 2 2" xfId="19378" xr:uid="{00000000-0005-0000-0000-0000E14B0000}"/>
    <cellStyle name="40% - Accent4 2 5 3 2 2 2 2" xfId="19379" xr:uid="{00000000-0005-0000-0000-0000E24B0000}"/>
    <cellStyle name="40% - Accent4 2 5 3 2 2 3" xfId="19380" xr:uid="{00000000-0005-0000-0000-0000E34B0000}"/>
    <cellStyle name="40% - Accent4 2 5 3 2 3" xfId="19381" xr:uid="{00000000-0005-0000-0000-0000E44B0000}"/>
    <cellStyle name="40% - Accent4 2 5 3 2 3 2" xfId="19382" xr:uid="{00000000-0005-0000-0000-0000E54B0000}"/>
    <cellStyle name="40% - Accent4 2 5 3 2 4" xfId="19383" xr:uid="{00000000-0005-0000-0000-0000E64B0000}"/>
    <cellStyle name="40% - Accent4 2 5 3 3" xfId="19384" xr:uid="{00000000-0005-0000-0000-0000E74B0000}"/>
    <cellStyle name="40% - Accent4 2 5 3 3 2" xfId="19385" xr:uid="{00000000-0005-0000-0000-0000E84B0000}"/>
    <cellStyle name="40% - Accent4 2 5 3 3 2 2" xfId="19386" xr:uid="{00000000-0005-0000-0000-0000E94B0000}"/>
    <cellStyle name="40% - Accent4 2 5 3 3 3" xfId="19387" xr:uid="{00000000-0005-0000-0000-0000EA4B0000}"/>
    <cellStyle name="40% - Accent4 2 5 3 4" xfId="19388" xr:uid="{00000000-0005-0000-0000-0000EB4B0000}"/>
    <cellStyle name="40% - Accent4 2 5 3 4 2" xfId="19389" xr:uid="{00000000-0005-0000-0000-0000EC4B0000}"/>
    <cellStyle name="40% - Accent4 2 5 3 5" xfId="19390" xr:uid="{00000000-0005-0000-0000-0000ED4B0000}"/>
    <cellStyle name="40% - Accent4 2 5 4" xfId="19391" xr:uid="{00000000-0005-0000-0000-0000EE4B0000}"/>
    <cellStyle name="40% - Accent4 2 5 4 2" xfId="19392" xr:uid="{00000000-0005-0000-0000-0000EF4B0000}"/>
    <cellStyle name="40% - Accent4 2 5 4 2 2" xfId="19393" xr:uid="{00000000-0005-0000-0000-0000F04B0000}"/>
    <cellStyle name="40% - Accent4 2 5 4 2 2 2" xfId="19394" xr:uid="{00000000-0005-0000-0000-0000F14B0000}"/>
    <cellStyle name="40% - Accent4 2 5 4 2 3" xfId="19395" xr:uid="{00000000-0005-0000-0000-0000F24B0000}"/>
    <cellStyle name="40% - Accent4 2 5 4 3" xfId="19396" xr:uid="{00000000-0005-0000-0000-0000F34B0000}"/>
    <cellStyle name="40% - Accent4 2 5 4 3 2" xfId="19397" xr:uid="{00000000-0005-0000-0000-0000F44B0000}"/>
    <cellStyle name="40% - Accent4 2 5 4 4" xfId="19398" xr:uid="{00000000-0005-0000-0000-0000F54B0000}"/>
    <cellStyle name="40% - Accent4 2 5 5" xfId="19399" xr:uid="{00000000-0005-0000-0000-0000F64B0000}"/>
    <cellStyle name="40% - Accent4 2 5 5 2" xfId="19400" xr:uid="{00000000-0005-0000-0000-0000F74B0000}"/>
    <cellStyle name="40% - Accent4 2 5 5 2 2" xfId="19401" xr:uid="{00000000-0005-0000-0000-0000F84B0000}"/>
    <cellStyle name="40% - Accent4 2 5 5 3" xfId="19402" xr:uid="{00000000-0005-0000-0000-0000F94B0000}"/>
    <cellStyle name="40% - Accent4 2 5 6" xfId="19403" xr:uid="{00000000-0005-0000-0000-0000FA4B0000}"/>
    <cellStyle name="40% - Accent4 2 5 6 2" xfId="19404" xr:uid="{00000000-0005-0000-0000-0000FB4B0000}"/>
    <cellStyle name="40% - Accent4 2 5 7" xfId="19405" xr:uid="{00000000-0005-0000-0000-0000FC4B0000}"/>
    <cellStyle name="40% - Accent4 2 6" xfId="19406" xr:uid="{00000000-0005-0000-0000-0000FD4B0000}"/>
    <cellStyle name="40% - Accent4 2 6 2" xfId="19407" xr:uid="{00000000-0005-0000-0000-0000FE4B0000}"/>
    <cellStyle name="40% - Accent4 2 6 2 2" xfId="19408" xr:uid="{00000000-0005-0000-0000-0000FF4B0000}"/>
    <cellStyle name="40% - Accent4 2 6 2 2 2" xfId="19409" xr:uid="{00000000-0005-0000-0000-0000004C0000}"/>
    <cellStyle name="40% - Accent4 2 6 2 2 2 2" xfId="19410" xr:uid="{00000000-0005-0000-0000-0000014C0000}"/>
    <cellStyle name="40% - Accent4 2 6 2 2 2 2 2" xfId="19411" xr:uid="{00000000-0005-0000-0000-0000024C0000}"/>
    <cellStyle name="40% - Accent4 2 6 2 2 2 3" xfId="19412" xr:uid="{00000000-0005-0000-0000-0000034C0000}"/>
    <cellStyle name="40% - Accent4 2 6 2 2 3" xfId="19413" xr:uid="{00000000-0005-0000-0000-0000044C0000}"/>
    <cellStyle name="40% - Accent4 2 6 2 2 3 2" xfId="19414" xr:uid="{00000000-0005-0000-0000-0000054C0000}"/>
    <cellStyle name="40% - Accent4 2 6 2 2 4" xfId="19415" xr:uid="{00000000-0005-0000-0000-0000064C0000}"/>
    <cellStyle name="40% - Accent4 2 6 2 3" xfId="19416" xr:uid="{00000000-0005-0000-0000-0000074C0000}"/>
    <cellStyle name="40% - Accent4 2 6 2 3 2" xfId="19417" xr:uid="{00000000-0005-0000-0000-0000084C0000}"/>
    <cellStyle name="40% - Accent4 2 6 2 3 2 2" xfId="19418" xr:uid="{00000000-0005-0000-0000-0000094C0000}"/>
    <cellStyle name="40% - Accent4 2 6 2 3 3" xfId="19419" xr:uid="{00000000-0005-0000-0000-00000A4C0000}"/>
    <cellStyle name="40% - Accent4 2 6 2 4" xfId="19420" xr:uid="{00000000-0005-0000-0000-00000B4C0000}"/>
    <cellStyle name="40% - Accent4 2 6 2 4 2" xfId="19421" xr:uid="{00000000-0005-0000-0000-00000C4C0000}"/>
    <cellStyle name="40% - Accent4 2 6 2 5" xfId="19422" xr:uid="{00000000-0005-0000-0000-00000D4C0000}"/>
    <cellStyle name="40% - Accent4 2 6 3" xfId="19423" xr:uid="{00000000-0005-0000-0000-00000E4C0000}"/>
    <cellStyle name="40% - Accent4 2 6 3 2" xfId="19424" xr:uid="{00000000-0005-0000-0000-00000F4C0000}"/>
    <cellStyle name="40% - Accent4 2 6 3 2 2" xfId="19425" xr:uid="{00000000-0005-0000-0000-0000104C0000}"/>
    <cellStyle name="40% - Accent4 2 6 3 2 2 2" xfId="19426" xr:uid="{00000000-0005-0000-0000-0000114C0000}"/>
    <cellStyle name="40% - Accent4 2 6 3 2 3" xfId="19427" xr:uid="{00000000-0005-0000-0000-0000124C0000}"/>
    <cellStyle name="40% - Accent4 2 6 3 3" xfId="19428" xr:uid="{00000000-0005-0000-0000-0000134C0000}"/>
    <cellStyle name="40% - Accent4 2 6 3 3 2" xfId="19429" xr:uid="{00000000-0005-0000-0000-0000144C0000}"/>
    <cellStyle name="40% - Accent4 2 6 3 4" xfId="19430" xr:uid="{00000000-0005-0000-0000-0000154C0000}"/>
    <cellStyle name="40% - Accent4 2 6 4" xfId="19431" xr:uid="{00000000-0005-0000-0000-0000164C0000}"/>
    <cellStyle name="40% - Accent4 2 6 4 2" xfId="19432" xr:uid="{00000000-0005-0000-0000-0000174C0000}"/>
    <cellStyle name="40% - Accent4 2 6 4 2 2" xfId="19433" xr:uid="{00000000-0005-0000-0000-0000184C0000}"/>
    <cellStyle name="40% - Accent4 2 6 4 3" xfId="19434" xr:uid="{00000000-0005-0000-0000-0000194C0000}"/>
    <cellStyle name="40% - Accent4 2 6 5" xfId="19435" xr:uid="{00000000-0005-0000-0000-00001A4C0000}"/>
    <cellStyle name="40% - Accent4 2 6 5 2" xfId="19436" xr:uid="{00000000-0005-0000-0000-00001B4C0000}"/>
    <cellStyle name="40% - Accent4 2 6 6" xfId="19437" xr:uid="{00000000-0005-0000-0000-00001C4C0000}"/>
    <cellStyle name="40% - Accent4 2 7" xfId="19438" xr:uid="{00000000-0005-0000-0000-00001D4C0000}"/>
    <cellStyle name="40% - Accent4 2 7 2" xfId="19439" xr:uid="{00000000-0005-0000-0000-00001E4C0000}"/>
    <cellStyle name="40% - Accent4 2 7 2 2" xfId="19440" xr:uid="{00000000-0005-0000-0000-00001F4C0000}"/>
    <cellStyle name="40% - Accent4 2 7 2 2 2" xfId="19441" xr:uid="{00000000-0005-0000-0000-0000204C0000}"/>
    <cellStyle name="40% - Accent4 2 7 2 2 2 2" xfId="19442" xr:uid="{00000000-0005-0000-0000-0000214C0000}"/>
    <cellStyle name="40% - Accent4 2 7 2 2 3" xfId="19443" xr:uid="{00000000-0005-0000-0000-0000224C0000}"/>
    <cellStyle name="40% - Accent4 2 7 2 3" xfId="19444" xr:uid="{00000000-0005-0000-0000-0000234C0000}"/>
    <cellStyle name="40% - Accent4 2 7 2 3 2" xfId="19445" xr:uid="{00000000-0005-0000-0000-0000244C0000}"/>
    <cellStyle name="40% - Accent4 2 7 2 4" xfId="19446" xr:uid="{00000000-0005-0000-0000-0000254C0000}"/>
    <cellStyle name="40% - Accent4 2 7 3" xfId="19447" xr:uid="{00000000-0005-0000-0000-0000264C0000}"/>
    <cellStyle name="40% - Accent4 2 7 3 2" xfId="19448" xr:uid="{00000000-0005-0000-0000-0000274C0000}"/>
    <cellStyle name="40% - Accent4 2 7 3 2 2" xfId="19449" xr:uid="{00000000-0005-0000-0000-0000284C0000}"/>
    <cellStyle name="40% - Accent4 2 7 3 3" xfId="19450" xr:uid="{00000000-0005-0000-0000-0000294C0000}"/>
    <cellStyle name="40% - Accent4 2 7 4" xfId="19451" xr:uid="{00000000-0005-0000-0000-00002A4C0000}"/>
    <cellStyle name="40% - Accent4 2 7 4 2" xfId="19452" xr:uid="{00000000-0005-0000-0000-00002B4C0000}"/>
    <cellStyle name="40% - Accent4 2 7 5" xfId="19453" xr:uid="{00000000-0005-0000-0000-00002C4C0000}"/>
    <cellStyle name="40% - Accent4 2 8" xfId="19454" xr:uid="{00000000-0005-0000-0000-00002D4C0000}"/>
    <cellStyle name="40% - Accent4 2 8 2" xfId="19455" xr:uid="{00000000-0005-0000-0000-00002E4C0000}"/>
    <cellStyle name="40% - Accent4 2 8 2 2" xfId="19456" xr:uid="{00000000-0005-0000-0000-00002F4C0000}"/>
    <cellStyle name="40% - Accent4 2 8 2 2 2" xfId="19457" xr:uid="{00000000-0005-0000-0000-0000304C0000}"/>
    <cellStyle name="40% - Accent4 2 8 2 3" xfId="19458" xr:uid="{00000000-0005-0000-0000-0000314C0000}"/>
    <cellStyle name="40% - Accent4 2 8 3" xfId="19459" xr:uid="{00000000-0005-0000-0000-0000324C0000}"/>
    <cellStyle name="40% - Accent4 2 8 3 2" xfId="19460" xr:uid="{00000000-0005-0000-0000-0000334C0000}"/>
    <cellStyle name="40% - Accent4 2 8 4" xfId="19461" xr:uid="{00000000-0005-0000-0000-0000344C0000}"/>
    <cellStyle name="40% - Accent4 2 9" xfId="19462" xr:uid="{00000000-0005-0000-0000-0000354C0000}"/>
    <cellStyle name="40% - Accent4 2 9 2" xfId="19463" xr:uid="{00000000-0005-0000-0000-0000364C0000}"/>
    <cellStyle name="40% - Accent4 2 9 2 2" xfId="19464" xr:uid="{00000000-0005-0000-0000-0000374C0000}"/>
    <cellStyle name="40% - Accent4 2 9 3" xfId="19465" xr:uid="{00000000-0005-0000-0000-0000384C0000}"/>
    <cellStyle name="40% - Accent4 3" xfId="19466" xr:uid="{00000000-0005-0000-0000-0000394C0000}"/>
    <cellStyle name="40% - Accent4 3 10" xfId="19467" xr:uid="{00000000-0005-0000-0000-00003A4C0000}"/>
    <cellStyle name="40% - Accent4 3 2" xfId="19468" xr:uid="{00000000-0005-0000-0000-00003B4C0000}"/>
    <cellStyle name="40% - Accent4 3 2 2" xfId="19469" xr:uid="{00000000-0005-0000-0000-00003C4C0000}"/>
    <cellStyle name="40% - Accent4 3 2 2 2" xfId="19470" xr:uid="{00000000-0005-0000-0000-00003D4C0000}"/>
    <cellStyle name="40% - Accent4 3 2 2 2 2" xfId="19471" xr:uid="{00000000-0005-0000-0000-00003E4C0000}"/>
    <cellStyle name="40% - Accent4 3 2 2 2 2 2" xfId="19472" xr:uid="{00000000-0005-0000-0000-00003F4C0000}"/>
    <cellStyle name="40% - Accent4 3 2 2 2 2 2 2" xfId="19473" xr:uid="{00000000-0005-0000-0000-0000404C0000}"/>
    <cellStyle name="40% - Accent4 3 2 2 2 2 2 2 2" xfId="19474" xr:uid="{00000000-0005-0000-0000-0000414C0000}"/>
    <cellStyle name="40% - Accent4 3 2 2 2 2 2 2 2 2" xfId="19475" xr:uid="{00000000-0005-0000-0000-0000424C0000}"/>
    <cellStyle name="40% - Accent4 3 2 2 2 2 2 2 2 2 2" xfId="19476" xr:uid="{00000000-0005-0000-0000-0000434C0000}"/>
    <cellStyle name="40% - Accent4 3 2 2 2 2 2 2 2 3" xfId="19477" xr:uid="{00000000-0005-0000-0000-0000444C0000}"/>
    <cellStyle name="40% - Accent4 3 2 2 2 2 2 2 3" xfId="19478" xr:uid="{00000000-0005-0000-0000-0000454C0000}"/>
    <cellStyle name="40% - Accent4 3 2 2 2 2 2 2 3 2" xfId="19479" xr:uid="{00000000-0005-0000-0000-0000464C0000}"/>
    <cellStyle name="40% - Accent4 3 2 2 2 2 2 2 4" xfId="19480" xr:uid="{00000000-0005-0000-0000-0000474C0000}"/>
    <cellStyle name="40% - Accent4 3 2 2 2 2 2 3" xfId="19481" xr:uid="{00000000-0005-0000-0000-0000484C0000}"/>
    <cellStyle name="40% - Accent4 3 2 2 2 2 2 3 2" xfId="19482" xr:uid="{00000000-0005-0000-0000-0000494C0000}"/>
    <cellStyle name="40% - Accent4 3 2 2 2 2 2 3 2 2" xfId="19483" xr:uid="{00000000-0005-0000-0000-00004A4C0000}"/>
    <cellStyle name="40% - Accent4 3 2 2 2 2 2 3 3" xfId="19484" xr:uid="{00000000-0005-0000-0000-00004B4C0000}"/>
    <cellStyle name="40% - Accent4 3 2 2 2 2 2 4" xfId="19485" xr:uid="{00000000-0005-0000-0000-00004C4C0000}"/>
    <cellStyle name="40% - Accent4 3 2 2 2 2 2 4 2" xfId="19486" xr:uid="{00000000-0005-0000-0000-00004D4C0000}"/>
    <cellStyle name="40% - Accent4 3 2 2 2 2 2 5" xfId="19487" xr:uid="{00000000-0005-0000-0000-00004E4C0000}"/>
    <cellStyle name="40% - Accent4 3 2 2 2 2 3" xfId="19488" xr:uid="{00000000-0005-0000-0000-00004F4C0000}"/>
    <cellStyle name="40% - Accent4 3 2 2 2 2 3 2" xfId="19489" xr:uid="{00000000-0005-0000-0000-0000504C0000}"/>
    <cellStyle name="40% - Accent4 3 2 2 2 2 3 2 2" xfId="19490" xr:uid="{00000000-0005-0000-0000-0000514C0000}"/>
    <cellStyle name="40% - Accent4 3 2 2 2 2 3 2 2 2" xfId="19491" xr:uid="{00000000-0005-0000-0000-0000524C0000}"/>
    <cellStyle name="40% - Accent4 3 2 2 2 2 3 2 3" xfId="19492" xr:uid="{00000000-0005-0000-0000-0000534C0000}"/>
    <cellStyle name="40% - Accent4 3 2 2 2 2 3 3" xfId="19493" xr:uid="{00000000-0005-0000-0000-0000544C0000}"/>
    <cellStyle name="40% - Accent4 3 2 2 2 2 3 3 2" xfId="19494" xr:uid="{00000000-0005-0000-0000-0000554C0000}"/>
    <cellStyle name="40% - Accent4 3 2 2 2 2 3 4" xfId="19495" xr:uid="{00000000-0005-0000-0000-0000564C0000}"/>
    <cellStyle name="40% - Accent4 3 2 2 2 2 4" xfId="19496" xr:uid="{00000000-0005-0000-0000-0000574C0000}"/>
    <cellStyle name="40% - Accent4 3 2 2 2 2 4 2" xfId="19497" xr:uid="{00000000-0005-0000-0000-0000584C0000}"/>
    <cellStyle name="40% - Accent4 3 2 2 2 2 4 2 2" xfId="19498" xr:uid="{00000000-0005-0000-0000-0000594C0000}"/>
    <cellStyle name="40% - Accent4 3 2 2 2 2 4 3" xfId="19499" xr:uid="{00000000-0005-0000-0000-00005A4C0000}"/>
    <cellStyle name="40% - Accent4 3 2 2 2 2 5" xfId="19500" xr:uid="{00000000-0005-0000-0000-00005B4C0000}"/>
    <cellStyle name="40% - Accent4 3 2 2 2 2 5 2" xfId="19501" xr:uid="{00000000-0005-0000-0000-00005C4C0000}"/>
    <cellStyle name="40% - Accent4 3 2 2 2 2 6" xfId="19502" xr:uid="{00000000-0005-0000-0000-00005D4C0000}"/>
    <cellStyle name="40% - Accent4 3 2 2 2 3" xfId="19503" xr:uid="{00000000-0005-0000-0000-00005E4C0000}"/>
    <cellStyle name="40% - Accent4 3 2 2 2 3 2" xfId="19504" xr:uid="{00000000-0005-0000-0000-00005F4C0000}"/>
    <cellStyle name="40% - Accent4 3 2 2 2 3 2 2" xfId="19505" xr:uid="{00000000-0005-0000-0000-0000604C0000}"/>
    <cellStyle name="40% - Accent4 3 2 2 2 3 2 2 2" xfId="19506" xr:uid="{00000000-0005-0000-0000-0000614C0000}"/>
    <cellStyle name="40% - Accent4 3 2 2 2 3 2 2 2 2" xfId="19507" xr:uid="{00000000-0005-0000-0000-0000624C0000}"/>
    <cellStyle name="40% - Accent4 3 2 2 2 3 2 2 3" xfId="19508" xr:uid="{00000000-0005-0000-0000-0000634C0000}"/>
    <cellStyle name="40% - Accent4 3 2 2 2 3 2 3" xfId="19509" xr:uid="{00000000-0005-0000-0000-0000644C0000}"/>
    <cellStyle name="40% - Accent4 3 2 2 2 3 2 3 2" xfId="19510" xr:uid="{00000000-0005-0000-0000-0000654C0000}"/>
    <cellStyle name="40% - Accent4 3 2 2 2 3 2 4" xfId="19511" xr:uid="{00000000-0005-0000-0000-0000664C0000}"/>
    <cellStyle name="40% - Accent4 3 2 2 2 3 3" xfId="19512" xr:uid="{00000000-0005-0000-0000-0000674C0000}"/>
    <cellStyle name="40% - Accent4 3 2 2 2 3 3 2" xfId="19513" xr:uid="{00000000-0005-0000-0000-0000684C0000}"/>
    <cellStyle name="40% - Accent4 3 2 2 2 3 3 2 2" xfId="19514" xr:uid="{00000000-0005-0000-0000-0000694C0000}"/>
    <cellStyle name="40% - Accent4 3 2 2 2 3 3 3" xfId="19515" xr:uid="{00000000-0005-0000-0000-00006A4C0000}"/>
    <cellStyle name="40% - Accent4 3 2 2 2 3 4" xfId="19516" xr:uid="{00000000-0005-0000-0000-00006B4C0000}"/>
    <cellStyle name="40% - Accent4 3 2 2 2 3 4 2" xfId="19517" xr:uid="{00000000-0005-0000-0000-00006C4C0000}"/>
    <cellStyle name="40% - Accent4 3 2 2 2 3 5" xfId="19518" xr:uid="{00000000-0005-0000-0000-00006D4C0000}"/>
    <cellStyle name="40% - Accent4 3 2 2 2 4" xfId="19519" xr:uid="{00000000-0005-0000-0000-00006E4C0000}"/>
    <cellStyle name="40% - Accent4 3 2 2 2 4 2" xfId="19520" xr:uid="{00000000-0005-0000-0000-00006F4C0000}"/>
    <cellStyle name="40% - Accent4 3 2 2 2 4 2 2" xfId="19521" xr:uid="{00000000-0005-0000-0000-0000704C0000}"/>
    <cellStyle name="40% - Accent4 3 2 2 2 4 2 2 2" xfId="19522" xr:uid="{00000000-0005-0000-0000-0000714C0000}"/>
    <cellStyle name="40% - Accent4 3 2 2 2 4 2 3" xfId="19523" xr:uid="{00000000-0005-0000-0000-0000724C0000}"/>
    <cellStyle name="40% - Accent4 3 2 2 2 4 3" xfId="19524" xr:uid="{00000000-0005-0000-0000-0000734C0000}"/>
    <cellStyle name="40% - Accent4 3 2 2 2 4 3 2" xfId="19525" xr:uid="{00000000-0005-0000-0000-0000744C0000}"/>
    <cellStyle name="40% - Accent4 3 2 2 2 4 4" xfId="19526" xr:uid="{00000000-0005-0000-0000-0000754C0000}"/>
    <cellStyle name="40% - Accent4 3 2 2 2 5" xfId="19527" xr:uid="{00000000-0005-0000-0000-0000764C0000}"/>
    <cellStyle name="40% - Accent4 3 2 2 2 5 2" xfId="19528" xr:uid="{00000000-0005-0000-0000-0000774C0000}"/>
    <cellStyle name="40% - Accent4 3 2 2 2 5 2 2" xfId="19529" xr:uid="{00000000-0005-0000-0000-0000784C0000}"/>
    <cellStyle name="40% - Accent4 3 2 2 2 5 3" xfId="19530" xr:uid="{00000000-0005-0000-0000-0000794C0000}"/>
    <cellStyle name="40% - Accent4 3 2 2 2 6" xfId="19531" xr:uid="{00000000-0005-0000-0000-00007A4C0000}"/>
    <cellStyle name="40% - Accent4 3 2 2 2 6 2" xfId="19532" xr:uid="{00000000-0005-0000-0000-00007B4C0000}"/>
    <cellStyle name="40% - Accent4 3 2 2 2 7" xfId="19533" xr:uid="{00000000-0005-0000-0000-00007C4C0000}"/>
    <cellStyle name="40% - Accent4 3 2 2 3" xfId="19534" xr:uid="{00000000-0005-0000-0000-00007D4C0000}"/>
    <cellStyle name="40% - Accent4 3 2 2 3 2" xfId="19535" xr:uid="{00000000-0005-0000-0000-00007E4C0000}"/>
    <cellStyle name="40% - Accent4 3 2 2 3 2 2" xfId="19536" xr:uid="{00000000-0005-0000-0000-00007F4C0000}"/>
    <cellStyle name="40% - Accent4 3 2 2 3 2 2 2" xfId="19537" xr:uid="{00000000-0005-0000-0000-0000804C0000}"/>
    <cellStyle name="40% - Accent4 3 2 2 3 2 2 2 2" xfId="19538" xr:uid="{00000000-0005-0000-0000-0000814C0000}"/>
    <cellStyle name="40% - Accent4 3 2 2 3 2 2 2 2 2" xfId="19539" xr:uid="{00000000-0005-0000-0000-0000824C0000}"/>
    <cellStyle name="40% - Accent4 3 2 2 3 2 2 2 3" xfId="19540" xr:uid="{00000000-0005-0000-0000-0000834C0000}"/>
    <cellStyle name="40% - Accent4 3 2 2 3 2 2 3" xfId="19541" xr:uid="{00000000-0005-0000-0000-0000844C0000}"/>
    <cellStyle name="40% - Accent4 3 2 2 3 2 2 3 2" xfId="19542" xr:uid="{00000000-0005-0000-0000-0000854C0000}"/>
    <cellStyle name="40% - Accent4 3 2 2 3 2 2 4" xfId="19543" xr:uid="{00000000-0005-0000-0000-0000864C0000}"/>
    <cellStyle name="40% - Accent4 3 2 2 3 2 3" xfId="19544" xr:uid="{00000000-0005-0000-0000-0000874C0000}"/>
    <cellStyle name="40% - Accent4 3 2 2 3 2 3 2" xfId="19545" xr:uid="{00000000-0005-0000-0000-0000884C0000}"/>
    <cellStyle name="40% - Accent4 3 2 2 3 2 3 2 2" xfId="19546" xr:uid="{00000000-0005-0000-0000-0000894C0000}"/>
    <cellStyle name="40% - Accent4 3 2 2 3 2 3 3" xfId="19547" xr:uid="{00000000-0005-0000-0000-00008A4C0000}"/>
    <cellStyle name="40% - Accent4 3 2 2 3 2 4" xfId="19548" xr:uid="{00000000-0005-0000-0000-00008B4C0000}"/>
    <cellStyle name="40% - Accent4 3 2 2 3 2 4 2" xfId="19549" xr:uid="{00000000-0005-0000-0000-00008C4C0000}"/>
    <cellStyle name="40% - Accent4 3 2 2 3 2 5" xfId="19550" xr:uid="{00000000-0005-0000-0000-00008D4C0000}"/>
    <cellStyle name="40% - Accent4 3 2 2 3 3" xfId="19551" xr:uid="{00000000-0005-0000-0000-00008E4C0000}"/>
    <cellStyle name="40% - Accent4 3 2 2 3 3 2" xfId="19552" xr:uid="{00000000-0005-0000-0000-00008F4C0000}"/>
    <cellStyle name="40% - Accent4 3 2 2 3 3 2 2" xfId="19553" xr:uid="{00000000-0005-0000-0000-0000904C0000}"/>
    <cellStyle name="40% - Accent4 3 2 2 3 3 2 2 2" xfId="19554" xr:uid="{00000000-0005-0000-0000-0000914C0000}"/>
    <cellStyle name="40% - Accent4 3 2 2 3 3 2 3" xfId="19555" xr:uid="{00000000-0005-0000-0000-0000924C0000}"/>
    <cellStyle name="40% - Accent4 3 2 2 3 3 3" xfId="19556" xr:uid="{00000000-0005-0000-0000-0000934C0000}"/>
    <cellStyle name="40% - Accent4 3 2 2 3 3 3 2" xfId="19557" xr:uid="{00000000-0005-0000-0000-0000944C0000}"/>
    <cellStyle name="40% - Accent4 3 2 2 3 3 4" xfId="19558" xr:uid="{00000000-0005-0000-0000-0000954C0000}"/>
    <cellStyle name="40% - Accent4 3 2 2 3 4" xfId="19559" xr:uid="{00000000-0005-0000-0000-0000964C0000}"/>
    <cellStyle name="40% - Accent4 3 2 2 3 4 2" xfId="19560" xr:uid="{00000000-0005-0000-0000-0000974C0000}"/>
    <cellStyle name="40% - Accent4 3 2 2 3 4 2 2" xfId="19561" xr:uid="{00000000-0005-0000-0000-0000984C0000}"/>
    <cellStyle name="40% - Accent4 3 2 2 3 4 3" xfId="19562" xr:uid="{00000000-0005-0000-0000-0000994C0000}"/>
    <cellStyle name="40% - Accent4 3 2 2 3 5" xfId="19563" xr:uid="{00000000-0005-0000-0000-00009A4C0000}"/>
    <cellStyle name="40% - Accent4 3 2 2 3 5 2" xfId="19564" xr:uid="{00000000-0005-0000-0000-00009B4C0000}"/>
    <cellStyle name="40% - Accent4 3 2 2 3 6" xfId="19565" xr:uid="{00000000-0005-0000-0000-00009C4C0000}"/>
    <cellStyle name="40% - Accent4 3 2 2 4" xfId="19566" xr:uid="{00000000-0005-0000-0000-00009D4C0000}"/>
    <cellStyle name="40% - Accent4 3 2 2 4 2" xfId="19567" xr:uid="{00000000-0005-0000-0000-00009E4C0000}"/>
    <cellStyle name="40% - Accent4 3 2 2 4 2 2" xfId="19568" xr:uid="{00000000-0005-0000-0000-00009F4C0000}"/>
    <cellStyle name="40% - Accent4 3 2 2 4 2 2 2" xfId="19569" xr:uid="{00000000-0005-0000-0000-0000A04C0000}"/>
    <cellStyle name="40% - Accent4 3 2 2 4 2 2 2 2" xfId="19570" xr:uid="{00000000-0005-0000-0000-0000A14C0000}"/>
    <cellStyle name="40% - Accent4 3 2 2 4 2 2 3" xfId="19571" xr:uid="{00000000-0005-0000-0000-0000A24C0000}"/>
    <cellStyle name="40% - Accent4 3 2 2 4 2 3" xfId="19572" xr:uid="{00000000-0005-0000-0000-0000A34C0000}"/>
    <cellStyle name="40% - Accent4 3 2 2 4 2 3 2" xfId="19573" xr:uid="{00000000-0005-0000-0000-0000A44C0000}"/>
    <cellStyle name="40% - Accent4 3 2 2 4 2 4" xfId="19574" xr:uid="{00000000-0005-0000-0000-0000A54C0000}"/>
    <cellStyle name="40% - Accent4 3 2 2 4 3" xfId="19575" xr:uid="{00000000-0005-0000-0000-0000A64C0000}"/>
    <cellStyle name="40% - Accent4 3 2 2 4 3 2" xfId="19576" xr:uid="{00000000-0005-0000-0000-0000A74C0000}"/>
    <cellStyle name="40% - Accent4 3 2 2 4 3 2 2" xfId="19577" xr:uid="{00000000-0005-0000-0000-0000A84C0000}"/>
    <cellStyle name="40% - Accent4 3 2 2 4 3 3" xfId="19578" xr:uid="{00000000-0005-0000-0000-0000A94C0000}"/>
    <cellStyle name="40% - Accent4 3 2 2 4 4" xfId="19579" xr:uid="{00000000-0005-0000-0000-0000AA4C0000}"/>
    <cellStyle name="40% - Accent4 3 2 2 4 4 2" xfId="19580" xr:uid="{00000000-0005-0000-0000-0000AB4C0000}"/>
    <cellStyle name="40% - Accent4 3 2 2 4 5" xfId="19581" xr:uid="{00000000-0005-0000-0000-0000AC4C0000}"/>
    <cellStyle name="40% - Accent4 3 2 2 5" xfId="19582" xr:uid="{00000000-0005-0000-0000-0000AD4C0000}"/>
    <cellStyle name="40% - Accent4 3 2 2 5 2" xfId="19583" xr:uid="{00000000-0005-0000-0000-0000AE4C0000}"/>
    <cellStyle name="40% - Accent4 3 2 2 5 2 2" xfId="19584" xr:uid="{00000000-0005-0000-0000-0000AF4C0000}"/>
    <cellStyle name="40% - Accent4 3 2 2 5 2 2 2" xfId="19585" xr:uid="{00000000-0005-0000-0000-0000B04C0000}"/>
    <cellStyle name="40% - Accent4 3 2 2 5 2 3" xfId="19586" xr:uid="{00000000-0005-0000-0000-0000B14C0000}"/>
    <cellStyle name="40% - Accent4 3 2 2 5 3" xfId="19587" xr:uid="{00000000-0005-0000-0000-0000B24C0000}"/>
    <cellStyle name="40% - Accent4 3 2 2 5 3 2" xfId="19588" xr:uid="{00000000-0005-0000-0000-0000B34C0000}"/>
    <cellStyle name="40% - Accent4 3 2 2 5 4" xfId="19589" xr:uid="{00000000-0005-0000-0000-0000B44C0000}"/>
    <cellStyle name="40% - Accent4 3 2 2 6" xfId="19590" xr:uid="{00000000-0005-0000-0000-0000B54C0000}"/>
    <cellStyle name="40% - Accent4 3 2 2 6 2" xfId="19591" xr:uid="{00000000-0005-0000-0000-0000B64C0000}"/>
    <cellStyle name="40% - Accent4 3 2 2 6 2 2" xfId="19592" xr:uid="{00000000-0005-0000-0000-0000B74C0000}"/>
    <cellStyle name="40% - Accent4 3 2 2 6 3" xfId="19593" xr:uid="{00000000-0005-0000-0000-0000B84C0000}"/>
    <cellStyle name="40% - Accent4 3 2 2 7" xfId="19594" xr:uid="{00000000-0005-0000-0000-0000B94C0000}"/>
    <cellStyle name="40% - Accent4 3 2 2 7 2" xfId="19595" xr:uid="{00000000-0005-0000-0000-0000BA4C0000}"/>
    <cellStyle name="40% - Accent4 3 2 2 8" xfId="19596" xr:uid="{00000000-0005-0000-0000-0000BB4C0000}"/>
    <cellStyle name="40% - Accent4 3 2 3" xfId="19597" xr:uid="{00000000-0005-0000-0000-0000BC4C0000}"/>
    <cellStyle name="40% - Accent4 3 2 3 2" xfId="19598" xr:uid="{00000000-0005-0000-0000-0000BD4C0000}"/>
    <cellStyle name="40% - Accent4 3 2 3 2 2" xfId="19599" xr:uid="{00000000-0005-0000-0000-0000BE4C0000}"/>
    <cellStyle name="40% - Accent4 3 2 3 2 2 2" xfId="19600" xr:uid="{00000000-0005-0000-0000-0000BF4C0000}"/>
    <cellStyle name="40% - Accent4 3 2 3 2 2 2 2" xfId="19601" xr:uid="{00000000-0005-0000-0000-0000C04C0000}"/>
    <cellStyle name="40% - Accent4 3 2 3 2 2 2 2 2" xfId="19602" xr:uid="{00000000-0005-0000-0000-0000C14C0000}"/>
    <cellStyle name="40% - Accent4 3 2 3 2 2 2 2 2 2" xfId="19603" xr:uid="{00000000-0005-0000-0000-0000C24C0000}"/>
    <cellStyle name="40% - Accent4 3 2 3 2 2 2 2 3" xfId="19604" xr:uid="{00000000-0005-0000-0000-0000C34C0000}"/>
    <cellStyle name="40% - Accent4 3 2 3 2 2 2 3" xfId="19605" xr:uid="{00000000-0005-0000-0000-0000C44C0000}"/>
    <cellStyle name="40% - Accent4 3 2 3 2 2 2 3 2" xfId="19606" xr:uid="{00000000-0005-0000-0000-0000C54C0000}"/>
    <cellStyle name="40% - Accent4 3 2 3 2 2 2 4" xfId="19607" xr:uid="{00000000-0005-0000-0000-0000C64C0000}"/>
    <cellStyle name="40% - Accent4 3 2 3 2 2 3" xfId="19608" xr:uid="{00000000-0005-0000-0000-0000C74C0000}"/>
    <cellStyle name="40% - Accent4 3 2 3 2 2 3 2" xfId="19609" xr:uid="{00000000-0005-0000-0000-0000C84C0000}"/>
    <cellStyle name="40% - Accent4 3 2 3 2 2 3 2 2" xfId="19610" xr:uid="{00000000-0005-0000-0000-0000C94C0000}"/>
    <cellStyle name="40% - Accent4 3 2 3 2 2 3 3" xfId="19611" xr:uid="{00000000-0005-0000-0000-0000CA4C0000}"/>
    <cellStyle name="40% - Accent4 3 2 3 2 2 4" xfId="19612" xr:uid="{00000000-0005-0000-0000-0000CB4C0000}"/>
    <cellStyle name="40% - Accent4 3 2 3 2 2 4 2" xfId="19613" xr:uid="{00000000-0005-0000-0000-0000CC4C0000}"/>
    <cellStyle name="40% - Accent4 3 2 3 2 2 5" xfId="19614" xr:uid="{00000000-0005-0000-0000-0000CD4C0000}"/>
    <cellStyle name="40% - Accent4 3 2 3 2 3" xfId="19615" xr:uid="{00000000-0005-0000-0000-0000CE4C0000}"/>
    <cellStyle name="40% - Accent4 3 2 3 2 3 2" xfId="19616" xr:uid="{00000000-0005-0000-0000-0000CF4C0000}"/>
    <cellStyle name="40% - Accent4 3 2 3 2 3 2 2" xfId="19617" xr:uid="{00000000-0005-0000-0000-0000D04C0000}"/>
    <cellStyle name="40% - Accent4 3 2 3 2 3 2 2 2" xfId="19618" xr:uid="{00000000-0005-0000-0000-0000D14C0000}"/>
    <cellStyle name="40% - Accent4 3 2 3 2 3 2 3" xfId="19619" xr:uid="{00000000-0005-0000-0000-0000D24C0000}"/>
    <cellStyle name="40% - Accent4 3 2 3 2 3 3" xfId="19620" xr:uid="{00000000-0005-0000-0000-0000D34C0000}"/>
    <cellStyle name="40% - Accent4 3 2 3 2 3 3 2" xfId="19621" xr:uid="{00000000-0005-0000-0000-0000D44C0000}"/>
    <cellStyle name="40% - Accent4 3 2 3 2 3 4" xfId="19622" xr:uid="{00000000-0005-0000-0000-0000D54C0000}"/>
    <cellStyle name="40% - Accent4 3 2 3 2 4" xfId="19623" xr:uid="{00000000-0005-0000-0000-0000D64C0000}"/>
    <cellStyle name="40% - Accent4 3 2 3 2 4 2" xfId="19624" xr:uid="{00000000-0005-0000-0000-0000D74C0000}"/>
    <cellStyle name="40% - Accent4 3 2 3 2 4 2 2" xfId="19625" xr:uid="{00000000-0005-0000-0000-0000D84C0000}"/>
    <cellStyle name="40% - Accent4 3 2 3 2 4 3" xfId="19626" xr:uid="{00000000-0005-0000-0000-0000D94C0000}"/>
    <cellStyle name="40% - Accent4 3 2 3 2 5" xfId="19627" xr:uid="{00000000-0005-0000-0000-0000DA4C0000}"/>
    <cellStyle name="40% - Accent4 3 2 3 2 5 2" xfId="19628" xr:uid="{00000000-0005-0000-0000-0000DB4C0000}"/>
    <cellStyle name="40% - Accent4 3 2 3 2 6" xfId="19629" xr:uid="{00000000-0005-0000-0000-0000DC4C0000}"/>
    <cellStyle name="40% - Accent4 3 2 3 3" xfId="19630" xr:uid="{00000000-0005-0000-0000-0000DD4C0000}"/>
    <cellStyle name="40% - Accent4 3 2 3 3 2" xfId="19631" xr:uid="{00000000-0005-0000-0000-0000DE4C0000}"/>
    <cellStyle name="40% - Accent4 3 2 3 3 2 2" xfId="19632" xr:uid="{00000000-0005-0000-0000-0000DF4C0000}"/>
    <cellStyle name="40% - Accent4 3 2 3 3 2 2 2" xfId="19633" xr:uid="{00000000-0005-0000-0000-0000E04C0000}"/>
    <cellStyle name="40% - Accent4 3 2 3 3 2 2 2 2" xfId="19634" xr:uid="{00000000-0005-0000-0000-0000E14C0000}"/>
    <cellStyle name="40% - Accent4 3 2 3 3 2 2 3" xfId="19635" xr:uid="{00000000-0005-0000-0000-0000E24C0000}"/>
    <cellStyle name="40% - Accent4 3 2 3 3 2 3" xfId="19636" xr:uid="{00000000-0005-0000-0000-0000E34C0000}"/>
    <cellStyle name="40% - Accent4 3 2 3 3 2 3 2" xfId="19637" xr:uid="{00000000-0005-0000-0000-0000E44C0000}"/>
    <cellStyle name="40% - Accent4 3 2 3 3 2 4" xfId="19638" xr:uid="{00000000-0005-0000-0000-0000E54C0000}"/>
    <cellStyle name="40% - Accent4 3 2 3 3 3" xfId="19639" xr:uid="{00000000-0005-0000-0000-0000E64C0000}"/>
    <cellStyle name="40% - Accent4 3 2 3 3 3 2" xfId="19640" xr:uid="{00000000-0005-0000-0000-0000E74C0000}"/>
    <cellStyle name="40% - Accent4 3 2 3 3 3 2 2" xfId="19641" xr:uid="{00000000-0005-0000-0000-0000E84C0000}"/>
    <cellStyle name="40% - Accent4 3 2 3 3 3 3" xfId="19642" xr:uid="{00000000-0005-0000-0000-0000E94C0000}"/>
    <cellStyle name="40% - Accent4 3 2 3 3 4" xfId="19643" xr:uid="{00000000-0005-0000-0000-0000EA4C0000}"/>
    <cellStyle name="40% - Accent4 3 2 3 3 4 2" xfId="19644" xr:uid="{00000000-0005-0000-0000-0000EB4C0000}"/>
    <cellStyle name="40% - Accent4 3 2 3 3 5" xfId="19645" xr:uid="{00000000-0005-0000-0000-0000EC4C0000}"/>
    <cellStyle name="40% - Accent4 3 2 3 4" xfId="19646" xr:uid="{00000000-0005-0000-0000-0000ED4C0000}"/>
    <cellStyle name="40% - Accent4 3 2 3 4 2" xfId="19647" xr:uid="{00000000-0005-0000-0000-0000EE4C0000}"/>
    <cellStyle name="40% - Accent4 3 2 3 4 2 2" xfId="19648" xr:uid="{00000000-0005-0000-0000-0000EF4C0000}"/>
    <cellStyle name="40% - Accent4 3 2 3 4 2 2 2" xfId="19649" xr:uid="{00000000-0005-0000-0000-0000F04C0000}"/>
    <cellStyle name="40% - Accent4 3 2 3 4 2 3" xfId="19650" xr:uid="{00000000-0005-0000-0000-0000F14C0000}"/>
    <cellStyle name="40% - Accent4 3 2 3 4 3" xfId="19651" xr:uid="{00000000-0005-0000-0000-0000F24C0000}"/>
    <cellStyle name="40% - Accent4 3 2 3 4 3 2" xfId="19652" xr:uid="{00000000-0005-0000-0000-0000F34C0000}"/>
    <cellStyle name="40% - Accent4 3 2 3 4 4" xfId="19653" xr:uid="{00000000-0005-0000-0000-0000F44C0000}"/>
    <cellStyle name="40% - Accent4 3 2 3 5" xfId="19654" xr:uid="{00000000-0005-0000-0000-0000F54C0000}"/>
    <cellStyle name="40% - Accent4 3 2 3 5 2" xfId="19655" xr:uid="{00000000-0005-0000-0000-0000F64C0000}"/>
    <cellStyle name="40% - Accent4 3 2 3 5 2 2" xfId="19656" xr:uid="{00000000-0005-0000-0000-0000F74C0000}"/>
    <cellStyle name="40% - Accent4 3 2 3 5 3" xfId="19657" xr:uid="{00000000-0005-0000-0000-0000F84C0000}"/>
    <cellStyle name="40% - Accent4 3 2 3 6" xfId="19658" xr:uid="{00000000-0005-0000-0000-0000F94C0000}"/>
    <cellStyle name="40% - Accent4 3 2 3 6 2" xfId="19659" xr:uid="{00000000-0005-0000-0000-0000FA4C0000}"/>
    <cellStyle name="40% - Accent4 3 2 3 7" xfId="19660" xr:uid="{00000000-0005-0000-0000-0000FB4C0000}"/>
    <cellStyle name="40% - Accent4 3 2 4" xfId="19661" xr:uid="{00000000-0005-0000-0000-0000FC4C0000}"/>
    <cellStyle name="40% - Accent4 3 2 4 2" xfId="19662" xr:uid="{00000000-0005-0000-0000-0000FD4C0000}"/>
    <cellStyle name="40% - Accent4 3 2 4 2 2" xfId="19663" xr:uid="{00000000-0005-0000-0000-0000FE4C0000}"/>
    <cellStyle name="40% - Accent4 3 2 4 2 2 2" xfId="19664" xr:uid="{00000000-0005-0000-0000-0000FF4C0000}"/>
    <cellStyle name="40% - Accent4 3 2 4 2 2 2 2" xfId="19665" xr:uid="{00000000-0005-0000-0000-0000004D0000}"/>
    <cellStyle name="40% - Accent4 3 2 4 2 2 2 2 2" xfId="19666" xr:uid="{00000000-0005-0000-0000-0000014D0000}"/>
    <cellStyle name="40% - Accent4 3 2 4 2 2 2 3" xfId="19667" xr:uid="{00000000-0005-0000-0000-0000024D0000}"/>
    <cellStyle name="40% - Accent4 3 2 4 2 2 3" xfId="19668" xr:uid="{00000000-0005-0000-0000-0000034D0000}"/>
    <cellStyle name="40% - Accent4 3 2 4 2 2 3 2" xfId="19669" xr:uid="{00000000-0005-0000-0000-0000044D0000}"/>
    <cellStyle name="40% - Accent4 3 2 4 2 2 4" xfId="19670" xr:uid="{00000000-0005-0000-0000-0000054D0000}"/>
    <cellStyle name="40% - Accent4 3 2 4 2 3" xfId="19671" xr:uid="{00000000-0005-0000-0000-0000064D0000}"/>
    <cellStyle name="40% - Accent4 3 2 4 2 3 2" xfId="19672" xr:uid="{00000000-0005-0000-0000-0000074D0000}"/>
    <cellStyle name="40% - Accent4 3 2 4 2 3 2 2" xfId="19673" xr:uid="{00000000-0005-0000-0000-0000084D0000}"/>
    <cellStyle name="40% - Accent4 3 2 4 2 3 3" xfId="19674" xr:uid="{00000000-0005-0000-0000-0000094D0000}"/>
    <cellStyle name="40% - Accent4 3 2 4 2 4" xfId="19675" xr:uid="{00000000-0005-0000-0000-00000A4D0000}"/>
    <cellStyle name="40% - Accent4 3 2 4 2 4 2" xfId="19676" xr:uid="{00000000-0005-0000-0000-00000B4D0000}"/>
    <cellStyle name="40% - Accent4 3 2 4 2 5" xfId="19677" xr:uid="{00000000-0005-0000-0000-00000C4D0000}"/>
    <cellStyle name="40% - Accent4 3 2 4 3" xfId="19678" xr:uid="{00000000-0005-0000-0000-00000D4D0000}"/>
    <cellStyle name="40% - Accent4 3 2 4 3 2" xfId="19679" xr:uid="{00000000-0005-0000-0000-00000E4D0000}"/>
    <cellStyle name="40% - Accent4 3 2 4 3 2 2" xfId="19680" xr:uid="{00000000-0005-0000-0000-00000F4D0000}"/>
    <cellStyle name="40% - Accent4 3 2 4 3 2 2 2" xfId="19681" xr:uid="{00000000-0005-0000-0000-0000104D0000}"/>
    <cellStyle name="40% - Accent4 3 2 4 3 2 3" xfId="19682" xr:uid="{00000000-0005-0000-0000-0000114D0000}"/>
    <cellStyle name="40% - Accent4 3 2 4 3 3" xfId="19683" xr:uid="{00000000-0005-0000-0000-0000124D0000}"/>
    <cellStyle name="40% - Accent4 3 2 4 3 3 2" xfId="19684" xr:uid="{00000000-0005-0000-0000-0000134D0000}"/>
    <cellStyle name="40% - Accent4 3 2 4 3 4" xfId="19685" xr:uid="{00000000-0005-0000-0000-0000144D0000}"/>
    <cellStyle name="40% - Accent4 3 2 4 4" xfId="19686" xr:uid="{00000000-0005-0000-0000-0000154D0000}"/>
    <cellStyle name="40% - Accent4 3 2 4 4 2" xfId="19687" xr:uid="{00000000-0005-0000-0000-0000164D0000}"/>
    <cellStyle name="40% - Accent4 3 2 4 4 2 2" xfId="19688" xr:uid="{00000000-0005-0000-0000-0000174D0000}"/>
    <cellStyle name="40% - Accent4 3 2 4 4 3" xfId="19689" xr:uid="{00000000-0005-0000-0000-0000184D0000}"/>
    <cellStyle name="40% - Accent4 3 2 4 5" xfId="19690" xr:uid="{00000000-0005-0000-0000-0000194D0000}"/>
    <cellStyle name="40% - Accent4 3 2 4 5 2" xfId="19691" xr:uid="{00000000-0005-0000-0000-00001A4D0000}"/>
    <cellStyle name="40% - Accent4 3 2 4 6" xfId="19692" xr:uid="{00000000-0005-0000-0000-00001B4D0000}"/>
    <cellStyle name="40% - Accent4 3 2 5" xfId="19693" xr:uid="{00000000-0005-0000-0000-00001C4D0000}"/>
    <cellStyle name="40% - Accent4 3 2 5 2" xfId="19694" xr:uid="{00000000-0005-0000-0000-00001D4D0000}"/>
    <cellStyle name="40% - Accent4 3 2 5 2 2" xfId="19695" xr:uid="{00000000-0005-0000-0000-00001E4D0000}"/>
    <cellStyle name="40% - Accent4 3 2 5 2 2 2" xfId="19696" xr:uid="{00000000-0005-0000-0000-00001F4D0000}"/>
    <cellStyle name="40% - Accent4 3 2 5 2 2 2 2" xfId="19697" xr:uid="{00000000-0005-0000-0000-0000204D0000}"/>
    <cellStyle name="40% - Accent4 3 2 5 2 2 3" xfId="19698" xr:uid="{00000000-0005-0000-0000-0000214D0000}"/>
    <cellStyle name="40% - Accent4 3 2 5 2 3" xfId="19699" xr:uid="{00000000-0005-0000-0000-0000224D0000}"/>
    <cellStyle name="40% - Accent4 3 2 5 2 3 2" xfId="19700" xr:uid="{00000000-0005-0000-0000-0000234D0000}"/>
    <cellStyle name="40% - Accent4 3 2 5 2 4" xfId="19701" xr:uid="{00000000-0005-0000-0000-0000244D0000}"/>
    <cellStyle name="40% - Accent4 3 2 5 3" xfId="19702" xr:uid="{00000000-0005-0000-0000-0000254D0000}"/>
    <cellStyle name="40% - Accent4 3 2 5 3 2" xfId="19703" xr:uid="{00000000-0005-0000-0000-0000264D0000}"/>
    <cellStyle name="40% - Accent4 3 2 5 3 2 2" xfId="19704" xr:uid="{00000000-0005-0000-0000-0000274D0000}"/>
    <cellStyle name="40% - Accent4 3 2 5 3 3" xfId="19705" xr:uid="{00000000-0005-0000-0000-0000284D0000}"/>
    <cellStyle name="40% - Accent4 3 2 5 4" xfId="19706" xr:uid="{00000000-0005-0000-0000-0000294D0000}"/>
    <cellStyle name="40% - Accent4 3 2 5 4 2" xfId="19707" xr:uid="{00000000-0005-0000-0000-00002A4D0000}"/>
    <cellStyle name="40% - Accent4 3 2 5 5" xfId="19708" xr:uid="{00000000-0005-0000-0000-00002B4D0000}"/>
    <cellStyle name="40% - Accent4 3 2 6" xfId="19709" xr:uid="{00000000-0005-0000-0000-00002C4D0000}"/>
    <cellStyle name="40% - Accent4 3 2 6 2" xfId="19710" xr:uid="{00000000-0005-0000-0000-00002D4D0000}"/>
    <cellStyle name="40% - Accent4 3 2 6 2 2" xfId="19711" xr:uid="{00000000-0005-0000-0000-00002E4D0000}"/>
    <cellStyle name="40% - Accent4 3 2 6 2 2 2" xfId="19712" xr:uid="{00000000-0005-0000-0000-00002F4D0000}"/>
    <cellStyle name="40% - Accent4 3 2 6 2 3" xfId="19713" xr:uid="{00000000-0005-0000-0000-0000304D0000}"/>
    <cellStyle name="40% - Accent4 3 2 6 3" xfId="19714" xr:uid="{00000000-0005-0000-0000-0000314D0000}"/>
    <cellStyle name="40% - Accent4 3 2 6 3 2" xfId="19715" xr:uid="{00000000-0005-0000-0000-0000324D0000}"/>
    <cellStyle name="40% - Accent4 3 2 6 4" xfId="19716" xr:uid="{00000000-0005-0000-0000-0000334D0000}"/>
    <cellStyle name="40% - Accent4 3 2 7" xfId="19717" xr:uid="{00000000-0005-0000-0000-0000344D0000}"/>
    <cellStyle name="40% - Accent4 3 2 7 2" xfId="19718" xr:uid="{00000000-0005-0000-0000-0000354D0000}"/>
    <cellStyle name="40% - Accent4 3 2 7 2 2" xfId="19719" xr:uid="{00000000-0005-0000-0000-0000364D0000}"/>
    <cellStyle name="40% - Accent4 3 2 7 3" xfId="19720" xr:uid="{00000000-0005-0000-0000-0000374D0000}"/>
    <cellStyle name="40% - Accent4 3 2 8" xfId="19721" xr:uid="{00000000-0005-0000-0000-0000384D0000}"/>
    <cellStyle name="40% - Accent4 3 2 8 2" xfId="19722" xr:uid="{00000000-0005-0000-0000-0000394D0000}"/>
    <cellStyle name="40% - Accent4 3 2 9" xfId="19723" xr:uid="{00000000-0005-0000-0000-00003A4D0000}"/>
    <cellStyle name="40% - Accent4 3 3" xfId="19724" xr:uid="{00000000-0005-0000-0000-00003B4D0000}"/>
    <cellStyle name="40% - Accent4 3 3 2" xfId="19725" xr:uid="{00000000-0005-0000-0000-00003C4D0000}"/>
    <cellStyle name="40% - Accent4 3 3 2 2" xfId="19726" xr:uid="{00000000-0005-0000-0000-00003D4D0000}"/>
    <cellStyle name="40% - Accent4 3 3 2 2 2" xfId="19727" xr:uid="{00000000-0005-0000-0000-00003E4D0000}"/>
    <cellStyle name="40% - Accent4 3 3 2 2 2 2" xfId="19728" xr:uid="{00000000-0005-0000-0000-00003F4D0000}"/>
    <cellStyle name="40% - Accent4 3 3 2 2 2 2 2" xfId="19729" xr:uid="{00000000-0005-0000-0000-0000404D0000}"/>
    <cellStyle name="40% - Accent4 3 3 2 2 2 2 2 2" xfId="19730" xr:uid="{00000000-0005-0000-0000-0000414D0000}"/>
    <cellStyle name="40% - Accent4 3 3 2 2 2 2 2 2 2" xfId="19731" xr:uid="{00000000-0005-0000-0000-0000424D0000}"/>
    <cellStyle name="40% - Accent4 3 3 2 2 2 2 2 3" xfId="19732" xr:uid="{00000000-0005-0000-0000-0000434D0000}"/>
    <cellStyle name="40% - Accent4 3 3 2 2 2 2 3" xfId="19733" xr:uid="{00000000-0005-0000-0000-0000444D0000}"/>
    <cellStyle name="40% - Accent4 3 3 2 2 2 2 3 2" xfId="19734" xr:uid="{00000000-0005-0000-0000-0000454D0000}"/>
    <cellStyle name="40% - Accent4 3 3 2 2 2 2 4" xfId="19735" xr:uid="{00000000-0005-0000-0000-0000464D0000}"/>
    <cellStyle name="40% - Accent4 3 3 2 2 2 3" xfId="19736" xr:uid="{00000000-0005-0000-0000-0000474D0000}"/>
    <cellStyle name="40% - Accent4 3 3 2 2 2 3 2" xfId="19737" xr:uid="{00000000-0005-0000-0000-0000484D0000}"/>
    <cellStyle name="40% - Accent4 3 3 2 2 2 3 2 2" xfId="19738" xr:uid="{00000000-0005-0000-0000-0000494D0000}"/>
    <cellStyle name="40% - Accent4 3 3 2 2 2 3 3" xfId="19739" xr:uid="{00000000-0005-0000-0000-00004A4D0000}"/>
    <cellStyle name="40% - Accent4 3 3 2 2 2 4" xfId="19740" xr:uid="{00000000-0005-0000-0000-00004B4D0000}"/>
    <cellStyle name="40% - Accent4 3 3 2 2 2 4 2" xfId="19741" xr:uid="{00000000-0005-0000-0000-00004C4D0000}"/>
    <cellStyle name="40% - Accent4 3 3 2 2 2 5" xfId="19742" xr:uid="{00000000-0005-0000-0000-00004D4D0000}"/>
    <cellStyle name="40% - Accent4 3 3 2 2 3" xfId="19743" xr:uid="{00000000-0005-0000-0000-00004E4D0000}"/>
    <cellStyle name="40% - Accent4 3 3 2 2 3 2" xfId="19744" xr:uid="{00000000-0005-0000-0000-00004F4D0000}"/>
    <cellStyle name="40% - Accent4 3 3 2 2 3 2 2" xfId="19745" xr:uid="{00000000-0005-0000-0000-0000504D0000}"/>
    <cellStyle name="40% - Accent4 3 3 2 2 3 2 2 2" xfId="19746" xr:uid="{00000000-0005-0000-0000-0000514D0000}"/>
    <cellStyle name="40% - Accent4 3 3 2 2 3 2 3" xfId="19747" xr:uid="{00000000-0005-0000-0000-0000524D0000}"/>
    <cellStyle name="40% - Accent4 3 3 2 2 3 3" xfId="19748" xr:uid="{00000000-0005-0000-0000-0000534D0000}"/>
    <cellStyle name="40% - Accent4 3 3 2 2 3 3 2" xfId="19749" xr:uid="{00000000-0005-0000-0000-0000544D0000}"/>
    <cellStyle name="40% - Accent4 3 3 2 2 3 4" xfId="19750" xr:uid="{00000000-0005-0000-0000-0000554D0000}"/>
    <cellStyle name="40% - Accent4 3 3 2 2 4" xfId="19751" xr:uid="{00000000-0005-0000-0000-0000564D0000}"/>
    <cellStyle name="40% - Accent4 3 3 2 2 4 2" xfId="19752" xr:uid="{00000000-0005-0000-0000-0000574D0000}"/>
    <cellStyle name="40% - Accent4 3 3 2 2 4 2 2" xfId="19753" xr:uid="{00000000-0005-0000-0000-0000584D0000}"/>
    <cellStyle name="40% - Accent4 3 3 2 2 4 3" xfId="19754" xr:uid="{00000000-0005-0000-0000-0000594D0000}"/>
    <cellStyle name="40% - Accent4 3 3 2 2 5" xfId="19755" xr:uid="{00000000-0005-0000-0000-00005A4D0000}"/>
    <cellStyle name="40% - Accent4 3 3 2 2 5 2" xfId="19756" xr:uid="{00000000-0005-0000-0000-00005B4D0000}"/>
    <cellStyle name="40% - Accent4 3 3 2 2 6" xfId="19757" xr:uid="{00000000-0005-0000-0000-00005C4D0000}"/>
    <cellStyle name="40% - Accent4 3 3 2 3" xfId="19758" xr:uid="{00000000-0005-0000-0000-00005D4D0000}"/>
    <cellStyle name="40% - Accent4 3 3 2 3 2" xfId="19759" xr:uid="{00000000-0005-0000-0000-00005E4D0000}"/>
    <cellStyle name="40% - Accent4 3 3 2 3 2 2" xfId="19760" xr:uid="{00000000-0005-0000-0000-00005F4D0000}"/>
    <cellStyle name="40% - Accent4 3 3 2 3 2 2 2" xfId="19761" xr:uid="{00000000-0005-0000-0000-0000604D0000}"/>
    <cellStyle name="40% - Accent4 3 3 2 3 2 2 2 2" xfId="19762" xr:uid="{00000000-0005-0000-0000-0000614D0000}"/>
    <cellStyle name="40% - Accent4 3 3 2 3 2 2 3" xfId="19763" xr:uid="{00000000-0005-0000-0000-0000624D0000}"/>
    <cellStyle name="40% - Accent4 3 3 2 3 2 3" xfId="19764" xr:uid="{00000000-0005-0000-0000-0000634D0000}"/>
    <cellStyle name="40% - Accent4 3 3 2 3 2 3 2" xfId="19765" xr:uid="{00000000-0005-0000-0000-0000644D0000}"/>
    <cellStyle name="40% - Accent4 3 3 2 3 2 4" xfId="19766" xr:uid="{00000000-0005-0000-0000-0000654D0000}"/>
    <cellStyle name="40% - Accent4 3 3 2 3 3" xfId="19767" xr:uid="{00000000-0005-0000-0000-0000664D0000}"/>
    <cellStyle name="40% - Accent4 3 3 2 3 3 2" xfId="19768" xr:uid="{00000000-0005-0000-0000-0000674D0000}"/>
    <cellStyle name="40% - Accent4 3 3 2 3 3 2 2" xfId="19769" xr:uid="{00000000-0005-0000-0000-0000684D0000}"/>
    <cellStyle name="40% - Accent4 3 3 2 3 3 3" xfId="19770" xr:uid="{00000000-0005-0000-0000-0000694D0000}"/>
    <cellStyle name="40% - Accent4 3 3 2 3 4" xfId="19771" xr:uid="{00000000-0005-0000-0000-00006A4D0000}"/>
    <cellStyle name="40% - Accent4 3 3 2 3 4 2" xfId="19772" xr:uid="{00000000-0005-0000-0000-00006B4D0000}"/>
    <cellStyle name="40% - Accent4 3 3 2 3 5" xfId="19773" xr:uid="{00000000-0005-0000-0000-00006C4D0000}"/>
    <cellStyle name="40% - Accent4 3 3 2 4" xfId="19774" xr:uid="{00000000-0005-0000-0000-00006D4D0000}"/>
    <cellStyle name="40% - Accent4 3 3 2 4 2" xfId="19775" xr:uid="{00000000-0005-0000-0000-00006E4D0000}"/>
    <cellStyle name="40% - Accent4 3 3 2 4 2 2" xfId="19776" xr:uid="{00000000-0005-0000-0000-00006F4D0000}"/>
    <cellStyle name="40% - Accent4 3 3 2 4 2 2 2" xfId="19777" xr:uid="{00000000-0005-0000-0000-0000704D0000}"/>
    <cellStyle name="40% - Accent4 3 3 2 4 2 3" xfId="19778" xr:uid="{00000000-0005-0000-0000-0000714D0000}"/>
    <cellStyle name="40% - Accent4 3 3 2 4 3" xfId="19779" xr:uid="{00000000-0005-0000-0000-0000724D0000}"/>
    <cellStyle name="40% - Accent4 3 3 2 4 3 2" xfId="19780" xr:uid="{00000000-0005-0000-0000-0000734D0000}"/>
    <cellStyle name="40% - Accent4 3 3 2 4 4" xfId="19781" xr:uid="{00000000-0005-0000-0000-0000744D0000}"/>
    <cellStyle name="40% - Accent4 3 3 2 5" xfId="19782" xr:uid="{00000000-0005-0000-0000-0000754D0000}"/>
    <cellStyle name="40% - Accent4 3 3 2 5 2" xfId="19783" xr:uid="{00000000-0005-0000-0000-0000764D0000}"/>
    <cellStyle name="40% - Accent4 3 3 2 5 2 2" xfId="19784" xr:uid="{00000000-0005-0000-0000-0000774D0000}"/>
    <cellStyle name="40% - Accent4 3 3 2 5 3" xfId="19785" xr:uid="{00000000-0005-0000-0000-0000784D0000}"/>
    <cellStyle name="40% - Accent4 3 3 2 6" xfId="19786" xr:uid="{00000000-0005-0000-0000-0000794D0000}"/>
    <cellStyle name="40% - Accent4 3 3 2 6 2" xfId="19787" xr:uid="{00000000-0005-0000-0000-00007A4D0000}"/>
    <cellStyle name="40% - Accent4 3 3 2 7" xfId="19788" xr:uid="{00000000-0005-0000-0000-00007B4D0000}"/>
    <cellStyle name="40% - Accent4 3 3 3" xfId="19789" xr:uid="{00000000-0005-0000-0000-00007C4D0000}"/>
    <cellStyle name="40% - Accent4 3 3 3 2" xfId="19790" xr:uid="{00000000-0005-0000-0000-00007D4D0000}"/>
    <cellStyle name="40% - Accent4 3 3 3 2 2" xfId="19791" xr:uid="{00000000-0005-0000-0000-00007E4D0000}"/>
    <cellStyle name="40% - Accent4 3 3 3 2 2 2" xfId="19792" xr:uid="{00000000-0005-0000-0000-00007F4D0000}"/>
    <cellStyle name="40% - Accent4 3 3 3 2 2 2 2" xfId="19793" xr:uid="{00000000-0005-0000-0000-0000804D0000}"/>
    <cellStyle name="40% - Accent4 3 3 3 2 2 2 2 2" xfId="19794" xr:uid="{00000000-0005-0000-0000-0000814D0000}"/>
    <cellStyle name="40% - Accent4 3 3 3 2 2 2 3" xfId="19795" xr:uid="{00000000-0005-0000-0000-0000824D0000}"/>
    <cellStyle name="40% - Accent4 3 3 3 2 2 3" xfId="19796" xr:uid="{00000000-0005-0000-0000-0000834D0000}"/>
    <cellStyle name="40% - Accent4 3 3 3 2 2 3 2" xfId="19797" xr:uid="{00000000-0005-0000-0000-0000844D0000}"/>
    <cellStyle name="40% - Accent4 3 3 3 2 2 4" xfId="19798" xr:uid="{00000000-0005-0000-0000-0000854D0000}"/>
    <cellStyle name="40% - Accent4 3 3 3 2 3" xfId="19799" xr:uid="{00000000-0005-0000-0000-0000864D0000}"/>
    <cellStyle name="40% - Accent4 3 3 3 2 3 2" xfId="19800" xr:uid="{00000000-0005-0000-0000-0000874D0000}"/>
    <cellStyle name="40% - Accent4 3 3 3 2 3 2 2" xfId="19801" xr:uid="{00000000-0005-0000-0000-0000884D0000}"/>
    <cellStyle name="40% - Accent4 3 3 3 2 3 3" xfId="19802" xr:uid="{00000000-0005-0000-0000-0000894D0000}"/>
    <cellStyle name="40% - Accent4 3 3 3 2 4" xfId="19803" xr:uid="{00000000-0005-0000-0000-00008A4D0000}"/>
    <cellStyle name="40% - Accent4 3 3 3 2 4 2" xfId="19804" xr:uid="{00000000-0005-0000-0000-00008B4D0000}"/>
    <cellStyle name="40% - Accent4 3 3 3 2 5" xfId="19805" xr:uid="{00000000-0005-0000-0000-00008C4D0000}"/>
    <cellStyle name="40% - Accent4 3 3 3 3" xfId="19806" xr:uid="{00000000-0005-0000-0000-00008D4D0000}"/>
    <cellStyle name="40% - Accent4 3 3 3 3 2" xfId="19807" xr:uid="{00000000-0005-0000-0000-00008E4D0000}"/>
    <cellStyle name="40% - Accent4 3 3 3 3 2 2" xfId="19808" xr:uid="{00000000-0005-0000-0000-00008F4D0000}"/>
    <cellStyle name="40% - Accent4 3 3 3 3 2 2 2" xfId="19809" xr:uid="{00000000-0005-0000-0000-0000904D0000}"/>
    <cellStyle name="40% - Accent4 3 3 3 3 2 3" xfId="19810" xr:uid="{00000000-0005-0000-0000-0000914D0000}"/>
    <cellStyle name="40% - Accent4 3 3 3 3 3" xfId="19811" xr:uid="{00000000-0005-0000-0000-0000924D0000}"/>
    <cellStyle name="40% - Accent4 3 3 3 3 3 2" xfId="19812" xr:uid="{00000000-0005-0000-0000-0000934D0000}"/>
    <cellStyle name="40% - Accent4 3 3 3 3 4" xfId="19813" xr:uid="{00000000-0005-0000-0000-0000944D0000}"/>
    <cellStyle name="40% - Accent4 3 3 3 4" xfId="19814" xr:uid="{00000000-0005-0000-0000-0000954D0000}"/>
    <cellStyle name="40% - Accent4 3 3 3 4 2" xfId="19815" xr:uid="{00000000-0005-0000-0000-0000964D0000}"/>
    <cellStyle name="40% - Accent4 3 3 3 4 2 2" xfId="19816" xr:uid="{00000000-0005-0000-0000-0000974D0000}"/>
    <cellStyle name="40% - Accent4 3 3 3 4 3" xfId="19817" xr:uid="{00000000-0005-0000-0000-0000984D0000}"/>
    <cellStyle name="40% - Accent4 3 3 3 5" xfId="19818" xr:uid="{00000000-0005-0000-0000-0000994D0000}"/>
    <cellStyle name="40% - Accent4 3 3 3 5 2" xfId="19819" xr:uid="{00000000-0005-0000-0000-00009A4D0000}"/>
    <cellStyle name="40% - Accent4 3 3 3 6" xfId="19820" xr:uid="{00000000-0005-0000-0000-00009B4D0000}"/>
    <cellStyle name="40% - Accent4 3 3 4" xfId="19821" xr:uid="{00000000-0005-0000-0000-00009C4D0000}"/>
    <cellStyle name="40% - Accent4 3 3 4 2" xfId="19822" xr:uid="{00000000-0005-0000-0000-00009D4D0000}"/>
    <cellStyle name="40% - Accent4 3 3 4 2 2" xfId="19823" xr:uid="{00000000-0005-0000-0000-00009E4D0000}"/>
    <cellStyle name="40% - Accent4 3 3 4 2 2 2" xfId="19824" xr:uid="{00000000-0005-0000-0000-00009F4D0000}"/>
    <cellStyle name="40% - Accent4 3 3 4 2 2 2 2" xfId="19825" xr:uid="{00000000-0005-0000-0000-0000A04D0000}"/>
    <cellStyle name="40% - Accent4 3 3 4 2 2 3" xfId="19826" xr:uid="{00000000-0005-0000-0000-0000A14D0000}"/>
    <cellStyle name="40% - Accent4 3 3 4 2 3" xfId="19827" xr:uid="{00000000-0005-0000-0000-0000A24D0000}"/>
    <cellStyle name="40% - Accent4 3 3 4 2 3 2" xfId="19828" xr:uid="{00000000-0005-0000-0000-0000A34D0000}"/>
    <cellStyle name="40% - Accent4 3 3 4 2 4" xfId="19829" xr:uid="{00000000-0005-0000-0000-0000A44D0000}"/>
    <cellStyle name="40% - Accent4 3 3 4 3" xfId="19830" xr:uid="{00000000-0005-0000-0000-0000A54D0000}"/>
    <cellStyle name="40% - Accent4 3 3 4 3 2" xfId="19831" xr:uid="{00000000-0005-0000-0000-0000A64D0000}"/>
    <cellStyle name="40% - Accent4 3 3 4 3 2 2" xfId="19832" xr:uid="{00000000-0005-0000-0000-0000A74D0000}"/>
    <cellStyle name="40% - Accent4 3 3 4 3 3" xfId="19833" xr:uid="{00000000-0005-0000-0000-0000A84D0000}"/>
    <cellStyle name="40% - Accent4 3 3 4 4" xfId="19834" xr:uid="{00000000-0005-0000-0000-0000A94D0000}"/>
    <cellStyle name="40% - Accent4 3 3 4 4 2" xfId="19835" xr:uid="{00000000-0005-0000-0000-0000AA4D0000}"/>
    <cellStyle name="40% - Accent4 3 3 4 5" xfId="19836" xr:uid="{00000000-0005-0000-0000-0000AB4D0000}"/>
    <cellStyle name="40% - Accent4 3 3 5" xfId="19837" xr:uid="{00000000-0005-0000-0000-0000AC4D0000}"/>
    <cellStyle name="40% - Accent4 3 3 5 2" xfId="19838" xr:uid="{00000000-0005-0000-0000-0000AD4D0000}"/>
    <cellStyle name="40% - Accent4 3 3 5 2 2" xfId="19839" xr:uid="{00000000-0005-0000-0000-0000AE4D0000}"/>
    <cellStyle name="40% - Accent4 3 3 5 2 2 2" xfId="19840" xr:uid="{00000000-0005-0000-0000-0000AF4D0000}"/>
    <cellStyle name="40% - Accent4 3 3 5 2 3" xfId="19841" xr:uid="{00000000-0005-0000-0000-0000B04D0000}"/>
    <cellStyle name="40% - Accent4 3 3 5 3" xfId="19842" xr:uid="{00000000-0005-0000-0000-0000B14D0000}"/>
    <cellStyle name="40% - Accent4 3 3 5 3 2" xfId="19843" xr:uid="{00000000-0005-0000-0000-0000B24D0000}"/>
    <cellStyle name="40% - Accent4 3 3 5 4" xfId="19844" xr:uid="{00000000-0005-0000-0000-0000B34D0000}"/>
    <cellStyle name="40% - Accent4 3 3 6" xfId="19845" xr:uid="{00000000-0005-0000-0000-0000B44D0000}"/>
    <cellStyle name="40% - Accent4 3 3 6 2" xfId="19846" xr:uid="{00000000-0005-0000-0000-0000B54D0000}"/>
    <cellStyle name="40% - Accent4 3 3 6 2 2" xfId="19847" xr:uid="{00000000-0005-0000-0000-0000B64D0000}"/>
    <cellStyle name="40% - Accent4 3 3 6 3" xfId="19848" xr:uid="{00000000-0005-0000-0000-0000B74D0000}"/>
    <cellStyle name="40% - Accent4 3 3 7" xfId="19849" xr:uid="{00000000-0005-0000-0000-0000B84D0000}"/>
    <cellStyle name="40% - Accent4 3 3 7 2" xfId="19850" xr:uid="{00000000-0005-0000-0000-0000B94D0000}"/>
    <cellStyle name="40% - Accent4 3 3 8" xfId="19851" xr:uid="{00000000-0005-0000-0000-0000BA4D0000}"/>
    <cellStyle name="40% - Accent4 3 4" xfId="19852" xr:uid="{00000000-0005-0000-0000-0000BB4D0000}"/>
    <cellStyle name="40% - Accent4 3 4 2" xfId="19853" xr:uid="{00000000-0005-0000-0000-0000BC4D0000}"/>
    <cellStyle name="40% - Accent4 3 4 2 2" xfId="19854" xr:uid="{00000000-0005-0000-0000-0000BD4D0000}"/>
    <cellStyle name="40% - Accent4 3 4 2 2 2" xfId="19855" xr:uid="{00000000-0005-0000-0000-0000BE4D0000}"/>
    <cellStyle name="40% - Accent4 3 4 2 2 2 2" xfId="19856" xr:uid="{00000000-0005-0000-0000-0000BF4D0000}"/>
    <cellStyle name="40% - Accent4 3 4 2 2 2 2 2" xfId="19857" xr:uid="{00000000-0005-0000-0000-0000C04D0000}"/>
    <cellStyle name="40% - Accent4 3 4 2 2 2 2 2 2" xfId="19858" xr:uid="{00000000-0005-0000-0000-0000C14D0000}"/>
    <cellStyle name="40% - Accent4 3 4 2 2 2 2 3" xfId="19859" xr:uid="{00000000-0005-0000-0000-0000C24D0000}"/>
    <cellStyle name="40% - Accent4 3 4 2 2 2 3" xfId="19860" xr:uid="{00000000-0005-0000-0000-0000C34D0000}"/>
    <cellStyle name="40% - Accent4 3 4 2 2 2 3 2" xfId="19861" xr:uid="{00000000-0005-0000-0000-0000C44D0000}"/>
    <cellStyle name="40% - Accent4 3 4 2 2 2 4" xfId="19862" xr:uid="{00000000-0005-0000-0000-0000C54D0000}"/>
    <cellStyle name="40% - Accent4 3 4 2 2 3" xfId="19863" xr:uid="{00000000-0005-0000-0000-0000C64D0000}"/>
    <cellStyle name="40% - Accent4 3 4 2 2 3 2" xfId="19864" xr:uid="{00000000-0005-0000-0000-0000C74D0000}"/>
    <cellStyle name="40% - Accent4 3 4 2 2 3 2 2" xfId="19865" xr:uid="{00000000-0005-0000-0000-0000C84D0000}"/>
    <cellStyle name="40% - Accent4 3 4 2 2 3 3" xfId="19866" xr:uid="{00000000-0005-0000-0000-0000C94D0000}"/>
    <cellStyle name="40% - Accent4 3 4 2 2 4" xfId="19867" xr:uid="{00000000-0005-0000-0000-0000CA4D0000}"/>
    <cellStyle name="40% - Accent4 3 4 2 2 4 2" xfId="19868" xr:uid="{00000000-0005-0000-0000-0000CB4D0000}"/>
    <cellStyle name="40% - Accent4 3 4 2 2 5" xfId="19869" xr:uid="{00000000-0005-0000-0000-0000CC4D0000}"/>
    <cellStyle name="40% - Accent4 3 4 2 3" xfId="19870" xr:uid="{00000000-0005-0000-0000-0000CD4D0000}"/>
    <cellStyle name="40% - Accent4 3 4 2 3 2" xfId="19871" xr:uid="{00000000-0005-0000-0000-0000CE4D0000}"/>
    <cellStyle name="40% - Accent4 3 4 2 3 2 2" xfId="19872" xr:uid="{00000000-0005-0000-0000-0000CF4D0000}"/>
    <cellStyle name="40% - Accent4 3 4 2 3 2 2 2" xfId="19873" xr:uid="{00000000-0005-0000-0000-0000D04D0000}"/>
    <cellStyle name="40% - Accent4 3 4 2 3 2 3" xfId="19874" xr:uid="{00000000-0005-0000-0000-0000D14D0000}"/>
    <cellStyle name="40% - Accent4 3 4 2 3 3" xfId="19875" xr:uid="{00000000-0005-0000-0000-0000D24D0000}"/>
    <cellStyle name="40% - Accent4 3 4 2 3 3 2" xfId="19876" xr:uid="{00000000-0005-0000-0000-0000D34D0000}"/>
    <cellStyle name="40% - Accent4 3 4 2 3 4" xfId="19877" xr:uid="{00000000-0005-0000-0000-0000D44D0000}"/>
    <cellStyle name="40% - Accent4 3 4 2 4" xfId="19878" xr:uid="{00000000-0005-0000-0000-0000D54D0000}"/>
    <cellStyle name="40% - Accent4 3 4 2 4 2" xfId="19879" xr:uid="{00000000-0005-0000-0000-0000D64D0000}"/>
    <cellStyle name="40% - Accent4 3 4 2 4 2 2" xfId="19880" xr:uid="{00000000-0005-0000-0000-0000D74D0000}"/>
    <cellStyle name="40% - Accent4 3 4 2 4 3" xfId="19881" xr:uid="{00000000-0005-0000-0000-0000D84D0000}"/>
    <cellStyle name="40% - Accent4 3 4 2 5" xfId="19882" xr:uid="{00000000-0005-0000-0000-0000D94D0000}"/>
    <cellStyle name="40% - Accent4 3 4 2 5 2" xfId="19883" xr:uid="{00000000-0005-0000-0000-0000DA4D0000}"/>
    <cellStyle name="40% - Accent4 3 4 2 6" xfId="19884" xr:uid="{00000000-0005-0000-0000-0000DB4D0000}"/>
    <cellStyle name="40% - Accent4 3 4 3" xfId="19885" xr:uid="{00000000-0005-0000-0000-0000DC4D0000}"/>
    <cellStyle name="40% - Accent4 3 4 3 2" xfId="19886" xr:uid="{00000000-0005-0000-0000-0000DD4D0000}"/>
    <cellStyle name="40% - Accent4 3 4 3 2 2" xfId="19887" xr:uid="{00000000-0005-0000-0000-0000DE4D0000}"/>
    <cellStyle name="40% - Accent4 3 4 3 2 2 2" xfId="19888" xr:uid="{00000000-0005-0000-0000-0000DF4D0000}"/>
    <cellStyle name="40% - Accent4 3 4 3 2 2 2 2" xfId="19889" xr:uid="{00000000-0005-0000-0000-0000E04D0000}"/>
    <cellStyle name="40% - Accent4 3 4 3 2 2 3" xfId="19890" xr:uid="{00000000-0005-0000-0000-0000E14D0000}"/>
    <cellStyle name="40% - Accent4 3 4 3 2 3" xfId="19891" xr:uid="{00000000-0005-0000-0000-0000E24D0000}"/>
    <cellStyle name="40% - Accent4 3 4 3 2 3 2" xfId="19892" xr:uid="{00000000-0005-0000-0000-0000E34D0000}"/>
    <cellStyle name="40% - Accent4 3 4 3 2 4" xfId="19893" xr:uid="{00000000-0005-0000-0000-0000E44D0000}"/>
    <cellStyle name="40% - Accent4 3 4 3 3" xfId="19894" xr:uid="{00000000-0005-0000-0000-0000E54D0000}"/>
    <cellStyle name="40% - Accent4 3 4 3 3 2" xfId="19895" xr:uid="{00000000-0005-0000-0000-0000E64D0000}"/>
    <cellStyle name="40% - Accent4 3 4 3 3 2 2" xfId="19896" xr:uid="{00000000-0005-0000-0000-0000E74D0000}"/>
    <cellStyle name="40% - Accent4 3 4 3 3 3" xfId="19897" xr:uid="{00000000-0005-0000-0000-0000E84D0000}"/>
    <cellStyle name="40% - Accent4 3 4 3 4" xfId="19898" xr:uid="{00000000-0005-0000-0000-0000E94D0000}"/>
    <cellStyle name="40% - Accent4 3 4 3 4 2" xfId="19899" xr:uid="{00000000-0005-0000-0000-0000EA4D0000}"/>
    <cellStyle name="40% - Accent4 3 4 3 5" xfId="19900" xr:uid="{00000000-0005-0000-0000-0000EB4D0000}"/>
    <cellStyle name="40% - Accent4 3 4 4" xfId="19901" xr:uid="{00000000-0005-0000-0000-0000EC4D0000}"/>
    <cellStyle name="40% - Accent4 3 4 4 2" xfId="19902" xr:uid="{00000000-0005-0000-0000-0000ED4D0000}"/>
    <cellStyle name="40% - Accent4 3 4 4 2 2" xfId="19903" xr:uid="{00000000-0005-0000-0000-0000EE4D0000}"/>
    <cellStyle name="40% - Accent4 3 4 4 2 2 2" xfId="19904" xr:uid="{00000000-0005-0000-0000-0000EF4D0000}"/>
    <cellStyle name="40% - Accent4 3 4 4 2 3" xfId="19905" xr:uid="{00000000-0005-0000-0000-0000F04D0000}"/>
    <cellStyle name="40% - Accent4 3 4 4 3" xfId="19906" xr:uid="{00000000-0005-0000-0000-0000F14D0000}"/>
    <cellStyle name="40% - Accent4 3 4 4 3 2" xfId="19907" xr:uid="{00000000-0005-0000-0000-0000F24D0000}"/>
    <cellStyle name="40% - Accent4 3 4 4 4" xfId="19908" xr:uid="{00000000-0005-0000-0000-0000F34D0000}"/>
    <cellStyle name="40% - Accent4 3 4 5" xfId="19909" xr:uid="{00000000-0005-0000-0000-0000F44D0000}"/>
    <cellStyle name="40% - Accent4 3 4 5 2" xfId="19910" xr:uid="{00000000-0005-0000-0000-0000F54D0000}"/>
    <cellStyle name="40% - Accent4 3 4 5 2 2" xfId="19911" xr:uid="{00000000-0005-0000-0000-0000F64D0000}"/>
    <cellStyle name="40% - Accent4 3 4 5 3" xfId="19912" xr:uid="{00000000-0005-0000-0000-0000F74D0000}"/>
    <cellStyle name="40% - Accent4 3 4 6" xfId="19913" xr:uid="{00000000-0005-0000-0000-0000F84D0000}"/>
    <cellStyle name="40% - Accent4 3 4 6 2" xfId="19914" xr:uid="{00000000-0005-0000-0000-0000F94D0000}"/>
    <cellStyle name="40% - Accent4 3 4 7" xfId="19915" xr:uid="{00000000-0005-0000-0000-0000FA4D0000}"/>
    <cellStyle name="40% - Accent4 3 5" xfId="19916" xr:uid="{00000000-0005-0000-0000-0000FB4D0000}"/>
    <cellStyle name="40% - Accent4 3 5 2" xfId="19917" xr:uid="{00000000-0005-0000-0000-0000FC4D0000}"/>
    <cellStyle name="40% - Accent4 3 5 2 2" xfId="19918" xr:uid="{00000000-0005-0000-0000-0000FD4D0000}"/>
    <cellStyle name="40% - Accent4 3 5 2 2 2" xfId="19919" xr:uid="{00000000-0005-0000-0000-0000FE4D0000}"/>
    <cellStyle name="40% - Accent4 3 5 2 2 2 2" xfId="19920" xr:uid="{00000000-0005-0000-0000-0000FF4D0000}"/>
    <cellStyle name="40% - Accent4 3 5 2 2 2 2 2" xfId="19921" xr:uid="{00000000-0005-0000-0000-0000004E0000}"/>
    <cellStyle name="40% - Accent4 3 5 2 2 2 3" xfId="19922" xr:uid="{00000000-0005-0000-0000-0000014E0000}"/>
    <cellStyle name="40% - Accent4 3 5 2 2 3" xfId="19923" xr:uid="{00000000-0005-0000-0000-0000024E0000}"/>
    <cellStyle name="40% - Accent4 3 5 2 2 3 2" xfId="19924" xr:uid="{00000000-0005-0000-0000-0000034E0000}"/>
    <cellStyle name="40% - Accent4 3 5 2 2 4" xfId="19925" xr:uid="{00000000-0005-0000-0000-0000044E0000}"/>
    <cellStyle name="40% - Accent4 3 5 2 3" xfId="19926" xr:uid="{00000000-0005-0000-0000-0000054E0000}"/>
    <cellStyle name="40% - Accent4 3 5 2 3 2" xfId="19927" xr:uid="{00000000-0005-0000-0000-0000064E0000}"/>
    <cellStyle name="40% - Accent4 3 5 2 3 2 2" xfId="19928" xr:uid="{00000000-0005-0000-0000-0000074E0000}"/>
    <cellStyle name="40% - Accent4 3 5 2 3 3" xfId="19929" xr:uid="{00000000-0005-0000-0000-0000084E0000}"/>
    <cellStyle name="40% - Accent4 3 5 2 4" xfId="19930" xr:uid="{00000000-0005-0000-0000-0000094E0000}"/>
    <cellStyle name="40% - Accent4 3 5 2 4 2" xfId="19931" xr:uid="{00000000-0005-0000-0000-00000A4E0000}"/>
    <cellStyle name="40% - Accent4 3 5 2 5" xfId="19932" xr:uid="{00000000-0005-0000-0000-00000B4E0000}"/>
    <cellStyle name="40% - Accent4 3 5 3" xfId="19933" xr:uid="{00000000-0005-0000-0000-00000C4E0000}"/>
    <cellStyle name="40% - Accent4 3 5 3 2" xfId="19934" xr:uid="{00000000-0005-0000-0000-00000D4E0000}"/>
    <cellStyle name="40% - Accent4 3 5 3 2 2" xfId="19935" xr:uid="{00000000-0005-0000-0000-00000E4E0000}"/>
    <cellStyle name="40% - Accent4 3 5 3 2 2 2" xfId="19936" xr:uid="{00000000-0005-0000-0000-00000F4E0000}"/>
    <cellStyle name="40% - Accent4 3 5 3 2 3" xfId="19937" xr:uid="{00000000-0005-0000-0000-0000104E0000}"/>
    <cellStyle name="40% - Accent4 3 5 3 3" xfId="19938" xr:uid="{00000000-0005-0000-0000-0000114E0000}"/>
    <cellStyle name="40% - Accent4 3 5 3 3 2" xfId="19939" xr:uid="{00000000-0005-0000-0000-0000124E0000}"/>
    <cellStyle name="40% - Accent4 3 5 3 4" xfId="19940" xr:uid="{00000000-0005-0000-0000-0000134E0000}"/>
    <cellStyle name="40% - Accent4 3 5 4" xfId="19941" xr:uid="{00000000-0005-0000-0000-0000144E0000}"/>
    <cellStyle name="40% - Accent4 3 5 4 2" xfId="19942" xr:uid="{00000000-0005-0000-0000-0000154E0000}"/>
    <cellStyle name="40% - Accent4 3 5 4 2 2" xfId="19943" xr:uid="{00000000-0005-0000-0000-0000164E0000}"/>
    <cellStyle name="40% - Accent4 3 5 4 3" xfId="19944" xr:uid="{00000000-0005-0000-0000-0000174E0000}"/>
    <cellStyle name="40% - Accent4 3 5 5" xfId="19945" xr:uid="{00000000-0005-0000-0000-0000184E0000}"/>
    <cellStyle name="40% - Accent4 3 5 5 2" xfId="19946" xr:uid="{00000000-0005-0000-0000-0000194E0000}"/>
    <cellStyle name="40% - Accent4 3 5 6" xfId="19947" xr:uid="{00000000-0005-0000-0000-00001A4E0000}"/>
    <cellStyle name="40% - Accent4 3 6" xfId="19948" xr:uid="{00000000-0005-0000-0000-00001B4E0000}"/>
    <cellStyle name="40% - Accent4 3 6 2" xfId="19949" xr:uid="{00000000-0005-0000-0000-00001C4E0000}"/>
    <cellStyle name="40% - Accent4 3 6 2 2" xfId="19950" xr:uid="{00000000-0005-0000-0000-00001D4E0000}"/>
    <cellStyle name="40% - Accent4 3 6 2 2 2" xfId="19951" xr:uid="{00000000-0005-0000-0000-00001E4E0000}"/>
    <cellStyle name="40% - Accent4 3 6 2 2 2 2" xfId="19952" xr:uid="{00000000-0005-0000-0000-00001F4E0000}"/>
    <cellStyle name="40% - Accent4 3 6 2 2 3" xfId="19953" xr:uid="{00000000-0005-0000-0000-0000204E0000}"/>
    <cellStyle name="40% - Accent4 3 6 2 3" xfId="19954" xr:uid="{00000000-0005-0000-0000-0000214E0000}"/>
    <cellStyle name="40% - Accent4 3 6 2 3 2" xfId="19955" xr:uid="{00000000-0005-0000-0000-0000224E0000}"/>
    <cellStyle name="40% - Accent4 3 6 2 4" xfId="19956" xr:uid="{00000000-0005-0000-0000-0000234E0000}"/>
    <cellStyle name="40% - Accent4 3 6 3" xfId="19957" xr:uid="{00000000-0005-0000-0000-0000244E0000}"/>
    <cellStyle name="40% - Accent4 3 6 3 2" xfId="19958" xr:uid="{00000000-0005-0000-0000-0000254E0000}"/>
    <cellStyle name="40% - Accent4 3 6 3 2 2" xfId="19959" xr:uid="{00000000-0005-0000-0000-0000264E0000}"/>
    <cellStyle name="40% - Accent4 3 6 3 3" xfId="19960" xr:uid="{00000000-0005-0000-0000-0000274E0000}"/>
    <cellStyle name="40% - Accent4 3 6 4" xfId="19961" xr:uid="{00000000-0005-0000-0000-0000284E0000}"/>
    <cellStyle name="40% - Accent4 3 6 4 2" xfId="19962" xr:uid="{00000000-0005-0000-0000-0000294E0000}"/>
    <cellStyle name="40% - Accent4 3 6 5" xfId="19963" xr:uid="{00000000-0005-0000-0000-00002A4E0000}"/>
    <cellStyle name="40% - Accent4 3 7" xfId="19964" xr:uid="{00000000-0005-0000-0000-00002B4E0000}"/>
    <cellStyle name="40% - Accent4 3 7 2" xfId="19965" xr:uid="{00000000-0005-0000-0000-00002C4E0000}"/>
    <cellStyle name="40% - Accent4 3 7 2 2" xfId="19966" xr:uid="{00000000-0005-0000-0000-00002D4E0000}"/>
    <cellStyle name="40% - Accent4 3 7 2 2 2" xfId="19967" xr:uid="{00000000-0005-0000-0000-00002E4E0000}"/>
    <cellStyle name="40% - Accent4 3 7 2 3" xfId="19968" xr:uid="{00000000-0005-0000-0000-00002F4E0000}"/>
    <cellStyle name="40% - Accent4 3 7 3" xfId="19969" xr:uid="{00000000-0005-0000-0000-0000304E0000}"/>
    <cellStyle name="40% - Accent4 3 7 3 2" xfId="19970" xr:uid="{00000000-0005-0000-0000-0000314E0000}"/>
    <cellStyle name="40% - Accent4 3 7 4" xfId="19971" xr:uid="{00000000-0005-0000-0000-0000324E0000}"/>
    <cellStyle name="40% - Accent4 3 8" xfId="19972" xr:uid="{00000000-0005-0000-0000-0000334E0000}"/>
    <cellStyle name="40% - Accent4 3 8 2" xfId="19973" xr:uid="{00000000-0005-0000-0000-0000344E0000}"/>
    <cellStyle name="40% - Accent4 3 8 2 2" xfId="19974" xr:uid="{00000000-0005-0000-0000-0000354E0000}"/>
    <cellStyle name="40% - Accent4 3 8 3" xfId="19975" xr:uid="{00000000-0005-0000-0000-0000364E0000}"/>
    <cellStyle name="40% - Accent4 3 9" xfId="19976" xr:uid="{00000000-0005-0000-0000-0000374E0000}"/>
    <cellStyle name="40% - Accent4 3 9 2" xfId="19977" xr:uid="{00000000-0005-0000-0000-0000384E0000}"/>
    <cellStyle name="40% - Accent4 4" xfId="19978" xr:uid="{00000000-0005-0000-0000-0000394E0000}"/>
    <cellStyle name="40% - Accent4 4 2" xfId="19979" xr:uid="{00000000-0005-0000-0000-00003A4E0000}"/>
    <cellStyle name="40% - Accent4 4 2 2" xfId="19980" xr:uid="{00000000-0005-0000-0000-00003B4E0000}"/>
    <cellStyle name="40% - Accent4 4 2 2 2" xfId="19981" xr:uid="{00000000-0005-0000-0000-00003C4E0000}"/>
    <cellStyle name="40% - Accent4 4 2 2 2 2" xfId="19982" xr:uid="{00000000-0005-0000-0000-00003D4E0000}"/>
    <cellStyle name="40% - Accent4 4 2 2 2 2 2" xfId="19983" xr:uid="{00000000-0005-0000-0000-00003E4E0000}"/>
    <cellStyle name="40% - Accent4 4 2 2 2 2 2 2" xfId="19984" xr:uid="{00000000-0005-0000-0000-00003F4E0000}"/>
    <cellStyle name="40% - Accent4 4 2 2 2 2 2 2 2" xfId="19985" xr:uid="{00000000-0005-0000-0000-0000404E0000}"/>
    <cellStyle name="40% - Accent4 4 2 2 2 2 2 2 2 2" xfId="19986" xr:uid="{00000000-0005-0000-0000-0000414E0000}"/>
    <cellStyle name="40% - Accent4 4 2 2 2 2 2 2 3" xfId="19987" xr:uid="{00000000-0005-0000-0000-0000424E0000}"/>
    <cellStyle name="40% - Accent4 4 2 2 2 2 2 3" xfId="19988" xr:uid="{00000000-0005-0000-0000-0000434E0000}"/>
    <cellStyle name="40% - Accent4 4 2 2 2 2 2 3 2" xfId="19989" xr:uid="{00000000-0005-0000-0000-0000444E0000}"/>
    <cellStyle name="40% - Accent4 4 2 2 2 2 2 4" xfId="19990" xr:uid="{00000000-0005-0000-0000-0000454E0000}"/>
    <cellStyle name="40% - Accent4 4 2 2 2 2 3" xfId="19991" xr:uid="{00000000-0005-0000-0000-0000464E0000}"/>
    <cellStyle name="40% - Accent4 4 2 2 2 2 3 2" xfId="19992" xr:uid="{00000000-0005-0000-0000-0000474E0000}"/>
    <cellStyle name="40% - Accent4 4 2 2 2 2 3 2 2" xfId="19993" xr:uid="{00000000-0005-0000-0000-0000484E0000}"/>
    <cellStyle name="40% - Accent4 4 2 2 2 2 3 3" xfId="19994" xr:uid="{00000000-0005-0000-0000-0000494E0000}"/>
    <cellStyle name="40% - Accent4 4 2 2 2 2 4" xfId="19995" xr:uid="{00000000-0005-0000-0000-00004A4E0000}"/>
    <cellStyle name="40% - Accent4 4 2 2 2 2 4 2" xfId="19996" xr:uid="{00000000-0005-0000-0000-00004B4E0000}"/>
    <cellStyle name="40% - Accent4 4 2 2 2 2 5" xfId="19997" xr:uid="{00000000-0005-0000-0000-00004C4E0000}"/>
    <cellStyle name="40% - Accent4 4 2 2 2 3" xfId="19998" xr:uid="{00000000-0005-0000-0000-00004D4E0000}"/>
    <cellStyle name="40% - Accent4 4 2 2 2 3 2" xfId="19999" xr:uid="{00000000-0005-0000-0000-00004E4E0000}"/>
    <cellStyle name="40% - Accent4 4 2 2 2 3 2 2" xfId="20000" xr:uid="{00000000-0005-0000-0000-00004F4E0000}"/>
    <cellStyle name="40% - Accent4 4 2 2 2 3 2 2 2" xfId="20001" xr:uid="{00000000-0005-0000-0000-0000504E0000}"/>
    <cellStyle name="40% - Accent4 4 2 2 2 3 2 3" xfId="20002" xr:uid="{00000000-0005-0000-0000-0000514E0000}"/>
    <cellStyle name="40% - Accent4 4 2 2 2 3 3" xfId="20003" xr:uid="{00000000-0005-0000-0000-0000524E0000}"/>
    <cellStyle name="40% - Accent4 4 2 2 2 3 3 2" xfId="20004" xr:uid="{00000000-0005-0000-0000-0000534E0000}"/>
    <cellStyle name="40% - Accent4 4 2 2 2 3 4" xfId="20005" xr:uid="{00000000-0005-0000-0000-0000544E0000}"/>
    <cellStyle name="40% - Accent4 4 2 2 2 4" xfId="20006" xr:uid="{00000000-0005-0000-0000-0000554E0000}"/>
    <cellStyle name="40% - Accent4 4 2 2 2 4 2" xfId="20007" xr:uid="{00000000-0005-0000-0000-0000564E0000}"/>
    <cellStyle name="40% - Accent4 4 2 2 2 4 2 2" xfId="20008" xr:uid="{00000000-0005-0000-0000-0000574E0000}"/>
    <cellStyle name="40% - Accent4 4 2 2 2 4 3" xfId="20009" xr:uid="{00000000-0005-0000-0000-0000584E0000}"/>
    <cellStyle name="40% - Accent4 4 2 2 2 5" xfId="20010" xr:uid="{00000000-0005-0000-0000-0000594E0000}"/>
    <cellStyle name="40% - Accent4 4 2 2 2 5 2" xfId="20011" xr:uid="{00000000-0005-0000-0000-00005A4E0000}"/>
    <cellStyle name="40% - Accent4 4 2 2 2 6" xfId="20012" xr:uid="{00000000-0005-0000-0000-00005B4E0000}"/>
    <cellStyle name="40% - Accent4 4 2 2 3" xfId="20013" xr:uid="{00000000-0005-0000-0000-00005C4E0000}"/>
    <cellStyle name="40% - Accent4 4 2 2 3 2" xfId="20014" xr:uid="{00000000-0005-0000-0000-00005D4E0000}"/>
    <cellStyle name="40% - Accent4 4 2 2 3 2 2" xfId="20015" xr:uid="{00000000-0005-0000-0000-00005E4E0000}"/>
    <cellStyle name="40% - Accent4 4 2 2 3 2 2 2" xfId="20016" xr:uid="{00000000-0005-0000-0000-00005F4E0000}"/>
    <cellStyle name="40% - Accent4 4 2 2 3 2 2 2 2" xfId="20017" xr:uid="{00000000-0005-0000-0000-0000604E0000}"/>
    <cellStyle name="40% - Accent4 4 2 2 3 2 2 3" xfId="20018" xr:uid="{00000000-0005-0000-0000-0000614E0000}"/>
    <cellStyle name="40% - Accent4 4 2 2 3 2 3" xfId="20019" xr:uid="{00000000-0005-0000-0000-0000624E0000}"/>
    <cellStyle name="40% - Accent4 4 2 2 3 2 3 2" xfId="20020" xr:uid="{00000000-0005-0000-0000-0000634E0000}"/>
    <cellStyle name="40% - Accent4 4 2 2 3 2 4" xfId="20021" xr:uid="{00000000-0005-0000-0000-0000644E0000}"/>
    <cellStyle name="40% - Accent4 4 2 2 3 3" xfId="20022" xr:uid="{00000000-0005-0000-0000-0000654E0000}"/>
    <cellStyle name="40% - Accent4 4 2 2 3 3 2" xfId="20023" xr:uid="{00000000-0005-0000-0000-0000664E0000}"/>
    <cellStyle name="40% - Accent4 4 2 2 3 3 2 2" xfId="20024" xr:uid="{00000000-0005-0000-0000-0000674E0000}"/>
    <cellStyle name="40% - Accent4 4 2 2 3 3 3" xfId="20025" xr:uid="{00000000-0005-0000-0000-0000684E0000}"/>
    <cellStyle name="40% - Accent4 4 2 2 3 4" xfId="20026" xr:uid="{00000000-0005-0000-0000-0000694E0000}"/>
    <cellStyle name="40% - Accent4 4 2 2 3 4 2" xfId="20027" xr:uid="{00000000-0005-0000-0000-00006A4E0000}"/>
    <cellStyle name="40% - Accent4 4 2 2 3 5" xfId="20028" xr:uid="{00000000-0005-0000-0000-00006B4E0000}"/>
    <cellStyle name="40% - Accent4 4 2 2 4" xfId="20029" xr:uid="{00000000-0005-0000-0000-00006C4E0000}"/>
    <cellStyle name="40% - Accent4 4 2 2 4 2" xfId="20030" xr:uid="{00000000-0005-0000-0000-00006D4E0000}"/>
    <cellStyle name="40% - Accent4 4 2 2 4 2 2" xfId="20031" xr:uid="{00000000-0005-0000-0000-00006E4E0000}"/>
    <cellStyle name="40% - Accent4 4 2 2 4 2 2 2" xfId="20032" xr:uid="{00000000-0005-0000-0000-00006F4E0000}"/>
    <cellStyle name="40% - Accent4 4 2 2 4 2 3" xfId="20033" xr:uid="{00000000-0005-0000-0000-0000704E0000}"/>
    <cellStyle name="40% - Accent4 4 2 2 4 3" xfId="20034" xr:uid="{00000000-0005-0000-0000-0000714E0000}"/>
    <cellStyle name="40% - Accent4 4 2 2 4 3 2" xfId="20035" xr:uid="{00000000-0005-0000-0000-0000724E0000}"/>
    <cellStyle name="40% - Accent4 4 2 2 4 4" xfId="20036" xr:uid="{00000000-0005-0000-0000-0000734E0000}"/>
    <cellStyle name="40% - Accent4 4 2 2 5" xfId="20037" xr:uid="{00000000-0005-0000-0000-0000744E0000}"/>
    <cellStyle name="40% - Accent4 4 2 2 5 2" xfId="20038" xr:uid="{00000000-0005-0000-0000-0000754E0000}"/>
    <cellStyle name="40% - Accent4 4 2 2 5 2 2" xfId="20039" xr:uid="{00000000-0005-0000-0000-0000764E0000}"/>
    <cellStyle name="40% - Accent4 4 2 2 5 3" xfId="20040" xr:uid="{00000000-0005-0000-0000-0000774E0000}"/>
    <cellStyle name="40% - Accent4 4 2 2 6" xfId="20041" xr:uid="{00000000-0005-0000-0000-0000784E0000}"/>
    <cellStyle name="40% - Accent4 4 2 2 6 2" xfId="20042" xr:uid="{00000000-0005-0000-0000-0000794E0000}"/>
    <cellStyle name="40% - Accent4 4 2 2 7" xfId="20043" xr:uid="{00000000-0005-0000-0000-00007A4E0000}"/>
    <cellStyle name="40% - Accent4 4 2 3" xfId="20044" xr:uid="{00000000-0005-0000-0000-00007B4E0000}"/>
    <cellStyle name="40% - Accent4 4 2 3 2" xfId="20045" xr:uid="{00000000-0005-0000-0000-00007C4E0000}"/>
    <cellStyle name="40% - Accent4 4 2 3 2 2" xfId="20046" xr:uid="{00000000-0005-0000-0000-00007D4E0000}"/>
    <cellStyle name="40% - Accent4 4 2 3 2 2 2" xfId="20047" xr:uid="{00000000-0005-0000-0000-00007E4E0000}"/>
    <cellStyle name="40% - Accent4 4 2 3 2 2 2 2" xfId="20048" xr:uid="{00000000-0005-0000-0000-00007F4E0000}"/>
    <cellStyle name="40% - Accent4 4 2 3 2 2 2 2 2" xfId="20049" xr:uid="{00000000-0005-0000-0000-0000804E0000}"/>
    <cellStyle name="40% - Accent4 4 2 3 2 2 2 3" xfId="20050" xr:uid="{00000000-0005-0000-0000-0000814E0000}"/>
    <cellStyle name="40% - Accent4 4 2 3 2 2 3" xfId="20051" xr:uid="{00000000-0005-0000-0000-0000824E0000}"/>
    <cellStyle name="40% - Accent4 4 2 3 2 2 3 2" xfId="20052" xr:uid="{00000000-0005-0000-0000-0000834E0000}"/>
    <cellStyle name="40% - Accent4 4 2 3 2 2 4" xfId="20053" xr:uid="{00000000-0005-0000-0000-0000844E0000}"/>
    <cellStyle name="40% - Accent4 4 2 3 2 3" xfId="20054" xr:uid="{00000000-0005-0000-0000-0000854E0000}"/>
    <cellStyle name="40% - Accent4 4 2 3 2 3 2" xfId="20055" xr:uid="{00000000-0005-0000-0000-0000864E0000}"/>
    <cellStyle name="40% - Accent4 4 2 3 2 3 2 2" xfId="20056" xr:uid="{00000000-0005-0000-0000-0000874E0000}"/>
    <cellStyle name="40% - Accent4 4 2 3 2 3 3" xfId="20057" xr:uid="{00000000-0005-0000-0000-0000884E0000}"/>
    <cellStyle name="40% - Accent4 4 2 3 2 4" xfId="20058" xr:uid="{00000000-0005-0000-0000-0000894E0000}"/>
    <cellStyle name="40% - Accent4 4 2 3 2 4 2" xfId="20059" xr:uid="{00000000-0005-0000-0000-00008A4E0000}"/>
    <cellStyle name="40% - Accent4 4 2 3 2 5" xfId="20060" xr:uid="{00000000-0005-0000-0000-00008B4E0000}"/>
    <cellStyle name="40% - Accent4 4 2 3 3" xfId="20061" xr:uid="{00000000-0005-0000-0000-00008C4E0000}"/>
    <cellStyle name="40% - Accent4 4 2 3 3 2" xfId="20062" xr:uid="{00000000-0005-0000-0000-00008D4E0000}"/>
    <cellStyle name="40% - Accent4 4 2 3 3 2 2" xfId="20063" xr:uid="{00000000-0005-0000-0000-00008E4E0000}"/>
    <cellStyle name="40% - Accent4 4 2 3 3 2 2 2" xfId="20064" xr:uid="{00000000-0005-0000-0000-00008F4E0000}"/>
    <cellStyle name="40% - Accent4 4 2 3 3 2 3" xfId="20065" xr:uid="{00000000-0005-0000-0000-0000904E0000}"/>
    <cellStyle name="40% - Accent4 4 2 3 3 3" xfId="20066" xr:uid="{00000000-0005-0000-0000-0000914E0000}"/>
    <cellStyle name="40% - Accent4 4 2 3 3 3 2" xfId="20067" xr:uid="{00000000-0005-0000-0000-0000924E0000}"/>
    <cellStyle name="40% - Accent4 4 2 3 3 4" xfId="20068" xr:uid="{00000000-0005-0000-0000-0000934E0000}"/>
    <cellStyle name="40% - Accent4 4 2 3 4" xfId="20069" xr:uid="{00000000-0005-0000-0000-0000944E0000}"/>
    <cellStyle name="40% - Accent4 4 2 3 4 2" xfId="20070" xr:uid="{00000000-0005-0000-0000-0000954E0000}"/>
    <cellStyle name="40% - Accent4 4 2 3 4 2 2" xfId="20071" xr:uid="{00000000-0005-0000-0000-0000964E0000}"/>
    <cellStyle name="40% - Accent4 4 2 3 4 3" xfId="20072" xr:uid="{00000000-0005-0000-0000-0000974E0000}"/>
    <cellStyle name="40% - Accent4 4 2 3 5" xfId="20073" xr:uid="{00000000-0005-0000-0000-0000984E0000}"/>
    <cellStyle name="40% - Accent4 4 2 3 5 2" xfId="20074" xr:uid="{00000000-0005-0000-0000-0000994E0000}"/>
    <cellStyle name="40% - Accent4 4 2 3 6" xfId="20075" xr:uid="{00000000-0005-0000-0000-00009A4E0000}"/>
    <cellStyle name="40% - Accent4 4 2 4" xfId="20076" xr:uid="{00000000-0005-0000-0000-00009B4E0000}"/>
    <cellStyle name="40% - Accent4 4 2 4 2" xfId="20077" xr:uid="{00000000-0005-0000-0000-00009C4E0000}"/>
    <cellStyle name="40% - Accent4 4 2 4 2 2" xfId="20078" xr:uid="{00000000-0005-0000-0000-00009D4E0000}"/>
    <cellStyle name="40% - Accent4 4 2 4 2 2 2" xfId="20079" xr:uid="{00000000-0005-0000-0000-00009E4E0000}"/>
    <cellStyle name="40% - Accent4 4 2 4 2 2 2 2" xfId="20080" xr:uid="{00000000-0005-0000-0000-00009F4E0000}"/>
    <cellStyle name="40% - Accent4 4 2 4 2 2 3" xfId="20081" xr:uid="{00000000-0005-0000-0000-0000A04E0000}"/>
    <cellStyle name="40% - Accent4 4 2 4 2 3" xfId="20082" xr:uid="{00000000-0005-0000-0000-0000A14E0000}"/>
    <cellStyle name="40% - Accent4 4 2 4 2 3 2" xfId="20083" xr:uid="{00000000-0005-0000-0000-0000A24E0000}"/>
    <cellStyle name="40% - Accent4 4 2 4 2 4" xfId="20084" xr:uid="{00000000-0005-0000-0000-0000A34E0000}"/>
    <cellStyle name="40% - Accent4 4 2 4 3" xfId="20085" xr:uid="{00000000-0005-0000-0000-0000A44E0000}"/>
    <cellStyle name="40% - Accent4 4 2 4 3 2" xfId="20086" xr:uid="{00000000-0005-0000-0000-0000A54E0000}"/>
    <cellStyle name="40% - Accent4 4 2 4 3 2 2" xfId="20087" xr:uid="{00000000-0005-0000-0000-0000A64E0000}"/>
    <cellStyle name="40% - Accent4 4 2 4 3 3" xfId="20088" xr:uid="{00000000-0005-0000-0000-0000A74E0000}"/>
    <cellStyle name="40% - Accent4 4 2 4 4" xfId="20089" xr:uid="{00000000-0005-0000-0000-0000A84E0000}"/>
    <cellStyle name="40% - Accent4 4 2 4 4 2" xfId="20090" xr:uid="{00000000-0005-0000-0000-0000A94E0000}"/>
    <cellStyle name="40% - Accent4 4 2 4 5" xfId="20091" xr:uid="{00000000-0005-0000-0000-0000AA4E0000}"/>
    <cellStyle name="40% - Accent4 4 2 5" xfId="20092" xr:uid="{00000000-0005-0000-0000-0000AB4E0000}"/>
    <cellStyle name="40% - Accent4 4 2 5 2" xfId="20093" xr:uid="{00000000-0005-0000-0000-0000AC4E0000}"/>
    <cellStyle name="40% - Accent4 4 2 5 2 2" xfId="20094" xr:uid="{00000000-0005-0000-0000-0000AD4E0000}"/>
    <cellStyle name="40% - Accent4 4 2 5 2 2 2" xfId="20095" xr:uid="{00000000-0005-0000-0000-0000AE4E0000}"/>
    <cellStyle name="40% - Accent4 4 2 5 2 3" xfId="20096" xr:uid="{00000000-0005-0000-0000-0000AF4E0000}"/>
    <cellStyle name="40% - Accent4 4 2 5 3" xfId="20097" xr:uid="{00000000-0005-0000-0000-0000B04E0000}"/>
    <cellStyle name="40% - Accent4 4 2 5 3 2" xfId="20098" xr:uid="{00000000-0005-0000-0000-0000B14E0000}"/>
    <cellStyle name="40% - Accent4 4 2 5 4" xfId="20099" xr:uid="{00000000-0005-0000-0000-0000B24E0000}"/>
    <cellStyle name="40% - Accent4 4 2 6" xfId="20100" xr:uid="{00000000-0005-0000-0000-0000B34E0000}"/>
    <cellStyle name="40% - Accent4 4 2 6 2" xfId="20101" xr:uid="{00000000-0005-0000-0000-0000B44E0000}"/>
    <cellStyle name="40% - Accent4 4 2 6 2 2" xfId="20102" xr:uid="{00000000-0005-0000-0000-0000B54E0000}"/>
    <cellStyle name="40% - Accent4 4 2 6 3" xfId="20103" xr:uid="{00000000-0005-0000-0000-0000B64E0000}"/>
    <cellStyle name="40% - Accent4 4 2 7" xfId="20104" xr:uid="{00000000-0005-0000-0000-0000B74E0000}"/>
    <cellStyle name="40% - Accent4 4 2 7 2" xfId="20105" xr:uid="{00000000-0005-0000-0000-0000B84E0000}"/>
    <cellStyle name="40% - Accent4 4 2 8" xfId="20106" xr:uid="{00000000-0005-0000-0000-0000B94E0000}"/>
    <cellStyle name="40% - Accent4 4 3" xfId="20107" xr:uid="{00000000-0005-0000-0000-0000BA4E0000}"/>
    <cellStyle name="40% - Accent4 4 3 2" xfId="20108" xr:uid="{00000000-0005-0000-0000-0000BB4E0000}"/>
    <cellStyle name="40% - Accent4 4 3 2 2" xfId="20109" xr:uid="{00000000-0005-0000-0000-0000BC4E0000}"/>
    <cellStyle name="40% - Accent4 4 3 2 2 2" xfId="20110" xr:uid="{00000000-0005-0000-0000-0000BD4E0000}"/>
    <cellStyle name="40% - Accent4 4 3 2 2 2 2" xfId="20111" xr:uid="{00000000-0005-0000-0000-0000BE4E0000}"/>
    <cellStyle name="40% - Accent4 4 3 2 2 2 2 2" xfId="20112" xr:uid="{00000000-0005-0000-0000-0000BF4E0000}"/>
    <cellStyle name="40% - Accent4 4 3 2 2 2 2 2 2" xfId="20113" xr:uid="{00000000-0005-0000-0000-0000C04E0000}"/>
    <cellStyle name="40% - Accent4 4 3 2 2 2 2 3" xfId="20114" xr:uid="{00000000-0005-0000-0000-0000C14E0000}"/>
    <cellStyle name="40% - Accent4 4 3 2 2 2 3" xfId="20115" xr:uid="{00000000-0005-0000-0000-0000C24E0000}"/>
    <cellStyle name="40% - Accent4 4 3 2 2 2 3 2" xfId="20116" xr:uid="{00000000-0005-0000-0000-0000C34E0000}"/>
    <cellStyle name="40% - Accent4 4 3 2 2 2 4" xfId="20117" xr:uid="{00000000-0005-0000-0000-0000C44E0000}"/>
    <cellStyle name="40% - Accent4 4 3 2 2 3" xfId="20118" xr:uid="{00000000-0005-0000-0000-0000C54E0000}"/>
    <cellStyle name="40% - Accent4 4 3 2 2 3 2" xfId="20119" xr:uid="{00000000-0005-0000-0000-0000C64E0000}"/>
    <cellStyle name="40% - Accent4 4 3 2 2 3 2 2" xfId="20120" xr:uid="{00000000-0005-0000-0000-0000C74E0000}"/>
    <cellStyle name="40% - Accent4 4 3 2 2 3 3" xfId="20121" xr:uid="{00000000-0005-0000-0000-0000C84E0000}"/>
    <cellStyle name="40% - Accent4 4 3 2 2 4" xfId="20122" xr:uid="{00000000-0005-0000-0000-0000C94E0000}"/>
    <cellStyle name="40% - Accent4 4 3 2 2 4 2" xfId="20123" xr:uid="{00000000-0005-0000-0000-0000CA4E0000}"/>
    <cellStyle name="40% - Accent4 4 3 2 2 5" xfId="20124" xr:uid="{00000000-0005-0000-0000-0000CB4E0000}"/>
    <cellStyle name="40% - Accent4 4 3 2 3" xfId="20125" xr:uid="{00000000-0005-0000-0000-0000CC4E0000}"/>
    <cellStyle name="40% - Accent4 4 3 2 3 2" xfId="20126" xr:uid="{00000000-0005-0000-0000-0000CD4E0000}"/>
    <cellStyle name="40% - Accent4 4 3 2 3 2 2" xfId="20127" xr:uid="{00000000-0005-0000-0000-0000CE4E0000}"/>
    <cellStyle name="40% - Accent4 4 3 2 3 2 2 2" xfId="20128" xr:uid="{00000000-0005-0000-0000-0000CF4E0000}"/>
    <cellStyle name="40% - Accent4 4 3 2 3 2 3" xfId="20129" xr:uid="{00000000-0005-0000-0000-0000D04E0000}"/>
    <cellStyle name="40% - Accent4 4 3 2 3 3" xfId="20130" xr:uid="{00000000-0005-0000-0000-0000D14E0000}"/>
    <cellStyle name="40% - Accent4 4 3 2 3 3 2" xfId="20131" xr:uid="{00000000-0005-0000-0000-0000D24E0000}"/>
    <cellStyle name="40% - Accent4 4 3 2 3 4" xfId="20132" xr:uid="{00000000-0005-0000-0000-0000D34E0000}"/>
    <cellStyle name="40% - Accent4 4 3 2 4" xfId="20133" xr:uid="{00000000-0005-0000-0000-0000D44E0000}"/>
    <cellStyle name="40% - Accent4 4 3 2 4 2" xfId="20134" xr:uid="{00000000-0005-0000-0000-0000D54E0000}"/>
    <cellStyle name="40% - Accent4 4 3 2 4 2 2" xfId="20135" xr:uid="{00000000-0005-0000-0000-0000D64E0000}"/>
    <cellStyle name="40% - Accent4 4 3 2 4 3" xfId="20136" xr:uid="{00000000-0005-0000-0000-0000D74E0000}"/>
    <cellStyle name="40% - Accent4 4 3 2 5" xfId="20137" xr:uid="{00000000-0005-0000-0000-0000D84E0000}"/>
    <cellStyle name="40% - Accent4 4 3 2 5 2" xfId="20138" xr:uid="{00000000-0005-0000-0000-0000D94E0000}"/>
    <cellStyle name="40% - Accent4 4 3 2 6" xfId="20139" xr:uid="{00000000-0005-0000-0000-0000DA4E0000}"/>
    <cellStyle name="40% - Accent4 4 3 3" xfId="20140" xr:uid="{00000000-0005-0000-0000-0000DB4E0000}"/>
    <cellStyle name="40% - Accent4 4 3 3 2" xfId="20141" xr:uid="{00000000-0005-0000-0000-0000DC4E0000}"/>
    <cellStyle name="40% - Accent4 4 3 3 2 2" xfId="20142" xr:uid="{00000000-0005-0000-0000-0000DD4E0000}"/>
    <cellStyle name="40% - Accent4 4 3 3 2 2 2" xfId="20143" xr:uid="{00000000-0005-0000-0000-0000DE4E0000}"/>
    <cellStyle name="40% - Accent4 4 3 3 2 2 2 2" xfId="20144" xr:uid="{00000000-0005-0000-0000-0000DF4E0000}"/>
    <cellStyle name="40% - Accent4 4 3 3 2 2 3" xfId="20145" xr:uid="{00000000-0005-0000-0000-0000E04E0000}"/>
    <cellStyle name="40% - Accent4 4 3 3 2 3" xfId="20146" xr:uid="{00000000-0005-0000-0000-0000E14E0000}"/>
    <cellStyle name="40% - Accent4 4 3 3 2 3 2" xfId="20147" xr:uid="{00000000-0005-0000-0000-0000E24E0000}"/>
    <cellStyle name="40% - Accent4 4 3 3 2 4" xfId="20148" xr:uid="{00000000-0005-0000-0000-0000E34E0000}"/>
    <cellStyle name="40% - Accent4 4 3 3 3" xfId="20149" xr:uid="{00000000-0005-0000-0000-0000E44E0000}"/>
    <cellStyle name="40% - Accent4 4 3 3 3 2" xfId="20150" xr:uid="{00000000-0005-0000-0000-0000E54E0000}"/>
    <cellStyle name="40% - Accent4 4 3 3 3 2 2" xfId="20151" xr:uid="{00000000-0005-0000-0000-0000E64E0000}"/>
    <cellStyle name="40% - Accent4 4 3 3 3 3" xfId="20152" xr:uid="{00000000-0005-0000-0000-0000E74E0000}"/>
    <cellStyle name="40% - Accent4 4 3 3 4" xfId="20153" xr:uid="{00000000-0005-0000-0000-0000E84E0000}"/>
    <cellStyle name="40% - Accent4 4 3 3 4 2" xfId="20154" xr:uid="{00000000-0005-0000-0000-0000E94E0000}"/>
    <cellStyle name="40% - Accent4 4 3 3 5" xfId="20155" xr:uid="{00000000-0005-0000-0000-0000EA4E0000}"/>
    <cellStyle name="40% - Accent4 4 3 4" xfId="20156" xr:uid="{00000000-0005-0000-0000-0000EB4E0000}"/>
    <cellStyle name="40% - Accent4 4 3 4 2" xfId="20157" xr:uid="{00000000-0005-0000-0000-0000EC4E0000}"/>
    <cellStyle name="40% - Accent4 4 3 4 2 2" xfId="20158" xr:uid="{00000000-0005-0000-0000-0000ED4E0000}"/>
    <cellStyle name="40% - Accent4 4 3 4 2 2 2" xfId="20159" xr:uid="{00000000-0005-0000-0000-0000EE4E0000}"/>
    <cellStyle name="40% - Accent4 4 3 4 2 3" xfId="20160" xr:uid="{00000000-0005-0000-0000-0000EF4E0000}"/>
    <cellStyle name="40% - Accent4 4 3 4 3" xfId="20161" xr:uid="{00000000-0005-0000-0000-0000F04E0000}"/>
    <cellStyle name="40% - Accent4 4 3 4 3 2" xfId="20162" xr:uid="{00000000-0005-0000-0000-0000F14E0000}"/>
    <cellStyle name="40% - Accent4 4 3 4 4" xfId="20163" xr:uid="{00000000-0005-0000-0000-0000F24E0000}"/>
    <cellStyle name="40% - Accent4 4 3 5" xfId="20164" xr:uid="{00000000-0005-0000-0000-0000F34E0000}"/>
    <cellStyle name="40% - Accent4 4 3 5 2" xfId="20165" xr:uid="{00000000-0005-0000-0000-0000F44E0000}"/>
    <cellStyle name="40% - Accent4 4 3 5 2 2" xfId="20166" xr:uid="{00000000-0005-0000-0000-0000F54E0000}"/>
    <cellStyle name="40% - Accent4 4 3 5 3" xfId="20167" xr:uid="{00000000-0005-0000-0000-0000F64E0000}"/>
    <cellStyle name="40% - Accent4 4 3 6" xfId="20168" xr:uid="{00000000-0005-0000-0000-0000F74E0000}"/>
    <cellStyle name="40% - Accent4 4 3 6 2" xfId="20169" xr:uid="{00000000-0005-0000-0000-0000F84E0000}"/>
    <cellStyle name="40% - Accent4 4 3 7" xfId="20170" xr:uid="{00000000-0005-0000-0000-0000F94E0000}"/>
    <cellStyle name="40% - Accent4 4 4" xfId="20171" xr:uid="{00000000-0005-0000-0000-0000FA4E0000}"/>
    <cellStyle name="40% - Accent4 4 4 2" xfId="20172" xr:uid="{00000000-0005-0000-0000-0000FB4E0000}"/>
    <cellStyle name="40% - Accent4 4 4 2 2" xfId="20173" xr:uid="{00000000-0005-0000-0000-0000FC4E0000}"/>
    <cellStyle name="40% - Accent4 4 4 2 2 2" xfId="20174" xr:uid="{00000000-0005-0000-0000-0000FD4E0000}"/>
    <cellStyle name="40% - Accent4 4 4 2 2 2 2" xfId="20175" xr:uid="{00000000-0005-0000-0000-0000FE4E0000}"/>
    <cellStyle name="40% - Accent4 4 4 2 2 2 2 2" xfId="20176" xr:uid="{00000000-0005-0000-0000-0000FF4E0000}"/>
    <cellStyle name="40% - Accent4 4 4 2 2 2 3" xfId="20177" xr:uid="{00000000-0005-0000-0000-0000004F0000}"/>
    <cellStyle name="40% - Accent4 4 4 2 2 3" xfId="20178" xr:uid="{00000000-0005-0000-0000-0000014F0000}"/>
    <cellStyle name="40% - Accent4 4 4 2 2 3 2" xfId="20179" xr:uid="{00000000-0005-0000-0000-0000024F0000}"/>
    <cellStyle name="40% - Accent4 4 4 2 2 4" xfId="20180" xr:uid="{00000000-0005-0000-0000-0000034F0000}"/>
    <cellStyle name="40% - Accent4 4 4 2 3" xfId="20181" xr:uid="{00000000-0005-0000-0000-0000044F0000}"/>
    <cellStyle name="40% - Accent4 4 4 2 3 2" xfId="20182" xr:uid="{00000000-0005-0000-0000-0000054F0000}"/>
    <cellStyle name="40% - Accent4 4 4 2 3 2 2" xfId="20183" xr:uid="{00000000-0005-0000-0000-0000064F0000}"/>
    <cellStyle name="40% - Accent4 4 4 2 3 3" xfId="20184" xr:uid="{00000000-0005-0000-0000-0000074F0000}"/>
    <cellStyle name="40% - Accent4 4 4 2 4" xfId="20185" xr:uid="{00000000-0005-0000-0000-0000084F0000}"/>
    <cellStyle name="40% - Accent4 4 4 2 4 2" xfId="20186" xr:uid="{00000000-0005-0000-0000-0000094F0000}"/>
    <cellStyle name="40% - Accent4 4 4 2 5" xfId="20187" xr:uid="{00000000-0005-0000-0000-00000A4F0000}"/>
    <cellStyle name="40% - Accent4 4 4 3" xfId="20188" xr:uid="{00000000-0005-0000-0000-00000B4F0000}"/>
    <cellStyle name="40% - Accent4 4 4 3 2" xfId="20189" xr:uid="{00000000-0005-0000-0000-00000C4F0000}"/>
    <cellStyle name="40% - Accent4 4 4 3 2 2" xfId="20190" xr:uid="{00000000-0005-0000-0000-00000D4F0000}"/>
    <cellStyle name="40% - Accent4 4 4 3 2 2 2" xfId="20191" xr:uid="{00000000-0005-0000-0000-00000E4F0000}"/>
    <cellStyle name="40% - Accent4 4 4 3 2 3" xfId="20192" xr:uid="{00000000-0005-0000-0000-00000F4F0000}"/>
    <cellStyle name="40% - Accent4 4 4 3 3" xfId="20193" xr:uid="{00000000-0005-0000-0000-0000104F0000}"/>
    <cellStyle name="40% - Accent4 4 4 3 3 2" xfId="20194" xr:uid="{00000000-0005-0000-0000-0000114F0000}"/>
    <cellStyle name="40% - Accent4 4 4 3 4" xfId="20195" xr:uid="{00000000-0005-0000-0000-0000124F0000}"/>
    <cellStyle name="40% - Accent4 4 4 4" xfId="20196" xr:uid="{00000000-0005-0000-0000-0000134F0000}"/>
    <cellStyle name="40% - Accent4 4 4 4 2" xfId="20197" xr:uid="{00000000-0005-0000-0000-0000144F0000}"/>
    <cellStyle name="40% - Accent4 4 4 4 2 2" xfId="20198" xr:uid="{00000000-0005-0000-0000-0000154F0000}"/>
    <cellStyle name="40% - Accent4 4 4 4 3" xfId="20199" xr:uid="{00000000-0005-0000-0000-0000164F0000}"/>
    <cellStyle name="40% - Accent4 4 4 5" xfId="20200" xr:uid="{00000000-0005-0000-0000-0000174F0000}"/>
    <cellStyle name="40% - Accent4 4 4 5 2" xfId="20201" xr:uid="{00000000-0005-0000-0000-0000184F0000}"/>
    <cellStyle name="40% - Accent4 4 4 6" xfId="20202" xr:uid="{00000000-0005-0000-0000-0000194F0000}"/>
    <cellStyle name="40% - Accent4 4 5" xfId="20203" xr:uid="{00000000-0005-0000-0000-00001A4F0000}"/>
    <cellStyle name="40% - Accent4 4 5 2" xfId="20204" xr:uid="{00000000-0005-0000-0000-00001B4F0000}"/>
    <cellStyle name="40% - Accent4 4 5 2 2" xfId="20205" xr:uid="{00000000-0005-0000-0000-00001C4F0000}"/>
    <cellStyle name="40% - Accent4 4 5 2 2 2" xfId="20206" xr:uid="{00000000-0005-0000-0000-00001D4F0000}"/>
    <cellStyle name="40% - Accent4 4 5 2 2 2 2" xfId="20207" xr:uid="{00000000-0005-0000-0000-00001E4F0000}"/>
    <cellStyle name="40% - Accent4 4 5 2 2 3" xfId="20208" xr:uid="{00000000-0005-0000-0000-00001F4F0000}"/>
    <cellStyle name="40% - Accent4 4 5 2 3" xfId="20209" xr:uid="{00000000-0005-0000-0000-0000204F0000}"/>
    <cellStyle name="40% - Accent4 4 5 2 3 2" xfId="20210" xr:uid="{00000000-0005-0000-0000-0000214F0000}"/>
    <cellStyle name="40% - Accent4 4 5 2 4" xfId="20211" xr:uid="{00000000-0005-0000-0000-0000224F0000}"/>
    <cellStyle name="40% - Accent4 4 5 3" xfId="20212" xr:uid="{00000000-0005-0000-0000-0000234F0000}"/>
    <cellStyle name="40% - Accent4 4 5 3 2" xfId="20213" xr:uid="{00000000-0005-0000-0000-0000244F0000}"/>
    <cellStyle name="40% - Accent4 4 5 3 2 2" xfId="20214" xr:uid="{00000000-0005-0000-0000-0000254F0000}"/>
    <cellStyle name="40% - Accent4 4 5 3 3" xfId="20215" xr:uid="{00000000-0005-0000-0000-0000264F0000}"/>
    <cellStyle name="40% - Accent4 4 5 4" xfId="20216" xr:uid="{00000000-0005-0000-0000-0000274F0000}"/>
    <cellStyle name="40% - Accent4 4 5 4 2" xfId="20217" xr:uid="{00000000-0005-0000-0000-0000284F0000}"/>
    <cellStyle name="40% - Accent4 4 5 5" xfId="20218" xr:uid="{00000000-0005-0000-0000-0000294F0000}"/>
    <cellStyle name="40% - Accent4 4 6" xfId="20219" xr:uid="{00000000-0005-0000-0000-00002A4F0000}"/>
    <cellStyle name="40% - Accent4 4 6 2" xfId="20220" xr:uid="{00000000-0005-0000-0000-00002B4F0000}"/>
    <cellStyle name="40% - Accent4 4 6 2 2" xfId="20221" xr:uid="{00000000-0005-0000-0000-00002C4F0000}"/>
    <cellStyle name="40% - Accent4 4 6 2 2 2" xfId="20222" xr:uid="{00000000-0005-0000-0000-00002D4F0000}"/>
    <cellStyle name="40% - Accent4 4 6 2 3" xfId="20223" xr:uid="{00000000-0005-0000-0000-00002E4F0000}"/>
    <cellStyle name="40% - Accent4 4 6 3" xfId="20224" xr:uid="{00000000-0005-0000-0000-00002F4F0000}"/>
    <cellStyle name="40% - Accent4 4 6 3 2" xfId="20225" xr:uid="{00000000-0005-0000-0000-0000304F0000}"/>
    <cellStyle name="40% - Accent4 4 6 4" xfId="20226" xr:uid="{00000000-0005-0000-0000-0000314F0000}"/>
    <cellStyle name="40% - Accent4 4 7" xfId="20227" xr:uid="{00000000-0005-0000-0000-0000324F0000}"/>
    <cellStyle name="40% - Accent4 4 7 2" xfId="20228" xr:uid="{00000000-0005-0000-0000-0000334F0000}"/>
    <cellStyle name="40% - Accent4 4 7 2 2" xfId="20229" xr:uid="{00000000-0005-0000-0000-0000344F0000}"/>
    <cellStyle name="40% - Accent4 4 7 3" xfId="20230" xr:uid="{00000000-0005-0000-0000-0000354F0000}"/>
    <cellStyle name="40% - Accent4 4 8" xfId="20231" xr:uid="{00000000-0005-0000-0000-0000364F0000}"/>
    <cellStyle name="40% - Accent4 4 8 2" xfId="20232" xr:uid="{00000000-0005-0000-0000-0000374F0000}"/>
    <cellStyle name="40% - Accent4 4 9" xfId="20233" xr:uid="{00000000-0005-0000-0000-0000384F0000}"/>
    <cellStyle name="40% - Accent4 5" xfId="20234" xr:uid="{00000000-0005-0000-0000-0000394F0000}"/>
    <cellStyle name="40% - Accent4 5 2" xfId="20235" xr:uid="{00000000-0005-0000-0000-00003A4F0000}"/>
    <cellStyle name="40% - Accent4 5 2 2" xfId="20236" xr:uid="{00000000-0005-0000-0000-00003B4F0000}"/>
    <cellStyle name="40% - Accent4 5 2 2 2" xfId="20237" xr:uid="{00000000-0005-0000-0000-00003C4F0000}"/>
    <cellStyle name="40% - Accent4 5 2 2 2 2" xfId="20238" xr:uid="{00000000-0005-0000-0000-00003D4F0000}"/>
    <cellStyle name="40% - Accent4 5 2 2 2 2 2" xfId="20239" xr:uid="{00000000-0005-0000-0000-00003E4F0000}"/>
    <cellStyle name="40% - Accent4 5 2 2 2 2 2 2" xfId="20240" xr:uid="{00000000-0005-0000-0000-00003F4F0000}"/>
    <cellStyle name="40% - Accent4 5 2 2 2 2 2 2 2" xfId="20241" xr:uid="{00000000-0005-0000-0000-0000404F0000}"/>
    <cellStyle name="40% - Accent4 5 2 2 2 2 2 3" xfId="20242" xr:uid="{00000000-0005-0000-0000-0000414F0000}"/>
    <cellStyle name="40% - Accent4 5 2 2 2 2 3" xfId="20243" xr:uid="{00000000-0005-0000-0000-0000424F0000}"/>
    <cellStyle name="40% - Accent4 5 2 2 2 2 3 2" xfId="20244" xr:uid="{00000000-0005-0000-0000-0000434F0000}"/>
    <cellStyle name="40% - Accent4 5 2 2 2 2 4" xfId="20245" xr:uid="{00000000-0005-0000-0000-0000444F0000}"/>
    <cellStyle name="40% - Accent4 5 2 2 2 3" xfId="20246" xr:uid="{00000000-0005-0000-0000-0000454F0000}"/>
    <cellStyle name="40% - Accent4 5 2 2 2 3 2" xfId="20247" xr:uid="{00000000-0005-0000-0000-0000464F0000}"/>
    <cellStyle name="40% - Accent4 5 2 2 2 3 2 2" xfId="20248" xr:uid="{00000000-0005-0000-0000-0000474F0000}"/>
    <cellStyle name="40% - Accent4 5 2 2 2 3 3" xfId="20249" xr:uid="{00000000-0005-0000-0000-0000484F0000}"/>
    <cellStyle name="40% - Accent4 5 2 2 2 4" xfId="20250" xr:uid="{00000000-0005-0000-0000-0000494F0000}"/>
    <cellStyle name="40% - Accent4 5 2 2 2 4 2" xfId="20251" xr:uid="{00000000-0005-0000-0000-00004A4F0000}"/>
    <cellStyle name="40% - Accent4 5 2 2 2 5" xfId="20252" xr:uid="{00000000-0005-0000-0000-00004B4F0000}"/>
    <cellStyle name="40% - Accent4 5 2 2 3" xfId="20253" xr:uid="{00000000-0005-0000-0000-00004C4F0000}"/>
    <cellStyle name="40% - Accent4 5 2 2 3 2" xfId="20254" xr:uid="{00000000-0005-0000-0000-00004D4F0000}"/>
    <cellStyle name="40% - Accent4 5 2 2 3 2 2" xfId="20255" xr:uid="{00000000-0005-0000-0000-00004E4F0000}"/>
    <cellStyle name="40% - Accent4 5 2 2 3 2 2 2" xfId="20256" xr:uid="{00000000-0005-0000-0000-00004F4F0000}"/>
    <cellStyle name="40% - Accent4 5 2 2 3 2 3" xfId="20257" xr:uid="{00000000-0005-0000-0000-0000504F0000}"/>
    <cellStyle name="40% - Accent4 5 2 2 3 3" xfId="20258" xr:uid="{00000000-0005-0000-0000-0000514F0000}"/>
    <cellStyle name="40% - Accent4 5 2 2 3 3 2" xfId="20259" xr:uid="{00000000-0005-0000-0000-0000524F0000}"/>
    <cellStyle name="40% - Accent4 5 2 2 3 4" xfId="20260" xr:uid="{00000000-0005-0000-0000-0000534F0000}"/>
    <cellStyle name="40% - Accent4 5 2 2 4" xfId="20261" xr:uid="{00000000-0005-0000-0000-0000544F0000}"/>
    <cellStyle name="40% - Accent4 5 2 2 4 2" xfId="20262" xr:uid="{00000000-0005-0000-0000-0000554F0000}"/>
    <cellStyle name="40% - Accent4 5 2 2 4 2 2" xfId="20263" xr:uid="{00000000-0005-0000-0000-0000564F0000}"/>
    <cellStyle name="40% - Accent4 5 2 2 4 3" xfId="20264" xr:uid="{00000000-0005-0000-0000-0000574F0000}"/>
    <cellStyle name="40% - Accent4 5 2 2 5" xfId="20265" xr:uid="{00000000-0005-0000-0000-0000584F0000}"/>
    <cellStyle name="40% - Accent4 5 2 2 5 2" xfId="20266" xr:uid="{00000000-0005-0000-0000-0000594F0000}"/>
    <cellStyle name="40% - Accent4 5 2 2 6" xfId="20267" xr:uid="{00000000-0005-0000-0000-00005A4F0000}"/>
    <cellStyle name="40% - Accent4 5 2 3" xfId="20268" xr:uid="{00000000-0005-0000-0000-00005B4F0000}"/>
    <cellStyle name="40% - Accent4 5 2 3 2" xfId="20269" xr:uid="{00000000-0005-0000-0000-00005C4F0000}"/>
    <cellStyle name="40% - Accent4 5 2 3 2 2" xfId="20270" xr:uid="{00000000-0005-0000-0000-00005D4F0000}"/>
    <cellStyle name="40% - Accent4 5 2 3 2 2 2" xfId="20271" xr:uid="{00000000-0005-0000-0000-00005E4F0000}"/>
    <cellStyle name="40% - Accent4 5 2 3 2 2 2 2" xfId="20272" xr:uid="{00000000-0005-0000-0000-00005F4F0000}"/>
    <cellStyle name="40% - Accent4 5 2 3 2 2 3" xfId="20273" xr:uid="{00000000-0005-0000-0000-0000604F0000}"/>
    <cellStyle name="40% - Accent4 5 2 3 2 3" xfId="20274" xr:uid="{00000000-0005-0000-0000-0000614F0000}"/>
    <cellStyle name="40% - Accent4 5 2 3 2 3 2" xfId="20275" xr:uid="{00000000-0005-0000-0000-0000624F0000}"/>
    <cellStyle name="40% - Accent4 5 2 3 2 4" xfId="20276" xr:uid="{00000000-0005-0000-0000-0000634F0000}"/>
    <cellStyle name="40% - Accent4 5 2 3 3" xfId="20277" xr:uid="{00000000-0005-0000-0000-0000644F0000}"/>
    <cellStyle name="40% - Accent4 5 2 3 3 2" xfId="20278" xr:uid="{00000000-0005-0000-0000-0000654F0000}"/>
    <cellStyle name="40% - Accent4 5 2 3 3 2 2" xfId="20279" xr:uid="{00000000-0005-0000-0000-0000664F0000}"/>
    <cellStyle name="40% - Accent4 5 2 3 3 3" xfId="20280" xr:uid="{00000000-0005-0000-0000-0000674F0000}"/>
    <cellStyle name="40% - Accent4 5 2 3 4" xfId="20281" xr:uid="{00000000-0005-0000-0000-0000684F0000}"/>
    <cellStyle name="40% - Accent4 5 2 3 4 2" xfId="20282" xr:uid="{00000000-0005-0000-0000-0000694F0000}"/>
    <cellStyle name="40% - Accent4 5 2 3 5" xfId="20283" xr:uid="{00000000-0005-0000-0000-00006A4F0000}"/>
    <cellStyle name="40% - Accent4 5 2 4" xfId="20284" xr:uid="{00000000-0005-0000-0000-00006B4F0000}"/>
    <cellStyle name="40% - Accent4 5 2 4 2" xfId="20285" xr:uid="{00000000-0005-0000-0000-00006C4F0000}"/>
    <cellStyle name="40% - Accent4 5 2 4 2 2" xfId="20286" xr:uid="{00000000-0005-0000-0000-00006D4F0000}"/>
    <cellStyle name="40% - Accent4 5 2 4 2 2 2" xfId="20287" xr:uid="{00000000-0005-0000-0000-00006E4F0000}"/>
    <cellStyle name="40% - Accent4 5 2 4 2 3" xfId="20288" xr:uid="{00000000-0005-0000-0000-00006F4F0000}"/>
    <cellStyle name="40% - Accent4 5 2 4 3" xfId="20289" xr:uid="{00000000-0005-0000-0000-0000704F0000}"/>
    <cellStyle name="40% - Accent4 5 2 4 3 2" xfId="20290" xr:uid="{00000000-0005-0000-0000-0000714F0000}"/>
    <cellStyle name="40% - Accent4 5 2 4 4" xfId="20291" xr:uid="{00000000-0005-0000-0000-0000724F0000}"/>
    <cellStyle name="40% - Accent4 5 2 5" xfId="20292" xr:uid="{00000000-0005-0000-0000-0000734F0000}"/>
    <cellStyle name="40% - Accent4 5 2 5 2" xfId="20293" xr:uid="{00000000-0005-0000-0000-0000744F0000}"/>
    <cellStyle name="40% - Accent4 5 2 5 2 2" xfId="20294" xr:uid="{00000000-0005-0000-0000-0000754F0000}"/>
    <cellStyle name="40% - Accent4 5 2 5 3" xfId="20295" xr:uid="{00000000-0005-0000-0000-0000764F0000}"/>
    <cellStyle name="40% - Accent4 5 2 6" xfId="20296" xr:uid="{00000000-0005-0000-0000-0000774F0000}"/>
    <cellStyle name="40% - Accent4 5 2 6 2" xfId="20297" xr:uid="{00000000-0005-0000-0000-0000784F0000}"/>
    <cellStyle name="40% - Accent4 5 2 7" xfId="20298" xr:uid="{00000000-0005-0000-0000-0000794F0000}"/>
    <cellStyle name="40% - Accent4 5 3" xfId="20299" xr:uid="{00000000-0005-0000-0000-00007A4F0000}"/>
    <cellStyle name="40% - Accent4 5 3 2" xfId="20300" xr:uid="{00000000-0005-0000-0000-00007B4F0000}"/>
    <cellStyle name="40% - Accent4 5 3 2 2" xfId="20301" xr:uid="{00000000-0005-0000-0000-00007C4F0000}"/>
    <cellStyle name="40% - Accent4 5 3 2 2 2" xfId="20302" xr:uid="{00000000-0005-0000-0000-00007D4F0000}"/>
    <cellStyle name="40% - Accent4 5 3 2 2 2 2" xfId="20303" xr:uid="{00000000-0005-0000-0000-00007E4F0000}"/>
    <cellStyle name="40% - Accent4 5 3 2 2 2 2 2" xfId="20304" xr:uid="{00000000-0005-0000-0000-00007F4F0000}"/>
    <cellStyle name="40% - Accent4 5 3 2 2 2 3" xfId="20305" xr:uid="{00000000-0005-0000-0000-0000804F0000}"/>
    <cellStyle name="40% - Accent4 5 3 2 2 3" xfId="20306" xr:uid="{00000000-0005-0000-0000-0000814F0000}"/>
    <cellStyle name="40% - Accent4 5 3 2 2 3 2" xfId="20307" xr:uid="{00000000-0005-0000-0000-0000824F0000}"/>
    <cellStyle name="40% - Accent4 5 3 2 2 4" xfId="20308" xr:uid="{00000000-0005-0000-0000-0000834F0000}"/>
    <cellStyle name="40% - Accent4 5 3 2 3" xfId="20309" xr:uid="{00000000-0005-0000-0000-0000844F0000}"/>
    <cellStyle name="40% - Accent4 5 3 2 3 2" xfId="20310" xr:uid="{00000000-0005-0000-0000-0000854F0000}"/>
    <cellStyle name="40% - Accent4 5 3 2 3 2 2" xfId="20311" xr:uid="{00000000-0005-0000-0000-0000864F0000}"/>
    <cellStyle name="40% - Accent4 5 3 2 3 3" xfId="20312" xr:uid="{00000000-0005-0000-0000-0000874F0000}"/>
    <cellStyle name="40% - Accent4 5 3 2 4" xfId="20313" xr:uid="{00000000-0005-0000-0000-0000884F0000}"/>
    <cellStyle name="40% - Accent4 5 3 2 4 2" xfId="20314" xr:uid="{00000000-0005-0000-0000-0000894F0000}"/>
    <cellStyle name="40% - Accent4 5 3 2 5" xfId="20315" xr:uid="{00000000-0005-0000-0000-00008A4F0000}"/>
    <cellStyle name="40% - Accent4 5 3 3" xfId="20316" xr:uid="{00000000-0005-0000-0000-00008B4F0000}"/>
    <cellStyle name="40% - Accent4 5 3 3 2" xfId="20317" xr:uid="{00000000-0005-0000-0000-00008C4F0000}"/>
    <cellStyle name="40% - Accent4 5 3 3 2 2" xfId="20318" xr:uid="{00000000-0005-0000-0000-00008D4F0000}"/>
    <cellStyle name="40% - Accent4 5 3 3 2 2 2" xfId="20319" xr:uid="{00000000-0005-0000-0000-00008E4F0000}"/>
    <cellStyle name="40% - Accent4 5 3 3 2 3" xfId="20320" xr:uid="{00000000-0005-0000-0000-00008F4F0000}"/>
    <cellStyle name="40% - Accent4 5 3 3 3" xfId="20321" xr:uid="{00000000-0005-0000-0000-0000904F0000}"/>
    <cellStyle name="40% - Accent4 5 3 3 3 2" xfId="20322" xr:uid="{00000000-0005-0000-0000-0000914F0000}"/>
    <cellStyle name="40% - Accent4 5 3 3 4" xfId="20323" xr:uid="{00000000-0005-0000-0000-0000924F0000}"/>
    <cellStyle name="40% - Accent4 5 3 4" xfId="20324" xr:uid="{00000000-0005-0000-0000-0000934F0000}"/>
    <cellStyle name="40% - Accent4 5 3 4 2" xfId="20325" xr:uid="{00000000-0005-0000-0000-0000944F0000}"/>
    <cellStyle name="40% - Accent4 5 3 4 2 2" xfId="20326" xr:uid="{00000000-0005-0000-0000-0000954F0000}"/>
    <cellStyle name="40% - Accent4 5 3 4 3" xfId="20327" xr:uid="{00000000-0005-0000-0000-0000964F0000}"/>
    <cellStyle name="40% - Accent4 5 3 5" xfId="20328" xr:uid="{00000000-0005-0000-0000-0000974F0000}"/>
    <cellStyle name="40% - Accent4 5 3 5 2" xfId="20329" xr:uid="{00000000-0005-0000-0000-0000984F0000}"/>
    <cellStyle name="40% - Accent4 5 3 6" xfId="20330" xr:uid="{00000000-0005-0000-0000-0000994F0000}"/>
    <cellStyle name="40% - Accent4 5 4" xfId="20331" xr:uid="{00000000-0005-0000-0000-00009A4F0000}"/>
    <cellStyle name="40% - Accent4 5 4 2" xfId="20332" xr:uid="{00000000-0005-0000-0000-00009B4F0000}"/>
    <cellStyle name="40% - Accent4 5 4 2 2" xfId="20333" xr:uid="{00000000-0005-0000-0000-00009C4F0000}"/>
    <cellStyle name="40% - Accent4 5 4 2 2 2" xfId="20334" xr:uid="{00000000-0005-0000-0000-00009D4F0000}"/>
    <cellStyle name="40% - Accent4 5 4 2 2 2 2" xfId="20335" xr:uid="{00000000-0005-0000-0000-00009E4F0000}"/>
    <cellStyle name="40% - Accent4 5 4 2 2 3" xfId="20336" xr:uid="{00000000-0005-0000-0000-00009F4F0000}"/>
    <cellStyle name="40% - Accent4 5 4 2 3" xfId="20337" xr:uid="{00000000-0005-0000-0000-0000A04F0000}"/>
    <cellStyle name="40% - Accent4 5 4 2 3 2" xfId="20338" xr:uid="{00000000-0005-0000-0000-0000A14F0000}"/>
    <cellStyle name="40% - Accent4 5 4 2 4" xfId="20339" xr:uid="{00000000-0005-0000-0000-0000A24F0000}"/>
    <cellStyle name="40% - Accent4 5 4 3" xfId="20340" xr:uid="{00000000-0005-0000-0000-0000A34F0000}"/>
    <cellStyle name="40% - Accent4 5 4 3 2" xfId="20341" xr:uid="{00000000-0005-0000-0000-0000A44F0000}"/>
    <cellStyle name="40% - Accent4 5 4 3 2 2" xfId="20342" xr:uid="{00000000-0005-0000-0000-0000A54F0000}"/>
    <cellStyle name="40% - Accent4 5 4 3 3" xfId="20343" xr:uid="{00000000-0005-0000-0000-0000A64F0000}"/>
    <cellStyle name="40% - Accent4 5 4 4" xfId="20344" xr:uid="{00000000-0005-0000-0000-0000A74F0000}"/>
    <cellStyle name="40% - Accent4 5 4 4 2" xfId="20345" xr:uid="{00000000-0005-0000-0000-0000A84F0000}"/>
    <cellStyle name="40% - Accent4 5 4 5" xfId="20346" xr:uid="{00000000-0005-0000-0000-0000A94F0000}"/>
    <cellStyle name="40% - Accent4 5 5" xfId="20347" xr:uid="{00000000-0005-0000-0000-0000AA4F0000}"/>
    <cellStyle name="40% - Accent4 5 5 2" xfId="20348" xr:uid="{00000000-0005-0000-0000-0000AB4F0000}"/>
    <cellStyle name="40% - Accent4 5 5 2 2" xfId="20349" xr:uid="{00000000-0005-0000-0000-0000AC4F0000}"/>
    <cellStyle name="40% - Accent4 5 5 2 2 2" xfId="20350" xr:uid="{00000000-0005-0000-0000-0000AD4F0000}"/>
    <cellStyle name="40% - Accent4 5 5 2 3" xfId="20351" xr:uid="{00000000-0005-0000-0000-0000AE4F0000}"/>
    <cellStyle name="40% - Accent4 5 5 3" xfId="20352" xr:uid="{00000000-0005-0000-0000-0000AF4F0000}"/>
    <cellStyle name="40% - Accent4 5 5 3 2" xfId="20353" xr:uid="{00000000-0005-0000-0000-0000B04F0000}"/>
    <cellStyle name="40% - Accent4 5 5 4" xfId="20354" xr:uid="{00000000-0005-0000-0000-0000B14F0000}"/>
    <cellStyle name="40% - Accent4 5 6" xfId="20355" xr:uid="{00000000-0005-0000-0000-0000B24F0000}"/>
    <cellStyle name="40% - Accent4 5 6 2" xfId="20356" xr:uid="{00000000-0005-0000-0000-0000B34F0000}"/>
    <cellStyle name="40% - Accent4 5 6 2 2" xfId="20357" xr:uid="{00000000-0005-0000-0000-0000B44F0000}"/>
    <cellStyle name="40% - Accent4 5 6 3" xfId="20358" xr:uid="{00000000-0005-0000-0000-0000B54F0000}"/>
    <cellStyle name="40% - Accent4 5 7" xfId="20359" xr:uid="{00000000-0005-0000-0000-0000B64F0000}"/>
    <cellStyle name="40% - Accent4 5 7 2" xfId="20360" xr:uid="{00000000-0005-0000-0000-0000B74F0000}"/>
    <cellStyle name="40% - Accent4 5 8" xfId="20361" xr:uid="{00000000-0005-0000-0000-0000B84F0000}"/>
    <cellStyle name="40% - Accent4 6" xfId="20362" xr:uid="{00000000-0005-0000-0000-0000B94F0000}"/>
    <cellStyle name="40% - Accent4 6 2" xfId="20363" xr:uid="{00000000-0005-0000-0000-0000BA4F0000}"/>
    <cellStyle name="40% - Accent4 6 2 2" xfId="20364" xr:uid="{00000000-0005-0000-0000-0000BB4F0000}"/>
    <cellStyle name="40% - Accent4 6 2 2 2" xfId="20365" xr:uid="{00000000-0005-0000-0000-0000BC4F0000}"/>
    <cellStyle name="40% - Accent4 6 2 2 2 2" xfId="20366" xr:uid="{00000000-0005-0000-0000-0000BD4F0000}"/>
    <cellStyle name="40% - Accent4 6 2 2 2 2 2" xfId="20367" xr:uid="{00000000-0005-0000-0000-0000BE4F0000}"/>
    <cellStyle name="40% - Accent4 6 2 2 2 2 2 2" xfId="20368" xr:uid="{00000000-0005-0000-0000-0000BF4F0000}"/>
    <cellStyle name="40% - Accent4 6 2 2 2 2 3" xfId="20369" xr:uid="{00000000-0005-0000-0000-0000C04F0000}"/>
    <cellStyle name="40% - Accent4 6 2 2 2 3" xfId="20370" xr:uid="{00000000-0005-0000-0000-0000C14F0000}"/>
    <cellStyle name="40% - Accent4 6 2 2 2 3 2" xfId="20371" xr:uid="{00000000-0005-0000-0000-0000C24F0000}"/>
    <cellStyle name="40% - Accent4 6 2 2 2 4" xfId="20372" xr:uid="{00000000-0005-0000-0000-0000C34F0000}"/>
    <cellStyle name="40% - Accent4 6 2 2 3" xfId="20373" xr:uid="{00000000-0005-0000-0000-0000C44F0000}"/>
    <cellStyle name="40% - Accent4 6 2 2 3 2" xfId="20374" xr:uid="{00000000-0005-0000-0000-0000C54F0000}"/>
    <cellStyle name="40% - Accent4 6 2 2 3 2 2" xfId="20375" xr:uid="{00000000-0005-0000-0000-0000C64F0000}"/>
    <cellStyle name="40% - Accent4 6 2 2 3 3" xfId="20376" xr:uid="{00000000-0005-0000-0000-0000C74F0000}"/>
    <cellStyle name="40% - Accent4 6 2 2 4" xfId="20377" xr:uid="{00000000-0005-0000-0000-0000C84F0000}"/>
    <cellStyle name="40% - Accent4 6 2 2 4 2" xfId="20378" xr:uid="{00000000-0005-0000-0000-0000C94F0000}"/>
    <cellStyle name="40% - Accent4 6 2 2 5" xfId="20379" xr:uid="{00000000-0005-0000-0000-0000CA4F0000}"/>
    <cellStyle name="40% - Accent4 6 2 3" xfId="20380" xr:uid="{00000000-0005-0000-0000-0000CB4F0000}"/>
    <cellStyle name="40% - Accent4 6 2 3 2" xfId="20381" xr:uid="{00000000-0005-0000-0000-0000CC4F0000}"/>
    <cellStyle name="40% - Accent4 6 2 3 2 2" xfId="20382" xr:uid="{00000000-0005-0000-0000-0000CD4F0000}"/>
    <cellStyle name="40% - Accent4 6 2 3 2 2 2" xfId="20383" xr:uid="{00000000-0005-0000-0000-0000CE4F0000}"/>
    <cellStyle name="40% - Accent4 6 2 3 2 3" xfId="20384" xr:uid="{00000000-0005-0000-0000-0000CF4F0000}"/>
    <cellStyle name="40% - Accent4 6 2 3 3" xfId="20385" xr:uid="{00000000-0005-0000-0000-0000D04F0000}"/>
    <cellStyle name="40% - Accent4 6 2 3 3 2" xfId="20386" xr:uid="{00000000-0005-0000-0000-0000D14F0000}"/>
    <cellStyle name="40% - Accent4 6 2 3 4" xfId="20387" xr:uid="{00000000-0005-0000-0000-0000D24F0000}"/>
    <cellStyle name="40% - Accent4 6 2 4" xfId="20388" xr:uid="{00000000-0005-0000-0000-0000D34F0000}"/>
    <cellStyle name="40% - Accent4 6 2 4 2" xfId="20389" xr:uid="{00000000-0005-0000-0000-0000D44F0000}"/>
    <cellStyle name="40% - Accent4 6 2 4 2 2" xfId="20390" xr:uid="{00000000-0005-0000-0000-0000D54F0000}"/>
    <cellStyle name="40% - Accent4 6 2 4 3" xfId="20391" xr:uid="{00000000-0005-0000-0000-0000D64F0000}"/>
    <cellStyle name="40% - Accent4 6 2 5" xfId="20392" xr:uid="{00000000-0005-0000-0000-0000D74F0000}"/>
    <cellStyle name="40% - Accent4 6 2 5 2" xfId="20393" xr:uid="{00000000-0005-0000-0000-0000D84F0000}"/>
    <cellStyle name="40% - Accent4 6 2 6" xfId="20394" xr:uid="{00000000-0005-0000-0000-0000D94F0000}"/>
    <cellStyle name="40% - Accent4 6 3" xfId="20395" xr:uid="{00000000-0005-0000-0000-0000DA4F0000}"/>
    <cellStyle name="40% - Accent4 6 3 2" xfId="20396" xr:uid="{00000000-0005-0000-0000-0000DB4F0000}"/>
    <cellStyle name="40% - Accent4 6 3 2 2" xfId="20397" xr:uid="{00000000-0005-0000-0000-0000DC4F0000}"/>
    <cellStyle name="40% - Accent4 6 3 2 2 2" xfId="20398" xr:uid="{00000000-0005-0000-0000-0000DD4F0000}"/>
    <cellStyle name="40% - Accent4 6 3 2 2 2 2" xfId="20399" xr:uid="{00000000-0005-0000-0000-0000DE4F0000}"/>
    <cellStyle name="40% - Accent4 6 3 2 2 3" xfId="20400" xr:uid="{00000000-0005-0000-0000-0000DF4F0000}"/>
    <cellStyle name="40% - Accent4 6 3 2 3" xfId="20401" xr:uid="{00000000-0005-0000-0000-0000E04F0000}"/>
    <cellStyle name="40% - Accent4 6 3 2 3 2" xfId="20402" xr:uid="{00000000-0005-0000-0000-0000E14F0000}"/>
    <cellStyle name="40% - Accent4 6 3 2 4" xfId="20403" xr:uid="{00000000-0005-0000-0000-0000E24F0000}"/>
    <cellStyle name="40% - Accent4 6 3 3" xfId="20404" xr:uid="{00000000-0005-0000-0000-0000E34F0000}"/>
    <cellStyle name="40% - Accent4 6 3 3 2" xfId="20405" xr:uid="{00000000-0005-0000-0000-0000E44F0000}"/>
    <cellStyle name="40% - Accent4 6 3 3 2 2" xfId="20406" xr:uid="{00000000-0005-0000-0000-0000E54F0000}"/>
    <cellStyle name="40% - Accent4 6 3 3 3" xfId="20407" xr:uid="{00000000-0005-0000-0000-0000E64F0000}"/>
    <cellStyle name="40% - Accent4 6 3 4" xfId="20408" xr:uid="{00000000-0005-0000-0000-0000E74F0000}"/>
    <cellStyle name="40% - Accent4 6 3 4 2" xfId="20409" xr:uid="{00000000-0005-0000-0000-0000E84F0000}"/>
    <cellStyle name="40% - Accent4 6 3 5" xfId="20410" xr:uid="{00000000-0005-0000-0000-0000E94F0000}"/>
    <cellStyle name="40% - Accent4 6 4" xfId="20411" xr:uid="{00000000-0005-0000-0000-0000EA4F0000}"/>
    <cellStyle name="40% - Accent4 6 4 2" xfId="20412" xr:uid="{00000000-0005-0000-0000-0000EB4F0000}"/>
    <cellStyle name="40% - Accent4 6 4 2 2" xfId="20413" xr:uid="{00000000-0005-0000-0000-0000EC4F0000}"/>
    <cellStyle name="40% - Accent4 6 4 2 2 2" xfId="20414" xr:uid="{00000000-0005-0000-0000-0000ED4F0000}"/>
    <cellStyle name="40% - Accent4 6 4 2 3" xfId="20415" xr:uid="{00000000-0005-0000-0000-0000EE4F0000}"/>
    <cellStyle name="40% - Accent4 6 4 3" xfId="20416" xr:uid="{00000000-0005-0000-0000-0000EF4F0000}"/>
    <cellStyle name="40% - Accent4 6 4 3 2" xfId="20417" xr:uid="{00000000-0005-0000-0000-0000F04F0000}"/>
    <cellStyle name="40% - Accent4 6 4 4" xfId="20418" xr:uid="{00000000-0005-0000-0000-0000F14F0000}"/>
    <cellStyle name="40% - Accent4 6 5" xfId="20419" xr:uid="{00000000-0005-0000-0000-0000F24F0000}"/>
    <cellStyle name="40% - Accent4 6 5 2" xfId="20420" xr:uid="{00000000-0005-0000-0000-0000F34F0000}"/>
    <cellStyle name="40% - Accent4 6 5 2 2" xfId="20421" xr:uid="{00000000-0005-0000-0000-0000F44F0000}"/>
    <cellStyle name="40% - Accent4 6 5 3" xfId="20422" xr:uid="{00000000-0005-0000-0000-0000F54F0000}"/>
    <cellStyle name="40% - Accent4 6 6" xfId="20423" xr:uid="{00000000-0005-0000-0000-0000F64F0000}"/>
    <cellStyle name="40% - Accent4 6 6 2" xfId="20424" xr:uid="{00000000-0005-0000-0000-0000F74F0000}"/>
    <cellStyle name="40% - Accent4 6 7" xfId="20425" xr:uid="{00000000-0005-0000-0000-0000F84F0000}"/>
    <cellStyle name="40% - Accent4 7" xfId="20426" xr:uid="{00000000-0005-0000-0000-0000F94F0000}"/>
    <cellStyle name="40% - Accent4 7 2" xfId="20427" xr:uid="{00000000-0005-0000-0000-0000FA4F0000}"/>
    <cellStyle name="40% - Accent4 7 2 2" xfId="20428" xr:uid="{00000000-0005-0000-0000-0000FB4F0000}"/>
    <cellStyle name="40% - Accent4 7 2 2 2" xfId="20429" xr:uid="{00000000-0005-0000-0000-0000FC4F0000}"/>
    <cellStyle name="40% - Accent4 7 2 2 2 2" xfId="20430" xr:uid="{00000000-0005-0000-0000-0000FD4F0000}"/>
    <cellStyle name="40% - Accent4 7 2 2 2 2 2" xfId="20431" xr:uid="{00000000-0005-0000-0000-0000FE4F0000}"/>
    <cellStyle name="40% - Accent4 7 2 2 2 3" xfId="20432" xr:uid="{00000000-0005-0000-0000-0000FF4F0000}"/>
    <cellStyle name="40% - Accent4 7 2 2 3" xfId="20433" xr:uid="{00000000-0005-0000-0000-000000500000}"/>
    <cellStyle name="40% - Accent4 7 2 2 3 2" xfId="20434" xr:uid="{00000000-0005-0000-0000-000001500000}"/>
    <cellStyle name="40% - Accent4 7 2 2 4" xfId="20435" xr:uid="{00000000-0005-0000-0000-000002500000}"/>
    <cellStyle name="40% - Accent4 7 2 3" xfId="20436" xr:uid="{00000000-0005-0000-0000-000003500000}"/>
    <cellStyle name="40% - Accent4 7 2 3 2" xfId="20437" xr:uid="{00000000-0005-0000-0000-000004500000}"/>
    <cellStyle name="40% - Accent4 7 2 3 2 2" xfId="20438" xr:uid="{00000000-0005-0000-0000-000005500000}"/>
    <cellStyle name="40% - Accent4 7 2 3 3" xfId="20439" xr:uid="{00000000-0005-0000-0000-000006500000}"/>
    <cellStyle name="40% - Accent4 7 2 4" xfId="20440" xr:uid="{00000000-0005-0000-0000-000007500000}"/>
    <cellStyle name="40% - Accent4 7 2 4 2" xfId="20441" xr:uid="{00000000-0005-0000-0000-000008500000}"/>
    <cellStyle name="40% - Accent4 7 2 5" xfId="20442" xr:uid="{00000000-0005-0000-0000-000009500000}"/>
    <cellStyle name="40% - Accent4 7 3" xfId="20443" xr:uid="{00000000-0005-0000-0000-00000A500000}"/>
    <cellStyle name="40% - Accent4 7 3 2" xfId="20444" xr:uid="{00000000-0005-0000-0000-00000B500000}"/>
    <cellStyle name="40% - Accent4 7 3 2 2" xfId="20445" xr:uid="{00000000-0005-0000-0000-00000C500000}"/>
    <cellStyle name="40% - Accent4 7 3 2 2 2" xfId="20446" xr:uid="{00000000-0005-0000-0000-00000D500000}"/>
    <cellStyle name="40% - Accent4 7 3 2 3" xfId="20447" xr:uid="{00000000-0005-0000-0000-00000E500000}"/>
    <cellStyle name="40% - Accent4 7 3 3" xfId="20448" xr:uid="{00000000-0005-0000-0000-00000F500000}"/>
    <cellStyle name="40% - Accent4 7 3 3 2" xfId="20449" xr:uid="{00000000-0005-0000-0000-000010500000}"/>
    <cellStyle name="40% - Accent4 7 3 4" xfId="20450" xr:uid="{00000000-0005-0000-0000-000011500000}"/>
    <cellStyle name="40% - Accent4 7 4" xfId="20451" xr:uid="{00000000-0005-0000-0000-000012500000}"/>
    <cellStyle name="40% - Accent4 7 4 2" xfId="20452" xr:uid="{00000000-0005-0000-0000-000013500000}"/>
    <cellStyle name="40% - Accent4 7 4 2 2" xfId="20453" xr:uid="{00000000-0005-0000-0000-000014500000}"/>
    <cellStyle name="40% - Accent4 7 4 3" xfId="20454" xr:uid="{00000000-0005-0000-0000-000015500000}"/>
    <cellStyle name="40% - Accent4 7 5" xfId="20455" xr:uid="{00000000-0005-0000-0000-000016500000}"/>
    <cellStyle name="40% - Accent4 7 5 2" xfId="20456" xr:uid="{00000000-0005-0000-0000-000017500000}"/>
    <cellStyle name="40% - Accent4 7 6" xfId="20457" xr:uid="{00000000-0005-0000-0000-000018500000}"/>
    <cellStyle name="40% - Accent4 8" xfId="20458" xr:uid="{00000000-0005-0000-0000-000019500000}"/>
    <cellStyle name="40% - Accent4 8 2" xfId="20459" xr:uid="{00000000-0005-0000-0000-00001A500000}"/>
    <cellStyle name="40% - Accent4 8 2 2" xfId="20460" xr:uid="{00000000-0005-0000-0000-00001B500000}"/>
    <cellStyle name="40% - Accent4 8 2 2 2" xfId="20461" xr:uid="{00000000-0005-0000-0000-00001C500000}"/>
    <cellStyle name="40% - Accent4 8 2 2 2 2" xfId="20462" xr:uid="{00000000-0005-0000-0000-00001D500000}"/>
    <cellStyle name="40% - Accent4 8 2 2 3" xfId="20463" xr:uid="{00000000-0005-0000-0000-00001E500000}"/>
    <cellStyle name="40% - Accent4 8 2 3" xfId="20464" xr:uid="{00000000-0005-0000-0000-00001F500000}"/>
    <cellStyle name="40% - Accent4 8 2 3 2" xfId="20465" xr:uid="{00000000-0005-0000-0000-000020500000}"/>
    <cellStyle name="40% - Accent4 8 2 4" xfId="20466" xr:uid="{00000000-0005-0000-0000-000021500000}"/>
    <cellStyle name="40% - Accent4 8 3" xfId="20467" xr:uid="{00000000-0005-0000-0000-000022500000}"/>
    <cellStyle name="40% - Accent4 8 3 2" xfId="20468" xr:uid="{00000000-0005-0000-0000-000023500000}"/>
    <cellStyle name="40% - Accent4 8 3 2 2" xfId="20469" xr:uid="{00000000-0005-0000-0000-000024500000}"/>
    <cellStyle name="40% - Accent4 8 3 3" xfId="20470" xr:uid="{00000000-0005-0000-0000-000025500000}"/>
    <cellStyle name="40% - Accent4 8 4" xfId="20471" xr:uid="{00000000-0005-0000-0000-000026500000}"/>
    <cellStyle name="40% - Accent4 8 4 2" xfId="20472" xr:uid="{00000000-0005-0000-0000-000027500000}"/>
    <cellStyle name="40% - Accent4 8 5" xfId="20473" xr:uid="{00000000-0005-0000-0000-000028500000}"/>
    <cellStyle name="40% - Accent4 9" xfId="20474" xr:uid="{00000000-0005-0000-0000-000029500000}"/>
    <cellStyle name="40% - Accent4 9 2" xfId="20475" xr:uid="{00000000-0005-0000-0000-00002A500000}"/>
    <cellStyle name="40% - Accent4 9 2 2" xfId="20476" xr:uid="{00000000-0005-0000-0000-00002B500000}"/>
    <cellStyle name="40% - Accent4 9 2 2 2" xfId="20477" xr:uid="{00000000-0005-0000-0000-00002C500000}"/>
    <cellStyle name="40% - Accent4 9 2 3" xfId="20478" xr:uid="{00000000-0005-0000-0000-00002D500000}"/>
    <cellStyle name="40% - Accent4 9 3" xfId="20479" xr:uid="{00000000-0005-0000-0000-00002E500000}"/>
    <cellStyle name="40% - Accent4 9 3 2" xfId="20480" xr:uid="{00000000-0005-0000-0000-00002F500000}"/>
    <cellStyle name="40% - Accent4 9 4" xfId="20481" xr:uid="{00000000-0005-0000-0000-000030500000}"/>
    <cellStyle name="40% - Accent5 10" xfId="20482" xr:uid="{00000000-0005-0000-0000-000031500000}"/>
    <cellStyle name="40% - Accent5 10 2" xfId="20483" xr:uid="{00000000-0005-0000-0000-000032500000}"/>
    <cellStyle name="40% - Accent5 10 2 2" xfId="20484" xr:uid="{00000000-0005-0000-0000-000033500000}"/>
    <cellStyle name="40% - Accent5 10 3" xfId="20485" xr:uid="{00000000-0005-0000-0000-000034500000}"/>
    <cellStyle name="40% - Accent5 11" xfId="20486" xr:uid="{00000000-0005-0000-0000-000035500000}"/>
    <cellStyle name="40% - Accent5 11 2" xfId="20487" xr:uid="{00000000-0005-0000-0000-000036500000}"/>
    <cellStyle name="40% - Accent5 12" xfId="20488" xr:uid="{00000000-0005-0000-0000-000037500000}"/>
    <cellStyle name="40% - Accent5 13" xfId="20489" xr:uid="{00000000-0005-0000-0000-000038500000}"/>
    <cellStyle name="40% - Accent5 2" xfId="20490" xr:uid="{00000000-0005-0000-0000-000039500000}"/>
    <cellStyle name="40% - Accent5 2 10" xfId="20491" xr:uid="{00000000-0005-0000-0000-00003A500000}"/>
    <cellStyle name="40% - Accent5 2 10 2" xfId="20492" xr:uid="{00000000-0005-0000-0000-00003B500000}"/>
    <cellStyle name="40% - Accent5 2 11" xfId="20493" xr:uid="{00000000-0005-0000-0000-00003C500000}"/>
    <cellStyle name="40% - Accent5 2 2" xfId="20494" xr:uid="{00000000-0005-0000-0000-00003D500000}"/>
    <cellStyle name="40% - Accent5 2 2 10" xfId="20495" xr:uid="{00000000-0005-0000-0000-00003E500000}"/>
    <cellStyle name="40% - Accent5 2 2 2" xfId="20496" xr:uid="{00000000-0005-0000-0000-00003F500000}"/>
    <cellStyle name="40% - Accent5 2 2 2 2" xfId="20497" xr:uid="{00000000-0005-0000-0000-000040500000}"/>
    <cellStyle name="40% - Accent5 2 2 2 2 2" xfId="20498" xr:uid="{00000000-0005-0000-0000-000041500000}"/>
    <cellStyle name="40% - Accent5 2 2 2 2 2 2" xfId="20499" xr:uid="{00000000-0005-0000-0000-000042500000}"/>
    <cellStyle name="40% - Accent5 2 2 2 2 2 2 2" xfId="20500" xr:uid="{00000000-0005-0000-0000-000043500000}"/>
    <cellStyle name="40% - Accent5 2 2 2 2 2 2 2 2" xfId="20501" xr:uid="{00000000-0005-0000-0000-000044500000}"/>
    <cellStyle name="40% - Accent5 2 2 2 2 2 2 2 2 2" xfId="20502" xr:uid="{00000000-0005-0000-0000-000045500000}"/>
    <cellStyle name="40% - Accent5 2 2 2 2 2 2 2 2 2 2" xfId="20503" xr:uid="{00000000-0005-0000-0000-000046500000}"/>
    <cellStyle name="40% - Accent5 2 2 2 2 2 2 2 2 2 2 2" xfId="20504" xr:uid="{00000000-0005-0000-0000-000047500000}"/>
    <cellStyle name="40% - Accent5 2 2 2 2 2 2 2 2 2 3" xfId="20505" xr:uid="{00000000-0005-0000-0000-000048500000}"/>
    <cellStyle name="40% - Accent5 2 2 2 2 2 2 2 2 3" xfId="20506" xr:uid="{00000000-0005-0000-0000-000049500000}"/>
    <cellStyle name="40% - Accent5 2 2 2 2 2 2 2 2 3 2" xfId="20507" xr:uid="{00000000-0005-0000-0000-00004A500000}"/>
    <cellStyle name="40% - Accent5 2 2 2 2 2 2 2 2 4" xfId="20508" xr:uid="{00000000-0005-0000-0000-00004B500000}"/>
    <cellStyle name="40% - Accent5 2 2 2 2 2 2 2 3" xfId="20509" xr:uid="{00000000-0005-0000-0000-00004C500000}"/>
    <cellStyle name="40% - Accent5 2 2 2 2 2 2 2 3 2" xfId="20510" xr:uid="{00000000-0005-0000-0000-00004D500000}"/>
    <cellStyle name="40% - Accent5 2 2 2 2 2 2 2 3 2 2" xfId="20511" xr:uid="{00000000-0005-0000-0000-00004E500000}"/>
    <cellStyle name="40% - Accent5 2 2 2 2 2 2 2 3 3" xfId="20512" xr:uid="{00000000-0005-0000-0000-00004F500000}"/>
    <cellStyle name="40% - Accent5 2 2 2 2 2 2 2 4" xfId="20513" xr:uid="{00000000-0005-0000-0000-000050500000}"/>
    <cellStyle name="40% - Accent5 2 2 2 2 2 2 2 4 2" xfId="20514" xr:uid="{00000000-0005-0000-0000-000051500000}"/>
    <cellStyle name="40% - Accent5 2 2 2 2 2 2 2 5" xfId="20515" xr:uid="{00000000-0005-0000-0000-000052500000}"/>
    <cellStyle name="40% - Accent5 2 2 2 2 2 2 3" xfId="20516" xr:uid="{00000000-0005-0000-0000-000053500000}"/>
    <cellStyle name="40% - Accent5 2 2 2 2 2 2 3 2" xfId="20517" xr:uid="{00000000-0005-0000-0000-000054500000}"/>
    <cellStyle name="40% - Accent5 2 2 2 2 2 2 3 2 2" xfId="20518" xr:uid="{00000000-0005-0000-0000-000055500000}"/>
    <cellStyle name="40% - Accent5 2 2 2 2 2 2 3 2 2 2" xfId="20519" xr:uid="{00000000-0005-0000-0000-000056500000}"/>
    <cellStyle name="40% - Accent5 2 2 2 2 2 2 3 2 3" xfId="20520" xr:uid="{00000000-0005-0000-0000-000057500000}"/>
    <cellStyle name="40% - Accent5 2 2 2 2 2 2 3 3" xfId="20521" xr:uid="{00000000-0005-0000-0000-000058500000}"/>
    <cellStyle name="40% - Accent5 2 2 2 2 2 2 3 3 2" xfId="20522" xr:uid="{00000000-0005-0000-0000-000059500000}"/>
    <cellStyle name="40% - Accent5 2 2 2 2 2 2 3 4" xfId="20523" xr:uid="{00000000-0005-0000-0000-00005A500000}"/>
    <cellStyle name="40% - Accent5 2 2 2 2 2 2 4" xfId="20524" xr:uid="{00000000-0005-0000-0000-00005B500000}"/>
    <cellStyle name="40% - Accent5 2 2 2 2 2 2 4 2" xfId="20525" xr:uid="{00000000-0005-0000-0000-00005C500000}"/>
    <cellStyle name="40% - Accent5 2 2 2 2 2 2 4 2 2" xfId="20526" xr:uid="{00000000-0005-0000-0000-00005D500000}"/>
    <cellStyle name="40% - Accent5 2 2 2 2 2 2 4 3" xfId="20527" xr:uid="{00000000-0005-0000-0000-00005E500000}"/>
    <cellStyle name="40% - Accent5 2 2 2 2 2 2 5" xfId="20528" xr:uid="{00000000-0005-0000-0000-00005F500000}"/>
    <cellStyle name="40% - Accent5 2 2 2 2 2 2 5 2" xfId="20529" xr:uid="{00000000-0005-0000-0000-000060500000}"/>
    <cellStyle name="40% - Accent5 2 2 2 2 2 2 6" xfId="20530" xr:uid="{00000000-0005-0000-0000-000061500000}"/>
    <cellStyle name="40% - Accent5 2 2 2 2 2 3" xfId="20531" xr:uid="{00000000-0005-0000-0000-000062500000}"/>
    <cellStyle name="40% - Accent5 2 2 2 2 2 3 2" xfId="20532" xr:uid="{00000000-0005-0000-0000-000063500000}"/>
    <cellStyle name="40% - Accent5 2 2 2 2 2 3 2 2" xfId="20533" xr:uid="{00000000-0005-0000-0000-000064500000}"/>
    <cellStyle name="40% - Accent5 2 2 2 2 2 3 2 2 2" xfId="20534" xr:uid="{00000000-0005-0000-0000-000065500000}"/>
    <cellStyle name="40% - Accent5 2 2 2 2 2 3 2 2 2 2" xfId="20535" xr:uid="{00000000-0005-0000-0000-000066500000}"/>
    <cellStyle name="40% - Accent5 2 2 2 2 2 3 2 2 3" xfId="20536" xr:uid="{00000000-0005-0000-0000-000067500000}"/>
    <cellStyle name="40% - Accent5 2 2 2 2 2 3 2 3" xfId="20537" xr:uid="{00000000-0005-0000-0000-000068500000}"/>
    <cellStyle name="40% - Accent5 2 2 2 2 2 3 2 3 2" xfId="20538" xr:uid="{00000000-0005-0000-0000-000069500000}"/>
    <cellStyle name="40% - Accent5 2 2 2 2 2 3 2 4" xfId="20539" xr:uid="{00000000-0005-0000-0000-00006A500000}"/>
    <cellStyle name="40% - Accent5 2 2 2 2 2 3 3" xfId="20540" xr:uid="{00000000-0005-0000-0000-00006B500000}"/>
    <cellStyle name="40% - Accent5 2 2 2 2 2 3 3 2" xfId="20541" xr:uid="{00000000-0005-0000-0000-00006C500000}"/>
    <cellStyle name="40% - Accent5 2 2 2 2 2 3 3 2 2" xfId="20542" xr:uid="{00000000-0005-0000-0000-00006D500000}"/>
    <cellStyle name="40% - Accent5 2 2 2 2 2 3 3 3" xfId="20543" xr:uid="{00000000-0005-0000-0000-00006E500000}"/>
    <cellStyle name="40% - Accent5 2 2 2 2 2 3 4" xfId="20544" xr:uid="{00000000-0005-0000-0000-00006F500000}"/>
    <cellStyle name="40% - Accent5 2 2 2 2 2 3 4 2" xfId="20545" xr:uid="{00000000-0005-0000-0000-000070500000}"/>
    <cellStyle name="40% - Accent5 2 2 2 2 2 3 5" xfId="20546" xr:uid="{00000000-0005-0000-0000-000071500000}"/>
    <cellStyle name="40% - Accent5 2 2 2 2 2 4" xfId="20547" xr:uid="{00000000-0005-0000-0000-000072500000}"/>
    <cellStyle name="40% - Accent5 2 2 2 2 2 4 2" xfId="20548" xr:uid="{00000000-0005-0000-0000-000073500000}"/>
    <cellStyle name="40% - Accent5 2 2 2 2 2 4 2 2" xfId="20549" xr:uid="{00000000-0005-0000-0000-000074500000}"/>
    <cellStyle name="40% - Accent5 2 2 2 2 2 4 2 2 2" xfId="20550" xr:uid="{00000000-0005-0000-0000-000075500000}"/>
    <cellStyle name="40% - Accent5 2 2 2 2 2 4 2 3" xfId="20551" xr:uid="{00000000-0005-0000-0000-000076500000}"/>
    <cellStyle name="40% - Accent5 2 2 2 2 2 4 3" xfId="20552" xr:uid="{00000000-0005-0000-0000-000077500000}"/>
    <cellStyle name="40% - Accent5 2 2 2 2 2 4 3 2" xfId="20553" xr:uid="{00000000-0005-0000-0000-000078500000}"/>
    <cellStyle name="40% - Accent5 2 2 2 2 2 4 4" xfId="20554" xr:uid="{00000000-0005-0000-0000-000079500000}"/>
    <cellStyle name="40% - Accent5 2 2 2 2 2 5" xfId="20555" xr:uid="{00000000-0005-0000-0000-00007A500000}"/>
    <cellStyle name="40% - Accent5 2 2 2 2 2 5 2" xfId="20556" xr:uid="{00000000-0005-0000-0000-00007B500000}"/>
    <cellStyle name="40% - Accent5 2 2 2 2 2 5 2 2" xfId="20557" xr:uid="{00000000-0005-0000-0000-00007C500000}"/>
    <cellStyle name="40% - Accent5 2 2 2 2 2 5 3" xfId="20558" xr:uid="{00000000-0005-0000-0000-00007D500000}"/>
    <cellStyle name="40% - Accent5 2 2 2 2 2 6" xfId="20559" xr:uid="{00000000-0005-0000-0000-00007E500000}"/>
    <cellStyle name="40% - Accent5 2 2 2 2 2 6 2" xfId="20560" xr:uid="{00000000-0005-0000-0000-00007F500000}"/>
    <cellStyle name="40% - Accent5 2 2 2 2 2 7" xfId="20561" xr:uid="{00000000-0005-0000-0000-000080500000}"/>
    <cellStyle name="40% - Accent5 2 2 2 2 3" xfId="20562" xr:uid="{00000000-0005-0000-0000-000081500000}"/>
    <cellStyle name="40% - Accent5 2 2 2 2 3 2" xfId="20563" xr:uid="{00000000-0005-0000-0000-000082500000}"/>
    <cellStyle name="40% - Accent5 2 2 2 2 3 2 2" xfId="20564" xr:uid="{00000000-0005-0000-0000-000083500000}"/>
    <cellStyle name="40% - Accent5 2 2 2 2 3 2 2 2" xfId="20565" xr:uid="{00000000-0005-0000-0000-000084500000}"/>
    <cellStyle name="40% - Accent5 2 2 2 2 3 2 2 2 2" xfId="20566" xr:uid="{00000000-0005-0000-0000-000085500000}"/>
    <cellStyle name="40% - Accent5 2 2 2 2 3 2 2 2 2 2" xfId="20567" xr:uid="{00000000-0005-0000-0000-000086500000}"/>
    <cellStyle name="40% - Accent5 2 2 2 2 3 2 2 2 3" xfId="20568" xr:uid="{00000000-0005-0000-0000-000087500000}"/>
    <cellStyle name="40% - Accent5 2 2 2 2 3 2 2 3" xfId="20569" xr:uid="{00000000-0005-0000-0000-000088500000}"/>
    <cellStyle name="40% - Accent5 2 2 2 2 3 2 2 3 2" xfId="20570" xr:uid="{00000000-0005-0000-0000-000089500000}"/>
    <cellStyle name="40% - Accent5 2 2 2 2 3 2 2 4" xfId="20571" xr:uid="{00000000-0005-0000-0000-00008A500000}"/>
    <cellStyle name="40% - Accent5 2 2 2 2 3 2 3" xfId="20572" xr:uid="{00000000-0005-0000-0000-00008B500000}"/>
    <cellStyle name="40% - Accent5 2 2 2 2 3 2 3 2" xfId="20573" xr:uid="{00000000-0005-0000-0000-00008C500000}"/>
    <cellStyle name="40% - Accent5 2 2 2 2 3 2 3 2 2" xfId="20574" xr:uid="{00000000-0005-0000-0000-00008D500000}"/>
    <cellStyle name="40% - Accent5 2 2 2 2 3 2 3 3" xfId="20575" xr:uid="{00000000-0005-0000-0000-00008E500000}"/>
    <cellStyle name="40% - Accent5 2 2 2 2 3 2 4" xfId="20576" xr:uid="{00000000-0005-0000-0000-00008F500000}"/>
    <cellStyle name="40% - Accent5 2 2 2 2 3 2 4 2" xfId="20577" xr:uid="{00000000-0005-0000-0000-000090500000}"/>
    <cellStyle name="40% - Accent5 2 2 2 2 3 2 5" xfId="20578" xr:uid="{00000000-0005-0000-0000-000091500000}"/>
    <cellStyle name="40% - Accent5 2 2 2 2 3 3" xfId="20579" xr:uid="{00000000-0005-0000-0000-000092500000}"/>
    <cellStyle name="40% - Accent5 2 2 2 2 3 3 2" xfId="20580" xr:uid="{00000000-0005-0000-0000-000093500000}"/>
    <cellStyle name="40% - Accent5 2 2 2 2 3 3 2 2" xfId="20581" xr:uid="{00000000-0005-0000-0000-000094500000}"/>
    <cellStyle name="40% - Accent5 2 2 2 2 3 3 2 2 2" xfId="20582" xr:uid="{00000000-0005-0000-0000-000095500000}"/>
    <cellStyle name="40% - Accent5 2 2 2 2 3 3 2 3" xfId="20583" xr:uid="{00000000-0005-0000-0000-000096500000}"/>
    <cellStyle name="40% - Accent5 2 2 2 2 3 3 3" xfId="20584" xr:uid="{00000000-0005-0000-0000-000097500000}"/>
    <cellStyle name="40% - Accent5 2 2 2 2 3 3 3 2" xfId="20585" xr:uid="{00000000-0005-0000-0000-000098500000}"/>
    <cellStyle name="40% - Accent5 2 2 2 2 3 3 4" xfId="20586" xr:uid="{00000000-0005-0000-0000-000099500000}"/>
    <cellStyle name="40% - Accent5 2 2 2 2 3 4" xfId="20587" xr:uid="{00000000-0005-0000-0000-00009A500000}"/>
    <cellStyle name="40% - Accent5 2 2 2 2 3 4 2" xfId="20588" xr:uid="{00000000-0005-0000-0000-00009B500000}"/>
    <cellStyle name="40% - Accent5 2 2 2 2 3 4 2 2" xfId="20589" xr:uid="{00000000-0005-0000-0000-00009C500000}"/>
    <cellStyle name="40% - Accent5 2 2 2 2 3 4 3" xfId="20590" xr:uid="{00000000-0005-0000-0000-00009D500000}"/>
    <cellStyle name="40% - Accent5 2 2 2 2 3 5" xfId="20591" xr:uid="{00000000-0005-0000-0000-00009E500000}"/>
    <cellStyle name="40% - Accent5 2 2 2 2 3 5 2" xfId="20592" xr:uid="{00000000-0005-0000-0000-00009F500000}"/>
    <cellStyle name="40% - Accent5 2 2 2 2 3 6" xfId="20593" xr:uid="{00000000-0005-0000-0000-0000A0500000}"/>
    <cellStyle name="40% - Accent5 2 2 2 2 4" xfId="20594" xr:uid="{00000000-0005-0000-0000-0000A1500000}"/>
    <cellStyle name="40% - Accent5 2 2 2 2 4 2" xfId="20595" xr:uid="{00000000-0005-0000-0000-0000A2500000}"/>
    <cellStyle name="40% - Accent5 2 2 2 2 4 2 2" xfId="20596" xr:uid="{00000000-0005-0000-0000-0000A3500000}"/>
    <cellStyle name="40% - Accent5 2 2 2 2 4 2 2 2" xfId="20597" xr:uid="{00000000-0005-0000-0000-0000A4500000}"/>
    <cellStyle name="40% - Accent5 2 2 2 2 4 2 2 2 2" xfId="20598" xr:uid="{00000000-0005-0000-0000-0000A5500000}"/>
    <cellStyle name="40% - Accent5 2 2 2 2 4 2 2 3" xfId="20599" xr:uid="{00000000-0005-0000-0000-0000A6500000}"/>
    <cellStyle name="40% - Accent5 2 2 2 2 4 2 3" xfId="20600" xr:uid="{00000000-0005-0000-0000-0000A7500000}"/>
    <cellStyle name="40% - Accent5 2 2 2 2 4 2 3 2" xfId="20601" xr:uid="{00000000-0005-0000-0000-0000A8500000}"/>
    <cellStyle name="40% - Accent5 2 2 2 2 4 2 4" xfId="20602" xr:uid="{00000000-0005-0000-0000-0000A9500000}"/>
    <cellStyle name="40% - Accent5 2 2 2 2 4 3" xfId="20603" xr:uid="{00000000-0005-0000-0000-0000AA500000}"/>
    <cellStyle name="40% - Accent5 2 2 2 2 4 3 2" xfId="20604" xr:uid="{00000000-0005-0000-0000-0000AB500000}"/>
    <cellStyle name="40% - Accent5 2 2 2 2 4 3 2 2" xfId="20605" xr:uid="{00000000-0005-0000-0000-0000AC500000}"/>
    <cellStyle name="40% - Accent5 2 2 2 2 4 3 3" xfId="20606" xr:uid="{00000000-0005-0000-0000-0000AD500000}"/>
    <cellStyle name="40% - Accent5 2 2 2 2 4 4" xfId="20607" xr:uid="{00000000-0005-0000-0000-0000AE500000}"/>
    <cellStyle name="40% - Accent5 2 2 2 2 4 4 2" xfId="20608" xr:uid="{00000000-0005-0000-0000-0000AF500000}"/>
    <cellStyle name="40% - Accent5 2 2 2 2 4 5" xfId="20609" xr:uid="{00000000-0005-0000-0000-0000B0500000}"/>
    <cellStyle name="40% - Accent5 2 2 2 2 5" xfId="20610" xr:uid="{00000000-0005-0000-0000-0000B1500000}"/>
    <cellStyle name="40% - Accent5 2 2 2 2 5 2" xfId="20611" xr:uid="{00000000-0005-0000-0000-0000B2500000}"/>
    <cellStyle name="40% - Accent5 2 2 2 2 5 2 2" xfId="20612" xr:uid="{00000000-0005-0000-0000-0000B3500000}"/>
    <cellStyle name="40% - Accent5 2 2 2 2 5 2 2 2" xfId="20613" xr:uid="{00000000-0005-0000-0000-0000B4500000}"/>
    <cellStyle name="40% - Accent5 2 2 2 2 5 2 3" xfId="20614" xr:uid="{00000000-0005-0000-0000-0000B5500000}"/>
    <cellStyle name="40% - Accent5 2 2 2 2 5 3" xfId="20615" xr:uid="{00000000-0005-0000-0000-0000B6500000}"/>
    <cellStyle name="40% - Accent5 2 2 2 2 5 3 2" xfId="20616" xr:uid="{00000000-0005-0000-0000-0000B7500000}"/>
    <cellStyle name="40% - Accent5 2 2 2 2 5 4" xfId="20617" xr:uid="{00000000-0005-0000-0000-0000B8500000}"/>
    <cellStyle name="40% - Accent5 2 2 2 2 6" xfId="20618" xr:uid="{00000000-0005-0000-0000-0000B9500000}"/>
    <cellStyle name="40% - Accent5 2 2 2 2 6 2" xfId="20619" xr:uid="{00000000-0005-0000-0000-0000BA500000}"/>
    <cellStyle name="40% - Accent5 2 2 2 2 6 2 2" xfId="20620" xr:uid="{00000000-0005-0000-0000-0000BB500000}"/>
    <cellStyle name="40% - Accent5 2 2 2 2 6 3" xfId="20621" xr:uid="{00000000-0005-0000-0000-0000BC500000}"/>
    <cellStyle name="40% - Accent5 2 2 2 2 7" xfId="20622" xr:uid="{00000000-0005-0000-0000-0000BD500000}"/>
    <cellStyle name="40% - Accent5 2 2 2 2 7 2" xfId="20623" xr:uid="{00000000-0005-0000-0000-0000BE500000}"/>
    <cellStyle name="40% - Accent5 2 2 2 2 8" xfId="20624" xr:uid="{00000000-0005-0000-0000-0000BF500000}"/>
    <cellStyle name="40% - Accent5 2 2 2 3" xfId="20625" xr:uid="{00000000-0005-0000-0000-0000C0500000}"/>
    <cellStyle name="40% - Accent5 2 2 2 3 2" xfId="20626" xr:uid="{00000000-0005-0000-0000-0000C1500000}"/>
    <cellStyle name="40% - Accent5 2 2 2 3 2 2" xfId="20627" xr:uid="{00000000-0005-0000-0000-0000C2500000}"/>
    <cellStyle name="40% - Accent5 2 2 2 3 2 2 2" xfId="20628" xr:uid="{00000000-0005-0000-0000-0000C3500000}"/>
    <cellStyle name="40% - Accent5 2 2 2 3 2 2 2 2" xfId="20629" xr:uid="{00000000-0005-0000-0000-0000C4500000}"/>
    <cellStyle name="40% - Accent5 2 2 2 3 2 2 2 2 2" xfId="20630" xr:uid="{00000000-0005-0000-0000-0000C5500000}"/>
    <cellStyle name="40% - Accent5 2 2 2 3 2 2 2 2 2 2" xfId="20631" xr:uid="{00000000-0005-0000-0000-0000C6500000}"/>
    <cellStyle name="40% - Accent5 2 2 2 3 2 2 2 2 3" xfId="20632" xr:uid="{00000000-0005-0000-0000-0000C7500000}"/>
    <cellStyle name="40% - Accent5 2 2 2 3 2 2 2 3" xfId="20633" xr:uid="{00000000-0005-0000-0000-0000C8500000}"/>
    <cellStyle name="40% - Accent5 2 2 2 3 2 2 2 3 2" xfId="20634" xr:uid="{00000000-0005-0000-0000-0000C9500000}"/>
    <cellStyle name="40% - Accent5 2 2 2 3 2 2 2 4" xfId="20635" xr:uid="{00000000-0005-0000-0000-0000CA500000}"/>
    <cellStyle name="40% - Accent5 2 2 2 3 2 2 3" xfId="20636" xr:uid="{00000000-0005-0000-0000-0000CB500000}"/>
    <cellStyle name="40% - Accent5 2 2 2 3 2 2 3 2" xfId="20637" xr:uid="{00000000-0005-0000-0000-0000CC500000}"/>
    <cellStyle name="40% - Accent5 2 2 2 3 2 2 3 2 2" xfId="20638" xr:uid="{00000000-0005-0000-0000-0000CD500000}"/>
    <cellStyle name="40% - Accent5 2 2 2 3 2 2 3 3" xfId="20639" xr:uid="{00000000-0005-0000-0000-0000CE500000}"/>
    <cellStyle name="40% - Accent5 2 2 2 3 2 2 4" xfId="20640" xr:uid="{00000000-0005-0000-0000-0000CF500000}"/>
    <cellStyle name="40% - Accent5 2 2 2 3 2 2 4 2" xfId="20641" xr:uid="{00000000-0005-0000-0000-0000D0500000}"/>
    <cellStyle name="40% - Accent5 2 2 2 3 2 2 5" xfId="20642" xr:uid="{00000000-0005-0000-0000-0000D1500000}"/>
    <cellStyle name="40% - Accent5 2 2 2 3 2 3" xfId="20643" xr:uid="{00000000-0005-0000-0000-0000D2500000}"/>
    <cellStyle name="40% - Accent5 2 2 2 3 2 3 2" xfId="20644" xr:uid="{00000000-0005-0000-0000-0000D3500000}"/>
    <cellStyle name="40% - Accent5 2 2 2 3 2 3 2 2" xfId="20645" xr:uid="{00000000-0005-0000-0000-0000D4500000}"/>
    <cellStyle name="40% - Accent5 2 2 2 3 2 3 2 2 2" xfId="20646" xr:uid="{00000000-0005-0000-0000-0000D5500000}"/>
    <cellStyle name="40% - Accent5 2 2 2 3 2 3 2 3" xfId="20647" xr:uid="{00000000-0005-0000-0000-0000D6500000}"/>
    <cellStyle name="40% - Accent5 2 2 2 3 2 3 3" xfId="20648" xr:uid="{00000000-0005-0000-0000-0000D7500000}"/>
    <cellStyle name="40% - Accent5 2 2 2 3 2 3 3 2" xfId="20649" xr:uid="{00000000-0005-0000-0000-0000D8500000}"/>
    <cellStyle name="40% - Accent5 2 2 2 3 2 3 4" xfId="20650" xr:uid="{00000000-0005-0000-0000-0000D9500000}"/>
    <cellStyle name="40% - Accent5 2 2 2 3 2 4" xfId="20651" xr:uid="{00000000-0005-0000-0000-0000DA500000}"/>
    <cellStyle name="40% - Accent5 2 2 2 3 2 4 2" xfId="20652" xr:uid="{00000000-0005-0000-0000-0000DB500000}"/>
    <cellStyle name="40% - Accent5 2 2 2 3 2 4 2 2" xfId="20653" xr:uid="{00000000-0005-0000-0000-0000DC500000}"/>
    <cellStyle name="40% - Accent5 2 2 2 3 2 4 3" xfId="20654" xr:uid="{00000000-0005-0000-0000-0000DD500000}"/>
    <cellStyle name="40% - Accent5 2 2 2 3 2 5" xfId="20655" xr:uid="{00000000-0005-0000-0000-0000DE500000}"/>
    <cellStyle name="40% - Accent5 2 2 2 3 2 5 2" xfId="20656" xr:uid="{00000000-0005-0000-0000-0000DF500000}"/>
    <cellStyle name="40% - Accent5 2 2 2 3 2 6" xfId="20657" xr:uid="{00000000-0005-0000-0000-0000E0500000}"/>
    <cellStyle name="40% - Accent5 2 2 2 3 3" xfId="20658" xr:uid="{00000000-0005-0000-0000-0000E1500000}"/>
    <cellStyle name="40% - Accent5 2 2 2 3 3 2" xfId="20659" xr:uid="{00000000-0005-0000-0000-0000E2500000}"/>
    <cellStyle name="40% - Accent5 2 2 2 3 3 2 2" xfId="20660" xr:uid="{00000000-0005-0000-0000-0000E3500000}"/>
    <cellStyle name="40% - Accent5 2 2 2 3 3 2 2 2" xfId="20661" xr:uid="{00000000-0005-0000-0000-0000E4500000}"/>
    <cellStyle name="40% - Accent5 2 2 2 3 3 2 2 2 2" xfId="20662" xr:uid="{00000000-0005-0000-0000-0000E5500000}"/>
    <cellStyle name="40% - Accent5 2 2 2 3 3 2 2 3" xfId="20663" xr:uid="{00000000-0005-0000-0000-0000E6500000}"/>
    <cellStyle name="40% - Accent5 2 2 2 3 3 2 3" xfId="20664" xr:uid="{00000000-0005-0000-0000-0000E7500000}"/>
    <cellStyle name="40% - Accent5 2 2 2 3 3 2 3 2" xfId="20665" xr:uid="{00000000-0005-0000-0000-0000E8500000}"/>
    <cellStyle name="40% - Accent5 2 2 2 3 3 2 4" xfId="20666" xr:uid="{00000000-0005-0000-0000-0000E9500000}"/>
    <cellStyle name="40% - Accent5 2 2 2 3 3 3" xfId="20667" xr:uid="{00000000-0005-0000-0000-0000EA500000}"/>
    <cellStyle name="40% - Accent5 2 2 2 3 3 3 2" xfId="20668" xr:uid="{00000000-0005-0000-0000-0000EB500000}"/>
    <cellStyle name="40% - Accent5 2 2 2 3 3 3 2 2" xfId="20669" xr:uid="{00000000-0005-0000-0000-0000EC500000}"/>
    <cellStyle name="40% - Accent5 2 2 2 3 3 3 3" xfId="20670" xr:uid="{00000000-0005-0000-0000-0000ED500000}"/>
    <cellStyle name="40% - Accent5 2 2 2 3 3 4" xfId="20671" xr:uid="{00000000-0005-0000-0000-0000EE500000}"/>
    <cellStyle name="40% - Accent5 2 2 2 3 3 4 2" xfId="20672" xr:uid="{00000000-0005-0000-0000-0000EF500000}"/>
    <cellStyle name="40% - Accent5 2 2 2 3 3 5" xfId="20673" xr:uid="{00000000-0005-0000-0000-0000F0500000}"/>
    <cellStyle name="40% - Accent5 2 2 2 3 4" xfId="20674" xr:uid="{00000000-0005-0000-0000-0000F1500000}"/>
    <cellStyle name="40% - Accent5 2 2 2 3 4 2" xfId="20675" xr:uid="{00000000-0005-0000-0000-0000F2500000}"/>
    <cellStyle name="40% - Accent5 2 2 2 3 4 2 2" xfId="20676" xr:uid="{00000000-0005-0000-0000-0000F3500000}"/>
    <cellStyle name="40% - Accent5 2 2 2 3 4 2 2 2" xfId="20677" xr:uid="{00000000-0005-0000-0000-0000F4500000}"/>
    <cellStyle name="40% - Accent5 2 2 2 3 4 2 3" xfId="20678" xr:uid="{00000000-0005-0000-0000-0000F5500000}"/>
    <cellStyle name="40% - Accent5 2 2 2 3 4 3" xfId="20679" xr:uid="{00000000-0005-0000-0000-0000F6500000}"/>
    <cellStyle name="40% - Accent5 2 2 2 3 4 3 2" xfId="20680" xr:uid="{00000000-0005-0000-0000-0000F7500000}"/>
    <cellStyle name="40% - Accent5 2 2 2 3 4 4" xfId="20681" xr:uid="{00000000-0005-0000-0000-0000F8500000}"/>
    <cellStyle name="40% - Accent5 2 2 2 3 5" xfId="20682" xr:uid="{00000000-0005-0000-0000-0000F9500000}"/>
    <cellStyle name="40% - Accent5 2 2 2 3 5 2" xfId="20683" xr:uid="{00000000-0005-0000-0000-0000FA500000}"/>
    <cellStyle name="40% - Accent5 2 2 2 3 5 2 2" xfId="20684" xr:uid="{00000000-0005-0000-0000-0000FB500000}"/>
    <cellStyle name="40% - Accent5 2 2 2 3 5 3" xfId="20685" xr:uid="{00000000-0005-0000-0000-0000FC500000}"/>
    <cellStyle name="40% - Accent5 2 2 2 3 6" xfId="20686" xr:uid="{00000000-0005-0000-0000-0000FD500000}"/>
    <cellStyle name="40% - Accent5 2 2 2 3 6 2" xfId="20687" xr:uid="{00000000-0005-0000-0000-0000FE500000}"/>
    <cellStyle name="40% - Accent5 2 2 2 3 7" xfId="20688" xr:uid="{00000000-0005-0000-0000-0000FF500000}"/>
    <cellStyle name="40% - Accent5 2 2 2 4" xfId="20689" xr:uid="{00000000-0005-0000-0000-000000510000}"/>
    <cellStyle name="40% - Accent5 2 2 2 4 2" xfId="20690" xr:uid="{00000000-0005-0000-0000-000001510000}"/>
    <cellStyle name="40% - Accent5 2 2 2 4 2 2" xfId="20691" xr:uid="{00000000-0005-0000-0000-000002510000}"/>
    <cellStyle name="40% - Accent5 2 2 2 4 2 2 2" xfId="20692" xr:uid="{00000000-0005-0000-0000-000003510000}"/>
    <cellStyle name="40% - Accent5 2 2 2 4 2 2 2 2" xfId="20693" xr:uid="{00000000-0005-0000-0000-000004510000}"/>
    <cellStyle name="40% - Accent5 2 2 2 4 2 2 2 2 2" xfId="20694" xr:uid="{00000000-0005-0000-0000-000005510000}"/>
    <cellStyle name="40% - Accent5 2 2 2 4 2 2 2 3" xfId="20695" xr:uid="{00000000-0005-0000-0000-000006510000}"/>
    <cellStyle name="40% - Accent5 2 2 2 4 2 2 3" xfId="20696" xr:uid="{00000000-0005-0000-0000-000007510000}"/>
    <cellStyle name="40% - Accent5 2 2 2 4 2 2 3 2" xfId="20697" xr:uid="{00000000-0005-0000-0000-000008510000}"/>
    <cellStyle name="40% - Accent5 2 2 2 4 2 2 4" xfId="20698" xr:uid="{00000000-0005-0000-0000-000009510000}"/>
    <cellStyle name="40% - Accent5 2 2 2 4 2 3" xfId="20699" xr:uid="{00000000-0005-0000-0000-00000A510000}"/>
    <cellStyle name="40% - Accent5 2 2 2 4 2 3 2" xfId="20700" xr:uid="{00000000-0005-0000-0000-00000B510000}"/>
    <cellStyle name="40% - Accent5 2 2 2 4 2 3 2 2" xfId="20701" xr:uid="{00000000-0005-0000-0000-00000C510000}"/>
    <cellStyle name="40% - Accent5 2 2 2 4 2 3 3" xfId="20702" xr:uid="{00000000-0005-0000-0000-00000D510000}"/>
    <cellStyle name="40% - Accent5 2 2 2 4 2 4" xfId="20703" xr:uid="{00000000-0005-0000-0000-00000E510000}"/>
    <cellStyle name="40% - Accent5 2 2 2 4 2 4 2" xfId="20704" xr:uid="{00000000-0005-0000-0000-00000F510000}"/>
    <cellStyle name="40% - Accent5 2 2 2 4 2 5" xfId="20705" xr:uid="{00000000-0005-0000-0000-000010510000}"/>
    <cellStyle name="40% - Accent5 2 2 2 4 3" xfId="20706" xr:uid="{00000000-0005-0000-0000-000011510000}"/>
    <cellStyle name="40% - Accent5 2 2 2 4 3 2" xfId="20707" xr:uid="{00000000-0005-0000-0000-000012510000}"/>
    <cellStyle name="40% - Accent5 2 2 2 4 3 2 2" xfId="20708" xr:uid="{00000000-0005-0000-0000-000013510000}"/>
    <cellStyle name="40% - Accent5 2 2 2 4 3 2 2 2" xfId="20709" xr:uid="{00000000-0005-0000-0000-000014510000}"/>
    <cellStyle name="40% - Accent5 2 2 2 4 3 2 3" xfId="20710" xr:uid="{00000000-0005-0000-0000-000015510000}"/>
    <cellStyle name="40% - Accent5 2 2 2 4 3 3" xfId="20711" xr:uid="{00000000-0005-0000-0000-000016510000}"/>
    <cellStyle name="40% - Accent5 2 2 2 4 3 3 2" xfId="20712" xr:uid="{00000000-0005-0000-0000-000017510000}"/>
    <cellStyle name="40% - Accent5 2 2 2 4 3 4" xfId="20713" xr:uid="{00000000-0005-0000-0000-000018510000}"/>
    <cellStyle name="40% - Accent5 2 2 2 4 4" xfId="20714" xr:uid="{00000000-0005-0000-0000-000019510000}"/>
    <cellStyle name="40% - Accent5 2 2 2 4 4 2" xfId="20715" xr:uid="{00000000-0005-0000-0000-00001A510000}"/>
    <cellStyle name="40% - Accent5 2 2 2 4 4 2 2" xfId="20716" xr:uid="{00000000-0005-0000-0000-00001B510000}"/>
    <cellStyle name="40% - Accent5 2 2 2 4 4 3" xfId="20717" xr:uid="{00000000-0005-0000-0000-00001C510000}"/>
    <cellStyle name="40% - Accent5 2 2 2 4 5" xfId="20718" xr:uid="{00000000-0005-0000-0000-00001D510000}"/>
    <cellStyle name="40% - Accent5 2 2 2 4 5 2" xfId="20719" xr:uid="{00000000-0005-0000-0000-00001E510000}"/>
    <cellStyle name="40% - Accent5 2 2 2 4 6" xfId="20720" xr:uid="{00000000-0005-0000-0000-00001F510000}"/>
    <cellStyle name="40% - Accent5 2 2 2 5" xfId="20721" xr:uid="{00000000-0005-0000-0000-000020510000}"/>
    <cellStyle name="40% - Accent5 2 2 2 5 2" xfId="20722" xr:uid="{00000000-0005-0000-0000-000021510000}"/>
    <cellStyle name="40% - Accent5 2 2 2 5 2 2" xfId="20723" xr:uid="{00000000-0005-0000-0000-000022510000}"/>
    <cellStyle name="40% - Accent5 2 2 2 5 2 2 2" xfId="20724" xr:uid="{00000000-0005-0000-0000-000023510000}"/>
    <cellStyle name="40% - Accent5 2 2 2 5 2 2 2 2" xfId="20725" xr:uid="{00000000-0005-0000-0000-000024510000}"/>
    <cellStyle name="40% - Accent5 2 2 2 5 2 2 3" xfId="20726" xr:uid="{00000000-0005-0000-0000-000025510000}"/>
    <cellStyle name="40% - Accent5 2 2 2 5 2 3" xfId="20727" xr:uid="{00000000-0005-0000-0000-000026510000}"/>
    <cellStyle name="40% - Accent5 2 2 2 5 2 3 2" xfId="20728" xr:uid="{00000000-0005-0000-0000-000027510000}"/>
    <cellStyle name="40% - Accent5 2 2 2 5 2 4" xfId="20729" xr:uid="{00000000-0005-0000-0000-000028510000}"/>
    <cellStyle name="40% - Accent5 2 2 2 5 3" xfId="20730" xr:uid="{00000000-0005-0000-0000-000029510000}"/>
    <cellStyle name="40% - Accent5 2 2 2 5 3 2" xfId="20731" xr:uid="{00000000-0005-0000-0000-00002A510000}"/>
    <cellStyle name="40% - Accent5 2 2 2 5 3 2 2" xfId="20732" xr:uid="{00000000-0005-0000-0000-00002B510000}"/>
    <cellStyle name="40% - Accent5 2 2 2 5 3 3" xfId="20733" xr:uid="{00000000-0005-0000-0000-00002C510000}"/>
    <cellStyle name="40% - Accent5 2 2 2 5 4" xfId="20734" xr:uid="{00000000-0005-0000-0000-00002D510000}"/>
    <cellStyle name="40% - Accent5 2 2 2 5 4 2" xfId="20735" xr:uid="{00000000-0005-0000-0000-00002E510000}"/>
    <cellStyle name="40% - Accent5 2 2 2 5 5" xfId="20736" xr:uid="{00000000-0005-0000-0000-00002F510000}"/>
    <cellStyle name="40% - Accent5 2 2 2 6" xfId="20737" xr:uid="{00000000-0005-0000-0000-000030510000}"/>
    <cellStyle name="40% - Accent5 2 2 2 6 2" xfId="20738" xr:uid="{00000000-0005-0000-0000-000031510000}"/>
    <cellStyle name="40% - Accent5 2 2 2 6 2 2" xfId="20739" xr:uid="{00000000-0005-0000-0000-000032510000}"/>
    <cellStyle name="40% - Accent5 2 2 2 6 2 2 2" xfId="20740" xr:uid="{00000000-0005-0000-0000-000033510000}"/>
    <cellStyle name="40% - Accent5 2 2 2 6 2 3" xfId="20741" xr:uid="{00000000-0005-0000-0000-000034510000}"/>
    <cellStyle name="40% - Accent5 2 2 2 6 3" xfId="20742" xr:uid="{00000000-0005-0000-0000-000035510000}"/>
    <cellStyle name="40% - Accent5 2 2 2 6 3 2" xfId="20743" xr:uid="{00000000-0005-0000-0000-000036510000}"/>
    <cellStyle name="40% - Accent5 2 2 2 6 4" xfId="20744" xr:uid="{00000000-0005-0000-0000-000037510000}"/>
    <cellStyle name="40% - Accent5 2 2 2 7" xfId="20745" xr:uid="{00000000-0005-0000-0000-000038510000}"/>
    <cellStyle name="40% - Accent5 2 2 2 7 2" xfId="20746" xr:uid="{00000000-0005-0000-0000-000039510000}"/>
    <cellStyle name="40% - Accent5 2 2 2 7 2 2" xfId="20747" xr:uid="{00000000-0005-0000-0000-00003A510000}"/>
    <cellStyle name="40% - Accent5 2 2 2 7 3" xfId="20748" xr:uid="{00000000-0005-0000-0000-00003B510000}"/>
    <cellStyle name="40% - Accent5 2 2 2 8" xfId="20749" xr:uid="{00000000-0005-0000-0000-00003C510000}"/>
    <cellStyle name="40% - Accent5 2 2 2 8 2" xfId="20750" xr:uid="{00000000-0005-0000-0000-00003D510000}"/>
    <cellStyle name="40% - Accent5 2 2 2 9" xfId="20751" xr:uid="{00000000-0005-0000-0000-00003E510000}"/>
    <cellStyle name="40% - Accent5 2 2 3" xfId="20752" xr:uid="{00000000-0005-0000-0000-00003F510000}"/>
    <cellStyle name="40% - Accent5 2 2 3 2" xfId="20753" xr:uid="{00000000-0005-0000-0000-000040510000}"/>
    <cellStyle name="40% - Accent5 2 2 3 2 2" xfId="20754" xr:uid="{00000000-0005-0000-0000-000041510000}"/>
    <cellStyle name="40% - Accent5 2 2 3 2 2 2" xfId="20755" xr:uid="{00000000-0005-0000-0000-000042510000}"/>
    <cellStyle name="40% - Accent5 2 2 3 2 2 2 2" xfId="20756" xr:uid="{00000000-0005-0000-0000-000043510000}"/>
    <cellStyle name="40% - Accent5 2 2 3 2 2 2 2 2" xfId="20757" xr:uid="{00000000-0005-0000-0000-000044510000}"/>
    <cellStyle name="40% - Accent5 2 2 3 2 2 2 2 2 2" xfId="20758" xr:uid="{00000000-0005-0000-0000-000045510000}"/>
    <cellStyle name="40% - Accent5 2 2 3 2 2 2 2 2 2 2" xfId="20759" xr:uid="{00000000-0005-0000-0000-000046510000}"/>
    <cellStyle name="40% - Accent5 2 2 3 2 2 2 2 2 3" xfId="20760" xr:uid="{00000000-0005-0000-0000-000047510000}"/>
    <cellStyle name="40% - Accent5 2 2 3 2 2 2 2 3" xfId="20761" xr:uid="{00000000-0005-0000-0000-000048510000}"/>
    <cellStyle name="40% - Accent5 2 2 3 2 2 2 2 3 2" xfId="20762" xr:uid="{00000000-0005-0000-0000-000049510000}"/>
    <cellStyle name="40% - Accent5 2 2 3 2 2 2 2 4" xfId="20763" xr:uid="{00000000-0005-0000-0000-00004A510000}"/>
    <cellStyle name="40% - Accent5 2 2 3 2 2 2 3" xfId="20764" xr:uid="{00000000-0005-0000-0000-00004B510000}"/>
    <cellStyle name="40% - Accent5 2 2 3 2 2 2 3 2" xfId="20765" xr:uid="{00000000-0005-0000-0000-00004C510000}"/>
    <cellStyle name="40% - Accent5 2 2 3 2 2 2 3 2 2" xfId="20766" xr:uid="{00000000-0005-0000-0000-00004D510000}"/>
    <cellStyle name="40% - Accent5 2 2 3 2 2 2 3 3" xfId="20767" xr:uid="{00000000-0005-0000-0000-00004E510000}"/>
    <cellStyle name="40% - Accent5 2 2 3 2 2 2 4" xfId="20768" xr:uid="{00000000-0005-0000-0000-00004F510000}"/>
    <cellStyle name="40% - Accent5 2 2 3 2 2 2 4 2" xfId="20769" xr:uid="{00000000-0005-0000-0000-000050510000}"/>
    <cellStyle name="40% - Accent5 2 2 3 2 2 2 5" xfId="20770" xr:uid="{00000000-0005-0000-0000-000051510000}"/>
    <cellStyle name="40% - Accent5 2 2 3 2 2 3" xfId="20771" xr:uid="{00000000-0005-0000-0000-000052510000}"/>
    <cellStyle name="40% - Accent5 2 2 3 2 2 3 2" xfId="20772" xr:uid="{00000000-0005-0000-0000-000053510000}"/>
    <cellStyle name="40% - Accent5 2 2 3 2 2 3 2 2" xfId="20773" xr:uid="{00000000-0005-0000-0000-000054510000}"/>
    <cellStyle name="40% - Accent5 2 2 3 2 2 3 2 2 2" xfId="20774" xr:uid="{00000000-0005-0000-0000-000055510000}"/>
    <cellStyle name="40% - Accent5 2 2 3 2 2 3 2 3" xfId="20775" xr:uid="{00000000-0005-0000-0000-000056510000}"/>
    <cellStyle name="40% - Accent5 2 2 3 2 2 3 3" xfId="20776" xr:uid="{00000000-0005-0000-0000-000057510000}"/>
    <cellStyle name="40% - Accent5 2 2 3 2 2 3 3 2" xfId="20777" xr:uid="{00000000-0005-0000-0000-000058510000}"/>
    <cellStyle name="40% - Accent5 2 2 3 2 2 3 4" xfId="20778" xr:uid="{00000000-0005-0000-0000-000059510000}"/>
    <cellStyle name="40% - Accent5 2 2 3 2 2 4" xfId="20779" xr:uid="{00000000-0005-0000-0000-00005A510000}"/>
    <cellStyle name="40% - Accent5 2 2 3 2 2 4 2" xfId="20780" xr:uid="{00000000-0005-0000-0000-00005B510000}"/>
    <cellStyle name="40% - Accent5 2 2 3 2 2 4 2 2" xfId="20781" xr:uid="{00000000-0005-0000-0000-00005C510000}"/>
    <cellStyle name="40% - Accent5 2 2 3 2 2 4 3" xfId="20782" xr:uid="{00000000-0005-0000-0000-00005D510000}"/>
    <cellStyle name="40% - Accent5 2 2 3 2 2 5" xfId="20783" xr:uid="{00000000-0005-0000-0000-00005E510000}"/>
    <cellStyle name="40% - Accent5 2 2 3 2 2 5 2" xfId="20784" xr:uid="{00000000-0005-0000-0000-00005F510000}"/>
    <cellStyle name="40% - Accent5 2 2 3 2 2 6" xfId="20785" xr:uid="{00000000-0005-0000-0000-000060510000}"/>
    <cellStyle name="40% - Accent5 2 2 3 2 3" xfId="20786" xr:uid="{00000000-0005-0000-0000-000061510000}"/>
    <cellStyle name="40% - Accent5 2 2 3 2 3 2" xfId="20787" xr:uid="{00000000-0005-0000-0000-000062510000}"/>
    <cellStyle name="40% - Accent5 2 2 3 2 3 2 2" xfId="20788" xr:uid="{00000000-0005-0000-0000-000063510000}"/>
    <cellStyle name="40% - Accent5 2 2 3 2 3 2 2 2" xfId="20789" xr:uid="{00000000-0005-0000-0000-000064510000}"/>
    <cellStyle name="40% - Accent5 2 2 3 2 3 2 2 2 2" xfId="20790" xr:uid="{00000000-0005-0000-0000-000065510000}"/>
    <cellStyle name="40% - Accent5 2 2 3 2 3 2 2 3" xfId="20791" xr:uid="{00000000-0005-0000-0000-000066510000}"/>
    <cellStyle name="40% - Accent5 2 2 3 2 3 2 3" xfId="20792" xr:uid="{00000000-0005-0000-0000-000067510000}"/>
    <cellStyle name="40% - Accent5 2 2 3 2 3 2 3 2" xfId="20793" xr:uid="{00000000-0005-0000-0000-000068510000}"/>
    <cellStyle name="40% - Accent5 2 2 3 2 3 2 4" xfId="20794" xr:uid="{00000000-0005-0000-0000-000069510000}"/>
    <cellStyle name="40% - Accent5 2 2 3 2 3 3" xfId="20795" xr:uid="{00000000-0005-0000-0000-00006A510000}"/>
    <cellStyle name="40% - Accent5 2 2 3 2 3 3 2" xfId="20796" xr:uid="{00000000-0005-0000-0000-00006B510000}"/>
    <cellStyle name="40% - Accent5 2 2 3 2 3 3 2 2" xfId="20797" xr:uid="{00000000-0005-0000-0000-00006C510000}"/>
    <cellStyle name="40% - Accent5 2 2 3 2 3 3 3" xfId="20798" xr:uid="{00000000-0005-0000-0000-00006D510000}"/>
    <cellStyle name="40% - Accent5 2 2 3 2 3 4" xfId="20799" xr:uid="{00000000-0005-0000-0000-00006E510000}"/>
    <cellStyle name="40% - Accent5 2 2 3 2 3 4 2" xfId="20800" xr:uid="{00000000-0005-0000-0000-00006F510000}"/>
    <cellStyle name="40% - Accent5 2 2 3 2 3 5" xfId="20801" xr:uid="{00000000-0005-0000-0000-000070510000}"/>
    <cellStyle name="40% - Accent5 2 2 3 2 4" xfId="20802" xr:uid="{00000000-0005-0000-0000-000071510000}"/>
    <cellStyle name="40% - Accent5 2 2 3 2 4 2" xfId="20803" xr:uid="{00000000-0005-0000-0000-000072510000}"/>
    <cellStyle name="40% - Accent5 2 2 3 2 4 2 2" xfId="20804" xr:uid="{00000000-0005-0000-0000-000073510000}"/>
    <cellStyle name="40% - Accent5 2 2 3 2 4 2 2 2" xfId="20805" xr:uid="{00000000-0005-0000-0000-000074510000}"/>
    <cellStyle name="40% - Accent5 2 2 3 2 4 2 3" xfId="20806" xr:uid="{00000000-0005-0000-0000-000075510000}"/>
    <cellStyle name="40% - Accent5 2 2 3 2 4 3" xfId="20807" xr:uid="{00000000-0005-0000-0000-000076510000}"/>
    <cellStyle name="40% - Accent5 2 2 3 2 4 3 2" xfId="20808" xr:uid="{00000000-0005-0000-0000-000077510000}"/>
    <cellStyle name="40% - Accent5 2 2 3 2 4 4" xfId="20809" xr:uid="{00000000-0005-0000-0000-000078510000}"/>
    <cellStyle name="40% - Accent5 2 2 3 2 5" xfId="20810" xr:uid="{00000000-0005-0000-0000-000079510000}"/>
    <cellStyle name="40% - Accent5 2 2 3 2 5 2" xfId="20811" xr:uid="{00000000-0005-0000-0000-00007A510000}"/>
    <cellStyle name="40% - Accent5 2 2 3 2 5 2 2" xfId="20812" xr:uid="{00000000-0005-0000-0000-00007B510000}"/>
    <cellStyle name="40% - Accent5 2 2 3 2 5 3" xfId="20813" xr:uid="{00000000-0005-0000-0000-00007C510000}"/>
    <cellStyle name="40% - Accent5 2 2 3 2 6" xfId="20814" xr:uid="{00000000-0005-0000-0000-00007D510000}"/>
    <cellStyle name="40% - Accent5 2 2 3 2 6 2" xfId="20815" xr:uid="{00000000-0005-0000-0000-00007E510000}"/>
    <cellStyle name="40% - Accent5 2 2 3 2 7" xfId="20816" xr:uid="{00000000-0005-0000-0000-00007F510000}"/>
    <cellStyle name="40% - Accent5 2 2 3 3" xfId="20817" xr:uid="{00000000-0005-0000-0000-000080510000}"/>
    <cellStyle name="40% - Accent5 2 2 3 3 2" xfId="20818" xr:uid="{00000000-0005-0000-0000-000081510000}"/>
    <cellStyle name="40% - Accent5 2 2 3 3 2 2" xfId="20819" xr:uid="{00000000-0005-0000-0000-000082510000}"/>
    <cellStyle name="40% - Accent5 2 2 3 3 2 2 2" xfId="20820" xr:uid="{00000000-0005-0000-0000-000083510000}"/>
    <cellStyle name="40% - Accent5 2 2 3 3 2 2 2 2" xfId="20821" xr:uid="{00000000-0005-0000-0000-000084510000}"/>
    <cellStyle name="40% - Accent5 2 2 3 3 2 2 2 2 2" xfId="20822" xr:uid="{00000000-0005-0000-0000-000085510000}"/>
    <cellStyle name="40% - Accent5 2 2 3 3 2 2 2 3" xfId="20823" xr:uid="{00000000-0005-0000-0000-000086510000}"/>
    <cellStyle name="40% - Accent5 2 2 3 3 2 2 3" xfId="20824" xr:uid="{00000000-0005-0000-0000-000087510000}"/>
    <cellStyle name="40% - Accent5 2 2 3 3 2 2 3 2" xfId="20825" xr:uid="{00000000-0005-0000-0000-000088510000}"/>
    <cellStyle name="40% - Accent5 2 2 3 3 2 2 4" xfId="20826" xr:uid="{00000000-0005-0000-0000-000089510000}"/>
    <cellStyle name="40% - Accent5 2 2 3 3 2 3" xfId="20827" xr:uid="{00000000-0005-0000-0000-00008A510000}"/>
    <cellStyle name="40% - Accent5 2 2 3 3 2 3 2" xfId="20828" xr:uid="{00000000-0005-0000-0000-00008B510000}"/>
    <cellStyle name="40% - Accent5 2 2 3 3 2 3 2 2" xfId="20829" xr:uid="{00000000-0005-0000-0000-00008C510000}"/>
    <cellStyle name="40% - Accent5 2 2 3 3 2 3 3" xfId="20830" xr:uid="{00000000-0005-0000-0000-00008D510000}"/>
    <cellStyle name="40% - Accent5 2 2 3 3 2 4" xfId="20831" xr:uid="{00000000-0005-0000-0000-00008E510000}"/>
    <cellStyle name="40% - Accent5 2 2 3 3 2 4 2" xfId="20832" xr:uid="{00000000-0005-0000-0000-00008F510000}"/>
    <cellStyle name="40% - Accent5 2 2 3 3 2 5" xfId="20833" xr:uid="{00000000-0005-0000-0000-000090510000}"/>
    <cellStyle name="40% - Accent5 2 2 3 3 3" xfId="20834" xr:uid="{00000000-0005-0000-0000-000091510000}"/>
    <cellStyle name="40% - Accent5 2 2 3 3 3 2" xfId="20835" xr:uid="{00000000-0005-0000-0000-000092510000}"/>
    <cellStyle name="40% - Accent5 2 2 3 3 3 2 2" xfId="20836" xr:uid="{00000000-0005-0000-0000-000093510000}"/>
    <cellStyle name="40% - Accent5 2 2 3 3 3 2 2 2" xfId="20837" xr:uid="{00000000-0005-0000-0000-000094510000}"/>
    <cellStyle name="40% - Accent5 2 2 3 3 3 2 3" xfId="20838" xr:uid="{00000000-0005-0000-0000-000095510000}"/>
    <cellStyle name="40% - Accent5 2 2 3 3 3 3" xfId="20839" xr:uid="{00000000-0005-0000-0000-000096510000}"/>
    <cellStyle name="40% - Accent5 2 2 3 3 3 3 2" xfId="20840" xr:uid="{00000000-0005-0000-0000-000097510000}"/>
    <cellStyle name="40% - Accent5 2 2 3 3 3 4" xfId="20841" xr:uid="{00000000-0005-0000-0000-000098510000}"/>
    <cellStyle name="40% - Accent5 2 2 3 3 4" xfId="20842" xr:uid="{00000000-0005-0000-0000-000099510000}"/>
    <cellStyle name="40% - Accent5 2 2 3 3 4 2" xfId="20843" xr:uid="{00000000-0005-0000-0000-00009A510000}"/>
    <cellStyle name="40% - Accent5 2 2 3 3 4 2 2" xfId="20844" xr:uid="{00000000-0005-0000-0000-00009B510000}"/>
    <cellStyle name="40% - Accent5 2 2 3 3 4 3" xfId="20845" xr:uid="{00000000-0005-0000-0000-00009C510000}"/>
    <cellStyle name="40% - Accent5 2 2 3 3 5" xfId="20846" xr:uid="{00000000-0005-0000-0000-00009D510000}"/>
    <cellStyle name="40% - Accent5 2 2 3 3 5 2" xfId="20847" xr:uid="{00000000-0005-0000-0000-00009E510000}"/>
    <cellStyle name="40% - Accent5 2 2 3 3 6" xfId="20848" xr:uid="{00000000-0005-0000-0000-00009F510000}"/>
    <cellStyle name="40% - Accent5 2 2 3 4" xfId="20849" xr:uid="{00000000-0005-0000-0000-0000A0510000}"/>
    <cellStyle name="40% - Accent5 2 2 3 4 2" xfId="20850" xr:uid="{00000000-0005-0000-0000-0000A1510000}"/>
    <cellStyle name="40% - Accent5 2 2 3 4 2 2" xfId="20851" xr:uid="{00000000-0005-0000-0000-0000A2510000}"/>
    <cellStyle name="40% - Accent5 2 2 3 4 2 2 2" xfId="20852" xr:uid="{00000000-0005-0000-0000-0000A3510000}"/>
    <cellStyle name="40% - Accent5 2 2 3 4 2 2 2 2" xfId="20853" xr:uid="{00000000-0005-0000-0000-0000A4510000}"/>
    <cellStyle name="40% - Accent5 2 2 3 4 2 2 3" xfId="20854" xr:uid="{00000000-0005-0000-0000-0000A5510000}"/>
    <cellStyle name="40% - Accent5 2 2 3 4 2 3" xfId="20855" xr:uid="{00000000-0005-0000-0000-0000A6510000}"/>
    <cellStyle name="40% - Accent5 2 2 3 4 2 3 2" xfId="20856" xr:uid="{00000000-0005-0000-0000-0000A7510000}"/>
    <cellStyle name="40% - Accent5 2 2 3 4 2 4" xfId="20857" xr:uid="{00000000-0005-0000-0000-0000A8510000}"/>
    <cellStyle name="40% - Accent5 2 2 3 4 3" xfId="20858" xr:uid="{00000000-0005-0000-0000-0000A9510000}"/>
    <cellStyle name="40% - Accent5 2 2 3 4 3 2" xfId="20859" xr:uid="{00000000-0005-0000-0000-0000AA510000}"/>
    <cellStyle name="40% - Accent5 2 2 3 4 3 2 2" xfId="20860" xr:uid="{00000000-0005-0000-0000-0000AB510000}"/>
    <cellStyle name="40% - Accent5 2 2 3 4 3 3" xfId="20861" xr:uid="{00000000-0005-0000-0000-0000AC510000}"/>
    <cellStyle name="40% - Accent5 2 2 3 4 4" xfId="20862" xr:uid="{00000000-0005-0000-0000-0000AD510000}"/>
    <cellStyle name="40% - Accent5 2 2 3 4 4 2" xfId="20863" xr:uid="{00000000-0005-0000-0000-0000AE510000}"/>
    <cellStyle name="40% - Accent5 2 2 3 4 5" xfId="20864" xr:uid="{00000000-0005-0000-0000-0000AF510000}"/>
    <cellStyle name="40% - Accent5 2 2 3 5" xfId="20865" xr:uid="{00000000-0005-0000-0000-0000B0510000}"/>
    <cellStyle name="40% - Accent5 2 2 3 5 2" xfId="20866" xr:uid="{00000000-0005-0000-0000-0000B1510000}"/>
    <cellStyle name="40% - Accent5 2 2 3 5 2 2" xfId="20867" xr:uid="{00000000-0005-0000-0000-0000B2510000}"/>
    <cellStyle name="40% - Accent5 2 2 3 5 2 2 2" xfId="20868" xr:uid="{00000000-0005-0000-0000-0000B3510000}"/>
    <cellStyle name="40% - Accent5 2 2 3 5 2 3" xfId="20869" xr:uid="{00000000-0005-0000-0000-0000B4510000}"/>
    <cellStyle name="40% - Accent5 2 2 3 5 3" xfId="20870" xr:uid="{00000000-0005-0000-0000-0000B5510000}"/>
    <cellStyle name="40% - Accent5 2 2 3 5 3 2" xfId="20871" xr:uid="{00000000-0005-0000-0000-0000B6510000}"/>
    <cellStyle name="40% - Accent5 2 2 3 5 4" xfId="20872" xr:uid="{00000000-0005-0000-0000-0000B7510000}"/>
    <cellStyle name="40% - Accent5 2 2 3 6" xfId="20873" xr:uid="{00000000-0005-0000-0000-0000B8510000}"/>
    <cellStyle name="40% - Accent5 2 2 3 6 2" xfId="20874" xr:uid="{00000000-0005-0000-0000-0000B9510000}"/>
    <cellStyle name="40% - Accent5 2 2 3 6 2 2" xfId="20875" xr:uid="{00000000-0005-0000-0000-0000BA510000}"/>
    <cellStyle name="40% - Accent5 2 2 3 6 3" xfId="20876" xr:uid="{00000000-0005-0000-0000-0000BB510000}"/>
    <cellStyle name="40% - Accent5 2 2 3 7" xfId="20877" xr:uid="{00000000-0005-0000-0000-0000BC510000}"/>
    <cellStyle name="40% - Accent5 2 2 3 7 2" xfId="20878" xr:uid="{00000000-0005-0000-0000-0000BD510000}"/>
    <cellStyle name="40% - Accent5 2 2 3 8" xfId="20879" xr:uid="{00000000-0005-0000-0000-0000BE510000}"/>
    <cellStyle name="40% - Accent5 2 2 4" xfId="20880" xr:uid="{00000000-0005-0000-0000-0000BF510000}"/>
    <cellStyle name="40% - Accent5 2 2 4 2" xfId="20881" xr:uid="{00000000-0005-0000-0000-0000C0510000}"/>
    <cellStyle name="40% - Accent5 2 2 4 2 2" xfId="20882" xr:uid="{00000000-0005-0000-0000-0000C1510000}"/>
    <cellStyle name="40% - Accent5 2 2 4 2 2 2" xfId="20883" xr:uid="{00000000-0005-0000-0000-0000C2510000}"/>
    <cellStyle name="40% - Accent5 2 2 4 2 2 2 2" xfId="20884" xr:uid="{00000000-0005-0000-0000-0000C3510000}"/>
    <cellStyle name="40% - Accent5 2 2 4 2 2 2 2 2" xfId="20885" xr:uid="{00000000-0005-0000-0000-0000C4510000}"/>
    <cellStyle name="40% - Accent5 2 2 4 2 2 2 2 2 2" xfId="20886" xr:uid="{00000000-0005-0000-0000-0000C5510000}"/>
    <cellStyle name="40% - Accent5 2 2 4 2 2 2 2 3" xfId="20887" xr:uid="{00000000-0005-0000-0000-0000C6510000}"/>
    <cellStyle name="40% - Accent5 2 2 4 2 2 2 3" xfId="20888" xr:uid="{00000000-0005-0000-0000-0000C7510000}"/>
    <cellStyle name="40% - Accent5 2 2 4 2 2 2 3 2" xfId="20889" xr:uid="{00000000-0005-0000-0000-0000C8510000}"/>
    <cellStyle name="40% - Accent5 2 2 4 2 2 2 4" xfId="20890" xr:uid="{00000000-0005-0000-0000-0000C9510000}"/>
    <cellStyle name="40% - Accent5 2 2 4 2 2 3" xfId="20891" xr:uid="{00000000-0005-0000-0000-0000CA510000}"/>
    <cellStyle name="40% - Accent5 2 2 4 2 2 3 2" xfId="20892" xr:uid="{00000000-0005-0000-0000-0000CB510000}"/>
    <cellStyle name="40% - Accent5 2 2 4 2 2 3 2 2" xfId="20893" xr:uid="{00000000-0005-0000-0000-0000CC510000}"/>
    <cellStyle name="40% - Accent5 2 2 4 2 2 3 3" xfId="20894" xr:uid="{00000000-0005-0000-0000-0000CD510000}"/>
    <cellStyle name="40% - Accent5 2 2 4 2 2 4" xfId="20895" xr:uid="{00000000-0005-0000-0000-0000CE510000}"/>
    <cellStyle name="40% - Accent5 2 2 4 2 2 4 2" xfId="20896" xr:uid="{00000000-0005-0000-0000-0000CF510000}"/>
    <cellStyle name="40% - Accent5 2 2 4 2 2 5" xfId="20897" xr:uid="{00000000-0005-0000-0000-0000D0510000}"/>
    <cellStyle name="40% - Accent5 2 2 4 2 3" xfId="20898" xr:uid="{00000000-0005-0000-0000-0000D1510000}"/>
    <cellStyle name="40% - Accent5 2 2 4 2 3 2" xfId="20899" xr:uid="{00000000-0005-0000-0000-0000D2510000}"/>
    <cellStyle name="40% - Accent5 2 2 4 2 3 2 2" xfId="20900" xr:uid="{00000000-0005-0000-0000-0000D3510000}"/>
    <cellStyle name="40% - Accent5 2 2 4 2 3 2 2 2" xfId="20901" xr:uid="{00000000-0005-0000-0000-0000D4510000}"/>
    <cellStyle name="40% - Accent5 2 2 4 2 3 2 3" xfId="20902" xr:uid="{00000000-0005-0000-0000-0000D5510000}"/>
    <cellStyle name="40% - Accent5 2 2 4 2 3 3" xfId="20903" xr:uid="{00000000-0005-0000-0000-0000D6510000}"/>
    <cellStyle name="40% - Accent5 2 2 4 2 3 3 2" xfId="20904" xr:uid="{00000000-0005-0000-0000-0000D7510000}"/>
    <cellStyle name="40% - Accent5 2 2 4 2 3 4" xfId="20905" xr:uid="{00000000-0005-0000-0000-0000D8510000}"/>
    <cellStyle name="40% - Accent5 2 2 4 2 4" xfId="20906" xr:uid="{00000000-0005-0000-0000-0000D9510000}"/>
    <cellStyle name="40% - Accent5 2 2 4 2 4 2" xfId="20907" xr:uid="{00000000-0005-0000-0000-0000DA510000}"/>
    <cellStyle name="40% - Accent5 2 2 4 2 4 2 2" xfId="20908" xr:uid="{00000000-0005-0000-0000-0000DB510000}"/>
    <cellStyle name="40% - Accent5 2 2 4 2 4 3" xfId="20909" xr:uid="{00000000-0005-0000-0000-0000DC510000}"/>
    <cellStyle name="40% - Accent5 2 2 4 2 5" xfId="20910" xr:uid="{00000000-0005-0000-0000-0000DD510000}"/>
    <cellStyle name="40% - Accent5 2 2 4 2 5 2" xfId="20911" xr:uid="{00000000-0005-0000-0000-0000DE510000}"/>
    <cellStyle name="40% - Accent5 2 2 4 2 6" xfId="20912" xr:uid="{00000000-0005-0000-0000-0000DF510000}"/>
    <cellStyle name="40% - Accent5 2 2 4 3" xfId="20913" xr:uid="{00000000-0005-0000-0000-0000E0510000}"/>
    <cellStyle name="40% - Accent5 2 2 4 3 2" xfId="20914" xr:uid="{00000000-0005-0000-0000-0000E1510000}"/>
    <cellStyle name="40% - Accent5 2 2 4 3 2 2" xfId="20915" xr:uid="{00000000-0005-0000-0000-0000E2510000}"/>
    <cellStyle name="40% - Accent5 2 2 4 3 2 2 2" xfId="20916" xr:uid="{00000000-0005-0000-0000-0000E3510000}"/>
    <cellStyle name="40% - Accent5 2 2 4 3 2 2 2 2" xfId="20917" xr:uid="{00000000-0005-0000-0000-0000E4510000}"/>
    <cellStyle name="40% - Accent5 2 2 4 3 2 2 3" xfId="20918" xr:uid="{00000000-0005-0000-0000-0000E5510000}"/>
    <cellStyle name="40% - Accent5 2 2 4 3 2 3" xfId="20919" xr:uid="{00000000-0005-0000-0000-0000E6510000}"/>
    <cellStyle name="40% - Accent5 2 2 4 3 2 3 2" xfId="20920" xr:uid="{00000000-0005-0000-0000-0000E7510000}"/>
    <cellStyle name="40% - Accent5 2 2 4 3 2 4" xfId="20921" xr:uid="{00000000-0005-0000-0000-0000E8510000}"/>
    <cellStyle name="40% - Accent5 2 2 4 3 3" xfId="20922" xr:uid="{00000000-0005-0000-0000-0000E9510000}"/>
    <cellStyle name="40% - Accent5 2 2 4 3 3 2" xfId="20923" xr:uid="{00000000-0005-0000-0000-0000EA510000}"/>
    <cellStyle name="40% - Accent5 2 2 4 3 3 2 2" xfId="20924" xr:uid="{00000000-0005-0000-0000-0000EB510000}"/>
    <cellStyle name="40% - Accent5 2 2 4 3 3 3" xfId="20925" xr:uid="{00000000-0005-0000-0000-0000EC510000}"/>
    <cellStyle name="40% - Accent5 2 2 4 3 4" xfId="20926" xr:uid="{00000000-0005-0000-0000-0000ED510000}"/>
    <cellStyle name="40% - Accent5 2 2 4 3 4 2" xfId="20927" xr:uid="{00000000-0005-0000-0000-0000EE510000}"/>
    <cellStyle name="40% - Accent5 2 2 4 3 5" xfId="20928" xr:uid="{00000000-0005-0000-0000-0000EF510000}"/>
    <cellStyle name="40% - Accent5 2 2 4 4" xfId="20929" xr:uid="{00000000-0005-0000-0000-0000F0510000}"/>
    <cellStyle name="40% - Accent5 2 2 4 4 2" xfId="20930" xr:uid="{00000000-0005-0000-0000-0000F1510000}"/>
    <cellStyle name="40% - Accent5 2 2 4 4 2 2" xfId="20931" xr:uid="{00000000-0005-0000-0000-0000F2510000}"/>
    <cellStyle name="40% - Accent5 2 2 4 4 2 2 2" xfId="20932" xr:uid="{00000000-0005-0000-0000-0000F3510000}"/>
    <cellStyle name="40% - Accent5 2 2 4 4 2 3" xfId="20933" xr:uid="{00000000-0005-0000-0000-0000F4510000}"/>
    <cellStyle name="40% - Accent5 2 2 4 4 3" xfId="20934" xr:uid="{00000000-0005-0000-0000-0000F5510000}"/>
    <cellStyle name="40% - Accent5 2 2 4 4 3 2" xfId="20935" xr:uid="{00000000-0005-0000-0000-0000F6510000}"/>
    <cellStyle name="40% - Accent5 2 2 4 4 4" xfId="20936" xr:uid="{00000000-0005-0000-0000-0000F7510000}"/>
    <cellStyle name="40% - Accent5 2 2 4 5" xfId="20937" xr:uid="{00000000-0005-0000-0000-0000F8510000}"/>
    <cellStyle name="40% - Accent5 2 2 4 5 2" xfId="20938" xr:uid="{00000000-0005-0000-0000-0000F9510000}"/>
    <cellStyle name="40% - Accent5 2 2 4 5 2 2" xfId="20939" xr:uid="{00000000-0005-0000-0000-0000FA510000}"/>
    <cellStyle name="40% - Accent5 2 2 4 5 3" xfId="20940" xr:uid="{00000000-0005-0000-0000-0000FB510000}"/>
    <cellStyle name="40% - Accent5 2 2 4 6" xfId="20941" xr:uid="{00000000-0005-0000-0000-0000FC510000}"/>
    <cellStyle name="40% - Accent5 2 2 4 6 2" xfId="20942" xr:uid="{00000000-0005-0000-0000-0000FD510000}"/>
    <cellStyle name="40% - Accent5 2 2 4 7" xfId="20943" xr:uid="{00000000-0005-0000-0000-0000FE510000}"/>
    <cellStyle name="40% - Accent5 2 2 5" xfId="20944" xr:uid="{00000000-0005-0000-0000-0000FF510000}"/>
    <cellStyle name="40% - Accent5 2 2 5 2" xfId="20945" xr:uid="{00000000-0005-0000-0000-000000520000}"/>
    <cellStyle name="40% - Accent5 2 2 5 2 2" xfId="20946" xr:uid="{00000000-0005-0000-0000-000001520000}"/>
    <cellStyle name="40% - Accent5 2 2 5 2 2 2" xfId="20947" xr:uid="{00000000-0005-0000-0000-000002520000}"/>
    <cellStyle name="40% - Accent5 2 2 5 2 2 2 2" xfId="20948" xr:uid="{00000000-0005-0000-0000-000003520000}"/>
    <cellStyle name="40% - Accent5 2 2 5 2 2 2 2 2" xfId="20949" xr:uid="{00000000-0005-0000-0000-000004520000}"/>
    <cellStyle name="40% - Accent5 2 2 5 2 2 2 3" xfId="20950" xr:uid="{00000000-0005-0000-0000-000005520000}"/>
    <cellStyle name="40% - Accent5 2 2 5 2 2 3" xfId="20951" xr:uid="{00000000-0005-0000-0000-000006520000}"/>
    <cellStyle name="40% - Accent5 2 2 5 2 2 3 2" xfId="20952" xr:uid="{00000000-0005-0000-0000-000007520000}"/>
    <cellStyle name="40% - Accent5 2 2 5 2 2 4" xfId="20953" xr:uid="{00000000-0005-0000-0000-000008520000}"/>
    <cellStyle name="40% - Accent5 2 2 5 2 3" xfId="20954" xr:uid="{00000000-0005-0000-0000-000009520000}"/>
    <cellStyle name="40% - Accent5 2 2 5 2 3 2" xfId="20955" xr:uid="{00000000-0005-0000-0000-00000A520000}"/>
    <cellStyle name="40% - Accent5 2 2 5 2 3 2 2" xfId="20956" xr:uid="{00000000-0005-0000-0000-00000B520000}"/>
    <cellStyle name="40% - Accent5 2 2 5 2 3 3" xfId="20957" xr:uid="{00000000-0005-0000-0000-00000C520000}"/>
    <cellStyle name="40% - Accent5 2 2 5 2 4" xfId="20958" xr:uid="{00000000-0005-0000-0000-00000D520000}"/>
    <cellStyle name="40% - Accent5 2 2 5 2 4 2" xfId="20959" xr:uid="{00000000-0005-0000-0000-00000E520000}"/>
    <cellStyle name="40% - Accent5 2 2 5 2 5" xfId="20960" xr:uid="{00000000-0005-0000-0000-00000F520000}"/>
    <cellStyle name="40% - Accent5 2 2 5 3" xfId="20961" xr:uid="{00000000-0005-0000-0000-000010520000}"/>
    <cellStyle name="40% - Accent5 2 2 5 3 2" xfId="20962" xr:uid="{00000000-0005-0000-0000-000011520000}"/>
    <cellStyle name="40% - Accent5 2 2 5 3 2 2" xfId="20963" xr:uid="{00000000-0005-0000-0000-000012520000}"/>
    <cellStyle name="40% - Accent5 2 2 5 3 2 2 2" xfId="20964" xr:uid="{00000000-0005-0000-0000-000013520000}"/>
    <cellStyle name="40% - Accent5 2 2 5 3 2 3" xfId="20965" xr:uid="{00000000-0005-0000-0000-000014520000}"/>
    <cellStyle name="40% - Accent5 2 2 5 3 3" xfId="20966" xr:uid="{00000000-0005-0000-0000-000015520000}"/>
    <cellStyle name="40% - Accent5 2 2 5 3 3 2" xfId="20967" xr:uid="{00000000-0005-0000-0000-000016520000}"/>
    <cellStyle name="40% - Accent5 2 2 5 3 4" xfId="20968" xr:uid="{00000000-0005-0000-0000-000017520000}"/>
    <cellStyle name="40% - Accent5 2 2 5 4" xfId="20969" xr:uid="{00000000-0005-0000-0000-000018520000}"/>
    <cellStyle name="40% - Accent5 2 2 5 4 2" xfId="20970" xr:uid="{00000000-0005-0000-0000-000019520000}"/>
    <cellStyle name="40% - Accent5 2 2 5 4 2 2" xfId="20971" xr:uid="{00000000-0005-0000-0000-00001A520000}"/>
    <cellStyle name="40% - Accent5 2 2 5 4 3" xfId="20972" xr:uid="{00000000-0005-0000-0000-00001B520000}"/>
    <cellStyle name="40% - Accent5 2 2 5 5" xfId="20973" xr:uid="{00000000-0005-0000-0000-00001C520000}"/>
    <cellStyle name="40% - Accent5 2 2 5 5 2" xfId="20974" xr:uid="{00000000-0005-0000-0000-00001D520000}"/>
    <cellStyle name="40% - Accent5 2 2 5 6" xfId="20975" xr:uid="{00000000-0005-0000-0000-00001E520000}"/>
    <cellStyle name="40% - Accent5 2 2 6" xfId="20976" xr:uid="{00000000-0005-0000-0000-00001F520000}"/>
    <cellStyle name="40% - Accent5 2 2 6 2" xfId="20977" xr:uid="{00000000-0005-0000-0000-000020520000}"/>
    <cellStyle name="40% - Accent5 2 2 6 2 2" xfId="20978" xr:uid="{00000000-0005-0000-0000-000021520000}"/>
    <cellStyle name="40% - Accent5 2 2 6 2 2 2" xfId="20979" xr:uid="{00000000-0005-0000-0000-000022520000}"/>
    <cellStyle name="40% - Accent5 2 2 6 2 2 2 2" xfId="20980" xr:uid="{00000000-0005-0000-0000-000023520000}"/>
    <cellStyle name="40% - Accent5 2 2 6 2 2 3" xfId="20981" xr:uid="{00000000-0005-0000-0000-000024520000}"/>
    <cellStyle name="40% - Accent5 2 2 6 2 3" xfId="20982" xr:uid="{00000000-0005-0000-0000-000025520000}"/>
    <cellStyle name="40% - Accent5 2 2 6 2 3 2" xfId="20983" xr:uid="{00000000-0005-0000-0000-000026520000}"/>
    <cellStyle name="40% - Accent5 2 2 6 2 4" xfId="20984" xr:uid="{00000000-0005-0000-0000-000027520000}"/>
    <cellStyle name="40% - Accent5 2 2 6 3" xfId="20985" xr:uid="{00000000-0005-0000-0000-000028520000}"/>
    <cellStyle name="40% - Accent5 2 2 6 3 2" xfId="20986" xr:uid="{00000000-0005-0000-0000-000029520000}"/>
    <cellStyle name="40% - Accent5 2 2 6 3 2 2" xfId="20987" xr:uid="{00000000-0005-0000-0000-00002A520000}"/>
    <cellStyle name="40% - Accent5 2 2 6 3 3" xfId="20988" xr:uid="{00000000-0005-0000-0000-00002B520000}"/>
    <cellStyle name="40% - Accent5 2 2 6 4" xfId="20989" xr:uid="{00000000-0005-0000-0000-00002C520000}"/>
    <cellStyle name="40% - Accent5 2 2 6 4 2" xfId="20990" xr:uid="{00000000-0005-0000-0000-00002D520000}"/>
    <cellStyle name="40% - Accent5 2 2 6 5" xfId="20991" xr:uid="{00000000-0005-0000-0000-00002E520000}"/>
    <cellStyle name="40% - Accent5 2 2 7" xfId="20992" xr:uid="{00000000-0005-0000-0000-00002F520000}"/>
    <cellStyle name="40% - Accent5 2 2 7 2" xfId="20993" xr:uid="{00000000-0005-0000-0000-000030520000}"/>
    <cellStyle name="40% - Accent5 2 2 7 2 2" xfId="20994" xr:uid="{00000000-0005-0000-0000-000031520000}"/>
    <cellStyle name="40% - Accent5 2 2 7 2 2 2" xfId="20995" xr:uid="{00000000-0005-0000-0000-000032520000}"/>
    <cellStyle name="40% - Accent5 2 2 7 2 3" xfId="20996" xr:uid="{00000000-0005-0000-0000-000033520000}"/>
    <cellStyle name="40% - Accent5 2 2 7 3" xfId="20997" xr:uid="{00000000-0005-0000-0000-000034520000}"/>
    <cellStyle name="40% - Accent5 2 2 7 3 2" xfId="20998" xr:uid="{00000000-0005-0000-0000-000035520000}"/>
    <cellStyle name="40% - Accent5 2 2 7 4" xfId="20999" xr:uid="{00000000-0005-0000-0000-000036520000}"/>
    <cellStyle name="40% - Accent5 2 2 8" xfId="21000" xr:uid="{00000000-0005-0000-0000-000037520000}"/>
    <cellStyle name="40% - Accent5 2 2 8 2" xfId="21001" xr:uid="{00000000-0005-0000-0000-000038520000}"/>
    <cellStyle name="40% - Accent5 2 2 8 2 2" xfId="21002" xr:uid="{00000000-0005-0000-0000-000039520000}"/>
    <cellStyle name="40% - Accent5 2 2 8 3" xfId="21003" xr:uid="{00000000-0005-0000-0000-00003A520000}"/>
    <cellStyle name="40% - Accent5 2 2 9" xfId="21004" xr:uid="{00000000-0005-0000-0000-00003B520000}"/>
    <cellStyle name="40% - Accent5 2 2 9 2" xfId="21005" xr:uid="{00000000-0005-0000-0000-00003C520000}"/>
    <cellStyle name="40% - Accent5 2 3" xfId="21006" xr:uid="{00000000-0005-0000-0000-00003D520000}"/>
    <cellStyle name="40% - Accent5 2 3 2" xfId="21007" xr:uid="{00000000-0005-0000-0000-00003E520000}"/>
    <cellStyle name="40% - Accent5 2 3 2 2" xfId="21008" xr:uid="{00000000-0005-0000-0000-00003F520000}"/>
    <cellStyle name="40% - Accent5 2 3 2 2 2" xfId="21009" xr:uid="{00000000-0005-0000-0000-000040520000}"/>
    <cellStyle name="40% - Accent5 2 3 2 2 2 2" xfId="21010" xr:uid="{00000000-0005-0000-0000-000041520000}"/>
    <cellStyle name="40% - Accent5 2 3 2 2 2 2 2" xfId="21011" xr:uid="{00000000-0005-0000-0000-000042520000}"/>
    <cellStyle name="40% - Accent5 2 3 2 2 2 2 2 2" xfId="21012" xr:uid="{00000000-0005-0000-0000-000043520000}"/>
    <cellStyle name="40% - Accent5 2 3 2 2 2 2 2 2 2" xfId="21013" xr:uid="{00000000-0005-0000-0000-000044520000}"/>
    <cellStyle name="40% - Accent5 2 3 2 2 2 2 2 2 2 2" xfId="21014" xr:uid="{00000000-0005-0000-0000-000045520000}"/>
    <cellStyle name="40% - Accent5 2 3 2 2 2 2 2 2 3" xfId="21015" xr:uid="{00000000-0005-0000-0000-000046520000}"/>
    <cellStyle name="40% - Accent5 2 3 2 2 2 2 2 3" xfId="21016" xr:uid="{00000000-0005-0000-0000-000047520000}"/>
    <cellStyle name="40% - Accent5 2 3 2 2 2 2 2 3 2" xfId="21017" xr:uid="{00000000-0005-0000-0000-000048520000}"/>
    <cellStyle name="40% - Accent5 2 3 2 2 2 2 2 4" xfId="21018" xr:uid="{00000000-0005-0000-0000-000049520000}"/>
    <cellStyle name="40% - Accent5 2 3 2 2 2 2 3" xfId="21019" xr:uid="{00000000-0005-0000-0000-00004A520000}"/>
    <cellStyle name="40% - Accent5 2 3 2 2 2 2 3 2" xfId="21020" xr:uid="{00000000-0005-0000-0000-00004B520000}"/>
    <cellStyle name="40% - Accent5 2 3 2 2 2 2 3 2 2" xfId="21021" xr:uid="{00000000-0005-0000-0000-00004C520000}"/>
    <cellStyle name="40% - Accent5 2 3 2 2 2 2 3 3" xfId="21022" xr:uid="{00000000-0005-0000-0000-00004D520000}"/>
    <cellStyle name="40% - Accent5 2 3 2 2 2 2 4" xfId="21023" xr:uid="{00000000-0005-0000-0000-00004E520000}"/>
    <cellStyle name="40% - Accent5 2 3 2 2 2 2 4 2" xfId="21024" xr:uid="{00000000-0005-0000-0000-00004F520000}"/>
    <cellStyle name="40% - Accent5 2 3 2 2 2 2 5" xfId="21025" xr:uid="{00000000-0005-0000-0000-000050520000}"/>
    <cellStyle name="40% - Accent5 2 3 2 2 2 3" xfId="21026" xr:uid="{00000000-0005-0000-0000-000051520000}"/>
    <cellStyle name="40% - Accent5 2 3 2 2 2 3 2" xfId="21027" xr:uid="{00000000-0005-0000-0000-000052520000}"/>
    <cellStyle name="40% - Accent5 2 3 2 2 2 3 2 2" xfId="21028" xr:uid="{00000000-0005-0000-0000-000053520000}"/>
    <cellStyle name="40% - Accent5 2 3 2 2 2 3 2 2 2" xfId="21029" xr:uid="{00000000-0005-0000-0000-000054520000}"/>
    <cellStyle name="40% - Accent5 2 3 2 2 2 3 2 3" xfId="21030" xr:uid="{00000000-0005-0000-0000-000055520000}"/>
    <cellStyle name="40% - Accent5 2 3 2 2 2 3 3" xfId="21031" xr:uid="{00000000-0005-0000-0000-000056520000}"/>
    <cellStyle name="40% - Accent5 2 3 2 2 2 3 3 2" xfId="21032" xr:uid="{00000000-0005-0000-0000-000057520000}"/>
    <cellStyle name="40% - Accent5 2 3 2 2 2 3 4" xfId="21033" xr:uid="{00000000-0005-0000-0000-000058520000}"/>
    <cellStyle name="40% - Accent5 2 3 2 2 2 4" xfId="21034" xr:uid="{00000000-0005-0000-0000-000059520000}"/>
    <cellStyle name="40% - Accent5 2 3 2 2 2 4 2" xfId="21035" xr:uid="{00000000-0005-0000-0000-00005A520000}"/>
    <cellStyle name="40% - Accent5 2 3 2 2 2 4 2 2" xfId="21036" xr:uid="{00000000-0005-0000-0000-00005B520000}"/>
    <cellStyle name="40% - Accent5 2 3 2 2 2 4 3" xfId="21037" xr:uid="{00000000-0005-0000-0000-00005C520000}"/>
    <cellStyle name="40% - Accent5 2 3 2 2 2 5" xfId="21038" xr:uid="{00000000-0005-0000-0000-00005D520000}"/>
    <cellStyle name="40% - Accent5 2 3 2 2 2 5 2" xfId="21039" xr:uid="{00000000-0005-0000-0000-00005E520000}"/>
    <cellStyle name="40% - Accent5 2 3 2 2 2 6" xfId="21040" xr:uid="{00000000-0005-0000-0000-00005F520000}"/>
    <cellStyle name="40% - Accent5 2 3 2 2 3" xfId="21041" xr:uid="{00000000-0005-0000-0000-000060520000}"/>
    <cellStyle name="40% - Accent5 2 3 2 2 3 2" xfId="21042" xr:uid="{00000000-0005-0000-0000-000061520000}"/>
    <cellStyle name="40% - Accent5 2 3 2 2 3 2 2" xfId="21043" xr:uid="{00000000-0005-0000-0000-000062520000}"/>
    <cellStyle name="40% - Accent5 2 3 2 2 3 2 2 2" xfId="21044" xr:uid="{00000000-0005-0000-0000-000063520000}"/>
    <cellStyle name="40% - Accent5 2 3 2 2 3 2 2 2 2" xfId="21045" xr:uid="{00000000-0005-0000-0000-000064520000}"/>
    <cellStyle name="40% - Accent5 2 3 2 2 3 2 2 3" xfId="21046" xr:uid="{00000000-0005-0000-0000-000065520000}"/>
    <cellStyle name="40% - Accent5 2 3 2 2 3 2 3" xfId="21047" xr:uid="{00000000-0005-0000-0000-000066520000}"/>
    <cellStyle name="40% - Accent5 2 3 2 2 3 2 3 2" xfId="21048" xr:uid="{00000000-0005-0000-0000-000067520000}"/>
    <cellStyle name="40% - Accent5 2 3 2 2 3 2 4" xfId="21049" xr:uid="{00000000-0005-0000-0000-000068520000}"/>
    <cellStyle name="40% - Accent5 2 3 2 2 3 3" xfId="21050" xr:uid="{00000000-0005-0000-0000-000069520000}"/>
    <cellStyle name="40% - Accent5 2 3 2 2 3 3 2" xfId="21051" xr:uid="{00000000-0005-0000-0000-00006A520000}"/>
    <cellStyle name="40% - Accent5 2 3 2 2 3 3 2 2" xfId="21052" xr:uid="{00000000-0005-0000-0000-00006B520000}"/>
    <cellStyle name="40% - Accent5 2 3 2 2 3 3 3" xfId="21053" xr:uid="{00000000-0005-0000-0000-00006C520000}"/>
    <cellStyle name="40% - Accent5 2 3 2 2 3 4" xfId="21054" xr:uid="{00000000-0005-0000-0000-00006D520000}"/>
    <cellStyle name="40% - Accent5 2 3 2 2 3 4 2" xfId="21055" xr:uid="{00000000-0005-0000-0000-00006E520000}"/>
    <cellStyle name="40% - Accent5 2 3 2 2 3 5" xfId="21056" xr:uid="{00000000-0005-0000-0000-00006F520000}"/>
    <cellStyle name="40% - Accent5 2 3 2 2 4" xfId="21057" xr:uid="{00000000-0005-0000-0000-000070520000}"/>
    <cellStyle name="40% - Accent5 2 3 2 2 4 2" xfId="21058" xr:uid="{00000000-0005-0000-0000-000071520000}"/>
    <cellStyle name="40% - Accent5 2 3 2 2 4 2 2" xfId="21059" xr:uid="{00000000-0005-0000-0000-000072520000}"/>
    <cellStyle name="40% - Accent5 2 3 2 2 4 2 2 2" xfId="21060" xr:uid="{00000000-0005-0000-0000-000073520000}"/>
    <cellStyle name="40% - Accent5 2 3 2 2 4 2 3" xfId="21061" xr:uid="{00000000-0005-0000-0000-000074520000}"/>
    <cellStyle name="40% - Accent5 2 3 2 2 4 3" xfId="21062" xr:uid="{00000000-0005-0000-0000-000075520000}"/>
    <cellStyle name="40% - Accent5 2 3 2 2 4 3 2" xfId="21063" xr:uid="{00000000-0005-0000-0000-000076520000}"/>
    <cellStyle name="40% - Accent5 2 3 2 2 4 4" xfId="21064" xr:uid="{00000000-0005-0000-0000-000077520000}"/>
    <cellStyle name="40% - Accent5 2 3 2 2 5" xfId="21065" xr:uid="{00000000-0005-0000-0000-000078520000}"/>
    <cellStyle name="40% - Accent5 2 3 2 2 5 2" xfId="21066" xr:uid="{00000000-0005-0000-0000-000079520000}"/>
    <cellStyle name="40% - Accent5 2 3 2 2 5 2 2" xfId="21067" xr:uid="{00000000-0005-0000-0000-00007A520000}"/>
    <cellStyle name="40% - Accent5 2 3 2 2 5 3" xfId="21068" xr:uid="{00000000-0005-0000-0000-00007B520000}"/>
    <cellStyle name="40% - Accent5 2 3 2 2 6" xfId="21069" xr:uid="{00000000-0005-0000-0000-00007C520000}"/>
    <cellStyle name="40% - Accent5 2 3 2 2 6 2" xfId="21070" xr:uid="{00000000-0005-0000-0000-00007D520000}"/>
    <cellStyle name="40% - Accent5 2 3 2 2 7" xfId="21071" xr:uid="{00000000-0005-0000-0000-00007E520000}"/>
    <cellStyle name="40% - Accent5 2 3 2 3" xfId="21072" xr:uid="{00000000-0005-0000-0000-00007F520000}"/>
    <cellStyle name="40% - Accent5 2 3 2 3 2" xfId="21073" xr:uid="{00000000-0005-0000-0000-000080520000}"/>
    <cellStyle name="40% - Accent5 2 3 2 3 2 2" xfId="21074" xr:uid="{00000000-0005-0000-0000-000081520000}"/>
    <cellStyle name="40% - Accent5 2 3 2 3 2 2 2" xfId="21075" xr:uid="{00000000-0005-0000-0000-000082520000}"/>
    <cellStyle name="40% - Accent5 2 3 2 3 2 2 2 2" xfId="21076" xr:uid="{00000000-0005-0000-0000-000083520000}"/>
    <cellStyle name="40% - Accent5 2 3 2 3 2 2 2 2 2" xfId="21077" xr:uid="{00000000-0005-0000-0000-000084520000}"/>
    <cellStyle name="40% - Accent5 2 3 2 3 2 2 2 3" xfId="21078" xr:uid="{00000000-0005-0000-0000-000085520000}"/>
    <cellStyle name="40% - Accent5 2 3 2 3 2 2 3" xfId="21079" xr:uid="{00000000-0005-0000-0000-000086520000}"/>
    <cellStyle name="40% - Accent5 2 3 2 3 2 2 3 2" xfId="21080" xr:uid="{00000000-0005-0000-0000-000087520000}"/>
    <cellStyle name="40% - Accent5 2 3 2 3 2 2 4" xfId="21081" xr:uid="{00000000-0005-0000-0000-000088520000}"/>
    <cellStyle name="40% - Accent5 2 3 2 3 2 3" xfId="21082" xr:uid="{00000000-0005-0000-0000-000089520000}"/>
    <cellStyle name="40% - Accent5 2 3 2 3 2 3 2" xfId="21083" xr:uid="{00000000-0005-0000-0000-00008A520000}"/>
    <cellStyle name="40% - Accent5 2 3 2 3 2 3 2 2" xfId="21084" xr:uid="{00000000-0005-0000-0000-00008B520000}"/>
    <cellStyle name="40% - Accent5 2 3 2 3 2 3 3" xfId="21085" xr:uid="{00000000-0005-0000-0000-00008C520000}"/>
    <cellStyle name="40% - Accent5 2 3 2 3 2 4" xfId="21086" xr:uid="{00000000-0005-0000-0000-00008D520000}"/>
    <cellStyle name="40% - Accent5 2 3 2 3 2 4 2" xfId="21087" xr:uid="{00000000-0005-0000-0000-00008E520000}"/>
    <cellStyle name="40% - Accent5 2 3 2 3 2 5" xfId="21088" xr:uid="{00000000-0005-0000-0000-00008F520000}"/>
    <cellStyle name="40% - Accent5 2 3 2 3 3" xfId="21089" xr:uid="{00000000-0005-0000-0000-000090520000}"/>
    <cellStyle name="40% - Accent5 2 3 2 3 3 2" xfId="21090" xr:uid="{00000000-0005-0000-0000-000091520000}"/>
    <cellStyle name="40% - Accent5 2 3 2 3 3 2 2" xfId="21091" xr:uid="{00000000-0005-0000-0000-000092520000}"/>
    <cellStyle name="40% - Accent5 2 3 2 3 3 2 2 2" xfId="21092" xr:uid="{00000000-0005-0000-0000-000093520000}"/>
    <cellStyle name="40% - Accent5 2 3 2 3 3 2 3" xfId="21093" xr:uid="{00000000-0005-0000-0000-000094520000}"/>
    <cellStyle name="40% - Accent5 2 3 2 3 3 3" xfId="21094" xr:uid="{00000000-0005-0000-0000-000095520000}"/>
    <cellStyle name="40% - Accent5 2 3 2 3 3 3 2" xfId="21095" xr:uid="{00000000-0005-0000-0000-000096520000}"/>
    <cellStyle name="40% - Accent5 2 3 2 3 3 4" xfId="21096" xr:uid="{00000000-0005-0000-0000-000097520000}"/>
    <cellStyle name="40% - Accent5 2 3 2 3 4" xfId="21097" xr:uid="{00000000-0005-0000-0000-000098520000}"/>
    <cellStyle name="40% - Accent5 2 3 2 3 4 2" xfId="21098" xr:uid="{00000000-0005-0000-0000-000099520000}"/>
    <cellStyle name="40% - Accent5 2 3 2 3 4 2 2" xfId="21099" xr:uid="{00000000-0005-0000-0000-00009A520000}"/>
    <cellStyle name="40% - Accent5 2 3 2 3 4 3" xfId="21100" xr:uid="{00000000-0005-0000-0000-00009B520000}"/>
    <cellStyle name="40% - Accent5 2 3 2 3 5" xfId="21101" xr:uid="{00000000-0005-0000-0000-00009C520000}"/>
    <cellStyle name="40% - Accent5 2 3 2 3 5 2" xfId="21102" xr:uid="{00000000-0005-0000-0000-00009D520000}"/>
    <cellStyle name="40% - Accent5 2 3 2 3 6" xfId="21103" xr:uid="{00000000-0005-0000-0000-00009E520000}"/>
    <cellStyle name="40% - Accent5 2 3 2 4" xfId="21104" xr:uid="{00000000-0005-0000-0000-00009F520000}"/>
    <cellStyle name="40% - Accent5 2 3 2 4 2" xfId="21105" xr:uid="{00000000-0005-0000-0000-0000A0520000}"/>
    <cellStyle name="40% - Accent5 2 3 2 4 2 2" xfId="21106" xr:uid="{00000000-0005-0000-0000-0000A1520000}"/>
    <cellStyle name="40% - Accent5 2 3 2 4 2 2 2" xfId="21107" xr:uid="{00000000-0005-0000-0000-0000A2520000}"/>
    <cellStyle name="40% - Accent5 2 3 2 4 2 2 2 2" xfId="21108" xr:uid="{00000000-0005-0000-0000-0000A3520000}"/>
    <cellStyle name="40% - Accent5 2 3 2 4 2 2 3" xfId="21109" xr:uid="{00000000-0005-0000-0000-0000A4520000}"/>
    <cellStyle name="40% - Accent5 2 3 2 4 2 3" xfId="21110" xr:uid="{00000000-0005-0000-0000-0000A5520000}"/>
    <cellStyle name="40% - Accent5 2 3 2 4 2 3 2" xfId="21111" xr:uid="{00000000-0005-0000-0000-0000A6520000}"/>
    <cellStyle name="40% - Accent5 2 3 2 4 2 4" xfId="21112" xr:uid="{00000000-0005-0000-0000-0000A7520000}"/>
    <cellStyle name="40% - Accent5 2 3 2 4 3" xfId="21113" xr:uid="{00000000-0005-0000-0000-0000A8520000}"/>
    <cellStyle name="40% - Accent5 2 3 2 4 3 2" xfId="21114" xr:uid="{00000000-0005-0000-0000-0000A9520000}"/>
    <cellStyle name="40% - Accent5 2 3 2 4 3 2 2" xfId="21115" xr:uid="{00000000-0005-0000-0000-0000AA520000}"/>
    <cellStyle name="40% - Accent5 2 3 2 4 3 3" xfId="21116" xr:uid="{00000000-0005-0000-0000-0000AB520000}"/>
    <cellStyle name="40% - Accent5 2 3 2 4 4" xfId="21117" xr:uid="{00000000-0005-0000-0000-0000AC520000}"/>
    <cellStyle name="40% - Accent5 2 3 2 4 4 2" xfId="21118" xr:uid="{00000000-0005-0000-0000-0000AD520000}"/>
    <cellStyle name="40% - Accent5 2 3 2 4 5" xfId="21119" xr:uid="{00000000-0005-0000-0000-0000AE520000}"/>
    <cellStyle name="40% - Accent5 2 3 2 5" xfId="21120" xr:uid="{00000000-0005-0000-0000-0000AF520000}"/>
    <cellStyle name="40% - Accent5 2 3 2 5 2" xfId="21121" xr:uid="{00000000-0005-0000-0000-0000B0520000}"/>
    <cellStyle name="40% - Accent5 2 3 2 5 2 2" xfId="21122" xr:uid="{00000000-0005-0000-0000-0000B1520000}"/>
    <cellStyle name="40% - Accent5 2 3 2 5 2 2 2" xfId="21123" xr:uid="{00000000-0005-0000-0000-0000B2520000}"/>
    <cellStyle name="40% - Accent5 2 3 2 5 2 3" xfId="21124" xr:uid="{00000000-0005-0000-0000-0000B3520000}"/>
    <cellStyle name="40% - Accent5 2 3 2 5 3" xfId="21125" xr:uid="{00000000-0005-0000-0000-0000B4520000}"/>
    <cellStyle name="40% - Accent5 2 3 2 5 3 2" xfId="21126" xr:uid="{00000000-0005-0000-0000-0000B5520000}"/>
    <cellStyle name="40% - Accent5 2 3 2 5 4" xfId="21127" xr:uid="{00000000-0005-0000-0000-0000B6520000}"/>
    <cellStyle name="40% - Accent5 2 3 2 6" xfId="21128" xr:uid="{00000000-0005-0000-0000-0000B7520000}"/>
    <cellStyle name="40% - Accent5 2 3 2 6 2" xfId="21129" xr:uid="{00000000-0005-0000-0000-0000B8520000}"/>
    <cellStyle name="40% - Accent5 2 3 2 6 2 2" xfId="21130" xr:uid="{00000000-0005-0000-0000-0000B9520000}"/>
    <cellStyle name="40% - Accent5 2 3 2 6 3" xfId="21131" xr:uid="{00000000-0005-0000-0000-0000BA520000}"/>
    <cellStyle name="40% - Accent5 2 3 2 7" xfId="21132" xr:uid="{00000000-0005-0000-0000-0000BB520000}"/>
    <cellStyle name="40% - Accent5 2 3 2 7 2" xfId="21133" xr:uid="{00000000-0005-0000-0000-0000BC520000}"/>
    <cellStyle name="40% - Accent5 2 3 2 8" xfId="21134" xr:uid="{00000000-0005-0000-0000-0000BD520000}"/>
    <cellStyle name="40% - Accent5 2 3 3" xfId="21135" xr:uid="{00000000-0005-0000-0000-0000BE520000}"/>
    <cellStyle name="40% - Accent5 2 3 3 2" xfId="21136" xr:uid="{00000000-0005-0000-0000-0000BF520000}"/>
    <cellStyle name="40% - Accent5 2 3 3 2 2" xfId="21137" xr:uid="{00000000-0005-0000-0000-0000C0520000}"/>
    <cellStyle name="40% - Accent5 2 3 3 2 2 2" xfId="21138" xr:uid="{00000000-0005-0000-0000-0000C1520000}"/>
    <cellStyle name="40% - Accent5 2 3 3 2 2 2 2" xfId="21139" xr:uid="{00000000-0005-0000-0000-0000C2520000}"/>
    <cellStyle name="40% - Accent5 2 3 3 2 2 2 2 2" xfId="21140" xr:uid="{00000000-0005-0000-0000-0000C3520000}"/>
    <cellStyle name="40% - Accent5 2 3 3 2 2 2 2 2 2" xfId="21141" xr:uid="{00000000-0005-0000-0000-0000C4520000}"/>
    <cellStyle name="40% - Accent5 2 3 3 2 2 2 2 3" xfId="21142" xr:uid="{00000000-0005-0000-0000-0000C5520000}"/>
    <cellStyle name="40% - Accent5 2 3 3 2 2 2 3" xfId="21143" xr:uid="{00000000-0005-0000-0000-0000C6520000}"/>
    <cellStyle name="40% - Accent5 2 3 3 2 2 2 3 2" xfId="21144" xr:uid="{00000000-0005-0000-0000-0000C7520000}"/>
    <cellStyle name="40% - Accent5 2 3 3 2 2 2 4" xfId="21145" xr:uid="{00000000-0005-0000-0000-0000C8520000}"/>
    <cellStyle name="40% - Accent5 2 3 3 2 2 3" xfId="21146" xr:uid="{00000000-0005-0000-0000-0000C9520000}"/>
    <cellStyle name="40% - Accent5 2 3 3 2 2 3 2" xfId="21147" xr:uid="{00000000-0005-0000-0000-0000CA520000}"/>
    <cellStyle name="40% - Accent5 2 3 3 2 2 3 2 2" xfId="21148" xr:uid="{00000000-0005-0000-0000-0000CB520000}"/>
    <cellStyle name="40% - Accent5 2 3 3 2 2 3 3" xfId="21149" xr:uid="{00000000-0005-0000-0000-0000CC520000}"/>
    <cellStyle name="40% - Accent5 2 3 3 2 2 4" xfId="21150" xr:uid="{00000000-0005-0000-0000-0000CD520000}"/>
    <cellStyle name="40% - Accent5 2 3 3 2 2 4 2" xfId="21151" xr:uid="{00000000-0005-0000-0000-0000CE520000}"/>
    <cellStyle name="40% - Accent5 2 3 3 2 2 5" xfId="21152" xr:uid="{00000000-0005-0000-0000-0000CF520000}"/>
    <cellStyle name="40% - Accent5 2 3 3 2 3" xfId="21153" xr:uid="{00000000-0005-0000-0000-0000D0520000}"/>
    <cellStyle name="40% - Accent5 2 3 3 2 3 2" xfId="21154" xr:uid="{00000000-0005-0000-0000-0000D1520000}"/>
    <cellStyle name="40% - Accent5 2 3 3 2 3 2 2" xfId="21155" xr:uid="{00000000-0005-0000-0000-0000D2520000}"/>
    <cellStyle name="40% - Accent5 2 3 3 2 3 2 2 2" xfId="21156" xr:uid="{00000000-0005-0000-0000-0000D3520000}"/>
    <cellStyle name="40% - Accent5 2 3 3 2 3 2 3" xfId="21157" xr:uid="{00000000-0005-0000-0000-0000D4520000}"/>
    <cellStyle name="40% - Accent5 2 3 3 2 3 3" xfId="21158" xr:uid="{00000000-0005-0000-0000-0000D5520000}"/>
    <cellStyle name="40% - Accent5 2 3 3 2 3 3 2" xfId="21159" xr:uid="{00000000-0005-0000-0000-0000D6520000}"/>
    <cellStyle name="40% - Accent5 2 3 3 2 3 4" xfId="21160" xr:uid="{00000000-0005-0000-0000-0000D7520000}"/>
    <cellStyle name="40% - Accent5 2 3 3 2 4" xfId="21161" xr:uid="{00000000-0005-0000-0000-0000D8520000}"/>
    <cellStyle name="40% - Accent5 2 3 3 2 4 2" xfId="21162" xr:uid="{00000000-0005-0000-0000-0000D9520000}"/>
    <cellStyle name="40% - Accent5 2 3 3 2 4 2 2" xfId="21163" xr:uid="{00000000-0005-0000-0000-0000DA520000}"/>
    <cellStyle name="40% - Accent5 2 3 3 2 4 3" xfId="21164" xr:uid="{00000000-0005-0000-0000-0000DB520000}"/>
    <cellStyle name="40% - Accent5 2 3 3 2 5" xfId="21165" xr:uid="{00000000-0005-0000-0000-0000DC520000}"/>
    <cellStyle name="40% - Accent5 2 3 3 2 5 2" xfId="21166" xr:uid="{00000000-0005-0000-0000-0000DD520000}"/>
    <cellStyle name="40% - Accent5 2 3 3 2 6" xfId="21167" xr:uid="{00000000-0005-0000-0000-0000DE520000}"/>
    <cellStyle name="40% - Accent5 2 3 3 3" xfId="21168" xr:uid="{00000000-0005-0000-0000-0000DF520000}"/>
    <cellStyle name="40% - Accent5 2 3 3 3 2" xfId="21169" xr:uid="{00000000-0005-0000-0000-0000E0520000}"/>
    <cellStyle name="40% - Accent5 2 3 3 3 2 2" xfId="21170" xr:uid="{00000000-0005-0000-0000-0000E1520000}"/>
    <cellStyle name="40% - Accent5 2 3 3 3 2 2 2" xfId="21171" xr:uid="{00000000-0005-0000-0000-0000E2520000}"/>
    <cellStyle name="40% - Accent5 2 3 3 3 2 2 2 2" xfId="21172" xr:uid="{00000000-0005-0000-0000-0000E3520000}"/>
    <cellStyle name="40% - Accent5 2 3 3 3 2 2 3" xfId="21173" xr:uid="{00000000-0005-0000-0000-0000E4520000}"/>
    <cellStyle name="40% - Accent5 2 3 3 3 2 3" xfId="21174" xr:uid="{00000000-0005-0000-0000-0000E5520000}"/>
    <cellStyle name="40% - Accent5 2 3 3 3 2 3 2" xfId="21175" xr:uid="{00000000-0005-0000-0000-0000E6520000}"/>
    <cellStyle name="40% - Accent5 2 3 3 3 2 4" xfId="21176" xr:uid="{00000000-0005-0000-0000-0000E7520000}"/>
    <cellStyle name="40% - Accent5 2 3 3 3 3" xfId="21177" xr:uid="{00000000-0005-0000-0000-0000E8520000}"/>
    <cellStyle name="40% - Accent5 2 3 3 3 3 2" xfId="21178" xr:uid="{00000000-0005-0000-0000-0000E9520000}"/>
    <cellStyle name="40% - Accent5 2 3 3 3 3 2 2" xfId="21179" xr:uid="{00000000-0005-0000-0000-0000EA520000}"/>
    <cellStyle name="40% - Accent5 2 3 3 3 3 3" xfId="21180" xr:uid="{00000000-0005-0000-0000-0000EB520000}"/>
    <cellStyle name="40% - Accent5 2 3 3 3 4" xfId="21181" xr:uid="{00000000-0005-0000-0000-0000EC520000}"/>
    <cellStyle name="40% - Accent5 2 3 3 3 4 2" xfId="21182" xr:uid="{00000000-0005-0000-0000-0000ED520000}"/>
    <cellStyle name="40% - Accent5 2 3 3 3 5" xfId="21183" xr:uid="{00000000-0005-0000-0000-0000EE520000}"/>
    <cellStyle name="40% - Accent5 2 3 3 4" xfId="21184" xr:uid="{00000000-0005-0000-0000-0000EF520000}"/>
    <cellStyle name="40% - Accent5 2 3 3 4 2" xfId="21185" xr:uid="{00000000-0005-0000-0000-0000F0520000}"/>
    <cellStyle name="40% - Accent5 2 3 3 4 2 2" xfId="21186" xr:uid="{00000000-0005-0000-0000-0000F1520000}"/>
    <cellStyle name="40% - Accent5 2 3 3 4 2 2 2" xfId="21187" xr:uid="{00000000-0005-0000-0000-0000F2520000}"/>
    <cellStyle name="40% - Accent5 2 3 3 4 2 3" xfId="21188" xr:uid="{00000000-0005-0000-0000-0000F3520000}"/>
    <cellStyle name="40% - Accent5 2 3 3 4 3" xfId="21189" xr:uid="{00000000-0005-0000-0000-0000F4520000}"/>
    <cellStyle name="40% - Accent5 2 3 3 4 3 2" xfId="21190" xr:uid="{00000000-0005-0000-0000-0000F5520000}"/>
    <cellStyle name="40% - Accent5 2 3 3 4 4" xfId="21191" xr:uid="{00000000-0005-0000-0000-0000F6520000}"/>
    <cellStyle name="40% - Accent5 2 3 3 5" xfId="21192" xr:uid="{00000000-0005-0000-0000-0000F7520000}"/>
    <cellStyle name="40% - Accent5 2 3 3 5 2" xfId="21193" xr:uid="{00000000-0005-0000-0000-0000F8520000}"/>
    <cellStyle name="40% - Accent5 2 3 3 5 2 2" xfId="21194" xr:uid="{00000000-0005-0000-0000-0000F9520000}"/>
    <cellStyle name="40% - Accent5 2 3 3 5 3" xfId="21195" xr:uid="{00000000-0005-0000-0000-0000FA520000}"/>
    <cellStyle name="40% - Accent5 2 3 3 6" xfId="21196" xr:uid="{00000000-0005-0000-0000-0000FB520000}"/>
    <cellStyle name="40% - Accent5 2 3 3 6 2" xfId="21197" xr:uid="{00000000-0005-0000-0000-0000FC520000}"/>
    <cellStyle name="40% - Accent5 2 3 3 7" xfId="21198" xr:uid="{00000000-0005-0000-0000-0000FD520000}"/>
    <cellStyle name="40% - Accent5 2 3 4" xfId="21199" xr:uid="{00000000-0005-0000-0000-0000FE520000}"/>
    <cellStyle name="40% - Accent5 2 3 4 2" xfId="21200" xr:uid="{00000000-0005-0000-0000-0000FF520000}"/>
    <cellStyle name="40% - Accent5 2 3 4 2 2" xfId="21201" xr:uid="{00000000-0005-0000-0000-000000530000}"/>
    <cellStyle name="40% - Accent5 2 3 4 2 2 2" xfId="21202" xr:uid="{00000000-0005-0000-0000-000001530000}"/>
    <cellStyle name="40% - Accent5 2 3 4 2 2 2 2" xfId="21203" xr:uid="{00000000-0005-0000-0000-000002530000}"/>
    <cellStyle name="40% - Accent5 2 3 4 2 2 2 2 2" xfId="21204" xr:uid="{00000000-0005-0000-0000-000003530000}"/>
    <cellStyle name="40% - Accent5 2 3 4 2 2 2 3" xfId="21205" xr:uid="{00000000-0005-0000-0000-000004530000}"/>
    <cellStyle name="40% - Accent5 2 3 4 2 2 3" xfId="21206" xr:uid="{00000000-0005-0000-0000-000005530000}"/>
    <cellStyle name="40% - Accent5 2 3 4 2 2 3 2" xfId="21207" xr:uid="{00000000-0005-0000-0000-000006530000}"/>
    <cellStyle name="40% - Accent5 2 3 4 2 2 4" xfId="21208" xr:uid="{00000000-0005-0000-0000-000007530000}"/>
    <cellStyle name="40% - Accent5 2 3 4 2 3" xfId="21209" xr:uid="{00000000-0005-0000-0000-000008530000}"/>
    <cellStyle name="40% - Accent5 2 3 4 2 3 2" xfId="21210" xr:uid="{00000000-0005-0000-0000-000009530000}"/>
    <cellStyle name="40% - Accent5 2 3 4 2 3 2 2" xfId="21211" xr:uid="{00000000-0005-0000-0000-00000A530000}"/>
    <cellStyle name="40% - Accent5 2 3 4 2 3 3" xfId="21212" xr:uid="{00000000-0005-0000-0000-00000B530000}"/>
    <cellStyle name="40% - Accent5 2 3 4 2 4" xfId="21213" xr:uid="{00000000-0005-0000-0000-00000C530000}"/>
    <cellStyle name="40% - Accent5 2 3 4 2 4 2" xfId="21214" xr:uid="{00000000-0005-0000-0000-00000D530000}"/>
    <cellStyle name="40% - Accent5 2 3 4 2 5" xfId="21215" xr:uid="{00000000-0005-0000-0000-00000E530000}"/>
    <cellStyle name="40% - Accent5 2 3 4 3" xfId="21216" xr:uid="{00000000-0005-0000-0000-00000F530000}"/>
    <cellStyle name="40% - Accent5 2 3 4 3 2" xfId="21217" xr:uid="{00000000-0005-0000-0000-000010530000}"/>
    <cellStyle name="40% - Accent5 2 3 4 3 2 2" xfId="21218" xr:uid="{00000000-0005-0000-0000-000011530000}"/>
    <cellStyle name="40% - Accent5 2 3 4 3 2 2 2" xfId="21219" xr:uid="{00000000-0005-0000-0000-000012530000}"/>
    <cellStyle name="40% - Accent5 2 3 4 3 2 3" xfId="21220" xr:uid="{00000000-0005-0000-0000-000013530000}"/>
    <cellStyle name="40% - Accent5 2 3 4 3 3" xfId="21221" xr:uid="{00000000-0005-0000-0000-000014530000}"/>
    <cellStyle name="40% - Accent5 2 3 4 3 3 2" xfId="21222" xr:uid="{00000000-0005-0000-0000-000015530000}"/>
    <cellStyle name="40% - Accent5 2 3 4 3 4" xfId="21223" xr:uid="{00000000-0005-0000-0000-000016530000}"/>
    <cellStyle name="40% - Accent5 2 3 4 4" xfId="21224" xr:uid="{00000000-0005-0000-0000-000017530000}"/>
    <cellStyle name="40% - Accent5 2 3 4 4 2" xfId="21225" xr:uid="{00000000-0005-0000-0000-000018530000}"/>
    <cellStyle name="40% - Accent5 2 3 4 4 2 2" xfId="21226" xr:uid="{00000000-0005-0000-0000-000019530000}"/>
    <cellStyle name="40% - Accent5 2 3 4 4 3" xfId="21227" xr:uid="{00000000-0005-0000-0000-00001A530000}"/>
    <cellStyle name="40% - Accent5 2 3 4 5" xfId="21228" xr:uid="{00000000-0005-0000-0000-00001B530000}"/>
    <cellStyle name="40% - Accent5 2 3 4 5 2" xfId="21229" xr:uid="{00000000-0005-0000-0000-00001C530000}"/>
    <cellStyle name="40% - Accent5 2 3 4 6" xfId="21230" xr:uid="{00000000-0005-0000-0000-00001D530000}"/>
    <cellStyle name="40% - Accent5 2 3 5" xfId="21231" xr:uid="{00000000-0005-0000-0000-00001E530000}"/>
    <cellStyle name="40% - Accent5 2 3 5 2" xfId="21232" xr:uid="{00000000-0005-0000-0000-00001F530000}"/>
    <cellStyle name="40% - Accent5 2 3 5 2 2" xfId="21233" xr:uid="{00000000-0005-0000-0000-000020530000}"/>
    <cellStyle name="40% - Accent5 2 3 5 2 2 2" xfId="21234" xr:uid="{00000000-0005-0000-0000-000021530000}"/>
    <cellStyle name="40% - Accent5 2 3 5 2 2 2 2" xfId="21235" xr:uid="{00000000-0005-0000-0000-000022530000}"/>
    <cellStyle name="40% - Accent5 2 3 5 2 2 3" xfId="21236" xr:uid="{00000000-0005-0000-0000-000023530000}"/>
    <cellStyle name="40% - Accent5 2 3 5 2 3" xfId="21237" xr:uid="{00000000-0005-0000-0000-000024530000}"/>
    <cellStyle name="40% - Accent5 2 3 5 2 3 2" xfId="21238" xr:uid="{00000000-0005-0000-0000-000025530000}"/>
    <cellStyle name="40% - Accent5 2 3 5 2 4" xfId="21239" xr:uid="{00000000-0005-0000-0000-000026530000}"/>
    <cellStyle name="40% - Accent5 2 3 5 3" xfId="21240" xr:uid="{00000000-0005-0000-0000-000027530000}"/>
    <cellStyle name="40% - Accent5 2 3 5 3 2" xfId="21241" xr:uid="{00000000-0005-0000-0000-000028530000}"/>
    <cellStyle name="40% - Accent5 2 3 5 3 2 2" xfId="21242" xr:uid="{00000000-0005-0000-0000-000029530000}"/>
    <cellStyle name="40% - Accent5 2 3 5 3 3" xfId="21243" xr:uid="{00000000-0005-0000-0000-00002A530000}"/>
    <cellStyle name="40% - Accent5 2 3 5 4" xfId="21244" xr:uid="{00000000-0005-0000-0000-00002B530000}"/>
    <cellStyle name="40% - Accent5 2 3 5 4 2" xfId="21245" xr:uid="{00000000-0005-0000-0000-00002C530000}"/>
    <cellStyle name="40% - Accent5 2 3 5 5" xfId="21246" xr:uid="{00000000-0005-0000-0000-00002D530000}"/>
    <cellStyle name="40% - Accent5 2 3 6" xfId="21247" xr:uid="{00000000-0005-0000-0000-00002E530000}"/>
    <cellStyle name="40% - Accent5 2 3 6 2" xfId="21248" xr:uid="{00000000-0005-0000-0000-00002F530000}"/>
    <cellStyle name="40% - Accent5 2 3 6 2 2" xfId="21249" xr:uid="{00000000-0005-0000-0000-000030530000}"/>
    <cellStyle name="40% - Accent5 2 3 6 2 2 2" xfId="21250" xr:uid="{00000000-0005-0000-0000-000031530000}"/>
    <cellStyle name="40% - Accent5 2 3 6 2 3" xfId="21251" xr:uid="{00000000-0005-0000-0000-000032530000}"/>
    <cellStyle name="40% - Accent5 2 3 6 3" xfId="21252" xr:uid="{00000000-0005-0000-0000-000033530000}"/>
    <cellStyle name="40% - Accent5 2 3 6 3 2" xfId="21253" xr:uid="{00000000-0005-0000-0000-000034530000}"/>
    <cellStyle name="40% - Accent5 2 3 6 4" xfId="21254" xr:uid="{00000000-0005-0000-0000-000035530000}"/>
    <cellStyle name="40% - Accent5 2 3 7" xfId="21255" xr:uid="{00000000-0005-0000-0000-000036530000}"/>
    <cellStyle name="40% - Accent5 2 3 7 2" xfId="21256" xr:uid="{00000000-0005-0000-0000-000037530000}"/>
    <cellStyle name="40% - Accent5 2 3 7 2 2" xfId="21257" xr:uid="{00000000-0005-0000-0000-000038530000}"/>
    <cellStyle name="40% - Accent5 2 3 7 3" xfId="21258" xr:uid="{00000000-0005-0000-0000-000039530000}"/>
    <cellStyle name="40% - Accent5 2 3 8" xfId="21259" xr:uid="{00000000-0005-0000-0000-00003A530000}"/>
    <cellStyle name="40% - Accent5 2 3 8 2" xfId="21260" xr:uid="{00000000-0005-0000-0000-00003B530000}"/>
    <cellStyle name="40% - Accent5 2 3 9" xfId="21261" xr:uid="{00000000-0005-0000-0000-00003C530000}"/>
    <cellStyle name="40% - Accent5 2 4" xfId="21262" xr:uid="{00000000-0005-0000-0000-00003D530000}"/>
    <cellStyle name="40% - Accent5 2 4 2" xfId="21263" xr:uid="{00000000-0005-0000-0000-00003E530000}"/>
    <cellStyle name="40% - Accent5 2 4 2 2" xfId="21264" xr:uid="{00000000-0005-0000-0000-00003F530000}"/>
    <cellStyle name="40% - Accent5 2 4 2 2 2" xfId="21265" xr:uid="{00000000-0005-0000-0000-000040530000}"/>
    <cellStyle name="40% - Accent5 2 4 2 2 2 2" xfId="21266" xr:uid="{00000000-0005-0000-0000-000041530000}"/>
    <cellStyle name="40% - Accent5 2 4 2 2 2 2 2" xfId="21267" xr:uid="{00000000-0005-0000-0000-000042530000}"/>
    <cellStyle name="40% - Accent5 2 4 2 2 2 2 2 2" xfId="21268" xr:uid="{00000000-0005-0000-0000-000043530000}"/>
    <cellStyle name="40% - Accent5 2 4 2 2 2 2 2 2 2" xfId="21269" xr:uid="{00000000-0005-0000-0000-000044530000}"/>
    <cellStyle name="40% - Accent5 2 4 2 2 2 2 2 3" xfId="21270" xr:uid="{00000000-0005-0000-0000-000045530000}"/>
    <cellStyle name="40% - Accent5 2 4 2 2 2 2 3" xfId="21271" xr:uid="{00000000-0005-0000-0000-000046530000}"/>
    <cellStyle name="40% - Accent5 2 4 2 2 2 2 3 2" xfId="21272" xr:uid="{00000000-0005-0000-0000-000047530000}"/>
    <cellStyle name="40% - Accent5 2 4 2 2 2 2 4" xfId="21273" xr:uid="{00000000-0005-0000-0000-000048530000}"/>
    <cellStyle name="40% - Accent5 2 4 2 2 2 3" xfId="21274" xr:uid="{00000000-0005-0000-0000-000049530000}"/>
    <cellStyle name="40% - Accent5 2 4 2 2 2 3 2" xfId="21275" xr:uid="{00000000-0005-0000-0000-00004A530000}"/>
    <cellStyle name="40% - Accent5 2 4 2 2 2 3 2 2" xfId="21276" xr:uid="{00000000-0005-0000-0000-00004B530000}"/>
    <cellStyle name="40% - Accent5 2 4 2 2 2 3 3" xfId="21277" xr:uid="{00000000-0005-0000-0000-00004C530000}"/>
    <cellStyle name="40% - Accent5 2 4 2 2 2 4" xfId="21278" xr:uid="{00000000-0005-0000-0000-00004D530000}"/>
    <cellStyle name="40% - Accent5 2 4 2 2 2 4 2" xfId="21279" xr:uid="{00000000-0005-0000-0000-00004E530000}"/>
    <cellStyle name="40% - Accent5 2 4 2 2 2 5" xfId="21280" xr:uid="{00000000-0005-0000-0000-00004F530000}"/>
    <cellStyle name="40% - Accent5 2 4 2 2 3" xfId="21281" xr:uid="{00000000-0005-0000-0000-000050530000}"/>
    <cellStyle name="40% - Accent5 2 4 2 2 3 2" xfId="21282" xr:uid="{00000000-0005-0000-0000-000051530000}"/>
    <cellStyle name="40% - Accent5 2 4 2 2 3 2 2" xfId="21283" xr:uid="{00000000-0005-0000-0000-000052530000}"/>
    <cellStyle name="40% - Accent5 2 4 2 2 3 2 2 2" xfId="21284" xr:uid="{00000000-0005-0000-0000-000053530000}"/>
    <cellStyle name="40% - Accent5 2 4 2 2 3 2 3" xfId="21285" xr:uid="{00000000-0005-0000-0000-000054530000}"/>
    <cellStyle name="40% - Accent5 2 4 2 2 3 3" xfId="21286" xr:uid="{00000000-0005-0000-0000-000055530000}"/>
    <cellStyle name="40% - Accent5 2 4 2 2 3 3 2" xfId="21287" xr:uid="{00000000-0005-0000-0000-000056530000}"/>
    <cellStyle name="40% - Accent5 2 4 2 2 3 4" xfId="21288" xr:uid="{00000000-0005-0000-0000-000057530000}"/>
    <cellStyle name="40% - Accent5 2 4 2 2 4" xfId="21289" xr:uid="{00000000-0005-0000-0000-000058530000}"/>
    <cellStyle name="40% - Accent5 2 4 2 2 4 2" xfId="21290" xr:uid="{00000000-0005-0000-0000-000059530000}"/>
    <cellStyle name="40% - Accent5 2 4 2 2 4 2 2" xfId="21291" xr:uid="{00000000-0005-0000-0000-00005A530000}"/>
    <cellStyle name="40% - Accent5 2 4 2 2 4 3" xfId="21292" xr:uid="{00000000-0005-0000-0000-00005B530000}"/>
    <cellStyle name="40% - Accent5 2 4 2 2 5" xfId="21293" xr:uid="{00000000-0005-0000-0000-00005C530000}"/>
    <cellStyle name="40% - Accent5 2 4 2 2 5 2" xfId="21294" xr:uid="{00000000-0005-0000-0000-00005D530000}"/>
    <cellStyle name="40% - Accent5 2 4 2 2 6" xfId="21295" xr:uid="{00000000-0005-0000-0000-00005E530000}"/>
    <cellStyle name="40% - Accent5 2 4 2 3" xfId="21296" xr:uid="{00000000-0005-0000-0000-00005F530000}"/>
    <cellStyle name="40% - Accent5 2 4 2 3 2" xfId="21297" xr:uid="{00000000-0005-0000-0000-000060530000}"/>
    <cellStyle name="40% - Accent5 2 4 2 3 2 2" xfId="21298" xr:uid="{00000000-0005-0000-0000-000061530000}"/>
    <cellStyle name="40% - Accent5 2 4 2 3 2 2 2" xfId="21299" xr:uid="{00000000-0005-0000-0000-000062530000}"/>
    <cellStyle name="40% - Accent5 2 4 2 3 2 2 2 2" xfId="21300" xr:uid="{00000000-0005-0000-0000-000063530000}"/>
    <cellStyle name="40% - Accent5 2 4 2 3 2 2 3" xfId="21301" xr:uid="{00000000-0005-0000-0000-000064530000}"/>
    <cellStyle name="40% - Accent5 2 4 2 3 2 3" xfId="21302" xr:uid="{00000000-0005-0000-0000-000065530000}"/>
    <cellStyle name="40% - Accent5 2 4 2 3 2 3 2" xfId="21303" xr:uid="{00000000-0005-0000-0000-000066530000}"/>
    <cellStyle name="40% - Accent5 2 4 2 3 2 4" xfId="21304" xr:uid="{00000000-0005-0000-0000-000067530000}"/>
    <cellStyle name="40% - Accent5 2 4 2 3 3" xfId="21305" xr:uid="{00000000-0005-0000-0000-000068530000}"/>
    <cellStyle name="40% - Accent5 2 4 2 3 3 2" xfId="21306" xr:uid="{00000000-0005-0000-0000-000069530000}"/>
    <cellStyle name="40% - Accent5 2 4 2 3 3 2 2" xfId="21307" xr:uid="{00000000-0005-0000-0000-00006A530000}"/>
    <cellStyle name="40% - Accent5 2 4 2 3 3 3" xfId="21308" xr:uid="{00000000-0005-0000-0000-00006B530000}"/>
    <cellStyle name="40% - Accent5 2 4 2 3 4" xfId="21309" xr:uid="{00000000-0005-0000-0000-00006C530000}"/>
    <cellStyle name="40% - Accent5 2 4 2 3 4 2" xfId="21310" xr:uid="{00000000-0005-0000-0000-00006D530000}"/>
    <cellStyle name="40% - Accent5 2 4 2 3 5" xfId="21311" xr:uid="{00000000-0005-0000-0000-00006E530000}"/>
    <cellStyle name="40% - Accent5 2 4 2 4" xfId="21312" xr:uid="{00000000-0005-0000-0000-00006F530000}"/>
    <cellStyle name="40% - Accent5 2 4 2 4 2" xfId="21313" xr:uid="{00000000-0005-0000-0000-000070530000}"/>
    <cellStyle name="40% - Accent5 2 4 2 4 2 2" xfId="21314" xr:uid="{00000000-0005-0000-0000-000071530000}"/>
    <cellStyle name="40% - Accent5 2 4 2 4 2 2 2" xfId="21315" xr:uid="{00000000-0005-0000-0000-000072530000}"/>
    <cellStyle name="40% - Accent5 2 4 2 4 2 3" xfId="21316" xr:uid="{00000000-0005-0000-0000-000073530000}"/>
    <cellStyle name="40% - Accent5 2 4 2 4 3" xfId="21317" xr:uid="{00000000-0005-0000-0000-000074530000}"/>
    <cellStyle name="40% - Accent5 2 4 2 4 3 2" xfId="21318" xr:uid="{00000000-0005-0000-0000-000075530000}"/>
    <cellStyle name="40% - Accent5 2 4 2 4 4" xfId="21319" xr:uid="{00000000-0005-0000-0000-000076530000}"/>
    <cellStyle name="40% - Accent5 2 4 2 5" xfId="21320" xr:uid="{00000000-0005-0000-0000-000077530000}"/>
    <cellStyle name="40% - Accent5 2 4 2 5 2" xfId="21321" xr:uid="{00000000-0005-0000-0000-000078530000}"/>
    <cellStyle name="40% - Accent5 2 4 2 5 2 2" xfId="21322" xr:uid="{00000000-0005-0000-0000-000079530000}"/>
    <cellStyle name="40% - Accent5 2 4 2 5 3" xfId="21323" xr:uid="{00000000-0005-0000-0000-00007A530000}"/>
    <cellStyle name="40% - Accent5 2 4 2 6" xfId="21324" xr:uid="{00000000-0005-0000-0000-00007B530000}"/>
    <cellStyle name="40% - Accent5 2 4 2 6 2" xfId="21325" xr:uid="{00000000-0005-0000-0000-00007C530000}"/>
    <cellStyle name="40% - Accent5 2 4 2 7" xfId="21326" xr:uid="{00000000-0005-0000-0000-00007D530000}"/>
    <cellStyle name="40% - Accent5 2 4 3" xfId="21327" xr:uid="{00000000-0005-0000-0000-00007E530000}"/>
    <cellStyle name="40% - Accent5 2 4 3 2" xfId="21328" xr:uid="{00000000-0005-0000-0000-00007F530000}"/>
    <cellStyle name="40% - Accent5 2 4 3 2 2" xfId="21329" xr:uid="{00000000-0005-0000-0000-000080530000}"/>
    <cellStyle name="40% - Accent5 2 4 3 2 2 2" xfId="21330" xr:uid="{00000000-0005-0000-0000-000081530000}"/>
    <cellStyle name="40% - Accent5 2 4 3 2 2 2 2" xfId="21331" xr:uid="{00000000-0005-0000-0000-000082530000}"/>
    <cellStyle name="40% - Accent5 2 4 3 2 2 2 2 2" xfId="21332" xr:uid="{00000000-0005-0000-0000-000083530000}"/>
    <cellStyle name="40% - Accent5 2 4 3 2 2 2 3" xfId="21333" xr:uid="{00000000-0005-0000-0000-000084530000}"/>
    <cellStyle name="40% - Accent5 2 4 3 2 2 3" xfId="21334" xr:uid="{00000000-0005-0000-0000-000085530000}"/>
    <cellStyle name="40% - Accent5 2 4 3 2 2 3 2" xfId="21335" xr:uid="{00000000-0005-0000-0000-000086530000}"/>
    <cellStyle name="40% - Accent5 2 4 3 2 2 4" xfId="21336" xr:uid="{00000000-0005-0000-0000-000087530000}"/>
    <cellStyle name="40% - Accent5 2 4 3 2 3" xfId="21337" xr:uid="{00000000-0005-0000-0000-000088530000}"/>
    <cellStyle name="40% - Accent5 2 4 3 2 3 2" xfId="21338" xr:uid="{00000000-0005-0000-0000-000089530000}"/>
    <cellStyle name="40% - Accent5 2 4 3 2 3 2 2" xfId="21339" xr:uid="{00000000-0005-0000-0000-00008A530000}"/>
    <cellStyle name="40% - Accent5 2 4 3 2 3 3" xfId="21340" xr:uid="{00000000-0005-0000-0000-00008B530000}"/>
    <cellStyle name="40% - Accent5 2 4 3 2 4" xfId="21341" xr:uid="{00000000-0005-0000-0000-00008C530000}"/>
    <cellStyle name="40% - Accent5 2 4 3 2 4 2" xfId="21342" xr:uid="{00000000-0005-0000-0000-00008D530000}"/>
    <cellStyle name="40% - Accent5 2 4 3 2 5" xfId="21343" xr:uid="{00000000-0005-0000-0000-00008E530000}"/>
    <cellStyle name="40% - Accent5 2 4 3 3" xfId="21344" xr:uid="{00000000-0005-0000-0000-00008F530000}"/>
    <cellStyle name="40% - Accent5 2 4 3 3 2" xfId="21345" xr:uid="{00000000-0005-0000-0000-000090530000}"/>
    <cellStyle name="40% - Accent5 2 4 3 3 2 2" xfId="21346" xr:uid="{00000000-0005-0000-0000-000091530000}"/>
    <cellStyle name="40% - Accent5 2 4 3 3 2 2 2" xfId="21347" xr:uid="{00000000-0005-0000-0000-000092530000}"/>
    <cellStyle name="40% - Accent5 2 4 3 3 2 3" xfId="21348" xr:uid="{00000000-0005-0000-0000-000093530000}"/>
    <cellStyle name="40% - Accent5 2 4 3 3 3" xfId="21349" xr:uid="{00000000-0005-0000-0000-000094530000}"/>
    <cellStyle name="40% - Accent5 2 4 3 3 3 2" xfId="21350" xr:uid="{00000000-0005-0000-0000-000095530000}"/>
    <cellStyle name="40% - Accent5 2 4 3 3 4" xfId="21351" xr:uid="{00000000-0005-0000-0000-000096530000}"/>
    <cellStyle name="40% - Accent5 2 4 3 4" xfId="21352" xr:uid="{00000000-0005-0000-0000-000097530000}"/>
    <cellStyle name="40% - Accent5 2 4 3 4 2" xfId="21353" xr:uid="{00000000-0005-0000-0000-000098530000}"/>
    <cellStyle name="40% - Accent5 2 4 3 4 2 2" xfId="21354" xr:uid="{00000000-0005-0000-0000-000099530000}"/>
    <cellStyle name="40% - Accent5 2 4 3 4 3" xfId="21355" xr:uid="{00000000-0005-0000-0000-00009A530000}"/>
    <cellStyle name="40% - Accent5 2 4 3 5" xfId="21356" xr:uid="{00000000-0005-0000-0000-00009B530000}"/>
    <cellStyle name="40% - Accent5 2 4 3 5 2" xfId="21357" xr:uid="{00000000-0005-0000-0000-00009C530000}"/>
    <cellStyle name="40% - Accent5 2 4 3 6" xfId="21358" xr:uid="{00000000-0005-0000-0000-00009D530000}"/>
    <cellStyle name="40% - Accent5 2 4 4" xfId="21359" xr:uid="{00000000-0005-0000-0000-00009E530000}"/>
    <cellStyle name="40% - Accent5 2 4 4 2" xfId="21360" xr:uid="{00000000-0005-0000-0000-00009F530000}"/>
    <cellStyle name="40% - Accent5 2 4 4 2 2" xfId="21361" xr:uid="{00000000-0005-0000-0000-0000A0530000}"/>
    <cellStyle name="40% - Accent5 2 4 4 2 2 2" xfId="21362" xr:uid="{00000000-0005-0000-0000-0000A1530000}"/>
    <cellStyle name="40% - Accent5 2 4 4 2 2 2 2" xfId="21363" xr:uid="{00000000-0005-0000-0000-0000A2530000}"/>
    <cellStyle name="40% - Accent5 2 4 4 2 2 3" xfId="21364" xr:uid="{00000000-0005-0000-0000-0000A3530000}"/>
    <cellStyle name="40% - Accent5 2 4 4 2 3" xfId="21365" xr:uid="{00000000-0005-0000-0000-0000A4530000}"/>
    <cellStyle name="40% - Accent5 2 4 4 2 3 2" xfId="21366" xr:uid="{00000000-0005-0000-0000-0000A5530000}"/>
    <cellStyle name="40% - Accent5 2 4 4 2 4" xfId="21367" xr:uid="{00000000-0005-0000-0000-0000A6530000}"/>
    <cellStyle name="40% - Accent5 2 4 4 3" xfId="21368" xr:uid="{00000000-0005-0000-0000-0000A7530000}"/>
    <cellStyle name="40% - Accent5 2 4 4 3 2" xfId="21369" xr:uid="{00000000-0005-0000-0000-0000A8530000}"/>
    <cellStyle name="40% - Accent5 2 4 4 3 2 2" xfId="21370" xr:uid="{00000000-0005-0000-0000-0000A9530000}"/>
    <cellStyle name="40% - Accent5 2 4 4 3 3" xfId="21371" xr:uid="{00000000-0005-0000-0000-0000AA530000}"/>
    <cellStyle name="40% - Accent5 2 4 4 4" xfId="21372" xr:uid="{00000000-0005-0000-0000-0000AB530000}"/>
    <cellStyle name="40% - Accent5 2 4 4 4 2" xfId="21373" xr:uid="{00000000-0005-0000-0000-0000AC530000}"/>
    <cellStyle name="40% - Accent5 2 4 4 5" xfId="21374" xr:uid="{00000000-0005-0000-0000-0000AD530000}"/>
    <cellStyle name="40% - Accent5 2 4 5" xfId="21375" xr:uid="{00000000-0005-0000-0000-0000AE530000}"/>
    <cellStyle name="40% - Accent5 2 4 5 2" xfId="21376" xr:uid="{00000000-0005-0000-0000-0000AF530000}"/>
    <cellStyle name="40% - Accent5 2 4 5 2 2" xfId="21377" xr:uid="{00000000-0005-0000-0000-0000B0530000}"/>
    <cellStyle name="40% - Accent5 2 4 5 2 2 2" xfId="21378" xr:uid="{00000000-0005-0000-0000-0000B1530000}"/>
    <cellStyle name="40% - Accent5 2 4 5 2 3" xfId="21379" xr:uid="{00000000-0005-0000-0000-0000B2530000}"/>
    <cellStyle name="40% - Accent5 2 4 5 3" xfId="21380" xr:uid="{00000000-0005-0000-0000-0000B3530000}"/>
    <cellStyle name="40% - Accent5 2 4 5 3 2" xfId="21381" xr:uid="{00000000-0005-0000-0000-0000B4530000}"/>
    <cellStyle name="40% - Accent5 2 4 5 4" xfId="21382" xr:uid="{00000000-0005-0000-0000-0000B5530000}"/>
    <cellStyle name="40% - Accent5 2 4 6" xfId="21383" xr:uid="{00000000-0005-0000-0000-0000B6530000}"/>
    <cellStyle name="40% - Accent5 2 4 6 2" xfId="21384" xr:uid="{00000000-0005-0000-0000-0000B7530000}"/>
    <cellStyle name="40% - Accent5 2 4 6 2 2" xfId="21385" xr:uid="{00000000-0005-0000-0000-0000B8530000}"/>
    <cellStyle name="40% - Accent5 2 4 6 3" xfId="21386" xr:uid="{00000000-0005-0000-0000-0000B9530000}"/>
    <cellStyle name="40% - Accent5 2 4 7" xfId="21387" xr:uid="{00000000-0005-0000-0000-0000BA530000}"/>
    <cellStyle name="40% - Accent5 2 4 7 2" xfId="21388" xr:uid="{00000000-0005-0000-0000-0000BB530000}"/>
    <cellStyle name="40% - Accent5 2 4 8" xfId="21389" xr:uid="{00000000-0005-0000-0000-0000BC530000}"/>
    <cellStyle name="40% - Accent5 2 5" xfId="21390" xr:uid="{00000000-0005-0000-0000-0000BD530000}"/>
    <cellStyle name="40% - Accent5 2 5 2" xfId="21391" xr:uid="{00000000-0005-0000-0000-0000BE530000}"/>
    <cellStyle name="40% - Accent5 2 5 2 2" xfId="21392" xr:uid="{00000000-0005-0000-0000-0000BF530000}"/>
    <cellStyle name="40% - Accent5 2 5 2 2 2" xfId="21393" xr:uid="{00000000-0005-0000-0000-0000C0530000}"/>
    <cellStyle name="40% - Accent5 2 5 2 2 2 2" xfId="21394" xr:uid="{00000000-0005-0000-0000-0000C1530000}"/>
    <cellStyle name="40% - Accent5 2 5 2 2 2 2 2" xfId="21395" xr:uid="{00000000-0005-0000-0000-0000C2530000}"/>
    <cellStyle name="40% - Accent5 2 5 2 2 2 2 2 2" xfId="21396" xr:uid="{00000000-0005-0000-0000-0000C3530000}"/>
    <cellStyle name="40% - Accent5 2 5 2 2 2 2 3" xfId="21397" xr:uid="{00000000-0005-0000-0000-0000C4530000}"/>
    <cellStyle name="40% - Accent5 2 5 2 2 2 3" xfId="21398" xr:uid="{00000000-0005-0000-0000-0000C5530000}"/>
    <cellStyle name="40% - Accent5 2 5 2 2 2 3 2" xfId="21399" xr:uid="{00000000-0005-0000-0000-0000C6530000}"/>
    <cellStyle name="40% - Accent5 2 5 2 2 2 4" xfId="21400" xr:uid="{00000000-0005-0000-0000-0000C7530000}"/>
    <cellStyle name="40% - Accent5 2 5 2 2 3" xfId="21401" xr:uid="{00000000-0005-0000-0000-0000C8530000}"/>
    <cellStyle name="40% - Accent5 2 5 2 2 3 2" xfId="21402" xr:uid="{00000000-0005-0000-0000-0000C9530000}"/>
    <cellStyle name="40% - Accent5 2 5 2 2 3 2 2" xfId="21403" xr:uid="{00000000-0005-0000-0000-0000CA530000}"/>
    <cellStyle name="40% - Accent5 2 5 2 2 3 3" xfId="21404" xr:uid="{00000000-0005-0000-0000-0000CB530000}"/>
    <cellStyle name="40% - Accent5 2 5 2 2 4" xfId="21405" xr:uid="{00000000-0005-0000-0000-0000CC530000}"/>
    <cellStyle name="40% - Accent5 2 5 2 2 4 2" xfId="21406" xr:uid="{00000000-0005-0000-0000-0000CD530000}"/>
    <cellStyle name="40% - Accent5 2 5 2 2 5" xfId="21407" xr:uid="{00000000-0005-0000-0000-0000CE530000}"/>
    <cellStyle name="40% - Accent5 2 5 2 3" xfId="21408" xr:uid="{00000000-0005-0000-0000-0000CF530000}"/>
    <cellStyle name="40% - Accent5 2 5 2 3 2" xfId="21409" xr:uid="{00000000-0005-0000-0000-0000D0530000}"/>
    <cellStyle name="40% - Accent5 2 5 2 3 2 2" xfId="21410" xr:uid="{00000000-0005-0000-0000-0000D1530000}"/>
    <cellStyle name="40% - Accent5 2 5 2 3 2 2 2" xfId="21411" xr:uid="{00000000-0005-0000-0000-0000D2530000}"/>
    <cellStyle name="40% - Accent5 2 5 2 3 2 3" xfId="21412" xr:uid="{00000000-0005-0000-0000-0000D3530000}"/>
    <cellStyle name="40% - Accent5 2 5 2 3 3" xfId="21413" xr:uid="{00000000-0005-0000-0000-0000D4530000}"/>
    <cellStyle name="40% - Accent5 2 5 2 3 3 2" xfId="21414" xr:uid="{00000000-0005-0000-0000-0000D5530000}"/>
    <cellStyle name="40% - Accent5 2 5 2 3 4" xfId="21415" xr:uid="{00000000-0005-0000-0000-0000D6530000}"/>
    <cellStyle name="40% - Accent5 2 5 2 4" xfId="21416" xr:uid="{00000000-0005-0000-0000-0000D7530000}"/>
    <cellStyle name="40% - Accent5 2 5 2 4 2" xfId="21417" xr:uid="{00000000-0005-0000-0000-0000D8530000}"/>
    <cellStyle name="40% - Accent5 2 5 2 4 2 2" xfId="21418" xr:uid="{00000000-0005-0000-0000-0000D9530000}"/>
    <cellStyle name="40% - Accent5 2 5 2 4 3" xfId="21419" xr:uid="{00000000-0005-0000-0000-0000DA530000}"/>
    <cellStyle name="40% - Accent5 2 5 2 5" xfId="21420" xr:uid="{00000000-0005-0000-0000-0000DB530000}"/>
    <cellStyle name="40% - Accent5 2 5 2 5 2" xfId="21421" xr:uid="{00000000-0005-0000-0000-0000DC530000}"/>
    <cellStyle name="40% - Accent5 2 5 2 6" xfId="21422" xr:uid="{00000000-0005-0000-0000-0000DD530000}"/>
    <cellStyle name="40% - Accent5 2 5 3" xfId="21423" xr:uid="{00000000-0005-0000-0000-0000DE530000}"/>
    <cellStyle name="40% - Accent5 2 5 3 2" xfId="21424" xr:uid="{00000000-0005-0000-0000-0000DF530000}"/>
    <cellStyle name="40% - Accent5 2 5 3 2 2" xfId="21425" xr:uid="{00000000-0005-0000-0000-0000E0530000}"/>
    <cellStyle name="40% - Accent5 2 5 3 2 2 2" xfId="21426" xr:uid="{00000000-0005-0000-0000-0000E1530000}"/>
    <cellStyle name="40% - Accent5 2 5 3 2 2 2 2" xfId="21427" xr:uid="{00000000-0005-0000-0000-0000E2530000}"/>
    <cellStyle name="40% - Accent5 2 5 3 2 2 3" xfId="21428" xr:uid="{00000000-0005-0000-0000-0000E3530000}"/>
    <cellStyle name="40% - Accent5 2 5 3 2 3" xfId="21429" xr:uid="{00000000-0005-0000-0000-0000E4530000}"/>
    <cellStyle name="40% - Accent5 2 5 3 2 3 2" xfId="21430" xr:uid="{00000000-0005-0000-0000-0000E5530000}"/>
    <cellStyle name="40% - Accent5 2 5 3 2 4" xfId="21431" xr:uid="{00000000-0005-0000-0000-0000E6530000}"/>
    <cellStyle name="40% - Accent5 2 5 3 3" xfId="21432" xr:uid="{00000000-0005-0000-0000-0000E7530000}"/>
    <cellStyle name="40% - Accent5 2 5 3 3 2" xfId="21433" xr:uid="{00000000-0005-0000-0000-0000E8530000}"/>
    <cellStyle name="40% - Accent5 2 5 3 3 2 2" xfId="21434" xr:uid="{00000000-0005-0000-0000-0000E9530000}"/>
    <cellStyle name="40% - Accent5 2 5 3 3 3" xfId="21435" xr:uid="{00000000-0005-0000-0000-0000EA530000}"/>
    <cellStyle name="40% - Accent5 2 5 3 4" xfId="21436" xr:uid="{00000000-0005-0000-0000-0000EB530000}"/>
    <cellStyle name="40% - Accent5 2 5 3 4 2" xfId="21437" xr:uid="{00000000-0005-0000-0000-0000EC530000}"/>
    <cellStyle name="40% - Accent5 2 5 3 5" xfId="21438" xr:uid="{00000000-0005-0000-0000-0000ED530000}"/>
    <cellStyle name="40% - Accent5 2 5 4" xfId="21439" xr:uid="{00000000-0005-0000-0000-0000EE530000}"/>
    <cellStyle name="40% - Accent5 2 5 4 2" xfId="21440" xr:uid="{00000000-0005-0000-0000-0000EF530000}"/>
    <cellStyle name="40% - Accent5 2 5 4 2 2" xfId="21441" xr:uid="{00000000-0005-0000-0000-0000F0530000}"/>
    <cellStyle name="40% - Accent5 2 5 4 2 2 2" xfId="21442" xr:uid="{00000000-0005-0000-0000-0000F1530000}"/>
    <cellStyle name="40% - Accent5 2 5 4 2 3" xfId="21443" xr:uid="{00000000-0005-0000-0000-0000F2530000}"/>
    <cellStyle name="40% - Accent5 2 5 4 3" xfId="21444" xr:uid="{00000000-0005-0000-0000-0000F3530000}"/>
    <cellStyle name="40% - Accent5 2 5 4 3 2" xfId="21445" xr:uid="{00000000-0005-0000-0000-0000F4530000}"/>
    <cellStyle name="40% - Accent5 2 5 4 4" xfId="21446" xr:uid="{00000000-0005-0000-0000-0000F5530000}"/>
    <cellStyle name="40% - Accent5 2 5 5" xfId="21447" xr:uid="{00000000-0005-0000-0000-0000F6530000}"/>
    <cellStyle name="40% - Accent5 2 5 5 2" xfId="21448" xr:uid="{00000000-0005-0000-0000-0000F7530000}"/>
    <cellStyle name="40% - Accent5 2 5 5 2 2" xfId="21449" xr:uid="{00000000-0005-0000-0000-0000F8530000}"/>
    <cellStyle name="40% - Accent5 2 5 5 3" xfId="21450" xr:uid="{00000000-0005-0000-0000-0000F9530000}"/>
    <cellStyle name="40% - Accent5 2 5 6" xfId="21451" xr:uid="{00000000-0005-0000-0000-0000FA530000}"/>
    <cellStyle name="40% - Accent5 2 5 6 2" xfId="21452" xr:uid="{00000000-0005-0000-0000-0000FB530000}"/>
    <cellStyle name="40% - Accent5 2 5 7" xfId="21453" xr:uid="{00000000-0005-0000-0000-0000FC530000}"/>
    <cellStyle name="40% - Accent5 2 6" xfId="21454" xr:uid="{00000000-0005-0000-0000-0000FD530000}"/>
    <cellStyle name="40% - Accent5 2 6 2" xfId="21455" xr:uid="{00000000-0005-0000-0000-0000FE530000}"/>
    <cellStyle name="40% - Accent5 2 6 2 2" xfId="21456" xr:uid="{00000000-0005-0000-0000-0000FF530000}"/>
    <cellStyle name="40% - Accent5 2 6 2 2 2" xfId="21457" xr:uid="{00000000-0005-0000-0000-000000540000}"/>
    <cellStyle name="40% - Accent5 2 6 2 2 2 2" xfId="21458" xr:uid="{00000000-0005-0000-0000-000001540000}"/>
    <cellStyle name="40% - Accent5 2 6 2 2 2 2 2" xfId="21459" xr:uid="{00000000-0005-0000-0000-000002540000}"/>
    <cellStyle name="40% - Accent5 2 6 2 2 2 3" xfId="21460" xr:uid="{00000000-0005-0000-0000-000003540000}"/>
    <cellStyle name="40% - Accent5 2 6 2 2 3" xfId="21461" xr:uid="{00000000-0005-0000-0000-000004540000}"/>
    <cellStyle name="40% - Accent5 2 6 2 2 3 2" xfId="21462" xr:uid="{00000000-0005-0000-0000-000005540000}"/>
    <cellStyle name="40% - Accent5 2 6 2 2 4" xfId="21463" xr:uid="{00000000-0005-0000-0000-000006540000}"/>
    <cellStyle name="40% - Accent5 2 6 2 3" xfId="21464" xr:uid="{00000000-0005-0000-0000-000007540000}"/>
    <cellStyle name="40% - Accent5 2 6 2 3 2" xfId="21465" xr:uid="{00000000-0005-0000-0000-000008540000}"/>
    <cellStyle name="40% - Accent5 2 6 2 3 2 2" xfId="21466" xr:uid="{00000000-0005-0000-0000-000009540000}"/>
    <cellStyle name="40% - Accent5 2 6 2 3 3" xfId="21467" xr:uid="{00000000-0005-0000-0000-00000A540000}"/>
    <cellStyle name="40% - Accent5 2 6 2 4" xfId="21468" xr:uid="{00000000-0005-0000-0000-00000B540000}"/>
    <cellStyle name="40% - Accent5 2 6 2 4 2" xfId="21469" xr:uid="{00000000-0005-0000-0000-00000C540000}"/>
    <cellStyle name="40% - Accent5 2 6 2 5" xfId="21470" xr:uid="{00000000-0005-0000-0000-00000D540000}"/>
    <cellStyle name="40% - Accent5 2 6 3" xfId="21471" xr:uid="{00000000-0005-0000-0000-00000E540000}"/>
    <cellStyle name="40% - Accent5 2 6 3 2" xfId="21472" xr:uid="{00000000-0005-0000-0000-00000F540000}"/>
    <cellStyle name="40% - Accent5 2 6 3 2 2" xfId="21473" xr:uid="{00000000-0005-0000-0000-000010540000}"/>
    <cellStyle name="40% - Accent5 2 6 3 2 2 2" xfId="21474" xr:uid="{00000000-0005-0000-0000-000011540000}"/>
    <cellStyle name="40% - Accent5 2 6 3 2 3" xfId="21475" xr:uid="{00000000-0005-0000-0000-000012540000}"/>
    <cellStyle name="40% - Accent5 2 6 3 3" xfId="21476" xr:uid="{00000000-0005-0000-0000-000013540000}"/>
    <cellStyle name="40% - Accent5 2 6 3 3 2" xfId="21477" xr:uid="{00000000-0005-0000-0000-000014540000}"/>
    <cellStyle name="40% - Accent5 2 6 3 4" xfId="21478" xr:uid="{00000000-0005-0000-0000-000015540000}"/>
    <cellStyle name="40% - Accent5 2 6 4" xfId="21479" xr:uid="{00000000-0005-0000-0000-000016540000}"/>
    <cellStyle name="40% - Accent5 2 6 4 2" xfId="21480" xr:uid="{00000000-0005-0000-0000-000017540000}"/>
    <cellStyle name="40% - Accent5 2 6 4 2 2" xfId="21481" xr:uid="{00000000-0005-0000-0000-000018540000}"/>
    <cellStyle name="40% - Accent5 2 6 4 3" xfId="21482" xr:uid="{00000000-0005-0000-0000-000019540000}"/>
    <cellStyle name="40% - Accent5 2 6 5" xfId="21483" xr:uid="{00000000-0005-0000-0000-00001A540000}"/>
    <cellStyle name="40% - Accent5 2 6 5 2" xfId="21484" xr:uid="{00000000-0005-0000-0000-00001B540000}"/>
    <cellStyle name="40% - Accent5 2 6 6" xfId="21485" xr:uid="{00000000-0005-0000-0000-00001C540000}"/>
    <cellStyle name="40% - Accent5 2 7" xfId="21486" xr:uid="{00000000-0005-0000-0000-00001D540000}"/>
    <cellStyle name="40% - Accent5 2 7 2" xfId="21487" xr:uid="{00000000-0005-0000-0000-00001E540000}"/>
    <cellStyle name="40% - Accent5 2 7 2 2" xfId="21488" xr:uid="{00000000-0005-0000-0000-00001F540000}"/>
    <cellStyle name="40% - Accent5 2 7 2 2 2" xfId="21489" xr:uid="{00000000-0005-0000-0000-000020540000}"/>
    <cellStyle name="40% - Accent5 2 7 2 2 2 2" xfId="21490" xr:uid="{00000000-0005-0000-0000-000021540000}"/>
    <cellStyle name="40% - Accent5 2 7 2 2 3" xfId="21491" xr:uid="{00000000-0005-0000-0000-000022540000}"/>
    <cellStyle name="40% - Accent5 2 7 2 3" xfId="21492" xr:uid="{00000000-0005-0000-0000-000023540000}"/>
    <cellStyle name="40% - Accent5 2 7 2 3 2" xfId="21493" xr:uid="{00000000-0005-0000-0000-000024540000}"/>
    <cellStyle name="40% - Accent5 2 7 2 4" xfId="21494" xr:uid="{00000000-0005-0000-0000-000025540000}"/>
    <cellStyle name="40% - Accent5 2 7 3" xfId="21495" xr:uid="{00000000-0005-0000-0000-000026540000}"/>
    <cellStyle name="40% - Accent5 2 7 3 2" xfId="21496" xr:uid="{00000000-0005-0000-0000-000027540000}"/>
    <cellStyle name="40% - Accent5 2 7 3 2 2" xfId="21497" xr:uid="{00000000-0005-0000-0000-000028540000}"/>
    <cellStyle name="40% - Accent5 2 7 3 3" xfId="21498" xr:uid="{00000000-0005-0000-0000-000029540000}"/>
    <cellStyle name="40% - Accent5 2 7 4" xfId="21499" xr:uid="{00000000-0005-0000-0000-00002A540000}"/>
    <cellStyle name="40% - Accent5 2 7 4 2" xfId="21500" xr:uid="{00000000-0005-0000-0000-00002B540000}"/>
    <cellStyle name="40% - Accent5 2 7 5" xfId="21501" xr:uid="{00000000-0005-0000-0000-00002C540000}"/>
    <cellStyle name="40% - Accent5 2 8" xfId="21502" xr:uid="{00000000-0005-0000-0000-00002D540000}"/>
    <cellStyle name="40% - Accent5 2 8 2" xfId="21503" xr:uid="{00000000-0005-0000-0000-00002E540000}"/>
    <cellStyle name="40% - Accent5 2 8 2 2" xfId="21504" xr:uid="{00000000-0005-0000-0000-00002F540000}"/>
    <cellStyle name="40% - Accent5 2 8 2 2 2" xfId="21505" xr:uid="{00000000-0005-0000-0000-000030540000}"/>
    <cellStyle name="40% - Accent5 2 8 2 3" xfId="21506" xr:uid="{00000000-0005-0000-0000-000031540000}"/>
    <cellStyle name="40% - Accent5 2 8 3" xfId="21507" xr:uid="{00000000-0005-0000-0000-000032540000}"/>
    <cellStyle name="40% - Accent5 2 8 3 2" xfId="21508" xr:uid="{00000000-0005-0000-0000-000033540000}"/>
    <cellStyle name="40% - Accent5 2 8 4" xfId="21509" xr:uid="{00000000-0005-0000-0000-000034540000}"/>
    <cellStyle name="40% - Accent5 2 9" xfId="21510" xr:uid="{00000000-0005-0000-0000-000035540000}"/>
    <cellStyle name="40% - Accent5 2 9 2" xfId="21511" xr:uid="{00000000-0005-0000-0000-000036540000}"/>
    <cellStyle name="40% - Accent5 2 9 2 2" xfId="21512" xr:uid="{00000000-0005-0000-0000-000037540000}"/>
    <cellStyle name="40% - Accent5 2 9 3" xfId="21513" xr:uid="{00000000-0005-0000-0000-000038540000}"/>
    <cellStyle name="40% - Accent5 3" xfId="21514" xr:uid="{00000000-0005-0000-0000-000039540000}"/>
    <cellStyle name="40% - Accent5 3 10" xfId="21515" xr:uid="{00000000-0005-0000-0000-00003A540000}"/>
    <cellStyle name="40% - Accent5 3 2" xfId="21516" xr:uid="{00000000-0005-0000-0000-00003B540000}"/>
    <cellStyle name="40% - Accent5 3 2 2" xfId="21517" xr:uid="{00000000-0005-0000-0000-00003C540000}"/>
    <cellStyle name="40% - Accent5 3 2 2 2" xfId="21518" xr:uid="{00000000-0005-0000-0000-00003D540000}"/>
    <cellStyle name="40% - Accent5 3 2 2 2 2" xfId="21519" xr:uid="{00000000-0005-0000-0000-00003E540000}"/>
    <cellStyle name="40% - Accent5 3 2 2 2 2 2" xfId="21520" xr:uid="{00000000-0005-0000-0000-00003F540000}"/>
    <cellStyle name="40% - Accent5 3 2 2 2 2 2 2" xfId="21521" xr:uid="{00000000-0005-0000-0000-000040540000}"/>
    <cellStyle name="40% - Accent5 3 2 2 2 2 2 2 2" xfId="21522" xr:uid="{00000000-0005-0000-0000-000041540000}"/>
    <cellStyle name="40% - Accent5 3 2 2 2 2 2 2 2 2" xfId="21523" xr:uid="{00000000-0005-0000-0000-000042540000}"/>
    <cellStyle name="40% - Accent5 3 2 2 2 2 2 2 2 2 2" xfId="21524" xr:uid="{00000000-0005-0000-0000-000043540000}"/>
    <cellStyle name="40% - Accent5 3 2 2 2 2 2 2 2 3" xfId="21525" xr:uid="{00000000-0005-0000-0000-000044540000}"/>
    <cellStyle name="40% - Accent5 3 2 2 2 2 2 2 3" xfId="21526" xr:uid="{00000000-0005-0000-0000-000045540000}"/>
    <cellStyle name="40% - Accent5 3 2 2 2 2 2 2 3 2" xfId="21527" xr:uid="{00000000-0005-0000-0000-000046540000}"/>
    <cellStyle name="40% - Accent5 3 2 2 2 2 2 2 4" xfId="21528" xr:uid="{00000000-0005-0000-0000-000047540000}"/>
    <cellStyle name="40% - Accent5 3 2 2 2 2 2 3" xfId="21529" xr:uid="{00000000-0005-0000-0000-000048540000}"/>
    <cellStyle name="40% - Accent5 3 2 2 2 2 2 3 2" xfId="21530" xr:uid="{00000000-0005-0000-0000-000049540000}"/>
    <cellStyle name="40% - Accent5 3 2 2 2 2 2 3 2 2" xfId="21531" xr:uid="{00000000-0005-0000-0000-00004A540000}"/>
    <cellStyle name="40% - Accent5 3 2 2 2 2 2 3 3" xfId="21532" xr:uid="{00000000-0005-0000-0000-00004B540000}"/>
    <cellStyle name="40% - Accent5 3 2 2 2 2 2 4" xfId="21533" xr:uid="{00000000-0005-0000-0000-00004C540000}"/>
    <cellStyle name="40% - Accent5 3 2 2 2 2 2 4 2" xfId="21534" xr:uid="{00000000-0005-0000-0000-00004D540000}"/>
    <cellStyle name="40% - Accent5 3 2 2 2 2 2 5" xfId="21535" xr:uid="{00000000-0005-0000-0000-00004E540000}"/>
    <cellStyle name="40% - Accent5 3 2 2 2 2 3" xfId="21536" xr:uid="{00000000-0005-0000-0000-00004F540000}"/>
    <cellStyle name="40% - Accent5 3 2 2 2 2 3 2" xfId="21537" xr:uid="{00000000-0005-0000-0000-000050540000}"/>
    <cellStyle name="40% - Accent5 3 2 2 2 2 3 2 2" xfId="21538" xr:uid="{00000000-0005-0000-0000-000051540000}"/>
    <cellStyle name="40% - Accent5 3 2 2 2 2 3 2 2 2" xfId="21539" xr:uid="{00000000-0005-0000-0000-000052540000}"/>
    <cellStyle name="40% - Accent5 3 2 2 2 2 3 2 3" xfId="21540" xr:uid="{00000000-0005-0000-0000-000053540000}"/>
    <cellStyle name="40% - Accent5 3 2 2 2 2 3 3" xfId="21541" xr:uid="{00000000-0005-0000-0000-000054540000}"/>
    <cellStyle name="40% - Accent5 3 2 2 2 2 3 3 2" xfId="21542" xr:uid="{00000000-0005-0000-0000-000055540000}"/>
    <cellStyle name="40% - Accent5 3 2 2 2 2 3 4" xfId="21543" xr:uid="{00000000-0005-0000-0000-000056540000}"/>
    <cellStyle name="40% - Accent5 3 2 2 2 2 4" xfId="21544" xr:uid="{00000000-0005-0000-0000-000057540000}"/>
    <cellStyle name="40% - Accent5 3 2 2 2 2 4 2" xfId="21545" xr:uid="{00000000-0005-0000-0000-000058540000}"/>
    <cellStyle name="40% - Accent5 3 2 2 2 2 4 2 2" xfId="21546" xr:uid="{00000000-0005-0000-0000-000059540000}"/>
    <cellStyle name="40% - Accent5 3 2 2 2 2 4 3" xfId="21547" xr:uid="{00000000-0005-0000-0000-00005A540000}"/>
    <cellStyle name="40% - Accent5 3 2 2 2 2 5" xfId="21548" xr:uid="{00000000-0005-0000-0000-00005B540000}"/>
    <cellStyle name="40% - Accent5 3 2 2 2 2 5 2" xfId="21549" xr:uid="{00000000-0005-0000-0000-00005C540000}"/>
    <cellStyle name="40% - Accent5 3 2 2 2 2 6" xfId="21550" xr:uid="{00000000-0005-0000-0000-00005D540000}"/>
    <cellStyle name="40% - Accent5 3 2 2 2 3" xfId="21551" xr:uid="{00000000-0005-0000-0000-00005E540000}"/>
    <cellStyle name="40% - Accent5 3 2 2 2 3 2" xfId="21552" xr:uid="{00000000-0005-0000-0000-00005F540000}"/>
    <cellStyle name="40% - Accent5 3 2 2 2 3 2 2" xfId="21553" xr:uid="{00000000-0005-0000-0000-000060540000}"/>
    <cellStyle name="40% - Accent5 3 2 2 2 3 2 2 2" xfId="21554" xr:uid="{00000000-0005-0000-0000-000061540000}"/>
    <cellStyle name="40% - Accent5 3 2 2 2 3 2 2 2 2" xfId="21555" xr:uid="{00000000-0005-0000-0000-000062540000}"/>
    <cellStyle name="40% - Accent5 3 2 2 2 3 2 2 3" xfId="21556" xr:uid="{00000000-0005-0000-0000-000063540000}"/>
    <cellStyle name="40% - Accent5 3 2 2 2 3 2 3" xfId="21557" xr:uid="{00000000-0005-0000-0000-000064540000}"/>
    <cellStyle name="40% - Accent5 3 2 2 2 3 2 3 2" xfId="21558" xr:uid="{00000000-0005-0000-0000-000065540000}"/>
    <cellStyle name="40% - Accent5 3 2 2 2 3 2 4" xfId="21559" xr:uid="{00000000-0005-0000-0000-000066540000}"/>
    <cellStyle name="40% - Accent5 3 2 2 2 3 3" xfId="21560" xr:uid="{00000000-0005-0000-0000-000067540000}"/>
    <cellStyle name="40% - Accent5 3 2 2 2 3 3 2" xfId="21561" xr:uid="{00000000-0005-0000-0000-000068540000}"/>
    <cellStyle name="40% - Accent5 3 2 2 2 3 3 2 2" xfId="21562" xr:uid="{00000000-0005-0000-0000-000069540000}"/>
    <cellStyle name="40% - Accent5 3 2 2 2 3 3 3" xfId="21563" xr:uid="{00000000-0005-0000-0000-00006A540000}"/>
    <cellStyle name="40% - Accent5 3 2 2 2 3 4" xfId="21564" xr:uid="{00000000-0005-0000-0000-00006B540000}"/>
    <cellStyle name="40% - Accent5 3 2 2 2 3 4 2" xfId="21565" xr:uid="{00000000-0005-0000-0000-00006C540000}"/>
    <cellStyle name="40% - Accent5 3 2 2 2 3 5" xfId="21566" xr:uid="{00000000-0005-0000-0000-00006D540000}"/>
    <cellStyle name="40% - Accent5 3 2 2 2 4" xfId="21567" xr:uid="{00000000-0005-0000-0000-00006E540000}"/>
    <cellStyle name="40% - Accent5 3 2 2 2 4 2" xfId="21568" xr:uid="{00000000-0005-0000-0000-00006F540000}"/>
    <cellStyle name="40% - Accent5 3 2 2 2 4 2 2" xfId="21569" xr:uid="{00000000-0005-0000-0000-000070540000}"/>
    <cellStyle name="40% - Accent5 3 2 2 2 4 2 2 2" xfId="21570" xr:uid="{00000000-0005-0000-0000-000071540000}"/>
    <cellStyle name="40% - Accent5 3 2 2 2 4 2 3" xfId="21571" xr:uid="{00000000-0005-0000-0000-000072540000}"/>
    <cellStyle name="40% - Accent5 3 2 2 2 4 3" xfId="21572" xr:uid="{00000000-0005-0000-0000-000073540000}"/>
    <cellStyle name="40% - Accent5 3 2 2 2 4 3 2" xfId="21573" xr:uid="{00000000-0005-0000-0000-000074540000}"/>
    <cellStyle name="40% - Accent5 3 2 2 2 4 4" xfId="21574" xr:uid="{00000000-0005-0000-0000-000075540000}"/>
    <cellStyle name="40% - Accent5 3 2 2 2 5" xfId="21575" xr:uid="{00000000-0005-0000-0000-000076540000}"/>
    <cellStyle name="40% - Accent5 3 2 2 2 5 2" xfId="21576" xr:uid="{00000000-0005-0000-0000-000077540000}"/>
    <cellStyle name="40% - Accent5 3 2 2 2 5 2 2" xfId="21577" xr:uid="{00000000-0005-0000-0000-000078540000}"/>
    <cellStyle name="40% - Accent5 3 2 2 2 5 3" xfId="21578" xr:uid="{00000000-0005-0000-0000-000079540000}"/>
    <cellStyle name="40% - Accent5 3 2 2 2 6" xfId="21579" xr:uid="{00000000-0005-0000-0000-00007A540000}"/>
    <cellStyle name="40% - Accent5 3 2 2 2 6 2" xfId="21580" xr:uid="{00000000-0005-0000-0000-00007B540000}"/>
    <cellStyle name="40% - Accent5 3 2 2 2 7" xfId="21581" xr:uid="{00000000-0005-0000-0000-00007C540000}"/>
    <cellStyle name="40% - Accent5 3 2 2 3" xfId="21582" xr:uid="{00000000-0005-0000-0000-00007D540000}"/>
    <cellStyle name="40% - Accent5 3 2 2 3 2" xfId="21583" xr:uid="{00000000-0005-0000-0000-00007E540000}"/>
    <cellStyle name="40% - Accent5 3 2 2 3 2 2" xfId="21584" xr:uid="{00000000-0005-0000-0000-00007F540000}"/>
    <cellStyle name="40% - Accent5 3 2 2 3 2 2 2" xfId="21585" xr:uid="{00000000-0005-0000-0000-000080540000}"/>
    <cellStyle name="40% - Accent5 3 2 2 3 2 2 2 2" xfId="21586" xr:uid="{00000000-0005-0000-0000-000081540000}"/>
    <cellStyle name="40% - Accent5 3 2 2 3 2 2 2 2 2" xfId="21587" xr:uid="{00000000-0005-0000-0000-000082540000}"/>
    <cellStyle name="40% - Accent5 3 2 2 3 2 2 2 3" xfId="21588" xr:uid="{00000000-0005-0000-0000-000083540000}"/>
    <cellStyle name="40% - Accent5 3 2 2 3 2 2 3" xfId="21589" xr:uid="{00000000-0005-0000-0000-000084540000}"/>
    <cellStyle name="40% - Accent5 3 2 2 3 2 2 3 2" xfId="21590" xr:uid="{00000000-0005-0000-0000-000085540000}"/>
    <cellStyle name="40% - Accent5 3 2 2 3 2 2 4" xfId="21591" xr:uid="{00000000-0005-0000-0000-000086540000}"/>
    <cellStyle name="40% - Accent5 3 2 2 3 2 3" xfId="21592" xr:uid="{00000000-0005-0000-0000-000087540000}"/>
    <cellStyle name="40% - Accent5 3 2 2 3 2 3 2" xfId="21593" xr:uid="{00000000-0005-0000-0000-000088540000}"/>
    <cellStyle name="40% - Accent5 3 2 2 3 2 3 2 2" xfId="21594" xr:uid="{00000000-0005-0000-0000-000089540000}"/>
    <cellStyle name="40% - Accent5 3 2 2 3 2 3 3" xfId="21595" xr:uid="{00000000-0005-0000-0000-00008A540000}"/>
    <cellStyle name="40% - Accent5 3 2 2 3 2 4" xfId="21596" xr:uid="{00000000-0005-0000-0000-00008B540000}"/>
    <cellStyle name="40% - Accent5 3 2 2 3 2 4 2" xfId="21597" xr:uid="{00000000-0005-0000-0000-00008C540000}"/>
    <cellStyle name="40% - Accent5 3 2 2 3 2 5" xfId="21598" xr:uid="{00000000-0005-0000-0000-00008D540000}"/>
    <cellStyle name="40% - Accent5 3 2 2 3 3" xfId="21599" xr:uid="{00000000-0005-0000-0000-00008E540000}"/>
    <cellStyle name="40% - Accent5 3 2 2 3 3 2" xfId="21600" xr:uid="{00000000-0005-0000-0000-00008F540000}"/>
    <cellStyle name="40% - Accent5 3 2 2 3 3 2 2" xfId="21601" xr:uid="{00000000-0005-0000-0000-000090540000}"/>
    <cellStyle name="40% - Accent5 3 2 2 3 3 2 2 2" xfId="21602" xr:uid="{00000000-0005-0000-0000-000091540000}"/>
    <cellStyle name="40% - Accent5 3 2 2 3 3 2 3" xfId="21603" xr:uid="{00000000-0005-0000-0000-000092540000}"/>
    <cellStyle name="40% - Accent5 3 2 2 3 3 3" xfId="21604" xr:uid="{00000000-0005-0000-0000-000093540000}"/>
    <cellStyle name="40% - Accent5 3 2 2 3 3 3 2" xfId="21605" xr:uid="{00000000-0005-0000-0000-000094540000}"/>
    <cellStyle name="40% - Accent5 3 2 2 3 3 4" xfId="21606" xr:uid="{00000000-0005-0000-0000-000095540000}"/>
    <cellStyle name="40% - Accent5 3 2 2 3 4" xfId="21607" xr:uid="{00000000-0005-0000-0000-000096540000}"/>
    <cellStyle name="40% - Accent5 3 2 2 3 4 2" xfId="21608" xr:uid="{00000000-0005-0000-0000-000097540000}"/>
    <cellStyle name="40% - Accent5 3 2 2 3 4 2 2" xfId="21609" xr:uid="{00000000-0005-0000-0000-000098540000}"/>
    <cellStyle name="40% - Accent5 3 2 2 3 4 3" xfId="21610" xr:uid="{00000000-0005-0000-0000-000099540000}"/>
    <cellStyle name="40% - Accent5 3 2 2 3 5" xfId="21611" xr:uid="{00000000-0005-0000-0000-00009A540000}"/>
    <cellStyle name="40% - Accent5 3 2 2 3 5 2" xfId="21612" xr:uid="{00000000-0005-0000-0000-00009B540000}"/>
    <cellStyle name="40% - Accent5 3 2 2 3 6" xfId="21613" xr:uid="{00000000-0005-0000-0000-00009C540000}"/>
    <cellStyle name="40% - Accent5 3 2 2 4" xfId="21614" xr:uid="{00000000-0005-0000-0000-00009D540000}"/>
    <cellStyle name="40% - Accent5 3 2 2 4 2" xfId="21615" xr:uid="{00000000-0005-0000-0000-00009E540000}"/>
    <cellStyle name="40% - Accent5 3 2 2 4 2 2" xfId="21616" xr:uid="{00000000-0005-0000-0000-00009F540000}"/>
    <cellStyle name="40% - Accent5 3 2 2 4 2 2 2" xfId="21617" xr:uid="{00000000-0005-0000-0000-0000A0540000}"/>
    <cellStyle name="40% - Accent5 3 2 2 4 2 2 2 2" xfId="21618" xr:uid="{00000000-0005-0000-0000-0000A1540000}"/>
    <cellStyle name="40% - Accent5 3 2 2 4 2 2 3" xfId="21619" xr:uid="{00000000-0005-0000-0000-0000A2540000}"/>
    <cellStyle name="40% - Accent5 3 2 2 4 2 3" xfId="21620" xr:uid="{00000000-0005-0000-0000-0000A3540000}"/>
    <cellStyle name="40% - Accent5 3 2 2 4 2 3 2" xfId="21621" xr:uid="{00000000-0005-0000-0000-0000A4540000}"/>
    <cellStyle name="40% - Accent5 3 2 2 4 2 4" xfId="21622" xr:uid="{00000000-0005-0000-0000-0000A5540000}"/>
    <cellStyle name="40% - Accent5 3 2 2 4 3" xfId="21623" xr:uid="{00000000-0005-0000-0000-0000A6540000}"/>
    <cellStyle name="40% - Accent5 3 2 2 4 3 2" xfId="21624" xr:uid="{00000000-0005-0000-0000-0000A7540000}"/>
    <cellStyle name="40% - Accent5 3 2 2 4 3 2 2" xfId="21625" xr:uid="{00000000-0005-0000-0000-0000A8540000}"/>
    <cellStyle name="40% - Accent5 3 2 2 4 3 3" xfId="21626" xr:uid="{00000000-0005-0000-0000-0000A9540000}"/>
    <cellStyle name="40% - Accent5 3 2 2 4 4" xfId="21627" xr:uid="{00000000-0005-0000-0000-0000AA540000}"/>
    <cellStyle name="40% - Accent5 3 2 2 4 4 2" xfId="21628" xr:uid="{00000000-0005-0000-0000-0000AB540000}"/>
    <cellStyle name="40% - Accent5 3 2 2 4 5" xfId="21629" xr:uid="{00000000-0005-0000-0000-0000AC540000}"/>
    <cellStyle name="40% - Accent5 3 2 2 5" xfId="21630" xr:uid="{00000000-0005-0000-0000-0000AD540000}"/>
    <cellStyle name="40% - Accent5 3 2 2 5 2" xfId="21631" xr:uid="{00000000-0005-0000-0000-0000AE540000}"/>
    <cellStyle name="40% - Accent5 3 2 2 5 2 2" xfId="21632" xr:uid="{00000000-0005-0000-0000-0000AF540000}"/>
    <cellStyle name="40% - Accent5 3 2 2 5 2 2 2" xfId="21633" xr:uid="{00000000-0005-0000-0000-0000B0540000}"/>
    <cellStyle name="40% - Accent5 3 2 2 5 2 3" xfId="21634" xr:uid="{00000000-0005-0000-0000-0000B1540000}"/>
    <cellStyle name="40% - Accent5 3 2 2 5 3" xfId="21635" xr:uid="{00000000-0005-0000-0000-0000B2540000}"/>
    <cellStyle name="40% - Accent5 3 2 2 5 3 2" xfId="21636" xr:uid="{00000000-0005-0000-0000-0000B3540000}"/>
    <cellStyle name="40% - Accent5 3 2 2 5 4" xfId="21637" xr:uid="{00000000-0005-0000-0000-0000B4540000}"/>
    <cellStyle name="40% - Accent5 3 2 2 6" xfId="21638" xr:uid="{00000000-0005-0000-0000-0000B5540000}"/>
    <cellStyle name="40% - Accent5 3 2 2 6 2" xfId="21639" xr:uid="{00000000-0005-0000-0000-0000B6540000}"/>
    <cellStyle name="40% - Accent5 3 2 2 6 2 2" xfId="21640" xr:uid="{00000000-0005-0000-0000-0000B7540000}"/>
    <cellStyle name="40% - Accent5 3 2 2 6 3" xfId="21641" xr:uid="{00000000-0005-0000-0000-0000B8540000}"/>
    <cellStyle name="40% - Accent5 3 2 2 7" xfId="21642" xr:uid="{00000000-0005-0000-0000-0000B9540000}"/>
    <cellStyle name="40% - Accent5 3 2 2 7 2" xfId="21643" xr:uid="{00000000-0005-0000-0000-0000BA540000}"/>
    <cellStyle name="40% - Accent5 3 2 2 8" xfId="21644" xr:uid="{00000000-0005-0000-0000-0000BB540000}"/>
    <cellStyle name="40% - Accent5 3 2 3" xfId="21645" xr:uid="{00000000-0005-0000-0000-0000BC540000}"/>
    <cellStyle name="40% - Accent5 3 2 3 2" xfId="21646" xr:uid="{00000000-0005-0000-0000-0000BD540000}"/>
    <cellStyle name="40% - Accent5 3 2 3 2 2" xfId="21647" xr:uid="{00000000-0005-0000-0000-0000BE540000}"/>
    <cellStyle name="40% - Accent5 3 2 3 2 2 2" xfId="21648" xr:uid="{00000000-0005-0000-0000-0000BF540000}"/>
    <cellStyle name="40% - Accent5 3 2 3 2 2 2 2" xfId="21649" xr:uid="{00000000-0005-0000-0000-0000C0540000}"/>
    <cellStyle name="40% - Accent5 3 2 3 2 2 2 2 2" xfId="21650" xr:uid="{00000000-0005-0000-0000-0000C1540000}"/>
    <cellStyle name="40% - Accent5 3 2 3 2 2 2 2 2 2" xfId="21651" xr:uid="{00000000-0005-0000-0000-0000C2540000}"/>
    <cellStyle name="40% - Accent5 3 2 3 2 2 2 2 3" xfId="21652" xr:uid="{00000000-0005-0000-0000-0000C3540000}"/>
    <cellStyle name="40% - Accent5 3 2 3 2 2 2 3" xfId="21653" xr:uid="{00000000-0005-0000-0000-0000C4540000}"/>
    <cellStyle name="40% - Accent5 3 2 3 2 2 2 3 2" xfId="21654" xr:uid="{00000000-0005-0000-0000-0000C5540000}"/>
    <cellStyle name="40% - Accent5 3 2 3 2 2 2 4" xfId="21655" xr:uid="{00000000-0005-0000-0000-0000C6540000}"/>
    <cellStyle name="40% - Accent5 3 2 3 2 2 3" xfId="21656" xr:uid="{00000000-0005-0000-0000-0000C7540000}"/>
    <cellStyle name="40% - Accent5 3 2 3 2 2 3 2" xfId="21657" xr:uid="{00000000-0005-0000-0000-0000C8540000}"/>
    <cellStyle name="40% - Accent5 3 2 3 2 2 3 2 2" xfId="21658" xr:uid="{00000000-0005-0000-0000-0000C9540000}"/>
    <cellStyle name="40% - Accent5 3 2 3 2 2 3 3" xfId="21659" xr:uid="{00000000-0005-0000-0000-0000CA540000}"/>
    <cellStyle name="40% - Accent5 3 2 3 2 2 4" xfId="21660" xr:uid="{00000000-0005-0000-0000-0000CB540000}"/>
    <cellStyle name="40% - Accent5 3 2 3 2 2 4 2" xfId="21661" xr:uid="{00000000-0005-0000-0000-0000CC540000}"/>
    <cellStyle name="40% - Accent5 3 2 3 2 2 5" xfId="21662" xr:uid="{00000000-0005-0000-0000-0000CD540000}"/>
    <cellStyle name="40% - Accent5 3 2 3 2 3" xfId="21663" xr:uid="{00000000-0005-0000-0000-0000CE540000}"/>
    <cellStyle name="40% - Accent5 3 2 3 2 3 2" xfId="21664" xr:uid="{00000000-0005-0000-0000-0000CF540000}"/>
    <cellStyle name="40% - Accent5 3 2 3 2 3 2 2" xfId="21665" xr:uid="{00000000-0005-0000-0000-0000D0540000}"/>
    <cellStyle name="40% - Accent5 3 2 3 2 3 2 2 2" xfId="21666" xr:uid="{00000000-0005-0000-0000-0000D1540000}"/>
    <cellStyle name="40% - Accent5 3 2 3 2 3 2 3" xfId="21667" xr:uid="{00000000-0005-0000-0000-0000D2540000}"/>
    <cellStyle name="40% - Accent5 3 2 3 2 3 3" xfId="21668" xr:uid="{00000000-0005-0000-0000-0000D3540000}"/>
    <cellStyle name="40% - Accent5 3 2 3 2 3 3 2" xfId="21669" xr:uid="{00000000-0005-0000-0000-0000D4540000}"/>
    <cellStyle name="40% - Accent5 3 2 3 2 3 4" xfId="21670" xr:uid="{00000000-0005-0000-0000-0000D5540000}"/>
    <cellStyle name="40% - Accent5 3 2 3 2 4" xfId="21671" xr:uid="{00000000-0005-0000-0000-0000D6540000}"/>
    <cellStyle name="40% - Accent5 3 2 3 2 4 2" xfId="21672" xr:uid="{00000000-0005-0000-0000-0000D7540000}"/>
    <cellStyle name="40% - Accent5 3 2 3 2 4 2 2" xfId="21673" xr:uid="{00000000-0005-0000-0000-0000D8540000}"/>
    <cellStyle name="40% - Accent5 3 2 3 2 4 3" xfId="21674" xr:uid="{00000000-0005-0000-0000-0000D9540000}"/>
    <cellStyle name="40% - Accent5 3 2 3 2 5" xfId="21675" xr:uid="{00000000-0005-0000-0000-0000DA540000}"/>
    <cellStyle name="40% - Accent5 3 2 3 2 5 2" xfId="21676" xr:uid="{00000000-0005-0000-0000-0000DB540000}"/>
    <cellStyle name="40% - Accent5 3 2 3 2 6" xfId="21677" xr:uid="{00000000-0005-0000-0000-0000DC540000}"/>
    <cellStyle name="40% - Accent5 3 2 3 3" xfId="21678" xr:uid="{00000000-0005-0000-0000-0000DD540000}"/>
    <cellStyle name="40% - Accent5 3 2 3 3 2" xfId="21679" xr:uid="{00000000-0005-0000-0000-0000DE540000}"/>
    <cellStyle name="40% - Accent5 3 2 3 3 2 2" xfId="21680" xr:uid="{00000000-0005-0000-0000-0000DF540000}"/>
    <cellStyle name="40% - Accent5 3 2 3 3 2 2 2" xfId="21681" xr:uid="{00000000-0005-0000-0000-0000E0540000}"/>
    <cellStyle name="40% - Accent5 3 2 3 3 2 2 2 2" xfId="21682" xr:uid="{00000000-0005-0000-0000-0000E1540000}"/>
    <cellStyle name="40% - Accent5 3 2 3 3 2 2 3" xfId="21683" xr:uid="{00000000-0005-0000-0000-0000E2540000}"/>
    <cellStyle name="40% - Accent5 3 2 3 3 2 3" xfId="21684" xr:uid="{00000000-0005-0000-0000-0000E3540000}"/>
    <cellStyle name="40% - Accent5 3 2 3 3 2 3 2" xfId="21685" xr:uid="{00000000-0005-0000-0000-0000E4540000}"/>
    <cellStyle name="40% - Accent5 3 2 3 3 2 4" xfId="21686" xr:uid="{00000000-0005-0000-0000-0000E5540000}"/>
    <cellStyle name="40% - Accent5 3 2 3 3 3" xfId="21687" xr:uid="{00000000-0005-0000-0000-0000E6540000}"/>
    <cellStyle name="40% - Accent5 3 2 3 3 3 2" xfId="21688" xr:uid="{00000000-0005-0000-0000-0000E7540000}"/>
    <cellStyle name="40% - Accent5 3 2 3 3 3 2 2" xfId="21689" xr:uid="{00000000-0005-0000-0000-0000E8540000}"/>
    <cellStyle name="40% - Accent5 3 2 3 3 3 3" xfId="21690" xr:uid="{00000000-0005-0000-0000-0000E9540000}"/>
    <cellStyle name="40% - Accent5 3 2 3 3 4" xfId="21691" xr:uid="{00000000-0005-0000-0000-0000EA540000}"/>
    <cellStyle name="40% - Accent5 3 2 3 3 4 2" xfId="21692" xr:uid="{00000000-0005-0000-0000-0000EB540000}"/>
    <cellStyle name="40% - Accent5 3 2 3 3 5" xfId="21693" xr:uid="{00000000-0005-0000-0000-0000EC540000}"/>
    <cellStyle name="40% - Accent5 3 2 3 4" xfId="21694" xr:uid="{00000000-0005-0000-0000-0000ED540000}"/>
    <cellStyle name="40% - Accent5 3 2 3 4 2" xfId="21695" xr:uid="{00000000-0005-0000-0000-0000EE540000}"/>
    <cellStyle name="40% - Accent5 3 2 3 4 2 2" xfId="21696" xr:uid="{00000000-0005-0000-0000-0000EF540000}"/>
    <cellStyle name="40% - Accent5 3 2 3 4 2 2 2" xfId="21697" xr:uid="{00000000-0005-0000-0000-0000F0540000}"/>
    <cellStyle name="40% - Accent5 3 2 3 4 2 3" xfId="21698" xr:uid="{00000000-0005-0000-0000-0000F1540000}"/>
    <cellStyle name="40% - Accent5 3 2 3 4 3" xfId="21699" xr:uid="{00000000-0005-0000-0000-0000F2540000}"/>
    <cellStyle name="40% - Accent5 3 2 3 4 3 2" xfId="21700" xr:uid="{00000000-0005-0000-0000-0000F3540000}"/>
    <cellStyle name="40% - Accent5 3 2 3 4 4" xfId="21701" xr:uid="{00000000-0005-0000-0000-0000F4540000}"/>
    <cellStyle name="40% - Accent5 3 2 3 5" xfId="21702" xr:uid="{00000000-0005-0000-0000-0000F5540000}"/>
    <cellStyle name="40% - Accent5 3 2 3 5 2" xfId="21703" xr:uid="{00000000-0005-0000-0000-0000F6540000}"/>
    <cellStyle name="40% - Accent5 3 2 3 5 2 2" xfId="21704" xr:uid="{00000000-0005-0000-0000-0000F7540000}"/>
    <cellStyle name="40% - Accent5 3 2 3 5 3" xfId="21705" xr:uid="{00000000-0005-0000-0000-0000F8540000}"/>
    <cellStyle name="40% - Accent5 3 2 3 6" xfId="21706" xr:uid="{00000000-0005-0000-0000-0000F9540000}"/>
    <cellStyle name="40% - Accent5 3 2 3 6 2" xfId="21707" xr:uid="{00000000-0005-0000-0000-0000FA540000}"/>
    <cellStyle name="40% - Accent5 3 2 3 7" xfId="21708" xr:uid="{00000000-0005-0000-0000-0000FB540000}"/>
    <cellStyle name="40% - Accent5 3 2 4" xfId="21709" xr:uid="{00000000-0005-0000-0000-0000FC540000}"/>
    <cellStyle name="40% - Accent5 3 2 4 2" xfId="21710" xr:uid="{00000000-0005-0000-0000-0000FD540000}"/>
    <cellStyle name="40% - Accent5 3 2 4 2 2" xfId="21711" xr:uid="{00000000-0005-0000-0000-0000FE540000}"/>
    <cellStyle name="40% - Accent5 3 2 4 2 2 2" xfId="21712" xr:uid="{00000000-0005-0000-0000-0000FF540000}"/>
    <cellStyle name="40% - Accent5 3 2 4 2 2 2 2" xfId="21713" xr:uid="{00000000-0005-0000-0000-000000550000}"/>
    <cellStyle name="40% - Accent5 3 2 4 2 2 2 2 2" xfId="21714" xr:uid="{00000000-0005-0000-0000-000001550000}"/>
    <cellStyle name="40% - Accent5 3 2 4 2 2 2 3" xfId="21715" xr:uid="{00000000-0005-0000-0000-000002550000}"/>
    <cellStyle name="40% - Accent5 3 2 4 2 2 3" xfId="21716" xr:uid="{00000000-0005-0000-0000-000003550000}"/>
    <cellStyle name="40% - Accent5 3 2 4 2 2 3 2" xfId="21717" xr:uid="{00000000-0005-0000-0000-000004550000}"/>
    <cellStyle name="40% - Accent5 3 2 4 2 2 4" xfId="21718" xr:uid="{00000000-0005-0000-0000-000005550000}"/>
    <cellStyle name="40% - Accent5 3 2 4 2 3" xfId="21719" xr:uid="{00000000-0005-0000-0000-000006550000}"/>
    <cellStyle name="40% - Accent5 3 2 4 2 3 2" xfId="21720" xr:uid="{00000000-0005-0000-0000-000007550000}"/>
    <cellStyle name="40% - Accent5 3 2 4 2 3 2 2" xfId="21721" xr:uid="{00000000-0005-0000-0000-000008550000}"/>
    <cellStyle name="40% - Accent5 3 2 4 2 3 3" xfId="21722" xr:uid="{00000000-0005-0000-0000-000009550000}"/>
    <cellStyle name="40% - Accent5 3 2 4 2 4" xfId="21723" xr:uid="{00000000-0005-0000-0000-00000A550000}"/>
    <cellStyle name="40% - Accent5 3 2 4 2 4 2" xfId="21724" xr:uid="{00000000-0005-0000-0000-00000B550000}"/>
    <cellStyle name="40% - Accent5 3 2 4 2 5" xfId="21725" xr:uid="{00000000-0005-0000-0000-00000C550000}"/>
    <cellStyle name="40% - Accent5 3 2 4 3" xfId="21726" xr:uid="{00000000-0005-0000-0000-00000D550000}"/>
    <cellStyle name="40% - Accent5 3 2 4 3 2" xfId="21727" xr:uid="{00000000-0005-0000-0000-00000E550000}"/>
    <cellStyle name="40% - Accent5 3 2 4 3 2 2" xfId="21728" xr:uid="{00000000-0005-0000-0000-00000F550000}"/>
    <cellStyle name="40% - Accent5 3 2 4 3 2 2 2" xfId="21729" xr:uid="{00000000-0005-0000-0000-000010550000}"/>
    <cellStyle name="40% - Accent5 3 2 4 3 2 3" xfId="21730" xr:uid="{00000000-0005-0000-0000-000011550000}"/>
    <cellStyle name="40% - Accent5 3 2 4 3 3" xfId="21731" xr:uid="{00000000-0005-0000-0000-000012550000}"/>
    <cellStyle name="40% - Accent5 3 2 4 3 3 2" xfId="21732" xr:uid="{00000000-0005-0000-0000-000013550000}"/>
    <cellStyle name="40% - Accent5 3 2 4 3 4" xfId="21733" xr:uid="{00000000-0005-0000-0000-000014550000}"/>
    <cellStyle name="40% - Accent5 3 2 4 4" xfId="21734" xr:uid="{00000000-0005-0000-0000-000015550000}"/>
    <cellStyle name="40% - Accent5 3 2 4 4 2" xfId="21735" xr:uid="{00000000-0005-0000-0000-000016550000}"/>
    <cellStyle name="40% - Accent5 3 2 4 4 2 2" xfId="21736" xr:uid="{00000000-0005-0000-0000-000017550000}"/>
    <cellStyle name="40% - Accent5 3 2 4 4 3" xfId="21737" xr:uid="{00000000-0005-0000-0000-000018550000}"/>
    <cellStyle name="40% - Accent5 3 2 4 5" xfId="21738" xr:uid="{00000000-0005-0000-0000-000019550000}"/>
    <cellStyle name="40% - Accent5 3 2 4 5 2" xfId="21739" xr:uid="{00000000-0005-0000-0000-00001A550000}"/>
    <cellStyle name="40% - Accent5 3 2 4 6" xfId="21740" xr:uid="{00000000-0005-0000-0000-00001B550000}"/>
    <cellStyle name="40% - Accent5 3 2 5" xfId="21741" xr:uid="{00000000-0005-0000-0000-00001C550000}"/>
    <cellStyle name="40% - Accent5 3 2 5 2" xfId="21742" xr:uid="{00000000-0005-0000-0000-00001D550000}"/>
    <cellStyle name="40% - Accent5 3 2 5 2 2" xfId="21743" xr:uid="{00000000-0005-0000-0000-00001E550000}"/>
    <cellStyle name="40% - Accent5 3 2 5 2 2 2" xfId="21744" xr:uid="{00000000-0005-0000-0000-00001F550000}"/>
    <cellStyle name="40% - Accent5 3 2 5 2 2 2 2" xfId="21745" xr:uid="{00000000-0005-0000-0000-000020550000}"/>
    <cellStyle name="40% - Accent5 3 2 5 2 2 3" xfId="21746" xr:uid="{00000000-0005-0000-0000-000021550000}"/>
    <cellStyle name="40% - Accent5 3 2 5 2 3" xfId="21747" xr:uid="{00000000-0005-0000-0000-000022550000}"/>
    <cellStyle name="40% - Accent5 3 2 5 2 3 2" xfId="21748" xr:uid="{00000000-0005-0000-0000-000023550000}"/>
    <cellStyle name="40% - Accent5 3 2 5 2 4" xfId="21749" xr:uid="{00000000-0005-0000-0000-000024550000}"/>
    <cellStyle name="40% - Accent5 3 2 5 3" xfId="21750" xr:uid="{00000000-0005-0000-0000-000025550000}"/>
    <cellStyle name="40% - Accent5 3 2 5 3 2" xfId="21751" xr:uid="{00000000-0005-0000-0000-000026550000}"/>
    <cellStyle name="40% - Accent5 3 2 5 3 2 2" xfId="21752" xr:uid="{00000000-0005-0000-0000-000027550000}"/>
    <cellStyle name="40% - Accent5 3 2 5 3 3" xfId="21753" xr:uid="{00000000-0005-0000-0000-000028550000}"/>
    <cellStyle name="40% - Accent5 3 2 5 4" xfId="21754" xr:uid="{00000000-0005-0000-0000-000029550000}"/>
    <cellStyle name="40% - Accent5 3 2 5 4 2" xfId="21755" xr:uid="{00000000-0005-0000-0000-00002A550000}"/>
    <cellStyle name="40% - Accent5 3 2 5 5" xfId="21756" xr:uid="{00000000-0005-0000-0000-00002B550000}"/>
    <cellStyle name="40% - Accent5 3 2 6" xfId="21757" xr:uid="{00000000-0005-0000-0000-00002C550000}"/>
    <cellStyle name="40% - Accent5 3 2 6 2" xfId="21758" xr:uid="{00000000-0005-0000-0000-00002D550000}"/>
    <cellStyle name="40% - Accent5 3 2 6 2 2" xfId="21759" xr:uid="{00000000-0005-0000-0000-00002E550000}"/>
    <cellStyle name="40% - Accent5 3 2 6 2 2 2" xfId="21760" xr:uid="{00000000-0005-0000-0000-00002F550000}"/>
    <cellStyle name="40% - Accent5 3 2 6 2 3" xfId="21761" xr:uid="{00000000-0005-0000-0000-000030550000}"/>
    <cellStyle name="40% - Accent5 3 2 6 3" xfId="21762" xr:uid="{00000000-0005-0000-0000-000031550000}"/>
    <cellStyle name="40% - Accent5 3 2 6 3 2" xfId="21763" xr:uid="{00000000-0005-0000-0000-000032550000}"/>
    <cellStyle name="40% - Accent5 3 2 6 4" xfId="21764" xr:uid="{00000000-0005-0000-0000-000033550000}"/>
    <cellStyle name="40% - Accent5 3 2 7" xfId="21765" xr:uid="{00000000-0005-0000-0000-000034550000}"/>
    <cellStyle name="40% - Accent5 3 2 7 2" xfId="21766" xr:uid="{00000000-0005-0000-0000-000035550000}"/>
    <cellStyle name="40% - Accent5 3 2 7 2 2" xfId="21767" xr:uid="{00000000-0005-0000-0000-000036550000}"/>
    <cellStyle name="40% - Accent5 3 2 7 3" xfId="21768" xr:uid="{00000000-0005-0000-0000-000037550000}"/>
    <cellStyle name="40% - Accent5 3 2 8" xfId="21769" xr:uid="{00000000-0005-0000-0000-000038550000}"/>
    <cellStyle name="40% - Accent5 3 2 8 2" xfId="21770" xr:uid="{00000000-0005-0000-0000-000039550000}"/>
    <cellStyle name="40% - Accent5 3 2 9" xfId="21771" xr:uid="{00000000-0005-0000-0000-00003A550000}"/>
    <cellStyle name="40% - Accent5 3 3" xfId="21772" xr:uid="{00000000-0005-0000-0000-00003B550000}"/>
    <cellStyle name="40% - Accent5 3 3 2" xfId="21773" xr:uid="{00000000-0005-0000-0000-00003C550000}"/>
    <cellStyle name="40% - Accent5 3 3 2 2" xfId="21774" xr:uid="{00000000-0005-0000-0000-00003D550000}"/>
    <cellStyle name="40% - Accent5 3 3 2 2 2" xfId="21775" xr:uid="{00000000-0005-0000-0000-00003E550000}"/>
    <cellStyle name="40% - Accent5 3 3 2 2 2 2" xfId="21776" xr:uid="{00000000-0005-0000-0000-00003F550000}"/>
    <cellStyle name="40% - Accent5 3 3 2 2 2 2 2" xfId="21777" xr:uid="{00000000-0005-0000-0000-000040550000}"/>
    <cellStyle name="40% - Accent5 3 3 2 2 2 2 2 2" xfId="21778" xr:uid="{00000000-0005-0000-0000-000041550000}"/>
    <cellStyle name="40% - Accent5 3 3 2 2 2 2 2 2 2" xfId="21779" xr:uid="{00000000-0005-0000-0000-000042550000}"/>
    <cellStyle name="40% - Accent5 3 3 2 2 2 2 2 3" xfId="21780" xr:uid="{00000000-0005-0000-0000-000043550000}"/>
    <cellStyle name="40% - Accent5 3 3 2 2 2 2 3" xfId="21781" xr:uid="{00000000-0005-0000-0000-000044550000}"/>
    <cellStyle name="40% - Accent5 3 3 2 2 2 2 3 2" xfId="21782" xr:uid="{00000000-0005-0000-0000-000045550000}"/>
    <cellStyle name="40% - Accent5 3 3 2 2 2 2 4" xfId="21783" xr:uid="{00000000-0005-0000-0000-000046550000}"/>
    <cellStyle name="40% - Accent5 3 3 2 2 2 3" xfId="21784" xr:uid="{00000000-0005-0000-0000-000047550000}"/>
    <cellStyle name="40% - Accent5 3 3 2 2 2 3 2" xfId="21785" xr:uid="{00000000-0005-0000-0000-000048550000}"/>
    <cellStyle name="40% - Accent5 3 3 2 2 2 3 2 2" xfId="21786" xr:uid="{00000000-0005-0000-0000-000049550000}"/>
    <cellStyle name="40% - Accent5 3 3 2 2 2 3 3" xfId="21787" xr:uid="{00000000-0005-0000-0000-00004A550000}"/>
    <cellStyle name="40% - Accent5 3 3 2 2 2 4" xfId="21788" xr:uid="{00000000-0005-0000-0000-00004B550000}"/>
    <cellStyle name="40% - Accent5 3 3 2 2 2 4 2" xfId="21789" xr:uid="{00000000-0005-0000-0000-00004C550000}"/>
    <cellStyle name="40% - Accent5 3 3 2 2 2 5" xfId="21790" xr:uid="{00000000-0005-0000-0000-00004D550000}"/>
    <cellStyle name="40% - Accent5 3 3 2 2 3" xfId="21791" xr:uid="{00000000-0005-0000-0000-00004E550000}"/>
    <cellStyle name="40% - Accent5 3 3 2 2 3 2" xfId="21792" xr:uid="{00000000-0005-0000-0000-00004F550000}"/>
    <cellStyle name="40% - Accent5 3 3 2 2 3 2 2" xfId="21793" xr:uid="{00000000-0005-0000-0000-000050550000}"/>
    <cellStyle name="40% - Accent5 3 3 2 2 3 2 2 2" xfId="21794" xr:uid="{00000000-0005-0000-0000-000051550000}"/>
    <cellStyle name="40% - Accent5 3 3 2 2 3 2 3" xfId="21795" xr:uid="{00000000-0005-0000-0000-000052550000}"/>
    <cellStyle name="40% - Accent5 3 3 2 2 3 3" xfId="21796" xr:uid="{00000000-0005-0000-0000-000053550000}"/>
    <cellStyle name="40% - Accent5 3 3 2 2 3 3 2" xfId="21797" xr:uid="{00000000-0005-0000-0000-000054550000}"/>
    <cellStyle name="40% - Accent5 3 3 2 2 3 4" xfId="21798" xr:uid="{00000000-0005-0000-0000-000055550000}"/>
    <cellStyle name="40% - Accent5 3 3 2 2 4" xfId="21799" xr:uid="{00000000-0005-0000-0000-000056550000}"/>
    <cellStyle name="40% - Accent5 3 3 2 2 4 2" xfId="21800" xr:uid="{00000000-0005-0000-0000-000057550000}"/>
    <cellStyle name="40% - Accent5 3 3 2 2 4 2 2" xfId="21801" xr:uid="{00000000-0005-0000-0000-000058550000}"/>
    <cellStyle name="40% - Accent5 3 3 2 2 4 3" xfId="21802" xr:uid="{00000000-0005-0000-0000-000059550000}"/>
    <cellStyle name="40% - Accent5 3 3 2 2 5" xfId="21803" xr:uid="{00000000-0005-0000-0000-00005A550000}"/>
    <cellStyle name="40% - Accent5 3 3 2 2 5 2" xfId="21804" xr:uid="{00000000-0005-0000-0000-00005B550000}"/>
    <cellStyle name="40% - Accent5 3 3 2 2 6" xfId="21805" xr:uid="{00000000-0005-0000-0000-00005C550000}"/>
    <cellStyle name="40% - Accent5 3 3 2 3" xfId="21806" xr:uid="{00000000-0005-0000-0000-00005D550000}"/>
    <cellStyle name="40% - Accent5 3 3 2 3 2" xfId="21807" xr:uid="{00000000-0005-0000-0000-00005E550000}"/>
    <cellStyle name="40% - Accent5 3 3 2 3 2 2" xfId="21808" xr:uid="{00000000-0005-0000-0000-00005F550000}"/>
    <cellStyle name="40% - Accent5 3 3 2 3 2 2 2" xfId="21809" xr:uid="{00000000-0005-0000-0000-000060550000}"/>
    <cellStyle name="40% - Accent5 3 3 2 3 2 2 2 2" xfId="21810" xr:uid="{00000000-0005-0000-0000-000061550000}"/>
    <cellStyle name="40% - Accent5 3 3 2 3 2 2 3" xfId="21811" xr:uid="{00000000-0005-0000-0000-000062550000}"/>
    <cellStyle name="40% - Accent5 3 3 2 3 2 3" xfId="21812" xr:uid="{00000000-0005-0000-0000-000063550000}"/>
    <cellStyle name="40% - Accent5 3 3 2 3 2 3 2" xfId="21813" xr:uid="{00000000-0005-0000-0000-000064550000}"/>
    <cellStyle name="40% - Accent5 3 3 2 3 2 4" xfId="21814" xr:uid="{00000000-0005-0000-0000-000065550000}"/>
    <cellStyle name="40% - Accent5 3 3 2 3 3" xfId="21815" xr:uid="{00000000-0005-0000-0000-000066550000}"/>
    <cellStyle name="40% - Accent5 3 3 2 3 3 2" xfId="21816" xr:uid="{00000000-0005-0000-0000-000067550000}"/>
    <cellStyle name="40% - Accent5 3 3 2 3 3 2 2" xfId="21817" xr:uid="{00000000-0005-0000-0000-000068550000}"/>
    <cellStyle name="40% - Accent5 3 3 2 3 3 3" xfId="21818" xr:uid="{00000000-0005-0000-0000-000069550000}"/>
    <cellStyle name="40% - Accent5 3 3 2 3 4" xfId="21819" xr:uid="{00000000-0005-0000-0000-00006A550000}"/>
    <cellStyle name="40% - Accent5 3 3 2 3 4 2" xfId="21820" xr:uid="{00000000-0005-0000-0000-00006B550000}"/>
    <cellStyle name="40% - Accent5 3 3 2 3 5" xfId="21821" xr:uid="{00000000-0005-0000-0000-00006C550000}"/>
    <cellStyle name="40% - Accent5 3 3 2 4" xfId="21822" xr:uid="{00000000-0005-0000-0000-00006D550000}"/>
    <cellStyle name="40% - Accent5 3 3 2 4 2" xfId="21823" xr:uid="{00000000-0005-0000-0000-00006E550000}"/>
    <cellStyle name="40% - Accent5 3 3 2 4 2 2" xfId="21824" xr:uid="{00000000-0005-0000-0000-00006F550000}"/>
    <cellStyle name="40% - Accent5 3 3 2 4 2 2 2" xfId="21825" xr:uid="{00000000-0005-0000-0000-000070550000}"/>
    <cellStyle name="40% - Accent5 3 3 2 4 2 3" xfId="21826" xr:uid="{00000000-0005-0000-0000-000071550000}"/>
    <cellStyle name="40% - Accent5 3 3 2 4 3" xfId="21827" xr:uid="{00000000-0005-0000-0000-000072550000}"/>
    <cellStyle name="40% - Accent5 3 3 2 4 3 2" xfId="21828" xr:uid="{00000000-0005-0000-0000-000073550000}"/>
    <cellStyle name="40% - Accent5 3 3 2 4 4" xfId="21829" xr:uid="{00000000-0005-0000-0000-000074550000}"/>
    <cellStyle name="40% - Accent5 3 3 2 5" xfId="21830" xr:uid="{00000000-0005-0000-0000-000075550000}"/>
    <cellStyle name="40% - Accent5 3 3 2 5 2" xfId="21831" xr:uid="{00000000-0005-0000-0000-000076550000}"/>
    <cellStyle name="40% - Accent5 3 3 2 5 2 2" xfId="21832" xr:uid="{00000000-0005-0000-0000-000077550000}"/>
    <cellStyle name="40% - Accent5 3 3 2 5 3" xfId="21833" xr:uid="{00000000-0005-0000-0000-000078550000}"/>
    <cellStyle name="40% - Accent5 3 3 2 6" xfId="21834" xr:uid="{00000000-0005-0000-0000-000079550000}"/>
    <cellStyle name="40% - Accent5 3 3 2 6 2" xfId="21835" xr:uid="{00000000-0005-0000-0000-00007A550000}"/>
    <cellStyle name="40% - Accent5 3 3 2 7" xfId="21836" xr:uid="{00000000-0005-0000-0000-00007B550000}"/>
    <cellStyle name="40% - Accent5 3 3 3" xfId="21837" xr:uid="{00000000-0005-0000-0000-00007C550000}"/>
    <cellStyle name="40% - Accent5 3 3 3 2" xfId="21838" xr:uid="{00000000-0005-0000-0000-00007D550000}"/>
    <cellStyle name="40% - Accent5 3 3 3 2 2" xfId="21839" xr:uid="{00000000-0005-0000-0000-00007E550000}"/>
    <cellStyle name="40% - Accent5 3 3 3 2 2 2" xfId="21840" xr:uid="{00000000-0005-0000-0000-00007F550000}"/>
    <cellStyle name="40% - Accent5 3 3 3 2 2 2 2" xfId="21841" xr:uid="{00000000-0005-0000-0000-000080550000}"/>
    <cellStyle name="40% - Accent5 3 3 3 2 2 2 2 2" xfId="21842" xr:uid="{00000000-0005-0000-0000-000081550000}"/>
    <cellStyle name="40% - Accent5 3 3 3 2 2 2 3" xfId="21843" xr:uid="{00000000-0005-0000-0000-000082550000}"/>
    <cellStyle name="40% - Accent5 3 3 3 2 2 3" xfId="21844" xr:uid="{00000000-0005-0000-0000-000083550000}"/>
    <cellStyle name="40% - Accent5 3 3 3 2 2 3 2" xfId="21845" xr:uid="{00000000-0005-0000-0000-000084550000}"/>
    <cellStyle name="40% - Accent5 3 3 3 2 2 4" xfId="21846" xr:uid="{00000000-0005-0000-0000-000085550000}"/>
    <cellStyle name="40% - Accent5 3 3 3 2 3" xfId="21847" xr:uid="{00000000-0005-0000-0000-000086550000}"/>
    <cellStyle name="40% - Accent5 3 3 3 2 3 2" xfId="21848" xr:uid="{00000000-0005-0000-0000-000087550000}"/>
    <cellStyle name="40% - Accent5 3 3 3 2 3 2 2" xfId="21849" xr:uid="{00000000-0005-0000-0000-000088550000}"/>
    <cellStyle name="40% - Accent5 3 3 3 2 3 3" xfId="21850" xr:uid="{00000000-0005-0000-0000-000089550000}"/>
    <cellStyle name="40% - Accent5 3 3 3 2 4" xfId="21851" xr:uid="{00000000-0005-0000-0000-00008A550000}"/>
    <cellStyle name="40% - Accent5 3 3 3 2 4 2" xfId="21852" xr:uid="{00000000-0005-0000-0000-00008B550000}"/>
    <cellStyle name="40% - Accent5 3 3 3 2 5" xfId="21853" xr:uid="{00000000-0005-0000-0000-00008C550000}"/>
    <cellStyle name="40% - Accent5 3 3 3 3" xfId="21854" xr:uid="{00000000-0005-0000-0000-00008D550000}"/>
    <cellStyle name="40% - Accent5 3 3 3 3 2" xfId="21855" xr:uid="{00000000-0005-0000-0000-00008E550000}"/>
    <cellStyle name="40% - Accent5 3 3 3 3 2 2" xfId="21856" xr:uid="{00000000-0005-0000-0000-00008F550000}"/>
    <cellStyle name="40% - Accent5 3 3 3 3 2 2 2" xfId="21857" xr:uid="{00000000-0005-0000-0000-000090550000}"/>
    <cellStyle name="40% - Accent5 3 3 3 3 2 3" xfId="21858" xr:uid="{00000000-0005-0000-0000-000091550000}"/>
    <cellStyle name="40% - Accent5 3 3 3 3 3" xfId="21859" xr:uid="{00000000-0005-0000-0000-000092550000}"/>
    <cellStyle name="40% - Accent5 3 3 3 3 3 2" xfId="21860" xr:uid="{00000000-0005-0000-0000-000093550000}"/>
    <cellStyle name="40% - Accent5 3 3 3 3 4" xfId="21861" xr:uid="{00000000-0005-0000-0000-000094550000}"/>
    <cellStyle name="40% - Accent5 3 3 3 4" xfId="21862" xr:uid="{00000000-0005-0000-0000-000095550000}"/>
    <cellStyle name="40% - Accent5 3 3 3 4 2" xfId="21863" xr:uid="{00000000-0005-0000-0000-000096550000}"/>
    <cellStyle name="40% - Accent5 3 3 3 4 2 2" xfId="21864" xr:uid="{00000000-0005-0000-0000-000097550000}"/>
    <cellStyle name="40% - Accent5 3 3 3 4 3" xfId="21865" xr:uid="{00000000-0005-0000-0000-000098550000}"/>
    <cellStyle name="40% - Accent5 3 3 3 5" xfId="21866" xr:uid="{00000000-0005-0000-0000-000099550000}"/>
    <cellStyle name="40% - Accent5 3 3 3 5 2" xfId="21867" xr:uid="{00000000-0005-0000-0000-00009A550000}"/>
    <cellStyle name="40% - Accent5 3 3 3 6" xfId="21868" xr:uid="{00000000-0005-0000-0000-00009B550000}"/>
    <cellStyle name="40% - Accent5 3 3 4" xfId="21869" xr:uid="{00000000-0005-0000-0000-00009C550000}"/>
    <cellStyle name="40% - Accent5 3 3 4 2" xfId="21870" xr:uid="{00000000-0005-0000-0000-00009D550000}"/>
    <cellStyle name="40% - Accent5 3 3 4 2 2" xfId="21871" xr:uid="{00000000-0005-0000-0000-00009E550000}"/>
    <cellStyle name="40% - Accent5 3 3 4 2 2 2" xfId="21872" xr:uid="{00000000-0005-0000-0000-00009F550000}"/>
    <cellStyle name="40% - Accent5 3 3 4 2 2 2 2" xfId="21873" xr:uid="{00000000-0005-0000-0000-0000A0550000}"/>
    <cellStyle name="40% - Accent5 3 3 4 2 2 3" xfId="21874" xr:uid="{00000000-0005-0000-0000-0000A1550000}"/>
    <cellStyle name="40% - Accent5 3 3 4 2 3" xfId="21875" xr:uid="{00000000-0005-0000-0000-0000A2550000}"/>
    <cellStyle name="40% - Accent5 3 3 4 2 3 2" xfId="21876" xr:uid="{00000000-0005-0000-0000-0000A3550000}"/>
    <cellStyle name="40% - Accent5 3 3 4 2 4" xfId="21877" xr:uid="{00000000-0005-0000-0000-0000A4550000}"/>
    <cellStyle name="40% - Accent5 3 3 4 3" xfId="21878" xr:uid="{00000000-0005-0000-0000-0000A5550000}"/>
    <cellStyle name="40% - Accent5 3 3 4 3 2" xfId="21879" xr:uid="{00000000-0005-0000-0000-0000A6550000}"/>
    <cellStyle name="40% - Accent5 3 3 4 3 2 2" xfId="21880" xr:uid="{00000000-0005-0000-0000-0000A7550000}"/>
    <cellStyle name="40% - Accent5 3 3 4 3 3" xfId="21881" xr:uid="{00000000-0005-0000-0000-0000A8550000}"/>
    <cellStyle name="40% - Accent5 3 3 4 4" xfId="21882" xr:uid="{00000000-0005-0000-0000-0000A9550000}"/>
    <cellStyle name="40% - Accent5 3 3 4 4 2" xfId="21883" xr:uid="{00000000-0005-0000-0000-0000AA550000}"/>
    <cellStyle name="40% - Accent5 3 3 4 5" xfId="21884" xr:uid="{00000000-0005-0000-0000-0000AB550000}"/>
    <cellStyle name="40% - Accent5 3 3 5" xfId="21885" xr:uid="{00000000-0005-0000-0000-0000AC550000}"/>
    <cellStyle name="40% - Accent5 3 3 5 2" xfId="21886" xr:uid="{00000000-0005-0000-0000-0000AD550000}"/>
    <cellStyle name="40% - Accent5 3 3 5 2 2" xfId="21887" xr:uid="{00000000-0005-0000-0000-0000AE550000}"/>
    <cellStyle name="40% - Accent5 3 3 5 2 2 2" xfId="21888" xr:uid="{00000000-0005-0000-0000-0000AF550000}"/>
    <cellStyle name="40% - Accent5 3 3 5 2 3" xfId="21889" xr:uid="{00000000-0005-0000-0000-0000B0550000}"/>
    <cellStyle name="40% - Accent5 3 3 5 3" xfId="21890" xr:uid="{00000000-0005-0000-0000-0000B1550000}"/>
    <cellStyle name="40% - Accent5 3 3 5 3 2" xfId="21891" xr:uid="{00000000-0005-0000-0000-0000B2550000}"/>
    <cellStyle name="40% - Accent5 3 3 5 4" xfId="21892" xr:uid="{00000000-0005-0000-0000-0000B3550000}"/>
    <cellStyle name="40% - Accent5 3 3 6" xfId="21893" xr:uid="{00000000-0005-0000-0000-0000B4550000}"/>
    <cellStyle name="40% - Accent5 3 3 6 2" xfId="21894" xr:uid="{00000000-0005-0000-0000-0000B5550000}"/>
    <cellStyle name="40% - Accent5 3 3 6 2 2" xfId="21895" xr:uid="{00000000-0005-0000-0000-0000B6550000}"/>
    <cellStyle name="40% - Accent5 3 3 6 3" xfId="21896" xr:uid="{00000000-0005-0000-0000-0000B7550000}"/>
    <cellStyle name="40% - Accent5 3 3 7" xfId="21897" xr:uid="{00000000-0005-0000-0000-0000B8550000}"/>
    <cellStyle name="40% - Accent5 3 3 7 2" xfId="21898" xr:uid="{00000000-0005-0000-0000-0000B9550000}"/>
    <cellStyle name="40% - Accent5 3 3 8" xfId="21899" xr:uid="{00000000-0005-0000-0000-0000BA550000}"/>
    <cellStyle name="40% - Accent5 3 4" xfId="21900" xr:uid="{00000000-0005-0000-0000-0000BB550000}"/>
    <cellStyle name="40% - Accent5 3 4 2" xfId="21901" xr:uid="{00000000-0005-0000-0000-0000BC550000}"/>
    <cellStyle name="40% - Accent5 3 4 2 2" xfId="21902" xr:uid="{00000000-0005-0000-0000-0000BD550000}"/>
    <cellStyle name="40% - Accent5 3 4 2 2 2" xfId="21903" xr:uid="{00000000-0005-0000-0000-0000BE550000}"/>
    <cellStyle name="40% - Accent5 3 4 2 2 2 2" xfId="21904" xr:uid="{00000000-0005-0000-0000-0000BF550000}"/>
    <cellStyle name="40% - Accent5 3 4 2 2 2 2 2" xfId="21905" xr:uid="{00000000-0005-0000-0000-0000C0550000}"/>
    <cellStyle name="40% - Accent5 3 4 2 2 2 2 2 2" xfId="21906" xr:uid="{00000000-0005-0000-0000-0000C1550000}"/>
    <cellStyle name="40% - Accent5 3 4 2 2 2 2 3" xfId="21907" xr:uid="{00000000-0005-0000-0000-0000C2550000}"/>
    <cellStyle name="40% - Accent5 3 4 2 2 2 3" xfId="21908" xr:uid="{00000000-0005-0000-0000-0000C3550000}"/>
    <cellStyle name="40% - Accent5 3 4 2 2 2 3 2" xfId="21909" xr:uid="{00000000-0005-0000-0000-0000C4550000}"/>
    <cellStyle name="40% - Accent5 3 4 2 2 2 4" xfId="21910" xr:uid="{00000000-0005-0000-0000-0000C5550000}"/>
    <cellStyle name="40% - Accent5 3 4 2 2 3" xfId="21911" xr:uid="{00000000-0005-0000-0000-0000C6550000}"/>
    <cellStyle name="40% - Accent5 3 4 2 2 3 2" xfId="21912" xr:uid="{00000000-0005-0000-0000-0000C7550000}"/>
    <cellStyle name="40% - Accent5 3 4 2 2 3 2 2" xfId="21913" xr:uid="{00000000-0005-0000-0000-0000C8550000}"/>
    <cellStyle name="40% - Accent5 3 4 2 2 3 3" xfId="21914" xr:uid="{00000000-0005-0000-0000-0000C9550000}"/>
    <cellStyle name="40% - Accent5 3 4 2 2 4" xfId="21915" xr:uid="{00000000-0005-0000-0000-0000CA550000}"/>
    <cellStyle name="40% - Accent5 3 4 2 2 4 2" xfId="21916" xr:uid="{00000000-0005-0000-0000-0000CB550000}"/>
    <cellStyle name="40% - Accent5 3 4 2 2 5" xfId="21917" xr:uid="{00000000-0005-0000-0000-0000CC550000}"/>
    <cellStyle name="40% - Accent5 3 4 2 3" xfId="21918" xr:uid="{00000000-0005-0000-0000-0000CD550000}"/>
    <cellStyle name="40% - Accent5 3 4 2 3 2" xfId="21919" xr:uid="{00000000-0005-0000-0000-0000CE550000}"/>
    <cellStyle name="40% - Accent5 3 4 2 3 2 2" xfId="21920" xr:uid="{00000000-0005-0000-0000-0000CF550000}"/>
    <cellStyle name="40% - Accent5 3 4 2 3 2 2 2" xfId="21921" xr:uid="{00000000-0005-0000-0000-0000D0550000}"/>
    <cellStyle name="40% - Accent5 3 4 2 3 2 3" xfId="21922" xr:uid="{00000000-0005-0000-0000-0000D1550000}"/>
    <cellStyle name="40% - Accent5 3 4 2 3 3" xfId="21923" xr:uid="{00000000-0005-0000-0000-0000D2550000}"/>
    <cellStyle name="40% - Accent5 3 4 2 3 3 2" xfId="21924" xr:uid="{00000000-0005-0000-0000-0000D3550000}"/>
    <cellStyle name="40% - Accent5 3 4 2 3 4" xfId="21925" xr:uid="{00000000-0005-0000-0000-0000D4550000}"/>
    <cellStyle name="40% - Accent5 3 4 2 4" xfId="21926" xr:uid="{00000000-0005-0000-0000-0000D5550000}"/>
    <cellStyle name="40% - Accent5 3 4 2 4 2" xfId="21927" xr:uid="{00000000-0005-0000-0000-0000D6550000}"/>
    <cellStyle name="40% - Accent5 3 4 2 4 2 2" xfId="21928" xr:uid="{00000000-0005-0000-0000-0000D7550000}"/>
    <cellStyle name="40% - Accent5 3 4 2 4 3" xfId="21929" xr:uid="{00000000-0005-0000-0000-0000D8550000}"/>
    <cellStyle name="40% - Accent5 3 4 2 5" xfId="21930" xr:uid="{00000000-0005-0000-0000-0000D9550000}"/>
    <cellStyle name="40% - Accent5 3 4 2 5 2" xfId="21931" xr:uid="{00000000-0005-0000-0000-0000DA550000}"/>
    <cellStyle name="40% - Accent5 3 4 2 6" xfId="21932" xr:uid="{00000000-0005-0000-0000-0000DB550000}"/>
    <cellStyle name="40% - Accent5 3 4 3" xfId="21933" xr:uid="{00000000-0005-0000-0000-0000DC550000}"/>
    <cellStyle name="40% - Accent5 3 4 3 2" xfId="21934" xr:uid="{00000000-0005-0000-0000-0000DD550000}"/>
    <cellStyle name="40% - Accent5 3 4 3 2 2" xfId="21935" xr:uid="{00000000-0005-0000-0000-0000DE550000}"/>
    <cellStyle name="40% - Accent5 3 4 3 2 2 2" xfId="21936" xr:uid="{00000000-0005-0000-0000-0000DF550000}"/>
    <cellStyle name="40% - Accent5 3 4 3 2 2 2 2" xfId="21937" xr:uid="{00000000-0005-0000-0000-0000E0550000}"/>
    <cellStyle name="40% - Accent5 3 4 3 2 2 3" xfId="21938" xr:uid="{00000000-0005-0000-0000-0000E1550000}"/>
    <cellStyle name="40% - Accent5 3 4 3 2 3" xfId="21939" xr:uid="{00000000-0005-0000-0000-0000E2550000}"/>
    <cellStyle name="40% - Accent5 3 4 3 2 3 2" xfId="21940" xr:uid="{00000000-0005-0000-0000-0000E3550000}"/>
    <cellStyle name="40% - Accent5 3 4 3 2 4" xfId="21941" xr:uid="{00000000-0005-0000-0000-0000E4550000}"/>
    <cellStyle name="40% - Accent5 3 4 3 3" xfId="21942" xr:uid="{00000000-0005-0000-0000-0000E5550000}"/>
    <cellStyle name="40% - Accent5 3 4 3 3 2" xfId="21943" xr:uid="{00000000-0005-0000-0000-0000E6550000}"/>
    <cellStyle name="40% - Accent5 3 4 3 3 2 2" xfId="21944" xr:uid="{00000000-0005-0000-0000-0000E7550000}"/>
    <cellStyle name="40% - Accent5 3 4 3 3 3" xfId="21945" xr:uid="{00000000-0005-0000-0000-0000E8550000}"/>
    <cellStyle name="40% - Accent5 3 4 3 4" xfId="21946" xr:uid="{00000000-0005-0000-0000-0000E9550000}"/>
    <cellStyle name="40% - Accent5 3 4 3 4 2" xfId="21947" xr:uid="{00000000-0005-0000-0000-0000EA550000}"/>
    <cellStyle name="40% - Accent5 3 4 3 5" xfId="21948" xr:uid="{00000000-0005-0000-0000-0000EB550000}"/>
    <cellStyle name="40% - Accent5 3 4 4" xfId="21949" xr:uid="{00000000-0005-0000-0000-0000EC550000}"/>
    <cellStyle name="40% - Accent5 3 4 4 2" xfId="21950" xr:uid="{00000000-0005-0000-0000-0000ED550000}"/>
    <cellStyle name="40% - Accent5 3 4 4 2 2" xfId="21951" xr:uid="{00000000-0005-0000-0000-0000EE550000}"/>
    <cellStyle name="40% - Accent5 3 4 4 2 2 2" xfId="21952" xr:uid="{00000000-0005-0000-0000-0000EF550000}"/>
    <cellStyle name="40% - Accent5 3 4 4 2 3" xfId="21953" xr:uid="{00000000-0005-0000-0000-0000F0550000}"/>
    <cellStyle name="40% - Accent5 3 4 4 3" xfId="21954" xr:uid="{00000000-0005-0000-0000-0000F1550000}"/>
    <cellStyle name="40% - Accent5 3 4 4 3 2" xfId="21955" xr:uid="{00000000-0005-0000-0000-0000F2550000}"/>
    <cellStyle name="40% - Accent5 3 4 4 4" xfId="21956" xr:uid="{00000000-0005-0000-0000-0000F3550000}"/>
    <cellStyle name="40% - Accent5 3 4 5" xfId="21957" xr:uid="{00000000-0005-0000-0000-0000F4550000}"/>
    <cellStyle name="40% - Accent5 3 4 5 2" xfId="21958" xr:uid="{00000000-0005-0000-0000-0000F5550000}"/>
    <cellStyle name="40% - Accent5 3 4 5 2 2" xfId="21959" xr:uid="{00000000-0005-0000-0000-0000F6550000}"/>
    <cellStyle name="40% - Accent5 3 4 5 3" xfId="21960" xr:uid="{00000000-0005-0000-0000-0000F7550000}"/>
    <cellStyle name="40% - Accent5 3 4 6" xfId="21961" xr:uid="{00000000-0005-0000-0000-0000F8550000}"/>
    <cellStyle name="40% - Accent5 3 4 6 2" xfId="21962" xr:uid="{00000000-0005-0000-0000-0000F9550000}"/>
    <cellStyle name="40% - Accent5 3 4 7" xfId="21963" xr:uid="{00000000-0005-0000-0000-0000FA550000}"/>
    <cellStyle name="40% - Accent5 3 5" xfId="21964" xr:uid="{00000000-0005-0000-0000-0000FB550000}"/>
    <cellStyle name="40% - Accent5 3 5 2" xfId="21965" xr:uid="{00000000-0005-0000-0000-0000FC550000}"/>
    <cellStyle name="40% - Accent5 3 5 2 2" xfId="21966" xr:uid="{00000000-0005-0000-0000-0000FD550000}"/>
    <cellStyle name="40% - Accent5 3 5 2 2 2" xfId="21967" xr:uid="{00000000-0005-0000-0000-0000FE550000}"/>
    <cellStyle name="40% - Accent5 3 5 2 2 2 2" xfId="21968" xr:uid="{00000000-0005-0000-0000-0000FF550000}"/>
    <cellStyle name="40% - Accent5 3 5 2 2 2 2 2" xfId="21969" xr:uid="{00000000-0005-0000-0000-000000560000}"/>
    <cellStyle name="40% - Accent5 3 5 2 2 2 3" xfId="21970" xr:uid="{00000000-0005-0000-0000-000001560000}"/>
    <cellStyle name="40% - Accent5 3 5 2 2 3" xfId="21971" xr:uid="{00000000-0005-0000-0000-000002560000}"/>
    <cellStyle name="40% - Accent5 3 5 2 2 3 2" xfId="21972" xr:uid="{00000000-0005-0000-0000-000003560000}"/>
    <cellStyle name="40% - Accent5 3 5 2 2 4" xfId="21973" xr:uid="{00000000-0005-0000-0000-000004560000}"/>
    <cellStyle name="40% - Accent5 3 5 2 3" xfId="21974" xr:uid="{00000000-0005-0000-0000-000005560000}"/>
    <cellStyle name="40% - Accent5 3 5 2 3 2" xfId="21975" xr:uid="{00000000-0005-0000-0000-000006560000}"/>
    <cellStyle name="40% - Accent5 3 5 2 3 2 2" xfId="21976" xr:uid="{00000000-0005-0000-0000-000007560000}"/>
    <cellStyle name="40% - Accent5 3 5 2 3 3" xfId="21977" xr:uid="{00000000-0005-0000-0000-000008560000}"/>
    <cellStyle name="40% - Accent5 3 5 2 4" xfId="21978" xr:uid="{00000000-0005-0000-0000-000009560000}"/>
    <cellStyle name="40% - Accent5 3 5 2 4 2" xfId="21979" xr:uid="{00000000-0005-0000-0000-00000A560000}"/>
    <cellStyle name="40% - Accent5 3 5 2 5" xfId="21980" xr:uid="{00000000-0005-0000-0000-00000B560000}"/>
    <cellStyle name="40% - Accent5 3 5 3" xfId="21981" xr:uid="{00000000-0005-0000-0000-00000C560000}"/>
    <cellStyle name="40% - Accent5 3 5 3 2" xfId="21982" xr:uid="{00000000-0005-0000-0000-00000D560000}"/>
    <cellStyle name="40% - Accent5 3 5 3 2 2" xfId="21983" xr:uid="{00000000-0005-0000-0000-00000E560000}"/>
    <cellStyle name="40% - Accent5 3 5 3 2 2 2" xfId="21984" xr:uid="{00000000-0005-0000-0000-00000F560000}"/>
    <cellStyle name="40% - Accent5 3 5 3 2 3" xfId="21985" xr:uid="{00000000-0005-0000-0000-000010560000}"/>
    <cellStyle name="40% - Accent5 3 5 3 3" xfId="21986" xr:uid="{00000000-0005-0000-0000-000011560000}"/>
    <cellStyle name="40% - Accent5 3 5 3 3 2" xfId="21987" xr:uid="{00000000-0005-0000-0000-000012560000}"/>
    <cellStyle name="40% - Accent5 3 5 3 4" xfId="21988" xr:uid="{00000000-0005-0000-0000-000013560000}"/>
    <cellStyle name="40% - Accent5 3 5 4" xfId="21989" xr:uid="{00000000-0005-0000-0000-000014560000}"/>
    <cellStyle name="40% - Accent5 3 5 4 2" xfId="21990" xr:uid="{00000000-0005-0000-0000-000015560000}"/>
    <cellStyle name="40% - Accent5 3 5 4 2 2" xfId="21991" xr:uid="{00000000-0005-0000-0000-000016560000}"/>
    <cellStyle name="40% - Accent5 3 5 4 3" xfId="21992" xr:uid="{00000000-0005-0000-0000-000017560000}"/>
    <cellStyle name="40% - Accent5 3 5 5" xfId="21993" xr:uid="{00000000-0005-0000-0000-000018560000}"/>
    <cellStyle name="40% - Accent5 3 5 5 2" xfId="21994" xr:uid="{00000000-0005-0000-0000-000019560000}"/>
    <cellStyle name="40% - Accent5 3 5 6" xfId="21995" xr:uid="{00000000-0005-0000-0000-00001A560000}"/>
    <cellStyle name="40% - Accent5 3 6" xfId="21996" xr:uid="{00000000-0005-0000-0000-00001B560000}"/>
    <cellStyle name="40% - Accent5 3 6 2" xfId="21997" xr:uid="{00000000-0005-0000-0000-00001C560000}"/>
    <cellStyle name="40% - Accent5 3 6 2 2" xfId="21998" xr:uid="{00000000-0005-0000-0000-00001D560000}"/>
    <cellStyle name="40% - Accent5 3 6 2 2 2" xfId="21999" xr:uid="{00000000-0005-0000-0000-00001E560000}"/>
    <cellStyle name="40% - Accent5 3 6 2 2 2 2" xfId="22000" xr:uid="{00000000-0005-0000-0000-00001F560000}"/>
    <cellStyle name="40% - Accent5 3 6 2 2 3" xfId="22001" xr:uid="{00000000-0005-0000-0000-000020560000}"/>
    <cellStyle name="40% - Accent5 3 6 2 3" xfId="22002" xr:uid="{00000000-0005-0000-0000-000021560000}"/>
    <cellStyle name="40% - Accent5 3 6 2 3 2" xfId="22003" xr:uid="{00000000-0005-0000-0000-000022560000}"/>
    <cellStyle name="40% - Accent5 3 6 2 4" xfId="22004" xr:uid="{00000000-0005-0000-0000-000023560000}"/>
    <cellStyle name="40% - Accent5 3 6 3" xfId="22005" xr:uid="{00000000-0005-0000-0000-000024560000}"/>
    <cellStyle name="40% - Accent5 3 6 3 2" xfId="22006" xr:uid="{00000000-0005-0000-0000-000025560000}"/>
    <cellStyle name="40% - Accent5 3 6 3 2 2" xfId="22007" xr:uid="{00000000-0005-0000-0000-000026560000}"/>
    <cellStyle name="40% - Accent5 3 6 3 3" xfId="22008" xr:uid="{00000000-0005-0000-0000-000027560000}"/>
    <cellStyle name="40% - Accent5 3 6 4" xfId="22009" xr:uid="{00000000-0005-0000-0000-000028560000}"/>
    <cellStyle name="40% - Accent5 3 6 4 2" xfId="22010" xr:uid="{00000000-0005-0000-0000-000029560000}"/>
    <cellStyle name="40% - Accent5 3 6 5" xfId="22011" xr:uid="{00000000-0005-0000-0000-00002A560000}"/>
    <cellStyle name="40% - Accent5 3 7" xfId="22012" xr:uid="{00000000-0005-0000-0000-00002B560000}"/>
    <cellStyle name="40% - Accent5 3 7 2" xfId="22013" xr:uid="{00000000-0005-0000-0000-00002C560000}"/>
    <cellStyle name="40% - Accent5 3 7 2 2" xfId="22014" xr:uid="{00000000-0005-0000-0000-00002D560000}"/>
    <cellStyle name="40% - Accent5 3 7 2 2 2" xfId="22015" xr:uid="{00000000-0005-0000-0000-00002E560000}"/>
    <cellStyle name="40% - Accent5 3 7 2 3" xfId="22016" xr:uid="{00000000-0005-0000-0000-00002F560000}"/>
    <cellStyle name="40% - Accent5 3 7 3" xfId="22017" xr:uid="{00000000-0005-0000-0000-000030560000}"/>
    <cellStyle name="40% - Accent5 3 7 3 2" xfId="22018" xr:uid="{00000000-0005-0000-0000-000031560000}"/>
    <cellStyle name="40% - Accent5 3 7 4" xfId="22019" xr:uid="{00000000-0005-0000-0000-000032560000}"/>
    <cellStyle name="40% - Accent5 3 8" xfId="22020" xr:uid="{00000000-0005-0000-0000-000033560000}"/>
    <cellStyle name="40% - Accent5 3 8 2" xfId="22021" xr:uid="{00000000-0005-0000-0000-000034560000}"/>
    <cellStyle name="40% - Accent5 3 8 2 2" xfId="22022" xr:uid="{00000000-0005-0000-0000-000035560000}"/>
    <cellStyle name="40% - Accent5 3 8 3" xfId="22023" xr:uid="{00000000-0005-0000-0000-000036560000}"/>
    <cellStyle name="40% - Accent5 3 9" xfId="22024" xr:uid="{00000000-0005-0000-0000-000037560000}"/>
    <cellStyle name="40% - Accent5 3 9 2" xfId="22025" xr:uid="{00000000-0005-0000-0000-000038560000}"/>
    <cellStyle name="40% - Accent5 4" xfId="22026" xr:uid="{00000000-0005-0000-0000-000039560000}"/>
    <cellStyle name="40% - Accent5 4 2" xfId="22027" xr:uid="{00000000-0005-0000-0000-00003A560000}"/>
    <cellStyle name="40% - Accent5 4 2 2" xfId="22028" xr:uid="{00000000-0005-0000-0000-00003B560000}"/>
    <cellStyle name="40% - Accent5 4 2 2 2" xfId="22029" xr:uid="{00000000-0005-0000-0000-00003C560000}"/>
    <cellStyle name="40% - Accent5 4 2 2 2 2" xfId="22030" xr:uid="{00000000-0005-0000-0000-00003D560000}"/>
    <cellStyle name="40% - Accent5 4 2 2 2 2 2" xfId="22031" xr:uid="{00000000-0005-0000-0000-00003E560000}"/>
    <cellStyle name="40% - Accent5 4 2 2 2 2 2 2" xfId="22032" xr:uid="{00000000-0005-0000-0000-00003F560000}"/>
    <cellStyle name="40% - Accent5 4 2 2 2 2 2 2 2" xfId="22033" xr:uid="{00000000-0005-0000-0000-000040560000}"/>
    <cellStyle name="40% - Accent5 4 2 2 2 2 2 2 2 2" xfId="22034" xr:uid="{00000000-0005-0000-0000-000041560000}"/>
    <cellStyle name="40% - Accent5 4 2 2 2 2 2 2 3" xfId="22035" xr:uid="{00000000-0005-0000-0000-000042560000}"/>
    <cellStyle name="40% - Accent5 4 2 2 2 2 2 3" xfId="22036" xr:uid="{00000000-0005-0000-0000-000043560000}"/>
    <cellStyle name="40% - Accent5 4 2 2 2 2 2 3 2" xfId="22037" xr:uid="{00000000-0005-0000-0000-000044560000}"/>
    <cellStyle name="40% - Accent5 4 2 2 2 2 2 4" xfId="22038" xr:uid="{00000000-0005-0000-0000-000045560000}"/>
    <cellStyle name="40% - Accent5 4 2 2 2 2 3" xfId="22039" xr:uid="{00000000-0005-0000-0000-000046560000}"/>
    <cellStyle name="40% - Accent5 4 2 2 2 2 3 2" xfId="22040" xr:uid="{00000000-0005-0000-0000-000047560000}"/>
    <cellStyle name="40% - Accent5 4 2 2 2 2 3 2 2" xfId="22041" xr:uid="{00000000-0005-0000-0000-000048560000}"/>
    <cellStyle name="40% - Accent5 4 2 2 2 2 3 3" xfId="22042" xr:uid="{00000000-0005-0000-0000-000049560000}"/>
    <cellStyle name="40% - Accent5 4 2 2 2 2 4" xfId="22043" xr:uid="{00000000-0005-0000-0000-00004A560000}"/>
    <cellStyle name="40% - Accent5 4 2 2 2 2 4 2" xfId="22044" xr:uid="{00000000-0005-0000-0000-00004B560000}"/>
    <cellStyle name="40% - Accent5 4 2 2 2 2 5" xfId="22045" xr:uid="{00000000-0005-0000-0000-00004C560000}"/>
    <cellStyle name="40% - Accent5 4 2 2 2 3" xfId="22046" xr:uid="{00000000-0005-0000-0000-00004D560000}"/>
    <cellStyle name="40% - Accent5 4 2 2 2 3 2" xfId="22047" xr:uid="{00000000-0005-0000-0000-00004E560000}"/>
    <cellStyle name="40% - Accent5 4 2 2 2 3 2 2" xfId="22048" xr:uid="{00000000-0005-0000-0000-00004F560000}"/>
    <cellStyle name="40% - Accent5 4 2 2 2 3 2 2 2" xfId="22049" xr:uid="{00000000-0005-0000-0000-000050560000}"/>
    <cellStyle name="40% - Accent5 4 2 2 2 3 2 3" xfId="22050" xr:uid="{00000000-0005-0000-0000-000051560000}"/>
    <cellStyle name="40% - Accent5 4 2 2 2 3 3" xfId="22051" xr:uid="{00000000-0005-0000-0000-000052560000}"/>
    <cellStyle name="40% - Accent5 4 2 2 2 3 3 2" xfId="22052" xr:uid="{00000000-0005-0000-0000-000053560000}"/>
    <cellStyle name="40% - Accent5 4 2 2 2 3 4" xfId="22053" xr:uid="{00000000-0005-0000-0000-000054560000}"/>
    <cellStyle name="40% - Accent5 4 2 2 2 4" xfId="22054" xr:uid="{00000000-0005-0000-0000-000055560000}"/>
    <cellStyle name="40% - Accent5 4 2 2 2 4 2" xfId="22055" xr:uid="{00000000-0005-0000-0000-000056560000}"/>
    <cellStyle name="40% - Accent5 4 2 2 2 4 2 2" xfId="22056" xr:uid="{00000000-0005-0000-0000-000057560000}"/>
    <cellStyle name="40% - Accent5 4 2 2 2 4 3" xfId="22057" xr:uid="{00000000-0005-0000-0000-000058560000}"/>
    <cellStyle name="40% - Accent5 4 2 2 2 5" xfId="22058" xr:uid="{00000000-0005-0000-0000-000059560000}"/>
    <cellStyle name="40% - Accent5 4 2 2 2 5 2" xfId="22059" xr:uid="{00000000-0005-0000-0000-00005A560000}"/>
    <cellStyle name="40% - Accent5 4 2 2 2 6" xfId="22060" xr:uid="{00000000-0005-0000-0000-00005B560000}"/>
    <cellStyle name="40% - Accent5 4 2 2 3" xfId="22061" xr:uid="{00000000-0005-0000-0000-00005C560000}"/>
    <cellStyle name="40% - Accent5 4 2 2 3 2" xfId="22062" xr:uid="{00000000-0005-0000-0000-00005D560000}"/>
    <cellStyle name="40% - Accent5 4 2 2 3 2 2" xfId="22063" xr:uid="{00000000-0005-0000-0000-00005E560000}"/>
    <cellStyle name="40% - Accent5 4 2 2 3 2 2 2" xfId="22064" xr:uid="{00000000-0005-0000-0000-00005F560000}"/>
    <cellStyle name="40% - Accent5 4 2 2 3 2 2 2 2" xfId="22065" xr:uid="{00000000-0005-0000-0000-000060560000}"/>
    <cellStyle name="40% - Accent5 4 2 2 3 2 2 3" xfId="22066" xr:uid="{00000000-0005-0000-0000-000061560000}"/>
    <cellStyle name="40% - Accent5 4 2 2 3 2 3" xfId="22067" xr:uid="{00000000-0005-0000-0000-000062560000}"/>
    <cellStyle name="40% - Accent5 4 2 2 3 2 3 2" xfId="22068" xr:uid="{00000000-0005-0000-0000-000063560000}"/>
    <cellStyle name="40% - Accent5 4 2 2 3 2 4" xfId="22069" xr:uid="{00000000-0005-0000-0000-000064560000}"/>
    <cellStyle name="40% - Accent5 4 2 2 3 3" xfId="22070" xr:uid="{00000000-0005-0000-0000-000065560000}"/>
    <cellStyle name="40% - Accent5 4 2 2 3 3 2" xfId="22071" xr:uid="{00000000-0005-0000-0000-000066560000}"/>
    <cellStyle name="40% - Accent5 4 2 2 3 3 2 2" xfId="22072" xr:uid="{00000000-0005-0000-0000-000067560000}"/>
    <cellStyle name="40% - Accent5 4 2 2 3 3 3" xfId="22073" xr:uid="{00000000-0005-0000-0000-000068560000}"/>
    <cellStyle name="40% - Accent5 4 2 2 3 4" xfId="22074" xr:uid="{00000000-0005-0000-0000-000069560000}"/>
    <cellStyle name="40% - Accent5 4 2 2 3 4 2" xfId="22075" xr:uid="{00000000-0005-0000-0000-00006A560000}"/>
    <cellStyle name="40% - Accent5 4 2 2 3 5" xfId="22076" xr:uid="{00000000-0005-0000-0000-00006B560000}"/>
    <cellStyle name="40% - Accent5 4 2 2 4" xfId="22077" xr:uid="{00000000-0005-0000-0000-00006C560000}"/>
    <cellStyle name="40% - Accent5 4 2 2 4 2" xfId="22078" xr:uid="{00000000-0005-0000-0000-00006D560000}"/>
    <cellStyle name="40% - Accent5 4 2 2 4 2 2" xfId="22079" xr:uid="{00000000-0005-0000-0000-00006E560000}"/>
    <cellStyle name="40% - Accent5 4 2 2 4 2 2 2" xfId="22080" xr:uid="{00000000-0005-0000-0000-00006F560000}"/>
    <cellStyle name="40% - Accent5 4 2 2 4 2 3" xfId="22081" xr:uid="{00000000-0005-0000-0000-000070560000}"/>
    <cellStyle name="40% - Accent5 4 2 2 4 3" xfId="22082" xr:uid="{00000000-0005-0000-0000-000071560000}"/>
    <cellStyle name="40% - Accent5 4 2 2 4 3 2" xfId="22083" xr:uid="{00000000-0005-0000-0000-000072560000}"/>
    <cellStyle name="40% - Accent5 4 2 2 4 4" xfId="22084" xr:uid="{00000000-0005-0000-0000-000073560000}"/>
    <cellStyle name="40% - Accent5 4 2 2 5" xfId="22085" xr:uid="{00000000-0005-0000-0000-000074560000}"/>
    <cellStyle name="40% - Accent5 4 2 2 5 2" xfId="22086" xr:uid="{00000000-0005-0000-0000-000075560000}"/>
    <cellStyle name="40% - Accent5 4 2 2 5 2 2" xfId="22087" xr:uid="{00000000-0005-0000-0000-000076560000}"/>
    <cellStyle name="40% - Accent5 4 2 2 5 3" xfId="22088" xr:uid="{00000000-0005-0000-0000-000077560000}"/>
    <cellStyle name="40% - Accent5 4 2 2 6" xfId="22089" xr:uid="{00000000-0005-0000-0000-000078560000}"/>
    <cellStyle name="40% - Accent5 4 2 2 6 2" xfId="22090" xr:uid="{00000000-0005-0000-0000-000079560000}"/>
    <cellStyle name="40% - Accent5 4 2 2 7" xfId="22091" xr:uid="{00000000-0005-0000-0000-00007A560000}"/>
    <cellStyle name="40% - Accent5 4 2 3" xfId="22092" xr:uid="{00000000-0005-0000-0000-00007B560000}"/>
    <cellStyle name="40% - Accent5 4 2 3 2" xfId="22093" xr:uid="{00000000-0005-0000-0000-00007C560000}"/>
    <cellStyle name="40% - Accent5 4 2 3 2 2" xfId="22094" xr:uid="{00000000-0005-0000-0000-00007D560000}"/>
    <cellStyle name="40% - Accent5 4 2 3 2 2 2" xfId="22095" xr:uid="{00000000-0005-0000-0000-00007E560000}"/>
    <cellStyle name="40% - Accent5 4 2 3 2 2 2 2" xfId="22096" xr:uid="{00000000-0005-0000-0000-00007F560000}"/>
    <cellStyle name="40% - Accent5 4 2 3 2 2 2 2 2" xfId="22097" xr:uid="{00000000-0005-0000-0000-000080560000}"/>
    <cellStyle name="40% - Accent5 4 2 3 2 2 2 3" xfId="22098" xr:uid="{00000000-0005-0000-0000-000081560000}"/>
    <cellStyle name="40% - Accent5 4 2 3 2 2 3" xfId="22099" xr:uid="{00000000-0005-0000-0000-000082560000}"/>
    <cellStyle name="40% - Accent5 4 2 3 2 2 3 2" xfId="22100" xr:uid="{00000000-0005-0000-0000-000083560000}"/>
    <cellStyle name="40% - Accent5 4 2 3 2 2 4" xfId="22101" xr:uid="{00000000-0005-0000-0000-000084560000}"/>
    <cellStyle name="40% - Accent5 4 2 3 2 3" xfId="22102" xr:uid="{00000000-0005-0000-0000-000085560000}"/>
    <cellStyle name="40% - Accent5 4 2 3 2 3 2" xfId="22103" xr:uid="{00000000-0005-0000-0000-000086560000}"/>
    <cellStyle name="40% - Accent5 4 2 3 2 3 2 2" xfId="22104" xr:uid="{00000000-0005-0000-0000-000087560000}"/>
    <cellStyle name="40% - Accent5 4 2 3 2 3 3" xfId="22105" xr:uid="{00000000-0005-0000-0000-000088560000}"/>
    <cellStyle name="40% - Accent5 4 2 3 2 4" xfId="22106" xr:uid="{00000000-0005-0000-0000-000089560000}"/>
    <cellStyle name="40% - Accent5 4 2 3 2 4 2" xfId="22107" xr:uid="{00000000-0005-0000-0000-00008A560000}"/>
    <cellStyle name="40% - Accent5 4 2 3 2 5" xfId="22108" xr:uid="{00000000-0005-0000-0000-00008B560000}"/>
    <cellStyle name="40% - Accent5 4 2 3 3" xfId="22109" xr:uid="{00000000-0005-0000-0000-00008C560000}"/>
    <cellStyle name="40% - Accent5 4 2 3 3 2" xfId="22110" xr:uid="{00000000-0005-0000-0000-00008D560000}"/>
    <cellStyle name="40% - Accent5 4 2 3 3 2 2" xfId="22111" xr:uid="{00000000-0005-0000-0000-00008E560000}"/>
    <cellStyle name="40% - Accent5 4 2 3 3 2 2 2" xfId="22112" xr:uid="{00000000-0005-0000-0000-00008F560000}"/>
    <cellStyle name="40% - Accent5 4 2 3 3 2 3" xfId="22113" xr:uid="{00000000-0005-0000-0000-000090560000}"/>
    <cellStyle name="40% - Accent5 4 2 3 3 3" xfId="22114" xr:uid="{00000000-0005-0000-0000-000091560000}"/>
    <cellStyle name="40% - Accent5 4 2 3 3 3 2" xfId="22115" xr:uid="{00000000-0005-0000-0000-000092560000}"/>
    <cellStyle name="40% - Accent5 4 2 3 3 4" xfId="22116" xr:uid="{00000000-0005-0000-0000-000093560000}"/>
    <cellStyle name="40% - Accent5 4 2 3 4" xfId="22117" xr:uid="{00000000-0005-0000-0000-000094560000}"/>
    <cellStyle name="40% - Accent5 4 2 3 4 2" xfId="22118" xr:uid="{00000000-0005-0000-0000-000095560000}"/>
    <cellStyle name="40% - Accent5 4 2 3 4 2 2" xfId="22119" xr:uid="{00000000-0005-0000-0000-000096560000}"/>
    <cellStyle name="40% - Accent5 4 2 3 4 3" xfId="22120" xr:uid="{00000000-0005-0000-0000-000097560000}"/>
    <cellStyle name="40% - Accent5 4 2 3 5" xfId="22121" xr:uid="{00000000-0005-0000-0000-000098560000}"/>
    <cellStyle name="40% - Accent5 4 2 3 5 2" xfId="22122" xr:uid="{00000000-0005-0000-0000-000099560000}"/>
    <cellStyle name="40% - Accent5 4 2 3 6" xfId="22123" xr:uid="{00000000-0005-0000-0000-00009A560000}"/>
    <cellStyle name="40% - Accent5 4 2 4" xfId="22124" xr:uid="{00000000-0005-0000-0000-00009B560000}"/>
    <cellStyle name="40% - Accent5 4 2 4 2" xfId="22125" xr:uid="{00000000-0005-0000-0000-00009C560000}"/>
    <cellStyle name="40% - Accent5 4 2 4 2 2" xfId="22126" xr:uid="{00000000-0005-0000-0000-00009D560000}"/>
    <cellStyle name="40% - Accent5 4 2 4 2 2 2" xfId="22127" xr:uid="{00000000-0005-0000-0000-00009E560000}"/>
    <cellStyle name="40% - Accent5 4 2 4 2 2 2 2" xfId="22128" xr:uid="{00000000-0005-0000-0000-00009F560000}"/>
    <cellStyle name="40% - Accent5 4 2 4 2 2 3" xfId="22129" xr:uid="{00000000-0005-0000-0000-0000A0560000}"/>
    <cellStyle name="40% - Accent5 4 2 4 2 3" xfId="22130" xr:uid="{00000000-0005-0000-0000-0000A1560000}"/>
    <cellStyle name="40% - Accent5 4 2 4 2 3 2" xfId="22131" xr:uid="{00000000-0005-0000-0000-0000A2560000}"/>
    <cellStyle name="40% - Accent5 4 2 4 2 4" xfId="22132" xr:uid="{00000000-0005-0000-0000-0000A3560000}"/>
    <cellStyle name="40% - Accent5 4 2 4 3" xfId="22133" xr:uid="{00000000-0005-0000-0000-0000A4560000}"/>
    <cellStyle name="40% - Accent5 4 2 4 3 2" xfId="22134" xr:uid="{00000000-0005-0000-0000-0000A5560000}"/>
    <cellStyle name="40% - Accent5 4 2 4 3 2 2" xfId="22135" xr:uid="{00000000-0005-0000-0000-0000A6560000}"/>
    <cellStyle name="40% - Accent5 4 2 4 3 3" xfId="22136" xr:uid="{00000000-0005-0000-0000-0000A7560000}"/>
    <cellStyle name="40% - Accent5 4 2 4 4" xfId="22137" xr:uid="{00000000-0005-0000-0000-0000A8560000}"/>
    <cellStyle name="40% - Accent5 4 2 4 4 2" xfId="22138" xr:uid="{00000000-0005-0000-0000-0000A9560000}"/>
    <cellStyle name="40% - Accent5 4 2 4 5" xfId="22139" xr:uid="{00000000-0005-0000-0000-0000AA560000}"/>
    <cellStyle name="40% - Accent5 4 2 5" xfId="22140" xr:uid="{00000000-0005-0000-0000-0000AB560000}"/>
    <cellStyle name="40% - Accent5 4 2 5 2" xfId="22141" xr:uid="{00000000-0005-0000-0000-0000AC560000}"/>
    <cellStyle name="40% - Accent5 4 2 5 2 2" xfId="22142" xr:uid="{00000000-0005-0000-0000-0000AD560000}"/>
    <cellStyle name="40% - Accent5 4 2 5 2 2 2" xfId="22143" xr:uid="{00000000-0005-0000-0000-0000AE560000}"/>
    <cellStyle name="40% - Accent5 4 2 5 2 3" xfId="22144" xr:uid="{00000000-0005-0000-0000-0000AF560000}"/>
    <cellStyle name="40% - Accent5 4 2 5 3" xfId="22145" xr:uid="{00000000-0005-0000-0000-0000B0560000}"/>
    <cellStyle name="40% - Accent5 4 2 5 3 2" xfId="22146" xr:uid="{00000000-0005-0000-0000-0000B1560000}"/>
    <cellStyle name="40% - Accent5 4 2 5 4" xfId="22147" xr:uid="{00000000-0005-0000-0000-0000B2560000}"/>
    <cellStyle name="40% - Accent5 4 2 6" xfId="22148" xr:uid="{00000000-0005-0000-0000-0000B3560000}"/>
    <cellStyle name="40% - Accent5 4 2 6 2" xfId="22149" xr:uid="{00000000-0005-0000-0000-0000B4560000}"/>
    <cellStyle name="40% - Accent5 4 2 6 2 2" xfId="22150" xr:uid="{00000000-0005-0000-0000-0000B5560000}"/>
    <cellStyle name="40% - Accent5 4 2 6 3" xfId="22151" xr:uid="{00000000-0005-0000-0000-0000B6560000}"/>
    <cellStyle name="40% - Accent5 4 2 7" xfId="22152" xr:uid="{00000000-0005-0000-0000-0000B7560000}"/>
    <cellStyle name="40% - Accent5 4 2 7 2" xfId="22153" xr:uid="{00000000-0005-0000-0000-0000B8560000}"/>
    <cellStyle name="40% - Accent5 4 2 8" xfId="22154" xr:uid="{00000000-0005-0000-0000-0000B9560000}"/>
    <cellStyle name="40% - Accent5 4 3" xfId="22155" xr:uid="{00000000-0005-0000-0000-0000BA560000}"/>
    <cellStyle name="40% - Accent5 4 3 2" xfId="22156" xr:uid="{00000000-0005-0000-0000-0000BB560000}"/>
    <cellStyle name="40% - Accent5 4 3 2 2" xfId="22157" xr:uid="{00000000-0005-0000-0000-0000BC560000}"/>
    <cellStyle name="40% - Accent5 4 3 2 2 2" xfId="22158" xr:uid="{00000000-0005-0000-0000-0000BD560000}"/>
    <cellStyle name="40% - Accent5 4 3 2 2 2 2" xfId="22159" xr:uid="{00000000-0005-0000-0000-0000BE560000}"/>
    <cellStyle name="40% - Accent5 4 3 2 2 2 2 2" xfId="22160" xr:uid="{00000000-0005-0000-0000-0000BF560000}"/>
    <cellStyle name="40% - Accent5 4 3 2 2 2 2 2 2" xfId="22161" xr:uid="{00000000-0005-0000-0000-0000C0560000}"/>
    <cellStyle name="40% - Accent5 4 3 2 2 2 2 3" xfId="22162" xr:uid="{00000000-0005-0000-0000-0000C1560000}"/>
    <cellStyle name="40% - Accent5 4 3 2 2 2 3" xfId="22163" xr:uid="{00000000-0005-0000-0000-0000C2560000}"/>
    <cellStyle name="40% - Accent5 4 3 2 2 2 3 2" xfId="22164" xr:uid="{00000000-0005-0000-0000-0000C3560000}"/>
    <cellStyle name="40% - Accent5 4 3 2 2 2 4" xfId="22165" xr:uid="{00000000-0005-0000-0000-0000C4560000}"/>
    <cellStyle name="40% - Accent5 4 3 2 2 3" xfId="22166" xr:uid="{00000000-0005-0000-0000-0000C5560000}"/>
    <cellStyle name="40% - Accent5 4 3 2 2 3 2" xfId="22167" xr:uid="{00000000-0005-0000-0000-0000C6560000}"/>
    <cellStyle name="40% - Accent5 4 3 2 2 3 2 2" xfId="22168" xr:uid="{00000000-0005-0000-0000-0000C7560000}"/>
    <cellStyle name="40% - Accent5 4 3 2 2 3 3" xfId="22169" xr:uid="{00000000-0005-0000-0000-0000C8560000}"/>
    <cellStyle name="40% - Accent5 4 3 2 2 4" xfId="22170" xr:uid="{00000000-0005-0000-0000-0000C9560000}"/>
    <cellStyle name="40% - Accent5 4 3 2 2 4 2" xfId="22171" xr:uid="{00000000-0005-0000-0000-0000CA560000}"/>
    <cellStyle name="40% - Accent5 4 3 2 2 5" xfId="22172" xr:uid="{00000000-0005-0000-0000-0000CB560000}"/>
    <cellStyle name="40% - Accent5 4 3 2 3" xfId="22173" xr:uid="{00000000-0005-0000-0000-0000CC560000}"/>
    <cellStyle name="40% - Accent5 4 3 2 3 2" xfId="22174" xr:uid="{00000000-0005-0000-0000-0000CD560000}"/>
    <cellStyle name="40% - Accent5 4 3 2 3 2 2" xfId="22175" xr:uid="{00000000-0005-0000-0000-0000CE560000}"/>
    <cellStyle name="40% - Accent5 4 3 2 3 2 2 2" xfId="22176" xr:uid="{00000000-0005-0000-0000-0000CF560000}"/>
    <cellStyle name="40% - Accent5 4 3 2 3 2 3" xfId="22177" xr:uid="{00000000-0005-0000-0000-0000D0560000}"/>
    <cellStyle name="40% - Accent5 4 3 2 3 3" xfId="22178" xr:uid="{00000000-0005-0000-0000-0000D1560000}"/>
    <cellStyle name="40% - Accent5 4 3 2 3 3 2" xfId="22179" xr:uid="{00000000-0005-0000-0000-0000D2560000}"/>
    <cellStyle name="40% - Accent5 4 3 2 3 4" xfId="22180" xr:uid="{00000000-0005-0000-0000-0000D3560000}"/>
    <cellStyle name="40% - Accent5 4 3 2 4" xfId="22181" xr:uid="{00000000-0005-0000-0000-0000D4560000}"/>
    <cellStyle name="40% - Accent5 4 3 2 4 2" xfId="22182" xr:uid="{00000000-0005-0000-0000-0000D5560000}"/>
    <cellStyle name="40% - Accent5 4 3 2 4 2 2" xfId="22183" xr:uid="{00000000-0005-0000-0000-0000D6560000}"/>
    <cellStyle name="40% - Accent5 4 3 2 4 3" xfId="22184" xr:uid="{00000000-0005-0000-0000-0000D7560000}"/>
    <cellStyle name="40% - Accent5 4 3 2 5" xfId="22185" xr:uid="{00000000-0005-0000-0000-0000D8560000}"/>
    <cellStyle name="40% - Accent5 4 3 2 5 2" xfId="22186" xr:uid="{00000000-0005-0000-0000-0000D9560000}"/>
    <cellStyle name="40% - Accent5 4 3 2 6" xfId="22187" xr:uid="{00000000-0005-0000-0000-0000DA560000}"/>
    <cellStyle name="40% - Accent5 4 3 3" xfId="22188" xr:uid="{00000000-0005-0000-0000-0000DB560000}"/>
    <cellStyle name="40% - Accent5 4 3 3 2" xfId="22189" xr:uid="{00000000-0005-0000-0000-0000DC560000}"/>
    <cellStyle name="40% - Accent5 4 3 3 2 2" xfId="22190" xr:uid="{00000000-0005-0000-0000-0000DD560000}"/>
    <cellStyle name="40% - Accent5 4 3 3 2 2 2" xfId="22191" xr:uid="{00000000-0005-0000-0000-0000DE560000}"/>
    <cellStyle name="40% - Accent5 4 3 3 2 2 2 2" xfId="22192" xr:uid="{00000000-0005-0000-0000-0000DF560000}"/>
    <cellStyle name="40% - Accent5 4 3 3 2 2 3" xfId="22193" xr:uid="{00000000-0005-0000-0000-0000E0560000}"/>
    <cellStyle name="40% - Accent5 4 3 3 2 3" xfId="22194" xr:uid="{00000000-0005-0000-0000-0000E1560000}"/>
    <cellStyle name="40% - Accent5 4 3 3 2 3 2" xfId="22195" xr:uid="{00000000-0005-0000-0000-0000E2560000}"/>
    <cellStyle name="40% - Accent5 4 3 3 2 4" xfId="22196" xr:uid="{00000000-0005-0000-0000-0000E3560000}"/>
    <cellStyle name="40% - Accent5 4 3 3 3" xfId="22197" xr:uid="{00000000-0005-0000-0000-0000E4560000}"/>
    <cellStyle name="40% - Accent5 4 3 3 3 2" xfId="22198" xr:uid="{00000000-0005-0000-0000-0000E5560000}"/>
    <cellStyle name="40% - Accent5 4 3 3 3 2 2" xfId="22199" xr:uid="{00000000-0005-0000-0000-0000E6560000}"/>
    <cellStyle name="40% - Accent5 4 3 3 3 3" xfId="22200" xr:uid="{00000000-0005-0000-0000-0000E7560000}"/>
    <cellStyle name="40% - Accent5 4 3 3 4" xfId="22201" xr:uid="{00000000-0005-0000-0000-0000E8560000}"/>
    <cellStyle name="40% - Accent5 4 3 3 4 2" xfId="22202" xr:uid="{00000000-0005-0000-0000-0000E9560000}"/>
    <cellStyle name="40% - Accent5 4 3 3 5" xfId="22203" xr:uid="{00000000-0005-0000-0000-0000EA560000}"/>
    <cellStyle name="40% - Accent5 4 3 4" xfId="22204" xr:uid="{00000000-0005-0000-0000-0000EB560000}"/>
    <cellStyle name="40% - Accent5 4 3 4 2" xfId="22205" xr:uid="{00000000-0005-0000-0000-0000EC560000}"/>
    <cellStyle name="40% - Accent5 4 3 4 2 2" xfId="22206" xr:uid="{00000000-0005-0000-0000-0000ED560000}"/>
    <cellStyle name="40% - Accent5 4 3 4 2 2 2" xfId="22207" xr:uid="{00000000-0005-0000-0000-0000EE560000}"/>
    <cellStyle name="40% - Accent5 4 3 4 2 3" xfId="22208" xr:uid="{00000000-0005-0000-0000-0000EF560000}"/>
    <cellStyle name="40% - Accent5 4 3 4 3" xfId="22209" xr:uid="{00000000-0005-0000-0000-0000F0560000}"/>
    <cellStyle name="40% - Accent5 4 3 4 3 2" xfId="22210" xr:uid="{00000000-0005-0000-0000-0000F1560000}"/>
    <cellStyle name="40% - Accent5 4 3 4 4" xfId="22211" xr:uid="{00000000-0005-0000-0000-0000F2560000}"/>
    <cellStyle name="40% - Accent5 4 3 5" xfId="22212" xr:uid="{00000000-0005-0000-0000-0000F3560000}"/>
    <cellStyle name="40% - Accent5 4 3 5 2" xfId="22213" xr:uid="{00000000-0005-0000-0000-0000F4560000}"/>
    <cellStyle name="40% - Accent5 4 3 5 2 2" xfId="22214" xr:uid="{00000000-0005-0000-0000-0000F5560000}"/>
    <cellStyle name="40% - Accent5 4 3 5 3" xfId="22215" xr:uid="{00000000-0005-0000-0000-0000F6560000}"/>
    <cellStyle name="40% - Accent5 4 3 6" xfId="22216" xr:uid="{00000000-0005-0000-0000-0000F7560000}"/>
    <cellStyle name="40% - Accent5 4 3 6 2" xfId="22217" xr:uid="{00000000-0005-0000-0000-0000F8560000}"/>
    <cellStyle name="40% - Accent5 4 3 7" xfId="22218" xr:uid="{00000000-0005-0000-0000-0000F9560000}"/>
    <cellStyle name="40% - Accent5 4 4" xfId="22219" xr:uid="{00000000-0005-0000-0000-0000FA560000}"/>
    <cellStyle name="40% - Accent5 4 4 2" xfId="22220" xr:uid="{00000000-0005-0000-0000-0000FB560000}"/>
    <cellStyle name="40% - Accent5 4 4 2 2" xfId="22221" xr:uid="{00000000-0005-0000-0000-0000FC560000}"/>
    <cellStyle name="40% - Accent5 4 4 2 2 2" xfId="22222" xr:uid="{00000000-0005-0000-0000-0000FD560000}"/>
    <cellStyle name="40% - Accent5 4 4 2 2 2 2" xfId="22223" xr:uid="{00000000-0005-0000-0000-0000FE560000}"/>
    <cellStyle name="40% - Accent5 4 4 2 2 2 2 2" xfId="22224" xr:uid="{00000000-0005-0000-0000-0000FF560000}"/>
    <cellStyle name="40% - Accent5 4 4 2 2 2 3" xfId="22225" xr:uid="{00000000-0005-0000-0000-000000570000}"/>
    <cellStyle name="40% - Accent5 4 4 2 2 3" xfId="22226" xr:uid="{00000000-0005-0000-0000-000001570000}"/>
    <cellStyle name="40% - Accent5 4 4 2 2 3 2" xfId="22227" xr:uid="{00000000-0005-0000-0000-000002570000}"/>
    <cellStyle name="40% - Accent5 4 4 2 2 4" xfId="22228" xr:uid="{00000000-0005-0000-0000-000003570000}"/>
    <cellStyle name="40% - Accent5 4 4 2 3" xfId="22229" xr:uid="{00000000-0005-0000-0000-000004570000}"/>
    <cellStyle name="40% - Accent5 4 4 2 3 2" xfId="22230" xr:uid="{00000000-0005-0000-0000-000005570000}"/>
    <cellStyle name="40% - Accent5 4 4 2 3 2 2" xfId="22231" xr:uid="{00000000-0005-0000-0000-000006570000}"/>
    <cellStyle name="40% - Accent5 4 4 2 3 3" xfId="22232" xr:uid="{00000000-0005-0000-0000-000007570000}"/>
    <cellStyle name="40% - Accent5 4 4 2 4" xfId="22233" xr:uid="{00000000-0005-0000-0000-000008570000}"/>
    <cellStyle name="40% - Accent5 4 4 2 4 2" xfId="22234" xr:uid="{00000000-0005-0000-0000-000009570000}"/>
    <cellStyle name="40% - Accent5 4 4 2 5" xfId="22235" xr:uid="{00000000-0005-0000-0000-00000A570000}"/>
    <cellStyle name="40% - Accent5 4 4 3" xfId="22236" xr:uid="{00000000-0005-0000-0000-00000B570000}"/>
    <cellStyle name="40% - Accent5 4 4 3 2" xfId="22237" xr:uid="{00000000-0005-0000-0000-00000C570000}"/>
    <cellStyle name="40% - Accent5 4 4 3 2 2" xfId="22238" xr:uid="{00000000-0005-0000-0000-00000D570000}"/>
    <cellStyle name="40% - Accent5 4 4 3 2 2 2" xfId="22239" xr:uid="{00000000-0005-0000-0000-00000E570000}"/>
    <cellStyle name="40% - Accent5 4 4 3 2 3" xfId="22240" xr:uid="{00000000-0005-0000-0000-00000F570000}"/>
    <cellStyle name="40% - Accent5 4 4 3 3" xfId="22241" xr:uid="{00000000-0005-0000-0000-000010570000}"/>
    <cellStyle name="40% - Accent5 4 4 3 3 2" xfId="22242" xr:uid="{00000000-0005-0000-0000-000011570000}"/>
    <cellStyle name="40% - Accent5 4 4 3 4" xfId="22243" xr:uid="{00000000-0005-0000-0000-000012570000}"/>
    <cellStyle name="40% - Accent5 4 4 4" xfId="22244" xr:uid="{00000000-0005-0000-0000-000013570000}"/>
    <cellStyle name="40% - Accent5 4 4 4 2" xfId="22245" xr:uid="{00000000-0005-0000-0000-000014570000}"/>
    <cellStyle name="40% - Accent5 4 4 4 2 2" xfId="22246" xr:uid="{00000000-0005-0000-0000-000015570000}"/>
    <cellStyle name="40% - Accent5 4 4 4 3" xfId="22247" xr:uid="{00000000-0005-0000-0000-000016570000}"/>
    <cellStyle name="40% - Accent5 4 4 5" xfId="22248" xr:uid="{00000000-0005-0000-0000-000017570000}"/>
    <cellStyle name="40% - Accent5 4 4 5 2" xfId="22249" xr:uid="{00000000-0005-0000-0000-000018570000}"/>
    <cellStyle name="40% - Accent5 4 4 6" xfId="22250" xr:uid="{00000000-0005-0000-0000-000019570000}"/>
    <cellStyle name="40% - Accent5 4 5" xfId="22251" xr:uid="{00000000-0005-0000-0000-00001A570000}"/>
    <cellStyle name="40% - Accent5 4 5 2" xfId="22252" xr:uid="{00000000-0005-0000-0000-00001B570000}"/>
    <cellStyle name="40% - Accent5 4 5 2 2" xfId="22253" xr:uid="{00000000-0005-0000-0000-00001C570000}"/>
    <cellStyle name="40% - Accent5 4 5 2 2 2" xfId="22254" xr:uid="{00000000-0005-0000-0000-00001D570000}"/>
    <cellStyle name="40% - Accent5 4 5 2 2 2 2" xfId="22255" xr:uid="{00000000-0005-0000-0000-00001E570000}"/>
    <cellStyle name="40% - Accent5 4 5 2 2 3" xfId="22256" xr:uid="{00000000-0005-0000-0000-00001F570000}"/>
    <cellStyle name="40% - Accent5 4 5 2 3" xfId="22257" xr:uid="{00000000-0005-0000-0000-000020570000}"/>
    <cellStyle name="40% - Accent5 4 5 2 3 2" xfId="22258" xr:uid="{00000000-0005-0000-0000-000021570000}"/>
    <cellStyle name="40% - Accent5 4 5 2 4" xfId="22259" xr:uid="{00000000-0005-0000-0000-000022570000}"/>
    <cellStyle name="40% - Accent5 4 5 3" xfId="22260" xr:uid="{00000000-0005-0000-0000-000023570000}"/>
    <cellStyle name="40% - Accent5 4 5 3 2" xfId="22261" xr:uid="{00000000-0005-0000-0000-000024570000}"/>
    <cellStyle name="40% - Accent5 4 5 3 2 2" xfId="22262" xr:uid="{00000000-0005-0000-0000-000025570000}"/>
    <cellStyle name="40% - Accent5 4 5 3 3" xfId="22263" xr:uid="{00000000-0005-0000-0000-000026570000}"/>
    <cellStyle name="40% - Accent5 4 5 4" xfId="22264" xr:uid="{00000000-0005-0000-0000-000027570000}"/>
    <cellStyle name="40% - Accent5 4 5 4 2" xfId="22265" xr:uid="{00000000-0005-0000-0000-000028570000}"/>
    <cellStyle name="40% - Accent5 4 5 5" xfId="22266" xr:uid="{00000000-0005-0000-0000-000029570000}"/>
    <cellStyle name="40% - Accent5 4 6" xfId="22267" xr:uid="{00000000-0005-0000-0000-00002A570000}"/>
    <cellStyle name="40% - Accent5 4 6 2" xfId="22268" xr:uid="{00000000-0005-0000-0000-00002B570000}"/>
    <cellStyle name="40% - Accent5 4 6 2 2" xfId="22269" xr:uid="{00000000-0005-0000-0000-00002C570000}"/>
    <cellStyle name="40% - Accent5 4 6 2 2 2" xfId="22270" xr:uid="{00000000-0005-0000-0000-00002D570000}"/>
    <cellStyle name="40% - Accent5 4 6 2 3" xfId="22271" xr:uid="{00000000-0005-0000-0000-00002E570000}"/>
    <cellStyle name="40% - Accent5 4 6 3" xfId="22272" xr:uid="{00000000-0005-0000-0000-00002F570000}"/>
    <cellStyle name="40% - Accent5 4 6 3 2" xfId="22273" xr:uid="{00000000-0005-0000-0000-000030570000}"/>
    <cellStyle name="40% - Accent5 4 6 4" xfId="22274" xr:uid="{00000000-0005-0000-0000-000031570000}"/>
    <cellStyle name="40% - Accent5 4 7" xfId="22275" xr:uid="{00000000-0005-0000-0000-000032570000}"/>
    <cellStyle name="40% - Accent5 4 7 2" xfId="22276" xr:uid="{00000000-0005-0000-0000-000033570000}"/>
    <cellStyle name="40% - Accent5 4 7 2 2" xfId="22277" xr:uid="{00000000-0005-0000-0000-000034570000}"/>
    <cellStyle name="40% - Accent5 4 7 3" xfId="22278" xr:uid="{00000000-0005-0000-0000-000035570000}"/>
    <cellStyle name="40% - Accent5 4 8" xfId="22279" xr:uid="{00000000-0005-0000-0000-000036570000}"/>
    <cellStyle name="40% - Accent5 4 8 2" xfId="22280" xr:uid="{00000000-0005-0000-0000-000037570000}"/>
    <cellStyle name="40% - Accent5 4 9" xfId="22281" xr:uid="{00000000-0005-0000-0000-000038570000}"/>
    <cellStyle name="40% - Accent5 5" xfId="22282" xr:uid="{00000000-0005-0000-0000-000039570000}"/>
    <cellStyle name="40% - Accent5 5 2" xfId="22283" xr:uid="{00000000-0005-0000-0000-00003A570000}"/>
    <cellStyle name="40% - Accent5 5 2 2" xfId="22284" xr:uid="{00000000-0005-0000-0000-00003B570000}"/>
    <cellStyle name="40% - Accent5 5 2 2 2" xfId="22285" xr:uid="{00000000-0005-0000-0000-00003C570000}"/>
    <cellStyle name="40% - Accent5 5 2 2 2 2" xfId="22286" xr:uid="{00000000-0005-0000-0000-00003D570000}"/>
    <cellStyle name="40% - Accent5 5 2 2 2 2 2" xfId="22287" xr:uid="{00000000-0005-0000-0000-00003E570000}"/>
    <cellStyle name="40% - Accent5 5 2 2 2 2 2 2" xfId="22288" xr:uid="{00000000-0005-0000-0000-00003F570000}"/>
    <cellStyle name="40% - Accent5 5 2 2 2 2 2 2 2" xfId="22289" xr:uid="{00000000-0005-0000-0000-000040570000}"/>
    <cellStyle name="40% - Accent5 5 2 2 2 2 2 3" xfId="22290" xr:uid="{00000000-0005-0000-0000-000041570000}"/>
    <cellStyle name="40% - Accent5 5 2 2 2 2 3" xfId="22291" xr:uid="{00000000-0005-0000-0000-000042570000}"/>
    <cellStyle name="40% - Accent5 5 2 2 2 2 3 2" xfId="22292" xr:uid="{00000000-0005-0000-0000-000043570000}"/>
    <cellStyle name="40% - Accent5 5 2 2 2 2 4" xfId="22293" xr:uid="{00000000-0005-0000-0000-000044570000}"/>
    <cellStyle name="40% - Accent5 5 2 2 2 3" xfId="22294" xr:uid="{00000000-0005-0000-0000-000045570000}"/>
    <cellStyle name="40% - Accent5 5 2 2 2 3 2" xfId="22295" xr:uid="{00000000-0005-0000-0000-000046570000}"/>
    <cellStyle name="40% - Accent5 5 2 2 2 3 2 2" xfId="22296" xr:uid="{00000000-0005-0000-0000-000047570000}"/>
    <cellStyle name="40% - Accent5 5 2 2 2 3 3" xfId="22297" xr:uid="{00000000-0005-0000-0000-000048570000}"/>
    <cellStyle name="40% - Accent5 5 2 2 2 4" xfId="22298" xr:uid="{00000000-0005-0000-0000-000049570000}"/>
    <cellStyle name="40% - Accent5 5 2 2 2 4 2" xfId="22299" xr:uid="{00000000-0005-0000-0000-00004A570000}"/>
    <cellStyle name="40% - Accent5 5 2 2 2 5" xfId="22300" xr:uid="{00000000-0005-0000-0000-00004B570000}"/>
    <cellStyle name="40% - Accent5 5 2 2 3" xfId="22301" xr:uid="{00000000-0005-0000-0000-00004C570000}"/>
    <cellStyle name="40% - Accent5 5 2 2 3 2" xfId="22302" xr:uid="{00000000-0005-0000-0000-00004D570000}"/>
    <cellStyle name="40% - Accent5 5 2 2 3 2 2" xfId="22303" xr:uid="{00000000-0005-0000-0000-00004E570000}"/>
    <cellStyle name="40% - Accent5 5 2 2 3 2 2 2" xfId="22304" xr:uid="{00000000-0005-0000-0000-00004F570000}"/>
    <cellStyle name="40% - Accent5 5 2 2 3 2 3" xfId="22305" xr:uid="{00000000-0005-0000-0000-000050570000}"/>
    <cellStyle name="40% - Accent5 5 2 2 3 3" xfId="22306" xr:uid="{00000000-0005-0000-0000-000051570000}"/>
    <cellStyle name="40% - Accent5 5 2 2 3 3 2" xfId="22307" xr:uid="{00000000-0005-0000-0000-000052570000}"/>
    <cellStyle name="40% - Accent5 5 2 2 3 4" xfId="22308" xr:uid="{00000000-0005-0000-0000-000053570000}"/>
    <cellStyle name="40% - Accent5 5 2 2 4" xfId="22309" xr:uid="{00000000-0005-0000-0000-000054570000}"/>
    <cellStyle name="40% - Accent5 5 2 2 4 2" xfId="22310" xr:uid="{00000000-0005-0000-0000-000055570000}"/>
    <cellStyle name="40% - Accent5 5 2 2 4 2 2" xfId="22311" xr:uid="{00000000-0005-0000-0000-000056570000}"/>
    <cellStyle name="40% - Accent5 5 2 2 4 3" xfId="22312" xr:uid="{00000000-0005-0000-0000-000057570000}"/>
    <cellStyle name="40% - Accent5 5 2 2 5" xfId="22313" xr:uid="{00000000-0005-0000-0000-000058570000}"/>
    <cellStyle name="40% - Accent5 5 2 2 5 2" xfId="22314" xr:uid="{00000000-0005-0000-0000-000059570000}"/>
    <cellStyle name="40% - Accent5 5 2 2 6" xfId="22315" xr:uid="{00000000-0005-0000-0000-00005A570000}"/>
    <cellStyle name="40% - Accent5 5 2 3" xfId="22316" xr:uid="{00000000-0005-0000-0000-00005B570000}"/>
    <cellStyle name="40% - Accent5 5 2 3 2" xfId="22317" xr:uid="{00000000-0005-0000-0000-00005C570000}"/>
    <cellStyle name="40% - Accent5 5 2 3 2 2" xfId="22318" xr:uid="{00000000-0005-0000-0000-00005D570000}"/>
    <cellStyle name="40% - Accent5 5 2 3 2 2 2" xfId="22319" xr:uid="{00000000-0005-0000-0000-00005E570000}"/>
    <cellStyle name="40% - Accent5 5 2 3 2 2 2 2" xfId="22320" xr:uid="{00000000-0005-0000-0000-00005F570000}"/>
    <cellStyle name="40% - Accent5 5 2 3 2 2 3" xfId="22321" xr:uid="{00000000-0005-0000-0000-000060570000}"/>
    <cellStyle name="40% - Accent5 5 2 3 2 3" xfId="22322" xr:uid="{00000000-0005-0000-0000-000061570000}"/>
    <cellStyle name="40% - Accent5 5 2 3 2 3 2" xfId="22323" xr:uid="{00000000-0005-0000-0000-000062570000}"/>
    <cellStyle name="40% - Accent5 5 2 3 2 4" xfId="22324" xr:uid="{00000000-0005-0000-0000-000063570000}"/>
    <cellStyle name="40% - Accent5 5 2 3 3" xfId="22325" xr:uid="{00000000-0005-0000-0000-000064570000}"/>
    <cellStyle name="40% - Accent5 5 2 3 3 2" xfId="22326" xr:uid="{00000000-0005-0000-0000-000065570000}"/>
    <cellStyle name="40% - Accent5 5 2 3 3 2 2" xfId="22327" xr:uid="{00000000-0005-0000-0000-000066570000}"/>
    <cellStyle name="40% - Accent5 5 2 3 3 3" xfId="22328" xr:uid="{00000000-0005-0000-0000-000067570000}"/>
    <cellStyle name="40% - Accent5 5 2 3 4" xfId="22329" xr:uid="{00000000-0005-0000-0000-000068570000}"/>
    <cellStyle name="40% - Accent5 5 2 3 4 2" xfId="22330" xr:uid="{00000000-0005-0000-0000-000069570000}"/>
    <cellStyle name="40% - Accent5 5 2 3 5" xfId="22331" xr:uid="{00000000-0005-0000-0000-00006A570000}"/>
    <cellStyle name="40% - Accent5 5 2 4" xfId="22332" xr:uid="{00000000-0005-0000-0000-00006B570000}"/>
    <cellStyle name="40% - Accent5 5 2 4 2" xfId="22333" xr:uid="{00000000-0005-0000-0000-00006C570000}"/>
    <cellStyle name="40% - Accent5 5 2 4 2 2" xfId="22334" xr:uid="{00000000-0005-0000-0000-00006D570000}"/>
    <cellStyle name="40% - Accent5 5 2 4 2 2 2" xfId="22335" xr:uid="{00000000-0005-0000-0000-00006E570000}"/>
    <cellStyle name="40% - Accent5 5 2 4 2 3" xfId="22336" xr:uid="{00000000-0005-0000-0000-00006F570000}"/>
    <cellStyle name="40% - Accent5 5 2 4 3" xfId="22337" xr:uid="{00000000-0005-0000-0000-000070570000}"/>
    <cellStyle name="40% - Accent5 5 2 4 3 2" xfId="22338" xr:uid="{00000000-0005-0000-0000-000071570000}"/>
    <cellStyle name="40% - Accent5 5 2 4 4" xfId="22339" xr:uid="{00000000-0005-0000-0000-000072570000}"/>
    <cellStyle name="40% - Accent5 5 2 5" xfId="22340" xr:uid="{00000000-0005-0000-0000-000073570000}"/>
    <cellStyle name="40% - Accent5 5 2 5 2" xfId="22341" xr:uid="{00000000-0005-0000-0000-000074570000}"/>
    <cellStyle name="40% - Accent5 5 2 5 2 2" xfId="22342" xr:uid="{00000000-0005-0000-0000-000075570000}"/>
    <cellStyle name="40% - Accent5 5 2 5 3" xfId="22343" xr:uid="{00000000-0005-0000-0000-000076570000}"/>
    <cellStyle name="40% - Accent5 5 2 6" xfId="22344" xr:uid="{00000000-0005-0000-0000-000077570000}"/>
    <cellStyle name="40% - Accent5 5 2 6 2" xfId="22345" xr:uid="{00000000-0005-0000-0000-000078570000}"/>
    <cellStyle name="40% - Accent5 5 2 7" xfId="22346" xr:uid="{00000000-0005-0000-0000-000079570000}"/>
    <cellStyle name="40% - Accent5 5 3" xfId="22347" xr:uid="{00000000-0005-0000-0000-00007A570000}"/>
    <cellStyle name="40% - Accent5 5 3 2" xfId="22348" xr:uid="{00000000-0005-0000-0000-00007B570000}"/>
    <cellStyle name="40% - Accent5 5 3 2 2" xfId="22349" xr:uid="{00000000-0005-0000-0000-00007C570000}"/>
    <cellStyle name="40% - Accent5 5 3 2 2 2" xfId="22350" xr:uid="{00000000-0005-0000-0000-00007D570000}"/>
    <cellStyle name="40% - Accent5 5 3 2 2 2 2" xfId="22351" xr:uid="{00000000-0005-0000-0000-00007E570000}"/>
    <cellStyle name="40% - Accent5 5 3 2 2 2 2 2" xfId="22352" xr:uid="{00000000-0005-0000-0000-00007F570000}"/>
    <cellStyle name="40% - Accent5 5 3 2 2 2 3" xfId="22353" xr:uid="{00000000-0005-0000-0000-000080570000}"/>
    <cellStyle name="40% - Accent5 5 3 2 2 3" xfId="22354" xr:uid="{00000000-0005-0000-0000-000081570000}"/>
    <cellStyle name="40% - Accent5 5 3 2 2 3 2" xfId="22355" xr:uid="{00000000-0005-0000-0000-000082570000}"/>
    <cellStyle name="40% - Accent5 5 3 2 2 4" xfId="22356" xr:uid="{00000000-0005-0000-0000-000083570000}"/>
    <cellStyle name="40% - Accent5 5 3 2 3" xfId="22357" xr:uid="{00000000-0005-0000-0000-000084570000}"/>
    <cellStyle name="40% - Accent5 5 3 2 3 2" xfId="22358" xr:uid="{00000000-0005-0000-0000-000085570000}"/>
    <cellStyle name="40% - Accent5 5 3 2 3 2 2" xfId="22359" xr:uid="{00000000-0005-0000-0000-000086570000}"/>
    <cellStyle name="40% - Accent5 5 3 2 3 3" xfId="22360" xr:uid="{00000000-0005-0000-0000-000087570000}"/>
    <cellStyle name="40% - Accent5 5 3 2 4" xfId="22361" xr:uid="{00000000-0005-0000-0000-000088570000}"/>
    <cellStyle name="40% - Accent5 5 3 2 4 2" xfId="22362" xr:uid="{00000000-0005-0000-0000-000089570000}"/>
    <cellStyle name="40% - Accent5 5 3 2 5" xfId="22363" xr:uid="{00000000-0005-0000-0000-00008A570000}"/>
    <cellStyle name="40% - Accent5 5 3 3" xfId="22364" xr:uid="{00000000-0005-0000-0000-00008B570000}"/>
    <cellStyle name="40% - Accent5 5 3 3 2" xfId="22365" xr:uid="{00000000-0005-0000-0000-00008C570000}"/>
    <cellStyle name="40% - Accent5 5 3 3 2 2" xfId="22366" xr:uid="{00000000-0005-0000-0000-00008D570000}"/>
    <cellStyle name="40% - Accent5 5 3 3 2 2 2" xfId="22367" xr:uid="{00000000-0005-0000-0000-00008E570000}"/>
    <cellStyle name="40% - Accent5 5 3 3 2 3" xfId="22368" xr:uid="{00000000-0005-0000-0000-00008F570000}"/>
    <cellStyle name="40% - Accent5 5 3 3 3" xfId="22369" xr:uid="{00000000-0005-0000-0000-000090570000}"/>
    <cellStyle name="40% - Accent5 5 3 3 3 2" xfId="22370" xr:uid="{00000000-0005-0000-0000-000091570000}"/>
    <cellStyle name="40% - Accent5 5 3 3 4" xfId="22371" xr:uid="{00000000-0005-0000-0000-000092570000}"/>
    <cellStyle name="40% - Accent5 5 3 4" xfId="22372" xr:uid="{00000000-0005-0000-0000-000093570000}"/>
    <cellStyle name="40% - Accent5 5 3 4 2" xfId="22373" xr:uid="{00000000-0005-0000-0000-000094570000}"/>
    <cellStyle name="40% - Accent5 5 3 4 2 2" xfId="22374" xr:uid="{00000000-0005-0000-0000-000095570000}"/>
    <cellStyle name="40% - Accent5 5 3 4 3" xfId="22375" xr:uid="{00000000-0005-0000-0000-000096570000}"/>
    <cellStyle name="40% - Accent5 5 3 5" xfId="22376" xr:uid="{00000000-0005-0000-0000-000097570000}"/>
    <cellStyle name="40% - Accent5 5 3 5 2" xfId="22377" xr:uid="{00000000-0005-0000-0000-000098570000}"/>
    <cellStyle name="40% - Accent5 5 3 6" xfId="22378" xr:uid="{00000000-0005-0000-0000-000099570000}"/>
    <cellStyle name="40% - Accent5 5 4" xfId="22379" xr:uid="{00000000-0005-0000-0000-00009A570000}"/>
    <cellStyle name="40% - Accent5 5 4 2" xfId="22380" xr:uid="{00000000-0005-0000-0000-00009B570000}"/>
    <cellStyle name="40% - Accent5 5 4 2 2" xfId="22381" xr:uid="{00000000-0005-0000-0000-00009C570000}"/>
    <cellStyle name="40% - Accent5 5 4 2 2 2" xfId="22382" xr:uid="{00000000-0005-0000-0000-00009D570000}"/>
    <cellStyle name="40% - Accent5 5 4 2 2 2 2" xfId="22383" xr:uid="{00000000-0005-0000-0000-00009E570000}"/>
    <cellStyle name="40% - Accent5 5 4 2 2 3" xfId="22384" xr:uid="{00000000-0005-0000-0000-00009F570000}"/>
    <cellStyle name="40% - Accent5 5 4 2 3" xfId="22385" xr:uid="{00000000-0005-0000-0000-0000A0570000}"/>
    <cellStyle name="40% - Accent5 5 4 2 3 2" xfId="22386" xr:uid="{00000000-0005-0000-0000-0000A1570000}"/>
    <cellStyle name="40% - Accent5 5 4 2 4" xfId="22387" xr:uid="{00000000-0005-0000-0000-0000A2570000}"/>
    <cellStyle name="40% - Accent5 5 4 3" xfId="22388" xr:uid="{00000000-0005-0000-0000-0000A3570000}"/>
    <cellStyle name="40% - Accent5 5 4 3 2" xfId="22389" xr:uid="{00000000-0005-0000-0000-0000A4570000}"/>
    <cellStyle name="40% - Accent5 5 4 3 2 2" xfId="22390" xr:uid="{00000000-0005-0000-0000-0000A5570000}"/>
    <cellStyle name="40% - Accent5 5 4 3 3" xfId="22391" xr:uid="{00000000-0005-0000-0000-0000A6570000}"/>
    <cellStyle name="40% - Accent5 5 4 4" xfId="22392" xr:uid="{00000000-0005-0000-0000-0000A7570000}"/>
    <cellStyle name="40% - Accent5 5 4 4 2" xfId="22393" xr:uid="{00000000-0005-0000-0000-0000A8570000}"/>
    <cellStyle name="40% - Accent5 5 4 5" xfId="22394" xr:uid="{00000000-0005-0000-0000-0000A9570000}"/>
    <cellStyle name="40% - Accent5 5 5" xfId="22395" xr:uid="{00000000-0005-0000-0000-0000AA570000}"/>
    <cellStyle name="40% - Accent5 5 5 2" xfId="22396" xr:uid="{00000000-0005-0000-0000-0000AB570000}"/>
    <cellStyle name="40% - Accent5 5 5 2 2" xfId="22397" xr:uid="{00000000-0005-0000-0000-0000AC570000}"/>
    <cellStyle name="40% - Accent5 5 5 2 2 2" xfId="22398" xr:uid="{00000000-0005-0000-0000-0000AD570000}"/>
    <cellStyle name="40% - Accent5 5 5 2 3" xfId="22399" xr:uid="{00000000-0005-0000-0000-0000AE570000}"/>
    <cellStyle name="40% - Accent5 5 5 3" xfId="22400" xr:uid="{00000000-0005-0000-0000-0000AF570000}"/>
    <cellStyle name="40% - Accent5 5 5 3 2" xfId="22401" xr:uid="{00000000-0005-0000-0000-0000B0570000}"/>
    <cellStyle name="40% - Accent5 5 5 4" xfId="22402" xr:uid="{00000000-0005-0000-0000-0000B1570000}"/>
    <cellStyle name="40% - Accent5 5 6" xfId="22403" xr:uid="{00000000-0005-0000-0000-0000B2570000}"/>
    <cellStyle name="40% - Accent5 5 6 2" xfId="22404" xr:uid="{00000000-0005-0000-0000-0000B3570000}"/>
    <cellStyle name="40% - Accent5 5 6 2 2" xfId="22405" xr:uid="{00000000-0005-0000-0000-0000B4570000}"/>
    <cellStyle name="40% - Accent5 5 6 3" xfId="22406" xr:uid="{00000000-0005-0000-0000-0000B5570000}"/>
    <cellStyle name="40% - Accent5 5 7" xfId="22407" xr:uid="{00000000-0005-0000-0000-0000B6570000}"/>
    <cellStyle name="40% - Accent5 5 7 2" xfId="22408" xr:uid="{00000000-0005-0000-0000-0000B7570000}"/>
    <cellStyle name="40% - Accent5 5 8" xfId="22409" xr:uid="{00000000-0005-0000-0000-0000B8570000}"/>
    <cellStyle name="40% - Accent5 6" xfId="22410" xr:uid="{00000000-0005-0000-0000-0000B9570000}"/>
    <cellStyle name="40% - Accent5 6 2" xfId="22411" xr:uid="{00000000-0005-0000-0000-0000BA570000}"/>
    <cellStyle name="40% - Accent5 6 2 2" xfId="22412" xr:uid="{00000000-0005-0000-0000-0000BB570000}"/>
    <cellStyle name="40% - Accent5 6 2 2 2" xfId="22413" xr:uid="{00000000-0005-0000-0000-0000BC570000}"/>
    <cellStyle name="40% - Accent5 6 2 2 2 2" xfId="22414" xr:uid="{00000000-0005-0000-0000-0000BD570000}"/>
    <cellStyle name="40% - Accent5 6 2 2 2 2 2" xfId="22415" xr:uid="{00000000-0005-0000-0000-0000BE570000}"/>
    <cellStyle name="40% - Accent5 6 2 2 2 2 2 2" xfId="22416" xr:uid="{00000000-0005-0000-0000-0000BF570000}"/>
    <cellStyle name="40% - Accent5 6 2 2 2 2 3" xfId="22417" xr:uid="{00000000-0005-0000-0000-0000C0570000}"/>
    <cellStyle name="40% - Accent5 6 2 2 2 3" xfId="22418" xr:uid="{00000000-0005-0000-0000-0000C1570000}"/>
    <cellStyle name="40% - Accent5 6 2 2 2 3 2" xfId="22419" xr:uid="{00000000-0005-0000-0000-0000C2570000}"/>
    <cellStyle name="40% - Accent5 6 2 2 2 4" xfId="22420" xr:uid="{00000000-0005-0000-0000-0000C3570000}"/>
    <cellStyle name="40% - Accent5 6 2 2 3" xfId="22421" xr:uid="{00000000-0005-0000-0000-0000C4570000}"/>
    <cellStyle name="40% - Accent5 6 2 2 3 2" xfId="22422" xr:uid="{00000000-0005-0000-0000-0000C5570000}"/>
    <cellStyle name="40% - Accent5 6 2 2 3 2 2" xfId="22423" xr:uid="{00000000-0005-0000-0000-0000C6570000}"/>
    <cellStyle name="40% - Accent5 6 2 2 3 3" xfId="22424" xr:uid="{00000000-0005-0000-0000-0000C7570000}"/>
    <cellStyle name="40% - Accent5 6 2 2 4" xfId="22425" xr:uid="{00000000-0005-0000-0000-0000C8570000}"/>
    <cellStyle name="40% - Accent5 6 2 2 4 2" xfId="22426" xr:uid="{00000000-0005-0000-0000-0000C9570000}"/>
    <cellStyle name="40% - Accent5 6 2 2 5" xfId="22427" xr:uid="{00000000-0005-0000-0000-0000CA570000}"/>
    <cellStyle name="40% - Accent5 6 2 3" xfId="22428" xr:uid="{00000000-0005-0000-0000-0000CB570000}"/>
    <cellStyle name="40% - Accent5 6 2 3 2" xfId="22429" xr:uid="{00000000-0005-0000-0000-0000CC570000}"/>
    <cellStyle name="40% - Accent5 6 2 3 2 2" xfId="22430" xr:uid="{00000000-0005-0000-0000-0000CD570000}"/>
    <cellStyle name="40% - Accent5 6 2 3 2 2 2" xfId="22431" xr:uid="{00000000-0005-0000-0000-0000CE570000}"/>
    <cellStyle name="40% - Accent5 6 2 3 2 3" xfId="22432" xr:uid="{00000000-0005-0000-0000-0000CF570000}"/>
    <cellStyle name="40% - Accent5 6 2 3 3" xfId="22433" xr:uid="{00000000-0005-0000-0000-0000D0570000}"/>
    <cellStyle name="40% - Accent5 6 2 3 3 2" xfId="22434" xr:uid="{00000000-0005-0000-0000-0000D1570000}"/>
    <cellStyle name="40% - Accent5 6 2 3 4" xfId="22435" xr:uid="{00000000-0005-0000-0000-0000D2570000}"/>
    <cellStyle name="40% - Accent5 6 2 4" xfId="22436" xr:uid="{00000000-0005-0000-0000-0000D3570000}"/>
    <cellStyle name="40% - Accent5 6 2 4 2" xfId="22437" xr:uid="{00000000-0005-0000-0000-0000D4570000}"/>
    <cellStyle name="40% - Accent5 6 2 4 2 2" xfId="22438" xr:uid="{00000000-0005-0000-0000-0000D5570000}"/>
    <cellStyle name="40% - Accent5 6 2 4 3" xfId="22439" xr:uid="{00000000-0005-0000-0000-0000D6570000}"/>
    <cellStyle name="40% - Accent5 6 2 5" xfId="22440" xr:uid="{00000000-0005-0000-0000-0000D7570000}"/>
    <cellStyle name="40% - Accent5 6 2 5 2" xfId="22441" xr:uid="{00000000-0005-0000-0000-0000D8570000}"/>
    <cellStyle name="40% - Accent5 6 2 6" xfId="22442" xr:uid="{00000000-0005-0000-0000-0000D9570000}"/>
    <cellStyle name="40% - Accent5 6 3" xfId="22443" xr:uid="{00000000-0005-0000-0000-0000DA570000}"/>
    <cellStyle name="40% - Accent5 6 3 2" xfId="22444" xr:uid="{00000000-0005-0000-0000-0000DB570000}"/>
    <cellStyle name="40% - Accent5 6 3 2 2" xfId="22445" xr:uid="{00000000-0005-0000-0000-0000DC570000}"/>
    <cellStyle name="40% - Accent5 6 3 2 2 2" xfId="22446" xr:uid="{00000000-0005-0000-0000-0000DD570000}"/>
    <cellStyle name="40% - Accent5 6 3 2 2 2 2" xfId="22447" xr:uid="{00000000-0005-0000-0000-0000DE570000}"/>
    <cellStyle name="40% - Accent5 6 3 2 2 3" xfId="22448" xr:uid="{00000000-0005-0000-0000-0000DF570000}"/>
    <cellStyle name="40% - Accent5 6 3 2 3" xfId="22449" xr:uid="{00000000-0005-0000-0000-0000E0570000}"/>
    <cellStyle name="40% - Accent5 6 3 2 3 2" xfId="22450" xr:uid="{00000000-0005-0000-0000-0000E1570000}"/>
    <cellStyle name="40% - Accent5 6 3 2 4" xfId="22451" xr:uid="{00000000-0005-0000-0000-0000E2570000}"/>
    <cellStyle name="40% - Accent5 6 3 3" xfId="22452" xr:uid="{00000000-0005-0000-0000-0000E3570000}"/>
    <cellStyle name="40% - Accent5 6 3 3 2" xfId="22453" xr:uid="{00000000-0005-0000-0000-0000E4570000}"/>
    <cellStyle name="40% - Accent5 6 3 3 2 2" xfId="22454" xr:uid="{00000000-0005-0000-0000-0000E5570000}"/>
    <cellStyle name="40% - Accent5 6 3 3 3" xfId="22455" xr:uid="{00000000-0005-0000-0000-0000E6570000}"/>
    <cellStyle name="40% - Accent5 6 3 4" xfId="22456" xr:uid="{00000000-0005-0000-0000-0000E7570000}"/>
    <cellStyle name="40% - Accent5 6 3 4 2" xfId="22457" xr:uid="{00000000-0005-0000-0000-0000E8570000}"/>
    <cellStyle name="40% - Accent5 6 3 5" xfId="22458" xr:uid="{00000000-0005-0000-0000-0000E9570000}"/>
    <cellStyle name="40% - Accent5 6 4" xfId="22459" xr:uid="{00000000-0005-0000-0000-0000EA570000}"/>
    <cellStyle name="40% - Accent5 6 4 2" xfId="22460" xr:uid="{00000000-0005-0000-0000-0000EB570000}"/>
    <cellStyle name="40% - Accent5 6 4 2 2" xfId="22461" xr:uid="{00000000-0005-0000-0000-0000EC570000}"/>
    <cellStyle name="40% - Accent5 6 4 2 2 2" xfId="22462" xr:uid="{00000000-0005-0000-0000-0000ED570000}"/>
    <cellStyle name="40% - Accent5 6 4 2 3" xfId="22463" xr:uid="{00000000-0005-0000-0000-0000EE570000}"/>
    <cellStyle name="40% - Accent5 6 4 3" xfId="22464" xr:uid="{00000000-0005-0000-0000-0000EF570000}"/>
    <cellStyle name="40% - Accent5 6 4 3 2" xfId="22465" xr:uid="{00000000-0005-0000-0000-0000F0570000}"/>
    <cellStyle name="40% - Accent5 6 4 4" xfId="22466" xr:uid="{00000000-0005-0000-0000-0000F1570000}"/>
    <cellStyle name="40% - Accent5 6 5" xfId="22467" xr:uid="{00000000-0005-0000-0000-0000F2570000}"/>
    <cellStyle name="40% - Accent5 6 5 2" xfId="22468" xr:uid="{00000000-0005-0000-0000-0000F3570000}"/>
    <cellStyle name="40% - Accent5 6 5 2 2" xfId="22469" xr:uid="{00000000-0005-0000-0000-0000F4570000}"/>
    <cellStyle name="40% - Accent5 6 5 3" xfId="22470" xr:uid="{00000000-0005-0000-0000-0000F5570000}"/>
    <cellStyle name="40% - Accent5 6 6" xfId="22471" xr:uid="{00000000-0005-0000-0000-0000F6570000}"/>
    <cellStyle name="40% - Accent5 6 6 2" xfId="22472" xr:uid="{00000000-0005-0000-0000-0000F7570000}"/>
    <cellStyle name="40% - Accent5 6 7" xfId="22473" xr:uid="{00000000-0005-0000-0000-0000F8570000}"/>
    <cellStyle name="40% - Accent5 7" xfId="22474" xr:uid="{00000000-0005-0000-0000-0000F9570000}"/>
    <cellStyle name="40% - Accent5 7 2" xfId="22475" xr:uid="{00000000-0005-0000-0000-0000FA570000}"/>
    <cellStyle name="40% - Accent5 7 2 2" xfId="22476" xr:uid="{00000000-0005-0000-0000-0000FB570000}"/>
    <cellStyle name="40% - Accent5 7 2 2 2" xfId="22477" xr:uid="{00000000-0005-0000-0000-0000FC570000}"/>
    <cellStyle name="40% - Accent5 7 2 2 2 2" xfId="22478" xr:uid="{00000000-0005-0000-0000-0000FD570000}"/>
    <cellStyle name="40% - Accent5 7 2 2 2 2 2" xfId="22479" xr:uid="{00000000-0005-0000-0000-0000FE570000}"/>
    <cellStyle name="40% - Accent5 7 2 2 2 3" xfId="22480" xr:uid="{00000000-0005-0000-0000-0000FF570000}"/>
    <cellStyle name="40% - Accent5 7 2 2 3" xfId="22481" xr:uid="{00000000-0005-0000-0000-000000580000}"/>
    <cellStyle name="40% - Accent5 7 2 2 3 2" xfId="22482" xr:uid="{00000000-0005-0000-0000-000001580000}"/>
    <cellStyle name="40% - Accent5 7 2 2 4" xfId="22483" xr:uid="{00000000-0005-0000-0000-000002580000}"/>
    <cellStyle name="40% - Accent5 7 2 3" xfId="22484" xr:uid="{00000000-0005-0000-0000-000003580000}"/>
    <cellStyle name="40% - Accent5 7 2 3 2" xfId="22485" xr:uid="{00000000-0005-0000-0000-000004580000}"/>
    <cellStyle name="40% - Accent5 7 2 3 2 2" xfId="22486" xr:uid="{00000000-0005-0000-0000-000005580000}"/>
    <cellStyle name="40% - Accent5 7 2 3 3" xfId="22487" xr:uid="{00000000-0005-0000-0000-000006580000}"/>
    <cellStyle name="40% - Accent5 7 2 4" xfId="22488" xr:uid="{00000000-0005-0000-0000-000007580000}"/>
    <cellStyle name="40% - Accent5 7 2 4 2" xfId="22489" xr:uid="{00000000-0005-0000-0000-000008580000}"/>
    <cellStyle name="40% - Accent5 7 2 5" xfId="22490" xr:uid="{00000000-0005-0000-0000-000009580000}"/>
    <cellStyle name="40% - Accent5 7 3" xfId="22491" xr:uid="{00000000-0005-0000-0000-00000A580000}"/>
    <cellStyle name="40% - Accent5 7 3 2" xfId="22492" xr:uid="{00000000-0005-0000-0000-00000B580000}"/>
    <cellStyle name="40% - Accent5 7 3 2 2" xfId="22493" xr:uid="{00000000-0005-0000-0000-00000C580000}"/>
    <cellStyle name="40% - Accent5 7 3 2 2 2" xfId="22494" xr:uid="{00000000-0005-0000-0000-00000D580000}"/>
    <cellStyle name="40% - Accent5 7 3 2 3" xfId="22495" xr:uid="{00000000-0005-0000-0000-00000E580000}"/>
    <cellStyle name="40% - Accent5 7 3 3" xfId="22496" xr:uid="{00000000-0005-0000-0000-00000F580000}"/>
    <cellStyle name="40% - Accent5 7 3 3 2" xfId="22497" xr:uid="{00000000-0005-0000-0000-000010580000}"/>
    <cellStyle name="40% - Accent5 7 3 4" xfId="22498" xr:uid="{00000000-0005-0000-0000-000011580000}"/>
    <cellStyle name="40% - Accent5 7 4" xfId="22499" xr:uid="{00000000-0005-0000-0000-000012580000}"/>
    <cellStyle name="40% - Accent5 7 4 2" xfId="22500" xr:uid="{00000000-0005-0000-0000-000013580000}"/>
    <cellStyle name="40% - Accent5 7 4 2 2" xfId="22501" xr:uid="{00000000-0005-0000-0000-000014580000}"/>
    <cellStyle name="40% - Accent5 7 4 3" xfId="22502" xr:uid="{00000000-0005-0000-0000-000015580000}"/>
    <cellStyle name="40% - Accent5 7 5" xfId="22503" xr:uid="{00000000-0005-0000-0000-000016580000}"/>
    <cellStyle name="40% - Accent5 7 5 2" xfId="22504" xr:uid="{00000000-0005-0000-0000-000017580000}"/>
    <cellStyle name="40% - Accent5 7 6" xfId="22505" xr:uid="{00000000-0005-0000-0000-000018580000}"/>
    <cellStyle name="40% - Accent5 8" xfId="22506" xr:uid="{00000000-0005-0000-0000-000019580000}"/>
    <cellStyle name="40% - Accent5 8 2" xfId="22507" xr:uid="{00000000-0005-0000-0000-00001A580000}"/>
    <cellStyle name="40% - Accent5 8 2 2" xfId="22508" xr:uid="{00000000-0005-0000-0000-00001B580000}"/>
    <cellStyle name="40% - Accent5 8 2 2 2" xfId="22509" xr:uid="{00000000-0005-0000-0000-00001C580000}"/>
    <cellStyle name="40% - Accent5 8 2 2 2 2" xfId="22510" xr:uid="{00000000-0005-0000-0000-00001D580000}"/>
    <cellStyle name="40% - Accent5 8 2 2 3" xfId="22511" xr:uid="{00000000-0005-0000-0000-00001E580000}"/>
    <cellStyle name="40% - Accent5 8 2 3" xfId="22512" xr:uid="{00000000-0005-0000-0000-00001F580000}"/>
    <cellStyle name="40% - Accent5 8 2 3 2" xfId="22513" xr:uid="{00000000-0005-0000-0000-000020580000}"/>
    <cellStyle name="40% - Accent5 8 2 4" xfId="22514" xr:uid="{00000000-0005-0000-0000-000021580000}"/>
    <cellStyle name="40% - Accent5 8 3" xfId="22515" xr:uid="{00000000-0005-0000-0000-000022580000}"/>
    <cellStyle name="40% - Accent5 8 3 2" xfId="22516" xr:uid="{00000000-0005-0000-0000-000023580000}"/>
    <cellStyle name="40% - Accent5 8 3 2 2" xfId="22517" xr:uid="{00000000-0005-0000-0000-000024580000}"/>
    <cellStyle name="40% - Accent5 8 3 3" xfId="22518" xr:uid="{00000000-0005-0000-0000-000025580000}"/>
    <cellStyle name="40% - Accent5 8 4" xfId="22519" xr:uid="{00000000-0005-0000-0000-000026580000}"/>
    <cellStyle name="40% - Accent5 8 4 2" xfId="22520" xr:uid="{00000000-0005-0000-0000-000027580000}"/>
    <cellStyle name="40% - Accent5 8 5" xfId="22521" xr:uid="{00000000-0005-0000-0000-000028580000}"/>
    <cellStyle name="40% - Accent5 9" xfId="22522" xr:uid="{00000000-0005-0000-0000-000029580000}"/>
    <cellStyle name="40% - Accent5 9 2" xfId="22523" xr:uid="{00000000-0005-0000-0000-00002A580000}"/>
    <cellStyle name="40% - Accent5 9 2 2" xfId="22524" xr:uid="{00000000-0005-0000-0000-00002B580000}"/>
    <cellStyle name="40% - Accent5 9 2 2 2" xfId="22525" xr:uid="{00000000-0005-0000-0000-00002C580000}"/>
    <cellStyle name="40% - Accent5 9 2 3" xfId="22526" xr:uid="{00000000-0005-0000-0000-00002D580000}"/>
    <cellStyle name="40% - Accent5 9 3" xfId="22527" xr:uid="{00000000-0005-0000-0000-00002E580000}"/>
    <cellStyle name="40% - Accent5 9 3 2" xfId="22528" xr:uid="{00000000-0005-0000-0000-00002F580000}"/>
    <cellStyle name="40% - Accent5 9 4" xfId="22529" xr:uid="{00000000-0005-0000-0000-000030580000}"/>
    <cellStyle name="40% - Accent6 10" xfId="22530" xr:uid="{00000000-0005-0000-0000-000031580000}"/>
    <cellStyle name="40% - Accent6 10 2" xfId="22531" xr:uid="{00000000-0005-0000-0000-000032580000}"/>
    <cellStyle name="40% - Accent6 10 2 2" xfId="22532" xr:uid="{00000000-0005-0000-0000-000033580000}"/>
    <cellStyle name="40% - Accent6 10 3" xfId="22533" xr:uid="{00000000-0005-0000-0000-000034580000}"/>
    <cellStyle name="40% - Accent6 11" xfId="22534" xr:uid="{00000000-0005-0000-0000-000035580000}"/>
    <cellStyle name="40% - Accent6 11 2" xfId="22535" xr:uid="{00000000-0005-0000-0000-000036580000}"/>
    <cellStyle name="40% - Accent6 12" xfId="22536" xr:uid="{00000000-0005-0000-0000-000037580000}"/>
    <cellStyle name="40% - Accent6 13" xfId="22537" xr:uid="{00000000-0005-0000-0000-000038580000}"/>
    <cellStyle name="40% - Accent6 2" xfId="22538" xr:uid="{00000000-0005-0000-0000-000039580000}"/>
    <cellStyle name="40% - Accent6 2 10" xfId="22539" xr:uid="{00000000-0005-0000-0000-00003A580000}"/>
    <cellStyle name="40% - Accent6 2 10 2" xfId="22540" xr:uid="{00000000-0005-0000-0000-00003B580000}"/>
    <cellStyle name="40% - Accent6 2 11" xfId="22541" xr:uid="{00000000-0005-0000-0000-00003C580000}"/>
    <cellStyle name="40% - Accent6 2 2" xfId="22542" xr:uid="{00000000-0005-0000-0000-00003D580000}"/>
    <cellStyle name="40% - Accent6 2 2 10" xfId="22543" xr:uid="{00000000-0005-0000-0000-00003E580000}"/>
    <cellStyle name="40% - Accent6 2 2 2" xfId="22544" xr:uid="{00000000-0005-0000-0000-00003F580000}"/>
    <cellStyle name="40% - Accent6 2 2 2 2" xfId="22545" xr:uid="{00000000-0005-0000-0000-000040580000}"/>
    <cellStyle name="40% - Accent6 2 2 2 2 2" xfId="22546" xr:uid="{00000000-0005-0000-0000-000041580000}"/>
    <cellStyle name="40% - Accent6 2 2 2 2 2 2" xfId="22547" xr:uid="{00000000-0005-0000-0000-000042580000}"/>
    <cellStyle name="40% - Accent6 2 2 2 2 2 2 2" xfId="22548" xr:uid="{00000000-0005-0000-0000-000043580000}"/>
    <cellStyle name="40% - Accent6 2 2 2 2 2 2 2 2" xfId="22549" xr:uid="{00000000-0005-0000-0000-000044580000}"/>
    <cellStyle name="40% - Accent6 2 2 2 2 2 2 2 2 2" xfId="22550" xr:uid="{00000000-0005-0000-0000-000045580000}"/>
    <cellStyle name="40% - Accent6 2 2 2 2 2 2 2 2 2 2" xfId="22551" xr:uid="{00000000-0005-0000-0000-000046580000}"/>
    <cellStyle name="40% - Accent6 2 2 2 2 2 2 2 2 2 2 2" xfId="22552" xr:uid="{00000000-0005-0000-0000-000047580000}"/>
    <cellStyle name="40% - Accent6 2 2 2 2 2 2 2 2 2 3" xfId="22553" xr:uid="{00000000-0005-0000-0000-000048580000}"/>
    <cellStyle name="40% - Accent6 2 2 2 2 2 2 2 2 3" xfId="22554" xr:uid="{00000000-0005-0000-0000-000049580000}"/>
    <cellStyle name="40% - Accent6 2 2 2 2 2 2 2 2 3 2" xfId="22555" xr:uid="{00000000-0005-0000-0000-00004A580000}"/>
    <cellStyle name="40% - Accent6 2 2 2 2 2 2 2 2 4" xfId="22556" xr:uid="{00000000-0005-0000-0000-00004B580000}"/>
    <cellStyle name="40% - Accent6 2 2 2 2 2 2 2 3" xfId="22557" xr:uid="{00000000-0005-0000-0000-00004C580000}"/>
    <cellStyle name="40% - Accent6 2 2 2 2 2 2 2 3 2" xfId="22558" xr:uid="{00000000-0005-0000-0000-00004D580000}"/>
    <cellStyle name="40% - Accent6 2 2 2 2 2 2 2 3 2 2" xfId="22559" xr:uid="{00000000-0005-0000-0000-00004E580000}"/>
    <cellStyle name="40% - Accent6 2 2 2 2 2 2 2 3 3" xfId="22560" xr:uid="{00000000-0005-0000-0000-00004F580000}"/>
    <cellStyle name="40% - Accent6 2 2 2 2 2 2 2 4" xfId="22561" xr:uid="{00000000-0005-0000-0000-000050580000}"/>
    <cellStyle name="40% - Accent6 2 2 2 2 2 2 2 4 2" xfId="22562" xr:uid="{00000000-0005-0000-0000-000051580000}"/>
    <cellStyle name="40% - Accent6 2 2 2 2 2 2 2 5" xfId="22563" xr:uid="{00000000-0005-0000-0000-000052580000}"/>
    <cellStyle name="40% - Accent6 2 2 2 2 2 2 3" xfId="22564" xr:uid="{00000000-0005-0000-0000-000053580000}"/>
    <cellStyle name="40% - Accent6 2 2 2 2 2 2 3 2" xfId="22565" xr:uid="{00000000-0005-0000-0000-000054580000}"/>
    <cellStyle name="40% - Accent6 2 2 2 2 2 2 3 2 2" xfId="22566" xr:uid="{00000000-0005-0000-0000-000055580000}"/>
    <cellStyle name="40% - Accent6 2 2 2 2 2 2 3 2 2 2" xfId="22567" xr:uid="{00000000-0005-0000-0000-000056580000}"/>
    <cellStyle name="40% - Accent6 2 2 2 2 2 2 3 2 3" xfId="22568" xr:uid="{00000000-0005-0000-0000-000057580000}"/>
    <cellStyle name="40% - Accent6 2 2 2 2 2 2 3 3" xfId="22569" xr:uid="{00000000-0005-0000-0000-000058580000}"/>
    <cellStyle name="40% - Accent6 2 2 2 2 2 2 3 3 2" xfId="22570" xr:uid="{00000000-0005-0000-0000-000059580000}"/>
    <cellStyle name="40% - Accent6 2 2 2 2 2 2 3 4" xfId="22571" xr:uid="{00000000-0005-0000-0000-00005A580000}"/>
    <cellStyle name="40% - Accent6 2 2 2 2 2 2 4" xfId="22572" xr:uid="{00000000-0005-0000-0000-00005B580000}"/>
    <cellStyle name="40% - Accent6 2 2 2 2 2 2 4 2" xfId="22573" xr:uid="{00000000-0005-0000-0000-00005C580000}"/>
    <cellStyle name="40% - Accent6 2 2 2 2 2 2 4 2 2" xfId="22574" xr:uid="{00000000-0005-0000-0000-00005D580000}"/>
    <cellStyle name="40% - Accent6 2 2 2 2 2 2 4 3" xfId="22575" xr:uid="{00000000-0005-0000-0000-00005E580000}"/>
    <cellStyle name="40% - Accent6 2 2 2 2 2 2 5" xfId="22576" xr:uid="{00000000-0005-0000-0000-00005F580000}"/>
    <cellStyle name="40% - Accent6 2 2 2 2 2 2 5 2" xfId="22577" xr:uid="{00000000-0005-0000-0000-000060580000}"/>
    <cellStyle name="40% - Accent6 2 2 2 2 2 2 6" xfId="22578" xr:uid="{00000000-0005-0000-0000-000061580000}"/>
    <cellStyle name="40% - Accent6 2 2 2 2 2 3" xfId="22579" xr:uid="{00000000-0005-0000-0000-000062580000}"/>
    <cellStyle name="40% - Accent6 2 2 2 2 2 3 2" xfId="22580" xr:uid="{00000000-0005-0000-0000-000063580000}"/>
    <cellStyle name="40% - Accent6 2 2 2 2 2 3 2 2" xfId="22581" xr:uid="{00000000-0005-0000-0000-000064580000}"/>
    <cellStyle name="40% - Accent6 2 2 2 2 2 3 2 2 2" xfId="22582" xr:uid="{00000000-0005-0000-0000-000065580000}"/>
    <cellStyle name="40% - Accent6 2 2 2 2 2 3 2 2 2 2" xfId="22583" xr:uid="{00000000-0005-0000-0000-000066580000}"/>
    <cellStyle name="40% - Accent6 2 2 2 2 2 3 2 2 3" xfId="22584" xr:uid="{00000000-0005-0000-0000-000067580000}"/>
    <cellStyle name="40% - Accent6 2 2 2 2 2 3 2 3" xfId="22585" xr:uid="{00000000-0005-0000-0000-000068580000}"/>
    <cellStyle name="40% - Accent6 2 2 2 2 2 3 2 3 2" xfId="22586" xr:uid="{00000000-0005-0000-0000-000069580000}"/>
    <cellStyle name="40% - Accent6 2 2 2 2 2 3 2 4" xfId="22587" xr:uid="{00000000-0005-0000-0000-00006A580000}"/>
    <cellStyle name="40% - Accent6 2 2 2 2 2 3 3" xfId="22588" xr:uid="{00000000-0005-0000-0000-00006B580000}"/>
    <cellStyle name="40% - Accent6 2 2 2 2 2 3 3 2" xfId="22589" xr:uid="{00000000-0005-0000-0000-00006C580000}"/>
    <cellStyle name="40% - Accent6 2 2 2 2 2 3 3 2 2" xfId="22590" xr:uid="{00000000-0005-0000-0000-00006D580000}"/>
    <cellStyle name="40% - Accent6 2 2 2 2 2 3 3 3" xfId="22591" xr:uid="{00000000-0005-0000-0000-00006E580000}"/>
    <cellStyle name="40% - Accent6 2 2 2 2 2 3 4" xfId="22592" xr:uid="{00000000-0005-0000-0000-00006F580000}"/>
    <cellStyle name="40% - Accent6 2 2 2 2 2 3 4 2" xfId="22593" xr:uid="{00000000-0005-0000-0000-000070580000}"/>
    <cellStyle name="40% - Accent6 2 2 2 2 2 3 5" xfId="22594" xr:uid="{00000000-0005-0000-0000-000071580000}"/>
    <cellStyle name="40% - Accent6 2 2 2 2 2 4" xfId="22595" xr:uid="{00000000-0005-0000-0000-000072580000}"/>
    <cellStyle name="40% - Accent6 2 2 2 2 2 4 2" xfId="22596" xr:uid="{00000000-0005-0000-0000-000073580000}"/>
    <cellStyle name="40% - Accent6 2 2 2 2 2 4 2 2" xfId="22597" xr:uid="{00000000-0005-0000-0000-000074580000}"/>
    <cellStyle name="40% - Accent6 2 2 2 2 2 4 2 2 2" xfId="22598" xr:uid="{00000000-0005-0000-0000-000075580000}"/>
    <cellStyle name="40% - Accent6 2 2 2 2 2 4 2 3" xfId="22599" xr:uid="{00000000-0005-0000-0000-000076580000}"/>
    <cellStyle name="40% - Accent6 2 2 2 2 2 4 3" xfId="22600" xr:uid="{00000000-0005-0000-0000-000077580000}"/>
    <cellStyle name="40% - Accent6 2 2 2 2 2 4 3 2" xfId="22601" xr:uid="{00000000-0005-0000-0000-000078580000}"/>
    <cellStyle name="40% - Accent6 2 2 2 2 2 4 4" xfId="22602" xr:uid="{00000000-0005-0000-0000-000079580000}"/>
    <cellStyle name="40% - Accent6 2 2 2 2 2 5" xfId="22603" xr:uid="{00000000-0005-0000-0000-00007A580000}"/>
    <cellStyle name="40% - Accent6 2 2 2 2 2 5 2" xfId="22604" xr:uid="{00000000-0005-0000-0000-00007B580000}"/>
    <cellStyle name="40% - Accent6 2 2 2 2 2 5 2 2" xfId="22605" xr:uid="{00000000-0005-0000-0000-00007C580000}"/>
    <cellStyle name="40% - Accent6 2 2 2 2 2 5 3" xfId="22606" xr:uid="{00000000-0005-0000-0000-00007D580000}"/>
    <cellStyle name="40% - Accent6 2 2 2 2 2 6" xfId="22607" xr:uid="{00000000-0005-0000-0000-00007E580000}"/>
    <cellStyle name="40% - Accent6 2 2 2 2 2 6 2" xfId="22608" xr:uid="{00000000-0005-0000-0000-00007F580000}"/>
    <cellStyle name="40% - Accent6 2 2 2 2 2 7" xfId="22609" xr:uid="{00000000-0005-0000-0000-000080580000}"/>
    <cellStyle name="40% - Accent6 2 2 2 2 3" xfId="22610" xr:uid="{00000000-0005-0000-0000-000081580000}"/>
    <cellStyle name="40% - Accent6 2 2 2 2 3 2" xfId="22611" xr:uid="{00000000-0005-0000-0000-000082580000}"/>
    <cellStyle name="40% - Accent6 2 2 2 2 3 2 2" xfId="22612" xr:uid="{00000000-0005-0000-0000-000083580000}"/>
    <cellStyle name="40% - Accent6 2 2 2 2 3 2 2 2" xfId="22613" xr:uid="{00000000-0005-0000-0000-000084580000}"/>
    <cellStyle name="40% - Accent6 2 2 2 2 3 2 2 2 2" xfId="22614" xr:uid="{00000000-0005-0000-0000-000085580000}"/>
    <cellStyle name="40% - Accent6 2 2 2 2 3 2 2 2 2 2" xfId="22615" xr:uid="{00000000-0005-0000-0000-000086580000}"/>
    <cellStyle name="40% - Accent6 2 2 2 2 3 2 2 2 3" xfId="22616" xr:uid="{00000000-0005-0000-0000-000087580000}"/>
    <cellStyle name="40% - Accent6 2 2 2 2 3 2 2 3" xfId="22617" xr:uid="{00000000-0005-0000-0000-000088580000}"/>
    <cellStyle name="40% - Accent6 2 2 2 2 3 2 2 3 2" xfId="22618" xr:uid="{00000000-0005-0000-0000-000089580000}"/>
    <cellStyle name="40% - Accent6 2 2 2 2 3 2 2 4" xfId="22619" xr:uid="{00000000-0005-0000-0000-00008A580000}"/>
    <cellStyle name="40% - Accent6 2 2 2 2 3 2 3" xfId="22620" xr:uid="{00000000-0005-0000-0000-00008B580000}"/>
    <cellStyle name="40% - Accent6 2 2 2 2 3 2 3 2" xfId="22621" xr:uid="{00000000-0005-0000-0000-00008C580000}"/>
    <cellStyle name="40% - Accent6 2 2 2 2 3 2 3 2 2" xfId="22622" xr:uid="{00000000-0005-0000-0000-00008D580000}"/>
    <cellStyle name="40% - Accent6 2 2 2 2 3 2 3 3" xfId="22623" xr:uid="{00000000-0005-0000-0000-00008E580000}"/>
    <cellStyle name="40% - Accent6 2 2 2 2 3 2 4" xfId="22624" xr:uid="{00000000-0005-0000-0000-00008F580000}"/>
    <cellStyle name="40% - Accent6 2 2 2 2 3 2 4 2" xfId="22625" xr:uid="{00000000-0005-0000-0000-000090580000}"/>
    <cellStyle name="40% - Accent6 2 2 2 2 3 2 5" xfId="22626" xr:uid="{00000000-0005-0000-0000-000091580000}"/>
    <cellStyle name="40% - Accent6 2 2 2 2 3 3" xfId="22627" xr:uid="{00000000-0005-0000-0000-000092580000}"/>
    <cellStyle name="40% - Accent6 2 2 2 2 3 3 2" xfId="22628" xr:uid="{00000000-0005-0000-0000-000093580000}"/>
    <cellStyle name="40% - Accent6 2 2 2 2 3 3 2 2" xfId="22629" xr:uid="{00000000-0005-0000-0000-000094580000}"/>
    <cellStyle name="40% - Accent6 2 2 2 2 3 3 2 2 2" xfId="22630" xr:uid="{00000000-0005-0000-0000-000095580000}"/>
    <cellStyle name="40% - Accent6 2 2 2 2 3 3 2 3" xfId="22631" xr:uid="{00000000-0005-0000-0000-000096580000}"/>
    <cellStyle name="40% - Accent6 2 2 2 2 3 3 3" xfId="22632" xr:uid="{00000000-0005-0000-0000-000097580000}"/>
    <cellStyle name="40% - Accent6 2 2 2 2 3 3 3 2" xfId="22633" xr:uid="{00000000-0005-0000-0000-000098580000}"/>
    <cellStyle name="40% - Accent6 2 2 2 2 3 3 4" xfId="22634" xr:uid="{00000000-0005-0000-0000-000099580000}"/>
    <cellStyle name="40% - Accent6 2 2 2 2 3 4" xfId="22635" xr:uid="{00000000-0005-0000-0000-00009A580000}"/>
    <cellStyle name="40% - Accent6 2 2 2 2 3 4 2" xfId="22636" xr:uid="{00000000-0005-0000-0000-00009B580000}"/>
    <cellStyle name="40% - Accent6 2 2 2 2 3 4 2 2" xfId="22637" xr:uid="{00000000-0005-0000-0000-00009C580000}"/>
    <cellStyle name="40% - Accent6 2 2 2 2 3 4 3" xfId="22638" xr:uid="{00000000-0005-0000-0000-00009D580000}"/>
    <cellStyle name="40% - Accent6 2 2 2 2 3 5" xfId="22639" xr:uid="{00000000-0005-0000-0000-00009E580000}"/>
    <cellStyle name="40% - Accent6 2 2 2 2 3 5 2" xfId="22640" xr:uid="{00000000-0005-0000-0000-00009F580000}"/>
    <cellStyle name="40% - Accent6 2 2 2 2 3 6" xfId="22641" xr:uid="{00000000-0005-0000-0000-0000A0580000}"/>
    <cellStyle name="40% - Accent6 2 2 2 2 4" xfId="22642" xr:uid="{00000000-0005-0000-0000-0000A1580000}"/>
    <cellStyle name="40% - Accent6 2 2 2 2 4 2" xfId="22643" xr:uid="{00000000-0005-0000-0000-0000A2580000}"/>
    <cellStyle name="40% - Accent6 2 2 2 2 4 2 2" xfId="22644" xr:uid="{00000000-0005-0000-0000-0000A3580000}"/>
    <cellStyle name="40% - Accent6 2 2 2 2 4 2 2 2" xfId="22645" xr:uid="{00000000-0005-0000-0000-0000A4580000}"/>
    <cellStyle name="40% - Accent6 2 2 2 2 4 2 2 2 2" xfId="22646" xr:uid="{00000000-0005-0000-0000-0000A5580000}"/>
    <cellStyle name="40% - Accent6 2 2 2 2 4 2 2 3" xfId="22647" xr:uid="{00000000-0005-0000-0000-0000A6580000}"/>
    <cellStyle name="40% - Accent6 2 2 2 2 4 2 3" xfId="22648" xr:uid="{00000000-0005-0000-0000-0000A7580000}"/>
    <cellStyle name="40% - Accent6 2 2 2 2 4 2 3 2" xfId="22649" xr:uid="{00000000-0005-0000-0000-0000A8580000}"/>
    <cellStyle name="40% - Accent6 2 2 2 2 4 2 4" xfId="22650" xr:uid="{00000000-0005-0000-0000-0000A9580000}"/>
    <cellStyle name="40% - Accent6 2 2 2 2 4 3" xfId="22651" xr:uid="{00000000-0005-0000-0000-0000AA580000}"/>
    <cellStyle name="40% - Accent6 2 2 2 2 4 3 2" xfId="22652" xr:uid="{00000000-0005-0000-0000-0000AB580000}"/>
    <cellStyle name="40% - Accent6 2 2 2 2 4 3 2 2" xfId="22653" xr:uid="{00000000-0005-0000-0000-0000AC580000}"/>
    <cellStyle name="40% - Accent6 2 2 2 2 4 3 3" xfId="22654" xr:uid="{00000000-0005-0000-0000-0000AD580000}"/>
    <cellStyle name="40% - Accent6 2 2 2 2 4 4" xfId="22655" xr:uid="{00000000-0005-0000-0000-0000AE580000}"/>
    <cellStyle name="40% - Accent6 2 2 2 2 4 4 2" xfId="22656" xr:uid="{00000000-0005-0000-0000-0000AF580000}"/>
    <cellStyle name="40% - Accent6 2 2 2 2 4 5" xfId="22657" xr:uid="{00000000-0005-0000-0000-0000B0580000}"/>
    <cellStyle name="40% - Accent6 2 2 2 2 5" xfId="22658" xr:uid="{00000000-0005-0000-0000-0000B1580000}"/>
    <cellStyle name="40% - Accent6 2 2 2 2 5 2" xfId="22659" xr:uid="{00000000-0005-0000-0000-0000B2580000}"/>
    <cellStyle name="40% - Accent6 2 2 2 2 5 2 2" xfId="22660" xr:uid="{00000000-0005-0000-0000-0000B3580000}"/>
    <cellStyle name="40% - Accent6 2 2 2 2 5 2 2 2" xfId="22661" xr:uid="{00000000-0005-0000-0000-0000B4580000}"/>
    <cellStyle name="40% - Accent6 2 2 2 2 5 2 3" xfId="22662" xr:uid="{00000000-0005-0000-0000-0000B5580000}"/>
    <cellStyle name="40% - Accent6 2 2 2 2 5 3" xfId="22663" xr:uid="{00000000-0005-0000-0000-0000B6580000}"/>
    <cellStyle name="40% - Accent6 2 2 2 2 5 3 2" xfId="22664" xr:uid="{00000000-0005-0000-0000-0000B7580000}"/>
    <cellStyle name="40% - Accent6 2 2 2 2 5 4" xfId="22665" xr:uid="{00000000-0005-0000-0000-0000B8580000}"/>
    <cellStyle name="40% - Accent6 2 2 2 2 6" xfId="22666" xr:uid="{00000000-0005-0000-0000-0000B9580000}"/>
    <cellStyle name="40% - Accent6 2 2 2 2 6 2" xfId="22667" xr:uid="{00000000-0005-0000-0000-0000BA580000}"/>
    <cellStyle name="40% - Accent6 2 2 2 2 6 2 2" xfId="22668" xr:uid="{00000000-0005-0000-0000-0000BB580000}"/>
    <cellStyle name="40% - Accent6 2 2 2 2 6 3" xfId="22669" xr:uid="{00000000-0005-0000-0000-0000BC580000}"/>
    <cellStyle name="40% - Accent6 2 2 2 2 7" xfId="22670" xr:uid="{00000000-0005-0000-0000-0000BD580000}"/>
    <cellStyle name="40% - Accent6 2 2 2 2 7 2" xfId="22671" xr:uid="{00000000-0005-0000-0000-0000BE580000}"/>
    <cellStyle name="40% - Accent6 2 2 2 2 8" xfId="22672" xr:uid="{00000000-0005-0000-0000-0000BF580000}"/>
    <cellStyle name="40% - Accent6 2 2 2 3" xfId="22673" xr:uid="{00000000-0005-0000-0000-0000C0580000}"/>
    <cellStyle name="40% - Accent6 2 2 2 3 2" xfId="22674" xr:uid="{00000000-0005-0000-0000-0000C1580000}"/>
    <cellStyle name="40% - Accent6 2 2 2 3 2 2" xfId="22675" xr:uid="{00000000-0005-0000-0000-0000C2580000}"/>
    <cellStyle name="40% - Accent6 2 2 2 3 2 2 2" xfId="22676" xr:uid="{00000000-0005-0000-0000-0000C3580000}"/>
    <cellStyle name="40% - Accent6 2 2 2 3 2 2 2 2" xfId="22677" xr:uid="{00000000-0005-0000-0000-0000C4580000}"/>
    <cellStyle name="40% - Accent6 2 2 2 3 2 2 2 2 2" xfId="22678" xr:uid="{00000000-0005-0000-0000-0000C5580000}"/>
    <cellStyle name="40% - Accent6 2 2 2 3 2 2 2 2 2 2" xfId="22679" xr:uid="{00000000-0005-0000-0000-0000C6580000}"/>
    <cellStyle name="40% - Accent6 2 2 2 3 2 2 2 2 3" xfId="22680" xr:uid="{00000000-0005-0000-0000-0000C7580000}"/>
    <cellStyle name="40% - Accent6 2 2 2 3 2 2 2 3" xfId="22681" xr:uid="{00000000-0005-0000-0000-0000C8580000}"/>
    <cellStyle name="40% - Accent6 2 2 2 3 2 2 2 3 2" xfId="22682" xr:uid="{00000000-0005-0000-0000-0000C9580000}"/>
    <cellStyle name="40% - Accent6 2 2 2 3 2 2 2 4" xfId="22683" xr:uid="{00000000-0005-0000-0000-0000CA580000}"/>
    <cellStyle name="40% - Accent6 2 2 2 3 2 2 3" xfId="22684" xr:uid="{00000000-0005-0000-0000-0000CB580000}"/>
    <cellStyle name="40% - Accent6 2 2 2 3 2 2 3 2" xfId="22685" xr:uid="{00000000-0005-0000-0000-0000CC580000}"/>
    <cellStyle name="40% - Accent6 2 2 2 3 2 2 3 2 2" xfId="22686" xr:uid="{00000000-0005-0000-0000-0000CD580000}"/>
    <cellStyle name="40% - Accent6 2 2 2 3 2 2 3 3" xfId="22687" xr:uid="{00000000-0005-0000-0000-0000CE580000}"/>
    <cellStyle name="40% - Accent6 2 2 2 3 2 2 4" xfId="22688" xr:uid="{00000000-0005-0000-0000-0000CF580000}"/>
    <cellStyle name="40% - Accent6 2 2 2 3 2 2 4 2" xfId="22689" xr:uid="{00000000-0005-0000-0000-0000D0580000}"/>
    <cellStyle name="40% - Accent6 2 2 2 3 2 2 5" xfId="22690" xr:uid="{00000000-0005-0000-0000-0000D1580000}"/>
    <cellStyle name="40% - Accent6 2 2 2 3 2 3" xfId="22691" xr:uid="{00000000-0005-0000-0000-0000D2580000}"/>
    <cellStyle name="40% - Accent6 2 2 2 3 2 3 2" xfId="22692" xr:uid="{00000000-0005-0000-0000-0000D3580000}"/>
    <cellStyle name="40% - Accent6 2 2 2 3 2 3 2 2" xfId="22693" xr:uid="{00000000-0005-0000-0000-0000D4580000}"/>
    <cellStyle name="40% - Accent6 2 2 2 3 2 3 2 2 2" xfId="22694" xr:uid="{00000000-0005-0000-0000-0000D5580000}"/>
    <cellStyle name="40% - Accent6 2 2 2 3 2 3 2 3" xfId="22695" xr:uid="{00000000-0005-0000-0000-0000D6580000}"/>
    <cellStyle name="40% - Accent6 2 2 2 3 2 3 3" xfId="22696" xr:uid="{00000000-0005-0000-0000-0000D7580000}"/>
    <cellStyle name="40% - Accent6 2 2 2 3 2 3 3 2" xfId="22697" xr:uid="{00000000-0005-0000-0000-0000D8580000}"/>
    <cellStyle name="40% - Accent6 2 2 2 3 2 3 4" xfId="22698" xr:uid="{00000000-0005-0000-0000-0000D9580000}"/>
    <cellStyle name="40% - Accent6 2 2 2 3 2 4" xfId="22699" xr:uid="{00000000-0005-0000-0000-0000DA580000}"/>
    <cellStyle name="40% - Accent6 2 2 2 3 2 4 2" xfId="22700" xr:uid="{00000000-0005-0000-0000-0000DB580000}"/>
    <cellStyle name="40% - Accent6 2 2 2 3 2 4 2 2" xfId="22701" xr:uid="{00000000-0005-0000-0000-0000DC580000}"/>
    <cellStyle name="40% - Accent6 2 2 2 3 2 4 3" xfId="22702" xr:uid="{00000000-0005-0000-0000-0000DD580000}"/>
    <cellStyle name="40% - Accent6 2 2 2 3 2 5" xfId="22703" xr:uid="{00000000-0005-0000-0000-0000DE580000}"/>
    <cellStyle name="40% - Accent6 2 2 2 3 2 5 2" xfId="22704" xr:uid="{00000000-0005-0000-0000-0000DF580000}"/>
    <cellStyle name="40% - Accent6 2 2 2 3 2 6" xfId="22705" xr:uid="{00000000-0005-0000-0000-0000E0580000}"/>
    <cellStyle name="40% - Accent6 2 2 2 3 3" xfId="22706" xr:uid="{00000000-0005-0000-0000-0000E1580000}"/>
    <cellStyle name="40% - Accent6 2 2 2 3 3 2" xfId="22707" xr:uid="{00000000-0005-0000-0000-0000E2580000}"/>
    <cellStyle name="40% - Accent6 2 2 2 3 3 2 2" xfId="22708" xr:uid="{00000000-0005-0000-0000-0000E3580000}"/>
    <cellStyle name="40% - Accent6 2 2 2 3 3 2 2 2" xfId="22709" xr:uid="{00000000-0005-0000-0000-0000E4580000}"/>
    <cellStyle name="40% - Accent6 2 2 2 3 3 2 2 2 2" xfId="22710" xr:uid="{00000000-0005-0000-0000-0000E5580000}"/>
    <cellStyle name="40% - Accent6 2 2 2 3 3 2 2 3" xfId="22711" xr:uid="{00000000-0005-0000-0000-0000E6580000}"/>
    <cellStyle name="40% - Accent6 2 2 2 3 3 2 3" xfId="22712" xr:uid="{00000000-0005-0000-0000-0000E7580000}"/>
    <cellStyle name="40% - Accent6 2 2 2 3 3 2 3 2" xfId="22713" xr:uid="{00000000-0005-0000-0000-0000E8580000}"/>
    <cellStyle name="40% - Accent6 2 2 2 3 3 2 4" xfId="22714" xr:uid="{00000000-0005-0000-0000-0000E9580000}"/>
    <cellStyle name="40% - Accent6 2 2 2 3 3 3" xfId="22715" xr:uid="{00000000-0005-0000-0000-0000EA580000}"/>
    <cellStyle name="40% - Accent6 2 2 2 3 3 3 2" xfId="22716" xr:uid="{00000000-0005-0000-0000-0000EB580000}"/>
    <cellStyle name="40% - Accent6 2 2 2 3 3 3 2 2" xfId="22717" xr:uid="{00000000-0005-0000-0000-0000EC580000}"/>
    <cellStyle name="40% - Accent6 2 2 2 3 3 3 3" xfId="22718" xr:uid="{00000000-0005-0000-0000-0000ED580000}"/>
    <cellStyle name="40% - Accent6 2 2 2 3 3 4" xfId="22719" xr:uid="{00000000-0005-0000-0000-0000EE580000}"/>
    <cellStyle name="40% - Accent6 2 2 2 3 3 4 2" xfId="22720" xr:uid="{00000000-0005-0000-0000-0000EF580000}"/>
    <cellStyle name="40% - Accent6 2 2 2 3 3 5" xfId="22721" xr:uid="{00000000-0005-0000-0000-0000F0580000}"/>
    <cellStyle name="40% - Accent6 2 2 2 3 4" xfId="22722" xr:uid="{00000000-0005-0000-0000-0000F1580000}"/>
    <cellStyle name="40% - Accent6 2 2 2 3 4 2" xfId="22723" xr:uid="{00000000-0005-0000-0000-0000F2580000}"/>
    <cellStyle name="40% - Accent6 2 2 2 3 4 2 2" xfId="22724" xr:uid="{00000000-0005-0000-0000-0000F3580000}"/>
    <cellStyle name="40% - Accent6 2 2 2 3 4 2 2 2" xfId="22725" xr:uid="{00000000-0005-0000-0000-0000F4580000}"/>
    <cellStyle name="40% - Accent6 2 2 2 3 4 2 3" xfId="22726" xr:uid="{00000000-0005-0000-0000-0000F5580000}"/>
    <cellStyle name="40% - Accent6 2 2 2 3 4 3" xfId="22727" xr:uid="{00000000-0005-0000-0000-0000F6580000}"/>
    <cellStyle name="40% - Accent6 2 2 2 3 4 3 2" xfId="22728" xr:uid="{00000000-0005-0000-0000-0000F7580000}"/>
    <cellStyle name="40% - Accent6 2 2 2 3 4 4" xfId="22729" xr:uid="{00000000-0005-0000-0000-0000F8580000}"/>
    <cellStyle name="40% - Accent6 2 2 2 3 5" xfId="22730" xr:uid="{00000000-0005-0000-0000-0000F9580000}"/>
    <cellStyle name="40% - Accent6 2 2 2 3 5 2" xfId="22731" xr:uid="{00000000-0005-0000-0000-0000FA580000}"/>
    <cellStyle name="40% - Accent6 2 2 2 3 5 2 2" xfId="22732" xr:uid="{00000000-0005-0000-0000-0000FB580000}"/>
    <cellStyle name="40% - Accent6 2 2 2 3 5 3" xfId="22733" xr:uid="{00000000-0005-0000-0000-0000FC580000}"/>
    <cellStyle name="40% - Accent6 2 2 2 3 6" xfId="22734" xr:uid="{00000000-0005-0000-0000-0000FD580000}"/>
    <cellStyle name="40% - Accent6 2 2 2 3 6 2" xfId="22735" xr:uid="{00000000-0005-0000-0000-0000FE580000}"/>
    <cellStyle name="40% - Accent6 2 2 2 3 7" xfId="22736" xr:uid="{00000000-0005-0000-0000-0000FF580000}"/>
    <cellStyle name="40% - Accent6 2 2 2 4" xfId="22737" xr:uid="{00000000-0005-0000-0000-000000590000}"/>
    <cellStyle name="40% - Accent6 2 2 2 4 2" xfId="22738" xr:uid="{00000000-0005-0000-0000-000001590000}"/>
    <cellStyle name="40% - Accent6 2 2 2 4 2 2" xfId="22739" xr:uid="{00000000-0005-0000-0000-000002590000}"/>
    <cellStyle name="40% - Accent6 2 2 2 4 2 2 2" xfId="22740" xr:uid="{00000000-0005-0000-0000-000003590000}"/>
    <cellStyle name="40% - Accent6 2 2 2 4 2 2 2 2" xfId="22741" xr:uid="{00000000-0005-0000-0000-000004590000}"/>
    <cellStyle name="40% - Accent6 2 2 2 4 2 2 2 2 2" xfId="22742" xr:uid="{00000000-0005-0000-0000-000005590000}"/>
    <cellStyle name="40% - Accent6 2 2 2 4 2 2 2 3" xfId="22743" xr:uid="{00000000-0005-0000-0000-000006590000}"/>
    <cellStyle name="40% - Accent6 2 2 2 4 2 2 3" xfId="22744" xr:uid="{00000000-0005-0000-0000-000007590000}"/>
    <cellStyle name="40% - Accent6 2 2 2 4 2 2 3 2" xfId="22745" xr:uid="{00000000-0005-0000-0000-000008590000}"/>
    <cellStyle name="40% - Accent6 2 2 2 4 2 2 4" xfId="22746" xr:uid="{00000000-0005-0000-0000-000009590000}"/>
    <cellStyle name="40% - Accent6 2 2 2 4 2 3" xfId="22747" xr:uid="{00000000-0005-0000-0000-00000A590000}"/>
    <cellStyle name="40% - Accent6 2 2 2 4 2 3 2" xfId="22748" xr:uid="{00000000-0005-0000-0000-00000B590000}"/>
    <cellStyle name="40% - Accent6 2 2 2 4 2 3 2 2" xfId="22749" xr:uid="{00000000-0005-0000-0000-00000C590000}"/>
    <cellStyle name="40% - Accent6 2 2 2 4 2 3 3" xfId="22750" xr:uid="{00000000-0005-0000-0000-00000D590000}"/>
    <cellStyle name="40% - Accent6 2 2 2 4 2 4" xfId="22751" xr:uid="{00000000-0005-0000-0000-00000E590000}"/>
    <cellStyle name="40% - Accent6 2 2 2 4 2 4 2" xfId="22752" xr:uid="{00000000-0005-0000-0000-00000F590000}"/>
    <cellStyle name="40% - Accent6 2 2 2 4 2 5" xfId="22753" xr:uid="{00000000-0005-0000-0000-000010590000}"/>
    <cellStyle name="40% - Accent6 2 2 2 4 3" xfId="22754" xr:uid="{00000000-0005-0000-0000-000011590000}"/>
    <cellStyle name="40% - Accent6 2 2 2 4 3 2" xfId="22755" xr:uid="{00000000-0005-0000-0000-000012590000}"/>
    <cellStyle name="40% - Accent6 2 2 2 4 3 2 2" xfId="22756" xr:uid="{00000000-0005-0000-0000-000013590000}"/>
    <cellStyle name="40% - Accent6 2 2 2 4 3 2 2 2" xfId="22757" xr:uid="{00000000-0005-0000-0000-000014590000}"/>
    <cellStyle name="40% - Accent6 2 2 2 4 3 2 3" xfId="22758" xr:uid="{00000000-0005-0000-0000-000015590000}"/>
    <cellStyle name="40% - Accent6 2 2 2 4 3 3" xfId="22759" xr:uid="{00000000-0005-0000-0000-000016590000}"/>
    <cellStyle name="40% - Accent6 2 2 2 4 3 3 2" xfId="22760" xr:uid="{00000000-0005-0000-0000-000017590000}"/>
    <cellStyle name="40% - Accent6 2 2 2 4 3 4" xfId="22761" xr:uid="{00000000-0005-0000-0000-000018590000}"/>
    <cellStyle name="40% - Accent6 2 2 2 4 4" xfId="22762" xr:uid="{00000000-0005-0000-0000-000019590000}"/>
    <cellStyle name="40% - Accent6 2 2 2 4 4 2" xfId="22763" xr:uid="{00000000-0005-0000-0000-00001A590000}"/>
    <cellStyle name="40% - Accent6 2 2 2 4 4 2 2" xfId="22764" xr:uid="{00000000-0005-0000-0000-00001B590000}"/>
    <cellStyle name="40% - Accent6 2 2 2 4 4 3" xfId="22765" xr:uid="{00000000-0005-0000-0000-00001C590000}"/>
    <cellStyle name="40% - Accent6 2 2 2 4 5" xfId="22766" xr:uid="{00000000-0005-0000-0000-00001D590000}"/>
    <cellStyle name="40% - Accent6 2 2 2 4 5 2" xfId="22767" xr:uid="{00000000-0005-0000-0000-00001E590000}"/>
    <cellStyle name="40% - Accent6 2 2 2 4 6" xfId="22768" xr:uid="{00000000-0005-0000-0000-00001F590000}"/>
    <cellStyle name="40% - Accent6 2 2 2 5" xfId="22769" xr:uid="{00000000-0005-0000-0000-000020590000}"/>
    <cellStyle name="40% - Accent6 2 2 2 5 2" xfId="22770" xr:uid="{00000000-0005-0000-0000-000021590000}"/>
    <cellStyle name="40% - Accent6 2 2 2 5 2 2" xfId="22771" xr:uid="{00000000-0005-0000-0000-000022590000}"/>
    <cellStyle name="40% - Accent6 2 2 2 5 2 2 2" xfId="22772" xr:uid="{00000000-0005-0000-0000-000023590000}"/>
    <cellStyle name="40% - Accent6 2 2 2 5 2 2 2 2" xfId="22773" xr:uid="{00000000-0005-0000-0000-000024590000}"/>
    <cellStyle name="40% - Accent6 2 2 2 5 2 2 3" xfId="22774" xr:uid="{00000000-0005-0000-0000-000025590000}"/>
    <cellStyle name="40% - Accent6 2 2 2 5 2 3" xfId="22775" xr:uid="{00000000-0005-0000-0000-000026590000}"/>
    <cellStyle name="40% - Accent6 2 2 2 5 2 3 2" xfId="22776" xr:uid="{00000000-0005-0000-0000-000027590000}"/>
    <cellStyle name="40% - Accent6 2 2 2 5 2 4" xfId="22777" xr:uid="{00000000-0005-0000-0000-000028590000}"/>
    <cellStyle name="40% - Accent6 2 2 2 5 3" xfId="22778" xr:uid="{00000000-0005-0000-0000-000029590000}"/>
    <cellStyle name="40% - Accent6 2 2 2 5 3 2" xfId="22779" xr:uid="{00000000-0005-0000-0000-00002A590000}"/>
    <cellStyle name="40% - Accent6 2 2 2 5 3 2 2" xfId="22780" xr:uid="{00000000-0005-0000-0000-00002B590000}"/>
    <cellStyle name="40% - Accent6 2 2 2 5 3 3" xfId="22781" xr:uid="{00000000-0005-0000-0000-00002C590000}"/>
    <cellStyle name="40% - Accent6 2 2 2 5 4" xfId="22782" xr:uid="{00000000-0005-0000-0000-00002D590000}"/>
    <cellStyle name="40% - Accent6 2 2 2 5 4 2" xfId="22783" xr:uid="{00000000-0005-0000-0000-00002E590000}"/>
    <cellStyle name="40% - Accent6 2 2 2 5 5" xfId="22784" xr:uid="{00000000-0005-0000-0000-00002F590000}"/>
    <cellStyle name="40% - Accent6 2 2 2 6" xfId="22785" xr:uid="{00000000-0005-0000-0000-000030590000}"/>
    <cellStyle name="40% - Accent6 2 2 2 6 2" xfId="22786" xr:uid="{00000000-0005-0000-0000-000031590000}"/>
    <cellStyle name="40% - Accent6 2 2 2 6 2 2" xfId="22787" xr:uid="{00000000-0005-0000-0000-000032590000}"/>
    <cellStyle name="40% - Accent6 2 2 2 6 2 2 2" xfId="22788" xr:uid="{00000000-0005-0000-0000-000033590000}"/>
    <cellStyle name="40% - Accent6 2 2 2 6 2 3" xfId="22789" xr:uid="{00000000-0005-0000-0000-000034590000}"/>
    <cellStyle name="40% - Accent6 2 2 2 6 3" xfId="22790" xr:uid="{00000000-0005-0000-0000-000035590000}"/>
    <cellStyle name="40% - Accent6 2 2 2 6 3 2" xfId="22791" xr:uid="{00000000-0005-0000-0000-000036590000}"/>
    <cellStyle name="40% - Accent6 2 2 2 6 4" xfId="22792" xr:uid="{00000000-0005-0000-0000-000037590000}"/>
    <cellStyle name="40% - Accent6 2 2 2 7" xfId="22793" xr:uid="{00000000-0005-0000-0000-000038590000}"/>
    <cellStyle name="40% - Accent6 2 2 2 7 2" xfId="22794" xr:uid="{00000000-0005-0000-0000-000039590000}"/>
    <cellStyle name="40% - Accent6 2 2 2 7 2 2" xfId="22795" xr:uid="{00000000-0005-0000-0000-00003A590000}"/>
    <cellStyle name="40% - Accent6 2 2 2 7 3" xfId="22796" xr:uid="{00000000-0005-0000-0000-00003B590000}"/>
    <cellStyle name="40% - Accent6 2 2 2 8" xfId="22797" xr:uid="{00000000-0005-0000-0000-00003C590000}"/>
    <cellStyle name="40% - Accent6 2 2 2 8 2" xfId="22798" xr:uid="{00000000-0005-0000-0000-00003D590000}"/>
    <cellStyle name="40% - Accent6 2 2 2 9" xfId="22799" xr:uid="{00000000-0005-0000-0000-00003E590000}"/>
    <cellStyle name="40% - Accent6 2 2 3" xfId="22800" xr:uid="{00000000-0005-0000-0000-00003F590000}"/>
    <cellStyle name="40% - Accent6 2 2 3 2" xfId="22801" xr:uid="{00000000-0005-0000-0000-000040590000}"/>
    <cellStyle name="40% - Accent6 2 2 3 2 2" xfId="22802" xr:uid="{00000000-0005-0000-0000-000041590000}"/>
    <cellStyle name="40% - Accent6 2 2 3 2 2 2" xfId="22803" xr:uid="{00000000-0005-0000-0000-000042590000}"/>
    <cellStyle name="40% - Accent6 2 2 3 2 2 2 2" xfId="22804" xr:uid="{00000000-0005-0000-0000-000043590000}"/>
    <cellStyle name="40% - Accent6 2 2 3 2 2 2 2 2" xfId="22805" xr:uid="{00000000-0005-0000-0000-000044590000}"/>
    <cellStyle name="40% - Accent6 2 2 3 2 2 2 2 2 2" xfId="22806" xr:uid="{00000000-0005-0000-0000-000045590000}"/>
    <cellStyle name="40% - Accent6 2 2 3 2 2 2 2 2 2 2" xfId="22807" xr:uid="{00000000-0005-0000-0000-000046590000}"/>
    <cellStyle name="40% - Accent6 2 2 3 2 2 2 2 2 3" xfId="22808" xr:uid="{00000000-0005-0000-0000-000047590000}"/>
    <cellStyle name="40% - Accent6 2 2 3 2 2 2 2 3" xfId="22809" xr:uid="{00000000-0005-0000-0000-000048590000}"/>
    <cellStyle name="40% - Accent6 2 2 3 2 2 2 2 3 2" xfId="22810" xr:uid="{00000000-0005-0000-0000-000049590000}"/>
    <cellStyle name="40% - Accent6 2 2 3 2 2 2 2 4" xfId="22811" xr:uid="{00000000-0005-0000-0000-00004A590000}"/>
    <cellStyle name="40% - Accent6 2 2 3 2 2 2 3" xfId="22812" xr:uid="{00000000-0005-0000-0000-00004B590000}"/>
    <cellStyle name="40% - Accent6 2 2 3 2 2 2 3 2" xfId="22813" xr:uid="{00000000-0005-0000-0000-00004C590000}"/>
    <cellStyle name="40% - Accent6 2 2 3 2 2 2 3 2 2" xfId="22814" xr:uid="{00000000-0005-0000-0000-00004D590000}"/>
    <cellStyle name="40% - Accent6 2 2 3 2 2 2 3 3" xfId="22815" xr:uid="{00000000-0005-0000-0000-00004E590000}"/>
    <cellStyle name="40% - Accent6 2 2 3 2 2 2 4" xfId="22816" xr:uid="{00000000-0005-0000-0000-00004F590000}"/>
    <cellStyle name="40% - Accent6 2 2 3 2 2 2 4 2" xfId="22817" xr:uid="{00000000-0005-0000-0000-000050590000}"/>
    <cellStyle name="40% - Accent6 2 2 3 2 2 2 5" xfId="22818" xr:uid="{00000000-0005-0000-0000-000051590000}"/>
    <cellStyle name="40% - Accent6 2 2 3 2 2 3" xfId="22819" xr:uid="{00000000-0005-0000-0000-000052590000}"/>
    <cellStyle name="40% - Accent6 2 2 3 2 2 3 2" xfId="22820" xr:uid="{00000000-0005-0000-0000-000053590000}"/>
    <cellStyle name="40% - Accent6 2 2 3 2 2 3 2 2" xfId="22821" xr:uid="{00000000-0005-0000-0000-000054590000}"/>
    <cellStyle name="40% - Accent6 2 2 3 2 2 3 2 2 2" xfId="22822" xr:uid="{00000000-0005-0000-0000-000055590000}"/>
    <cellStyle name="40% - Accent6 2 2 3 2 2 3 2 3" xfId="22823" xr:uid="{00000000-0005-0000-0000-000056590000}"/>
    <cellStyle name="40% - Accent6 2 2 3 2 2 3 3" xfId="22824" xr:uid="{00000000-0005-0000-0000-000057590000}"/>
    <cellStyle name="40% - Accent6 2 2 3 2 2 3 3 2" xfId="22825" xr:uid="{00000000-0005-0000-0000-000058590000}"/>
    <cellStyle name="40% - Accent6 2 2 3 2 2 3 4" xfId="22826" xr:uid="{00000000-0005-0000-0000-000059590000}"/>
    <cellStyle name="40% - Accent6 2 2 3 2 2 4" xfId="22827" xr:uid="{00000000-0005-0000-0000-00005A590000}"/>
    <cellStyle name="40% - Accent6 2 2 3 2 2 4 2" xfId="22828" xr:uid="{00000000-0005-0000-0000-00005B590000}"/>
    <cellStyle name="40% - Accent6 2 2 3 2 2 4 2 2" xfId="22829" xr:uid="{00000000-0005-0000-0000-00005C590000}"/>
    <cellStyle name="40% - Accent6 2 2 3 2 2 4 3" xfId="22830" xr:uid="{00000000-0005-0000-0000-00005D590000}"/>
    <cellStyle name="40% - Accent6 2 2 3 2 2 5" xfId="22831" xr:uid="{00000000-0005-0000-0000-00005E590000}"/>
    <cellStyle name="40% - Accent6 2 2 3 2 2 5 2" xfId="22832" xr:uid="{00000000-0005-0000-0000-00005F590000}"/>
    <cellStyle name="40% - Accent6 2 2 3 2 2 6" xfId="22833" xr:uid="{00000000-0005-0000-0000-000060590000}"/>
    <cellStyle name="40% - Accent6 2 2 3 2 3" xfId="22834" xr:uid="{00000000-0005-0000-0000-000061590000}"/>
    <cellStyle name="40% - Accent6 2 2 3 2 3 2" xfId="22835" xr:uid="{00000000-0005-0000-0000-000062590000}"/>
    <cellStyle name="40% - Accent6 2 2 3 2 3 2 2" xfId="22836" xr:uid="{00000000-0005-0000-0000-000063590000}"/>
    <cellStyle name="40% - Accent6 2 2 3 2 3 2 2 2" xfId="22837" xr:uid="{00000000-0005-0000-0000-000064590000}"/>
    <cellStyle name="40% - Accent6 2 2 3 2 3 2 2 2 2" xfId="22838" xr:uid="{00000000-0005-0000-0000-000065590000}"/>
    <cellStyle name="40% - Accent6 2 2 3 2 3 2 2 3" xfId="22839" xr:uid="{00000000-0005-0000-0000-000066590000}"/>
    <cellStyle name="40% - Accent6 2 2 3 2 3 2 3" xfId="22840" xr:uid="{00000000-0005-0000-0000-000067590000}"/>
    <cellStyle name="40% - Accent6 2 2 3 2 3 2 3 2" xfId="22841" xr:uid="{00000000-0005-0000-0000-000068590000}"/>
    <cellStyle name="40% - Accent6 2 2 3 2 3 2 4" xfId="22842" xr:uid="{00000000-0005-0000-0000-000069590000}"/>
    <cellStyle name="40% - Accent6 2 2 3 2 3 3" xfId="22843" xr:uid="{00000000-0005-0000-0000-00006A590000}"/>
    <cellStyle name="40% - Accent6 2 2 3 2 3 3 2" xfId="22844" xr:uid="{00000000-0005-0000-0000-00006B590000}"/>
    <cellStyle name="40% - Accent6 2 2 3 2 3 3 2 2" xfId="22845" xr:uid="{00000000-0005-0000-0000-00006C590000}"/>
    <cellStyle name="40% - Accent6 2 2 3 2 3 3 3" xfId="22846" xr:uid="{00000000-0005-0000-0000-00006D590000}"/>
    <cellStyle name="40% - Accent6 2 2 3 2 3 4" xfId="22847" xr:uid="{00000000-0005-0000-0000-00006E590000}"/>
    <cellStyle name="40% - Accent6 2 2 3 2 3 4 2" xfId="22848" xr:uid="{00000000-0005-0000-0000-00006F590000}"/>
    <cellStyle name="40% - Accent6 2 2 3 2 3 5" xfId="22849" xr:uid="{00000000-0005-0000-0000-000070590000}"/>
    <cellStyle name="40% - Accent6 2 2 3 2 4" xfId="22850" xr:uid="{00000000-0005-0000-0000-000071590000}"/>
    <cellStyle name="40% - Accent6 2 2 3 2 4 2" xfId="22851" xr:uid="{00000000-0005-0000-0000-000072590000}"/>
    <cellStyle name="40% - Accent6 2 2 3 2 4 2 2" xfId="22852" xr:uid="{00000000-0005-0000-0000-000073590000}"/>
    <cellStyle name="40% - Accent6 2 2 3 2 4 2 2 2" xfId="22853" xr:uid="{00000000-0005-0000-0000-000074590000}"/>
    <cellStyle name="40% - Accent6 2 2 3 2 4 2 3" xfId="22854" xr:uid="{00000000-0005-0000-0000-000075590000}"/>
    <cellStyle name="40% - Accent6 2 2 3 2 4 3" xfId="22855" xr:uid="{00000000-0005-0000-0000-000076590000}"/>
    <cellStyle name="40% - Accent6 2 2 3 2 4 3 2" xfId="22856" xr:uid="{00000000-0005-0000-0000-000077590000}"/>
    <cellStyle name="40% - Accent6 2 2 3 2 4 4" xfId="22857" xr:uid="{00000000-0005-0000-0000-000078590000}"/>
    <cellStyle name="40% - Accent6 2 2 3 2 5" xfId="22858" xr:uid="{00000000-0005-0000-0000-000079590000}"/>
    <cellStyle name="40% - Accent6 2 2 3 2 5 2" xfId="22859" xr:uid="{00000000-0005-0000-0000-00007A590000}"/>
    <cellStyle name="40% - Accent6 2 2 3 2 5 2 2" xfId="22860" xr:uid="{00000000-0005-0000-0000-00007B590000}"/>
    <cellStyle name="40% - Accent6 2 2 3 2 5 3" xfId="22861" xr:uid="{00000000-0005-0000-0000-00007C590000}"/>
    <cellStyle name="40% - Accent6 2 2 3 2 6" xfId="22862" xr:uid="{00000000-0005-0000-0000-00007D590000}"/>
    <cellStyle name="40% - Accent6 2 2 3 2 6 2" xfId="22863" xr:uid="{00000000-0005-0000-0000-00007E590000}"/>
    <cellStyle name="40% - Accent6 2 2 3 2 7" xfId="22864" xr:uid="{00000000-0005-0000-0000-00007F590000}"/>
    <cellStyle name="40% - Accent6 2 2 3 3" xfId="22865" xr:uid="{00000000-0005-0000-0000-000080590000}"/>
    <cellStyle name="40% - Accent6 2 2 3 3 2" xfId="22866" xr:uid="{00000000-0005-0000-0000-000081590000}"/>
    <cellStyle name="40% - Accent6 2 2 3 3 2 2" xfId="22867" xr:uid="{00000000-0005-0000-0000-000082590000}"/>
    <cellStyle name="40% - Accent6 2 2 3 3 2 2 2" xfId="22868" xr:uid="{00000000-0005-0000-0000-000083590000}"/>
    <cellStyle name="40% - Accent6 2 2 3 3 2 2 2 2" xfId="22869" xr:uid="{00000000-0005-0000-0000-000084590000}"/>
    <cellStyle name="40% - Accent6 2 2 3 3 2 2 2 2 2" xfId="22870" xr:uid="{00000000-0005-0000-0000-000085590000}"/>
    <cellStyle name="40% - Accent6 2 2 3 3 2 2 2 3" xfId="22871" xr:uid="{00000000-0005-0000-0000-000086590000}"/>
    <cellStyle name="40% - Accent6 2 2 3 3 2 2 3" xfId="22872" xr:uid="{00000000-0005-0000-0000-000087590000}"/>
    <cellStyle name="40% - Accent6 2 2 3 3 2 2 3 2" xfId="22873" xr:uid="{00000000-0005-0000-0000-000088590000}"/>
    <cellStyle name="40% - Accent6 2 2 3 3 2 2 4" xfId="22874" xr:uid="{00000000-0005-0000-0000-000089590000}"/>
    <cellStyle name="40% - Accent6 2 2 3 3 2 3" xfId="22875" xr:uid="{00000000-0005-0000-0000-00008A590000}"/>
    <cellStyle name="40% - Accent6 2 2 3 3 2 3 2" xfId="22876" xr:uid="{00000000-0005-0000-0000-00008B590000}"/>
    <cellStyle name="40% - Accent6 2 2 3 3 2 3 2 2" xfId="22877" xr:uid="{00000000-0005-0000-0000-00008C590000}"/>
    <cellStyle name="40% - Accent6 2 2 3 3 2 3 3" xfId="22878" xr:uid="{00000000-0005-0000-0000-00008D590000}"/>
    <cellStyle name="40% - Accent6 2 2 3 3 2 4" xfId="22879" xr:uid="{00000000-0005-0000-0000-00008E590000}"/>
    <cellStyle name="40% - Accent6 2 2 3 3 2 4 2" xfId="22880" xr:uid="{00000000-0005-0000-0000-00008F590000}"/>
    <cellStyle name="40% - Accent6 2 2 3 3 2 5" xfId="22881" xr:uid="{00000000-0005-0000-0000-000090590000}"/>
    <cellStyle name="40% - Accent6 2 2 3 3 3" xfId="22882" xr:uid="{00000000-0005-0000-0000-000091590000}"/>
    <cellStyle name="40% - Accent6 2 2 3 3 3 2" xfId="22883" xr:uid="{00000000-0005-0000-0000-000092590000}"/>
    <cellStyle name="40% - Accent6 2 2 3 3 3 2 2" xfId="22884" xr:uid="{00000000-0005-0000-0000-000093590000}"/>
    <cellStyle name="40% - Accent6 2 2 3 3 3 2 2 2" xfId="22885" xr:uid="{00000000-0005-0000-0000-000094590000}"/>
    <cellStyle name="40% - Accent6 2 2 3 3 3 2 3" xfId="22886" xr:uid="{00000000-0005-0000-0000-000095590000}"/>
    <cellStyle name="40% - Accent6 2 2 3 3 3 3" xfId="22887" xr:uid="{00000000-0005-0000-0000-000096590000}"/>
    <cellStyle name="40% - Accent6 2 2 3 3 3 3 2" xfId="22888" xr:uid="{00000000-0005-0000-0000-000097590000}"/>
    <cellStyle name="40% - Accent6 2 2 3 3 3 4" xfId="22889" xr:uid="{00000000-0005-0000-0000-000098590000}"/>
    <cellStyle name="40% - Accent6 2 2 3 3 4" xfId="22890" xr:uid="{00000000-0005-0000-0000-000099590000}"/>
    <cellStyle name="40% - Accent6 2 2 3 3 4 2" xfId="22891" xr:uid="{00000000-0005-0000-0000-00009A590000}"/>
    <cellStyle name="40% - Accent6 2 2 3 3 4 2 2" xfId="22892" xr:uid="{00000000-0005-0000-0000-00009B590000}"/>
    <cellStyle name="40% - Accent6 2 2 3 3 4 3" xfId="22893" xr:uid="{00000000-0005-0000-0000-00009C590000}"/>
    <cellStyle name="40% - Accent6 2 2 3 3 5" xfId="22894" xr:uid="{00000000-0005-0000-0000-00009D590000}"/>
    <cellStyle name="40% - Accent6 2 2 3 3 5 2" xfId="22895" xr:uid="{00000000-0005-0000-0000-00009E590000}"/>
    <cellStyle name="40% - Accent6 2 2 3 3 6" xfId="22896" xr:uid="{00000000-0005-0000-0000-00009F590000}"/>
    <cellStyle name="40% - Accent6 2 2 3 4" xfId="22897" xr:uid="{00000000-0005-0000-0000-0000A0590000}"/>
    <cellStyle name="40% - Accent6 2 2 3 4 2" xfId="22898" xr:uid="{00000000-0005-0000-0000-0000A1590000}"/>
    <cellStyle name="40% - Accent6 2 2 3 4 2 2" xfId="22899" xr:uid="{00000000-0005-0000-0000-0000A2590000}"/>
    <cellStyle name="40% - Accent6 2 2 3 4 2 2 2" xfId="22900" xr:uid="{00000000-0005-0000-0000-0000A3590000}"/>
    <cellStyle name="40% - Accent6 2 2 3 4 2 2 2 2" xfId="22901" xr:uid="{00000000-0005-0000-0000-0000A4590000}"/>
    <cellStyle name="40% - Accent6 2 2 3 4 2 2 3" xfId="22902" xr:uid="{00000000-0005-0000-0000-0000A5590000}"/>
    <cellStyle name="40% - Accent6 2 2 3 4 2 3" xfId="22903" xr:uid="{00000000-0005-0000-0000-0000A6590000}"/>
    <cellStyle name="40% - Accent6 2 2 3 4 2 3 2" xfId="22904" xr:uid="{00000000-0005-0000-0000-0000A7590000}"/>
    <cellStyle name="40% - Accent6 2 2 3 4 2 4" xfId="22905" xr:uid="{00000000-0005-0000-0000-0000A8590000}"/>
    <cellStyle name="40% - Accent6 2 2 3 4 3" xfId="22906" xr:uid="{00000000-0005-0000-0000-0000A9590000}"/>
    <cellStyle name="40% - Accent6 2 2 3 4 3 2" xfId="22907" xr:uid="{00000000-0005-0000-0000-0000AA590000}"/>
    <cellStyle name="40% - Accent6 2 2 3 4 3 2 2" xfId="22908" xr:uid="{00000000-0005-0000-0000-0000AB590000}"/>
    <cellStyle name="40% - Accent6 2 2 3 4 3 3" xfId="22909" xr:uid="{00000000-0005-0000-0000-0000AC590000}"/>
    <cellStyle name="40% - Accent6 2 2 3 4 4" xfId="22910" xr:uid="{00000000-0005-0000-0000-0000AD590000}"/>
    <cellStyle name="40% - Accent6 2 2 3 4 4 2" xfId="22911" xr:uid="{00000000-0005-0000-0000-0000AE590000}"/>
    <cellStyle name="40% - Accent6 2 2 3 4 5" xfId="22912" xr:uid="{00000000-0005-0000-0000-0000AF590000}"/>
    <cellStyle name="40% - Accent6 2 2 3 5" xfId="22913" xr:uid="{00000000-0005-0000-0000-0000B0590000}"/>
    <cellStyle name="40% - Accent6 2 2 3 5 2" xfId="22914" xr:uid="{00000000-0005-0000-0000-0000B1590000}"/>
    <cellStyle name="40% - Accent6 2 2 3 5 2 2" xfId="22915" xr:uid="{00000000-0005-0000-0000-0000B2590000}"/>
    <cellStyle name="40% - Accent6 2 2 3 5 2 2 2" xfId="22916" xr:uid="{00000000-0005-0000-0000-0000B3590000}"/>
    <cellStyle name="40% - Accent6 2 2 3 5 2 3" xfId="22917" xr:uid="{00000000-0005-0000-0000-0000B4590000}"/>
    <cellStyle name="40% - Accent6 2 2 3 5 3" xfId="22918" xr:uid="{00000000-0005-0000-0000-0000B5590000}"/>
    <cellStyle name="40% - Accent6 2 2 3 5 3 2" xfId="22919" xr:uid="{00000000-0005-0000-0000-0000B6590000}"/>
    <cellStyle name="40% - Accent6 2 2 3 5 4" xfId="22920" xr:uid="{00000000-0005-0000-0000-0000B7590000}"/>
    <cellStyle name="40% - Accent6 2 2 3 6" xfId="22921" xr:uid="{00000000-0005-0000-0000-0000B8590000}"/>
    <cellStyle name="40% - Accent6 2 2 3 6 2" xfId="22922" xr:uid="{00000000-0005-0000-0000-0000B9590000}"/>
    <cellStyle name="40% - Accent6 2 2 3 6 2 2" xfId="22923" xr:uid="{00000000-0005-0000-0000-0000BA590000}"/>
    <cellStyle name="40% - Accent6 2 2 3 6 3" xfId="22924" xr:uid="{00000000-0005-0000-0000-0000BB590000}"/>
    <cellStyle name="40% - Accent6 2 2 3 7" xfId="22925" xr:uid="{00000000-0005-0000-0000-0000BC590000}"/>
    <cellStyle name="40% - Accent6 2 2 3 7 2" xfId="22926" xr:uid="{00000000-0005-0000-0000-0000BD590000}"/>
    <cellStyle name="40% - Accent6 2 2 3 8" xfId="22927" xr:uid="{00000000-0005-0000-0000-0000BE590000}"/>
    <cellStyle name="40% - Accent6 2 2 4" xfId="22928" xr:uid="{00000000-0005-0000-0000-0000BF590000}"/>
    <cellStyle name="40% - Accent6 2 2 4 2" xfId="22929" xr:uid="{00000000-0005-0000-0000-0000C0590000}"/>
    <cellStyle name="40% - Accent6 2 2 4 2 2" xfId="22930" xr:uid="{00000000-0005-0000-0000-0000C1590000}"/>
    <cellStyle name="40% - Accent6 2 2 4 2 2 2" xfId="22931" xr:uid="{00000000-0005-0000-0000-0000C2590000}"/>
    <cellStyle name="40% - Accent6 2 2 4 2 2 2 2" xfId="22932" xr:uid="{00000000-0005-0000-0000-0000C3590000}"/>
    <cellStyle name="40% - Accent6 2 2 4 2 2 2 2 2" xfId="22933" xr:uid="{00000000-0005-0000-0000-0000C4590000}"/>
    <cellStyle name="40% - Accent6 2 2 4 2 2 2 2 2 2" xfId="22934" xr:uid="{00000000-0005-0000-0000-0000C5590000}"/>
    <cellStyle name="40% - Accent6 2 2 4 2 2 2 2 3" xfId="22935" xr:uid="{00000000-0005-0000-0000-0000C6590000}"/>
    <cellStyle name="40% - Accent6 2 2 4 2 2 2 3" xfId="22936" xr:uid="{00000000-0005-0000-0000-0000C7590000}"/>
    <cellStyle name="40% - Accent6 2 2 4 2 2 2 3 2" xfId="22937" xr:uid="{00000000-0005-0000-0000-0000C8590000}"/>
    <cellStyle name="40% - Accent6 2 2 4 2 2 2 4" xfId="22938" xr:uid="{00000000-0005-0000-0000-0000C9590000}"/>
    <cellStyle name="40% - Accent6 2 2 4 2 2 3" xfId="22939" xr:uid="{00000000-0005-0000-0000-0000CA590000}"/>
    <cellStyle name="40% - Accent6 2 2 4 2 2 3 2" xfId="22940" xr:uid="{00000000-0005-0000-0000-0000CB590000}"/>
    <cellStyle name="40% - Accent6 2 2 4 2 2 3 2 2" xfId="22941" xr:uid="{00000000-0005-0000-0000-0000CC590000}"/>
    <cellStyle name="40% - Accent6 2 2 4 2 2 3 3" xfId="22942" xr:uid="{00000000-0005-0000-0000-0000CD590000}"/>
    <cellStyle name="40% - Accent6 2 2 4 2 2 4" xfId="22943" xr:uid="{00000000-0005-0000-0000-0000CE590000}"/>
    <cellStyle name="40% - Accent6 2 2 4 2 2 4 2" xfId="22944" xr:uid="{00000000-0005-0000-0000-0000CF590000}"/>
    <cellStyle name="40% - Accent6 2 2 4 2 2 5" xfId="22945" xr:uid="{00000000-0005-0000-0000-0000D0590000}"/>
    <cellStyle name="40% - Accent6 2 2 4 2 3" xfId="22946" xr:uid="{00000000-0005-0000-0000-0000D1590000}"/>
    <cellStyle name="40% - Accent6 2 2 4 2 3 2" xfId="22947" xr:uid="{00000000-0005-0000-0000-0000D2590000}"/>
    <cellStyle name="40% - Accent6 2 2 4 2 3 2 2" xfId="22948" xr:uid="{00000000-0005-0000-0000-0000D3590000}"/>
    <cellStyle name="40% - Accent6 2 2 4 2 3 2 2 2" xfId="22949" xr:uid="{00000000-0005-0000-0000-0000D4590000}"/>
    <cellStyle name="40% - Accent6 2 2 4 2 3 2 3" xfId="22950" xr:uid="{00000000-0005-0000-0000-0000D5590000}"/>
    <cellStyle name="40% - Accent6 2 2 4 2 3 3" xfId="22951" xr:uid="{00000000-0005-0000-0000-0000D6590000}"/>
    <cellStyle name="40% - Accent6 2 2 4 2 3 3 2" xfId="22952" xr:uid="{00000000-0005-0000-0000-0000D7590000}"/>
    <cellStyle name="40% - Accent6 2 2 4 2 3 4" xfId="22953" xr:uid="{00000000-0005-0000-0000-0000D8590000}"/>
    <cellStyle name="40% - Accent6 2 2 4 2 4" xfId="22954" xr:uid="{00000000-0005-0000-0000-0000D9590000}"/>
    <cellStyle name="40% - Accent6 2 2 4 2 4 2" xfId="22955" xr:uid="{00000000-0005-0000-0000-0000DA590000}"/>
    <cellStyle name="40% - Accent6 2 2 4 2 4 2 2" xfId="22956" xr:uid="{00000000-0005-0000-0000-0000DB590000}"/>
    <cellStyle name="40% - Accent6 2 2 4 2 4 3" xfId="22957" xr:uid="{00000000-0005-0000-0000-0000DC590000}"/>
    <cellStyle name="40% - Accent6 2 2 4 2 5" xfId="22958" xr:uid="{00000000-0005-0000-0000-0000DD590000}"/>
    <cellStyle name="40% - Accent6 2 2 4 2 5 2" xfId="22959" xr:uid="{00000000-0005-0000-0000-0000DE590000}"/>
    <cellStyle name="40% - Accent6 2 2 4 2 6" xfId="22960" xr:uid="{00000000-0005-0000-0000-0000DF590000}"/>
    <cellStyle name="40% - Accent6 2 2 4 3" xfId="22961" xr:uid="{00000000-0005-0000-0000-0000E0590000}"/>
    <cellStyle name="40% - Accent6 2 2 4 3 2" xfId="22962" xr:uid="{00000000-0005-0000-0000-0000E1590000}"/>
    <cellStyle name="40% - Accent6 2 2 4 3 2 2" xfId="22963" xr:uid="{00000000-0005-0000-0000-0000E2590000}"/>
    <cellStyle name="40% - Accent6 2 2 4 3 2 2 2" xfId="22964" xr:uid="{00000000-0005-0000-0000-0000E3590000}"/>
    <cellStyle name="40% - Accent6 2 2 4 3 2 2 2 2" xfId="22965" xr:uid="{00000000-0005-0000-0000-0000E4590000}"/>
    <cellStyle name="40% - Accent6 2 2 4 3 2 2 3" xfId="22966" xr:uid="{00000000-0005-0000-0000-0000E5590000}"/>
    <cellStyle name="40% - Accent6 2 2 4 3 2 3" xfId="22967" xr:uid="{00000000-0005-0000-0000-0000E6590000}"/>
    <cellStyle name="40% - Accent6 2 2 4 3 2 3 2" xfId="22968" xr:uid="{00000000-0005-0000-0000-0000E7590000}"/>
    <cellStyle name="40% - Accent6 2 2 4 3 2 4" xfId="22969" xr:uid="{00000000-0005-0000-0000-0000E8590000}"/>
    <cellStyle name="40% - Accent6 2 2 4 3 3" xfId="22970" xr:uid="{00000000-0005-0000-0000-0000E9590000}"/>
    <cellStyle name="40% - Accent6 2 2 4 3 3 2" xfId="22971" xr:uid="{00000000-0005-0000-0000-0000EA590000}"/>
    <cellStyle name="40% - Accent6 2 2 4 3 3 2 2" xfId="22972" xr:uid="{00000000-0005-0000-0000-0000EB590000}"/>
    <cellStyle name="40% - Accent6 2 2 4 3 3 3" xfId="22973" xr:uid="{00000000-0005-0000-0000-0000EC590000}"/>
    <cellStyle name="40% - Accent6 2 2 4 3 4" xfId="22974" xr:uid="{00000000-0005-0000-0000-0000ED590000}"/>
    <cellStyle name="40% - Accent6 2 2 4 3 4 2" xfId="22975" xr:uid="{00000000-0005-0000-0000-0000EE590000}"/>
    <cellStyle name="40% - Accent6 2 2 4 3 5" xfId="22976" xr:uid="{00000000-0005-0000-0000-0000EF590000}"/>
    <cellStyle name="40% - Accent6 2 2 4 4" xfId="22977" xr:uid="{00000000-0005-0000-0000-0000F0590000}"/>
    <cellStyle name="40% - Accent6 2 2 4 4 2" xfId="22978" xr:uid="{00000000-0005-0000-0000-0000F1590000}"/>
    <cellStyle name="40% - Accent6 2 2 4 4 2 2" xfId="22979" xr:uid="{00000000-0005-0000-0000-0000F2590000}"/>
    <cellStyle name="40% - Accent6 2 2 4 4 2 2 2" xfId="22980" xr:uid="{00000000-0005-0000-0000-0000F3590000}"/>
    <cellStyle name="40% - Accent6 2 2 4 4 2 3" xfId="22981" xr:uid="{00000000-0005-0000-0000-0000F4590000}"/>
    <cellStyle name="40% - Accent6 2 2 4 4 3" xfId="22982" xr:uid="{00000000-0005-0000-0000-0000F5590000}"/>
    <cellStyle name="40% - Accent6 2 2 4 4 3 2" xfId="22983" xr:uid="{00000000-0005-0000-0000-0000F6590000}"/>
    <cellStyle name="40% - Accent6 2 2 4 4 4" xfId="22984" xr:uid="{00000000-0005-0000-0000-0000F7590000}"/>
    <cellStyle name="40% - Accent6 2 2 4 5" xfId="22985" xr:uid="{00000000-0005-0000-0000-0000F8590000}"/>
    <cellStyle name="40% - Accent6 2 2 4 5 2" xfId="22986" xr:uid="{00000000-0005-0000-0000-0000F9590000}"/>
    <cellStyle name="40% - Accent6 2 2 4 5 2 2" xfId="22987" xr:uid="{00000000-0005-0000-0000-0000FA590000}"/>
    <cellStyle name="40% - Accent6 2 2 4 5 3" xfId="22988" xr:uid="{00000000-0005-0000-0000-0000FB590000}"/>
    <cellStyle name="40% - Accent6 2 2 4 6" xfId="22989" xr:uid="{00000000-0005-0000-0000-0000FC590000}"/>
    <cellStyle name="40% - Accent6 2 2 4 6 2" xfId="22990" xr:uid="{00000000-0005-0000-0000-0000FD590000}"/>
    <cellStyle name="40% - Accent6 2 2 4 7" xfId="22991" xr:uid="{00000000-0005-0000-0000-0000FE590000}"/>
    <cellStyle name="40% - Accent6 2 2 5" xfId="22992" xr:uid="{00000000-0005-0000-0000-0000FF590000}"/>
    <cellStyle name="40% - Accent6 2 2 5 2" xfId="22993" xr:uid="{00000000-0005-0000-0000-0000005A0000}"/>
    <cellStyle name="40% - Accent6 2 2 5 2 2" xfId="22994" xr:uid="{00000000-0005-0000-0000-0000015A0000}"/>
    <cellStyle name="40% - Accent6 2 2 5 2 2 2" xfId="22995" xr:uid="{00000000-0005-0000-0000-0000025A0000}"/>
    <cellStyle name="40% - Accent6 2 2 5 2 2 2 2" xfId="22996" xr:uid="{00000000-0005-0000-0000-0000035A0000}"/>
    <cellStyle name="40% - Accent6 2 2 5 2 2 2 2 2" xfId="22997" xr:uid="{00000000-0005-0000-0000-0000045A0000}"/>
    <cellStyle name="40% - Accent6 2 2 5 2 2 2 3" xfId="22998" xr:uid="{00000000-0005-0000-0000-0000055A0000}"/>
    <cellStyle name="40% - Accent6 2 2 5 2 2 3" xfId="22999" xr:uid="{00000000-0005-0000-0000-0000065A0000}"/>
    <cellStyle name="40% - Accent6 2 2 5 2 2 3 2" xfId="23000" xr:uid="{00000000-0005-0000-0000-0000075A0000}"/>
    <cellStyle name="40% - Accent6 2 2 5 2 2 4" xfId="23001" xr:uid="{00000000-0005-0000-0000-0000085A0000}"/>
    <cellStyle name="40% - Accent6 2 2 5 2 3" xfId="23002" xr:uid="{00000000-0005-0000-0000-0000095A0000}"/>
    <cellStyle name="40% - Accent6 2 2 5 2 3 2" xfId="23003" xr:uid="{00000000-0005-0000-0000-00000A5A0000}"/>
    <cellStyle name="40% - Accent6 2 2 5 2 3 2 2" xfId="23004" xr:uid="{00000000-0005-0000-0000-00000B5A0000}"/>
    <cellStyle name="40% - Accent6 2 2 5 2 3 3" xfId="23005" xr:uid="{00000000-0005-0000-0000-00000C5A0000}"/>
    <cellStyle name="40% - Accent6 2 2 5 2 4" xfId="23006" xr:uid="{00000000-0005-0000-0000-00000D5A0000}"/>
    <cellStyle name="40% - Accent6 2 2 5 2 4 2" xfId="23007" xr:uid="{00000000-0005-0000-0000-00000E5A0000}"/>
    <cellStyle name="40% - Accent6 2 2 5 2 5" xfId="23008" xr:uid="{00000000-0005-0000-0000-00000F5A0000}"/>
    <cellStyle name="40% - Accent6 2 2 5 3" xfId="23009" xr:uid="{00000000-0005-0000-0000-0000105A0000}"/>
    <cellStyle name="40% - Accent6 2 2 5 3 2" xfId="23010" xr:uid="{00000000-0005-0000-0000-0000115A0000}"/>
    <cellStyle name="40% - Accent6 2 2 5 3 2 2" xfId="23011" xr:uid="{00000000-0005-0000-0000-0000125A0000}"/>
    <cellStyle name="40% - Accent6 2 2 5 3 2 2 2" xfId="23012" xr:uid="{00000000-0005-0000-0000-0000135A0000}"/>
    <cellStyle name="40% - Accent6 2 2 5 3 2 3" xfId="23013" xr:uid="{00000000-0005-0000-0000-0000145A0000}"/>
    <cellStyle name="40% - Accent6 2 2 5 3 3" xfId="23014" xr:uid="{00000000-0005-0000-0000-0000155A0000}"/>
    <cellStyle name="40% - Accent6 2 2 5 3 3 2" xfId="23015" xr:uid="{00000000-0005-0000-0000-0000165A0000}"/>
    <cellStyle name="40% - Accent6 2 2 5 3 4" xfId="23016" xr:uid="{00000000-0005-0000-0000-0000175A0000}"/>
    <cellStyle name="40% - Accent6 2 2 5 4" xfId="23017" xr:uid="{00000000-0005-0000-0000-0000185A0000}"/>
    <cellStyle name="40% - Accent6 2 2 5 4 2" xfId="23018" xr:uid="{00000000-0005-0000-0000-0000195A0000}"/>
    <cellStyle name="40% - Accent6 2 2 5 4 2 2" xfId="23019" xr:uid="{00000000-0005-0000-0000-00001A5A0000}"/>
    <cellStyle name="40% - Accent6 2 2 5 4 3" xfId="23020" xr:uid="{00000000-0005-0000-0000-00001B5A0000}"/>
    <cellStyle name="40% - Accent6 2 2 5 5" xfId="23021" xr:uid="{00000000-0005-0000-0000-00001C5A0000}"/>
    <cellStyle name="40% - Accent6 2 2 5 5 2" xfId="23022" xr:uid="{00000000-0005-0000-0000-00001D5A0000}"/>
    <cellStyle name="40% - Accent6 2 2 5 6" xfId="23023" xr:uid="{00000000-0005-0000-0000-00001E5A0000}"/>
    <cellStyle name="40% - Accent6 2 2 6" xfId="23024" xr:uid="{00000000-0005-0000-0000-00001F5A0000}"/>
    <cellStyle name="40% - Accent6 2 2 6 2" xfId="23025" xr:uid="{00000000-0005-0000-0000-0000205A0000}"/>
    <cellStyle name="40% - Accent6 2 2 6 2 2" xfId="23026" xr:uid="{00000000-0005-0000-0000-0000215A0000}"/>
    <cellStyle name="40% - Accent6 2 2 6 2 2 2" xfId="23027" xr:uid="{00000000-0005-0000-0000-0000225A0000}"/>
    <cellStyle name="40% - Accent6 2 2 6 2 2 2 2" xfId="23028" xr:uid="{00000000-0005-0000-0000-0000235A0000}"/>
    <cellStyle name="40% - Accent6 2 2 6 2 2 3" xfId="23029" xr:uid="{00000000-0005-0000-0000-0000245A0000}"/>
    <cellStyle name="40% - Accent6 2 2 6 2 3" xfId="23030" xr:uid="{00000000-0005-0000-0000-0000255A0000}"/>
    <cellStyle name="40% - Accent6 2 2 6 2 3 2" xfId="23031" xr:uid="{00000000-0005-0000-0000-0000265A0000}"/>
    <cellStyle name="40% - Accent6 2 2 6 2 4" xfId="23032" xr:uid="{00000000-0005-0000-0000-0000275A0000}"/>
    <cellStyle name="40% - Accent6 2 2 6 3" xfId="23033" xr:uid="{00000000-0005-0000-0000-0000285A0000}"/>
    <cellStyle name="40% - Accent6 2 2 6 3 2" xfId="23034" xr:uid="{00000000-0005-0000-0000-0000295A0000}"/>
    <cellStyle name="40% - Accent6 2 2 6 3 2 2" xfId="23035" xr:uid="{00000000-0005-0000-0000-00002A5A0000}"/>
    <cellStyle name="40% - Accent6 2 2 6 3 3" xfId="23036" xr:uid="{00000000-0005-0000-0000-00002B5A0000}"/>
    <cellStyle name="40% - Accent6 2 2 6 4" xfId="23037" xr:uid="{00000000-0005-0000-0000-00002C5A0000}"/>
    <cellStyle name="40% - Accent6 2 2 6 4 2" xfId="23038" xr:uid="{00000000-0005-0000-0000-00002D5A0000}"/>
    <cellStyle name="40% - Accent6 2 2 6 5" xfId="23039" xr:uid="{00000000-0005-0000-0000-00002E5A0000}"/>
    <cellStyle name="40% - Accent6 2 2 7" xfId="23040" xr:uid="{00000000-0005-0000-0000-00002F5A0000}"/>
    <cellStyle name="40% - Accent6 2 2 7 2" xfId="23041" xr:uid="{00000000-0005-0000-0000-0000305A0000}"/>
    <cellStyle name="40% - Accent6 2 2 7 2 2" xfId="23042" xr:uid="{00000000-0005-0000-0000-0000315A0000}"/>
    <cellStyle name="40% - Accent6 2 2 7 2 2 2" xfId="23043" xr:uid="{00000000-0005-0000-0000-0000325A0000}"/>
    <cellStyle name="40% - Accent6 2 2 7 2 3" xfId="23044" xr:uid="{00000000-0005-0000-0000-0000335A0000}"/>
    <cellStyle name="40% - Accent6 2 2 7 3" xfId="23045" xr:uid="{00000000-0005-0000-0000-0000345A0000}"/>
    <cellStyle name="40% - Accent6 2 2 7 3 2" xfId="23046" xr:uid="{00000000-0005-0000-0000-0000355A0000}"/>
    <cellStyle name="40% - Accent6 2 2 7 4" xfId="23047" xr:uid="{00000000-0005-0000-0000-0000365A0000}"/>
    <cellStyle name="40% - Accent6 2 2 8" xfId="23048" xr:uid="{00000000-0005-0000-0000-0000375A0000}"/>
    <cellStyle name="40% - Accent6 2 2 8 2" xfId="23049" xr:uid="{00000000-0005-0000-0000-0000385A0000}"/>
    <cellStyle name="40% - Accent6 2 2 8 2 2" xfId="23050" xr:uid="{00000000-0005-0000-0000-0000395A0000}"/>
    <cellStyle name="40% - Accent6 2 2 8 3" xfId="23051" xr:uid="{00000000-0005-0000-0000-00003A5A0000}"/>
    <cellStyle name="40% - Accent6 2 2 9" xfId="23052" xr:uid="{00000000-0005-0000-0000-00003B5A0000}"/>
    <cellStyle name="40% - Accent6 2 2 9 2" xfId="23053" xr:uid="{00000000-0005-0000-0000-00003C5A0000}"/>
    <cellStyle name="40% - Accent6 2 3" xfId="23054" xr:uid="{00000000-0005-0000-0000-00003D5A0000}"/>
    <cellStyle name="40% - Accent6 2 3 2" xfId="23055" xr:uid="{00000000-0005-0000-0000-00003E5A0000}"/>
    <cellStyle name="40% - Accent6 2 3 2 2" xfId="23056" xr:uid="{00000000-0005-0000-0000-00003F5A0000}"/>
    <cellStyle name="40% - Accent6 2 3 2 2 2" xfId="23057" xr:uid="{00000000-0005-0000-0000-0000405A0000}"/>
    <cellStyle name="40% - Accent6 2 3 2 2 2 2" xfId="23058" xr:uid="{00000000-0005-0000-0000-0000415A0000}"/>
    <cellStyle name="40% - Accent6 2 3 2 2 2 2 2" xfId="23059" xr:uid="{00000000-0005-0000-0000-0000425A0000}"/>
    <cellStyle name="40% - Accent6 2 3 2 2 2 2 2 2" xfId="23060" xr:uid="{00000000-0005-0000-0000-0000435A0000}"/>
    <cellStyle name="40% - Accent6 2 3 2 2 2 2 2 2 2" xfId="23061" xr:uid="{00000000-0005-0000-0000-0000445A0000}"/>
    <cellStyle name="40% - Accent6 2 3 2 2 2 2 2 2 2 2" xfId="23062" xr:uid="{00000000-0005-0000-0000-0000455A0000}"/>
    <cellStyle name="40% - Accent6 2 3 2 2 2 2 2 2 3" xfId="23063" xr:uid="{00000000-0005-0000-0000-0000465A0000}"/>
    <cellStyle name="40% - Accent6 2 3 2 2 2 2 2 3" xfId="23064" xr:uid="{00000000-0005-0000-0000-0000475A0000}"/>
    <cellStyle name="40% - Accent6 2 3 2 2 2 2 2 3 2" xfId="23065" xr:uid="{00000000-0005-0000-0000-0000485A0000}"/>
    <cellStyle name="40% - Accent6 2 3 2 2 2 2 2 4" xfId="23066" xr:uid="{00000000-0005-0000-0000-0000495A0000}"/>
    <cellStyle name="40% - Accent6 2 3 2 2 2 2 3" xfId="23067" xr:uid="{00000000-0005-0000-0000-00004A5A0000}"/>
    <cellStyle name="40% - Accent6 2 3 2 2 2 2 3 2" xfId="23068" xr:uid="{00000000-0005-0000-0000-00004B5A0000}"/>
    <cellStyle name="40% - Accent6 2 3 2 2 2 2 3 2 2" xfId="23069" xr:uid="{00000000-0005-0000-0000-00004C5A0000}"/>
    <cellStyle name="40% - Accent6 2 3 2 2 2 2 3 3" xfId="23070" xr:uid="{00000000-0005-0000-0000-00004D5A0000}"/>
    <cellStyle name="40% - Accent6 2 3 2 2 2 2 4" xfId="23071" xr:uid="{00000000-0005-0000-0000-00004E5A0000}"/>
    <cellStyle name="40% - Accent6 2 3 2 2 2 2 4 2" xfId="23072" xr:uid="{00000000-0005-0000-0000-00004F5A0000}"/>
    <cellStyle name="40% - Accent6 2 3 2 2 2 2 5" xfId="23073" xr:uid="{00000000-0005-0000-0000-0000505A0000}"/>
    <cellStyle name="40% - Accent6 2 3 2 2 2 3" xfId="23074" xr:uid="{00000000-0005-0000-0000-0000515A0000}"/>
    <cellStyle name="40% - Accent6 2 3 2 2 2 3 2" xfId="23075" xr:uid="{00000000-0005-0000-0000-0000525A0000}"/>
    <cellStyle name="40% - Accent6 2 3 2 2 2 3 2 2" xfId="23076" xr:uid="{00000000-0005-0000-0000-0000535A0000}"/>
    <cellStyle name="40% - Accent6 2 3 2 2 2 3 2 2 2" xfId="23077" xr:uid="{00000000-0005-0000-0000-0000545A0000}"/>
    <cellStyle name="40% - Accent6 2 3 2 2 2 3 2 3" xfId="23078" xr:uid="{00000000-0005-0000-0000-0000555A0000}"/>
    <cellStyle name="40% - Accent6 2 3 2 2 2 3 3" xfId="23079" xr:uid="{00000000-0005-0000-0000-0000565A0000}"/>
    <cellStyle name="40% - Accent6 2 3 2 2 2 3 3 2" xfId="23080" xr:uid="{00000000-0005-0000-0000-0000575A0000}"/>
    <cellStyle name="40% - Accent6 2 3 2 2 2 3 4" xfId="23081" xr:uid="{00000000-0005-0000-0000-0000585A0000}"/>
    <cellStyle name="40% - Accent6 2 3 2 2 2 4" xfId="23082" xr:uid="{00000000-0005-0000-0000-0000595A0000}"/>
    <cellStyle name="40% - Accent6 2 3 2 2 2 4 2" xfId="23083" xr:uid="{00000000-0005-0000-0000-00005A5A0000}"/>
    <cellStyle name="40% - Accent6 2 3 2 2 2 4 2 2" xfId="23084" xr:uid="{00000000-0005-0000-0000-00005B5A0000}"/>
    <cellStyle name="40% - Accent6 2 3 2 2 2 4 3" xfId="23085" xr:uid="{00000000-0005-0000-0000-00005C5A0000}"/>
    <cellStyle name="40% - Accent6 2 3 2 2 2 5" xfId="23086" xr:uid="{00000000-0005-0000-0000-00005D5A0000}"/>
    <cellStyle name="40% - Accent6 2 3 2 2 2 5 2" xfId="23087" xr:uid="{00000000-0005-0000-0000-00005E5A0000}"/>
    <cellStyle name="40% - Accent6 2 3 2 2 2 6" xfId="23088" xr:uid="{00000000-0005-0000-0000-00005F5A0000}"/>
    <cellStyle name="40% - Accent6 2 3 2 2 3" xfId="23089" xr:uid="{00000000-0005-0000-0000-0000605A0000}"/>
    <cellStyle name="40% - Accent6 2 3 2 2 3 2" xfId="23090" xr:uid="{00000000-0005-0000-0000-0000615A0000}"/>
    <cellStyle name="40% - Accent6 2 3 2 2 3 2 2" xfId="23091" xr:uid="{00000000-0005-0000-0000-0000625A0000}"/>
    <cellStyle name="40% - Accent6 2 3 2 2 3 2 2 2" xfId="23092" xr:uid="{00000000-0005-0000-0000-0000635A0000}"/>
    <cellStyle name="40% - Accent6 2 3 2 2 3 2 2 2 2" xfId="23093" xr:uid="{00000000-0005-0000-0000-0000645A0000}"/>
    <cellStyle name="40% - Accent6 2 3 2 2 3 2 2 3" xfId="23094" xr:uid="{00000000-0005-0000-0000-0000655A0000}"/>
    <cellStyle name="40% - Accent6 2 3 2 2 3 2 3" xfId="23095" xr:uid="{00000000-0005-0000-0000-0000665A0000}"/>
    <cellStyle name="40% - Accent6 2 3 2 2 3 2 3 2" xfId="23096" xr:uid="{00000000-0005-0000-0000-0000675A0000}"/>
    <cellStyle name="40% - Accent6 2 3 2 2 3 2 4" xfId="23097" xr:uid="{00000000-0005-0000-0000-0000685A0000}"/>
    <cellStyle name="40% - Accent6 2 3 2 2 3 3" xfId="23098" xr:uid="{00000000-0005-0000-0000-0000695A0000}"/>
    <cellStyle name="40% - Accent6 2 3 2 2 3 3 2" xfId="23099" xr:uid="{00000000-0005-0000-0000-00006A5A0000}"/>
    <cellStyle name="40% - Accent6 2 3 2 2 3 3 2 2" xfId="23100" xr:uid="{00000000-0005-0000-0000-00006B5A0000}"/>
    <cellStyle name="40% - Accent6 2 3 2 2 3 3 3" xfId="23101" xr:uid="{00000000-0005-0000-0000-00006C5A0000}"/>
    <cellStyle name="40% - Accent6 2 3 2 2 3 4" xfId="23102" xr:uid="{00000000-0005-0000-0000-00006D5A0000}"/>
    <cellStyle name="40% - Accent6 2 3 2 2 3 4 2" xfId="23103" xr:uid="{00000000-0005-0000-0000-00006E5A0000}"/>
    <cellStyle name="40% - Accent6 2 3 2 2 3 5" xfId="23104" xr:uid="{00000000-0005-0000-0000-00006F5A0000}"/>
    <cellStyle name="40% - Accent6 2 3 2 2 4" xfId="23105" xr:uid="{00000000-0005-0000-0000-0000705A0000}"/>
    <cellStyle name="40% - Accent6 2 3 2 2 4 2" xfId="23106" xr:uid="{00000000-0005-0000-0000-0000715A0000}"/>
    <cellStyle name="40% - Accent6 2 3 2 2 4 2 2" xfId="23107" xr:uid="{00000000-0005-0000-0000-0000725A0000}"/>
    <cellStyle name="40% - Accent6 2 3 2 2 4 2 2 2" xfId="23108" xr:uid="{00000000-0005-0000-0000-0000735A0000}"/>
    <cellStyle name="40% - Accent6 2 3 2 2 4 2 3" xfId="23109" xr:uid="{00000000-0005-0000-0000-0000745A0000}"/>
    <cellStyle name="40% - Accent6 2 3 2 2 4 3" xfId="23110" xr:uid="{00000000-0005-0000-0000-0000755A0000}"/>
    <cellStyle name="40% - Accent6 2 3 2 2 4 3 2" xfId="23111" xr:uid="{00000000-0005-0000-0000-0000765A0000}"/>
    <cellStyle name="40% - Accent6 2 3 2 2 4 4" xfId="23112" xr:uid="{00000000-0005-0000-0000-0000775A0000}"/>
    <cellStyle name="40% - Accent6 2 3 2 2 5" xfId="23113" xr:uid="{00000000-0005-0000-0000-0000785A0000}"/>
    <cellStyle name="40% - Accent6 2 3 2 2 5 2" xfId="23114" xr:uid="{00000000-0005-0000-0000-0000795A0000}"/>
    <cellStyle name="40% - Accent6 2 3 2 2 5 2 2" xfId="23115" xr:uid="{00000000-0005-0000-0000-00007A5A0000}"/>
    <cellStyle name="40% - Accent6 2 3 2 2 5 3" xfId="23116" xr:uid="{00000000-0005-0000-0000-00007B5A0000}"/>
    <cellStyle name="40% - Accent6 2 3 2 2 6" xfId="23117" xr:uid="{00000000-0005-0000-0000-00007C5A0000}"/>
    <cellStyle name="40% - Accent6 2 3 2 2 6 2" xfId="23118" xr:uid="{00000000-0005-0000-0000-00007D5A0000}"/>
    <cellStyle name="40% - Accent6 2 3 2 2 7" xfId="23119" xr:uid="{00000000-0005-0000-0000-00007E5A0000}"/>
    <cellStyle name="40% - Accent6 2 3 2 3" xfId="23120" xr:uid="{00000000-0005-0000-0000-00007F5A0000}"/>
    <cellStyle name="40% - Accent6 2 3 2 3 2" xfId="23121" xr:uid="{00000000-0005-0000-0000-0000805A0000}"/>
    <cellStyle name="40% - Accent6 2 3 2 3 2 2" xfId="23122" xr:uid="{00000000-0005-0000-0000-0000815A0000}"/>
    <cellStyle name="40% - Accent6 2 3 2 3 2 2 2" xfId="23123" xr:uid="{00000000-0005-0000-0000-0000825A0000}"/>
    <cellStyle name="40% - Accent6 2 3 2 3 2 2 2 2" xfId="23124" xr:uid="{00000000-0005-0000-0000-0000835A0000}"/>
    <cellStyle name="40% - Accent6 2 3 2 3 2 2 2 2 2" xfId="23125" xr:uid="{00000000-0005-0000-0000-0000845A0000}"/>
    <cellStyle name="40% - Accent6 2 3 2 3 2 2 2 3" xfId="23126" xr:uid="{00000000-0005-0000-0000-0000855A0000}"/>
    <cellStyle name="40% - Accent6 2 3 2 3 2 2 3" xfId="23127" xr:uid="{00000000-0005-0000-0000-0000865A0000}"/>
    <cellStyle name="40% - Accent6 2 3 2 3 2 2 3 2" xfId="23128" xr:uid="{00000000-0005-0000-0000-0000875A0000}"/>
    <cellStyle name="40% - Accent6 2 3 2 3 2 2 4" xfId="23129" xr:uid="{00000000-0005-0000-0000-0000885A0000}"/>
    <cellStyle name="40% - Accent6 2 3 2 3 2 3" xfId="23130" xr:uid="{00000000-0005-0000-0000-0000895A0000}"/>
    <cellStyle name="40% - Accent6 2 3 2 3 2 3 2" xfId="23131" xr:uid="{00000000-0005-0000-0000-00008A5A0000}"/>
    <cellStyle name="40% - Accent6 2 3 2 3 2 3 2 2" xfId="23132" xr:uid="{00000000-0005-0000-0000-00008B5A0000}"/>
    <cellStyle name="40% - Accent6 2 3 2 3 2 3 3" xfId="23133" xr:uid="{00000000-0005-0000-0000-00008C5A0000}"/>
    <cellStyle name="40% - Accent6 2 3 2 3 2 4" xfId="23134" xr:uid="{00000000-0005-0000-0000-00008D5A0000}"/>
    <cellStyle name="40% - Accent6 2 3 2 3 2 4 2" xfId="23135" xr:uid="{00000000-0005-0000-0000-00008E5A0000}"/>
    <cellStyle name="40% - Accent6 2 3 2 3 2 5" xfId="23136" xr:uid="{00000000-0005-0000-0000-00008F5A0000}"/>
    <cellStyle name="40% - Accent6 2 3 2 3 3" xfId="23137" xr:uid="{00000000-0005-0000-0000-0000905A0000}"/>
    <cellStyle name="40% - Accent6 2 3 2 3 3 2" xfId="23138" xr:uid="{00000000-0005-0000-0000-0000915A0000}"/>
    <cellStyle name="40% - Accent6 2 3 2 3 3 2 2" xfId="23139" xr:uid="{00000000-0005-0000-0000-0000925A0000}"/>
    <cellStyle name="40% - Accent6 2 3 2 3 3 2 2 2" xfId="23140" xr:uid="{00000000-0005-0000-0000-0000935A0000}"/>
    <cellStyle name="40% - Accent6 2 3 2 3 3 2 3" xfId="23141" xr:uid="{00000000-0005-0000-0000-0000945A0000}"/>
    <cellStyle name="40% - Accent6 2 3 2 3 3 3" xfId="23142" xr:uid="{00000000-0005-0000-0000-0000955A0000}"/>
    <cellStyle name="40% - Accent6 2 3 2 3 3 3 2" xfId="23143" xr:uid="{00000000-0005-0000-0000-0000965A0000}"/>
    <cellStyle name="40% - Accent6 2 3 2 3 3 4" xfId="23144" xr:uid="{00000000-0005-0000-0000-0000975A0000}"/>
    <cellStyle name="40% - Accent6 2 3 2 3 4" xfId="23145" xr:uid="{00000000-0005-0000-0000-0000985A0000}"/>
    <cellStyle name="40% - Accent6 2 3 2 3 4 2" xfId="23146" xr:uid="{00000000-0005-0000-0000-0000995A0000}"/>
    <cellStyle name="40% - Accent6 2 3 2 3 4 2 2" xfId="23147" xr:uid="{00000000-0005-0000-0000-00009A5A0000}"/>
    <cellStyle name="40% - Accent6 2 3 2 3 4 3" xfId="23148" xr:uid="{00000000-0005-0000-0000-00009B5A0000}"/>
    <cellStyle name="40% - Accent6 2 3 2 3 5" xfId="23149" xr:uid="{00000000-0005-0000-0000-00009C5A0000}"/>
    <cellStyle name="40% - Accent6 2 3 2 3 5 2" xfId="23150" xr:uid="{00000000-0005-0000-0000-00009D5A0000}"/>
    <cellStyle name="40% - Accent6 2 3 2 3 6" xfId="23151" xr:uid="{00000000-0005-0000-0000-00009E5A0000}"/>
    <cellStyle name="40% - Accent6 2 3 2 4" xfId="23152" xr:uid="{00000000-0005-0000-0000-00009F5A0000}"/>
    <cellStyle name="40% - Accent6 2 3 2 4 2" xfId="23153" xr:uid="{00000000-0005-0000-0000-0000A05A0000}"/>
    <cellStyle name="40% - Accent6 2 3 2 4 2 2" xfId="23154" xr:uid="{00000000-0005-0000-0000-0000A15A0000}"/>
    <cellStyle name="40% - Accent6 2 3 2 4 2 2 2" xfId="23155" xr:uid="{00000000-0005-0000-0000-0000A25A0000}"/>
    <cellStyle name="40% - Accent6 2 3 2 4 2 2 2 2" xfId="23156" xr:uid="{00000000-0005-0000-0000-0000A35A0000}"/>
    <cellStyle name="40% - Accent6 2 3 2 4 2 2 3" xfId="23157" xr:uid="{00000000-0005-0000-0000-0000A45A0000}"/>
    <cellStyle name="40% - Accent6 2 3 2 4 2 3" xfId="23158" xr:uid="{00000000-0005-0000-0000-0000A55A0000}"/>
    <cellStyle name="40% - Accent6 2 3 2 4 2 3 2" xfId="23159" xr:uid="{00000000-0005-0000-0000-0000A65A0000}"/>
    <cellStyle name="40% - Accent6 2 3 2 4 2 4" xfId="23160" xr:uid="{00000000-0005-0000-0000-0000A75A0000}"/>
    <cellStyle name="40% - Accent6 2 3 2 4 3" xfId="23161" xr:uid="{00000000-0005-0000-0000-0000A85A0000}"/>
    <cellStyle name="40% - Accent6 2 3 2 4 3 2" xfId="23162" xr:uid="{00000000-0005-0000-0000-0000A95A0000}"/>
    <cellStyle name="40% - Accent6 2 3 2 4 3 2 2" xfId="23163" xr:uid="{00000000-0005-0000-0000-0000AA5A0000}"/>
    <cellStyle name="40% - Accent6 2 3 2 4 3 3" xfId="23164" xr:uid="{00000000-0005-0000-0000-0000AB5A0000}"/>
    <cellStyle name="40% - Accent6 2 3 2 4 4" xfId="23165" xr:uid="{00000000-0005-0000-0000-0000AC5A0000}"/>
    <cellStyle name="40% - Accent6 2 3 2 4 4 2" xfId="23166" xr:uid="{00000000-0005-0000-0000-0000AD5A0000}"/>
    <cellStyle name="40% - Accent6 2 3 2 4 5" xfId="23167" xr:uid="{00000000-0005-0000-0000-0000AE5A0000}"/>
    <cellStyle name="40% - Accent6 2 3 2 5" xfId="23168" xr:uid="{00000000-0005-0000-0000-0000AF5A0000}"/>
    <cellStyle name="40% - Accent6 2 3 2 5 2" xfId="23169" xr:uid="{00000000-0005-0000-0000-0000B05A0000}"/>
    <cellStyle name="40% - Accent6 2 3 2 5 2 2" xfId="23170" xr:uid="{00000000-0005-0000-0000-0000B15A0000}"/>
    <cellStyle name="40% - Accent6 2 3 2 5 2 2 2" xfId="23171" xr:uid="{00000000-0005-0000-0000-0000B25A0000}"/>
    <cellStyle name="40% - Accent6 2 3 2 5 2 3" xfId="23172" xr:uid="{00000000-0005-0000-0000-0000B35A0000}"/>
    <cellStyle name="40% - Accent6 2 3 2 5 3" xfId="23173" xr:uid="{00000000-0005-0000-0000-0000B45A0000}"/>
    <cellStyle name="40% - Accent6 2 3 2 5 3 2" xfId="23174" xr:uid="{00000000-0005-0000-0000-0000B55A0000}"/>
    <cellStyle name="40% - Accent6 2 3 2 5 4" xfId="23175" xr:uid="{00000000-0005-0000-0000-0000B65A0000}"/>
    <cellStyle name="40% - Accent6 2 3 2 6" xfId="23176" xr:uid="{00000000-0005-0000-0000-0000B75A0000}"/>
    <cellStyle name="40% - Accent6 2 3 2 6 2" xfId="23177" xr:uid="{00000000-0005-0000-0000-0000B85A0000}"/>
    <cellStyle name="40% - Accent6 2 3 2 6 2 2" xfId="23178" xr:uid="{00000000-0005-0000-0000-0000B95A0000}"/>
    <cellStyle name="40% - Accent6 2 3 2 6 3" xfId="23179" xr:uid="{00000000-0005-0000-0000-0000BA5A0000}"/>
    <cellStyle name="40% - Accent6 2 3 2 7" xfId="23180" xr:uid="{00000000-0005-0000-0000-0000BB5A0000}"/>
    <cellStyle name="40% - Accent6 2 3 2 7 2" xfId="23181" xr:uid="{00000000-0005-0000-0000-0000BC5A0000}"/>
    <cellStyle name="40% - Accent6 2 3 2 8" xfId="23182" xr:uid="{00000000-0005-0000-0000-0000BD5A0000}"/>
    <cellStyle name="40% - Accent6 2 3 3" xfId="23183" xr:uid="{00000000-0005-0000-0000-0000BE5A0000}"/>
    <cellStyle name="40% - Accent6 2 3 3 2" xfId="23184" xr:uid="{00000000-0005-0000-0000-0000BF5A0000}"/>
    <cellStyle name="40% - Accent6 2 3 3 2 2" xfId="23185" xr:uid="{00000000-0005-0000-0000-0000C05A0000}"/>
    <cellStyle name="40% - Accent6 2 3 3 2 2 2" xfId="23186" xr:uid="{00000000-0005-0000-0000-0000C15A0000}"/>
    <cellStyle name="40% - Accent6 2 3 3 2 2 2 2" xfId="23187" xr:uid="{00000000-0005-0000-0000-0000C25A0000}"/>
    <cellStyle name="40% - Accent6 2 3 3 2 2 2 2 2" xfId="23188" xr:uid="{00000000-0005-0000-0000-0000C35A0000}"/>
    <cellStyle name="40% - Accent6 2 3 3 2 2 2 2 2 2" xfId="23189" xr:uid="{00000000-0005-0000-0000-0000C45A0000}"/>
    <cellStyle name="40% - Accent6 2 3 3 2 2 2 2 3" xfId="23190" xr:uid="{00000000-0005-0000-0000-0000C55A0000}"/>
    <cellStyle name="40% - Accent6 2 3 3 2 2 2 3" xfId="23191" xr:uid="{00000000-0005-0000-0000-0000C65A0000}"/>
    <cellStyle name="40% - Accent6 2 3 3 2 2 2 3 2" xfId="23192" xr:uid="{00000000-0005-0000-0000-0000C75A0000}"/>
    <cellStyle name="40% - Accent6 2 3 3 2 2 2 4" xfId="23193" xr:uid="{00000000-0005-0000-0000-0000C85A0000}"/>
    <cellStyle name="40% - Accent6 2 3 3 2 2 3" xfId="23194" xr:uid="{00000000-0005-0000-0000-0000C95A0000}"/>
    <cellStyle name="40% - Accent6 2 3 3 2 2 3 2" xfId="23195" xr:uid="{00000000-0005-0000-0000-0000CA5A0000}"/>
    <cellStyle name="40% - Accent6 2 3 3 2 2 3 2 2" xfId="23196" xr:uid="{00000000-0005-0000-0000-0000CB5A0000}"/>
    <cellStyle name="40% - Accent6 2 3 3 2 2 3 3" xfId="23197" xr:uid="{00000000-0005-0000-0000-0000CC5A0000}"/>
    <cellStyle name="40% - Accent6 2 3 3 2 2 4" xfId="23198" xr:uid="{00000000-0005-0000-0000-0000CD5A0000}"/>
    <cellStyle name="40% - Accent6 2 3 3 2 2 4 2" xfId="23199" xr:uid="{00000000-0005-0000-0000-0000CE5A0000}"/>
    <cellStyle name="40% - Accent6 2 3 3 2 2 5" xfId="23200" xr:uid="{00000000-0005-0000-0000-0000CF5A0000}"/>
    <cellStyle name="40% - Accent6 2 3 3 2 3" xfId="23201" xr:uid="{00000000-0005-0000-0000-0000D05A0000}"/>
    <cellStyle name="40% - Accent6 2 3 3 2 3 2" xfId="23202" xr:uid="{00000000-0005-0000-0000-0000D15A0000}"/>
    <cellStyle name="40% - Accent6 2 3 3 2 3 2 2" xfId="23203" xr:uid="{00000000-0005-0000-0000-0000D25A0000}"/>
    <cellStyle name="40% - Accent6 2 3 3 2 3 2 2 2" xfId="23204" xr:uid="{00000000-0005-0000-0000-0000D35A0000}"/>
    <cellStyle name="40% - Accent6 2 3 3 2 3 2 3" xfId="23205" xr:uid="{00000000-0005-0000-0000-0000D45A0000}"/>
    <cellStyle name="40% - Accent6 2 3 3 2 3 3" xfId="23206" xr:uid="{00000000-0005-0000-0000-0000D55A0000}"/>
    <cellStyle name="40% - Accent6 2 3 3 2 3 3 2" xfId="23207" xr:uid="{00000000-0005-0000-0000-0000D65A0000}"/>
    <cellStyle name="40% - Accent6 2 3 3 2 3 4" xfId="23208" xr:uid="{00000000-0005-0000-0000-0000D75A0000}"/>
    <cellStyle name="40% - Accent6 2 3 3 2 4" xfId="23209" xr:uid="{00000000-0005-0000-0000-0000D85A0000}"/>
    <cellStyle name="40% - Accent6 2 3 3 2 4 2" xfId="23210" xr:uid="{00000000-0005-0000-0000-0000D95A0000}"/>
    <cellStyle name="40% - Accent6 2 3 3 2 4 2 2" xfId="23211" xr:uid="{00000000-0005-0000-0000-0000DA5A0000}"/>
    <cellStyle name="40% - Accent6 2 3 3 2 4 3" xfId="23212" xr:uid="{00000000-0005-0000-0000-0000DB5A0000}"/>
    <cellStyle name="40% - Accent6 2 3 3 2 5" xfId="23213" xr:uid="{00000000-0005-0000-0000-0000DC5A0000}"/>
    <cellStyle name="40% - Accent6 2 3 3 2 5 2" xfId="23214" xr:uid="{00000000-0005-0000-0000-0000DD5A0000}"/>
    <cellStyle name="40% - Accent6 2 3 3 2 6" xfId="23215" xr:uid="{00000000-0005-0000-0000-0000DE5A0000}"/>
    <cellStyle name="40% - Accent6 2 3 3 3" xfId="23216" xr:uid="{00000000-0005-0000-0000-0000DF5A0000}"/>
    <cellStyle name="40% - Accent6 2 3 3 3 2" xfId="23217" xr:uid="{00000000-0005-0000-0000-0000E05A0000}"/>
    <cellStyle name="40% - Accent6 2 3 3 3 2 2" xfId="23218" xr:uid="{00000000-0005-0000-0000-0000E15A0000}"/>
    <cellStyle name="40% - Accent6 2 3 3 3 2 2 2" xfId="23219" xr:uid="{00000000-0005-0000-0000-0000E25A0000}"/>
    <cellStyle name="40% - Accent6 2 3 3 3 2 2 2 2" xfId="23220" xr:uid="{00000000-0005-0000-0000-0000E35A0000}"/>
    <cellStyle name="40% - Accent6 2 3 3 3 2 2 3" xfId="23221" xr:uid="{00000000-0005-0000-0000-0000E45A0000}"/>
    <cellStyle name="40% - Accent6 2 3 3 3 2 3" xfId="23222" xr:uid="{00000000-0005-0000-0000-0000E55A0000}"/>
    <cellStyle name="40% - Accent6 2 3 3 3 2 3 2" xfId="23223" xr:uid="{00000000-0005-0000-0000-0000E65A0000}"/>
    <cellStyle name="40% - Accent6 2 3 3 3 2 4" xfId="23224" xr:uid="{00000000-0005-0000-0000-0000E75A0000}"/>
    <cellStyle name="40% - Accent6 2 3 3 3 3" xfId="23225" xr:uid="{00000000-0005-0000-0000-0000E85A0000}"/>
    <cellStyle name="40% - Accent6 2 3 3 3 3 2" xfId="23226" xr:uid="{00000000-0005-0000-0000-0000E95A0000}"/>
    <cellStyle name="40% - Accent6 2 3 3 3 3 2 2" xfId="23227" xr:uid="{00000000-0005-0000-0000-0000EA5A0000}"/>
    <cellStyle name="40% - Accent6 2 3 3 3 3 3" xfId="23228" xr:uid="{00000000-0005-0000-0000-0000EB5A0000}"/>
    <cellStyle name="40% - Accent6 2 3 3 3 4" xfId="23229" xr:uid="{00000000-0005-0000-0000-0000EC5A0000}"/>
    <cellStyle name="40% - Accent6 2 3 3 3 4 2" xfId="23230" xr:uid="{00000000-0005-0000-0000-0000ED5A0000}"/>
    <cellStyle name="40% - Accent6 2 3 3 3 5" xfId="23231" xr:uid="{00000000-0005-0000-0000-0000EE5A0000}"/>
    <cellStyle name="40% - Accent6 2 3 3 4" xfId="23232" xr:uid="{00000000-0005-0000-0000-0000EF5A0000}"/>
    <cellStyle name="40% - Accent6 2 3 3 4 2" xfId="23233" xr:uid="{00000000-0005-0000-0000-0000F05A0000}"/>
    <cellStyle name="40% - Accent6 2 3 3 4 2 2" xfId="23234" xr:uid="{00000000-0005-0000-0000-0000F15A0000}"/>
    <cellStyle name="40% - Accent6 2 3 3 4 2 2 2" xfId="23235" xr:uid="{00000000-0005-0000-0000-0000F25A0000}"/>
    <cellStyle name="40% - Accent6 2 3 3 4 2 3" xfId="23236" xr:uid="{00000000-0005-0000-0000-0000F35A0000}"/>
    <cellStyle name="40% - Accent6 2 3 3 4 3" xfId="23237" xr:uid="{00000000-0005-0000-0000-0000F45A0000}"/>
    <cellStyle name="40% - Accent6 2 3 3 4 3 2" xfId="23238" xr:uid="{00000000-0005-0000-0000-0000F55A0000}"/>
    <cellStyle name="40% - Accent6 2 3 3 4 4" xfId="23239" xr:uid="{00000000-0005-0000-0000-0000F65A0000}"/>
    <cellStyle name="40% - Accent6 2 3 3 5" xfId="23240" xr:uid="{00000000-0005-0000-0000-0000F75A0000}"/>
    <cellStyle name="40% - Accent6 2 3 3 5 2" xfId="23241" xr:uid="{00000000-0005-0000-0000-0000F85A0000}"/>
    <cellStyle name="40% - Accent6 2 3 3 5 2 2" xfId="23242" xr:uid="{00000000-0005-0000-0000-0000F95A0000}"/>
    <cellStyle name="40% - Accent6 2 3 3 5 3" xfId="23243" xr:uid="{00000000-0005-0000-0000-0000FA5A0000}"/>
    <cellStyle name="40% - Accent6 2 3 3 6" xfId="23244" xr:uid="{00000000-0005-0000-0000-0000FB5A0000}"/>
    <cellStyle name="40% - Accent6 2 3 3 6 2" xfId="23245" xr:uid="{00000000-0005-0000-0000-0000FC5A0000}"/>
    <cellStyle name="40% - Accent6 2 3 3 7" xfId="23246" xr:uid="{00000000-0005-0000-0000-0000FD5A0000}"/>
    <cellStyle name="40% - Accent6 2 3 4" xfId="23247" xr:uid="{00000000-0005-0000-0000-0000FE5A0000}"/>
    <cellStyle name="40% - Accent6 2 3 4 2" xfId="23248" xr:uid="{00000000-0005-0000-0000-0000FF5A0000}"/>
    <cellStyle name="40% - Accent6 2 3 4 2 2" xfId="23249" xr:uid="{00000000-0005-0000-0000-0000005B0000}"/>
    <cellStyle name="40% - Accent6 2 3 4 2 2 2" xfId="23250" xr:uid="{00000000-0005-0000-0000-0000015B0000}"/>
    <cellStyle name="40% - Accent6 2 3 4 2 2 2 2" xfId="23251" xr:uid="{00000000-0005-0000-0000-0000025B0000}"/>
    <cellStyle name="40% - Accent6 2 3 4 2 2 2 2 2" xfId="23252" xr:uid="{00000000-0005-0000-0000-0000035B0000}"/>
    <cellStyle name="40% - Accent6 2 3 4 2 2 2 3" xfId="23253" xr:uid="{00000000-0005-0000-0000-0000045B0000}"/>
    <cellStyle name="40% - Accent6 2 3 4 2 2 3" xfId="23254" xr:uid="{00000000-0005-0000-0000-0000055B0000}"/>
    <cellStyle name="40% - Accent6 2 3 4 2 2 3 2" xfId="23255" xr:uid="{00000000-0005-0000-0000-0000065B0000}"/>
    <cellStyle name="40% - Accent6 2 3 4 2 2 4" xfId="23256" xr:uid="{00000000-0005-0000-0000-0000075B0000}"/>
    <cellStyle name="40% - Accent6 2 3 4 2 3" xfId="23257" xr:uid="{00000000-0005-0000-0000-0000085B0000}"/>
    <cellStyle name="40% - Accent6 2 3 4 2 3 2" xfId="23258" xr:uid="{00000000-0005-0000-0000-0000095B0000}"/>
    <cellStyle name="40% - Accent6 2 3 4 2 3 2 2" xfId="23259" xr:uid="{00000000-0005-0000-0000-00000A5B0000}"/>
    <cellStyle name="40% - Accent6 2 3 4 2 3 3" xfId="23260" xr:uid="{00000000-0005-0000-0000-00000B5B0000}"/>
    <cellStyle name="40% - Accent6 2 3 4 2 4" xfId="23261" xr:uid="{00000000-0005-0000-0000-00000C5B0000}"/>
    <cellStyle name="40% - Accent6 2 3 4 2 4 2" xfId="23262" xr:uid="{00000000-0005-0000-0000-00000D5B0000}"/>
    <cellStyle name="40% - Accent6 2 3 4 2 5" xfId="23263" xr:uid="{00000000-0005-0000-0000-00000E5B0000}"/>
    <cellStyle name="40% - Accent6 2 3 4 3" xfId="23264" xr:uid="{00000000-0005-0000-0000-00000F5B0000}"/>
    <cellStyle name="40% - Accent6 2 3 4 3 2" xfId="23265" xr:uid="{00000000-0005-0000-0000-0000105B0000}"/>
    <cellStyle name="40% - Accent6 2 3 4 3 2 2" xfId="23266" xr:uid="{00000000-0005-0000-0000-0000115B0000}"/>
    <cellStyle name="40% - Accent6 2 3 4 3 2 2 2" xfId="23267" xr:uid="{00000000-0005-0000-0000-0000125B0000}"/>
    <cellStyle name="40% - Accent6 2 3 4 3 2 3" xfId="23268" xr:uid="{00000000-0005-0000-0000-0000135B0000}"/>
    <cellStyle name="40% - Accent6 2 3 4 3 3" xfId="23269" xr:uid="{00000000-0005-0000-0000-0000145B0000}"/>
    <cellStyle name="40% - Accent6 2 3 4 3 3 2" xfId="23270" xr:uid="{00000000-0005-0000-0000-0000155B0000}"/>
    <cellStyle name="40% - Accent6 2 3 4 3 4" xfId="23271" xr:uid="{00000000-0005-0000-0000-0000165B0000}"/>
    <cellStyle name="40% - Accent6 2 3 4 4" xfId="23272" xr:uid="{00000000-0005-0000-0000-0000175B0000}"/>
    <cellStyle name="40% - Accent6 2 3 4 4 2" xfId="23273" xr:uid="{00000000-0005-0000-0000-0000185B0000}"/>
    <cellStyle name="40% - Accent6 2 3 4 4 2 2" xfId="23274" xr:uid="{00000000-0005-0000-0000-0000195B0000}"/>
    <cellStyle name="40% - Accent6 2 3 4 4 3" xfId="23275" xr:uid="{00000000-0005-0000-0000-00001A5B0000}"/>
    <cellStyle name="40% - Accent6 2 3 4 5" xfId="23276" xr:uid="{00000000-0005-0000-0000-00001B5B0000}"/>
    <cellStyle name="40% - Accent6 2 3 4 5 2" xfId="23277" xr:uid="{00000000-0005-0000-0000-00001C5B0000}"/>
    <cellStyle name="40% - Accent6 2 3 4 6" xfId="23278" xr:uid="{00000000-0005-0000-0000-00001D5B0000}"/>
    <cellStyle name="40% - Accent6 2 3 5" xfId="23279" xr:uid="{00000000-0005-0000-0000-00001E5B0000}"/>
    <cellStyle name="40% - Accent6 2 3 5 2" xfId="23280" xr:uid="{00000000-0005-0000-0000-00001F5B0000}"/>
    <cellStyle name="40% - Accent6 2 3 5 2 2" xfId="23281" xr:uid="{00000000-0005-0000-0000-0000205B0000}"/>
    <cellStyle name="40% - Accent6 2 3 5 2 2 2" xfId="23282" xr:uid="{00000000-0005-0000-0000-0000215B0000}"/>
    <cellStyle name="40% - Accent6 2 3 5 2 2 2 2" xfId="23283" xr:uid="{00000000-0005-0000-0000-0000225B0000}"/>
    <cellStyle name="40% - Accent6 2 3 5 2 2 3" xfId="23284" xr:uid="{00000000-0005-0000-0000-0000235B0000}"/>
    <cellStyle name="40% - Accent6 2 3 5 2 3" xfId="23285" xr:uid="{00000000-0005-0000-0000-0000245B0000}"/>
    <cellStyle name="40% - Accent6 2 3 5 2 3 2" xfId="23286" xr:uid="{00000000-0005-0000-0000-0000255B0000}"/>
    <cellStyle name="40% - Accent6 2 3 5 2 4" xfId="23287" xr:uid="{00000000-0005-0000-0000-0000265B0000}"/>
    <cellStyle name="40% - Accent6 2 3 5 3" xfId="23288" xr:uid="{00000000-0005-0000-0000-0000275B0000}"/>
    <cellStyle name="40% - Accent6 2 3 5 3 2" xfId="23289" xr:uid="{00000000-0005-0000-0000-0000285B0000}"/>
    <cellStyle name="40% - Accent6 2 3 5 3 2 2" xfId="23290" xr:uid="{00000000-0005-0000-0000-0000295B0000}"/>
    <cellStyle name="40% - Accent6 2 3 5 3 3" xfId="23291" xr:uid="{00000000-0005-0000-0000-00002A5B0000}"/>
    <cellStyle name="40% - Accent6 2 3 5 4" xfId="23292" xr:uid="{00000000-0005-0000-0000-00002B5B0000}"/>
    <cellStyle name="40% - Accent6 2 3 5 4 2" xfId="23293" xr:uid="{00000000-0005-0000-0000-00002C5B0000}"/>
    <cellStyle name="40% - Accent6 2 3 5 5" xfId="23294" xr:uid="{00000000-0005-0000-0000-00002D5B0000}"/>
    <cellStyle name="40% - Accent6 2 3 6" xfId="23295" xr:uid="{00000000-0005-0000-0000-00002E5B0000}"/>
    <cellStyle name="40% - Accent6 2 3 6 2" xfId="23296" xr:uid="{00000000-0005-0000-0000-00002F5B0000}"/>
    <cellStyle name="40% - Accent6 2 3 6 2 2" xfId="23297" xr:uid="{00000000-0005-0000-0000-0000305B0000}"/>
    <cellStyle name="40% - Accent6 2 3 6 2 2 2" xfId="23298" xr:uid="{00000000-0005-0000-0000-0000315B0000}"/>
    <cellStyle name="40% - Accent6 2 3 6 2 3" xfId="23299" xr:uid="{00000000-0005-0000-0000-0000325B0000}"/>
    <cellStyle name="40% - Accent6 2 3 6 3" xfId="23300" xr:uid="{00000000-0005-0000-0000-0000335B0000}"/>
    <cellStyle name="40% - Accent6 2 3 6 3 2" xfId="23301" xr:uid="{00000000-0005-0000-0000-0000345B0000}"/>
    <cellStyle name="40% - Accent6 2 3 6 4" xfId="23302" xr:uid="{00000000-0005-0000-0000-0000355B0000}"/>
    <cellStyle name="40% - Accent6 2 3 7" xfId="23303" xr:uid="{00000000-0005-0000-0000-0000365B0000}"/>
    <cellStyle name="40% - Accent6 2 3 7 2" xfId="23304" xr:uid="{00000000-0005-0000-0000-0000375B0000}"/>
    <cellStyle name="40% - Accent6 2 3 7 2 2" xfId="23305" xr:uid="{00000000-0005-0000-0000-0000385B0000}"/>
    <cellStyle name="40% - Accent6 2 3 7 3" xfId="23306" xr:uid="{00000000-0005-0000-0000-0000395B0000}"/>
    <cellStyle name="40% - Accent6 2 3 8" xfId="23307" xr:uid="{00000000-0005-0000-0000-00003A5B0000}"/>
    <cellStyle name="40% - Accent6 2 3 8 2" xfId="23308" xr:uid="{00000000-0005-0000-0000-00003B5B0000}"/>
    <cellStyle name="40% - Accent6 2 3 9" xfId="23309" xr:uid="{00000000-0005-0000-0000-00003C5B0000}"/>
    <cellStyle name="40% - Accent6 2 4" xfId="23310" xr:uid="{00000000-0005-0000-0000-00003D5B0000}"/>
    <cellStyle name="40% - Accent6 2 4 2" xfId="23311" xr:uid="{00000000-0005-0000-0000-00003E5B0000}"/>
    <cellStyle name="40% - Accent6 2 4 2 2" xfId="23312" xr:uid="{00000000-0005-0000-0000-00003F5B0000}"/>
    <cellStyle name="40% - Accent6 2 4 2 2 2" xfId="23313" xr:uid="{00000000-0005-0000-0000-0000405B0000}"/>
    <cellStyle name="40% - Accent6 2 4 2 2 2 2" xfId="23314" xr:uid="{00000000-0005-0000-0000-0000415B0000}"/>
    <cellStyle name="40% - Accent6 2 4 2 2 2 2 2" xfId="23315" xr:uid="{00000000-0005-0000-0000-0000425B0000}"/>
    <cellStyle name="40% - Accent6 2 4 2 2 2 2 2 2" xfId="23316" xr:uid="{00000000-0005-0000-0000-0000435B0000}"/>
    <cellStyle name="40% - Accent6 2 4 2 2 2 2 2 2 2" xfId="23317" xr:uid="{00000000-0005-0000-0000-0000445B0000}"/>
    <cellStyle name="40% - Accent6 2 4 2 2 2 2 2 3" xfId="23318" xr:uid="{00000000-0005-0000-0000-0000455B0000}"/>
    <cellStyle name="40% - Accent6 2 4 2 2 2 2 3" xfId="23319" xr:uid="{00000000-0005-0000-0000-0000465B0000}"/>
    <cellStyle name="40% - Accent6 2 4 2 2 2 2 3 2" xfId="23320" xr:uid="{00000000-0005-0000-0000-0000475B0000}"/>
    <cellStyle name="40% - Accent6 2 4 2 2 2 2 4" xfId="23321" xr:uid="{00000000-0005-0000-0000-0000485B0000}"/>
    <cellStyle name="40% - Accent6 2 4 2 2 2 3" xfId="23322" xr:uid="{00000000-0005-0000-0000-0000495B0000}"/>
    <cellStyle name="40% - Accent6 2 4 2 2 2 3 2" xfId="23323" xr:uid="{00000000-0005-0000-0000-00004A5B0000}"/>
    <cellStyle name="40% - Accent6 2 4 2 2 2 3 2 2" xfId="23324" xr:uid="{00000000-0005-0000-0000-00004B5B0000}"/>
    <cellStyle name="40% - Accent6 2 4 2 2 2 3 3" xfId="23325" xr:uid="{00000000-0005-0000-0000-00004C5B0000}"/>
    <cellStyle name="40% - Accent6 2 4 2 2 2 4" xfId="23326" xr:uid="{00000000-0005-0000-0000-00004D5B0000}"/>
    <cellStyle name="40% - Accent6 2 4 2 2 2 4 2" xfId="23327" xr:uid="{00000000-0005-0000-0000-00004E5B0000}"/>
    <cellStyle name="40% - Accent6 2 4 2 2 2 5" xfId="23328" xr:uid="{00000000-0005-0000-0000-00004F5B0000}"/>
    <cellStyle name="40% - Accent6 2 4 2 2 3" xfId="23329" xr:uid="{00000000-0005-0000-0000-0000505B0000}"/>
    <cellStyle name="40% - Accent6 2 4 2 2 3 2" xfId="23330" xr:uid="{00000000-0005-0000-0000-0000515B0000}"/>
    <cellStyle name="40% - Accent6 2 4 2 2 3 2 2" xfId="23331" xr:uid="{00000000-0005-0000-0000-0000525B0000}"/>
    <cellStyle name="40% - Accent6 2 4 2 2 3 2 2 2" xfId="23332" xr:uid="{00000000-0005-0000-0000-0000535B0000}"/>
    <cellStyle name="40% - Accent6 2 4 2 2 3 2 3" xfId="23333" xr:uid="{00000000-0005-0000-0000-0000545B0000}"/>
    <cellStyle name="40% - Accent6 2 4 2 2 3 3" xfId="23334" xr:uid="{00000000-0005-0000-0000-0000555B0000}"/>
    <cellStyle name="40% - Accent6 2 4 2 2 3 3 2" xfId="23335" xr:uid="{00000000-0005-0000-0000-0000565B0000}"/>
    <cellStyle name="40% - Accent6 2 4 2 2 3 4" xfId="23336" xr:uid="{00000000-0005-0000-0000-0000575B0000}"/>
    <cellStyle name="40% - Accent6 2 4 2 2 4" xfId="23337" xr:uid="{00000000-0005-0000-0000-0000585B0000}"/>
    <cellStyle name="40% - Accent6 2 4 2 2 4 2" xfId="23338" xr:uid="{00000000-0005-0000-0000-0000595B0000}"/>
    <cellStyle name="40% - Accent6 2 4 2 2 4 2 2" xfId="23339" xr:uid="{00000000-0005-0000-0000-00005A5B0000}"/>
    <cellStyle name="40% - Accent6 2 4 2 2 4 3" xfId="23340" xr:uid="{00000000-0005-0000-0000-00005B5B0000}"/>
    <cellStyle name="40% - Accent6 2 4 2 2 5" xfId="23341" xr:uid="{00000000-0005-0000-0000-00005C5B0000}"/>
    <cellStyle name="40% - Accent6 2 4 2 2 5 2" xfId="23342" xr:uid="{00000000-0005-0000-0000-00005D5B0000}"/>
    <cellStyle name="40% - Accent6 2 4 2 2 6" xfId="23343" xr:uid="{00000000-0005-0000-0000-00005E5B0000}"/>
    <cellStyle name="40% - Accent6 2 4 2 3" xfId="23344" xr:uid="{00000000-0005-0000-0000-00005F5B0000}"/>
    <cellStyle name="40% - Accent6 2 4 2 3 2" xfId="23345" xr:uid="{00000000-0005-0000-0000-0000605B0000}"/>
    <cellStyle name="40% - Accent6 2 4 2 3 2 2" xfId="23346" xr:uid="{00000000-0005-0000-0000-0000615B0000}"/>
    <cellStyle name="40% - Accent6 2 4 2 3 2 2 2" xfId="23347" xr:uid="{00000000-0005-0000-0000-0000625B0000}"/>
    <cellStyle name="40% - Accent6 2 4 2 3 2 2 2 2" xfId="23348" xr:uid="{00000000-0005-0000-0000-0000635B0000}"/>
    <cellStyle name="40% - Accent6 2 4 2 3 2 2 3" xfId="23349" xr:uid="{00000000-0005-0000-0000-0000645B0000}"/>
    <cellStyle name="40% - Accent6 2 4 2 3 2 3" xfId="23350" xr:uid="{00000000-0005-0000-0000-0000655B0000}"/>
    <cellStyle name="40% - Accent6 2 4 2 3 2 3 2" xfId="23351" xr:uid="{00000000-0005-0000-0000-0000665B0000}"/>
    <cellStyle name="40% - Accent6 2 4 2 3 2 4" xfId="23352" xr:uid="{00000000-0005-0000-0000-0000675B0000}"/>
    <cellStyle name="40% - Accent6 2 4 2 3 3" xfId="23353" xr:uid="{00000000-0005-0000-0000-0000685B0000}"/>
    <cellStyle name="40% - Accent6 2 4 2 3 3 2" xfId="23354" xr:uid="{00000000-0005-0000-0000-0000695B0000}"/>
    <cellStyle name="40% - Accent6 2 4 2 3 3 2 2" xfId="23355" xr:uid="{00000000-0005-0000-0000-00006A5B0000}"/>
    <cellStyle name="40% - Accent6 2 4 2 3 3 3" xfId="23356" xr:uid="{00000000-0005-0000-0000-00006B5B0000}"/>
    <cellStyle name="40% - Accent6 2 4 2 3 4" xfId="23357" xr:uid="{00000000-0005-0000-0000-00006C5B0000}"/>
    <cellStyle name="40% - Accent6 2 4 2 3 4 2" xfId="23358" xr:uid="{00000000-0005-0000-0000-00006D5B0000}"/>
    <cellStyle name="40% - Accent6 2 4 2 3 5" xfId="23359" xr:uid="{00000000-0005-0000-0000-00006E5B0000}"/>
    <cellStyle name="40% - Accent6 2 4 2 4" xfId="23360" xr:uid="{00000000-0005-0000-0000-00006F5B0000}"/>
    <cellStyle name="40% - Accent6 2 4 2 4 2" xfId="23361" xr:uid="{00000000-0005-0000-0000-0000705B0000}"/>
    <cellStyle name="40% - Accent6 2 4 2 4 2 2" xfId="23362" xr:uid="{00000000-0005-0000-0000-0000715B0000}"/>
    <cellStyle name="40% - Accent6 2 4 2 4 2 2 2" xfId="23363" xr:uid="{00000000-0005-0000-0000-0000725B0000}"/>
    <cellStyle name="40% - Accent6 2 4 2 4 2 3" xfId="23364" xr:uid="{00000000-0005-0000-0000-0000735B0000}"/>
    <cellStyle name="40% - Accent6 2 4 2 4 3" xfId="23365" xr:uid="{00000000-0005-0000-0000-0000745B0000}"/>
    <cellStyle name="40% - Accent6 2 4 2 4 3 2" xfId="23366" xr:uid="{00000000-0005-0000-0000-0000755B0000}"/>
    <cellStyle name="40% - Accent6 2 4 2 4 4" xfId="23367" xr:uid="{00000000-0005-0000-0000-0000765B0000}"/>
    <cellStyle name="40% - Accent6 2 4 2 5" xfId="23368" xr:uid="{00000000-0005-0000-0000-0000775B0000}"/>
    <cellStyle name="40% - Accent6 2 4 2 5 2" xfId="23369" xr:uid="{00000000-0005-0000-0000-0000785B0000}"/>
    <cellStyle name="40% - Accent6 2 4 2 5 2 2" xfId="23370" xr:uid="{00000000-0005-0000-0000-0000795B0000}"/>
    <cellStyle name="40% - Accent6 2 4 2 5 3" xfId="23371" xr:uid="{00000000-0005-0000-0000-00007A5B0000}"/>
    <cellStyle name="40% - Accent6 2 4 2 6" xfId="23372" xr:uid="{00000000-0005-0000-0000-00007B5B0000}"/>
    <cellStyle name="40% - Accent6 2 4 2 6 2" xfId="23373" xr:uid="{00000000-0005-0000-0000-00007C5B0000}"/>
    <cellStyle name="40% - Accent6 2 4 2 7" xfId="23374" xr:uid="{00000000-0005-0000-0000-00007D5B0000}"/>
    <cellStyle name="40% - Accent6 2 4 3" xfId="23375" xr:uid="{00000000-0005-0000-0000-00007E5B0000}"/>
    <cellStyle name="40% - Accent6 2 4 3 2" xfId="23376" xr:uid="{00000000-0005-0000-0000-00007F5B0000}"/>
    <cellStyle name="40% - Accent6 2 4 3 2 2" xfId="23377" xr:uid="{00000000-0005-0000-0000-0000805B0000}"/>
    <cellStyle name="40% - Accent6 2 4 3 2 2 2" xfId="23378" xr:uid="{00000000-0005-0000-0000-0000815B0000}"/>
    <cellStyle name="40% - Accent6 2 4 3 2 2 2 2" xfId="23379" xr:uid="{00000000-0005-0000-0000-0000825B0000}"/>
    <cellStyle name="40% - Accent6 2 4 3 2 2 2 2 2" xfId="23380" xr:uid="{00000000-0005-0000-0000-0000835B0000}"/>
    <cellStyle name="40% - Accent6 2 4 3 2 2 2 3" xfId="23381" xr:uid="{00000000-0005-0000-0000-0000845B0000}"/>
    <cellStyle name="40% - Accent6 2 4 3 2 2 3" xfId="23382" xr:uid="{00000000-0005-0000-0000-0000855B0000}"/>
    <cellStyle name="40% - Accent6 2 4 3 2 2 3 2" xfId="23383" xr:uid="{00000000-0005-0000-0000-0000865B0000}"/>
    <cellStyle name="40% - Accent6 2 4 3 2 2 4" xfId="23384" xr:uid="{00000000-0005-0000-0000-0000875B0000}"/>
    <cellStyle name="40% - Accent6 2 4 3 2 3" xfId="23385" xr:uid="{00000000-0005-0000-0000-0000885B0000}"/>
    <cellStyle name="40% - Accent6 2 4 3 2 3 2" xfId="23386" xr:uid="{00000000-0005-0000-0000-0000895B0000}"/>
    <cellStyle name="40% - Accent6 2 4 3 2 3 2 2" xfId="23387" xr:uid="{00000000-0005-0000-0000-00008A5B0000}"/>
    <cellStyle name="40% - Accent6 2 4 3 2 3 3" xfId="23388" xr:uid="{00000000-0005-0000-0000-00008B5B0000}"/>
    <cellStyle name="40% - Accent6 2 4 3 2 4" xfId="23389" xr:uid="{00000000-0005-0000-0000-00008C5B0000}"/>
    <cellStyle name="40% - Accent6 2 4 3 2 4 2" xfId="23390" xr:uid="{00000000-0005-0000-0000-00008D5B0000}"/>
    <cellStyle name="40% - Accent6 2 4 3 2 5" xfId="23391" xr:uid="{00000000-0005-0000-0000-00008E5B0000}"/>
    <cellStyle name="40% - Accent6 2 4 3 3" xfId="23392" xr:uid="{00000000-0005-0000-0000-00008F5B0000}"/>
    <cellStyle name="40% - Accent6 2 4 3 3 2" xfId="23393" xr:uid="{00000000-0005-0000-0000-0000905B0000}"/>
    <cellStyle name="40% - Accent6 2 4 3 3 2 2" xfId="23394" xr:uid="{00000000-0005-0000-0000-0000915B0000}"/>
    <cellStyle name="40% - Accent6 2 4 3 3 2 2 2" xfId="23395" xr:uid="{00000000-0005-0000-0000-0000925B0000}"/>
    <cellStyle name="40% - Accent6 2 4 3 3 2 3" xfId="23396" xr:uid="{00000000-0005-0000-0000-0000935B0000}"/>
    <cellStyle name="40% - Accent6 2 4 3 3 3" xfId="23397" xr:uid="{00000000-0005-0000-0000-0000945B0000}"/>
    <cellStyle name="40% - Accent6 2 4 3 3 3 2" xfId="23398" xr:uid="{00000000-0005-0000-0000-0000955B0000}"/>
    <cellStyle name="40% - Accent6 2 4 3 3 4" xfId="23399" xr:uid="{00000000-0005-0000-0000-0000965B0000}"/>
    <cellStyle name="40% - Accent6 2 4 3 4" xfId="23400" xr:uid="{00000000-0005-0000-0000-0000975B0000}"/>
    <cellStyle name="40% - Accent6 2 4 3 4 2" xfId="23401" xr:uid="{00000000-0005-0000-0000-0000985B0000}"/>
    <cellStyle name="40% - Accent6 2 4 3 4 2 2" xfId="23402" xr:uid="{00000000-0005-0000-0000-0000995B0000}"/>
    <cellStyle name="40% - Accent6 2 4 3 4 3" xfId="23403" xr:uid="{00000000-0005-0000-0000-00009A5B0000}"/>
    <cellStyle name="40% - Accent6 2 4 3 5" xfId="23404" xr:uid="{00000000-0005-0000-0000-00009B5B0000}"/>
    <cellStyle name="40% - Accent6 2 4 3 5 2" xfId="23405" xr:uid="{00000000-0005-0000-0000-00009C5B0000}"/>
    <cellStyle name="40% - Accent6 2 4 3 6" xfId="23406" xr:uid="{00000000-0005-0000-0000-00009D5B0000}"/>
    <cellStyle name="40% - Accent6 2 4 4" xfId="23407" xr:uid="{00000000-0005-0000-0000-00009E5B0000}"/>
    <cellStyle name="40% - Accent6 2 4 4 2" xfId="23408" xr:uid="{00000000-0005-0000-0000-00009F5B0000}"/>
    <cellStyle name="40% - Accent6 2 4 4 2 2" xfId="23409" xr:uid="{00000000-0005-0000-0000-0000A05B0000}"/>
    <cellStyle name="40% - Accent6 2 4 4 2 2 2" xfId="23410" xr:uid="{00000000-0005-0000-0000-0000A15B0000}"/>
    <cellStyle name="40% - Accent6 2 4 4 2 2 2 2" xfId="23411" xr:uid="{00000000-0005-0000-0000-0000A25B0000}"/>
    <cellStyle name="40% - Accent6 2 4 4 2 2 3" xfId="23412" xr:uid="{00000000-0005-0000-0000-0000A35B0000}"/>
    <cellStyle name="40% - Accent6 2 4 4 2 3" xfId="23413" xr:uid="{00000000-0005-0000-0000-0000A45B0000}"/>
    <cellStyle name="40% - Accent6 2 4 4 2 3 2" xfId="23414" xr:uid="{00000000-0005-0000-0000-0000A55B0000}"/>
    <cellStyle name="40% - Accent6 2 4 4 2 4" xfId="23415" xr:uid="{00000000-0005-0000-0000-0000A65B0000}"/>
    <cellStyle name="40% - Accent6 2 4 4 3" xfId="23416" xr:uid="{00000000-0005-0000-0000-0000A75B0000}"/>
    <cellStyle name="40% - Accent6 2 4 4 3 2" xfId="23417" xr:uid="{00000000-0005-0000-0000-0000A85B0000}"/>
    <cellStyle name="40% - Accent6 2 4 4 3 2 2" xfId="23418" xr:uid="{00000000-0005-0000-0000-0000A95B0000}"/>
    <cellStyle name="40% - Accent6 2 4 4 3 3" xfId="23419" xr:uid="{00000000-0005-0000-0000-0000AA5B0000}"/>
    <cellStyle name="40% - Accent6 2 4 4 4" xfId="23420" xr:uid="{00000000-0005-0000-0000-0000AB5B0000}"/>
    <cellStyle name="40% - Accent6 2 4 4 4 2" xfId="23421" xr:uid="{00000000-0005-0000-0000-0000AC5B0000}"/>
    <cellStyle name="40% - Accent6 2 4 4 5" xfId="23422" xr:uid="{00000000-0005-0000-0000-0000AD5B0000}"/>
    <cellStyle name="40% - Accent6 2 4 5" xfId="23423" xr:uid="{00000000-0005-0000-0000-0000AE5B0000}"/>
    <cellStyle name="40% - Accent6 2 4 5 2" xfId="23424" xr:uid="{00000000-0005-0000-0000-0000AF5B0000}"/>
    <cellStyle name="40% - Accent6 2 4 5 2 2" xfId="23425" xr:uid="{00000000-0005-0000-0000-0000B05B0000}"/>
    <cellStyle name="40% - Accent6 2 4 5 2 2 2" xfId="23426" xr:uid="{00000000-0005-0000-0000-0000B15B0000}"/>
    <cellStyle name="40% - Accent6 2 4 5 2 3" xfId="23427" xr:uid="{00000000-0005-0000-0000-0000B25B0000}"/>
    <cellStyle name="40% - Accent6 2 4 5 3" xfId="23428" xr:uid="{00000000-0005-0000-0000-0000B35B0000}"/>
    <cellStyle name="40% - Accent6 2 4 5 3 2" xfId="23429" xr:uid="{00000000-0005-0000-0000-0000B45B0000}"/>
    <cellStyle name="40% - Accent6 2 4 5 4" xfId="23430" xr:uid="{00000000-0005-0000-0000-0000B55B0000}"/>
    <cellStyle name="40% - Accent6 2 4 6" xfId="23431" xr:uid="{00000000-0005-0000-0000-0000B65B0000}"/>
    <cellStyle name="40% - Accent6 2 4 6 2" xfId="23432" xr:uid="{00000000-0005-0000-0000-0000B75B0000}"/>
    <cellStyle name="40% - Accent6 2 4 6 2 2" xfId="23433" xr:uid="{00000000-0005-0000-0000-0000B85B0000}"/>
    <cellStyle name="40% - Accent6 2 4 6 3" xfId="23434" xr:uid="{00000000-0005-0000-0000-0000B95B0000}"/>
    <cellStyle name="40% - Accent6 2 4 7" xfId="23435" xr:uid="{00000000-0005-0000-0000-0000BA5B0000}"/>
    <cellStyle name="40% - Accent6 2 4 7 2" xfId="23436" xr:uid="{00000000-0005-0000-0000-0000BB5B0000}"/>
    <cellStyle name="40% - Accent6 2 4 8" xfId="23437" xr:uid="{00000000-0005-0000-0000-0000BC5B0000}"/>
    <cellStyle name="40% - Accent6 2 5" xfId="23438" xr:uid="{00000000-0005-0000-0000-0000BD5B0000}"/>
    <cellStyle name="40% - Accent6 2 5 2" xfId="23439" xr:uid="{00000000-0005-0000-0000-0000BE5B0000}"/>
    <cellStyle name="40% - Accent6 2 5 2 2" xfId="23440" xr:uid="{00000000-0005-0000-0000-0000BF5B0000}"/>
    <cellStyle name="40% - Accent6 2 5 2 2 2" xfId="23441" xr:uid="{00000000-0005-0000-0000-0000C05B0000}"/>
    <cellStyle name="40% - Accent6 2 5 2 2 2 2" xfId="23442" xr:uid="{00000000-0005-0000-0000-0000C15B0000}"/>
    <cellStyle name="40% - Accent6 2 5 2 2 2 2 2" xfId="23443" xr:uid="{00000000-0005-0000-0000-0000C25B0000}"/>
    <cellStyle name="40% - Accent6 2 5 2 2 2 2 2 2" xfId="23444" xr:uid="{00000000-0005-0000-0000-0000C35B0000}"/>
    <cellStyle name="40% - Accent6 2 5 2 2 2 2 3" xfId="23445" xr:uid="{00000000-0005-0000-0000-0000C45B0000}"/>
    <cellStyle name="40% - Accent6 2 5 2 2 2 3" xfId="23446" xr:uid="{00000000-0005-0000-0000-0000C55B0000}"/>
    <cellStyle name="40% - Accent6 2 5 2 2 2 3 2" xfId="23447" xr:uid="{00000000-0005-0000-0000-0000C65B0000}"/>
    <cellStyle name="40% - Accent6 2 5 2 2 2 4" xfId="23448" xr:uid="{00000000-0005-0000-0000-0000C75B0000}"/>
    <cellStyle name="40% - Accent6 2 5 2 2 3" xfId="23449" xr:uid="{00000000-0005-0000-0000-0000C85B0000}"/>
    <cellStyle name="40% - Accent6 2 5 2 2 3 2" xfId="23450" xr:uid="{00000000-0005-0000-0000-0000C95B0000}"/>
    <cellStyle name="40% - Accent6 2 5 2 2 3 2 2" xfId="23451" xr:uid="{00000000-0005-0000-0000-0000CA5B0000}"/>
    <cellStyle name="40% - Accent6 2 5 2 2 3 3" xfId="23452" xr:uid="{00000000-0005-0000-0000-0000CB5B0000}"/>
    <cellStyle name="40% - Accent6 2 5 2 2 4" xfId="23453" xr:uid="{00000000-0005-0000-0000-0000CC5B0000}"/>
    <cellStyle name="40% - Accent6 2 5 2 2 4 2" xfId="23454" xr:uid="{00000000-0005-0000-0000-0000CD5B0000}"/>
    <cellStyle name="40% - Accent6 2 5 2 2 5" xfId="23455" xr:uid="{00000000-0005-0000-0000-0000CE5B0000}"/>
    <cellStyle name="40% - Accent6 2 5 2 3" xfId="23456" xr:uid="{00000000-0005-0000-0000-0000CF5B0000}"/>
    <cellStyle name="40% - Accent6 2 5 2 3 2" xfId="23457" xr:uid="{00000000-0005-0000-0000-0000D05B0000}"/>
    <cellStyle name="40% - Accent6 2 5 2 3 2 2" xfId="23458" xr:uid="{00000000-0005-0000-0000-0000D15B0000}"/>
    <cellStyle name="40% - Accent6 2 5 2 3 2 2 2" xfId="23459" xr:uid="{00000000-0005-0000-0000-0000D25B0000}"/>
    <cellStyle name="40% - Accent6 2 5 2 3 2 3" xfId="23460" xr:uid="{00000000-0005-0000-0000-0000D35B0000}"/>
    <cellStyle name="40% - Accent6 2 5 2 3 3" xfId="23461" xr:uid="{00000000-0005-0000-0000-0000D45B0000}"/>
    <cellStyle name="40% - Accent6 2 5 2 3 3 2" xfId="23462" xr:uid="{00000000-0005-0000-0000-0000D55B0000}"/>
    <cellStyle name="40% - Accent6 2 5 2 3 4" xfId="23463" xr:uid="{00000000-0005-0000-0000-0000D65B0000}"/>
    <cellStyle name="40% - Accent6 2 5 2 4" xfId="23464" xr:uid="{00000000-0005-0000-0000-0000D75B0000}"/>
    <cellStyle name="40% - Accent6 2 5 2 4 2" xfId="23465" xr:uid="{00000000-0005-0000-0000-0000D85B0000}"/>
    <cellStyle name="40% - Accent6 2 5 2 4 2 2" xfId="23466" xr:uid="{00000000-0005-0000-0000-0000D95B0000}"/>
    <cellStyle name="40% - Accent6 2 5 2 4 3" xfId="23467" xr:uid="{00000000-0005-0000-0000-0000DA5B0000}"/>
    <cellStyle name="40% - Accent6 2 5 2 5" xfId="23468" xr:uid="{00000000-0005-0000-0000-0000DB5B0000}"/>
    <cellStyle name="40% - Accent6 2 5 2 5 2" xfId="23469" xr:uid="{00000000-0005-0000-0000-0000DC5B0000}"/>
    <cellStyle name="40% - Accent6 2 5 2 6" xfId="23470" xr:uid="{00000000-0005-0000-0000-0000DD5B0000}"/>
    <cellStyle name="40% - Accent6 2 5 3" xfId="23471" xr:uid="{00000000-0005-0000-0000-0000DE5B0000}"/>
    <cellStyle name="40% - Accent6 2 5 3 2" xfId="23472" xr:uid="{00000000-0005-0000-0000-0000DF5B0000}"/>
    <cellStyle name="40% - Accent6 2 5 3 2 2" xfId="23473" xr:uid="{00000000-0005-0000-0000-0000E05B0000}"/>
    <cellStyle name="40% - Accent6 2 5 3 2 2 2" xfId="23474" xr:uid="{00000000-0005-0000-0000-0000E15B0000}"/>
    <cellStyle name="40% - Accent6 2 5 3 2 2 2 2" xfId="23475" xr:uid="{00000000-0005-0000-0000-0000E25B0000}"/>
    <cellStyle name="40% - Accent6 2 5 3 2 2 3" xfId="23476" xr:uid="{00000000-0005-0000-0000-0000E35B0000}"/>
    <cellStyle name="40% - Accent6 2 5 3 2 3" xfId="23477" xr:uid="{00000000-0005-0000-0000-0000E45B0000}"/>
    <cellStyle name="40% - Accent6 2 5 3 2 3 2" xfId="23478" xr:uid="{00000000-0005-0000-0000-0000E55B0000}"/>
    <cellStyle name="40% - Accent6 2 5 3 2 4" xfId="23479" xr:uid="{00000000-0005-0000-0000-0000E65B0000}"/>
    <cellStyle name="40% - Accent6 2 5 3 3" xfId="23480" xr:uid="{00000000-0005-0000-0000-0000E75B0000}"/>
    <cellStyle name="40% - Accent6 2 5 3 3 2" xfId="23481" xr:uid="{00000000-0005-0000-0000-0000E85B0000}"/>
    <cellStyle name="40% - Accent6 2 5 3 3 2 2" xfId="23482" xr:uid="{00000000-0005-0000-0000-0000E95B0000}"/>
    <cellStyle name="40% - Accent6 2 5 3 3 3" xfId="23483" xr:uid="{00000000-0005-0000-0000-0000EA5B0000}"/>
    <cellStyle name="40% - Accent6 2 5 3 4" xfId="23484" xr:uid="{00000000-0005-0000-0000-0000EB5B0000}"/>
    <cellStyle name="40% - Accent6 2 5 3 4 2" xfId="23485" xr:uid="{00000000-0005-0000-0000-0000EC5B0000}"/>
    <cellStyle name="40% - Accent6 2 5 3 5" xfId="23486" xr:uid="{00000000-0005-0000-0000-0000ED5B0000}"/>
    <cellStyle name="40% - Accent6 2 5 4" xfId="23487" xr:uid="{00000000-0005-0000-0000-0000EE5B0000}"/>
    <cellStyle name="40% - Accent6 2 5 4 2" xfId="23488" xr:uid="{00000000-0005-0000-0000-0000EF5B0000}"/>
    <cellStyle name="40% - Accent6 2 5 4 2 2" xfId="23489" xr:uid="{00000000-0005-0000-0000-0000F05B0000}"/>
    <cellStyle name="40% - Accent6 2 5 4 2 2 2" xfId="23490" xr:uid="{00000000-0005-0000-0000-0000F15B0000}"/>
    <cellStyle name="40% - Accent6 2 5 4 2 3" xfId="23491" xr:uid="{00000000-0005-0000-0000-0000F25B0000}"/>
    <cellStyle name="40% - Accent6 2 5 4 3" xfId="23492" xr:uid="{00000000-0005-0000-0000-0000F35B0000}"/>
    <cellStyle name="40% - Accent6 2 5 4 3 2" xfId="23493" xr:uid="{00000000-0005-0000-0000-0000F45B0000}"/>
    <cellStyle name="40% - Accent6 2 5 4 4" xfId="23494" xr:uid="{00000000-0005-0000-0000-0000F55B0000}"/>
    <cellStyle name="40% - Accent6 2 5 5" xfId="23495" xr:uid="{00000000-0005-0000-0000-0000F65B0000}"/>
    <cellStyle name="40% - Accent6 2 5 5 2" xfId="23496" xr:uid="{00000000-0005-0000-0000-0000F75B0000}"/>
    <cellStyle name="40% - Accent6 2 5 5 2 2" xfId="23497" xr:uid="{00000000-0005-0000-0000-0000F85B0000}"/>
    <cellStyle name="40% - Accent6 2 5 5 3" xfId="23498" xr:uid="{00000000-0005-0000-0000-0000F95B0000}"/>
    <cellStyle name="40% - Accent6 2 5 6" xfId="23499" xr:uid="{00000000-0005-0000-0000-0000FA5B0000}"/>
    <cellStyle name="40% - Accent6 2 5 6 2" xfId="23500" xr:uid="{00000000-0005-0000-0000-0000FB5B0000}"/>
    <cellStyle name="40% - Accent6 2 5 7" xfId="23501" xr:uid="{00000000-0005-0000-0000-0000FC5B0000}"/>
    <cellStyle name="40% - Accent6 2 6" xfId="23502" xr:uid="{00000000-0005-0000-0000-0000FD5B0000}"/>
    <cellStyle name="40% - Accent6 2 6 2" xfId="23503" xr:uid="{00000000-0005-0000-0000-0000FE5B0000}"/>
    <cellStyle name="40% - Accent6 2 6 2 2" xfId="23504" xr:uid="{00000000-0005-0000-0000-0000FF5B0000}"/>
    <cellStyle name="40% - Accent6 2 6 2 2 2" xfId="23505" xr:uid="{00000000-0005-0000-0000-0000005C0000}"/>
    <cellStyle name="40% - Accent6 2 6 2 2 2 2" xfId="23506" xr:uid="{00000000-0005-0000-0000-0000015C0000}"/>
    <cellStyle name="40% - Accent6 2 6 2 2 2 2 2" xfId="23507" xr:uid="{00000000-0005-0000-0000-0000025C0000}"/>
    <cellStyle name="40% - Accent6 2 6 2 2 2 3" xfId="23508" xr:uid="{00000000-0005-0000-0000-0000035C0000}"/>
    <cellStyle name="40% - Accent6 2 6 2 2 3" xfId="23509" xr:uid="{00000000-0005-0000-0000-0000045C0000}"/>
    <cellStyle name="40% - Accent6 2 6 2 2 3 2" xfId="23510" xr:uid="{00000000-0005-0000-0000-0000055C0000}"/>
    <cellStyle name="40% - Accent6 2 6 2 2 4" xfId="23511" xr:uid="{00000000-0005-0000-0000-0000065C0000}"/>
    <cellStyle name="40% - Accent6 2 6 2 3" xfId="23512" xr:uid="{00000000-0005-0000-0000-0000075C0000}"/>
    <cellStyle name="40% - Accent6 2 6 2 3 2" xfId="23513" xr:uid="{00000000-0005-0000-0000-0000085C0000}"/>
    <cellStyle name="40% - Accent6 2 6 2 3 2 2" xfId="23514" xr:uid="{00000000-0005-0000-0000-0000095C0000}"/>
    <cellStyle name="40% - Accent6 2 6 2 3 3" xfId="23515" xr:uid="{00000000-0005-0000-0000-00000A5C0000}"/>
    <cellStyle name="40% - Accent6 2 6 2 4" xfId="23516" xr:uid="{00000000-0005-0000-0000-00000B5C0000}"/>
    <cellStyle name="40% - Accent6 2 6 2 4 2" xfId="23517" xr:uid="{00000000-0005-0000-0000-00000C5C0000}"/>
    <cellStyle name="40% - Accent6 2 6 2 5" xfId="23518" xr:uid="{00000000-0005-0000-0000-00000D5C0000}"/>
    <cellStyle name="40% - Accent6 2 6 3" xfId="23519" xr:uid="{00000000-0005-0000-0000-00000E5C0000}"/>
    <cellStyle name="40% - Accent6 2 6 3 2" xfId="23520" xr:uid="{00000000-0005-0000-0000-00000F5C0000}"/>
    <cellStyle name="40% - Accent6 2 6 3 2 2" xfId="23521" xr:uid="{00000000-0005-0000-0000-0000105C0000}"/>
    <cellStyle name="40% - Accent6 2 6 3 2 2 2" xfId="23522" xr:uid="{00000000-0005-0000-0000-0000115C0000}"/>
    <cellStyle name="40% - Accent6 2 6 3 2 3" xfId="23523" xr:uid="{00000000-0005-0000-0000-0000125C0000}"/>
    <cellStyle name="40% - Accent6 2 6 3 3" xfId="23524" xr:uid="{00000000-0005-0000-0000-0000135C0000}"/>
    <cellStyle name="40% - Accent6 2 6 3 3 2" xfId="23525" xr:uid="{00000000-0005-0000-0000-0000145C0000}"/>
    <cellStyle name="40% - Accent6 2 6 3 4" xfId="23526" xr:uid="{00000000-0005-0000-0000-0000155C0000}"/>
    <cellStyle name="40% - Accent6 2 6 4" xfId="23527" xr:uid="{00000000-0005-0000-0000-0000165C0000}"/>
    <cellStyle name="40% - Accent6 2 6 4 2" xfId="23528" xr:uid="{00000000-0005-0000-0000-0000175C0000}"/>
    <cellStyle name="40% - Accent6 2 6 4 2 2" xfId="23529" xr:uid="{00000000-0005-0000-0000-0000185C0000}"/>
    <cellStyle name="40% - Accent6 2 6 4 3" xfId="23530" xr:uid="{00000000-0005-0000-0000-0000195C0000}"/>
    <cellStyle name="40% - Accent6 2 6 5" xfId="23531" xr:uid="{00000000-0005-0000-0000-00001A5C0000}"/>
    <cellStyle name="40% - Accent6 2 6 5 2" xfId="23532" xr:uid="{00000000-0005-0000-0000-00001B5C0000}"/>
    <cellStyle name="40% - Accent6 2 6 6" xfId="23533" xr:uid="{00000000-0005-0000-0000-00001C5C0000}"/>
    <cellStyle name="40% - Accent6 2 7" xfId="23534" xr:uid="{00000000-0005-0000-0000-00001D5C0000}"/>
    <cellStyle name="40% - Accent6 2 7 2" xfId="23535" xr:uid="{00000000-0005-0000-0000-00001E5C0000}"/>
    <cellStyle name="40% - Accent6 2 7 2 2" xfId="23536" xr:uid="{00000000-0005-0000-0000-00001F5C0000}"/>
    <cellStyle name="40% - Accent6 2 7 2 2 2" xfId="23537" xr:uid="{00000000-0005-0000-0000-0000205C0000}"/>
    <cellStyle name="40% - Accent6 2 7 2 2 2 2" xfId="23538" xr:uid="{00000000-0005-0000-0000-0000215C0000}"/>
    <cellStyle name="40% - Accent6 2 7 2 2 3" xfId="23539" xr:uid="{00000000-0005-0000-0000-0000225C0000}"/>
    <cellStyle name="40% - Accent6 2 7 2 3" xfId="23540" xr:uid="{00000000-0005-0000-0000-0000235C0000}"/>
    <cellStyle name="40% - Accent6 2 7 2 3 2" xfId="23541" xr:uid="{00000000-0005-0000-0000-0000245C0000}"/>
    <cellStyle name="40% - Accent6 2 7 2 4" xfId="23542" xr:uid="{00000000-0005-0000-0000-0000255C0000}"/>
    <cellStyle name="40% - Accent6 2 7 3" xfId="23543" xr:uid="{00000000-0005-0000-0000-0000265C0000}"/>
    <cellStyle name="40% - Accent6 2 7 3 2" xfId="23544" xr:uid="{00000000-0005-0000-0000-0000275C0000}"/>
    <cellStyle name="40% - Accent6 2 7 3 2 2" xfId="23545" xr:uid="{00000000-0005-0000-0000-0000285C0000}"/>
    <cellStyle name="40% - Accent6 2 7 3 3" xfId="23546" xr:uid="{00000000-0005-0000-0000-0000295C0000}"/>
    <cellStyle name="40% - Accent6 2 7 4" xfId="23547" xr:uid="{00000000-0005-0000-0000-00002A5C0000}"/>
    <cellStyle name="40% - Accent6 2 7 4 2" xfId="23548" xr:uid="{00000000-0005-0000-0000-00002B5C0000}"/>
    <cellStyle name="40% - Accent6 2 7 5" xfId="23549" xr:uid="{00000000-0005-0000-0000-00002C5C0000}"/>
    <cellStyle name="40% - Accent6 2 8" xfId="23550" xr:uid="{00000000-0005-0000-0000-00002D5C0000}"/>
    <cellStyle name="40% - Accent6 2 8 2" xfId="23551" xr:uid="{00000000-0005-0000-0000-00002E5C0000}"/>
    <cellStyle name="40% - Accent6 2 8 2 2" xfId="23552" xr:uid="{00000000-0005-0000-0000-00002F5C0000}"/>
    <cellStyle name="40% - Accent6 2 8 2 2 2" xfId="23553" xr:uid="{00000000-0005-0000-0000-0000305C0000}"/>
    <cellStyle name="40% - Accent6 2 8 2 3" xfId="23554" xr:uid="{00000000-0005-0000-0000-0000315C0000}"/>
    <cellStyle name="40% - Accent6 2 8 3" xfId="23555" xr:uid="{00000000-0005-0000-0000-0000325C0000}"/>
    <cellStyle name="40% - Accent6 2 8 3 2" xfId="23556" xr:uid="{00000000-0005-0000-0000-0000335C0000}"/>
    <cellStyle name="40% - Accent6 2 8 4" xfId="23557" xr:uid="{00000000-0005-0000-0000-0000345C0000}"/>
    <cellStyle name="40% - Accent6 2 9" xfId="23558" xr:uid="{00000000-0005-0000-0000-0000355C0000}"/>
    <cellStyle name="40% - Accent6 2 9 2" xfId="23559" xr:uid="{00000000-0005-0000-0000-0000365C0000}"/>
    <cellStyle name="40% - Accent6 2 9 2 2" xfId="23560" xr:uid="{00000000-0005-0000-0000-0000375C0000}"/>
    <cellStyle name="40% - Accent6 2 9 3" xfId="23561" xr:uid="{00000000-0005-0000-0000-0000385C0000}"/>
    <cellStyle name="40% - Accent6 3" xfId="23562" xr:uid="{00000000-0005-0000-0000-0000395C0000}"/>
    <cellStyle name="40% - Accent6 3 10" xfId="23563" xr:uid="{00000000-0005-0000-0000-00003A5C0000}"/>
    <cellStyle name="40% - Accent6 3 2" xfId="23564" xr:uid="{00000000-0005-0000-0000-00003B5C0000}"/>
    <cellStyle name="40% - Accent6 3 2 2" xfId="23565" xr:uid="{00000000-0005-0000-0000-00003C5C0000}"/>
    <cellStyle name="40% - Accent6 3 2 2 2" xfId="23566" xr:uid="{00000000-0005-0000-0000-00003D5C0000}"/>
    <cellStyle name="40% - Accent6 3 2 2 2 2" xfId="23567" xr:uid="{00000000-0005-0000-0000-00003E5C0000}"/>
    <cellStyle name="40% - Accent6 3 2 2 2 2 2" xfId="23568" xr:uid="{00000000-0005-0000-0000-00003F5C0000}"/>
    <cellStyle name="40% - Accent6 3 2 2 2 2 2 2" xfId="23569" xr:uid="{00000000-0005-0000-0000-0000405C0000}"/>
    <cellStyle name="40% - Accent6 3 2 2 2 2 2 2 2" xfId="23570" xr:uid="{00000000-0005-0000-0000-0000415C0000}"/>
    <cellStyle name="40% - Accent6 3 2 2 2 2 2 2 2 2" xfId="23571" xr:uid="{00000000-0005-0000-0000-0000425C0000}"/>
    <cellStyle name="40% - Accent6 3 2 2 2 2 2 2 2 2 2" xfId="23572" xr:uid="{00000000-0005-0000-0000-0000435C0000}"/>
    <cellStyle name="40% - Accent6 3 2 2 2 2 2 2 2 3" xfId="23573" xr:uid="{00000000-0005-0000-0000-0000445C0000}"/>
    <cellStyle name="40% - Accent6 3 2 2 2 2 2 2 3" xfId="23574" xr:uid="{00000000-0005-0000-0000-0000455C0000}"/>
    <cellStyle name="40% - Accent6 3 2 2 2 2 2 2 3 2" xfId="23575" xr:uid="{00000000-0005-0000-0000-0000465C0000}"/>
    <cellStyle name="40% - Accent6 3 2 2 2 2 2 2 4" xfId="23576" xr:uid="{00000000-0005-0000-0000-0000475C0000}"/>
    <cellStyle name="40% - Accent6 3 2 2 2 2 2 3" xfId="23577" xr:uid="{00000000-0005-0000-0000-0000485C0000}"/>
    <cellStyle name="40% - Accent6 3 2 2 2 2 2 3 2" xfId="23578" xr:uid="{00000000-0005-0000-0000-0000495C0000}"/>
    <cellStyle name="40% - Accent6 3 2 2 2 2 2 3 2 2" xfId="23579" xr:uid="{00000000-0005-0000-0000-00004A5C0000}"/>
    <cellStyle name="40% - Accent6 3 2 2 2 2 2 3 3" xfId="23580" xr:uid="{00000000-0005-0000-0000-00004B5C0000}"/>
    <cellStyle name="40% - Accent6 3 2 2 2 2 2 4" xfId="23581" xr:uid="{00000000-0005-0000-0000-00004C5C0000}"/>
    <cellStyle name="40% - Accent6 3 2 2 2 2 2 4 2" xfId="23582" xr:uid="{00000000-0005-0000-0000-00004D5C0000}"/>
    <cellStyle name="40% - Accent6 3 2 2 2 2 2 5" xfId="23583" xr:uid="{00000000-0005-0000-0000-00004E5C0000}"/>
    <cellStyle name="40% - Accent6 3 2 2 2 2 3" xfId="23584" xr:uid="{00000000-0005-0000-0000-00004F5C0000}"/>
    <cellStyle name="40% - Accent6 3 2 2 2 2 3 2" xfId="23585" xr:uid="{00000000-0005-0000-0000-0000505C0000}"/>
    <cellStyle name="40% - Accent6 3 2 2 2 2 3 2 2" xfId="23586" xr:uid="{00000000-0005-0000-0000-0000515C0000}"/>
    <cellStyle name="40% - Accent6 3 2 2 2 2 3 2 2 2" xfId="23587" xr:uid="{00000000-0005-0000-0000-0000525C0000}"/>
    <cellStyle name="40% - Accent6 3 2 2 2 2 3 2 3" xfId="23588" xr:uid="{00000000-0005-0000-0000-0000535C0000}"/>
    <cellStyle name="40% - Accent6 3 2 2 2 2 3 3" xfId="23589" xr:uid="{00000000-0005-0000-0000-0000545C0000}"/>
    <cellStyle name="40% - Accent6 3 2 2 2 2 3 3 2" xfId="23590" xr:uid="{00000000-0005-0000-0000-0000555C0000}"/>
    <cellStyle name="40% - Accent6 3 2 2 2 2 3 4" xfId="23591" xr:uid="{00000000-0005-0000-0000-0000565C0000}"/>
    <cellStyle name="40% - Accent6 3 2 2 2 2 4" xfId="23592" xr:uid="{00000000-0005-0000-0000-0000575C0000}"/>
    <cellStyle name="40% - Accent6 3 2 2 2 2 4 2" xfId="23593" xr:uid="{00000000-0005-0000-0000-0000585C0000}"/>
    <cellStyle name="40% - Accent6 3 2 2 2 2 4 2 2" xfId="23594" xr:uid="{00000000-0005-0000-0000-0000595C0000}"/>
    <cellStyle name="40% - Accent6 3 2 2 2 2 4 3" xfId="23595" xr:uid="{00000000-0005-0000-0000-00005A5C0000}"/>
    <cellStyle name="40% - Accent6 3 2 2 2 2 5" xfId="23596" xr:uid="{00000000-0005-0000-0000-00005B5C0000}"/>
    <cellStyle name="40% - Accent6 3 2 2 2 2 5 2" xfId="23597" xr:uid="{00000000-0005-0000-0000-00005C5C0000}"/>
    <cellStyle name="40% - Accent6 3 2 2 2 2 6" xfId="23598" xr:uid="{00000000-0005-0000-0000-00005D5C0000}"/>
    <cellStyle name="40% - Accent6 3 2 2 2 3" xfId="23599" xr:uid="{00000000-0005-0000-0000-00005E5C0000}"/>
    <cellStyle name="40% - Accent6 3 2 2 2 3 2" xfId="23600" xr:uid="{00000000-0005-0000-0000-00005F5C0000}"/>
    <cellStyle name="40% - Accent6 3 2 2 2 3 2 2" xfId="23601" xr:uid="{00000000-0005-0000-0000-0000605C0000}"/>
    <cellStyle name="40% - Accent6 3 2 2 2 3 2 2 2" xfId="23602" xr:uid="{00000000-0005-0000-0000-0000615C0000}"/>
    <cellStyle name="40% - Accent6 3 2 2 2 3 2 2 2 2" xfId="23603" xr:uid="{00000000-0005-0000-0000-0000625C0000}"/>
    <cellStyle name="40% - Accent6 3 2 2 2 3 2 2 3" xfId="23604" xr:uid="{00000000-0005-0000-0000-0000635C0000}"/>
    <cellStyle name="40% - Accent6 3 2 2 2 3 2 3" xfId="23605" xr:uid="{00000000-0005-0000-0000-0000645C0000}"/>
    <cellStyle name="40% - Accent6 3 2 2 2 3 2 3 2" xfId="23606" xr:uid="{00000000-0005-0000-0000-0000655C0000}"/>
    <cellStyle name="40% - Accent6 3 2 2 2 3 2 4" xfId="23607" xr:uid="{00000000-0005-0000-0000-0000665C0000}"/>
    <cellStyle name="40% - Accent6 3 2 2 2 3 3" xfId="23608" xr:uid="{00000000-0005-0000-0000-0000675C0000}"/>
    <cellStyle name="40% - Accent6 3 2 2 2 3 3 2" xfId="23609" xr:uid="{00000000-0005-0000-0000-0000685C0000}"/>
    <cellStyle name="40% - Accent6 3 2 2 2 3 3 2 2" xfId="23610" xr:uid="{00000000-0005-0000-0000-0000695C0000}"/>
    <cellStyle name="40% - Accent6 3 2 2 2 3 3 3" xfId="23611" xr:uid="{00000000-0005-0000-0000-00006A5C0000}"/>
    <cellStyle name="40% - Accent6 3 2 2 2 3 4" xfId="23612" xr:uid="{00000000-0005-0000-0000-00006B5C0000}"/>
    <cellStyle name="40% - Accent6 3 2 2 2 3 4 2" xfId="23613" xr:uid="{00000000-0005-0000-0000-00006C5C0000}"/>
    <cellStyle name="40% - Accent6 3 2 2 2 3 5" xfId="23614" xr:uid="{00000000-0005-0000-0000-00006D5C0000}"/>
    <cellStyle name="40% - Accent6 3 2 2 2 4" xfId="23615" xr:uid="{00000000-0005-0000-0000-00006E5C0000}"/>
    <cellStyle name="40% - Accent6 3 2 2 2 4 2" xfId="23616" xr:uid="{00000000-0005-0000-0000-00006F5C0000}"/>
    <cellStyle name="40% - Accent6 3 2 2 2 4 2 2" xfId="23617" xr:uid="{00000000-0005-0000-0000-0000705C0000}"/>
    <cellStyle name="40% - Accent6 3 2 2 2 4 2 2 2" xfId="23618" xr:uid="{00000000-0005-0000-0000-0000715C0000}"/>
    <cellStyle name="40% - Accent6 3 2 2 2 4 2 3" xfId="23619" xr:uid="{00000000-0005-0000-0000-0000725C0000}"/>
    <cellStyle name="40% - Accent6 3 2 2 2 4 3" xfId="23620" xr:uid="{00000000-0005-0000-0000-0000735C0000}"/>
    <cellStyle name="40% - Accent6 3 2 2 2 4 3 2" xfId="23621" xr:uid="{00000000-0005-0000-0000-0000745C0000}"/>
    <cellStyle name="40% - Accent6 3 2 2 2 4 4" xfId="23622" xr:uid="{00000000-0005-0000-0000-0000755C0000}"/>
    <cellStyle name="40% - Accent6 3 2 2 2 5" xfId="23623" xr:uid="{00000000-0005-0000-0000-0000765C0000}"/>
    <cellStyle name="40% - Accent6 3 2 2 2 5 2" xfId="23624" xr:uid="{00000000-0005-0000-0000-0000775C0000}"/>
    <cellStyle name="40% - Accent6 3 2 2 2 5 2 2" xfId="23625" xr:uid="{00000000-0005-0000-0000-0000785C0000}"/>
    <cellStyle name="40% - Accent6 3 2 2 2 5 3" xfId="23626" xr:uid="{00000000-0005-0000-0000-0000795C0000}"/>
    <cellStyle name="40% - Accent6 3 2 2 2 6" xfId="23627" xr:uid="{00000000-0005-0000-0000-00007A5C0000}"/>
    <cellStyle name="40% - Accent6 3 2 2 2 6 2" xfId="23628" xr:uid="{00000000-0005-0000-0000-00007B5C0000}"/>
    <cellStyle name="40% - Accent6 3 2 2 2 7" xfId="23629" xr:uid="{00000000-0005-0000-0000-00007C5C0000}"/>
    <cellStyle name="40% - Accent6 3 2 2 3" xfId="23630" xr:uid="{00000000-0005-0000-0000-00007D5C0000}"/>
    <cellStyle name="40% - Accent6 3 2 2 3 2" xfId="23631" xr:uid="{00000000-0005-0000-0000-00007E5C0000}"/>
    <cellStyle name="40% - Accent6 3 2 2 3 2 2" xfId="23632" xr:uid="{00000000-0005-0000-0000-00007F5C0000}"/>
    <cellStyle name="40% - Accent6 3 2 2 3 2 2 2" xfId="23633" xr:uid="{00000000-0005-0000-0000-0000805C0000}"/>
    <cellStyle name="40% - Accent6 3 2 2 3 2 2 2 2" xfId="23634" xr:uid="{00000000-0005-0000-0000-0000815C0000}"/>
    <cellStyle name="40% - Accent6 3 2 2 3 2 2 2 2 2" xfId="23635" xr:uid="{00000000-0005-0000-0000-0000825C0000}"/>
    <cellStyle name="40% - Accent6 3 2 2 3 2 2 2 3" xfId="23636" xr:uid="{00000000-0005-0000-0000-0000835C0000}"/>
    <cellStyle name="40% - Accent6 3 2 2 3 2 2 3" xfId="23637" xr:uid="{00000000-0005-0000-0000-0000845C0000}"/>
    <cellStyle name="40% - Accent6 3 2 2 3 2 2 3 2" xfId="23638" xr:uid="{00000000-0005-0000-0000-0000855C0000}"/>
    <cellStyle name="40% - Accent6 3 2 2 3 2 2 4" xfId="23639" xr:uid="{00000000-0005-0000-0000-0000865C0000}"/>
    <cellStyle name="40% - Accent6 3 2 2 3 2 3" xfId="23640" xr:uid="{00000000-0005-0000-0000-0000875C0000}"/>
    <cellStyle name="40% - Accent6 3 2 2 3 2 3 2" xfId="23641" xr:uid="{00000000-0005-0000-0000-0000885C0000}"/>
    <cellStyle name="40% - Accent6 3 2 2 3 2 3 2 2" xfId="23642" xr:uid="{00000000-0005-0000-0000-0000895C0000}"/>
    <cellStyle name="40% - Accent6 3 2 2 3 2 3 3" xfId="23643" xr:uid="{00000000-0005-0000-0000-00008A5C0000}"/>
    <cellStyle name="40% - Accent6 3 2 2 3 2 4" xfId="23644" xr:uid="{00000000-0005-0000-0000-00008B5C0000}"/>
    <cellStyle name="40% - Accent6 3 2 2 3 2 4 2" xfId="23645" xr:uid="{00000000-0005-0000-0000-00008C5C0000}"/>
    <cellStyle name="40% - Accent6 3 2 2 3 2 5" xfId="23646" xr:uid="{00000000-0005-0000-0000-00008D5C0000}"/>
    <cellStyle name="40% - Accent6 3 2 2 3 3" xfId="23647" xr:uid="{00000000-0005-0000-0000-00008E5C0000}"/>
    <cellStyle name="40% - Accent6 3 2 2 3 3 2" xfId="23648" xr:uid="{00000000-0005-0000-0000-00008F5C0000}"/>
    <cellStyle name="40% - Accent6 3 2 2 3 3 2 2" xfId="23649" xr:uid="{00000000-0005-0000-0000-0000905C0000}"/>
    <cellStyle name="40% - Accent6 3 2 2 3 3 2 2 2" xfId="23650" xr:uid="{00000000-0005-0000-0000-0000915C0000}"/>
    <cellStyle name="40% - Accent6 3 2 2 3 3 2 3" xfId="23651" xr:uid="{00000000-0005-0000-0000-0000925C0000}"/>
    <cellStyle name="40% - Accent6 3 2 2 3 3 3" xfId="23652" xr:uid="{00000000-0005-0000-0000-0000935C0000}"/>
    <cellStyle name="40% - Accent6 3 2 2 3 3 3 2" xfId="23653" xr:uid="{00000000-0005-0000-0000-0000945C0000}"/>
    <cellStyle name="40% - Accent6 3 2 2 3 3 4" xfId="23654" xr:uid="{00000000-0005-0000-0000-0000955C0000}"/>
    <cellStyle name="40% - Accent6 3 2 2 3 4" xfId="23655" xr:uid="{00000000-0005-0000-0000-0000965C0000}"/>
    <cellStyle name="40% - Accent6 3 2 2 3 4 2" xfId="23656" xr:uid="{00000000-0005-0000-0000-0000975C0000}"/>
    <cellStyle name="40% - Accent6 3 2 2 3 4 2 2" xfId="23657" xr:uid="{00000000-0005-0000-0000-0000985C0000}"/>
    <cellStyle name="40% - Accent6 3 2 2 3 4 3" xfId="23658" xr:uid="{00000000-0005-0000-0000-0000995C0000}"/>
    <cellStyle name="40% - Accent6 3 2 2 3 5" xfId="23659" xr:uid="{00000000-0005-0000-0000-00009A5C0000}"/>
    <cellStyle name="40% - Accent6 3 2 2 3 5 2" xfId="23660" xr:uid="{00000000-0005-0000-0000-00009B5C0000}"/>
    <cellStyle name="40% - Accent6 3 2 2 3 6" xfId="23661" xr:uid="{00000000-0005-0000-0000-00009C5C0000}"/>
    <cellStyle name="40% - Accent6 3 2 2 4" xfId="23662" xr:uid="{00000000-0005-0000-0000-00009D5C0000}"/>
    <cellStyle name="40% - Accent6 3 2 2 4 2" xfId="23663" xr:uid="{00000000-0005-0000-0000-00009E5C0000}"/>
    <cellStyle name="40% - Accent6 3 2 2 4 2 2" xfId="23664" xr:uid="{00000000-0005-0000-0000-00009F5C0000}"/>
    <cellStyle name="40% - Accent6 3 2 2 4 2 2 2" xfId="23665" xr:uid="{00000000-0005-0000-0000-0000A05C0000}"/>
    <cellStyle name="40% - Accent6 3 2 2 4 2 2 2 2" xfId="23666" xr:uid="{00000000-0005-0000-0000-0000A15C0000}"/>
    <cellStyle name="40% - Accent6 3 2 2 4 2 2 3" xfId="23667" xr:uid="{00000000-0005-0000-0000-0000A25C0000}"/>
    <cellStyle name="40% - Accent6 3 2 2 4 2 3" xfId="23668" xr:uid="{00000000-0005-0000-0000-0000A35C0000}"/>
    <cellStyle name="40% - Accent6 3 2 2 4 2 3 2" xfId="23669" xr:uid="{00000000-0005-0000-0000-0000A45C0000}"/>
    <cellStyle name="40% - Accent6 3 2 2 4 2 4" xfId="23670" xr:uid="{00000000-0005-0000-0000-0000A55C0000}"/>
    <cellStyle name="40% - Accent6 3 2 2 4 3" xfId="23671" xr:uid="{00000000-0005-0000-0000-0000A65C0000}"/>
    <cellStyle name="40% - Accent6 3 2 2 4 3 2" xfId="23672" xr:uid="{00000000-0005-0000-0000-0000A75C0000}"/>
    <cellStyle name="40% - Accent6 3 2 2 4 3 2 2" xfId="23673" xr:uid="{00000000-0005-0000-0000-0000A85C0000}"/>
    <cellStyle name="40% - Accent6 3 2 2 4 3 3" xfId="23674" xr:uid="{00000000-0005-0000-0000-0000A95C0000}"/>
    <cellStyle name="40% - Accent6 3 2 2 4 4" xfId="23675" xr:uid="{00000000-0005-0000-0000-0000AA5C0000}"/>
    <cellStyle name="40% - Accent6 3 2 2 4 4 2" xfId="23676" xr:uid="{00000000-0005-0000-0000-0000AB5C0000}"/>
    <cellStyle name="40% - Accent6 3 2 2 4 5" xfId="23677" xr:uid="{00000000-0005-0000-0000-0000AC5C0000}"/>
    <cellStyle name="40% - Accent6 3 2 2 5" xfId="23678" xr:uid="{00000000-0005-0000-0000-0000AD5C0000}"/>
    <cellStyle name="40% - Accent6 3 2 2 5 2" xfId="23679" xr:uid="{00000000-0005-0000-0000-0000AE5C0000}"/>
    <cellStyle name="40% - Accent6 3 2 2 5 2 2" xfId="23680" xr:uid="{00000000-0005-0000-0000-0000AF5C0000}"/>
    <cellStyle name="40% - Accent6 3 2 2 5 2 2 2" xfId="23681" xr:uid="{00000000-0005-0000-0000-0000B05C0000}"/>
    <cellStyle name="40% - Accent6 3 2 2 5 2 3" xfId="23682" xr:uid="{00000000-0005-0000-0000-0000B15C0000}"/>
    <cellStyle name="40% - Accent6 3 2 2 5 3" xfId="23683" xr:uid="{00000000-0005-0000-0000-0000B25C0000}"/>
    <cellStyle name="40% - Accent6 3 2 2 5 3 2" xfId="23684" xr:uid="{00000000-0005-0000-0000-0000B35C0000}"/>
    <cellStyle name="40% - Accent6 3 2 2 5 4" xfId="23685" xr:uid="{00000000-0005-0000-0000-0000B45C0000}"/>
    <cellStyle name="40% - Accent6 3 2 2 6" xfId="23686" xr:uid="{00000000-0005-0000-0000-0000B55C0000}"/>
    <cellStyle name="40% - Accent6 3 2 2 6 2" xfId="23687" xr:uid="{00000000-0005-0000-0000-0000B65C0000}"/>
    <cellStyle name="40% - Accent6 3 2 2 6 2 2" xfId="23688" xr:uid="{00000000-0005-0000-0000-0000B75C0000}"/>
    <cellStyle name="40% - Accent6 3 2 2 6 3" xfId="23689" xr:uid="{00000000-0005-0000-0000-0000B85C0000}"/>
    <cellStyle name="40% - Accent6 3 2 2 7" xfId="23690" xr:uid="{00000000-0005-0000-0000-0000B95C0000}"/>
    <cellStyle name="40% - Accent6 3 2 2 7 2" xfId="23691" xr:uid="{00000000-0005-0000-0000-0000BA5C0000}"/>
    <cellStyle name="40% - Accent6 3 2 2 8" xfId="23692" xr:uid="{00000000-0005-0000-0000-0000BB5C0000}"/>
    <cellStyle name="40% - Accent6 3 2 3" xfId="23693" xr:uid="{00000000-0005-0000-0000-0000BC5C0000}"/>
    <cellStyle name="40% - Accent6 3 2 3 2" xfId="23694" xr:uid="{00000000-0005-0000-0000-0000BD5C0000}"/>
    <cellStyle name="40% - Accent6 3 2 3 2 2" xfId="23695" xr:uid="{00000000-0005-0000-0000-0000BE5C0000}"/>
    <cellStyle name="40% - Accent6 3 2 3 2 2 2" xfId="23696" xr:uid="{00000000-0005-0000-0000-0000BF5C0000}"/>
    <cellStyle name="40% - Accent6 3 2 3 2 2 2 2" xfId="23697" xr:uid="{00000000-0005-0000-0000-0000C05C0000}"/>
    <cellStyle name="40% - Accent6 3 2 3 2 2 2 2 2" xfId="23698" xr:uid="{00000000-0005-0000-0000-0000C15C0000}"/>
    <cellStyle name="40% - Accent6 3 2 3 2 2 2 2 2 2" xfId="23699" xr:uid="{00000000-0005-0000-0000-0000C25C0000}"/>
    <cellStyle name="40% - Accent6 3 2 3 2 2 2 2 3" xfId="23700" xr:uid="{00000000-0005-0000-0000-0000C35C0000}"/>
    <cellStyle name="40% - Accent6 3 2 3 2 2 2 3" xfId="23701" xr:uid="{00000000-0005-0000-0000-0000C45C0000}"/>
    <cellStyle name="40% - Accent6 3 2 3 2 2 2 3 2" xfId="23702" xr:uid="{00000000-0005-0000-0000-0000C55C0000}"/>
    <cellStyle name="40% - Accent6 3 2 3 2 2 2 4" xfId="23703" xr:uid="{00000000-0005-0000-0000-0000C65C0000}"/>
    <cellStyle name="40% - Accent6 3 2 3 2 2 3" xfId="23704" xr:uid="{00000000-0005-0000-0000-0000C75C0000}"/>
    <cellStyle name="40% - Accent6 3 2 3 2 2 3 2" xfId="23705" xr:uid="{00000000-0005-0000-0000-0000C85C0000}"/>
    <cellStyle name="40% - Accent6 3 2 3 2 2 3 2 2" xfId="23706" xr:uid="{00000000-0005-0000-0000-0000C95C0000}"/>
    <cellStyle name="40% - Accent6 3 2 3 2 2 3 3" xfId="23707" xr:uid="{00000000-0005-0000-0000-0000CA5C0000}"/>
    <cellStyle name="40% - Accent6 3 2 3 2 2 4" xfId="23708" xr:uid="{00000000-0005-0000-0000-0000CB5C0000}"/>
    <cellStyle name="40% - Accent6 3 2 3 2 2 4 2" xfId="23709" xr:uid="{00000000-0005-0000-0000-0000CC5C0000}"/>
    <cellStyle name="40% - Accent6 3 2 3 2 2 5" xfId="23710" xr:uid="{00000000-0005-0000-0000-0000CD5C0000}"/>
    <cellStyle name="40% - Accent6 3 2 3 2 3" xfId="23711" xr:uid="{00000000-0005-0000-0000-0000CE5C0000}"/>
    <cellStyle name="40% - Accent6 3 2 3 2 3 2" xfId="23712" xr:uid="{00000000-0005-0000-0000-0000CF5C0000}"/>
    <cellStyle name="40% - Accent6 3 2 3 2 3 2 2" xfId="23713" xr:uid="{00000000-0005-0000-0000-0000D05C0000}"/>
    <cellStyle name="40% - Accent6 3 2 3 2 3 2 2 2" xfId="23714" xr:uid="{00000000-0005-0000-0000-0000D15C0000}"/>
    <cellStyle name="40% - Accent6 3 2 3 2 3 2 3" xfId="23715" xr:uid="{00000000-0005-0000-0000-0000D25C0000}"/>
    <cellStyle name="40% - Accent6 3 2 3 2 3 3" xfId="23716" xr:uid="{00000000-0005-0000-0000-0000D35C0000}"/>
    <cellStyle name="40% - Accent6 3 2 3 2 3 3 2" xfId="23717" xr:uid="{00000000-0005-0000-0000-0000D45C0000}"/>
    <cellStyle name="40% - Accent6 3 2 3 2 3 4" xfId="23718" xr:uid="{00000000-0005-0000-0000-0000D55C0000}"/>
    <cellStyle name="40% - Accent6 3 2 3 2 4" xfId="23719" xr:uid="{00000000-0005-0000-0000-0000D65C0000}"/>
    <cellStyle name="40% - Accent6 3 2 3 2 4 2" xfId="23720" xr:uid="{00000000-0005-0000-0000-0000D75C0000}"/>
    <cellStyle name="40% - Accent6 3 2 3 2 4 2 2" xfId="23721" xr:uid="{00000000-0005-0000-0000-0000D85C0000}"/>
    <cellStyle name="40% - Accent6 3 2 3 2 4 3" xfId="23722" xr:uid="{00000000-0005-0000-0000-0000D95C0000}"/>
    <cellStyle name="40% - Accent6 3 2 3 2 5" xfId="23723" xr:uid="{00000000-0005-0000-0000-0000DA5C0000}"/>
    <cellStyle name="40% - Accent6 3 2 3 2 5 2" xfId="23724" xr:uid="{00000000-0005-0000-0000-0000DB5C0000}"/>
    <cellStyle name="40% - Accent6 3 2 3 2 6" xfId="23725" xr:uid="{00000000-0005-0000-0000-0000DC5C0000}"/>
    <cellStyle name="40% - Accent6 3 2 3 3" xfId="23726" xr:uid="{00000000-0005-0000-0000-0000DD5C0000}"/>
    <cellStyle name="40% - Accent6 3 2 3 3 2" xfId="23727" xr:uid="{00000000-0005-0000-0000-0000DE5C0000}"/>
    <cellStyle name="40% - Accent6 3 2 3 3 2 2" xfId="23728" xr:uid="{00000000-0005-0000-0000-0000DF5C0000}"/>
    <cellStyle name="40% - Accent6 3 2 3 3 2 2 2" xfId="23729" xr:uid="{00000000-0005-0000-0000-0000E05C0000}"/>
    <cellStyle name="40% - Accent6 3 2 3 3 2 2 2 2" xfId="23730" xr:uid="{00000000-0005-0000-0000-0000E15C0000}"/>
    <cellStyle name="40% - Accent6 3 2 3 3 2 2 3" xfId="23731" xr:uid="{00000000-0005-0000-0000-0000E25C0000}"/>
    <cellStyle name="40% - Accent6 3 2 3 3 2 3" xfId="23732" xr:uid="{00000000-0005-0000-0000-0000E35C0000}"/>
    <cellStyle name="40% - Accent6 3 2 3 3 2 3 2" xfId="23733" xr:uid="{00000000-0005-0000-0000-0000E45C0000}"/>
    <cellStyle name="40% - Accent6 3 2 3 3 2 4" xfId="23734" xr:uid="{00000000-0005-0000-0000-0000E55C0000}"/>
    <cellStyle name="40% - Accent6 3 2 3 3 3" xfId="23735" xr:uid="{00000000-0005-0000-0000-0000E65C0000}"/>
    <cellStyle name="40% - Accent6 3 2 3 3 3 2" xfId="23736" xr:uid="{00000000-0005-0000-0000-0000E75C0000}"/>
    <cellStyle name="40% - Accent6 3 2 3 3 3 2 2" xfId="23737" xr:uid="{00000000-0005-0000-0000-0000E85C0000}"/>
    <cellStyle name="40% - Accent6 3 2 3 3 3 3" xfId="23738" xr:uid="{00000000-0005-0000-0000-0000E95C0000}"/>
    <cellStyle name="40% - Accent6 3 2 3 3 4" xfId="23739" xr:uid="{00000000-0005-0000-0000-0000EA5C0000}"/>
    <cellStyle name="40% - Accent6 3 2 3 3 4 2" xfId="23740" xr:uid="{00000000-0005-0000-0000-0000EB5C0000}"/>
    <cellStyle name="40% - Accent6 3 2 3 3 5" xfId="23741" xr:uid="{00000000-0005-0000-0000-0000EC5C0000}"/>
    <cellStyle name="40% - Accent6 3 2 3 4" xfId="23742" xr:uid="{00000000-0005-0000-0000-0000ED5C0000}"/>
    <cellStyle name="40% - Accent6 3 2 3 4 2" xfId="23743" xr:uid="{00000000-0005-0000-0000-0000EE5C0000}"/>
    <cellStyle name="40% - Accent6 3 2 3 4 2 2" xfId="23744" xr:uid="{00000000-0005-0000-0000-0000EF5C0000}"/>
    <cellStyle name="40% - Accent6 3 2 3 4 2 2 2" xfId="23745" xr:uid="{00000000-0005-0000-0000-0000F05C0000}"/>
    <cellStyle name="40% - Accent6 3 2 3 4 2 3" xfId="23746" xr:uid="{00000000-0005-0000-0000-0000F15C0000}"/>
    <cellStyle name="40% - Accent6 3 2 3 4 3" xfId="23747" xr:uid="{00000000-0005-0000-0000-0000F25C0000}"/>
    <cellStyle name="40% - Accent6 3 2 3 4 3 2" xfId="23748" xr:uid="{00000000-0005-0000-0000-0000F35C0000}"/>
    <cellStyle name="40% - Accent6 3 2 3 4 4" xfId="23749" xr:uid="{00000000-0005-0000-0000-0000F45C0000}"/>
    <cellStyle name="40% - Accent6 3 2 3 5" xfId="23750" xr:uid="{00000000-0005-0000-0000-0000F55C0000}"/>
    <cellStyle name="40% - Accent6 3 2 3 5 2" xfId="23751" xr:uid="{00000000-0005-0000-0000-0000F65C0000}"/>
    <cellStyle name="40% - Accent6 3 2 3 5 2 2" xfId="23752" xr:uid="{00000000-0005-0000-0000-0000F75C0000}"/>
    <cellStyle name="40% - Accent6 3 2 3 5 3" xfId="23753" xr:uid="{00000000-0005-0000-0000-0000F85C0000}"/>
    <cellStyle name="40% - Accent6 3 2 3 6" xfId="23754" xr:uid="{00000000-0005-0000-0000-0000F95C0000}"/>
    <cellStyle name="40% - Accent6 3 2 3 6 2" xfId="23755" xr:uid="{00000000-0005-0000-0000-0000FA5C0000}"/>
    <cellStyle name="40% - Accent6 3 2 3 7" xfId="23756" xr:uid="{00000000-0005-0000-0000-0000FB5C0000}"/>
    <cellStyle name="40% - Accent6 3 2 4" xfId="23757" xr:uid="{00000000-0005-0000-0000-0000FC5C0000}"/>
    <cellStyle name="40% - Accent6 3 2 4 2" xfId="23758" xr:uid="{00000000-0005-0000-0000-0000FD5C0000}"/>
    <cellStyle name="40% - Accent6 3 2 4 2 2" xfId="23759" xr:uid="{00000000-0005-0000-0000-0000FE5C0000}"/>
    <cellStyle name="40% - Accent6 3 2 4 2 2 2" xfId="23760" xr:uid="{00000000-0005-0000-0000-0000FF5C0000}"/>
    <cellStyle name="40% - Accent6 3 2 4 2 2 2 2" xfId="23761" xr:uid="{00000000-0005-0000-0000-0000005D0000}"/>
    <cellStyle name="40% - Accent6 3 2 4 2 2 2 2 2" xfId="23762" xr:uid="{00000000-0005-0000-0000-0000015D0000}"/>
    <cellStyle name="40% - Accent6 3 2 4 2 2 2 3" xfId="23763" xr:uid="{00000000-0005-0000-0000-0000025D0000}"/>
    <cellStyle name="40% - Accent6 3 2 4 2 2 3" xfId="23764" xr:uid="{00000000-0005-0000-0000-0000035D0000}"/>
    <cellStyle name="40% - Accent6 3 2 4 2 2 3 2" xfId="23765" xr:uid="{00000000-0005-0000-0000-0000045D0000}"/>
    <cellStyle name="40% - Accent6 3 2 4 2 2 4" xfId="23766" xr:uid="{00000000-0005-0000-0000-0000055D0000}"/>
    <cellStyle name="40% - Accent6 3 2 4 2 3" xfId="23767" xr:uid="{00000000-0005-0000-0000-0000065D0000}"/>
    <cellStyle name="40% - Accent6 3 2 4 2 3 2" xfId="23768" xr:uid="{00000000-0005-0000-0000-0000075D0000}"/>
    <cellStyle name="40% - Accent6 3 2 4 2 3 2 2" xfId="23769" xr:uid="{00000000-0005-0000-0000-0000085D0000}"/>
    <cellStyle name="40% - Accent6 3 2 4 2 3 3" xfId="23770" xr:uid="{00000000-0005-0000-0000-0000095D0000}"/>
    <cellStyle name="40% - Accent6 3 2 4 2 4" xfId="23771" xr:uid="{00000000-0005-0000-0000-00000A5D0000}"/>
    <cellStyle name="40% - Accent6 3 2 4 2 4 2" xfId="23772" xr:uid="{00000000-0005-0000-0000-00000B5D0000}"/>
    <cellStyle name="40% - Accent6 3 2 4 2 5" xfId="23773" xr:uid="{00000000-0005-0000-0000-00000C5D0000}"/>
    <cellStyle name="40% - Accent6 3 2 4 3" xfId="23774" xr:uid="{00000000-0005-0000-0000-00000D5D0000}"/>
    <cellStyle name="40% - Accent6 3 2 4 3 2" xfId="23775" xr:uid="{00000000-0005-0000-0000-00000E5D0000}"/>
    <cellStyle name="40% - Accent6 3 2 4 3 2 2" xfId="23776" xr:uid="{00000000-0005-0000-0000-00000F5D0000}"/>
    <cellStyle name="40% - Accent6 3 2 4 3 2 2 2" xfId="23777" xr:uid="{00000000-0005-0000-0000-0000105D0000}"/>
    <cellStyle name="40% - Accent6 3 2 4 3 2 3" xfId="23778" xr:uid="{00000000-0005-0000-0000-0000115D0000}"/>
    <cellStyle name="40% - Accent6 3 2 4 3 3" xfId="23779" xr:uid="{00000000-0005-0000-0000-0000125D0000}"/>
    <cellStyle name="40% - Accent6 3 2 4 3 3 2" xfId="23780" xr:uid="{00000000-0005-0000-0000-0000135D0000}"/>
    <cellStyle name="40% - Accent6 3 2 4 3 4" xfId="23781" xr:uid="{00000000-0005-0000-0000-0000145D0000}"/>
    <cellStyle name="40% - Accent6 3 2 4 4" xfId="23782" xr:uid="{00000000-0005-0000-0000-0000155D0000}"/>
    <cellStyle name="40% - Accent6 3 2 4 4 2" xfId="23783" xr:uid="{00000000-0005-0000-0000-0000165D0000}"/>
    <cellStyle name="40% - Accent6 3 2 4 4 2 2" xfId="23784" xr:uid="{00000000-0005-0000-0000-0000175D0000}"/>
    <cellStyle name="40% - Accent6 3 2 4 4 3" xfId="23785" xr:uid="{00000000-0005-0000-0000-0000185D0000}"/>
    <cellStyle name="40% - Accent6 3 2 4 5" xfId="23786" xr:uid="{00000000-0005-0000-0000-0000195D0000}"/>
    <cellStyle name="40% - Accent6 3 2 4 5 2" xfId="23787" xr:uid="{00000000-0005-0000-0000-00001A5D0000}"/>
    <cellStyle name="40% - Accent6 3 2 4 6" xfId="23788" xr:uid="{00000000-0005-0000-0000-00001B5D0000}"/>
    <cellStyle name="40% - Accent6 3 2 5" xfId="23789" xr:uid="{00000000-0005-0000-0000-00001C5D0000}"/>
    <cellStyle name="40% - Accent6 3 2 5 2" xfId="23790" xr:uid="{00000000-0005-0000-0000-00001D5D0000}"/>
    <cellStyle name="40% - Accent6 3 2 5 2 2" xfId="23791" xr:uid="{00000000-0005-0000-0000-00001E5D0000}"/>
    <cellStyle name="40% - Accent6 3 2 5 2 2 2" xfId="23792" xr:uid="{00000000-0005-0000-0000-00001F5D0000}"/>
    <cellStyle name="40% - Accent6 3 2 5 2 2 2 2" xfId="23793" xr:uid="{00000000-0005-0000-0000-0000205D0000}"/>
    <cellStyle name="40% - Accent6 3 2 5 2 2 3" xfId="23794" xr:uid="{00000000-0005-0000-0000-0000215D0000}"/>
    <cellStyle name="40% - Accent6 3 2 5 2 3" xfId="23795" xr:uid="{00000000-0005-0000-0000-0000225D0000}"/>
    <cellStyle name="40% - Accent6 3 2 5 2 3 2" xfId="23796" xr:uid="{00000000-0005-0000-0000-0000235D0000}"/>
    <cellStyle name="40% - Accent6 3 2 5 2 4" xfId="23797" xr:uid="{00000000-0005-0000-0000-0000245D0000}"/>
    <cellStyle name="40% - Accent6 3 2 5 3" xfId="23798" xr:uid="{00000000-0005-0000-0000-0000255D0000}"/>
    <cellStyle name="40% - Accent6 3 2 5 3 2" xfId="23799" xr:uid="{00000000-0005-0000-0000-0000265D0000}"/>
    <cellStyle name="40% - Accent6 3 2 5 3 2 2" xfId="23800" xr:uid="{00000000-0005-0000-0000-0000275D0000}"/>
    <cellStyle name="40% - Accent6 3 2 5 3 3" xfId="23801" xr:uid="{00000000-0005-0000-0000-0000285D0000}"/>
    <cellStyle name="40% - Accent6 3 2 5 4" xfId="23802" xr:uid="{00000000-0005-0000-0000-0000295D0000}"/>
    <cellStyle name="40% - Accent6 3 2 5 4 2" xfId="23803" xr:uid="{00000000-0005-0000-0000-00002A5D0000}"/>
    <cellStyle name="40% - Accent6 3 2 5 5" xfId="23804" xr:uid="{00000000-0005-0000-0000-00002B5D0000}"/>
    <cellStyle name="40% - Accent6 3 2 6" xfId="23805" xr:uid="{00000000-0005-0000-0000-00002C5D0000}"/>
    <cellStyle name="40% - Accent6 3 2 6 2" xfId="23806" xr:uid="{00000000-0005-0000-0000-00002D5D0000}"/>
    <cellStyle name="40% - Accent6 3 2 6 2 2" xfId="23807" xr:uid="{00000000-0005-0000-0000-00002E5D0000}"/>
    <cellStyle name="40% - Accent6 3 2 6 2 2 2" xfId="23808" xr:uid="{00000000-0005-0000-0000-00002F5D0000}"/>
    <cellStyle name="40% - Accent6 3 2 6 2 3" xfId="23809" xr:uid="{00000000-0005-0000-0000-0000305D0000}"/>
    <cellStyle name="40% - Accent6 3 2 6 3" xfId="23810" xr:uid="{00000000-0005-0000-0000-0000315D0000}"/>
    <cellStyle name="40% - Accent6 3 2 6 3 2" xfId="23811" xr:uid="{00000000-0005-0000-0000-0000325D0000}"/>
    <cellStyle name="40% - Accent6 3 2 6 4" xfId="23812" xr:uid="{00000000-0005-0000-0000-0000335D0000}"/>
    <cellStyle name="40% - Accent6 3 2 7" xfId="23813" xr:uid="{00000000-0005-0000-0000-0000345D0000}"/>
    <cellStyle name="40% - Accent6 3 2 7 2" xfId="23814" xr:uid="{00000000-0005-0000-0000-0000355D0000}"/>
    <cellStyle name="40% - Accent6 3 2 7 2 2" xfId="23815" xr:uid="{00000000-0005-0000-0000-0000365D0000}"/>
    <cellStyle name="40% - Accent6 3 2 7 3" xfId="23816" xr:uid="{00000000-0005-0000-0000-0000375D0000}"/>
    <cellStyle name="40% - Accent6 3 2 8" xfId="23817" xr:uid="{00000000-0005-0000-0000-0000385D0000}"/>
    <cellStyle name="40% - Accent6 3 2 8 2" xfId="23818" xr:uid="{00000000-0005-0000-0000-0000395D0000}"/>
    <cellStyle name="40% - Accent6 3 2 9" xfId="23819" xr:uid="{00000000-0005-0000-0000-00003A5D0000}"/>
    <cellStyle name="40% - Accent6 3 3" xfId="23820" xr:uid="{00000000-0005-0000-0000-00003B5D0000}"/>
    <cellStyle name="40% - Accent6 3 3 2" xfId="23821" xr:uid="{00000000-0005-0000-0000-00003C5D0000}"/>
    <cellStyle name="40% - Accent6 3 3 2 2" xfId="23822" xr:uid="{00000000-0005-0000-0000-00003D5D0000}"/>
    <cellStyle name="40% - Accent6 3 3 2 2 2" xfId="23823" xr:uid="{00000000-0005-0000-0000-00003E5D0000}"/>
    <cellStyle name="40% - Accent6 3 3 2 2 2 2" xfId="23824" xr:uid="{00000000-0005-0000-0000-00003F5D0000}"/>
    <cellStyle name="40% - Accent6 3 3 2 2 2 2 2" xfId="23825" xr:uid="{00000000-0005-0000-0000-0000405D0000}"/>
    <cellStyle name="40% - Accent6 3 3 2 2 2 2 2 2" xfId="23826" xr:uid="{00000000-0005-0000-0000-0000415D0000}"/>
    <cellStyle name="40% - Accent6 3 3 2 2 2 2 2 2 2" xfId="23827" xr:uid="{00000000-0005-0000-0000-0000425D0000}"/>
    <cellStyle name="40% - Accent6 3 3 2 2 2 2 2 3" xfId="23828" xr:uid="{00000000-0005-0000-0000-0000435D0000}"/>
    <cellStyle name="40% - Accent6 3 3 2 2 2 2 3" xfId="23829" xr:uid="{00000000-0005-0000-0000-0000445D0000}"/>
    <cellStyle name="40% - Accent6 3 3 2 2 2 2 3 2" xfId="23830" xr:uid="{00000000-0005-0000-0000-0000455D0000}"/>
    <cellStyle name="40% - Accent6 3 3 2 2 2 2 4" xfId="23831" xr:uid="{00000000-0005-0000-0000-0000465D0000}"/>
    <cellStyle name="40% - Accent6 3 3 2 2 2 3" xfId="23832" xr:uid="{00000000-0005-0000-0000-0000475D0000}"/>
    <cellStyle name="40% - Accent6 3 3 2 2 2 3 2" xfId="23833" xr:uid="{00000000-0005-0000-0000-0000485D0000}"/>
    <cellStyle name="40% - Accent6 3 3 2 2 2 3 2 2" xfId="23834" xr:uid="{00000000-0005-0000-0000-0000495D0000}"/>
    <cellStyle name="40% - Accent6 3 3 2 2 2 3 3" xfId="23835" xr:uid="{00000000-0005-0000-0000-00004A5D0000}"/>
    <cellStyle name="40% - Accent6 3 3 2 2 2 4" xfId="23836" xr:uid="{00000000-0005-0000-0000-00004B5D0000}"/>
    <cellStyle name="40% - Accent6 3 3 2 2 2 4 2" xfId="23837" xr:uid="{00000000-0005-0000-0000-00004C5D0000}"/>
    <cellStyle name="40% - Accent6 3 3 2 2 2 5" xfId="23838" xr:uid="{00000000-0005-0000-0000-00004D5D0000}"/>
    <cellStyle name="40% - Accent6 3 3 2 2 3" xfId="23839" xr:uid="{00000000-0005-0000-0000-00004E5D0000}"/>
    <cellStyle name="40% - Accent6 3 3 2 2 3 2" xfId="23840" xr:uid="{00000000-0005-0000-0000-00004F5D0000}"/>
    <cellStyle name="40% - Accent6 3 3 2 2 3 2 2" xfId="23841" xr:uid="{00000000-0005-0000-0000-0000505D0000}"/>
    <cellStyle name="40% - Accent6 3 3 2 2 3 2 2 2" xfId="23842" xr:uid="{00000000-0005-0000-0000-0000515D0000}"/>
    <cellStyle name="40% - Accent6 3 3 2 2 3 2 3" xfId="23843" xr:uid="{00000000-0005-0000-0000-0000525D0000}"/>
    <cellStyle name="40% - Accent6 3 3 2 2 3 3" xfId="23844" xr:uid="{00000000-0005-0000-0000-0000535D0000}"/>
    <cellStyle name="40% - Accent6 3 3 2 2 3 3 2" xfId="23845" xr:uid="{00000000-0005-0000-0000-0000545D0000}"/>
    <cellStyle name="40% - Accent6 3 3 2 2 3 4" xfId="23846" xr:uid="{00000000-0005-0000-0000-0000555D0000}"/>
    <cellStyle name="40% - Accent6 3 3 2 2 4" xfId="23847" xr:uid="{00000000-0005-0000-0000-0000565D0000}"/>
    <cellStyle name="40% - Accent6 3 3 2 2 4 2" xfId="23848" xr:uid="{00000000-0005-0000-0000-0000575D0000}"/>
    <cellStyle name="40% - Accent6 3 3 2 2 4 2 2" xfId="23849" xr:uid="{00000000-0005-0000-0000-0000585D0000}"/>
    <cellStyle name="40% - Accent6 3 3 2 2 4 3" xfId="23850" xr:uid="{00000000-0005-0000-0000-0000595D0000}"/>
    <cellStyle name="40% - Accent6 3 3 2 2 5" xfId="23851" xr:uid="{00000000-0005-0000-0000-00005A5D0000}"/>
    <cellStyle name="40% - Accent6 3 3 2 2 5 2" xfId="23852" xr:uid="{00000000-0005-0000-0000-00005B5D0000}"/>
    <cellStyle name="40% - Accent6 3 3 2 2 6" xfId="23853" xr:uid="{00000000-0005-0000-0000-00005C5D0000}"/>
    <cellStyle name="40% - Accent6 3 3 2 3" xfId="23854" xr:uid="{00000000-0005-0000-0000-00005D5D0000}"/>
    <cellStyle name="40% - Accent6 3 3 2 3 2" xfId="23855" xr:uid="{00000000-0005-0000-0000-00005E5D0000}"/>
    <cellStyle name="40% - Accent6 3 3 2 3 2 2" xfId="23856" xr:uid="{00000000-0005-0000-0000-00005F5D0000}"/>
    <cellStyle name="40% - Accent6 3 3 2 3 2 2 2" xfId="23857" xr:uid="{00000000-0005-0000-0000-0000605D0000}"/>
    <cellStyle name="40% - Accent6 3 3 2 3 2 2 2 2" xfId="23858" xr:uid="{00000000-0005-0000-0000-0000615D0000}"/>
    <cellStyle name="40% - Accent6 3 3 2 3 2 2 3" xfId="23859" xr:uid="{00000000-0005-0000-0000-0000625D0000}"/>
    <cellStyle name="40% - Accent6 3 3 2 3 2 3" xfId="23860" xr:uid="{00000000-0005-0000-0000-0000635D0000}"/>
    <cellStyle name="40% - Accent6 3 3 2 3 2 3 2" xfId="23861" xr:uid="{00000000-0005-0000-0000-0000645D0000}"/>
    <cellStyle name="40% - Accent6 3 3 2 3 2 4" xfId="23862" xr:uid="{00000000-0005-0000-0000-0000655D0000}"/>
    <cellStyle name="40% - Accent6 3 3 2 3 3" xfId="23863" xr:uid="{00000000-0005-0000-0000-0000665D0000}"/>
    <cellStyle name="40% - Accent6 3 3 2 3 3 2" xfId="23864" xr:uid="{00000000-0005-0000-0000-0000675D0000}"/>
    <cellStyle name="40% - Accent6 3 3 2 3 3 2 2" xfId="23865" xr:uid="{00000000-0005-0000-0000-0000685D0000}"/>
    <cellStyle name="40% - Accent6 3 3 2 3 3 3" xfId="23866" xr:uid="{00000000-0005-0000-0000-0000695D0000}"/>
    <cellStyle name="40% - Accent6 3 3 2 3 4" xfId="23867" xr:uid="{00000000-0005-0000-0000-00006A5D0000}"/>
    <cellStyle name="40% - Accent6 3 3 2 3 4 2" xfId="23868" xr:uid="{00000000-0005-0000-0000-00006B5D0000}"/>
    <cellStyle name="40% - Accent6 3 3 2 3 5" xfId="23869" xr:uid="{00000000-0005-0000-0000-00006C5D0000}"/>
    <cellStyle name="40% - Accent6 3 3 2 4" xfId="23870" xr:uid="{00000000-0005-0000-0000-00006D5D0000}"/>
    <cellStyle name="40% - Accent6 3 3 2 4 2" xfId="23871" xr:uid="{00000000-0005-0000-0000-00006E5D0000}"/>
    <cellStyle name="40% - Accent6 3 3 2 4 2 2" xfId="23872" xr:uid="{00000000-0005-0000-0000-00006F5D0000}"/>
    <cellStyle name="40% - Accent6 3 3 2 4 2 2 2" xfId="23873" xr:uid="{00000000-0005-0000-0000-0000705D0000}"/>
    <cellStyle name="40% - Accent6 3 3 2 4 2 3" xfId="23874" xr:uid="{00000000-0005-0000-0000-0000715D0000}"/>
    <cellStyle name="40% - Accent6 3 3 2 4 3" xfId="23875" xr:uid="{00000000-0005-0000-0000-0000725D0000}"/>
    <cellStyle name="40% - Accent6 3 3 2 4 3 2" xfId="23876" xr:uid="{00000000-0005-0000-0000-0000735D0000}"/>
    <cellStyle name="40% - Accent6 3 3 2 4 4" xfId="23877" xr:uid="{00000000-0005-0000-0000-0000745D0000}"/>
    <cellStyle name="40% - Accent6 3 3 2 5" xfId="23878" xr:uid="{00000000-0005-0000-0000-0000755D0000}"/>
    <cellStyle name="40% - Accent6 3 3 2 5 2" xfId="23879" xr:uid="{00000000-0005-0000-0000-0000765D0000}"/>
    <cellStyle name="40% - Accent6 3 3 2 5 2 2" xfId="23880" xr:uid="{00000000-0005-0000-0000-0000775D0000}"/>
    <cellStyle name="40% - Accent6 3 3 2 5 3" xfId="23881" xr:uid="{00000000-0005-0000-0000-0000785D0000}"/>
    <cellStyle name="40% - Accent6 3 3 2 6" xfId="23882" xr:uid="{00000000-0005-0000-0000-0000795D0000}"/>
    <cellStyle name="40% - Accent6 3 3 2 6 2" xfId="23883" xr:uid="{00000000-0005-0000-0000-00007A5D0000}"/>
    <cellStyle name="40% - Accent6 3 3 2 7" xfId="23884" xr:uid="{00000000-0005-0000-0000-00007B5D0000}"/>
    <cellStyle name="40% - Accent6 3 3 3" xfId="23885" xr:uid="{00000000-0005-0000-0000-00007C5D0000}"/>
    <cellStyle name="40% - Accent6 3 3 3 2" xfId="23886" xr:uid="{00000000-0005-0000-0000-00007D5D0000}"/>
    <cellStyle name="40% - Accent6 3 3 3 2 2" xfId="23887" xr:uid="{00000000-0005-0000-0000-00007E5D0000}"/>
    <cellStyle name="40% - Accent6 3 3 3 2 2 2" xfId="23888" xr:uid="{00000000-0005-0000-0000-00007F5D0000}"/>
    <cellStyle name="40% - Accent6 3 3 3 2 2 2 2" xfId="23889" xr:uid="{00000000-0005-0000-0000-0000805D0000}"/>
    <cellStyle name="40% - Accent6 3 3 3 2 2 2 2 2" xfId="23890" xr:uid="{00000000-0005-0000-0000-0000815D0000}"/>
    <cellStyle name="40% - Accent6 3 3 3 2 2 2 3" xfId="23891" xr:uid="{00000000-0005-0000-0000-0000825D0000}"/>
    <cellStyle name="40% - Accent6 3 3 3 2 2 3" xfId="23892" xr:uid="{00000000-0005-0000-0000-0000835D0000}"/>
    <cellStyle name="40% - Accent6 3 3 3 2 2 3 2" xfId="23893" xr:uid="{00000000-0005-0000-0000-0000845D0000}"/>
    <cellStyle name="40% - Accent6 3 3 3 2 2 4" xfId="23894" xr:uid="{00000000-0005-0000-0000-0000855D0000}"/>
    <cellStyle name="40% - Accent6 3 3 3 2 3" xfId="23895" xr:uid="{00000000-0005-0000-0000-0000865D0000}"/>
    <cellStyle name="40% - Accent6 3 3 3 2 3 2" xfId="23896" xr:uid="{00000000-0005-0000-0000-0000875D0000}"/>
    <cellStyle name="40% - Accent6 3 3 3 2 3 2 2" xfId="23897" xr:uid="{00000000-0005-0000-0000-0000885D0000}"/>
    <cellStyle name="40% - Accent6 3 3 3 2 3 3" xfId="23898" xr:uid="{00000000-0005-0000-0000-0000895D0000}"/>
    <cellStyle name="40% - Accent6 3 3 3 2 4" xfId="23899" xr:uid="{00000000-0005-0000-0000-00008A5D0000}"/>
    <cellStyle name="40% - Accent6 3 3 3 2 4 2" xfId="23900" xr:uid="{00000000-0005-0000-0000-00008B5D0000}"/>
    <cellStyle name="40% - Accent6 3 3 3 2 5" xfId="23901" xr:uid="{00000000-0005-0000-0000-00008C5D0000}"/>
    <cellStyle name="40% - Accent6 3 3 3 3" xfId="23902" xr:uid="{00000000-0005-0000-0000-00008D5D0000}"/>
    <cellStyle name="40% - Accent6 3 3 3 3 2" xfId="23903" xr:uid="{00000000-0005-0000-0000-00008E5D0000}"/>
    <cellStyle name="40% - Accent6 3 3 3 3 2 2" xfId="23904" xr:uid="{00000000-0005-0000-0000-00008F5D0000}"/>
    <cellStyle name="40% - Accent6 3 3 3 3 2 2 2" xfId="23905" xr:uid="{00000000-0005-0000-0000-0000905D0000}"/>
    <cellStyle name="40% - Accent6 3 3 3 3 2 3" xfId="23906" xr:uid="{00000000-0005-0000-0000-0000915D0000}"/>
    <cellStyle name="40% - Accent6 3 3 3 3 3" xfId="23907" xr:uid="{00000000-0005-0000-0000-0000925D0000}"/>
    <cellStyle name="40% - Accent6 3 3 3 3 3 2" xfId="23908" xr:uid="{00000000-0005-0000-0000-0000935D0000}"/>
    <cellStyle name="40% - Accent6 3 3 3 3 4" xfId="23909" xr:uid="{00000000-0005-0000-0000-0000945D0000}"/>
    <cellStyle name="40% - Accent6 3 3 3 4" xfId="23910" xr:uid="{00000000-0005-0000-0000-0000955D0000}"/>
    <cellStyle name="40% - Accent6 3 3 3 4 2" xfId="23911" xr:uid="{00000000-0005-0000-0000-0000965D0000}"/>
    <cellStyle name="40% - Accent6 3 3 3 4 2 2" xfId="23912" xr:uid="{00000000-0005-0000-0000-0000975D0000}"/>
    <cellStyle name="40% - Accent6 3 3 3 4 3" xfId="23913" xr:uid="{00000000-0005-0000-0000-0000985D0000}"/>
    <cellStyle name="40% - Accent6 3 3 3 5" xfId="23914" xr:uid="{00000000-0005-0000-0000-0000995D0000}"/>
    <cellStyle name="40% - Accent6 3 3 3 5 2" xfId="23915" xr:uid="{00000000-0005-0000-0000-00009A5D0000}"/>
    <cellStyle name="40% - Accent6 3 3 3 6" xfId="23916" xr:uid="{00000000-0005-0000-0000-00009B5D0000}"/>
    <cellStyle name="40% - Accent6 3 3 4" xfId="23917" xr:uid="{00000000-0005-0000-0000-00009C5D0000}"/>
    <cellStyle name="40% - Accent6 3 3 4 2" xfId="23918" xr:uid="{00000000-0005-0000-0000-00009D5D0000}"/>
    <cellStyle name="40% - Accent6 3 3 4 2 2" xfId="23919" xr:uid="{00000000-0005-0000-0000-00009E5D0000}"/>
    <cellStyle name="40% - Accent6 3 3 4 2 2 2" xfId="23920" xr:uid="{00000000-0005-0000-0000-00009F5D0000}"/>
    <cellStyle name="40% - Accent6 3 3 4 2 2 2 2" xfId="23921" xr:uid="{00000000-0005-0000-0000-0000A05D0000}"/>
    <cellStyle name="40% - Accent6 3 3 4 2 2 3" xfId="23922" xr:uid="{00000000-0005-0000-0000-0000A15D0000}"/>
    <cellStyle name="40% - Accent6 3 3 4 2 3" xfId="23923" xr:uid="{00000000-0005-0000-0000-0000A25D0000}"/>
    <cellStyle name="40% - Accent6 3 3 4 2 3 2" xfId="23924" xr:uid="{00000000-0005-0000-0000-0000A35D0000}"/>
    <cellStyle name="40% - Accent6 3 3 4 2 4" xfId="23925" xr:uid="{00000000-0005-0000-0000-0000A45D0000}"/>
    <cellStyle name="40% - Accent6 3 3 4 3" xfId="23926" xr:uid="{00000000-0005-0000-0000-0000A55D0000}"/>
    <cellStyle name="40% - Accent6 3 3 4 3 2" xfId="23927" xr:uid="{00000000-0005-0000-0000-0000A65D0000}"/>
    <cellStyle name="40% - Accent6 3 3 4 3 2 2" xfId="23928" xr:uid="{00000000-0005-0000-0000-0000A75D0000}"/>
    <cellStyle name="40% - Accent6 3 3 4 3 3" xfId="23929" xr:uid="{00000000-0005-0000-0000-0000A85D0000}"/>
    <cellStyle name="40% - Accent6 3 3 4 4" xfId="23930" xr:uid="{00000000-0005-0000-0000-0000A95D0000}"/>
    <cellStyle name="40% - Accent6 3 3 4 4 2" xfId="23931" xr:uid="{00000000-0005-0000-0000-0000AA5D0000}"/>
    <cellStyle name="40% - Accent6 3 3 4 5" xfId="23932" xr:uid="{00000000-0005-0000-0000-0000AB5D0000}"/>
    <cellStyle name="40% - Accent6 3 3 5" xfId="23933" xr:uid="{00000000-0005-0000-0000-0000AC5D0000}"/>
    <cellStyle name="40% - Accent6 3 3 5 2" xfId="23934" xr:uid="{00000000-0005-0000-0000-0000AD5D0000}"/>
    <cellStyle name="40% - Accent6 3 3 5 2 2" xfId="23935" xr:uid="{00000000-0005-0000-0000-0000AE5D0000}"/>
    <cellStyle name="40% - Accent6 3 3 5 2 2 2" xfId="23936" xr:uid="{00000000-0005-0000-0000-0000AF5D0000}"/>
    <cellStyle name="40% - Accent6 3 3 5 2 3" xfId="23937" xr:uid="{00000000-0005-0000-0000-0000B05D0000}"/>
    <cellStyle name="40% - Accent6 3 3 5 3" xfId="23938" xr:uid="{00000000-0005-0000-0000-0000B15D0000}"/>
    <cellStyle name="40% - Accent6 3 3 5 3 2" xfId="23939" xr:uid="{00000000-0005-0000-0000-0000B25D0000}"/>
    <cellStyle name="40% - Accent6 3 3 5 4" xfId="23940" xr:uid="{00000000-0005-0000-0000-0000B35D0000}"/>
    <cellStyle name="40% - Accent6 3 3 6" xfId="23941" xr:uid="{00000000-0005-0000-0000-0000B45D0000}"/>
    <cellStyle name="40% - Accent6 3 3 6 2" xfId="23942" xr:uid="{00000000-0005-0000-0000-0000B55D0000}"/>
    <cellStyle name="40% - Accent6 3 3 6 2 2" xfId="23943" xr:uid="{00000000-0005-0000-0000-0000B65D0000}"/>
    <cellStyle name="40% - Accent6 3 3 6 3" xfId="23944" xr:uid="{00000000-0005-0000-0000-0000B75D0000}"/>
    <cellStyle name="40% - Accent6 3 3 7" xfId="23945" xr:uid="{00000000-0005-0000-0000-0000B85D0000}"/>
    <cellStyle name="40% - Accent6 3 3 7 2" xfId="23946" xr:uid="{00000000-0005-0000-0000-0000B95D0000}"/>
    <cellStyle name="40% - Accent6 3 3 8" xfId="23947" xr:uid="{00000000-0005-0000-0000-0000BA5D0000}"/>
    <cellStyle name="40% - Accent6 3 4" xfId="23948" xr:uid="{00000000-0005-0000-0000-0000BB5D0000}"/>
    <cellStyle name="40% - Accent6 3 4 2" xfId="23949" xr:uid="{00000000-0005-0000-0000-0000BC5D0000}"/>
    <cellStyle name="40% - Accent6 3 4 2 2" xfId="23950" xr:uid="{00000000-0005-0000-0000-0000BD5D0000}"/>
    <cellStyle name="40% - Accent6 3 4 2 2 2" xfId="23951" xr:uid="{00000000-0005-0000-0000-0000BE5D0000}"/>
    <cellStyle name="40% - Accent6 3 4 2 2 2 2" xfId="23952" xr:uid="{00000000-0005-0000-0000-0000BF5D0000}"/>
    <cellStyle name="40% - Accent6 3 4 2 2 2 2 2" xfId="23953" xr:uid="{00000000-0005-0000-0000-0000C05D0000}"/>
    <cellStyle name="40% - Accent6 3 4 2 2 2 2 2 2" xfId="23954" xr:uid="{00000000-0005-0000-0000-0000C15D0000}"/>
    <cellStyle name="40% - Accent6 3 4 2 2 2 2 3" xfId="23955" xr:uid="{00000000-0005-0000-0000-0000C25D0000}"/>
    <cellStyle name="40% - Accent6 3 4 2 2 2 3" xfId="23956" xr:uid="{00000000-0005-0000-0000-0000C35D0000}"/>
    <cellStyle name="40% - Accent6 3 4 2 2 2 3 2" xfId="23957" xr:uid="{00000000-0005-0000-0000-0000C45D0000}"/>
    <cellStyle name="40% - Accent6 3 4 2 2 2 4" xfId="23958" xr:uid="{00000000-0005-0000-0000-0000C55D0000}"/>
    <cellStyle name="40% - Accent6 3 4 2 2 3" xfId="23959" xr:uid="{00000000-0005-0000-0000-0000C65D0000}"/>
    <cellStyle name="40% - Accent6 3 4 2 2 3 2" xfId="23960" xr:uid="{00000000-0005-0000-0000-0000C75D0000}"/>
    <cellStyle name="40% - Accent6 3 4 2 2 3 2 2" xfId="23961" xr:uid="{00000000-0005-0000-0000-0000C85D0000}"/>
    <cellStyle name="40% - Accent6 3 4 2 2 3 3" xfId="23962" xr:uid="{00000000-0005-0000-0000-0000C95D0000}"/>
    <cellStyle name="40% - Accent6 3 4 2 2 4" xfId="23963" xr:uid="{00000000-0005-0000-0000-0000CA5D0000}"/>
    <cellStyle name="40% - Accent6 3 4 2 2 4 2" xfId="23964" xr:uid="{00000000-0005-0000-0000-0000CB5D0000}"/>
    <cellStyle name="40% - Accent6 3 4 2 2 5" xfId="23965" xr:uid="{00000000-0005-0000-0000-0000CC5D0000}"/>
    <cellStyle name="40% - Accent6 3 4 2 3" xfId="23966" xr:uid="{00000000-0005-0000-0000-0000CD5D0000}"/>
    <cellStyle name="40% - Accent6 3 4 2 3 2" xfId="23967" xr:uid="{00000000-0005-0000-0000-0000CE5D0000}"/>
    <cellStyle name="40% - Accent6 3 4 2 3 2 2" xfId="23968" xr:uid="{00000000-0005-0000-0000-0000CF5D0000}"/>
    <cellStyle name="40% - Accent6 3 4 2 3 2 2 2" xfId="23969" xr:uid="{00000000-0005-0000-0000-0000D05D0000}"/>
    <cellStyle name="40% - Accent6 3 4 2 3 2 3" xfId="23970" xr:uid="{00000000-0005-0000-0000-0000D15D0000}"/>
    <cellStyle name="40% - Accent6 3 4 2 3 3" xfId="23971" xr:uid="{00000000-0005-0000-0000-0000D25D0000}"/>
    <cellStyle name="40% - Accent6 3 4 2 3 3 2" xfId="23972" xr:uid="{00000000-0005-0000-0000-0000D35D0000}"/>
    <cellStyle name="40% - Accent6 3 4 2 3 4" xfId="23973" xr:uid="{00000000-0005-0000-0000-0000D45D0000}"/>
    <cellStyle name="40% - Accent6 3 4 2 4" xfId="23974" xr:uid="{00000000-0005-0000-0000-0000D55D0000}"/>
    <cellStyle name="40% - Accent6 3 4 2 4 2" xfId="23975" xr:uid="{00000000-0005-0000-0000-0000D65D0000}"/>
    <cellStyle name="40% - Accent6 3 4 2 4 2 2" xfId="23976" xr:uid="{00000000-0005-0000-0000-0000D75D0000}"/>
    <cellStyle name="40% - Accent6 3 4 2 4 3" xfId="23977" xr:uid="{00000000-0005-0000-0000-0000D85D0000}"/>
    <cellStyle name="40% - Accent6 3 4 2 5" xfId="23978" xr:uid="{00000000-0005-0000-0000-0000D95D0000}"/>
    <cellStyle name="40% - Accent6 3 4 2 5 2" xfId="23979" xr:uid="{00000000-0005-0000-0000-0000DA5D0000}"/>
    <cellStyle name="40% - Accent6 3 4 2 6" xfId="23980" xr:uid="{00000000-0005-0000-0000-0000DB5D0000}"/>
    <cellStyle name="40% - Accent6 3 4 3" xfId="23981" xr:uid="{00000000-0005-0000-0000-0000DC5D0000}"/>
    <cellStyle name="40% - Accent6 3 4 3 2" xfId="23982" xr:uid="{00000000-0005-0000-0000-0000DD5D0000}"/>
    <cellStyle name="40% - Accent6 3 4 3 2 2" xfId="23983" xr:uid="{00000000-0005-0000-0000-0000DE5D0000}"/>
    <cellStyle name="40% - Accent6 3 4 3 2 2 2" xfId="23984" xr:uid="{00000000-0005-0000-0000-0000DF5D0000}"/>
    <cellStyle name="40% - Accent6 3 4 3 2 2 2 2" xfId="23985" xr:uid="{00000000-0005-0000-0000-0000E05D0000}"/>
    <cellStyle name="40% - Accent6 3 4 3 2 2 3" xfId="23986" xr:uid="{00000000-0005-0000-0000-0000E15D0000}"/>
    <cellStyle name="40% - Accent6 3 4 3 2 3" xfId="23987" xr:uid="{00000000-0005-0000-0000-0000E25D0000}"/>
    <cellStyle name="40% - Accent6 3 4 3 2 3 2" xfId="23988" xr:uid="{00000000-0005-0000-0000-0000E35D0000}"/>
    <cellStyle name="40% - Accent6 3 4 3 2 4" xfId="23989" xr:uid="{00000000-0005-0000-0000-0000E45D0000}"/>
    <cellStyle name="40% - Accent6 3 4 3 3" xfId="23990" xr:uid="{00000000-0005-0000-0000-0000E55D0000}"/>
    <cellStyle name="40% - Accent6 3 4 3 3 2" xfId="23991" xr:uid="{00000000-0005-0000-0000-0000E65D0000}"/>
    <cellStyle name="40% - Accent6 3 4 3 3 2 2" xfId="23992" xr:uid="{00000000-0005-0000-0000-0000E75D0000}"/>
    <cellStyle name="40% - Accent6 3 4 3 3 3" xfId="23993" xr:uid="{00000000-0005-0000-0000-0000E85D0000}"/>
    <cellStyle name="40% - Accent6 3 4 3 4" xfId="23994" xr:uid="{00000000-0005-0000-0000-0000E95D0000}"/>
    <cellStyle name="40% - Accent6 3 4 3 4 2" xfId="23995" xr:uid="{00000000-0005-0000-0000-0000EA5D0000}"/>
    <cellStyle name="40% - Accent6 3 4 3 5" xfId="23996" xr:uid="{00000000-0005-0000-0000-0000EB5D0000}"/>
    <cellStyle name="40% - Accent6 3 4 4" xfId="23997" xr:uid="{00000000-0005-0000-0000-0000EC5D0000}"/>
    <cellStyle name="40% - Accent6 3 4 4 2" xfId="23998" xr:uid="{00000000-0005-0000-0000-0000ED5D0000}"/>
    <cellStyle name="40% - Accent6 3 4 4 2 2" xfId="23999" xr:uid="{00000000-0005-0000-0000-0000EE5D0000}"/>
    <cellStyle name="40% - Accent6 3 4 4 2 2 2" xfId="24000" xr:uid="{00000000-0005-0000-0000-0000EF5D0000}"/>
    <cellStyle name="40% - Accent6 3 4 4 2 3" xfId="24001" xr:uid="{00000000-0005-0000-0000-0000F05D0000}"/>
    <cellStyle name="40% - Accent6 3 4 4 3" xfId="24002" xr:uid="{00000000-0005-0000-0000-0000F15D0000}"/>
    <cellStyle name="40% - Accent6 3 4 4 3 2" xfId="24003" xr:uid="{00000000-0005-0000-0000-0000F25D0000}"/>
    <cellStyle name="40% - Accent6 3 4 4 4" xfId="24004" xr:uid="{00000000-0005-0000-0000-0000F35D0000}"/>
    <cellStyle name="40% - Accent6 3 4 5" xfId="24005" xr:uid="{00000000-0005-0000-0000-0000F45D0000}"/>
    <cellStyle name="40% - Accent6 3 4 5 2" xfId="24006" xr:uid="{00000000-0005-0000-0000-0000F55D0000}"/>
    <cellStyle name="40% - Accent6 3 4 5 2 2" xfId="24007" xr:uid="{00000000-0005-0000-0000-0000F65D0000}"/>
    <cellStyle name="40% - Accent6 3 4 5 3" xfId="24008" xr:uid="{00000000-0005-0000-0000-0000F75D0000}"/>
    <cellStyle name="40% - Accent6 3 4 6" xfId="24009" xr:uid="{00000000-0005-0000-0000-0000F85D0000}"/>
    <cellStyle name="40% - Accent6 3 4 6 2" xfId="24010" xr:uid="{00000000-0005-0000-0000-0000F95D0000}"/>
    <cellStyle name="40% - Accent6 3 4 7" xfId="24011" xr:uid="{00000000-0005-0000-0000-0000FA5D0000}"/>
    <cellStyle name="40% - Accent6 3 5" xfId="24012" xr:uid="{00000000-0005-0000-0000-0000FB5D0000}"/>
    <cellStyle name="40% - Accent6 3 5 2" xfId="24013" xr:uid="{00000000-0005-0000-0000-0000FC5D0000}"/>
    <cellStyle name="40% - Accent6 3 5 2 2" xfId="24014" xr:uid="{00000000-0005-0000-0000-0000FD5D0000}"/>
    <cellStyle name="40% - Accent6 3 5 2 2 2" xfId="24015" xr:uid="{00000000-0005-0000-0000-0000FE5D0000}"/>
    <cellStyle name="40% - Accent6 3 5 2 2 2 2" xfId="24016" xr:uid="{00000000-0005-0000-0000-0000FF5D0000}"/>
    <cellStyle name="40% - Accent6 3 5 2 2 2 2 2" xfId="24017" xr:uid="{00000000-0005-0000-0000-0000005E0000}"/>
    <cellStyle name="40% - Accent6 3 5 2 2 2 3" xfId="24018" xr:uid="{00000000-0005-0000-0000-0000015E0000}"/>
    <cellStyle name="40% - Accent6 3 5 2 2 3" xfId="24019" xr:uid="{00000000-0005-0000-0000-0000025E0000}"/>
    <cellStyle name="40% - Accent6 3 5 2 2 3 2" xfId="24020" xr:uid="{00000000-0005-0000-0000-0000035E0000}"/>
    <cellStyle name="40% - Accent6 3 5 2 2 4" xfId="24021" xr:uid="{00000000-0005-0000-0000-0000045E0000}"/>
    <cellStyle name="40% - Accent6 3 5 2 3" xfId="24022" xr:uid="{00000000-0005-0000-0000-0000055E0000}"/>
    <cellStyle name="40% - Accent6 3 5 2 3 2" xfId="24023" xr:uid="{00000000-0005-0000-0000-0000065E0000}"/>
    <cellStyle name="40% - Accent6 3 5 2 3 2 2" xfId="24024" xr:uid="{00000000-0005-0000-0000-0000075E0000}"/>
    <cellStyle name="40% - Accent6 3 5 2 3 3" xfId="24025" xr:uid="{00000000-0005-0000-0000-0000085E0000}"/>
    <cellStyle name="40% - Accent6 3 5 2 4" xfId="24026" xr:uid="{00000000-0005-0000-0000-0000095E0000}"/>
    <cellStyle name="40% - Accent6 3 5 2 4 2" xfId="24027" xr:uid="{00000000-0005-0000-0000-00000A5E0000}"/>
    <cellStyle name="40% - Accent6 3 5 2 5" xfId="24028" xr:uid="{00000000-0005-0000-0000-00000B5E0000}"/>
    <cellStyle name="40% - Accent6 3 5 3" xfId="24029" xr:uid="{00000000-0005-0000-0000-00000C5E0000}"/>
    <cellStyle name="40% - Accent6 3 5 3 2" xfId="24030" xr:uid="{00000000-0005-0000-0000-00000D5E0000}"/>
    <cellStyle name="40% - Accent6 3 5 3 2 2" xfId="24031" xr:uid="{00000000-0005-0000-0000-00000E5E0000}"/>
    <cellStyle name="40% - Accent6 3 5 3 2 2 2" xfId="24032" xr:uid="{00000000-0005-0000-0000-00000F5E0000}"/>
    <cellStyle name="40% - Accent6 3 5 3 2 3" xfId="24033" xr:uid="{00000000-0005-0000-0000-0000105E0000}"/>
    <cellStyle name="40% - Accent6 3 5 3 3" xfId="24034" xr:uid="{00000000-0005-0000-0000-0000115E0000}"/>
    <cellStyle name="40% - Accent6 3 5 3 3 2" xfId="24035" xr:uid="{00000000-0005-0000-0000-0000125E0000}"/>
    <cellStyle name="40% - Accent6 3 5 3 4" xfId="24036" xr:uid="{00000000-0005-0000-0000-0000135E0000}"/>
    <cellStyle name="40% - Accent6 3 5 4" xfId="24037" xr:uid="{00000000-0005-0000-0000-0000145E0000}"/>
    <cellStyle name="40% - Accent6 3 5 4 2" xfId="24038" xr:uid="{00000000-0005-0000-0000-0000155E0000}"/>
    <cellStyle name="40% - Accent6 3 5 4 2 2" xfId="24039" xr:uid="{00000000-0005-0000-0000-0000165E0000}"/>
    <cellStyle name="40% - Accent6 3 5 4 3" xfId="24040" xr:uid="{00000000-0005-0000-0000-0000175E0000}"/>
    <cellStyle name="40% - Accent6 3 5 5" xfId="24041" xr:uid="{00000000-0005-0000-0000-0000185E0000}"/>
    <cellStyle name="40% - Accent6 3 5 5 2" xfId="24042" xr:uid="{00000000-0005-0000-0000-0000195E0000}"/>
    <cellStyle name="40% - Accent6 3 5 6" xfId="24043" xr:uid="{00000000-0005-0000-0000-00001A5E0000}"/>
    <cellStyle name="40% - Accent6 3 6" xfId="24044" xr:uid="{00000000-0005-0000-0000-00001B5E0000}"/>
    <cellStyle name="40% - Accent6 3 6 2" xfId="24045" xr:uid="{00000000-0005-0000-0000-00001C5E0000}"/>
    <cellStyle name="40% - Accent6 3 6 2 2" xfId="24046" xr:uid="{00000000-0005-0000-0000-00001D5E0000}"/>
    <cellStyle name="40% - Accent6 3 6 2 2 2" xfId="24047" xr:uid="{00000000-0005-0000-0000-00001E5E0000}"/>
    <cellStyle name="40% - Accent6 3 6 2 2 2 2" xfId="24048" xr:uid="{00000000-0005-0000-0000-00001F5E0000}"/>
    <cellStyle name="40% - Accent6 3 6 2 2 3" xfId="24049" xr:uid="{00000000-0005-0000-0000-0000205E0000}"/>
    <cellStyle name="40% - Accent6 3 6 2 3" xfId="24050" xr:uid="{00000000-0005-0000-0000-0000215E0000}"/>
    <cellStyle name="40% - Accent6 3 6 2 3 2" xfId="24051" xr:uid="{00000000-0005-0000-0000-0000225E0000}"/>
    <cellStyle name="40% - Accent6 3 6 2 4" xfId="24052" xr:uid="{00000000-0005-0000-0000-0000235E0000}"/>
    <cellStyle name="40% - Accent6 3 6 3" xfId="24053" xr:uid="{00000000-0005-0000-0000-0000245E0000}"/>
    <cellStyle name="40% - Accent6 3 6 3 2" xfId="24054" xr:uid="{00000000-0005-0000-0000-0000255E0000}"/>
    <cellStyle name="40% - Accent6 3 6 3 2 2" xfId="24055" xr:uid="{00000000-0005-0000-0000-0000265E0000}"/>
    <cellStyle name="40% - Accent6 3 6 3 3" xfId="24056" xr:uid="{00000000-0005-0000-0000-0000275E0000}"/>
    <cellStyle name="40% - Accent6 3 6 4" xfId="24057" xr:uid="{00000000-0005-0000-0000-0000285E0000}"/>
    <cellStyle name="40% - Accent6 3 6 4 2" xfId="24058" xr:uid="{00000000-0005-0000-0000-0000295E0000}"/>
    <cellStyle name="40% - Accent6 3 6 5" xfId="24059" xr:uid="{00000000-0005-0000-0000-00002A5E0000}"/>
    <cellStyle name="40% - Accent6 3 7" xfId="24060" xr:uid="{00000000-0005-0000-0000-00002B5E0000}"/>
    <cellStyle name="40% - Accent6 3 7 2" xfId="24061" xr:uid="{00000000-0005-0000-0000-00002C5E0000}"/>
    <cellStyle name="40% - Accent6 3 7 2 2" xfId="24062" xr:uid="{00000000-0005-0000-0000-00002D5E0000}"/>
    <cellStyle name="40% - Accent6 3 7 2 2 2" xfId="24063" xr:uid="{00000000-0005-0000-0000-00002E5E0000}"/>
    <cellStyle name="40% - Accent6 3 7 2 3" xfId="24064" xr:uid="{00000000-0005-0000-0000-00002F5E0000}"/>
    <cellStyle name="40% - Accent6 3 7 3" xfId="24065" xr:uid="{00000000-0005-0000-0000-0000305E0000}"/>
    <cellStyle name="40% - Accent6 3 7 3 2" xfId="24066" xr:uid="{00000000-0005-0000-0000-0000315E0000}"/>
    <cellStyle name="40% - Accent6 3 7 4" xfId="24067" xr:uid="{00000000-0005-0000-0000-0000325E0000}"/>
    <cellStyle name="40% - Accent6 3 8" xfId="24068" xr:uid="{00000000-0005-0000-0000-0000335E0000}"/>
    <cellStyle name="40% - Accent6 3 8 2" xfId="24069" xr:uid="{00000000-0005-0000-0000-0000345E0000}"/>
    <cellStyle name="40% - Accent6 3 8 2 2" xfId="24070" xr:uid="{00000000-0005-0000-0000-0000355E0000}"/>
    <cellStyle name="40% - Accent6 3 8 3" xfId="24071" xr:uid="{00000000-0005-0000-0000-0000365E0000}"/>
    <cellStyle name="40% - Accent6 3 9" xfId="24072" xr:uid="{00000000-0005-0000-0000-0000375E0000}"/>
    <cellStyle name="40% - Accent6 3 9 2" xfId="24073" xr:uid="{00000000-0005-0000-0000-0000385E0000}"/>
    <cellStyle name="40% - Accent6 4" xfId="24074" xr:uid="{00000000-0005-0000-0000-0000395E0000}"/>
    <cellStyle name="40% - Accent6 4 2" xfId="24075" xr:uid="{00000000-0005-0000-0000-00003A5E0000}"/>
    <cellStyle name="40% - Accent6 4 2 2" xfId="24076" xr:uid="{00000000-0005-0000-0000-00003B5E0000}"/>
    <cellStyle name="40% - Accent6 4 2 2 2" xfId="24077" xr:uid="{00000000-0005-0000-0000-00003C5E0000}"/>
    <cellStyle name="40% - Accent6 4 2 2 2 2" xfId="24078" xr:uid="{00000000-0005-0000-0000-00003D5E0000}"/>
    <cellStyle name="40% - Accent6 4 2 2 2 2 2" xfId="24079" xr:uid="{00000000-0005-0000-0000-00003E5E0000}"/>
    <cellStyle name="40% - Accent6 4 2 2 2 2 2 2" xfId="24080" xr:uid="{00000000-0005-0000-0000-00003F5E0000}"/>
    <cellStyle name="40% - Accent6 4 2 2 2 2 2 2 2" xfId="24081" xr:uid="{00000000-0005-0000-0000-0000405E0000}"/>
    <cellStyle name="40% - Accent6 4 2 2 2 2 2 2 2 2" xfId="24082" xr:uid="{00000000-0005-0000-0000-0000415E0000}"/>
    <cellStyle name="40% - Accent6 4 2 2 2 2 2 2 3" xfId="24083" xr:uid="{00000000-0005-0000-0000-0000425E0000}"/>
    <cellStyle name="40% - Accent6 4 2 2 2 2 2 3" xfId="24084" xr:uid="{00000000-0005-0000-0000-0000435E0000}"/>
    <cellStyle name="40% - Accent6 4 2 2 2 2 2 3 2" xfId="24085" xr:uid="{00000000-0005-0000-0000-0000445E0000}"/>
    <cellStyle name="40% - Accent6 4 2 2 2 2 2 4" xfId="24086" xr:uid="{00000000-0005-0000-0000-0000455E0000}"/>
    <cellStyle name="40% - Accent6 4 2 2 2 2 3" xfId="24087" xr:uid="{00000000-0005-0000-0000-0000465E0000}"/>
    <cellStyle name="40% - Accent6 4 2 2 2 2 3 2" xfId="24088" xr:uid="{00000000-0005-0000-0000-0000475E0000}"/>
    <cellStyle name="40% - Accent6 4 2 2 2 2 3 2 2" xfId="24089" xr:uid="{00000000-0005-0000-0000-0000485E0000}"/>
    <cellStyle name="40% - Accent6 4 2 2 2 2 3 3" xfId="24090" xr:uid="{00000000-0005-0000-0000-0000495E0000}"/>
    <cellStyle name="40% - Accent6 4 2 2 2 2 4" xfId="24091" xr:uid="{00000000-0005-0000-0000-00004A5E0000}"/>
    <cellStyle name="40% - Accent6 4 2 2 2 2 4 2" xfId="24092" xr:uid="{00000000-0005-0000-0000-00004B5E0000}"/>
    <cellStyle name="40% - Accent6 4 2 2 2 2 5" xfId="24093" xr:uid="{00000000-0005-0000-0000-00004C5E0000}"/>
    <cellStyle name="40% - Accent6 4 2 2 2 3" xfId="24094" xr:uid="{00000000-0005-0000-0000-00004D5E0000}"/>
    <cellStyle name="40% - Accent6 4 2 2 2 3 2" xfId="24095" xr:uid="{00000000-0005-0000-0000-00004E5E0000}"/>
    <cellStyle name="40% - Accent6 4 2 2 2 3 2 2" xfId="24096" xr:uid="{00000000-0005-0000-0000-00004F5E0000}"/>
    <cellStyle name="40% - Accent6 4 2 2 2 3 2 2 2" xfId="24097" xr:uid="{00000000-0005-0000-0000-0000505E0000}"/>
    <cellStyle name="40% - Accent6 4 2 2 2 3 2 3" xfId="24098" xr:uid="{00000000-0005-0000-0000-0000515E0000}"/>
    <cellStyle name="40% - Accent6 4 2 2 2 3 3" xfId="24099" xr:uid="{00000000-0005-0000-0000-0000525E0000}"/>
    <cellStyle name="40% - Accent6 4 2 2 2 3 3 2" xfId="24100" xr:uid="{00000000-0005-0000-0000-0000535E0000}"/>
    <cellStyle name="40% - Accent6 4 2 2 2 3 4" xfId="24101" xr:uid="{00000000-0005-0000-0000-0000545E0000}"/>
    <cellStyle name="40% - Accent6 4 2 2 2 4" xfId="24102" xr:uid="{00000000-0005-0000-0000-0000555E0000}"/>
    <cellStyle name="40% - Accent6 4 2 2 2 4 2" xfId="24103" xr:uid="{00000000-0005-0000-0000-0000565E0000}"/>
    <cellStyle name="40% - Accent6 4 2 2 2 4 2 2" xfId="24104" xr:uid="{00000000-0005-0000-0000-0000575E0000}"/>
    <cellStyle name="40% - Accent6 4 2 2 2 4 3" xfId="24105" xr:uid="{00000000-0005-0000-0000-0000585E0000}"/>
    <cellStyle name="40% - Accent6 4 2 2 2 5" xfId="24106" xr:uid="{00000000-0005-0000-0000-0000595E0000}"/>
    <cellStyle name="40% - Accent6 4 2 2 2 5 2" xfId="24107" xr:uid="{00000000-0005-0000-0000-00005A5E0000}"/>
    <cellStyle name="40% - Accent6 4 2 2 2 6" xfId="24108" xr:uid="{00000000-0005-0000-0000-00005B5E0000}"/>
    <cellStyle name="40% - Accent6 4 2 2 3" xfId="24109" xr:uid="{00000000-0005-0000-0000-00005C5E0000}"/>
    <cellStyle name="40% - Accent6 4 2 2 3 2" xfId="24110" xr:uid="{00000000-0005-0000-0000-00005D5E0000}"/>
    <cellStyle name="40% - Accent6 4 2 2 3 2 2" xfId="24111" xr:uid="{00000000-0005-0000-0000-00005E5E0000}"/>
    <cellStyle name="40% - Accent6 4 2 2 3 2 2 2" xfId="24112" xr:uid="{00000000-0005-0000-0000-00005F5E0000}"/>
    <cellStyle name="40% - Accent6 4 2 2 3 2 2 2 2" xfId="24113" xr:uid="{00000000-0005-0000-0000-0000605E0000}"/>
    <cellStyle name="40% - Accent6 4 2 2 3 2 2 3" xfId="24114" xr:uid="{00000000-0005-0000-0000-0000615E0000}"/>
    <cellStyle name="40% - Accent6 4 2 2 3 2 3" xfId="24115" xr:uid="{00000000-0005-0000-0000-0000625E0000}"/>
    <cellStyle name="40% - Accent6 4 2 2 3 2 3 2" xfId="24116" xr:uid="{00000000-0005-0000-0000-0000635E0000}"/>
    <cellStyle name="40% - Accent6 4 2 2 3 2 4" xfId="24117" xr:uid="{00000000-0005-0000-0000-0000645E0000}"/>
    <cellStyle name="40% - Accent6 4 2 2 3 3" xfId="24118" xr:uid="{00000000-0005-0000-0000-0000655E0000}"/>
    <cellStyle name="40% - Accent6 4 2 2 3 3 2" xfId="24119" xr:uid="{00000000-0005-0000-0000-0000665E0000}"/>
    <cellStyle name="40% - Accent6 4 2 2 3 3 2 2" xfId="24120" xr:uid="{00000000-0005-0000-0000-0000675E0000}"/>
    <cellStyle name="40% - Accent6 4 2 2 3 3 3" xfId="24121" xr:uid="{00000000-0005-0000-0000-0000685E0000}"/>
    <cellStyle name="40% - Accent6 4 2 2 3 4" xfId="24122" xr:uid="{00000000-0005-0000-0000-0000695E0000}"/>
    <cellStyle name="40% - Accent6 4 2 2 3 4 2" xfId="24123" xr:uid="{00000000-0005-0000-0000-00006A5E0000}"/>
    <cellStyle name="40% - Accent6 4 2 2 3 5" xfId="24124" xr:uid="{00000000-0005-0000-0000-00006B5E0000}"/>
    <cellStyle name="40% - Accent6 4 2 2 4" xfId="24125" xr:uid="{00000000-0005-0000-0000-00006C5E0000}"/>
    <cellStyle name="40% - Accent6 4 2 2 4 2" xfId="24126" xr:uid="{00000000-0005-0000-0000-00006D5E0000}"/>
    <cellStyle name="40% - Accent6 4 2 2 4 2 2" xfId="24127" xr:uid="{00000000-0005-0000-0000-00006E5E0000}"/>
    <cellStyle name="40% - Accent6 4 2 2 4 2 2 2" xfId="24128" xr:uid="{00000000-0005-0000-0000-00006F5E0000}"/>
    <cellStyle name="40% - Accent6 4 2 2 4 2 3" xfId="24129" xr:uid="{00000000-0005-0000-0000-0000705E0000}"/>
    <cellStyle name="40% - Accent6 4 2 2 4 3" xfId="24130" xr:uid="{00000000-0005-0000-0000-0000715E0000}"/>
    <cellStyle name="40% - Accent6 4 2 2 4 3 2" xfId="24131" xr:uid="{00000000-0005-0000-0000-0000725E0000}"/>
    <cellStyle name="40% - Accent6 4 2 2 4 4" xfId="24132" xr:uid="{00000000-0005-0000-0000-0000735E0000}"/>
    <cellStyle name="40% - Accent6 4 2 2 5" xfId="24133" xr:uid="{00000000-0005-0000-0000-0000745E0000}"/>
    <cellStyle name="40% - Accent6 4 2 2 5 2" xfId="24134" xr:uid="{00000000-0005-0000-0000-0000755E0000}"/>
    <cellStyle name="40% - Accent6 4 2 2 5 2 2" xfId="24135" xr:uid="{00000000-0005-0000-0000-0000765E0000}"/>
    <cellStyle name="40% - Accent6 4 2 2 5 3" xfId="24136" xr:uid="{00000000-0005-0000-0000-0000775E0000}"/>
    <cellStyle name="40% - Accent6 4 2 2 6" xfId="24137" xr:uid="{00000000-0005-0000-0000-0000785E0000}"/>
    <cellStyle name="40% - Accent6 4 2 2 6 2" xfId="24138" xr:uid="{00000000-0005-0000-0000-0000795E0000}"/>
    <cellStyle name="40% - Accent6 4 2 2 7" xfId="24139" xr:uid="{00000000-0005-0000-0000-00007A5E0000}"/>
    <cellStyle name="40% - Accent6 4 2 3" xfId="24140" xr:uid="{00000000-0005-0000-0000-00007B5E0000}"/>
    <cellStyle name="40% - Accent6 4 2 3 2" xfId="24141" xr:uid="{00000000-0005-0000-0000-00007C5E0000}"/>
    <cellStyle name="40% - Accent6 4 2 3 2 2" xfId="24142" xr:uid="{00000000-0005-0000-0000-00007D5E0000}"/>
    <cellStyle name="40% - Accent6 4 2 3 2 2 2" xfId="24143" xr:uid="{00000000-0005-0000-0000-00007E5E0000}"/>
    <cellStyle name="40% - Accent6 4 2 3 2 2 2 2" xfId="24144" xr:uid="{00000000-0005-0000-0000-00007F5E0000}"/>
    <cellStyle name="40% - Accent6 4 2 3 2 2 2 2 2" xfId="24145" xr:uid="{00000000-0005-0000-0000-0000805E0000}"/>
    <cellStyle name="40% - Accent6 4 2 3 2 2 2 3" xfId="24146" xr:uid="{00000000-0005-0000-0000-0000815E0000}"/>
    <cellStyle name="40% - Accent6 4 2 3 2 2 3" xfId="24147" xr:uid="{00000000-0005-0000-0000-0000825E0000}"/>
    <cellStyle name="40% - Accent6 4 2 3 2 2 3 2" xfId="24148" xr:uid="{00000000-0005-0000-0000-0000835E0000}"/>
    <cellStyle name="40% - Accent6 4 2 3 2 2 4" xfId="24149" xr:uid="{00000000-0005-0000-0000-0000845E0000}"/>
    <cellStyle name="40% - Accent6 4 2 3 2 3" xfId="24150" xr:uid="{00000000-0005-0000-0000-0000855E0000}"/>
    <cellStyle name="40% - Accent6 4 2 3 2 3 2" xfId="24151" xr:uid="{00000000-0005-0000-0000-0000865E0000}"/>
    <cellStyle name="40% - Accent6 4 2 3 2 3 2 2" xfId="24152" xr:uid="{00000000-0005-0000-0000-0000875E0000}"/>
    <cellStyle name="40% - Accent6 4 2 3 2 3 3" xfId="24153" xr:uid="{00000000-0005-0000-0000-0000885E0000}"/>
    <cellStyle name="40% - Accent6 4 2 3 2 4" xfId="24154" xr:uid="{00000000-0005-0000-0000-0000895E0000}"/>
    <cellStyle name="40% - Accent6 4 2 3 2 4 2" xfId="24155" xr:uid="{00000000-0005-0000-0000-00008A5E0000}"/>
    <cellStyle name="40% - Accent6 4 2 3 2 5" xfId="24156" xr:uid="{00000000-0005-0000-0000-00008B5E0000}"/>
    <cellStyle name="40% - Accent6 4 2 3 3" xfId="24157" xr:uid="{00000000-0005-0000-0000-00008C5E0000}"/>
    <cellStyle name="40% - Accent6 4 2 3 3 2" xfId="24158" xr:uid="{00000000-0005-0000-0000-00008D5E0000}"/>
    <cellStyle name="40% - Accent6 4 2 3 3 2 2" xfId="24159" xr:uid="{00000000-0005-0000-0000-00008E5E0000}"/>
    <cellStyle name="40% - Accent6 4 2 3 3 2 2 2" xfId="24160" xr:uid="{00000000-0005-0000-0000-00008F5E0000}"/>
    <cellStyle name="40% - Accent6 4 2 3 3 2 3" xfId="24161" xr:uid="{00000000-0005-0000-0000-0000905E0000}"/>
    <cellStyle name="40% - Accent6 4 2 3 3 3" xfId="24162" xr:uid="{00000000-0005-0000-0000-0000915E0000}"/>
    <cellStyle name="40% - Accent6 4 2 3 3 3 2" xfId="24163" xr:uid="{00000000-0005-0000-0000-0000925E0000}"/>
    <cellStyle name="40% - Accent6 4 2 3 3 4" xfId="24164" xr:uid="{00000000-0005-0000-0000-0000935E0000}"/>
    <cellStyle name="40% - Accent6 4 2 3 4" xfId="24165" xr:uid="{00000000-0005-0000-0000-0000945E0000}"/>
    <cellStyle name="40% - Accent6 4 2 3 4 2" xfId="24166" xr:uid="{00000000-0005-0000-0000-0000955E0000}"/>
    <cellStyle name="40% - Accent6 4 2 3 4 2 2" xfId="24167" xr:uid="{00000000-0005-0000-0000-0000965E0000}"/>
    <cellStyle name="40% - Accent6 4 2 3 4 3" xfId="24168" xr:uid="{00000000-0005-0000-0000-0000975E0000}"/>
    <cellStyle name="40% - Accent6 4 2 3 5" xfId="24169" xr:uid="{00000000-0005-0000-0000-0000985E0000}"/>
    <cellStyle name="40% - Accent6 4 2 3 5 2" xfId="24170" xr:uid="{00000000-0005-0000-0000-0000995E0000}"/>
    <cellStyle name="40% - Accent6 4 2 3 6" xfId="24171" xr:uid="{00000000-0005-0000-0000-00009A5E0000}"/>
    <cellStyle name="40% - Accent6 4 2 4" xfId="24172" xr:uid="{00000000-0005-0000-0000-00009B5E0000}"/>
    <cellStyle name="40% - Accent6 4 2 4 2" xfId="24173" xr:uid="{00000000-0005-0000-0000-00009C5E0000}"/>
    <cellStyle name="40% - Accent6 4 2 4 2 2" xfId="24174" xr:uid="{00000000-0005-0000-0000-00009D5E0000}"/>
    <cellStyle name="40% - Accent6 4 2 4 2 2 2" xfId="24175" xr:uid="{00000000-0005-0000-0000-00009E5E0000}"/>
    <cellStyle name="40% - Accent6 4 2 4 2 2 2 2" xfId="24176" xr:uid="{00000000-0005-0000-0000-00009F5E0000}"/>
    <cellStyle name="40% - Accent6 4 2 4 2 2 3" xfId="24177" xr:uid="{00000000-0005-0000-0000-0000A05E0000}"/>
    <cellStyle name="40% - Accent6 4 2 4 2 3" xfId="24178" xr:uid="{00000000-0005-0000-0000-0000A15E0000}"/>
    <cellStyle name="40% - Accent6 4 2 4 2 3 2" xfId="24179" xr:uid="{00000000-0005-0000-0000-0000A25E0000}"/>
    <cellStyle name="40% - Accent6 4 2 4 2 4" xfId="24180" xr:uid="{00000000-0005-0000-0000-0000A35E0000}"/>
    <cellStyle name="40% - Accent6 4 2 4 3" xfId="24181" xr:uid="{00000000-0005-0000-0000-0000A45E0000}"/>
    <cellStyle name="40% - Accent6 4 2 4 3 2" xfId="24182" xr:uid="{00000000-0005-0000-0000-0000A55E0000}"/>
    <cellStyle name="40% - Accent6 4 2 4 3 2 2" xfId="24183" xr:uid="{00000000-0005-0000-0000-0000A65E0000}"/>
    <cellStyle name="40% - Accent6 4 2 4 3 3" xfId="24184" xr:uid="{00000000-0005-0000-0000-0000A75E0000}"/>
    <cellStyle name="40% - Accent6 4 2 4 4" xfId="24185" xr:uid="{00000000-0005-0000-0000-0000A85E0000}"/>
    <cellStyle name="40% - Accent6 4 2 4 4 2" xfId="24186" xr:uid="{00000000-0005-0000-0000-0000A95E0000}"/>
    <cellStyle name="40% - Accent6 4 2 4 5" xfId="24187" xr:uid="{00000000-0005-0000-0000-0000AA5E0000}"/>
    <cellStyle name="40% - Accent6 4 2 5" xfId="24188" xr:uid="{00000000-0005-0000-0000-0000AB5E0000}"/>
    <cellStyle name="40% - Accent6 4 2 5 2" xfId="24189" xr:uid="{00000000-0005-0000-0000-0000AC5E0000}"/>
    <cellStyle name="40% - Accent6 4 2 5 2 2" xfId="24190" xr:uid="{00000000-0005-0000-0000-0000AD5E0000}"/>
    <cellStyle name="40% - Accent6 4 2 5 2 2 2" xfId="24191" xr:uid="{00000000-0005-0000-0000-0000AE5E0000}"/>
    <cellStyle name="40% - Accent6 4 2 5 2 3" xfId="24192" xr:uid="{00000000-0005-0000-0000-0000AF5E0000}"/>
    <cellStyle name="40% - Accent6 4 2 5 3" xfId="24193" xr:uid="{00000000-0005-0000-0000-0000B05E0000}"/>
    <cellStyle name="40% - Accent6 4 2 5 3 2" xfId="24194" xr:uid="{00000000-0005-0000-0000-0000B15E0000}"/>
    <cellStyle name="40% - Accent6 4 2 5 4" xfId="24195" xr:uid="{00000000-0005-0000-0000-0000B25E0000}"/>
    <cellStyle name="40% - Accent6 4 2 6" xfId="24196" xr:uid="{00000000-0005-0000-0000-0000B35E0000}"/>
    <cellStyle name="40% - Accent6 4 2 6 2" xfId="24197" xr:uid="{00000000-0005-0000-0000-0000B45E0000}"/>
    <cellStyle name="40% - Accent6 4 2 6 2 2" xfId="24198" xr:uid="{00000000-0005-0000-0000-0000B55E0000}"/>
    <cellStyle name="40% - Accent6 4 2 6 3" xfId="24199" xr:uid="{00000000-0005-0000-0000-0000B65E0000}"/>
    <cellStyle name="40% - Accent6 4 2 7" xfId="24200" xr:uid="{00000000-0005-0000-0000-0000B75E0000}"/>
    <cellStyle name="40% - Accent6 4 2 7 2" xfId="24201" xr:uid="{00000000-0005-0000-0000-0000B85E0000}"/>
    <cellStyle name="40% - Accent6 4 2 8" xfId="24202" xr:uid="{00000000-0005-0000-0000-0000B95E0000}"/>
    <cellStyle name="40% - Accent6 4 3" xfId="24203" xr:uid="{00000000-0005-0000-0000-0000BA5E0000}"/>
    <cellStyle name="40% - Accent6 4 3 2" xfId="24204" xr:uid="{00000000-0005-0000-0000-0000BB5E0000}"/>
    <cellStyle name="40% - Accent6 4 3 2 2" xfId="24205" xr:uid="{00000000-0005-0000-0000-0000BC5E0000}"/>
    <cellStyle name="40% - Accent6 4 3 2 2 2" xfId="24206" xr:uid="{00000000-0005-0000-0000-0000BD5E0000}"/>
    <cellStyle name="40% - Accent6 4 3 2 2 2 2" xfId="24207" xr:uid="{00000000-0005-0000-0000-0000BE5E0000}"/>
    <cellStyle name="40% - Accent6 4 3 2 2 2 2 2" xfId="24208" xr:uid="{00000000-0005-0000-0000-0000BF5E0000}"/>
    <cellStyle name="40% - Accent6 4 3 2 2 2 2 2 2" xfId="24209" xr:uid="{00000000-0005-0000-0000-0000C05E0000}"/>
    <cellStyle name="40% - Accent6 4 3 2 2 2 2 3" xfId="24210" xr:uid="{00000000-0005-0000-0000-0000C15E0000}"/>
    <cellStyle name="40% - Accent6 4 3 2 2 2 3" xfId="24211" xr:uid="{00000000-0005-0000-0000-0000C25E0000}"/>
    <cellStyle name="40% - Accent6 4 3 2 2 2 3 2" xfId="24212" xr:uid="{00000000-0005-0000-0000-0000C35E0000}"/>
    <cellStyle name="40% - Accent6 4 3 2 2 2 4" xfId="24213" xr:uid="{00000000-0005-0000-0000-0000C45E0000}"/>
    <cellStyle name="40% - Accent6 4 3 2 2 3" xfId="24214" xr:uid="{00000000-0005-0000-0000-0000C55E0000}"/>
    <cellStyle name="40% - Accent6 4 3 2 2 3 2" xfId="24215" xr:uid="{00000000-0005-0000-0000-0000C65E0000}"/>
    <cellStyle name="40% - Accent6 4 3 2 2 3 2 2" xfId="24216" xr:uid="{00000000-0005-0000-0000-0000C75E0000}"/>
    <cellStyle name="40% - Accent6 4 3 2 2 3 3" xfId="24217" xr:uid="{00000000-0005-0000-0000-0000C85E0000}"/>
    <cellStyle name="40% - Accent6 4 3 2 2 4" xfId="24218" xr:uid="{00000000-0005-0000-0000-0000C95E0000}"/>
    <cellStyle name="40% - Accent6 4 3 2 2 4 2" xfId="24219" xr:uid="{00000000-0005-0000-0000-0000CA5E0000}"/>
    <cellStyle name="40% - Accent6 4 3 2 2 5" xfId="24220" xr:uid="{00000000-0005-0000-0000-0000CB5E0000}"/>
    <cellStyle name="40% - Accent6 4 3 2 3" xfId="24221" xr:uid="{00000000-0005-0000-0000-0000CC5E0000}"/>
    <cellStyle name="40% - Accent6 4 3 2 3 2" xfId="24222" xr:uid="{00000000-0005-0000-0000-0000CD5E0000}"/>
    <cellStyle name="40% - Accent6 4 3 2 3 2 2" xfId="24223" xr:uid="{00000000-0005-0000-0000-0000CE5E0000}"/>
    <cellStyle name="40% - Accent6 4 3 2 3 2 2 2" xfId="24224" xr:uid="{00000000-0005-0000-0000-0000CF5E0000}"/>
    <cellStyle name="40% - Accent6 4 3 2 3 2 3" xfId="24225" xr:uid="{00000000-0005-0000-0000-0000D05E0000}"/>
    <cellStyle name="40% - Accent6 4 3 2 3 3" xfId="24226" xr:uid="{00000000-0005-0000-0000-0000D15E0000}"/>
    <cellStyle name="40% - Accent6 4 3 2 3 3 2" xfId="24227" xr:uid="{00000000-0005-0000-0000-0000D25E0000}"/>
    <cellStyle name="40% - Accent6 4 3 2 3 4" xfId="24228" xr:uid="{00000000-0005-0000-0000-0000D35E0000}"/>
    <cellStyle name="40% - Accent6 4 3 2 4" xfId="24229" xr:uid="{00000000-0005-0000-0000-0000D45E0000}"/>
    <cellStyle name="40% - Accent6 4 3 2 4 2" xfId="24230" xr:uid="{00000000-0005-0000-0000-0000D55E0000}"/>
    <cellStyle name="40% - Accent6 4 3 2 4 2 2" xfId="24231" xr:uid="{00000000-0005-0000-0000-0000D65E0000}"/>
    <cellStyle name="40% - Accent6 4 3 2 4 3" xfId="24232" xr:uid="{00000000-0005-0000-0000-0000D75E0000}"/>
    <cellStyle name="40% - Accent6 4 3 2 5" xfId="24233" xr:uid="{00000000-0005-0000-0000-0000D85E0000}"/>
    <cellStyle name="40% - Accent6 4 3 2 5 2" xfId="24234" xr:uid="{00000000-0005-0000-0000-0000D95E0000}"/>
    <cellStyle name="40% - Accent6 4 3 2 6" xfId="24235" xr:uid="{00000000-0005-0000-0000-0000DA5E0000}"/>
    <cellStyle name="40% - Accent6 4 3 3" xfId="24236" xr:uid="{00000000-0005-0000-0000-0000DB5E0000}"/>
    <cellStyle name="40% - Accent6 4 3 3 2" xfId="24237" xr:uid="{00000000-0005-0000-0000-0000DC5E0000}"/>
    <cellStyle name="40% - Accent6 4 3 3 2 2" xfId="24238" xr:uid="{00000000-0005-0000-0000-0000DD5E0000}"/>
    <cellStyle name="40% - Accent6 4 3 3 2 2 2" xfId="24239" xr:uid="{00000000-0005-0000-0000-0000DE5E0000}"/>
    <cellStyle name="40% - Accent6 4 3 3 2 2 2 2" xfId="24240" xr:uid="{00000000-0005-0000-0000-0000DF5E0000}"/>
    <cellStyle name="40% - Accent6 4 3 3 2 2 3" xfId="24241" xr:uid="{00000000-0005-0000-0000-0000E05E0000}"/>
    <cellStyle name="40% - Accent6 4 3 3 2 3" xfId="24242" xr:uid="{00000000-0005-0000-0000-0000E15E0000}"/>
    <cellStyle name="40% - Accent6 4 3 3 2 3 2" xfId="24243" xr:uid="{00000000-0005-0000-0000-0000E25E0000}"/>
    <cellStyle name="40% - Accent6 4 3 3 2 4" xfId="24244" xr:uid="{00000000-0005-0000-0000-0000E35E0000}"/>
    <cellStyle name="40% - Accent6 4 3 3 3" xfId="24245" xr:uid="{00000000-0005-0000-0000-0000E45E0000}"/>
    <cellStyle name="40% - Accent6 4 3 3 3 2" xfId="24246" xr:uid="{00000000-0005-0000-0000-0000E55E0000}"/>
    <cellStyle name="40% - Accent6 4 3 3 3 2 2" xfId="24247" xr:uid="{00000000-0005-0000-0000-0000E65E0000}"/>
    <cellStyle name="40% - Accent6 4 3 3 3 3" xfId="24248" xr:uid="{00000000-0005-0000-0000-0000E75E0000}"/>
    <cellStyle name="40% - Accent6 4 3 3 4" xfId="24249" xr:uid="{00000000-0005-0000-0000-0000E85E0000}"/>
    <cellStyle name="40% - Accent6 4 3 3 4 2" xfId="24250" xr:uid="{00000000-0005-0000-0000-0000E95E0000}"/>
    <cellStyle name="40% - Accent6 4 3 3 5" xfId="24251" xr:uid="{00000000-0005-0000-0000-0000EA5E0000}"/>
    <cellStyle name="40% - Accent6 4 3 4" xfId="24252" xr:uid="{00000000-0005-0000-0000-0000EB5E0000}"/>
    <cellStyle name="40% - Accent6 4 3 4 2" xfId="24253" xr:uid="{00000000-0005-0000-0000-0000EC5E0000}"/>
    <cellStyle name="40% - Accent6 4 3 4 2 2" xfId="24254" xr:uid="{00000000-0005-0000-0000-0000ED5E0000}"/>
    <cellStyle name="40% - Accent6 4 3 4 2 2 2" xfId="24255" xr:uid="{00000000-0005-0000-0000-0000EE5E0000}"/>
    <cellStyle name="40% - Accent6 4 3 4 2 3" xfId="24256" xr:uid="{00000000-0005-0000-0000-0000EF5E0000}"/>
    <cellStyle name="40% - Accent6 4 3 4 3" xfId="24257" xr:uid="{00000000-0005-0000-0000-0000F05E0000}"/>
    <cellStyle name="40% - Accent6 4 3 4 3 2" xfId="24258" xr:uid="{00000000-0005-0000-0000-0000F15E0000}"/>
    <cellStyle name="40% - Accent6 4 3 4 4" xfId="24259" xr:uid="{00000000-0005-0000-0000-0000F25E0000}"/>
    <cellStyle name="40% - Accent6 4 3 5" xfId="24260" xr:uid="{00000000-0005-0000-0000-0000F35E0000}"/>
    <cellStyle name="40% - Accent6 4 3 5 2" xfId="24261" xr:uid="{00000000-0005-0000-0000-0000F45E0000}"/>
    <cellStyle name="40% - Accent6 4 3 5 2 2" xfId="24262" xr:uid="{00000000-0005-0000-0000-0000F55E0000}"/>
    <cellStyle name="40% - Accent6 4 3 5 3" xfId="24263" xr:uid="{00000000-0005-0000-0000-0000F65E0000}"/>
    <cellStyle name="40% - Accent6 4 3 6" xfId="24264" xr:uid="{00000000-0005-0000-0000-0000F75E0000}"/>
    <cellStyle name="40% - Accent6 4 3 6 2" xfId="24265" xr:uid="{00000000-0005-0000-0000-0000F85E0000}"/>
    <cellStyle name="40% - Accent6 4 3 7" xfId="24266" xr:uid="{00000000-0005-0000-0000-0000F95E0000}"/>
    <cellStyle name="40% - Accent6 4 4" xfId="24267" xr:uid="{00000000-0005-0000-0000-0000FA5E0000}"/>
    <cellStyle name="40% - Accent6 4 4 2" xfId="24268" xr:uid="{00000000-0005-0000-0000-0000FB5E0000}"/>
    <cellStyle name="40% - Accent6 4 4 2 2" xfId="24269" xr:uid="{00000000-0005-0000-0000-0000FC5E0000}"/>
    <cellStyle name="40% - Accent6 4 4 2 2 2" xfId="24270" xr:uid="{00000000-0005-0000-0000-0000FD5E0000}"/>
    <cellStyle name="40% - Accent6 4 4 2 2 2 2" xfId="24271" xr:uid="{00000000-0005-0000-0000-0000FE5E0000}"/>
    <cellStyle name="40% - Accent6 4 4 2 2 2 2 2" xfId="24272" xr:uid="{00000000-0005-0000-0000-0000FF5E0000}"/>
    <cellStyle name="40% - Accent6 4 4 2 2 2 3" xfId="24273" xr:uid="{00000000-0005-0000-0000-0000005F0000}"/>
    <cellStyle name="40% - Accent6 4 4 2 2 3" xfId="24274" xr:uid="{00000000-0005-0000-0000-0000015F0000}"/>
    <cellStyle name="40% - Accent6 4 4 2 2 3 2" xfId="24275" xr:uid="{00000000-0005-0000-0000-0000025F0000}"/>
    <cellStyle name="40% - Accent6 4 4 2 2 4" xfId="24276" xr:uid="{00000000-0005-0000-0000-0000035F0000}"/>
    <cellStyle name="40% - Accent6 4 4 2 3" xfId="24277" xr:uid="{00000000-0005-0000-0000-0000045F0000}"/>
    <cellStyle name="40% - Accent6 4 4 2 3 2" xfId="24278" xr:uid="{00000000-0005-0000-0000-0000055F0000}"/>
    <cellStyle name="40% - Accent6 4 4 2 3 2 2" xfId="24279" xr:uid="{00000000-0005-0000-0000-0000065F0000}"/>
    <cellStyle name="40% - Accent6 4 4 2 3 3" xfId="24280" xr:uid="{00000000-0005-0000-0000-0000075F0000}"/>
    <cellStyle name="40% - Accent6 4 4 2 4" xfId="24281" xr:uid="{00000000-0005-0000-0000-0000085F0000}"/>
    <cellStyle name="40% - Accent6 4 4 2 4 2" xfId="24282" xr:uid="{00000000-0005-0000-0000-0000095F0000}"/>
    <cellStyle name="40% - Accent6 4 4 2 5" xfId="24283" xr:uid="{00000000-0005-0000-0000-00000A5F0000}"/>
    <cellStyle name="40% - Accent6 4 4 3" xfId="24284" xr:uid="{00000000-0005-0000-0000-00000B5F0000}"/>
    <cellStyle name="40% - Accent6 4 4 3 2" xfId="24285" xr:uid="{00000000-0005-0000-0000-00000C5F0000}"/>
    <cellStyle name="40% - Accent6 4 4 3 2 2" xfId="24286" xr:uid="{00000000-0005-0000-0000-00000D5F0000}"/>
    <cellStyle name="40% - Accent6 4 4 3 2 2 2" xfId="24287" xr:uid="{00000000-0005-0000-0000-00000E5F0000}"/>
    <cellStyle name="40% - Accent6 4 4 3 2 3" xfId="24288" xr:uid="{00000000-0005-0000-0000-00000F5F0000}"/>
    <cellStyle name="40% - Accent6 4 4 3 3" xfId="24289" xr:uid="{00000000-0005-0000-0000-0000105F0000}"/>
    <cellStyle name="40% - Accent6 4 4 3 3 2" xfId="24290" xr:uid="{00000000-0005-0000-0000-0000115F0000}"/>
    <cellStyle name="40% - Accent6 4 4 3 4" xfId="24291" xr:uid="{00000000-0005-0000-0000-0000125F0000}"/>
    <cellStyle name="40% - Accent6 4 4 4" xfId="24292" xr:uid="{00000000-0005-0000-0000-0000135F0000}"/>
    <cellStyle name="40% - Accent6 4 4 4 2" xfId="24293" xr:uid="{00000000-0005-0000-0000-0000145F0000}"/>
    <cellStyle name="40% - Accent6 4 4 4 2 2" xfId="24294" xr:uid="{00000000-0005-0000-0000-0000155F0000}"/>
    <cellStyle name="40% - Accent6 4 4 4 3" xfId="24295" xr:uid="{00000000-0005-0000-0000-0000165F0000}"/>
    <cellStyle name="40% - Accent6 4 4 5" xfId="24296" xr:uid="{00000000-0005-0000-0000-0000175F0000}"/>
    <cellStyle name="40% - Accent6 4 4 5 2" xfId="24297" xr:uid="{00000000-0005-0000-0000-0000185F0000}"/>
    <cellStyle name="40% - Accent6 4 4 6" xfId="24298" xr:uid="{00000000-0005-0000-0000-0000195F0000}"/>
    <cellStyle name="40% - Accent6 4 5" xfId="24299" xr:uid="{00000000-0005-0000-0000-00001A5F0000}"/>
    <cellStyle name="40% - Accent6 4 5 2" xfId="24300" xr:uid="{00000000-0005-0000-0000-00001B5F0000}"/>
    <cellStyle name="40% - Accent6 4 5 2 2" xfId="24301" xr:uid="{00000000-0005-0000-0000-00001C5F0000}"/>
    <cellStyle name="40% - Accent6 4 5 2 2 2" xfId="24302" xr:uid="{00000000-0005-0000-0000-00001D5F0000}"/>
    <cellStyle name="40% - Accent6 4 5 2 2 2 2" xfId="24303" xr:uid="{00000000-0005-0000-0000-00001E5F0000}"/>
    <cellStyle name="40% - Accent6 4 5 2 2 3" xfId="24304" xr:uid="{00000000-0005-0000-0000-00001F5F0000}"/>
    <cellStyle name="40% - Accent6 4 5 2 3" xfId="24305" xr:uid="{00000000-0005-0000-0000-0000205F0000}"/>
    <cellStyle name="40% - Accent6 4 5 2 3 2" xfId="24306" xr:uid="{00000000-0005-0000-0000-0000215F0000}"/>
    <cellStyle name="40% - Accent6 4 5 2 4" xfId="24307" xr:uid="{00000000-0005-0000-0000-0000225F0000}"/>
    <cellStyle name="40% - Accent6 4 5 3" xfId="24308" xr:uid="{00000000-0005-0000-0000-0000235F0000}"/>
    <cellStyle name="40% - Accent6 4 5 3 2" xfId="24309" xr:uid="{00000000-0005-0000-0000-0000245F0000}"/>
    <cellStyle name="40% - Accent6 4 5 3 2 2" xfId="24310" xr:uid="{00000000-0005-0000-0000-0000255F0000}"/>
    <cellStyle name="40% - Accent6 4 5 3 3" xfId="24311" xr:uid="{00000000-0005-0000-0000-0000265F0000}"/>
    <cellStyle name="40% - Accent6 4 5 4" xfId="24312" xr:uid="{00000000-0005-0000-0000-0000275F0000}"/>
    <cellStyle name="40% - Accent6 4 5 4 2" xfId="24313" xr:uid="{00000000-0005-0000-0000-0000285F0000}"/>
    <cellStyle name="40% - Accent6 4 5 5" xfId="24314" xr:uid="{00000000-0005-0000-0000-0000295F0000}"/>
    <cellStyle name="40% - Accent6 4 6" xfId="24315" xr:uid="{00000000-0005-0000-0000-00002A5F0000}"/>
    <cellStyle name="40% - Accent6 4 6 2" xfId="24316" xr:uid="{00000000-0005-0000-0000-00002B5F0000}"/>
    <cellStyle name="40% - Accent6 4 6 2 2" xfId="24317" xr:uid="{00000000-0005-0000-0000-00002C5F0000}"/>
    <cellStyle name="40% - Accent6 4 6 2 2 2" xfId="24318" xr:uid="{00000000-0005-0000-0000-00002D5F0000}"/>
    <cellStyle name="40% - Accent6 4 6 2 3" xfId="24319" xr:uid="{00000000-0005-0000-0000-00002E5F0000}"/>
    <cellStyle name="40% - Accent6 4 6 3" xfId="24320" xr:uid="{00000000-0005-0000-0000-00002F5F0000}"/>
    <cellStyle name="40% - Accent6 4 6 3 2" xfId="24321" xr:uid="{00000000-0005-0000-0000-0000305F0000}"/>
    <cellStyle name="40% - Accent6 4 6 4" xfId="24322" xr:uid="{00000000-0005-0000-0000-0000315F0000}"/>
    <cellStyle name="40% - Accent6 4 7" xfId="24323" xr:uid="{00000000-0005-0000-0000-0000325F0000}"/>
    <cellStyle name="40% - Accent6 4 7 2" xfId="24324" xr:uid="{00000000-0005-0000-0000-0000335F0000}"/>
    <cellStyle name="40% - Accent6 4 7 2 2" xfId="24325" xr:uid="{00000000-0005-0000-0000-0000345F0000}"/>
    <cellStyle name="40% - Accent6 4 7 3" xfId="24326" xr:uid="{00000000-0005-0000-0000-0000355F0000}"/>
    <cellStyle name="40% - Accent6 4 8" xfId="24327" xr:uid="{00000000-0005-0000-0000-0000365F0000}"/>
    <cellStyle name="40% - Accent6 4 8 2" xfId="24328" xr:uid="{00000000-0005-0000-0000-0000375F0000}"/>
    <cellStyle name="40% - Accent6 4 9" xfId="24329" xr:uid="{00000000-0005-0000-0000-0000385F0000}"/>
    <cellStyle name="40% - Accent6 5" xfId="24330" xr:uid="{00000000-0005-0000-0000-0000395F0000}"/>
    <cellStyle name="40% - Accent6 5 2" xfId="24331" xr:uid="{00000000-0005-0000-0000-00003A5F0000}"/>
    <cellStyle name="40% - Accent6 5 2 2" xfId="24332" xr:uid="{00000000-0005-0000-0000-00003B5F0000}"/>
    <cellStyle name="40% - Accent6 5 2 2 2" xfId="24333" xr:uid="{00000000-0005-0000-0000-00003C5F0000}"/>
    <cellStyle name="40% - Accent6 5 2 2 2 2" xfId="24334" xr:uid="{00000000-0005-0000-0000-00003D5F0000}"/>
    <cellStyle name="40% - Accent6 5 2 2 2 2 2" xfId="24335" xr:uid="{00000000-0005-0000-0000-00003E5F0000}"/>
    <cellStyle name="40% - Accent6 5 2 2 2 2 2 2" xfId="24336" xr:uid="{00000000-0005-0000-0000-00003F5F0000}"/>
    <cellStyle name="40% - Accent6 5 2 2 2 2 2 2 2" xfId="24337" xr:uid="{00000000-0005-0000-0000-0000405F0000}"/>
    <cellStyle name="40% - Accent6 5 2 2 2 2 2 3" xfId="24338" xr:uid="{00000000-0005-0000-0000-0000415F0000}"/>
    <cellStyle name="40% - Accent6 5 2 2 2 2 3" xfId="24339" xr:uid="{00000000-0005-0000-0000-0000425F0000}"/>
    <cellStyle name="40% - Accent6 5 2 2 2 2 3 2" xfId="24340" xr:uid="{00000000-0005-0000-0000-0000435F0000}"/>
    <cellStyle name="40% - Accent6 5 2 2 2 2 4" xfId="24341" xr:uid="{00000000-0005-0000-0000-0000445F0000}"/>
    <cellStyle name="40% - Accent6 5 2 2 2 3" xfId="24342" xr:uid="{00000000-0005-0000-0000-0000455F0000}"/>
    <cellStyle name="40% - Accent6 5 2 2 2 3 2" xfId="24343" xr:uid="{00000000-0005-0000-0000-0000465F0000}"/>
    <cellStyle name="40% - Accent6 5 2 2 2 3 2 2" xfId="24344" xr:uid="{00000000-0005-0000-0000-0000475F0000}"/>
    <cellStyle name="40% - Accent6 5 2 2 2 3 3" xfId="24345" xr:uid="{00000000-0005-0000-0000-0000485F0000}"/>
    <cellStyle name="40% - Accent6 5 2 2 2 4" xfId="24346" xr:uid="{00000000-0005-0000-0000-0000495F0000}"/>
    <cellStyle name="40% - Accent6 5 2 2 2 4 2" xfId="24347" xr:uid="{00000000-0005-0000-0000-00004A5F0000}"/>
    <cellStyle name="40% - Accent6 5 2 2 2 5" xfId="24348" xr:uid="{00000000-0005-0000-0000-00004B5F0000}"/>
    <cellStyle name="40% - Accent6 5 2 2 3" xfId="24349" xr:uid="{00000000-0005-0000-0000-00004C5F0000}"/>
    <cellStyle name="40% - Accent6 5 2 2 3 2" xfId="24350" xr:uid="{00000000-0005-0000-0000-00004D5F0000}"/>
    <cellStyle name="40% - Accent6 5 2 2 3 2 2" xfId="24351" xr:uid="{00000000-0005-0000-0000-00004E5F0000}"/>
    <cellStyle name="40% - Accent6 5 2 2 3 2 2 2" xfId="24352" xr:uid="{00000000-0005-0000-0000-00004F5F0000}"/>
    <cellStyle name="40% - Accent6 5 2 2 3 2 3" xfId="24353" xr:uid="{00000000-0005-0000-0000-0000505F0000}"/>
    <cellStyle name="40% - Accent6 5 2 2 3 3" xfId="24354" xr:uid="{00000000-0005-0000-0000-0000515F0000}"/>
    <cellStyle name="40% - Accent6 5 2 2 3 3 2" xfId="24355" xr:uid="{00000000-0005-0000-0000-0000525F0000}"/>
    <cellStyle name="40% - Accent6 5 2 2 3 4" xfId="24356" xr:uid="{00000000-0005-0000-0000-0000535F0000}"/>
    <cellStyle name="40% - Accent6 5 2 2 4" xfId="24357" xr:uid="{00000000-0005-0000-0000-0000545F0000}"/>
    <cellStyle name="40% - Accent6 5 2 2 4 2" xfId="24358" xr:uid="{00000000-0005-0000-0000-0000555F0000}"/>
    <cellStyle name="40% - Accent6 5 2 2 4 2 2" xfId="24359" xr:uid="{00000000-0005-0000-0000-0000565F0000}"/>
    <cellStyle name="40% - Accent6 5 2 2 4 3" xfId="24360" xr:uid="{00000000-0005-0000-0000-0000575F0000}"/>
    <cellStyle name="40% - Accent6 5 2 2 5" xfId="24361" xr:uid="{00000000-0005-0000-0000-0000585F0000}"/>
    <cellStyle name="40% - Accent6 5 2 2 5 2" xfId="24362" xr:uid="{00000000-0005-0000-0000-0000595F0000}"/>
    <cellStyle name="40% - Accent6 5 2 2 6" xfId="24363" xr:uid="{00000000-0005-0000-0000-00005A5F0000}"/>
    <cellStyle name="40% - Accent6 5 2 3" xfId="24364" xr:uid="{00000000-0005-0000-0000-00005B5F0000}"/>
    <cellStyle name="40% - Accent6 5 2 3 2" xfId="24365" xr:uid="{00000000-0005-0000-0000-00005C5F0000}"/>
    <cellStyle name="40% - Accent6 5 2 3 2 2" xfId="24366" xr:uid="{00000000-0005-0000-0000-00005D5F0000}"/>
    <cellStyle name="40% - Accent6 5 2 3 2 2 2" xfId="24367" xr:uid="{00000000-0005-0000-0000-00005E5F0000}"/>
    <cellStyle name="40% - Accent6 5 2 3 2 2 2 2" xfId="24368" xr:uid="{00000000-0005-0000-0000-00005F5F0000}"/>
    <cellStyle name="40% - Accent6 5 2 3 2 2 3" xfId="24369" xr:uid="{00000000-0005-0000-0000-0000605F0000}"/>
    <cellStyle name="40% - Accent6 5 2 3 2 3" xfId="24370" xr:uid="{00000000-0005-0000-0000-0000615F0000}"/>
    <cellStyle name="40% - Accent6 5 2 3 2 3 2" xfId="24371" xr:uid="{00000000-0005-0000-0000-0000625F0000}"/>
    <cellStyle name="40% - Accent6 5 2 3 2 4" xfId="24372" xr:uid="{00000000-0005-0000-0000-0000635F0000}"/>
    <cellStyle name="40% - Accent6 5 2 3 3" xfId="24373" xr:uid="{00000000-0005-0000-0000-0000645F0000}"/>
    <cellStyle name="40% - Accent6 5 2 3 3 2" xfId="24374" xr:uid="{00000000-0005-0000-0000-0000655F0000}"/>
    <cellStyle name="40% - Accent6 5 2 3 3 2 2" xfId="24375" xr:uid="{00000000-0005-0000-0000-0000665F0000}"/>
    <cellStyle name="40% - Accent6 5 2 3 3 3" xfId="24376" xr:uid="{00000000-0005-0000-0000-0000675F0000}"/>
    <cellStyle name="40% - Accent6 5 2 3 4" xfId="24377" xr:uid="{00000000-0005-0000-0000-0000685F0000}"/>
    <cellStyle name="40% - Accent6 5 2 3 4 2" xfId="24378" xr:uid="{00000000-0005-0000-0000-0000695F0000}"/>
    <cellStyle name="40% - Accent6 5 2 3 5" xfId="24379" xr:uid="{00000000-0005-0000-0000-00006A5F0000}"/>
    <cellStyle name="40% - Accent6 5 2 4" xfId="24380" xr:uid="{00000000-0005-0000-0000-00006B5F0000}"/>
    <cellStyle name="40% - Accent6 5 2 4 2" xfId="24381" xr:uid="{00000000-0005-0000-0000-00006C5F0000}"/>
    <cellStyle name="40% - Accent6 5 2 4 2 2" xfId="24382" xr:uid="{00000000-0005-0000-0000-00006D5F0000}"/>
    <cellStyle name="40% - Accent6 5 2 4 2 2 2" xfId="24383" xr:uid="{00000000-0005-0000-0000-00006E5F0000}"/>
    <cellStyle name="40% - Accent6 5 2 4 2 3" xfId="24384" xr:uid="{00000000-0005-0000-0000-00006F5F0000}"/>
    <cellStyle name="40% - Accent6 5 2 4 3" xfId="24385" xr:uid="{00000000-0005-0000-0000-0000705F0000}"/>
    <cellStyle name="40% - Accent6 5 2 4 3 2" xfId="24386" xr:uid="{00000000-0005-0000-0000-0000715F0000}"/>
    <cellStyle name="40% - Accent6 5 2 4 4" xfId="24387" xr:uid="{00000000-0005-0000-0000-0000725F0000}"/>
    <cellStyle name="40% - Accent6 5 2 5" xfId="24388" xr:uid="{00000000-0005-0000-0000-0000735F0000}"/>
    <cellStyle name="40% - Accent6 5 2 5 2" xfId="24389" xr:uid="{00000000-0005-0000-0000-0000745F0000}"/>
    <cellStyle name="40% - Accent6 5 2 5 2 2" xfId="24390" xr:uid="{00000000-0005-0000-0000-0000755F0000}"/>
    <cellStyle name="40% - Accent6 5 2 5 3" xfId="24391" xr:uid="{00000000-0005-0000-0000-0000765F0000}"/>
    <cellStyle name="40% - Accent6 5 2 6" xfId="24392" xr:uid="{00000000-0005-0000-0000-0000775F0000}"/>
    <cellStyle name="40% - Accent6 5 2 6 2" xfId="24393" xr:uid="{00000000-0005-0000-0000-0000785F0000}"/>
    <cellStyle name="40% - Accent6 5 2 7" xfId="24394" xr:uid="{00000000-0005-0000-0000-0000795F0000}"/>
    <cellStyle name="40% - Accent6 5 3" xfId="24395" xr:uid="{00000000-0005-0000-0000-00007A5F0000}"/>
    <cellStyle name="40% - Accent6 5 3 2" xfId="24396" xr:uid="{00000000-0005-0000-0000-00007B5F0000}"/>
    <cellStyle name="40% - Accent6 5 3 2 2" xfId="24397" xr:uid="{00000000-0005-0000-0000-00007C5F0000}"/>
    <cellStyle name="40% - Accent6 5 3 2 2 2" xfId="24398" xr:uid="{00000000-0005-0000-0000-00007D5F0000}"/>
    <cellStyle name="40% - Accent6 5 3 2 2 2 2" xfId="24399" xr:uid="{00000000-0005-0000-0000-00007E5F0000}"/>
    <cellStyle name="40% - Accent6 5 3 2 2 2 2 2" xfId="24400" xr:uid="{00000000-0005-0000-0000-00007F5F0000}"/>
    <cellStyle name="40% - Accent6 5 3 2 2 2 3" xfId="24401" xr:uid="{00000000-0005-0000-0000-0000805F0000}"/>
    <cellStyle name="40% - Accent6 5 3 2 2 3" xfId="24402" xr:uid="{00000000-0005-0000-0000-0000815F0000}"/>
    <cellStyle name="40% - Accent6 5 3 2 2 3 2" xfId="24403" xr:uid="{00000000-0005-0000-0000-0000825F0000}"/>
    <cellStyle name="40% - Accent6 5 3 2 2 4" xfId="24404" xr:uid="{00000000-0005-0000-0000-0000835F0000}"/>
    <cellStyle name="40% - Accent6 5 3 2 3" xfId="24405" xr:uid="{00000000-0005-0000-0000-0000845F0000}"/>
    <cellStyle name="40% - Accent6 5 3 2 3 2" xfId="24406" xr:uid="{00000000-0005-0000-0000-0000855F0000}"/>
    <cellStyle name="40% - Accent6 5 3 2 3 2 2" xfId="24407" xr:uid="{00000000-0005-0000-0000-0000865F0000}"/>
    <cellStyle name="40% - Accent6 5 3 2 3 3" xfId="24408" xr:uid="{00000000-0005-0000-0000-0000875F0000}"/>
    <cellStyle name="40% - Accent6 5 3 2 4" xfId="24409" xr:uid="{00000000-0005-0000-0000-0000885F0000}"/>
    <cellStyle name="40% - Accent6 5 3 2 4 2" xfId="24410" xr:uid="{00000000-0005-0000-0000-0000895F0000}"/>
    <cellStyle name="40% - Accent6 5 3 2 5" xfId="24411" xr:uid="{00000000-0005-0000-0000-00008A5F0000}"/>
    <cellStyle name="40% - Accent6 5 3 3" xfId="24412" xr:uid="{00000000-0005-0000-0000-00008B5F0000}"/>
    <cellStyle name="40% - Accent6 5 3 3 2" xfId="24413" xr:uid="{00000000-0005-0000-0000-00008C5F0000}"/>
    <cellStyle name="40% - Accent6 5 3 3 2 2" xfId="24414" xr:uid="{00000000-0005-0000-0000-00008D5F0000}"/>
    <cellStyle name="40% - Accent6 5 3 3 2 2 2" xfId="24415" xr:uid="{00000000-0005-0000-0000-00008E5F0000}"/>
    <cellStyle name="40% - Accent6 5 3 3 2 3" xfId="24416" xr:uid="{00000000-0005-0000-0000-00008F5F0000}"/>
    <cellStyle name="40% - Accent6 5 3 3 3" xfId="24417" xr:uid="{00000000-0005-0000-0000-0000905F0000}"/>
    <cellStyle name="40% - Accent6 5 3 3 3 2" xfId="24418" xr:uid="{00000000-0005-0000-0000-0000915F0000}"/>
    <cellStyle name="40% - Accent6 5 3 3 4" xfId="24419" xr:uid="{00000000-0005-0000-0000-0000925F0000}"/>
    <cellStyle name="40% - Accent6 5 3 4" xfId="24420" xr:uid="{00000000-0005-0000-0000-0000935F0000}"/>
    <cellStyle name="40% - Accent6 5 3 4 2" xfId="24421" xr:uid="{00000000-0005-0000-0000-0000945F0000}"/>
    <cellStyle name="40% - Accent6 5 3 4 2 2" xfId="24422" xr:uid="{00000000-0005-0000-0000-0000955F0000}"/>
    <cellStyle name="40% - Accent6 5 3 4 3" xfId="24423" xr:uid="{00000000-0005-0000-0000-0000965F0000}"/>
    <cellStyle name="40% - Accent6 5 3 5" xfId="24424" xr:uid="{00000000-0005-0000-0000-0000975F0000}"/>
    <cellStyle name="40% - Accent6 5 3 5 2" xfId="24425" xr:uid="{00000000-0005-0000-0000-0000985F0000}"/>
    <cellStyle name="40% - Accent6 5 3 6" xfId="24426" xr:uid="{00000000-0005-0000-0000-0000995F0000}"/>
    <cellStyle name="40% - Accent6 5 4" xfId="24427" xr:uid="{00000000-0005-0000-0000-00009A5F0000}"/>
    <cellStyle name="40% - Accent6 5 4 2" xfId="24428" xr:uid="{00000000-0005-0000-0000-00009B5F0000}"/>
    <cellStyle name="40% - Accent6 5 4 2 2" xfId="24429" xr:uid="{00000000-0005-0000-0000-00009C5F0000}"/>
    <cellStyle name="40% - Accent6 5 4 2 2 2" xfId="24430" xr:uid="{00000000-0005-0000-0000-00009D5F0000}"/>
    <cellStyle name="40% - Accent6 5 4 2 2 2 2" xfId="24431" xr:uid="{00000000-0005-0000-0000-00009E5F0000}"/>
    <cellStyle name="40% - Accent6 5 4 2 2 3" xfId="24432" xr:uid="{00000000-0005-0000-0000-00009F5F0000}"/>
    <cellStyle name="40% - Accent6 5 4 2 3" xfId="24433" xr:uid="{00000000-0005-0000-0000-0000A05F0000}"/>
    <cellStyle name="40% - Accent6 5 4 2 3 2" xfId="24434" xr:uid="{00000000-0005-0000-0000-0000A15F0000}"/>
    <cellStyle name="40% - Accent6 5 4 2 4" xfId="24435" xr:uid="{00000000-0005-0000-0000-0000A25F0000}"/>
    <cellStyle name="40% - Accent6 5 4 3" xfId="24436" xr:uid="{00000000-0005-0000-0000-0000A35F0000}"/>
    <cellStyle name="40% - Accent6 5 4 3 2" xfId="24437" xr:uid="{00000000-0005-0000-0000-0000A45F0000}"/>
    <cellStyle name="40% - Accent6 5 4 3 2 2" xfId="24438" xr:uid="{00000000-0005-0000-0000-0000A55F0000}"/>
    <cellStyle name="40% - Accent6 5 4 3 3" xfId="24439" xr:uid="{00000000-0005-0000-0000-0000A65F0000}"/>
    <cellStyle name="40% - Accent6 5 4 4" xfId="24440" xr:uid="{00000000-0005-0000-0000-0000A75F0000}"/>
    <cellStyle name="40% - Accent6 5 4 4 2" xfId="24441" xr:uid="{00000000-0005-0000-0000-0000A85F0000}"/>
    <cellStyle name="40% - Accent6 5 4 5" xfId="24442" xr:uid="{00000000-0005-0000-0000-0000A95F0000}"/>
    <cellStyle name="40% - Accent6 5 5" xfId="24443" xr:uid="{00000000-0005-0000-0000-0000AA5F0000}"/>
    <cellStyle name="40% - Accent6 5 5 2" xfId="24444" xr:uid="{00000000-0005-0000-0000-0000AB5F0000}"/>
    <cellStyle name="40% - Accent6 5 5 2 2" xfId="24445" xr:uid="{00000000-0005-0000-0000-0000AC5F0000}"/>
    <cellStyle name="40% - Accent6 5 5 2 2 2" xfId="24446" xr:uid="{00000000-0005-0000-0000-0000AD5F0000}"/>
    <cellStyle name="40% - Accent6 5 5 2 3" xfId="24447" xr:uid="{00000000-0005-0000-0000-0000AE5F0000}"/>
    <cellStyle name="40% - Accent6 5 5 3" xfId="24448" xr:uid="{00000000-0005-0000-0000-0000AF5F0000}"/>
    <cellStyle name="40% - Accent6 5 5 3 2" xfId="24449" xr:uid="{00000000-0005-0000-0000-0000B05F0000}"/>
    <cellStyle name="40% - Accent6 5 5 4" xfId="24450" xr:uid="{00000000-0005-0000-0000-0000B15F0000}"/>
    <cellStyle name="40% - Accent6 5 6" xfId="24451" xr:uid="{00000000-0005-0000-0000-0000B25F0000}"/>
    <cellStyle name="40% - Accent6 5 6 2" xfId="24452" xr:uid="{00000000-0005-0000-0000-0000B35F0000}"/>
    <cellStyle name="40% - Accent6 5 6 2 2" xfId="24453" xr:uid="{00000000-0005-0000-0000-0000B45F0000}"/>
    <cellStyle name="40% - Accent6 5 6 3" xfId="24454" xr:uid="{00000000-0005-0000-0000-0000B55F0000}"/>
    <cellStyle name="40% - Accent6 5 7" xfId="24455" xr:uid="{00000000-0005-0000-0000-0000B65F0000}"/>
    <cellStyle name="40% - Accent6 5 7 2" xfId="24456" xr:uid="{00000000-0005-0000-0000-0000B75F0000}"/>
    <cellStyle name="40% - Accent6 5 8" xfId="24457" xr:uid="{00000000-0005-0000-0000-0000B85F0000}"/>
    <cellStyle name="40% - Accent6 6" xfId="24458" xr:uid="{00000000-0005-0000-0000-0000B95F0000}"/>
    <cellStyle name="40% - Accent6 6 2" xfId="24459" xr:uid="{00000000-0005-0000-0000-0000BA5F0000}"/>
    <cellStyle name="40% - Accent6 6 2 2" xfId="24460" xr:uid="{00000000-0005-0000-0000-0000BB5F0000}"/>
    <cellStyle name="40% - Accent6 6 2 2 2" xfId="24461" xr:uid="{00000000-0005-0000-0000-0000BC5F0000}"/>
    <cellStyle name="40% - Accent6 6 2 2 2 2" xfId="24462" xr:uid="{00000000-0005-0000-0000-0000BD5F0000}"/>
    <cellStyle name="40% - Accent6 6 2 2 2 2 2" xfId="24463" xr:uid="{00000000-0005-0000-0000-0000BE5F0000}"/>
    <cellStyle name="40% - Accent6 6 2 2 2 2 2 2" xfId="24464" xr:uid="{00000000-0005-0000-0000-0000BF5F0000}"/>
    <cellStyle name="40% - Accent6 6 2 2 2 2 3" xfId="24465" xr:uid="{00000000-0005-0000-0000-0000C05F0000}"/>
    <cellStyle name="40% - Accent6 6 2 2 2 3" xfId="24466" xr:uid="{00000000-0005-0000-0000-0000C15F0000}"/>
    <cellStyle name="40% - Accent6 6 2 2 2 3 2" xfId="24467" xr:uid="{00000000-0005-0000-0000-0000C25F0000}"/>
    <cellStyle name="40% - Accent6 6 2 2 2 4" xfId="24468" xr:uid="{00000000-0005-0000-0000-0000C35F0000}"/>
    <cellStyle name="40% - Accent6 6 2 2 3" xfId="24469" xr:uid="{00000000-0005-0000-0000-0000C45F0000}"/>
    <cellStyle name="40% - Accent6 6 2 2 3 2" xfId="24470" xr:uid="{00000000-0005-0000-0000-0000C55F0000}"/>
    <cellStyle name="40% - Accent6 6 2 2 3 2 2" xfId="24471" xr:uid="{00000000-0005-0000-0000-0000C65F0000}"/>
    <cellStyle name="40% - Accent6 6 2 2 3 3" xfId="24472" xr:uid="{00000000-0005-0000-0000-0000C75F0000}"/>
    <cellStyle name="40% - Accent6 6 2 2 4" xfId="24473" xr:uid="{00000000-0005-0000-0000-0000C85F0000}"/>
    <cellStyle name="40% - Accent6 6 2 2 4 2" xfId="24474" xr:uid="{00000000-0005-0000-0000-0000C95F0000}"/>
    <cellStyle name="40% - Accent6 6 2 2 5" xfId="24475" xr:uid="{00000000-0005-0000-0000-0000CA5F0000}"/>
    <cellStyle name="40% - Accent6 6 2 3" xfId="24476" xr:uid="{00000000-0005-0000-0000-0000CB5F0000}"/>
    <cellStyle name="40% - Accent6 6 2 3 2" xfId="24477" xr:uid="{00000000-0005-0000-0000-0000CC5F0000}"/>
    <cellStyle name="40% - Accent6 6 2 3 2 2" xfId="24478" xr:uid="{00000000-0005-0000-0000-0000CD5F0000}"/>
    <cellStyle name="40% - Accent6 6 2 3 2 2 2" xfId="24479" xr:uid="{00000000-0005-0000-0000-0000CE5F0000}"/>
    <cellStyle name="40% - Accent6 6 2 3 2 3" xfId="24480" xr:uid="{00000000-0005-0000-0000-0000CF5F0000}"/>
    <cellStyle name="40% - Accent6 6 2 3 3" xfId="24481" xr:uid="{00000000-0005-0000-0000-0000D05F0000}"/>
    <cellStyle name="40% - Accent6 6 2 3 3 2" xfId="24482" xr:uid="{00000000-0005-0000-0000-0000D15F0000}"/>
    <cellStyle name="40% - Accent6 6 2 3 4" xfId="24483" xr:uid="{00000000-0005-0000-0000-0000D25F0000}"/>
    <cellStyle name="40% - Accent6 6 2 4" xfId="24484" xr:uid="{00000000-0005-0000-0000-0000D35F0000}"/>
    <cellStyle name="40% - Accent6 6 2 4 2" xfId="24485" xr:uid="{00000000-0005-0000-0000-0000D45F0000}"/>
    <cellStyle name="40% - Accent6 6 2 4 2 2" xfId="24486" xr:uid="{00000000-0005-0000-0000-0000D55F0000}"/>
    <cellStyle name="40% - Accent6 6 2 4 3" xfId="24487" xr:uid="{00000000-0005-0000-0000-0000D65F0000}"/>
    <cellStyle name="40% - Accent6 6 2 5" xfId="24488" xr:uid="{00000000-0005-0000-0000-0000D75F0000}"/>
    <cellStyle name="40% - Accent6 6 2 5 2" xfId="24489" xr:uid="{00000000-0005-0000-0000-0000D85F0000}"/>
    <cellStyle name="40% - Accent6 6 2 6" xfId="24490" xr:uid="{00000000-0005-0000-0000-0000D95F0000}"/>
    <cellStyle name="40% - Accent6 6 3" xfId="24491" xr:uid="{00000000-0005-0000-0000-0000DA5F0000}"/>
    <cellStyle name="40% - Accent6 6 3 2" xfId="24492" xr:uid="{00000000-0005-0000-0000-0000DB5F0000}"/>
    <cellStyle name="40% - Accent6 6 3 2 2" xfId="24493" xr:uid="{00000000-0005-0000-0000-0000DC5F0000}"/>
    <cellStyle name="40% - Accent6 6 3 2 2 2" xfId="24494" xr:uid="{00000000-0005-0000-0000-0000DD5F0000}"/>
    <cellStyle name="40% - Accent6 6 3 2 2 2 2" xfId="24495" xr:uid="{00000000-0005-0000-0000-0000DE5F0000}"/>
    <cellStyle name="40% - Accent6 6 3 2 2 3" xfId="24496" xr:uid="{00000000-0005-0000-0000-0000DF5F0000}"/>
    <cellStyle name="40% - Accent6 6 3 2 3" xfId="24497" xr:uid="{00000000-0005-0000-0000-0000E05F0000}"/>
    <cellStyle name="40% - Accent6 6 3 2 3 2" xfId="24498" xr:uid="{00000000-0005-0000-0000-0000E15F0000}"/>
    <cellStyle name="40% - Accent6 6 3 2 4" xfId="24499" xr:uid="{00000000-0005-0000-0000-0000E25F0000}"/>
    <cellStyle name="40% - Accent6 6 3 3" xfId="24500" xr:uid="{00000000-0005-0000-0000-0000E35F0000}"/>
    <cellStyle name="40% - Accent6 6 3 3 2" xfId="24501" xr:uid="{00000000-0005-0000-0000-0000E45F0000}"/>
    <cellStyle name="40% - Accent6 6 3 3 2 2" xfId="24502" xr:uid="{00000000-0005-0000-0000-0000E55F0000}"/>
    <cellStyle name="40% - Accent6 6 3 3 3" xfId="24503" xr:uid="{00000000-0005-0000-0000-0000E65F0000}"/>
    <cellStyle name="40% - Accent6 6 3 4" xfId="24504" xr:uid="{00000000-0005-0000-0000-0000E75F0000}"/>
    <cellStyle name="40% - Accent6 6 3 4 2" xfId="24505" xr:uid="{00000000-0005-0000-0000-0000E85F0000}"/>
    <cellStyle name="40% - Accent6 6 3 5" xfId="24506" xr:uid="{00000000-0005-0000-0000-0000E95F0000}"/>
    <cellStyle name="40% - Accent6 6 4" xfId="24507" xr:uid="{00000000-0005-0000-0000-0000EA5F0000}"/>
    <cellStyle name="40% - Accent6 6 4 2" xfId="24508" xr:uid="{00000000-0005-0000-0000-0000EB5F0000}"/>
    <cellStyle name="40% - Accent6 6 4 2 2" xfId="24509" xr:uid="{00000000-0005-0000-0000-0000EC5F0000}"/>
    <cellStyle name="40% - Accent6 6 4 2 2 2" xfId="24510" xr:uid="{00000000-0005-0000-0000-0000ED5F0000}"/>
    <cellStyle name="40% - Accent6 6 4 2 3" xfId="24511" xr:uid="{00000000-0005-0000-0000-0000EE5F0000}"/>
    <cellStyle name="40% - Accent6 6 4 3" xfId="24512" xr:uid="{00000000-0005-0000-0000-0000EF5F0000}"/>
    <cellStyle name="40% - Accent6 6 4 3 2" xfId="24513" xr:uid="{00000000-0005-0000-0000-0000F05F0000}"/>
    <cellStyle name="40% - Accent6 6 4 4" xfId="24514" xr:uid="{00000000-0005-0000-0000-0000F15F0000}"/>
    <cellStyle name="40% - Accent6 6 5" xfId="24515" xr:uid="{00000000-0005-0000-0000-0000F25F0000}"/>
    <cellStyle name="40% - Accent6 6 5 2" xfId="24516" xr:uid="{00000000-0005-0000-0000-0000F35F0000}"/>
    <cellStyle name="40% - Accent6 6 5 2 2" xfId="24517" xr:uid="{00000000-0005-0000-0000-0000F45F0000}"/>
    <cellStyle name="40% - Accent6 6 5 3" xfId="24518" xr:uid="{00000000-0005-0000-0000-0000F55F0000}"/>
    <cellStyle name="40% - Accent6 6 6" xfId="24519" xr:uid="{00000000-0005-0000-0000-0000F65F0000}"/>
    <cellStyle name="40% - Accent6 6 6 2" xfId="24520" xr:uid="{00000000-0005-0000-0000-0000F75F0000}"/>
    <cellStyle name="40% - Accent6 6 7" xfId="24521" xr:uid="{00000000-0005-0000-0000-0000F85F0000}"/>
    <cellStyle name="40% - Accent6 7" xfId="24522" xr:uid="{00000000-0005-0000-0000-0000F95F0000}"/>
    <cellStyle name="40% - Accent6 7 2" xfId="24523" xr:uid="{00000000-0005-0000-0000-0000FA5F0000}"/>
    <cellStyle name="40% - Accent6 7 2 2" xfId="24524" xr:uid="{00000000-0005-0000-0000-0000FB5F0000}"/>
    <cellStyle name="40% - Accent6 7 2 2 2" xfId="24525" xr:uid="{00000000-0005-0000-0000-0000FC5F0000}"/>
    <cellStyle name="40% - Accent6 7 2 2 2 2" xfId="24526" xr:uid="{00000000-0005-0000-0000-0000FD5F0000}"/>
    <cellStyle name="40% - Accent6 7 2 2 2 2 2" xfId="24527" xr:uid="{00000000-0005-0000-0000-0000FE5F0000}"/>
    <cellStyle name="40% - Accent6 7 2 2 2 3" xfId="24528" xr:uid="{00000000-0005-0000-0000-0000FF5F0000}"/>
    <cellStyle name="40% - Accent6 7 2 2 3" xfId="24529" xr:uid="{00000000-0005-0000-0000-000000600000}"/>
    <cellStyle name="40% - Accent6 7 2 2 3 2" xfId="24530" xr:uid="{00000000-0005-0000-0000-000001600000}"/>
    <cellStyle name="40% - Accent6 7 2 2 4" xfId="24531" xr:uid="{00000000-0005-0000-0000-000002600000}"/>
    <cellStyle name="40% - Accent6 7 2 3" xfId="24532" xr:uid="{00000000-0005-0000-0000-000003600000}"/>
    <cellStyle name="40% - Accent6 7 2 3 2" xfId="24533" xr:uid="{00000000-0005-0000-0000-000004600000}"/>
    <cellStyle name="40% - Accent6 7 2 3 2 2" xfId="24534" xr:uid="{00000000-0005-0000-0000-000005600000}"/>
    <cellStyle name="40% - Accent6 7 2 3 3" xfId="24535" xr:uid="{00000000-0005-0000-0000-000006600000}"/>
    <cellStyle name="40% - Accent6 7 2 4" xfId="24536" xr:uid="{00000000-0005-0000-0000-000007600000}"/>
    <cellStyle name="40% - Accent6 7 2 4 2" xfId="24537" xr:uid="{00000000-0005-0000-0000-000008600000}"/>
    <cellStyle name="40% - Accent6 7 2 5" xfId="24538" xr:uid="{00000000-0005-0000-0000-000009600000}"/>
    <cellStyle name="40% - Accent6 7 3" xfId="24539" xr:uid="{00000000-0005-0000-0000-00000A600000}"/>
    <cellStyle name="40% - Accent6 7 3 2" xfId="24540" xr:uid="{00000000-0005-0000-0000-00000B600000}"/>
    <cellStyle name="40% - Accent6 7 3 2 2" xfId="24541" xr:uid="{00000000-0005-0000-0000-00000C600000}"/>
    <cellStyle name="40% - Accent6 7 3 2 2 2" xfId="24542" xr:uid="{00000000-0005-0000-0000-00000D600000}"/>
    <cellStyle name="40% - Accent6 7 3 2 3" xfId="24543" xr:uid="{00000000-0005-0000-0000-00000E600000}"/>
    <cellStyle name="40% - Accent6 7 3 3" xfId="24544" xr:uid="{00000000-0005-0000-0000-00000F600000}"/>
    <cellStyle name="40% - Accent6 7 3 3 2" xfId="24545" xr:uid="{00000000-0005-0000-0000-000010600000}"/>
    <cellStyle name="40% - Accent6 7 3 4" xfId="24546" xr:uid="{00000000-0005-0000-0000-000011600000}"/>
    <cellStyle name="40% - Accent6 7 4" xfId="24547" xr:uid="{00000000-0005-0000-0000-000012600000}"/>
    <cellStyle name="40% - Accent6 7 4 2" xfId="24548" xr:uid="{00000000-0005-0000-0000-000013600000}"/>
    <cellStyle name="40% - Accent6 7 4 2 2" xfId="24549" xr:uid="{00000000-0005-0000-0000-000014600000}"/>
    <cellStyle name="40% - Accent6 7 4 3" xfId="24550" xr:uid="{00000000-0005-0000-0000-000015600000}"/>
    <cellStyle name="40% - Accent6 7 5" xfId="24551" xr:uid="{00000000-0005-0000-0000-000016600000}"/>
    <cellStyle name="40% - Accent6 7 5 2" xfId="24552" xr:uid="{00000000-0005-0000-0000-000017600000}"/>
    <cellStyle name="40% - Accent6 7 6" xfId="24553" xr:uid="{00000000-0005-0000-0000-000018600000}"/>
    <cellStyle name="40% - Accent6 8" xfId="24554" xr:uid="{00000000-0005-0000-0000-000019600000}"/>
    <cellStyle name="40% - Accent6 8 2" xfId="24555" xr:uid="{00000000-0005-0000-0000-00001A600000}"/>
    <cellStyle name="40% - Accent6 8 2 2" xfId="24556" xr:uid="{00000000-0005-0000-0000-00001B600000}"/>
    <cellStyle name="40% - Accent6 8 2 2 2" xfId="24557" xr:uid="{00000000-0005-0000-0000-00001C600000}"/>
    <cellStyle name="40% - Accent6 8 2 2 2 2" xfId="24558" xr:uid="{00000000-0005-0000-0000-00001D600000}"/>
    <cellStyle name="40% - Accent6 8 2 2 3" xfId="24559" xr:uid="{00000000-0005-0000-0000-00001E600000}"/>
    <cellStyle name="40% - Accent6 8 2 3" xfId="24560" xr:uid="{00000000-0005-0000-0000-00001F600000}"/>
    <cellStyle name="40% - Accent6 8 2 3 2" xfId="24561" xr:uid="{00000000-0005-0000-0000-000020600000}"/>
    <cellStyle name="40% - Accent6 8 2 4" xfId="24562" xr:uid="{00000000-0005-0000-0000-000021600000}"/>
    <cellStyle name="40% - Accent6 8 3" xfId="24563" xr:uid="{00000000-0005-0000-0000-000022600000}"/>
    <cellStyle name="40% - Accent6 8 3 2" xfId="24564" xr:uid="{00000000-0005-0000-0000-000023600000}"/>
    <cellStyle name="40% - Accent6 8 3 2 2" xfId="24565" xr:uid="{00000000-0005-0000-0000-000024600000}"/>
    <cellStyle name="40% - Accent6 8 3 3" xfId="24566" xr:uid="{00000000-0005-0000-0000-000025600000}"/>
    <cellStyle name="40% - Accent6 8 4" xfId="24567" xr:uid="{00000000-0005-0000-0000-000026600000}"/>
    <cellStyle name="40% - Accent6 8 4 2" xfId="24568" xr:uid="{00000000-0005-0000-0000-000027600000}"/>
    <cellStyle name="40% - Accent6 8 5" xfId="24569" xr:uid="{00000000-0005-0000-0000-000028600000}"/>
    <cellStyle name="40% - Accent6 9" xfId="24570" xr:uid="{00000000-0005-0000-0000-000029600000}"/>
    <cellStyle name="40% - Accent6 9 2" xfId="24571" xr:uid="{00000000-0005-0000-0000-00002A600000}"/>
    <cellStyle name="40% - Accent6 9 2 2" xfId="24572" xr:uid="{00000000-0005-0000-0000-00002B600000}"/>
    <cellStyle name="40% - Accent6 9 2 2 2" xfId="24573" xr:uid="{00000000-0005-0000-0000-00002C600000}"/>
    <cellStyle name="40% - Accent6 9 2 3" xfId="24574" xr:uid="{00000000-0005-0000-0000-00002D600000}"/>
    <cellStyle name="40% - Accent6 9 3" xfId="24575" xr:uid="{00000000-0005-0000-0000-00002E600000}"/>
    <cellStyle name="40% - Accent6 9 3 2" xfId="24576" xr:uid="{00000000-0005-0000-0000-00002F600000}"/>
    <cellStyle name="40% - Accent6 9 4" xfId="24577" xr:uid="{00000000-0005-0000-0000-000030600000}"/>
    <cellStyle name="60% - Accent1 2" xfId="24578" xr:uid="{00000000-0005-0000-0000-000031600000}"/>
    <cellStyle name="60% - Accent1 3" xfId="24579" xr:uid="{00000000-0005-0000-0000-000032600000}"/>
    <cellStyle name="60% - Accent2 2" xfId="24580" xr:uid="{00000000-0005-0000-0000-000033600000}"/>
    <cellStyle name="60% - Accent2 3" xfId="24581" xr:uid="{00000000-0005-0000-0000-000034600000}"/>
    <cellStyle name="60% - Accent3 2" xfId="24582" xr:uid="{00000000-0005-0000-0000-000035600000}"/>
    <cellStyle name="60% - Accent3 3" xfId="24583" xr:uid="{00000000-0005-0000-0000-000036600000}"/>
    <cellStyle name="60% - Accent4 2" xfId="24584" xr:uid="{00000000-0005-0000-0000-000037600000}"/>
    <cellStyle name="60% - Accent4 3" xfId="24585" xr:uid="{00000000-0005-0000-0000-000038600000}"/>
    <cellStyle name="60% - Accent5 2" xfId="24586" xr:uid="{00000000-0005-0000-0000-000039600000}"/>
    <cellStyle name="60% - Accent5 3" xfId="24587" xr:uid="{00000000-0005-0000-0000-00003A600000}"/>
    <cellStyle name="60% - Accent6 2" xfId="24588" xr:uid="{00000000-0005-0000-0000-00003B600000}"/>
    <cellStyle name="60% - Accent6 3" xfId="24589" xr:uid="{00000000-0005-0000-0000-00003C600000}"/>
    <cellStyle name="Accent1 2" xfId="24590" xr:uid="{00000000-0005-0000-0000-00003D600000}"/>
    <cellStyle name="Accent2 2" xfId="24591" xr:uid="{00000000-0005-0000-0000-00003E600000}"/>
    <cellStyle name="Accent3 2" xfId="24592" xr:uid="{00000000-0005-0000-0000-00003F600000}"/>
    <cellStyle name="Accent4 2" xfId="24593" xr:uid="{00000000-0005-0000-0000-000040600000}"/>
    <cellStyle name="Accent5 2" xfId="24594" xr:uid="{00000000-0005-0000-0000-000041600000}"/>
    <cellStyle name="Accent6 2" xfId="24595" xr:uid="{00000000-0005-0000-0000-000042600000}"/>
    <cellStyle name="Bad 2" xfId="24596" xr:uid="{00000000-0005-0000-0000-000043600000}"/>
    <cellStyle name="Calculation 2" xfId="24597" xr:uid="{00000000-0005-0000-0000-000044600000}"/>
    <cellStyle name="Check Cell 2" xfId="24598" xr:uid="{00000000-0005-0000-0000-000045600000}"/>
    <cellStyle name="Comma 2" xfId="24599" xr:uid="{00000000-0005-0000-0000-000046600000}"/>
    <cellStyle name="Comma 3" xfId="24600" xr:uid="{00000000-0005-0000-0000-000047600000}"/>
    <cellStyle name="Comma 4" xfId="24601" xr:uid="{00000000-0005-0000-0000-000048600000}"/>
    <cellStyle name="Comma 42" xfId="34043" xr:uid="{DEF5C0C7-2DDE-439F-BAF4-8C37A253075E}"/>
    <cellStyle name="Comma 5" xfId="24602" xr:uid="{00000000-0005-0000-0000-000049600000}"/>
    <cellStyle name="Comma 6" xfId="24603" xr:uid="{00000000-0005-0000-0000-00004A600000}"/>
    <cellStyle name="Comma 7" xfId="24604" xr:uid="{00000000-0005-0000-0000-00004B600000}"/>
    <cellStyle name="Excel Built-in Normal" xfId="24605" xr:uid="{00000000-0005-0000-0000-00004C600000}"/>
    <cellStyle name="Excel Built-in Normal 2" xfId="24606" xr:uid="{00000000-0005-0000-0000-00004D600000}"/>
    <cellStyle name="Explanatory Text 2" xfId="24607" xr:uid="{00000000-0005-0000-0000-00004E600000}"/>
    <cellStyle name="Good 2" xfId="24608" xr:uid="{00000000-0005-0000-0000-00004F600000}"/>
    <cellStyle name="Heading 1 2" xfId="24609" xr:uid="{00000000-0005-0000-0000-000050600000}"/>
    <cellStyle name="Heading 2 2" xfId="24610" xr:uid="{00000000-0005-0000-0000-000051600000}"/>
    <cellStyle name="Heading 3 2" xfId="24611" xr:uid="{00000000-0005-0000-0000-000052600000}"/>
    <cellStyle name="Heading 4 2" xfId="24612" xr:uid="{00000000-0005-0000-0000-000053600000}"/>
    <cellStyle name="Input 2" xfId="24613" xr:uid="{00000000-0005-0000-0000-000054600000}"/>
    <cellStyle name="Linked Cell 2" xfId="24614" xr:uid="{00000000-0005-0000-0000-000055600000}"/>
    <cellStyle name="Neutral 2" xfId="24615" xr:uid="{00000000-0005-0000-0000-000056600000}"/>
    <cellStyle name="Neutral 3" xfId="24616" xr:uid="{00000000-0005-0000-0000-000057600000}"/>
    <cellStyle name="Normal" xfId="0" builtinId="0"/>
    <cellStyle name="Normal 10" xfId="24617" xr:uid="{00000000-0005-0000-0000-000058600000}"/>
    <cellStyle name="Normal 10 2" xfId="24618" xr:uid="{00000000-0005-0000-0000-000059600000}"/>
    <cellStyle name="Normal 11" xfId="24619" xr:uid="{00000000-0005-0000-0000-00005A600000}"/>
    <cellStyle name="Normal 11 2" xfId="24620" xr:uid="{00000000-0005-0000-0000-00005B600000}"/>
    <cellStyle name="Normal 11 2 2" xfId="24621" xr:uid="{00000000-0005-0000-0000-00005C600000}"/>
    <cellStyle name="Normal 11 2 2 2" xfId="24622" xr:uid="{00000000-0005-0000-0000-00005D600000}"/>
    <cellStyle name="Normal 11 2 2 2 2" xfId="24623" xr:uid="{00000000-0005-0000-0000-00005E600000}"/>
    <cellStyle name="Normal 11 2 2 2 2 2" xfId="24624" xr:uid="{00000000-0005-0000-0000-00005F600000}"/>
    <cellStyle name="Normal 11 2 2 2 2 2 2" xfId="24625" xr:uid="{00000000-0005-0000-0000-000060600000}"/>
    <cellStyle name="Normal 11 2 2 2 2 2 2 2" xfId="24626" xr:uid="{00000000-0005-0000-0000-000061600000}"/>
    <cellStyle name="Normal 11 2 2 2 2 2 3" xfId="24627" xr:uid="{00000000-0005-0000-0000-000062600000}"/>
    <cellStyle name="Normal 11 2 2 2 2 3" xfId="24628" xr:uid="{00000000-0005-0000-0000-000063600000}"/>
    <cellStyle name="Normal 11 2 2 2 2 3 2" xfId="24629" xr:uid="{00000000-0005-0000-0000-000064600000}"/>
    <cellStyle name="Normal 11 2 2 2 2 4" xfId="24630" xr:uid="{00000000-0005-0000-0000-000065600000}"/>
    <cellStyle name="Normal 11 2 2 2 3" xfId="24631" xr:uid="{00000000-0005-0000-0000-000066600000}"/>
    <cellStyle name="Normal 11 2 2 2 3 2" xfId="24632" xr:uid="{00000000-0005-0000-0000-000067600000}"/>
    <cellStyle name="Normal 11 2 2 2 3 2 2" xfId="24633" xr:uid="{00000000-0005-0000-0000-000068600000}"/>
    <cellStyle name="Normal 11 2 2 2 3 3" xfId="24634" xr:uid="{00000000-0005-0000-0000-000069600000}"/>
    <cellStyle name="Normal 11 2 2 2 4" xfId="24635" xr:uid="{00000000-0005-0000-0000-00006A600000}"/>
    <cellStyle name="Normal 11 2 2 2 4 2" xfId="24636" xr:uid="{00000000-0005-0000-0000-00006B600000}"/>
    <cellStyle name="Normal 11 2 2 2 5" xfId="24637" xr:uid="{00000000-0005-0000-0000-00006C600000}"/>
    <cellStyle name="Normal 11 2 2 3" xfId="24638" xr:uid="{00000000-0005-0000-0000-00006D600000}"/>
    <cellStyle name="Normal 11 2 2 3 2" xfId="24639" xr:uid="{00000000-0005-0000-0000-00006E600000}"/>
    <cellStyle name="Normal 11 2 2 3 2 2" xfId="24640" xr:uid="{00000000-0005-0000-0000-00006F600000}"/>
    <cellStyle name="Normal 11 2 2 3 2 2 2" xfId="24641" xr:uid="{00000000-0005-0000-0000-000070600000}"/>
    <cellStyle name="Normal 11 2 2 3 2 3" xfId="24642" xr:uid="{00000000-0005-0000-0000-000071600000}"/>
    <cellStyle name="Normal 11 2 2 3 3" xfId="24643" xr:uid="{00000000-0005-0000-0000-000072600000}"/>
    <cellStyle name="Normal 11 2 2 3 3 2" xfId="24644" xr:uid="{00000000-0005-0000-0000-000073600000}"/>
    <cellStyle name="Normal 11 2 2 3 4" xfId="24645" xr:uid="{00000000-0005-0000-0000-000074600000}"/>
    <cellStyle name="Normal 11 2 2 4" xfId="24646" xr:uid="{00000000-0005-0000-0000-000075600000}"/>
    <cellStyle name="Normal 11 2 2 4 2" xfId="24647" xr:uid="{00000000-0005-0000-0000-000076600000}"/>
    <cellStyle name="Normal 11 2 2 4 2 2" xfId="24648" xr:uid="{00000000-0005-0000-0000-000077600000}"/>
    <cellStyle name="Normal 11 2 2 4 3" xfId="24649" xr:uid="{00000000-0005-0000-0000-000078600000}"/>
    <cellStyle name="Normal 11 2 2 5" xfId="24650" xr:uid="{00000000-0005-0000-0000-000079600000}"/>
    <cellStyle name="Normal 11 2 2 5 2" xfId="24651" xr:uid="{00000000-0005-0000-0000-00007A600000}"/>
    <cellStyle name="Normal 11 2 2 6" xfId="24652" xr:uid="{00000000-0005-0000-0000-00007B600000}"/>
    <cellStyle name="Normal 11 2 3" xfId="24653" xr:uid="{00000000-0005-0000-0000-00007C600000}"/>
    <cellStyle name="Normal 11 2 3 2" xfId="24654" xr:uid="{00000000-0005-0000-0000-00007D600000}"/>
    <cellStyle name="Normal 11 2 3 2 2" xfId="24655" xr:uid="{00000000-0005-0000-0000-00007E600000}"/>
    <cellStyle name="Normal 11 2 3 2 2 2" xfId="24656" xr:uid="{00000000-0005-0000-0000-00007F600000}"/>
    <cellStyle name="Normal 11 2 3 2 2 2 2" xfId="24657" xr:uid="{00000000-0005-0000-0000-000080600000}"/>
    <cellStyle name="Normal 11 2 3 2 2 3" xfId="24658" xr:uid="{00000000-0005-0000-0000-000081600000}"/>
    <cellStyle name="Normal 11 2 3 2 3" xfId="24659" xr:uid="{00000000-0005-0000-0000-000082600000}"/>
    <cellStyle name="Normal 11 2 3 2 3 2" xfId="24660" xr:uid="{00000000-0005-0000-0000-000083600000}"/>
    <cellStyle name="Normal 11 2 3 2 4" xfId="24661" xr:uid="{00000000-0005-0000-0000-000084600000}"/>
    <cellStyle name="Normal 11 2 3 3" xfId="24662" xr:uid="{00000000-0005-0000-0000-000085600000}"/>
    <cellStyle name="Normal 11 2 3 3 2" xfId="24663" xr:uid="{00000000-0005-0000-0000-000086600000}"/>
    <cellStyle name="Normal 11 2 3 3 2 2" xfId="24664" xr:uid="{00000000-0005-0000-0000-000087600000}"/>
    <cellStyle name="Normal 11 2 3 3 3" xfId="24665" xr:uid="{00000000-0005-0000-0000-000088600000}"/>
    <cellStyle name="Normal 11 2 3 4" xfId="24666" xr:uid="{00000000-0005-0000-0000-000089600000}"/>
    <cellStyle name="Normal 11 2 3 4 2" xfId="24667" xr:uid="{00000000-0005-0000-0000-00008A600000}"/>
    <cellStyle name="Normal 11 2 3 5" xfId="24668" xr:uid="{00000000-0005-0000-0000-00008B600000}"/>
    <cellStyle name="Normal 11 2 4" xfId="24669" xr:uid="{00000000-0005-0000-0000-00008C600000}"/>
    <cellStyle name="Normal 11 2 4 2" xfId="24670" xr:uid="{00000000-0005-0000-0000-00008D600000}"/>
    <cellStyle name="Normal 11 2 4 2 2" xfId="24671" xr:uid="{00000000-0005-0000-0000-00008E600000}"/>
    <cellStyle name="Normal 11 2 4 2 2 2" xfId="24672" xr:uid="{00000000-0005-0000-0000-00008F600000}"/>
    <cellStyle name="Normal 11 2 4 2 3" xfId="24673" xr:uid="{00000000-0005-0000-0000-000090600000}"/>
    <cellStyle name="Normal 11 2 4 3" xfId="24674" xr:uid="{00000000-0005-0000-0000-000091600000}"/>
    <cellStyle name="Normal 11 2 4 3 2" xfId="24675" xr:uid="{00000000-0005-0000-0000-000092600000}"/>
    <cellStyle name="Normal 11 2 4 4" xfId="24676" xr:uid="{00000000-0005-0000-0000-000093600000}"/>
    <cellStyle name="Normal 11 2 5" xfId="24677" xr:uid="{00000000-0005-0000-0000-000094600000}"/>
    <cellStyle name="Normal 11 2 5 2" xfId="24678" xr:uid="{00000000-0005-0000-0000-000095600000}"/>
    <cellStyle name="Normal 11 2 5 2 2" xfId="24679" xr:uid="{00000000-0005-0000-0000-000096600000}"/>
    <cellStyle name="Normal 11 2 5 3" xfId="24680" xr:uid="{00000000-0005-0000-0000-000097600000}"/>
    <cellStyle name="Normal 11 2 6" xfId="24681" xr:uid="{00000000-0005-0000-0000-000098600000}"/>
    <cellStyle name="Normal 11 2 6 2" xfId="24682" xr:uid="{00000000-0005-0000-0000-000099600000}"/>
    <cellStyle name="Normal 11 2 7" xfId="24683" xr:uid="{00000000-0005-0000-0000-00009A600000}"/>
    <cellStyle name="Normal 11 2 8" xfId="24684" xr:uid="{00000000-0005-0000-0000-00009B600000}"/>
    <cellStyle name="Normal 11 3" xfId="24685" xr:uid="{00000000-0005-0000-0000-00009C600000}"/>
    <cellStyle name="Normal 11 3 2" xfId="24686" xr:uid="{00000000-0005-0000-0000-00009D600000}"/>
    <cellStyle name="Normal 11 3 2 2" xfId="24687" xr:uid="{00000000-0005-0000-0000-00009E600000}"/>
    <cellStyle name="Normal 11 3 2 2 2" xfId="24688" xr:uid="{00000000-0005-0000-0000-00009F600000}"/>
    <cellStyle name="Normal 11 3 2 2 2 2" xfId="24689" xr:uid="{00000000-0005-0000-0000-0000A0600000}"/>
    <cellStyle name="Normal 11 3 2 2 2 2 2" xfId="24690" xr:uid="{00000000-0005-0000-0000-0000A1600000}"/>
    <cellStyle name="Normal 11 3 2 2 2 3" xfId="24691" xr:uid="{00000000-0005-0000-0000-0000A2600000}"/>
    <cellStyle name="Normal 11 3 2 2 3" xfId="24692" xr:uid="{00000000-0005-0000-0000-0000A3600000}"/>
    <cellStyle name="Normal 11 3 2 2 3 2" xfId="24693" xr:uid="{00000000-0005-0000-0000-0000A4600000}"/>
    <cellStyle name="Normal 11 3 2 2 4" xfId="24694" xr:uid="{00000000-0005-0000-0000-0000A5600000}"/>
    <cellStyle name="Normal 11 3 2 3" xfId="24695" xr:uid="{00000000-0005-0000-0000-0000A6600000}"/>
    <cellStyle name="Normal 11 3 2 3 2" xfId="24696" xr:uid="{00000000-0005-0000-0000-0000A7600000}"/>
    <cellStyle name="Normal 11 3 2 3 2 2" xfId="24697" xr:uid="{00000000-0005-0000-0000-0000A8600000}"/>
    <cellStyle name="Normal 11 3 2 3 3" xfId="24698" xr:uid="{00000000-0005-0000-0000-0000A9600000}"/>
    <cellStyle name="Normal 11 3 2 4" xfId="24699" xr:uid="{00000000-0005-0000-0000-0000AA600000}"/>
    <cellStyle name="Normal 11 3 2 4 2" xfId="24700" xr:uid="{00000000-0005-0000-0000-0000AB600000}"/>
    <cellStyle name="Normal 11 3 2 5" xfId="24701" xr:uid="{00000000-0005-0000-0000-0000AC600000}"/>
    <cellStyle name="Normal 11 3 3" xfId="24702" xr:uid="{00000000-0005-0000-0000-0000AD600000}"/>
    <cellStyle name="Normal 11 3 3 2" xfId="24703" xr:uid="{00000000-0005-0000-0000-0000AE600000}"/>
    <cellStyle name="Normal 11 3 3 2 2" xfId="24704" xr:uid="{00000000-0005-0000-0000-0000AF600000}"/>
    <cellStyle name="Normal 11 3 3 2 2 2" xfId="24705" xr:uid="{00000000-0005-0000-0000-0000B0600000}"/>
    <cellStyle name="Normal 11 3 3 2 3" xfId="24706" xr:uid="{00000000-0005-0000-0000-0000B1600000}"/>
    <cellStyle name="Normal 11 3 3 3" xfId="24707" xr:uid="{00000000-0005-0000-0000-0000B2600000}"/>
    <cellStyle name="Normal 11 3 3 3 2" xfId="24708" xr:uid="{00000000-0005-0000-0000-0000B3600000}"/>
    <cellStyle name="Normal 11 3 3 4" xfId="24709" xr:uid="{00000000-0005-0000-0000-0000B4600000}"/>
    <cellStyle name="Normal 11 3 4" xfId="24710" xr:uid="{00000000-0005-0000-0000-0000B5600000}"/>
    <cellStyle name="Normal 11 3 4 2" xfId="24711" xr:uid="{00000000-0005-0000-0000-0000B6600000}"/>
    <cellStyle name="Normal 11 3 4 2 2" xfId="24712" xr:uid="{00000000-0005-0000-0000-0000B7600000}"/>
    <cellStyle name="Normal 11 3 4 3" xfId="24713" xr:uid="{00000000-0005-0000-0000-0000B8600000}"/>
    <cellStyle name="Normal 11 3 5" xfId="24714" xr:uid="{00000000-0005-0000-0000-0000B9600000}"/>
    <cellStyle name="Normal 11 3 5 2" xfId="24715" xr:uid="{00000000-0005-0000-0000-0000BA600000}"/>
    <cellStyle name="Normal 11 3 6" xfId="24716" xr:uid="{00000000-0005-0000-0000-0000BB600000}"/>
    <cellStyle name="Normal 11 4" xfId="24717" xr:uid="{00000000-0005-0000-0000-0000BC600000}"/>
    <cellStyle name="Normal 11 4 2" xfId="24718" xr:uid="{00000000-0005-0000-0000-0000BD600000}"/>
    <cellStyle name="Normal 11 4 2 2" xfId="24719" xr:uid="{00000000-0005-0000-0000-0000BE600000}"/>
    <cellStyle name="Normal 11 4 2 2 2" xfId="24720" xr:uid="{00000000-0005-0000-0000-0000BF600000}"/>
    <cellStyle name="Normal 11 4 2 2 2 2" xfId="24721" xr:uid="{00000000-0005-0000-0000-0000C0600000}"/>
    <cellStyle name="Normal 11 4 2 2 3" xfId="24722" xr:uid="{00000000-0005-0000-0000-0000C1600000}"/>
    <cellStyle name="Normal 11 4 2 3" xfId="24723" xr:uid="{00000000-0005-0000-0000-0000C2600000}"/>
    <cellStyle name="Normal 11 4 2 3 2" xfId="24724" xr:uid="{00000000-0005-0000-0000-0000C3600000}"/>
    <cellStyle name="Normal 11 4 2 4" xfId="24725" xr:uid="{00000000-0005-0000-0000-0000C4600000}"/>
    <cellStyle name="Normal 11 4 3" xfId="24726" xr:uid="{00000000-0005-0000-0000-0000C5600000}"/>
    <cellStyle name="Normal 11 4 3 2" xfId="24727" xr:uid="{00000000-0005-0000-0000-0000C6600000}"/>
    <cellStyle name="Normal 11 4 3 2 2" xfId="24728" xr:uid="{00000000-0005-0000-0000-0000C7600000}"/>
    <cellStyle name="Normal 11 4 3 3" xfId="24729" xr:uid="{00000000-0005-0000-0000-0000C8600000}"/>
    <cellStyle name="Normal 11 4 4" xfId="24730" xr:uid="{00000000-0005-0000-0000-0000C9600000}"/>
    <cellStyle name="Normal 11 4 4 2" xfId="24731" xr:uid="{00000000-0005-0000-0000-0000CA600000}"/>
    <cellStyle name="Normal 11 4 5" xfId="24732" xr:uid="{00000000-0005-0000-0000-0000CB600000}"/>
    <cellStyle name="Normal 11 5" xfId="24733" xr:uid="{00000000-0005-0000-0000-0000CC600000}"/>
    <cellStyle name="Normal 11 5 2" xfId="24734" xr:uid="{00000000-0005-0000-0000-0000CD600000}"/>
    <cellStyle name="Normal 11 5 2 2" xfId="24735" xr:uid="{00000000-0005-0000-0000-0000CE600000}"/>
    <cellStyle name="Normal 11 5 2 2 2" xfId="24736" xr:uid="{00000000-0005-0000-0000-0000CF600000}"/>
    <cellStyle name="Normal 11 5 2 3" xfId="24737" xr:uid="{00000000-0005-0000-0000-0000D0600000}"/>
    <cellStyle name="Normal 11 5 3" xfId="24738" xr:uid="{00000000-0005-0000-0000-0000D1600000}"/>
    <cellStyle name="Normal 11 5 3 2" xfId="24739" xr:uid="{00000000-0005-0000-0000-0000D2600000}"/>
    <cellStyle name="Normal 11 5 4" xfId="24740" xr:uid="{00000000-0005-0000-0000-0000D3600000}"/>
    <cellStyle name="Normal 11 6" xfId="24741" xr:uid="{00000000-0005-0000-0000-0000D4600000}"/>
    <cellStyle name="Normal 11 6 2" xfId="24742" xr:uid="{00000000-0005-0000-0000-0000D5600000}"/>
    <cellStyle name="Normal 11 6 2 2" xfId="24743" xr:uid="{00000000-0005-0000-0000-0000D6600000}"/>
    <cellStyle name="Normal 11 6 3" xfId="24744" xr:uid="{00000000-0005-0000-0000-0000D7600000}"/>
    <cellStyle name="Normal 11 7" xfId="24745" xr:uid="{00000000-0005-0000-0000-0000D8600000}"/>
    <cellStyle name="Normal 11 7 2" xfId="24746" xr:uid="{00000000-0005-0000-0000-0000D9600000}"/>
    <cellStyle name="Normal 11 8" xfId="24747" xr:uid="{00000000-0005-0000-0000-0000DA600000}"/>
    <cellStyle name="Normal 11 9" xfId="24748" xr:uid="{00000000-0005-0000-0000-0000DB600000}"/>
    <cellStyle name="Normal 12" xfId="24749" xr:uid="{00000000-0005-0000-0000-0000DC600000}"/>
    <cellStyle name="Normal 13" xfId="24750" xr:uid="{00000000-0005-0000-0000-0000DD600000}"/>
    <cellStyle name="Normal 13 2" xfId="24751" xr:uid="{00000000-0005-0000-0000-0000DE600000}"/>
    <cellStyle name="Normal 13 2 2" xfId="24752" xr:uid="{00000000-0005-0000-0000-0000DF600000}"/>
    <cellStyle name="Normal 13 2 2 2" xfId="24753" xr:uid="{00000000-0005-0000-0000-0000E0600000}"/>
    <cellStyle name="Normal 13 2 2 2 2" xfId="24754" xr:uid="{00000000-0005-0000-0000-0000E1600000}"/>
    <cellStyle name="Normal 13 2 2 2 2 2" xfId="24755" xr:uid="{00000000-0005-0000-0000-0000E2600000}"/>
    <cellStyle name="Normal 13 2 2 2 2 2 2" xfId="24756" xr:uid="{00000000-0005-0000-0000-0000E3600000}"/>
    <cellStyle name="Normal 13 2 2 2 2 3" xfId="24757" xr:uid="{00000000-0005-0000-0000-0000E4600000}"/>
    <cellStyle name="Normal 13 2 2 2 3" xfId="24758" xr:uid="{00000000-0005-0000-0000-0000E5600000}"/>
    <cellStyle name="Normal 13 2 2 2 3 2" xfId="24759" xr:uid="{00000000-0005-0000-0000-0000E6600000}"/>
    <cellStyle name="Normal 13 2 2 2 4" xfId="24760" xr:uid="{00000000-0005-0000-0000-0000E7600000}"/>
    <cellStyle name="Normal 13 2 2 3" xfId="24761" xr:uid="{00000000-0005-0000-0000-0000E8600000}"/>
    <cellStyle name="Normal 13 2 2 3 2" xfId="24762" xr:uid="{00000000-0005-0000-0000-0000E9600000}"/>
    <cellStyle name="Normal 13 2 2 3 2 2" xfId="24763" xr:uid="{00000000-0005-0000-0000-0000EA600000}"/>
    <cellStyle name="Normal 13 2 2 3 3" xfId="24764" xr:uid="{00000000-0005-0000-0000-0000EB600000}"/>
    <cellStyle name="Normal 13 2 2 4" xfId="24765" xr:uid="{00000000-0005-0000-0000-0000EC600000}"/>
    <cellStyle name="Normal 13 2 2 4 2" xfId="24766" xr:uid="{00000000-0005-0000-0000-0000ED600000}"/>
    <cellStyle name="Normal 13 2 2 5" xfId="24767" xr:uid="{00000000-0005-0000-0000-0000EE600000}"/>
    <cellStyle name="Normal 13 2 3" xfId="24768" xr:uid="{00000000-0005-0000-0000-0000EF600000}"/>
    <cellStyle name="Normal 13 2 3 2" xfId="24769" xr:uid="{00000000-0005-0000-0000-0000F0600000}"/>
    <cellStyle name="Normal 13 2 3 2 2" xfId="24770" xr:uid="{00000000-0005-0000-0000-0000F1600000}"/>
    <cellStyle name="Normal 13 2 3 2 2 2" xfId="24771" xr:uid="{00000000-0005-0000-0000-0000F2600000}"/>
    <cellStyle name="Normal 13 2 3 2 3" xfId="24772" xr:uid="{00000000-0005-0000-0000-0000F3600000}"/>
    <cellStyle name="Normal 13 2 3 3" xfId="24773" xr:uid="{00000000-0005-0000-0000-0000F4600000}"/>
    <cellStyle name="Normal 13 2 3 3 2" xfId="24774" xr:uid="{00000000-0005-0000-0000-0000F5600000}"/>
    <cellStyle name="Normal 13 2 3 4" xfId="24775" xr:uid="{00000000-0005-0000-0000-0000F6600000}"/>
    <cellStyle name="Normal 13 2 4" xfId="24776" xr:uid="{00000000-0005-0000-0000-0000F7600000}"/>
    <cellStyle name="Normal 13 2 4 2" xfId="24777" xr:uid="{00000000-0005-0000-0000-0000F8600000}"/>
    <cellStyle name="Normal 13 2 4 2 2" xfId="24778" xr:uid="{00000000-0005-0000-0000-0000F9600000}"/>
    <cellStyle name="Normal 13 2 4 3" xfId="24779" xr:uid="{00000000-0005-0000-0000-0000FA600000}"/>
    <cellStyle name="Normal 13 2 5" xfId="24780" xr:uid="{00000000-0005-0000-0000-0000FB600000}"/>
    <cellStyle name="Normal 13 2 5 2" xfId="24781" xr:uid="{00000000-0005-0000-0000-0000FC600000}"/>
    <cellStyle name="Normal 13 2 6" xfId="24782" xr:uid="{00000000-0005-0000-0000-0000FD600000}"/>
    <cellStyle name="Normal 13 3" xfId="24783" xr:uid="{00000000-0005-0000-0000-0000FE600000}"/>
    <cellStyle name="Normal 13 3 2" xfId="24784" xr:uid="{00000000-0005-0000-0000-0000FF600000}"/>
    <cellStyle name="Normal 13 3 2 2" xfId="24785" xr:uid="{00000000-0005-0000-0000-000000610000}"/>
    <cellStyle name="Normal 13 3 2 2 2" xfId="24786" xr:uid="{00000000-0005-0000-0000-000001610000}"/>
    <cellStyle name="Normal 13 3 2 2 2 2" xfId="24787" xr:uid="{00000000-0005-0000-0000-000002610000}"/>
    <cellStyle name="Normal 13 3 2 2 3" xfId="24788" xr:uid="{00000000-0005-0000-0000-000003610000}"/>
    <cellStyle name="Normal 13 3 2 3" xfId="24789" xr:uid="{00000000-0005-0000-0000-000004610000}"/>
    <cellStyle name="Normal 13 3 2 3 2" xfId="24790" xr:uid="{00000000-0005-0000-0000-000005610000}"/>
    <cellStyle name="Normal 13 3 2 4" xfId="24791" xr:uid="{00000000-0005-0000-0000-000006610000}"/>
    <cellStyle name="Normal 13 3 3" xfId="24792" xr:uid="{00000000-0005-0000-0000-000007610000}"/>
    <cellStyle name="Normal 13 3 3 2" xfId="24793" xr:uid="{00000000-0005-0000-0000-000008610000}"/>
    <cellStyle name="Normal 13 3 3 2 2" xfId="24794" xr:uid="{00000000-0005-0000-0000-000009610000}"/>
    <cellStyle name="Normal 13 3 3 3" xfId="24795" xr:uid="{00000000-0005-0000-0000-00000A610000}"/>
    <cellStyle name="Normal 13 3 4" xfId="24796" xr:uid="{00000000-0005-0000-0000-00000B610000}"/>
    <cellStyle name="Normal 13 3 4 2" xfId="24797" xr:uid="{00000000-0005-0000-0000-00000C610000}"/>
    <cellStyle name="Normal 13 3 5" xfId="24798" xr:uid="{00000000-0005-0000-0000-00000D610000}"/>
    <cellStyle name="Normal 13 4" xfId="24799" xr:uid="{00000000-0005-0000-0000-00000E610000}"/>
    <cellStyle name="Normal 13 4 2" xfId="24800" xr:uid="{00000000-0005-0000-0000-00000F610000}"/>
    <cellStyle name="Normal 13 4 2 2" xfId="24801" xr:uid="{00000000-0005-0000-0000-000010610000}"/>
    <cellStyle name="Normal 13 4 2 2 2" xfId="24802" xr:uid="{00000000-0005-0000-0000-000011610000}"/>
    <cellStyle name="Normal 13 4 2 3" xfId="24803" xr:uid="{00000000-0005-0000-0000-000012610000}"/>
    <cellStyle name="Normal 13 4 3" xfId="24804" xr:uid="{00000000-0005-0000-0000-000013610000}"/>
    <cellStyle name="Normal 13 4 3 2" xfId="24805" xr:uid="{00000000-0005-0000-0000-000014610000}"/>
    <cellStyle name="Normal 13 4 4" xfId="24806" xr:uid="{00000000-0005-0000-0000-000015610000}"/>
    <cellStyle name="Normal 13 5" xfId="24807" xr:uid="{00000000-0005-0000-0000-000016610000}"/>
    <cellStyle name="Normal 13 5 2" xfId="24808" xr:uid="{00000000-0005-0000-0000-000017610000}"/>
    <cellStyle name="Normal 13 5 2 2" xfId="24809" xr:uid="{00000000-0005-0000-0000-000018610000}"/>
    <cellStyle name="Normal 13 5 3" xfId="24810" xr:uid="{00000000-0005-0000-0000-000019610000}"/>
    <cellStyle name="Normal 13 6" xfId="24811" xr:uid="{00000000-0005-0000-0000-00001A610000}"/>
    <cellStyle name="Normal 13 6 2" xfId="24812" xr:uid="{00000000-0005-0000-0000-00001B610000}"/>
    <cellStyle name="Normal 13 7" xfId="24813" xr:uid="{00000000-0005-0000-0000-00001C610000}"/>
    <cellStyle name="Normal 14" xfId="24814" xr:uid="{00000000-0005-0000-0000-00001D610000}"/>
    <cellStyle name="Normal 15" xfId="24815" xr:uid="{00000000-0005-0000-0000-00001E610000}"/>
    <cellStyle name="Normal 15 2" xfId="24816" xr:uid="{00000000-0005-0000-0000-00001F610000}"/>
    <cellStyle name="Normal 15 2 2" xfId="24817" xr:uid="{00000000-0005-0000-0000-000020610000}"/>
    <cellStyle name="Normal 15 2 2 2" xfId="24818" xr:uid="{00000000-0005-0000-0000-000021610000}"/>
    <cellStyle name="Normal 15 2 2 2 2" xfId="24819" xr:uid="{00000000-0005-0000-0000-000022610000}"/>
    <cellStyle name="Normal 15 2 2 2 2 2" xfId="24820" xr:uid="{00000000-0005-0000-0000-000023610000}"/>
    <cellStyle name="Normal 15 2 2 2 3" xfId="24821" xr:uid="{00000000-0005-0000-0000-000024610000}"/>
    <cellStyle name="Normal 15 2 2 3" xfId="24822" xr:uid="{00000000-0005-0000-0000-000025610000}"/>
    <cellStyle name="Normal 15 2 2 3 2" xfId="24823" xr:uid="{00000000-0005-0000-0000-000026610000}"/>
    <cellStyle name="Normal 15 2 2 4" xfId="24824" xr:uid="{00000000-0005-0000-0000-000027610000}"/>
    <cellStyle name="Normal 15 2 3" xfId="24825" xr:uid="{00000000-0005-0000-0000-000028610000}"/>
    <cellStyle name="Normal 15 2 3 2" xfId="24826" xr:uid="{00000000-0005-0000-0000-000029610000}"/>
    <cellStyle name="Normal 15 2 3 2 2" xfId="24827" xr:uid="{00000000-0005-0000-0000-00002A610000}"/>
    <cellStyle name="Normal 15 2 3 3" xfId="24828" xr:uid="{00000000-0005-0000-0000-00002B610000}"/>
    <cellStyle name="Normal 15 2 4" xfId="24829" xr:uid="{00000000-0005-0000-0000-00002C610000}"/>
    <cellStyle name="Normal 15 2 4 2" xfId="24830" xr:uid="{00000000-0005-0000-0000-00002D610000}"/>
    <cellStyle name="Normal 15 2 5" xfId="24831" xr:uid="{00000000-0005-0000-0000-00002E610000}"/>
    <cellStyle name="Normal 15 3" xfId="24832" xr:uid="{00000000-0005-0000-0000-00002F610000}"/>
    <cellStyle name="Normal 15 3 2" xfId="24833" xr:uid="{00000000-0005-0000-0000-000030610000}"/>
    <cellStyle name="Normal 15 3 2 2" xfId="24834" xr:uid="{00000000-0005-0000-0000-000031610000}"/>
    <cellStyle name="Normal 15 3 2 2 2" xfId="24835" xr:uid="{00000000-0005-0000-0000-000032610000}"/>
    <cellStyle name="Normal 15 3 2 3" xfId="24836" xr:uid="{00000000-0005-0000-0000-000033610000}"/>
    <cellStyle name="Normal 15 3 3" xfId="24837" xr:uid="{00000000-0005-0000-0000-000034610000}"/>
    <cellStyle name="Normal 15 3 3 2" xfId="24838" xr:uid="{00000000-0005-0000-0000-000035610000}"/>
    <cellStyle name="Normal 15 3 4" xfId="24839" xr:uid="{00000000-0005-0000-0000-000036610000}"/>
    <cellStyle name="Normal 15 4" xfId="24840" xr:uid="{00000000-0005-0000-0000-000037610000}"/>
    <cellStyle name="Normal 15 4 2" xfId="24841" xr:uid="{00000000-0005-0000-0000-000038610000}"/>
    <cellStyle name="Normal 15 4 2 2" xfId="24842" xr:uid="{00000000-0005-0000-0000-000039610000}"/>
    <cellStyle name="Normal 15 4 3" xfId="24843" xr:uid="{00000000-0005-0000-0000-00003A610000}"/>
    <cellStyle name="Normal 15 5" xfId="24844" xr:uid="{00000000-0005-0000-0000-00003B610000}"/>
    <cellStyle name="Normal 15 5 2" xfId="24845" xr:uid="{00000000-0005-0000-0000-00003C610000}"/>
    <cellStyle name="Normal 15 6" xfId="24846" xr:uid="{00000000-0005-0000-0000-00003D610000}"/>
    <cellStyle name="Normal 16" xfId="24847" xr:uid="{00000000-0005-0000-0000-00003E610000}"/>
    <cellStyle name="Normal 17" xfId="24848" xr:uid="{00000000-0005-0000-0000-00003F610000}"/>
    <cellStyle name="Normal 17 2" xfId="24849" xr:uid="{00000000-0005-0000-0000-000040610000}"/>
    <cellStyle name="Normal 17 2 2" xfId="24850" xr:uid="{00000000-0005-0000-0000-000041610000}"/>
    <cellStyle name="Normal 17 2 2 2" xfId="24851" xr:uid="{00000000-0005-0000-0000-000042610000}"/>
    <cellStyle name="Normal 17 2 2 2 2" xfId="24852" xr:uid="{00000000-0005-0000-0000-000043610000}"/>
    <cellStyle name="Normal 17 2 2 3" xfId="24853" xr:uid="{00000000-0005-0000-0000-000044610000}"/>
    <cellStyle name="Normal 17 2 3" xfId="24854" xr:uid="{00000000-0005-0000-0000-000045610000}"/>
    <cellStyle name="Normal 17 2 3 2" xfId="24855" xr:uid="{00000000-0005-0000-0000-000046610000}"/>
    <cellStyle name="Normal 17 2 4" xfId="24856" xr:uid="{00000000-0005-0000-0000-000047610000}"/>
    <cellStyle name="Normal 17 3" xfId="24857" xr:uid="{00000000-0005-0000-0000-000048610000}"/>
    <cellStyle name="Normal 17 3 2" xfId="24858" xr:uid="{00000000-0005-0000-0000-000049610000}"/>
    <cellStyle name="Normal 17 3 2 2" xfId="24859" xr:uid="{00000000-0005-0000-0000-00004A610000}"/>
    <cellStyle name="Normal 17 3 3" xfId="24860" xr:uid="{00000000-0005-0000-0000-00004B610000}"/>
    <cellStyle name="Normal 17 4" xfId="24861" xr:uid="{00000000-0005-0000-0000-00004C610000}"/>
    <cellStyle name="Normal 17 4 2" xfId="24862" xr:uid="{00000000-0005-0000-0000-00004D610000}"/>
    <cellStyle name="Normal 17 5" xfId="24863" xr:uid="{00000000-0005-0000-0000-00004E610000}"/>
    <cellStyle name="Normal 18" xfId="24864" xr:uid="{00000000-0005-0000-0000-00004F610000}"/>
    <cellStyle name="Normal 19" xfId="24865" xr:uid="{00000000-0005-0000-0000-000050610000}"/>
    <cellStyle name="Normal 19 2" xfId="24866" xr:uid="{00000000-0005-0000-0000-000051610000}"/>
    <cellStyle name="Normal 19 2 2" xfId="24867" xr:uid="{00000000-0005-0000-0000-000052610000}"/>
    <cellStyle name="Normal 19 2 2 2" xfId="24868" xr:uid="{00000000-0005-0000-0000-000053610000}"/>
    <cellStyle name="Normal 19 2 3" xfId="24869" xr:uid="{00000000-0005-0000-0000-000054610000}"/>
    <cellStyle name="Normal 19 3" xfId="24870" xr:uid="{00000000-0005-0000-0000-000055610000}"/>
    <cellStyle name="Normal 19 3 2" xfId="24871" xr:uid="{00000000-0005-0000-0000-000056610000}"/>
    <cellStyle name="Normal 19 4" xfId="24872" xr:uid="{00000000-0005-0000-0000-000057610000}"/>
    <cellStyle name="Normal 2" xfId="24873" xr:uid="{00000000-0005-0000-0000-000058610000}"/>
    <cellStyle name="Normal 2 2" xfId="24874" xr:uid="{00000000-0005-0000-0000-000059610000}"/>
    <cellStyle name="Normal 2 2 2" xfId="24875" xr:uid="{00000000-0005-0000-0000-00005A610000}"/>
    <cellStyle name="Normal 2 3" xfId="24876" xr:uid="{00000000-0005-0000-0000-00005B610000}"/>
    <cellStyle name="Normal 2 3 2" xfId="24877" xr:uid="{00000000-0005-0000-0000-00005C610000}"/>
    <cellStyle name="Normal 2 4" xfId="24878" xr:uid="{00000000-0005-0000-0000-00005D610000}"/>
    <cellStyle name="Normal 20" xfId="24879" xr:uid="{00000000-0005-0000-0000-00005E610000}"/>
    <cellStyle name="Normal 20 2" xfId="24880" xr:uid="{00000000-0005-0000-0000-00005F610000}"/>
    <cellStyle name="Normal 20 2 2" xfId="24881" xr:uid="{00000000-0005-0000-0000-000060610000}"/>
    <cellStyle name="Normal 20 3" xfId="24882" xr:uid="{00000000-0005-0000-0000-000061610000}"/>
    <cellStyle name="Normal 21" xfId="24883" xr:uid="{00000000-0005-0000-0000-000062610000}"/>
    <cellStyle name="Normal 21 2" xfId="24884" xr:uid="{00000000-0005-0000-0000-000063610000}"/>
    <cellStyle name="Normal 22" xfId="24885" xr:uid="{00000000-0005-0000-0000-000064610000}"/>
    <cellStyle name="Normal 23" xfId="24886" xr:uid="{00000000-0005-0000-0000-000065610000}"/>
    <cellStyle name="Normal 24" xfId="24887" xr:uid="{00000000-0005-0000-0000-000066610000}"/>
    <cellStyle name="Normal 25" xfId="24888" xr:uid="{00000000-0005-0000-0000-000067610000}"/>
    <cellStyle name="Normal 26" xfId="24889" xr:uid="{00000000-0005-0000-0000-000068610000}"/>
    <cellStyle name="Normal 26 41" xfId="34039" xr:uid="{8750ABB3-578F-4B4E-9D1A-7E8771F98F06}"/>
    <cellStyle name="Normal 27" xfId="24890" xr:uid="{00000000-0005-0000-0000-000069610000}"/>
    <cellStyle name="Normal 3" xfId="24891" xr:uid="{00000000-0005-0000-0000-00006A610000}"/>
    <cellStyle name="Normal 3 10" xfId="24892" xr:uid="{00000000-0005-0000-0000-00006B610000}"/>
    <cellStyle name="Normal 3 10 2" xfId="24893" xr:uid="{00000000-0005-0000-0000-00006C610000}"/>
    <cellStyle name="Normal 3 10 2 2" xfId="24894" xr:uid="{00000000-0005-0000-0000-00006D610000}"/>
    <cellStyle name="Normal 3 10 2 2 2" xfId="24895" xr:uid="{00000000-0005-0000-0000-00006E610000}"/>
    <cellStyle name="Normal 3 10 2 3" xfId="24896" xr:uid="{00000000-0005-0000-0000-00006F610000}"/>
    <cellStyle name="Normal 3 10 2 3 2" xfId="24897" xr:uid="{00000000-0005-0000-0000-000070610000}"/>
    <cellStyle name="Normal 3 10 2 4" xfId="24898" xr:uid="{00000000-0005-0000-0000-000071610000}"/>
    <cellStyle name="Normal 3 10 2 4 2" xfId="24899" xr:uid="{00000000-0005-0000-0000-000072610000}"/>
    <cellStyle name="Normal 3 10 2 5" xfId="24900" xr:uid="{00000000-0005-0000-0000-000073610000}"/>
    <cellStyle name="Normal 3 10 2 5 2" xfId="24901" xr:uid="{00000000-0005-0000-0000-000074610000}"/>
    <cellStyle name="Normal 3 10 2 6" xfId="24902" xr:uid="{00000000-0005-0000-0000-000075610000}"/>
    <cellStyle name="Normal 3 10 2 6 2" xfId="24903" xr:uid="{00000000-0005-0000-0000-000076610000}"/>
    <cellStyle name="Normal 3 10 2 7" xfId="24904" xr:uid="{00000000-0005-0000-0000-000077610000}"/>
    <cellStyle name="Normal 3 10 3" xfId="24905" xr:uid="{00000000-0005-0000-0000-000078610000}"/>
    <cellStyle name="Normal 3 10 3 2" xfId="24906" xr:uid="{00000000-0005-0000-0000-000079610000}"/>
    <cellStyle name="Normal 3 10 4" xfId="24907" xr:uid="{00000000-0005-0000-0000-00007A610000}"/>
    <cellStyle name="Normal 3 10 4 2" xfId="24908" xr:uid="{00000000-0005-0000-0000-00007B610000}"/>
    <cellStyle name="Normal 3 10 5" xfId="24909" xr:uid="{00000000-0005-0000-0000-00007C610000}"/>
    <cellStyle name="Normal 3 10 5 2" xfId="24910" xr:uid="{00000000-0005-0000-0000-00007D610000}"/>
    <cellStyle name="Normal 3 10 6" xfId="24911" xr:uid="{00000000-0005-0000-0000-00007E610000}"/>
    <cellStyle name="Normal 3 10 6 2" xfId="24912" xr:uid="{00000000-0005-0000-0000-00007F610000}"/>
    <cellStyle name="Normal 3 10 7" xfId="24913" xr:uid="{00000000-0005-0000-0000-000080610000}"/>
    <cellStyle name="Normal 3 10 7 2" xfId="24914" xr:uid="{00000000-0005-0000-0000-000081610000}"/>
    <cellStyle name="Normal 3 10 8" xfId="24915" xr:uid="{00000000-0005-0000-0000-000082610000}"/>
    <cellStyle name="Normal 3 11" xfId="24916" xr:uid="{00000000-0005-0000-0000-000083610000}"/>
    <cellStyle name="Normal 3 11 2" xfId="24917" xr:uid="{00000000-0005-0000-0000-000084610000}"/>
    <cellStyle name="Normal 3 11 2 2" xfId="24918" xr:uid="{00000000-0005-0000-0000-000085610000}"/>
    <cellStyle name="Normal 3 11 2 2 2" xfId="24919" xr:uid="{00000000-0005-0000-0000-000086610000}"/>
    <cellStyle name="Normal 3 11 2 3" xfId="24920" xr:uid="{00000000-0005-0000-0000-000087610000}"/>
    <cellStyle name="Normal 3 11 2 3 2" xfId="24921" xr:uid="{00000000-0005-0000-0000-000088610000}"/>
    <cellStyle name="Normal 3 11 2 4" xfId="24922" xr:uid="{00000000-0005-0000-0000-000089610000}"/>
    <cellStyle name="Normal 3 11 2 4 2" xfId="24923" xr:uid="{00000000-0005-0000-0000-00008A610000}"/>
    <cellStyle name="Normal 3 11 2 5" xfId="24924" xr:uid="{00000000-0005-0000-0000-00008B610000}"/>
    <cellStyle name="Normal 3 11 2 5 2" xfId="24925" xr:uid="{00000000-0005-0000-0000-00008C610000}"/>
    <cellStyle name="Normal 3 11 2 6" xfId="24926" xr:uid="{00000000-0005-0000-0000-00008D610000}"/>
    <cellStyle name="Normal 3 11 2 6 2" xfId="24927" xr:uid="{00000000-0005-0000-0000-00008E610000}"/>
    <cellStyle name="Normal 3 11 2 7" xfId="24928" xr:uid="{00000000-0005-0000-0000-00008F610000}"/>
    <cellStyle name="Normal 3 11 3" xfId="24929" xr:uid="{00000000-0005-0000-0000-000090610000}"/>
    <cellStyle name="Normal 3 11 3 2" xfId="24930" xr:uid="{00000000-0005-0000-0000-000091610000}"/>
    <cellStyle name="Normal 3 11 4" xfId="24931" xr:uid="{00000000-0005-0000-0000-000092610000}"/>
    <cellStyle name="Normal 3 11 4 2" xfId="24932" xr:uid="{00000000-0005-0000-0000-000093610000}"/>
    <cellStyle name="Normal 3 11 5" xfId="24933" xr:uid="{00000000-0005-0000-0000-000094610000}"/>
    <cellStyle name="Normal 3 11 5 2" xfId="24934" xr:uid="{00000000-0005-0000-0000-000095610000}"/>
    <cellStyle name="Normal 3 11 6" xfId="24935" xr:uid="{00000000-0005-0000-0000-000096610000}"/>
    <cellStyle name="Normal 3 11 6 2" xfId="24936" xr:uid="{00000000-0005-0000-0000-000097610000}"/>
    <cellStyle name="Normal 3 11 7" xfId="24937" xr:uid="{00000000-0005-0000-0000-000098610000}"/>
    <cellStyle name="Normal 3 11 7 2" xfId="24938" xr:uid="{00000000-0005-0000-0000-000099610000}"/>
    <cellStyle name="Normal 3 11 8" xfId="24939" xr:uid="{00000000-0005-0000-0000-00009A610000}"/>
    <cellStyle name="Normal 3 12" xfId="24940" xr:uid="{00000000-0005-0000-0000-00009B610000}"/>
    <cellStyle name="Normal 3 12 2" xfId="24941" xr:uid="{00000000-0005-0000-0000-00009C610000}"/>
    <cellStyle name="Normal 3 12 2 2" xfId="24942" xr:uid="{00000000-0005-0000-0000-00009D610000}"/>
    <cellStyle name="Normal 3 12 2 2 2" xfId="24943" xr:uid="{00000000-0005-0000-0000-00009E610000}"/>
    <cellStyle name="Normal 3 12 2 3" xfId="24944" xr:uid="{00000000-0005-0000-0000-00009F610000}"/>
    <cellStyle name="Normal 3 12 2 3 2" xfId="24945" xr:uid="{00000000-0005-0000-0000-0000A0610000}"/>
    <cellStyle name="Normal 3 12 2 4" xfId="24946" xr:uid="{00000000-0005-0000-0000-0000A1610000}"/>
    <cellStyle name="Normal 3 12 2 4 2" xfId="24947" xr:uid="{00000000-0005-0000-0000-0000A2610000}"/>
    <cellStyle name="Normal 3 12 2 5" xfId="24948" xr:uid="{00000000-0005-0000-0000-0000A3610000}"/>
    <cellStyle name="Normal 3 12 2 5 2" xfId="24949" xr:uid="{00000000-0005-0000-0000-0000A4610000}"/>
    <cellStyle name="Normal 3 12 2 6" xfId="24950" xr:uid="{00000000-0005-0000-0000-0000A5610000}"/>
    <cellStyle name="Normal 3 12 2 6 2" xfId="24951" xr:uid="{00000000-0005-0000-0000-0000A6610000}"/>
    <cellStyle name="Normal 3 12 2 7" xfId="24952" xr:uid="{00000000-0005-0000-0000-0000A7610000}"/>
    <cellStyle name="Normal 3 12 3" xfId="24953" xr:uid="{00000000-0005-0000-0000-0000A8610000}"/>
    <cellStyle name="Normal 3 12 3 2" xfId="24954" xr:uid="{00000000-0005-0000-0000-0000A9610000}"/>
    <cellStyle name="Normal 3 12 4" xfId="24955" xr:uid="{00000000-0005-0000-0000-0000AA610000}"/>
    <cellStyle name="Normal 3 12 4 2" xfId="24956" xr:uid="{00000000-0005-0000-0000-0000AB610000}"/>
    <cellStyle name="Normal 3 12 5" xfId="24957" xr:uid="{00000000-0005-0000-0000-0000AC610000}"/>
    <cellStyle name="Normal 3 12 5 2" xfId="24958" xr:uid="{00000000-0005-0000-0000-0000AD610000}"/>
    <cellStyle name="Normal 3 12 6" xfId="24959" xr:uid="{00000000-0005-0000-0000-0000AE610000}"/>
    <cellStyle name="Normal 3 12 6 2" xfId="24960" xr:uid="{00000000-0005-0000-0000-0000AF610000}"/>
    <cellStyle name="Normal 3 12 7" xfId="24961" xr:uid="{00000000-0005-0000-0000-0000B0610000}"/>
    <cellStyle name="Normal 3 12 7 2" xfId="24962" xr:uid="{00000000-0005-0000-0000-0000B1610000}"/>
    <cellStyle name="Normal 3 12 8" xfId="24963" xr:uid="{00000000-0005-0000-0000-0000B2610000}"/>
    <cellStyle name="Normal 3 13" xfId="24964" xr:uid="{00000000-0005-0000-0000-0000B3610000}"/>
    <cellStyle name="Normal 3 13 2" xfId="24965" xr:uid="{00000000-0005-0000-0000-0000B4610000}"/>
    <cellStyle name="Normal 3 13 2 2" xfId="24966" xr:uid="{00000000-0005-0000-0000-0000B5610000}"/>
    <cellStyle name="Normal 3 13 2 2 2" xfId="24967" xr:uid="{00000000-0005-0000-0000-0000B6610000}"/>
    <cellStyle name="Normal 3 13 2 3" xfId="24968" xr:uid="{00000000-0005-0000-0000-0000B7610000}"/>
    <cellStyle name="Normal 3 13 2 3 2" xfId="24969" xr:uid="{00000000-0005-0000-0000-0000B8610000}"/>
    <cellStyle name="Normal 3 13 2 4" xfId="24970" xr:uid="{00000000-0005-0000-0000-0000B9610000}"/>
    <cellStyle name="Normal 3 13 2 4 2" xfId="24971" xr:uid="{00000000-0005-0000-0000-0000BA610000}"/>
    <cellStyle name="Normal 3 13 2 5" xfId="24972" xr:uid="{00000000-0005-0000-0000-0000BB610000}"/>
    <cellStyle name="Normal 3 13 2 5 2" xfId="24973" xr:uid="{00000000-0005-0000-0000-0000BC610000}"/>
    <cellStyle name="Normal 3 13 2 6" xfId="24974" xr:uid="{00000000-0005-0000-0000-0000BD610000}"/>
    <cellStyle name="Normal 3 13 2 6 2" xfId="24975" xr:uid="{00000000-0005-0000-0000-0000BE610000}"/>
    <cellStyle name="Normal 3 13 2 7" xfId="24976" xr:uid="{00000000-0005-0000-0000-0000BF610000}"/>
    <cellStyle name="Normal 3 13 3" xfId="24977" xr:uid="{00000000-0005-0000-0000-0000C0610000}"/>
    <cellStyle name="Normal 3 13 3 2" xfId="24978" xr:uid="{00000000-0005-0000-0000-0000C1610000}"/>
    <cellStyle name="Normal 3 13 4" xfId="24979" xr:uid="{00000000-0005-0000-0000-0000C2610000}"/>
    <cellStyle name="Normal 3 13 4 2" xfId="24980" xr:uid="{00000000-0005-0000-0000-0000C3610000}"/>
    <cellStyle name="Normal 3 13 5" xfId="24981" xr:uid="{00000000-0005-0000-0000-0000C4610000}"/>
    <cellStyle name="Normal 3 13 5 2" xfId="24982" xr:uid="{00000000-0005-0000-0000-0000C5610000}"/>
    <cellStyle name="Normal 3 13 6" xfId="24983" xr:uid="{00000000-0005-0000-0000-0000C6610000}"/>
    <cellStyle name="Normal 3 13 6 2" xfId="24984" xr:uid="{00000000-0005-0000-0000-0000C7610000}"/>
    <cellStyle name="Normal 3 13 7" xfId="24985" xr:uid="{00000000-0005-0000-0000-0000C8610000}"/>
    <cellStyle name="Normal 3 13 7 2" xfId="24986" xr:uid="{00000000-0005-0000-0000-0000C9610000}"/>
    <cellStyle name="Normal 3 13 8" xfId="24987" xr:uid="{00000000-0005-0000-0000-0000CA610000}"/>
    <cellStyle name="Normal 3 13 9" xfId="24988" xr:uid="{00000000-0005-0000-0000-0000CB610000}"/>
    <cellStyle name="Normal 3 14" xfId="24989" xr:uid="{00000000-0005-0000-0000-0000CC610000}"/>
    <cellStyle name="Normal 3 14 2" xfId="24990" xr:uid="{00000000-0005-0000-0000-0000CD610000}"/>
    <cellStyle name="Normal 3 14 2 2" xfId="24991" xr:uid="{00000000-0005-0000-0000-0000CE610000}"/>
    <cellStyle name="Normal 3 14 3" xfId="24992" xr:uid="{00000000-0005-0000-0000-0000CF610000}"/>
    <cellStyle name="Normal 3 14 3 2" xfId="24993" xr:uid="{00000000-0005-0000-0000-0000D0610000}"/>
    <cellStyle name="Normal 3 14 4" xfId="24994" xr:uid="{00000000-0005-0000-0000-0000D1610000}"/>
    <cellStyle name="Normal 3 14 4 2" xfId="24995" xr:uid="{00000000-0005-0000-0000-0000D2610000}"/>
    <cellStyle name="Normal 3 14 5" xfId="24996" xr:uid="{00000000-0005-0000-0000-0000D3610000}"/>
    <cellStyle name="Normal 3 14 5 2" xfId="24997" xr:uid="{00000000-0005-0000-0000-0000D4610000}"/>
    <cellStyle name="Normal 3 14 6" xfId="24998" xr:uid="{00000000-0005-0000-0000-0000D5610000}"/>
    <cellStyle name="Normal 3 14 6 2" xfId="24999" xr:uid="{00000000-0005-0000-0000-0000D6610000}"/>
    <cellStyle name="Normal 3 14 7" xfId="25000" xr:uid="{00000000-0005-0000-0000-0000D7610000}"/>
    <cellStyle name="Normal 3 15" xfId="25001" xr:uid="{00000000-0005-0000-0000-0000D8610000}"/>
    <cellStyle name="Normal 3 15 2" xfId="25002" xr:uid="{00000000-0005-0000-0000-0000D9610000}"/>
    <cellStyle name="Normal 3 15 2 2" xfId="25003" xr:uid="{00000000-0005-0000-0000-0000DA610000}"/>
    <cellStyle name="Normal 3 15 3" xfId="25004" xr:uid="{00000000-0005-0000-0000-0000DB610000}"/>
    <cellStyle name="Normal 3 15 3 2" xfId="25005" xr:uid="{00000000-0005-0000-0000-0000DC610000}"/>
    <cellStyle name="Normal 3 15 4" xfId="25006" xr:uid="{00000000-0005-0000-0000-0000DD610000}"/>
    <cellStyle name="Normal 3 15 4 2" xfId="25007" xr:uid="{00000000-0005-0000-0000-0000DE610000}"/>
    <cellStyle name="Normal 3 15 5" xfId="25008" xr:uid="{00000000-0005-0000-0000-0000DF610000}"/>
    <cellStyle name="Normal 3 15 5 2" xfId="25009" xr:uid="{00000000-0005-0000-0000-0000E0610000}"/>
    <cellStyle name="Normal 3 15 6" xfId="25010" xr:uid="{00000000-0005-0000-0000-0000E1610000}"/>
    <cellStyle name="Normal 3 15 6 2" xfId="25011" xr:uid="{00000000-0005-0000-0000-0000E2610000}"/>
    <cellStyle name="Normal 3 15 7" xfId="25012" xr:uid="{00000000-0005-0000-0000-0000E3610000}"/>
    <cellStyle name="Normal 3 16" xfId="25013" xr:uid="{00000000-0005-0000-0000-0000E4610000}"/>
    <cellStyle name="Normal 3 16 2" xfId="25014" xr:uid="{00000000-0005-0000-0000-0000E5610000}"/>
    <cellStyle name="Normal 3 16 2 2" xfId="25015" xr:uid="{00000000-0005-0000-0000-0000E6610000}"/>
    <cellStyle name="Normal 3 16 3" xfId="25016" xr:uid="{00000000-0005-0000-0000-0000E7610000}"/>
    <cellStyle name="Normal 3 16 3 2" xfId="25017" xr:uid="{00000000-0005-0000-0000-0000E8610000}"/>
    <cellStyle name="Normal 3 16 4" xfId="25018" xr:uid="{00000000-0005-0000-0000-0000E9610000}"/>
    <cellStyle name="Normal 3 16 4 2" xfId="25019" xr:uid="{00000000-0005-0000-0000-0000EA610000}"/>
    <cellStyle name="Normal 3 16 5" xfId="25020" xr:uid="{00000000-0005-0000-0000-0000EB610000}"/>
    <cellStyle name="Normal 3 16 5 2" xfId="25021" xr:uid="{00000000-0005-0000-0000-0000EC610000}"/>
    <cellStyle name="Normal 3 16 6" xfId="25022" xr:uid="{00000000-0005-0000-0000-0000ED610000}"/>
    <cellStyle name="Normal 3 16 6 2" xfId="25023" xr:uid="{00000000-0005-0000-0000-0000EE610000}"/>
    <cellStyle name="Normal 3 16 7" xfId="25024" xr:uid="{00000000-0005-0000-0000-0000EF610000}"/>
    <cellStyle name="Normal 3 17" xfId="25025" xr:uid="{00000000-0005-0000-0000-0000F0610000}"/>
    <cellStyle name="Normal 3 17 2" xfId="25026" xr:uid="{00000000-0005-0000-0000-0000F1610000}"/>
    <cellStyle name="Normal 3 18" xfId="25027" xr:uid="{00000000-0005-0000-0000-0000F2610000}"/>
    <cellStyle name="Normal 3 18 2" xfId="25028" xr:uid="{00000000-0005-0000-0000-0000F3610000}"/>
    <cellStyle name="Normal 3 19" xfId="25029" xr:uid="{00000000-0005-0000-0000-0000F4610000}"/>
    <cellStyle name="Normal 3 19 2" xfId="25030" xr:uid="{00000000-0005-0000-0000-0000F5610000}"/>
    <cellStyle name="Normal 3 2" xfId="25031" xr:uid="{00000000-0005-0000-0000-0000F6610000}"/>
    <cellStyle name="Normal 3 2 10" xfId="25032" xr:uid="{00000000-0005-0000-0000-0000F7610000}"/>
    <cellStyle name="Normal 3 2 10 2" xfId="25033" xr:uid="{00000000-0005-0000-0000-0000F8610000}"/>
    <cellStyle name="Normal 3 2 10 2 2" xfId="25034" xr:uid="{00000000-0005-0000-0000-0000F9610000}"/>
    <cellStyle name="Normal 3 2 10 2 2 2" xfId="25035" xr:uid="{00000000-0005-0000-0000-0000FA610000}"/>
    <cellStyle name="Normal 3 2 10 2 3" xfId="25036" xr:uid="{00000000-0005-0000-0000-0000FB610000}"/>
    <cellStyle name="Normal 3 2 10 2 3 2" xfId="25037" xr:uid="{00000000-0005-0000-0000-0000FC610000}"/>
    <cellStyle name="Normal 3 2 10 2 4" xfId="25038" xr:uid="{00000000-0005-0000-0000-0000FD610000}"/>
    <cellStyle name="Normal 3 2 10 2 4 2" xfId="25039" xr:uid="{00000000-0005-0000-0000-0000FE610000}"/>
    <cellStyle name="Normal 3 2 10 2 5" xfId="25040" xr:uid="{00000000-0005-0000-0000-0000FF610000}"/>
    <cellStyle name="Normal 3 2 10 2 5 2" xfId="25041" xr:uid="{00000000-0005-0000-0000-000000620000}"/>
    <cellStyle name="Normal 3 2 10 2 6" xfId="25042" xr:uid="{00000000-0005-0000-0000-000001620000}"/>
    <cellStyle name="Normal 3 2 10 2 6 2" xfId="25043" xr:uid="{00000000-0005-0000-0000-000002620000}"/>
    <cellStyle name="Normal 3 2 10 2 7" xfId="25044" xr:uid="{00000000-0005-0000-0000-000003620000}"/>
    <cellStyle name="Normal 3 2 10 3" xfId="25045" xr:uid="{00000000-0005-0000-0000-000004620000}"/>
    <cellStyle name="Normal 3 2 10 3 2" xfId="25046" xr:uid="{00000000-0005-0000-0000-000005620000}"/>
    <cellStyle name="Normal 3 2 10 4" xfId="25047" xr:uid="{00000000-0005-0000-0000-000006620000}"/>
    <cellStyle name="Normal 3 2 10 4 2" xfId="25048" xr:uid="{00000000-0005-0000-0000-000007620000}"/>
    <cellStyle name="Normal 3 2 10 5" xfId="25049" xr:uid="{00000000-0005-0000-0000-000008620000}"/>
    <cellStyle name="Normal 3 2 10 5 2" xfId="25050" xr:uid="{00000000-0005-0000-0000-000009620000}"/>
    <cellStyle name="Normal 3 2 10 6" xfId="25051" xr:uid="{00000000-0005-0000-0000-00000A620000}"/>
    <cellStyle name="Normal 3 2 10 6 2" xfId="25052" xr:uid="{00000000-0005-0000-0000-00000B620000}"/>
    <cellStyle name="Normal 3 2 10 7" xfId="25053" xr:uid="{00000000-0005-0000-0000-00000C620000}"/>
    <cellStyle name="Normal 3 2 10 7 2" xfId="25054" xr:uid="{00000000-0005-0000-0000-00000D620000}"/>
    <cellStyle name="Normal 3 2 10 8" xfId="25055" xr:uid="{00000000-0005-0000-0000-00000E620000}"/>
    <cellStyle name="Normal 3 2 11" xfId="25056" xr:uid="{00000000-0005-0000-0000-00000F620000}"/>
    <cellStyle name="Normal 3 2 11 2" xfId="25057" xr:uid="{00000000-0005-0000-0000-000010620000}"/>
    <cellStyle name="Normal 3 2 11 2 2" xfId="25058" xr:uid="{00000000-0005-0000-0000-000011620000}"/>
    <cellStyle name="Normal 3 2 11 3" xfId="25059" xr:uid="{00000000-0005-0000-0000-000012620000}"/>
    <cellStyle name="Normal 3 2 11 3 2" xfId="25060" xr:uid="{00000000-0005-0000-0000-000013620000}"/>
    <cellStyle name="Normal 3 2 11 4" xfId="25061" xr:uid="{00000000-0005-0000-0000-000014620000}"/>
    <cellStyle name="Normal 3 2 11 4 2" xfId="25062" xr:uid="{00000000-0005-0000-0000-000015620000}"/>
    <cellStyle name="Normal 3 2 11 5" xfId="25063" xr:uid="{00000000-0005-0000-0000-000016620000}"/>
    <cellStyle name="Normal 3 2 11 5 2" xfId="25064" xr:uid="{00000000-0005-0000-0000-000017620000}"/>
    <cellStyle name="Normal 3 2 11 6" xfId="25065" xr:uid="{00000000-0005-0000-0000-000018620000}"/>
    <cellStyle name="Normal 3 2 11 6 2" xfId="25066" xr:uid="{00000000-0005-0000-0000-000019620000}"/>
    <cellStyle name="Normal 3 2 11 7" xfId="25067" xr:uid="{00000000-0005-0000-0000-00001A620000}"/>
    <cellStyle name="Normal 3 2 12" xfId="25068" xr:uid="{00000000-0005-0000-0000-00001B620000}"/>
    <cellStyle name="Normal 3 2 12 2" xfId="25069" xr:uid="{00000000-0005-0000-0000-00001C620000}"/>
    <cellStyle name="Normal 3 2 12 2 2" xfId="25070" xr:uid="{00000000-0005-0000-0000-00001D620000}"/>
    <cellStyle name="Normal 3 2 12 3" xfId="25071" xr:uid="{00000000-0005-0000-0000-00001E620000}"/>
    <cellStyle name="Normal 3 2 12 3 2" xfId="25072" xr:uid="{00000000-0005-0000-0000-00001F620000}"/>
    <cellStyle name="Normal 3 2 12 4" xfId="25073" xr:uid="{00000000-0005-0000-0000-000020620000}"/>
    <cellStyle name="Normal 3 2 12 4 2" xfId="25074" xr:uid="{00000000-0005-0000-0000-000021620000}"/>
    <cellStyle name="Normal 3 2 12 5" xfId="25075" xr:uid="{00000000-0005-0000-0000-000022620000}"/>
    <cellStyle name="Normal 3 2 12 5 2" xfId="25076" xr:uid="{00000000-0005-0000-0000-000023620000}"/>
    <cellStyle name="Normal 3 2 12 6" xfId="25077" xr:uid="{00000000-0005-0000-0000-000024620000}"/>
    <cellStyle name="Normal 3 2 12 6 2" xfId="25078" xr:uid="{00000000-0005-0000-0000-000025620000}"/>
    <cellStyle name="Normal 3 2 12 7" xfId="25079" xr:uid="{00000000-0005-0000-0000-000026620000}"/>
    <cellStyle name="Normal 3 2 13" xfId="25080" xr:uid="{00000000-0005-0000-0000-000027620000}"/>
    <cellStyle name="Normal 3 2 13 2" xfId="25081" xr:uid="{00000000-0005-0000-0000-000028620000}"/>
    <cellStyle name="Normal 3 2 14" xfId="25082" xr:uid="{00000000-0005-0000-0000-000029620000}"/>
    <cellStyle name="Normal 3 2 14 2" xfId="25083" xr:uid="{00000000-0005-0000-0000-00002A620000}"/>
    <cellStyle name="Normal 3 2 15" xfId="25084" xr:uid="{00000000-0005-0000-0000-00002B620000}"/>
    <cellStyle name="Normal 3 2 15 2" xfId="25085" xr:uid="{00000000-0005-0000-0000-00002C620000}"/>
    <cellStyle name="Normal 3 2 16" xfId="25086" xr:uid="{00000000-0005-0000-0000-00002D620000}"/>
    <cellStyle name="Normal 3 2 16 2" xfId="25087" xr:uid="{00000000-0005-0000-0000-00002E620000}"/>
    <cellStyle name="Normal 3 2 17" xfId="25088" xr:uid="{00000000-0005-0000-0000-00002F620000}"/>
    <cellStyle name="Normal 3 2 17 2" xfId="25089" xr:uid="{00000000-0005-0000-0000-000030620000}"/>
    <cellStyle name="Normal 3 2 18" xfId="25090" xr:uid="{00000000-0005-0000-0000-000031620000}"/>
    <cellStyle name="Normal 3 2 2" xfId="25091" xr:uid="{00000000-0005-0000-0000-000032620000}"/>
    <cellStyle name="Normal 3 2 2 10" xfId="25092" xr:uid="{00000000-0005-0000-0000-000033620000}"/>
    <cellStyle name="Normal 3 2 2 2" xfId="25093" xr:uid="{00000000-0005-0000-0000-000034620000}"/>
    <cellStyle name="Normal 3 2 2 2 2" xfId="25094" xr:uid="{00000000-0005-0000-0000-000035620000}"/>
    <cellStyle name="Normal 3 2 2 2 2 2" xfId="25095" xr:uid="{00000000-0005-0000-0000-000036620000}"/>
    <cellStyle name="Normal 3 2 2 2 2 2 2" xfId="25096" xr:uid="{00000000-0005-0000-0000-000037620000}"/>
    <cellStyle name="Normal 3 2 2 2 2 2 2 2" xfId="25097" xr:uid="{00000000-0005-0000-0000-000038620000}"/>
    <cellStyle name="Normal 3 2 2 2 2 2 2 2 2" xfId="25098" xr:uid="{00000000-0005-0000-0000-000039620000}"/>
    <cellStyle name="Normal 3 2 2 2 2 2 2 2 2 2" xfId="25099" xr:uid="{00000000-0005-0000-0000-00003A620000}"/>
    <cellStyle name="Normal 3 2 2 2 2 2 2 2 2 2 2" xfId="25100" xr:uid="{00000000-0005-0000-0000-00003B620000}"/>
    <cellStyle name="Normal 3 2 2 2 2 2 2 2 2 2 2 2" xfId="25101" xr:uid="{00000000-0005-0000-0000-00003C620000}"/>
    <cellStyle name="Normal 3 2 2 2 2 2 2 2 2 2 3" xfId="25102" xr:uid="{00000000-0005-0000-0000-00003D620000}"/>
    <cellStyle name="Normal 3 2 2 2 2 2 2 2 2 3" xfId="25103" xr:uid="{00000000-0005-0000-0000-00003E620000}"/>
    <cellStyle name="Normal 3 2 2 2 2 2 2 2 2 3 2" xfId="25104" xr:uid="{00000000-0005-0000-0000-00003F620000}"/>
    <cellStyle name="Normal 3 2 2 2 2 2 2 2 2 4" xfId="25105" xr:uid="{00000000-0005-0000-0000-000040620000}"/>
    <cellStyle name="Normal 3 2 2 2 2 2 2 2 3" xfId="25106" xr:uid="{00000000-0005-0000-0000-000041620000}"/>
    <cellStyle name="Normal 3 2 2 2 2 2 2 2 3 2" xfId="25107" xr:uid="{00000000-0005-0000-0000-000042620000}"/>
    <cellStyle name="Normal 3 2 2 2 2 2 2 2 3 2 2" xfId="25108" xr:uid="{00000000-0005-0000-0000-000043620000}"/>
    <cellStyle name="Normal 3 2 2 2 2 2 2 2 3 3" xfId="25109" xr:uid="{00000000-0005-0000-0000-000044620000}"/>
    <cellStyle name="Normal 3 2 2 2 2 2 2 2 4" xfId="25110" xr:uid="{00000000-0005-0000-0000-000045620000}"/>
    <cellStyle name="Normal 3 2 2 2 2 2 2 2 4 2" xfId="25111" xr:uid="{00000000-0005-0000-0000-000046620000}"/>
    <cellStyle name="Normal 3 2 2 2 2 2 2 2 5" xfId="25112" xr:uid="{00000000-0005-0000-0000-000047620000}"/>
    <cellStyle name="Normal 3 2 2 2 2 2 2 3" xfId="25113" xr:uid="{00000000-0005-0000-0000-000048620000}"/>
    <cellStyle name="Normal 3 2 2 2 2 2 2 3 2" xfId="25114" xr:uid="{00000000-0005-0000-0000-000049620000}"/>
    <cellStyle name="Normal 3 2 2 2 2 2 2 3 2 2" xfId="25115" xr:uid="{00000000-0005-0000-0000-00004A620000}"/>
    <cellStyle name="Normal 3 2 2 2 2 2 2 3 2 2 2" xfId="25116" xr:uid="{00000000-0005-0000-0000-00004B620000}"/>
    <cellStyle name="Normal 3 2 2 2 2 2 2 3 2 3" xfId="25117" xr:uid="{00000000-0005-0000-0000-00004C620000}"/>
    <cellStyle name="Normal 3 2 2 2 2 2 2 3 3" xfId="25118" xr:uid="{00000000-0005-0000-0000-00004D620000}"/>
    <cellStyle name="Normal 3 2 2 2 2 2 2 3 3 2" xfId="25119" xr:uid="{00000000-0005-0000-0000-00004E620000}"/>
    <cellStyle name="Normal 3 2 2 2 2 2 2 3 4" xfId="25120" xr:uid="{00000000-0005-0000-0000-00004F620000}"/>
    <cellStyle name="Normal 3 2 2 2 2 2 2 4" xfId="25121" xr:uid="{00000000-0005-0000-0000-000050620000}"/>
    <cellStyle name="Normal 3 2 2 2 2 2 2 4 2" xfId="25122" xr:uid="{00000000-0005-0000-0000-000051620000}"/>
    <cellStyle name="Normal 3 2 2 2 2 2 2 4 2 2" xfId="25123" xr:uid="{00000000-0005-0000-0000-000052620000}"/>
    <cellStyle name="Normal 3 2 2 2 2 2 2 4 3" xfId="25124" xr:uid="{00000000-0005-0000-0000-000053620000}"/>
    <cellStyle name="Normal 3 2 2 2 2 2 2 5" xfId="25125" xr:uid="{00000000-0005-0000-0000-000054620000}"/>
    <cellStyle name="Normal 3 2 2 2 2 2 2 5 2" xfId="25126" xr:uid="{00000000-0005-0000-0000-000055620000}"/>
    <cellStyle name="Normal 3 2 2 2 2 2 2 6" xfId="25127" xr:uid="{00000000-0005-0000-0000-000056620000}"/>
    <cellStyle name="Normal 3 2 2 2 2 2 3" xfId="25128" xr:uid="{00000000-0005-0000-0000-000057620000}"/>
    <cellStyle name="Normal 3 2 2 2 2 2 3 2" xfId="25129" xr:uid="{00000000-0005-0000-0000-000058620000}"/>
    <cellStyle name="Normal 3 2 2 2 2 2 3 2 2" xfId="25130" xr:uid="{00000000-0005-0000-0000-000059620000}"/>
    <cellStyle name="Normal 3 2 2 2 2 2 3 2 2 2" xfId="25131" xr:uid="{00000000-0005-0000-0000-00005A620000}"/>
    <cellStyle name="Normal 3 2 2 2 2 2 3 2 2 2 2" xfId="25132" xr:uid="{00000000-0005-0000-0000-00005B620000}"/>
    <cellStyle name="Normal 3 2 2 2 2 2 3 2 2 3" xfId="25133" xr:uid="{00000000-0005-0000-0000-00005C620000}"/>
    <cellStyle name="Normal 3 2 2 2 2 2 3 2 3" xfId="25134" xr:uid="{00000000-0005-0000-0000-00005D620000}"/>
    <cellStyle name="Normal 3 2 2 2 2 2 3 2 3 2" xfId="25135" xr:uid="{00000000-0005-0000-0000-00005E620000}"/>
    <cellStyle name="Normal 3 2 2 2 2 2 3 2 4" xfId="25136" xr:uid="{00000000-0005-0000-0000-00005F620000}"/>
    <cellStyle name="Normal 3 2 2 2 2 2 3 3" xfId="25137" xr:uid="{00000000-0005-0000-0000-000060620000}"/>
    <cellStyle name="Normal 3 2 2 2 2 2 3 3 2" xfId="25138" xr:uid="{00000000-0005-0000-0000-000061620000}"/>
    <cellStyle name="Normal 3 2 2 2 2 2 3 3 2 2" xfId="25139" xr:uid="{00000000-0005-0000-0000-000062620000}"/>
    <cellStyle name="Normal 3 2 2 2 2 2 3 3 3" xfId="25140" xr:uid="{00000000-0005-0000-0000-000063620000}"/>
    <cellStyle name="Normal 3 2 2 2 2 2 3 4" xfId="25141" xr:uid="{00000000-0005-0000-0000-000064620000}"/>
    <cellStyle name="Normal 3 2 2 2 2 2 3 4 2" xfId="25142" xr:uid="{00000000-0005-0000-0000-000065620000}"/>
    <cellStyle name="Normal 3 2 2 2 2 2 3 5" xfId="25143" xr:uid="{00000000-0005-0000-0000-000066620000}"/>
    <cellStyle name="Normal 3 2 2 2 2 2 4" xfId="25144" xr:uid="{00000000-0005-0000-0000-000067620000}"/>
    <cellStyle name="Normal 3 2 2 2 2 2 4 2" xfId="25145" xr:uid="{00000000-0005-0000-0000-000068620000}"/>
    <cellStyle name="Normal 3 2 2 2 2 2 4 2 2" xfId="25146" xr:uid="{00000000-0005-0000-0000-000069620000}"/>
    <cellStyle name="Normal 3 2 2 2 2 2 4 2 2 2" xfId="25147" xr:uid="{00000000-0005-0000-0000-00006A620000}"/>
    <cellStyle name="Normal 3 2 2 2 2 2 4 2 3" xfId="25148" xr:uid="{00000000-0005-0000-0000-00006B620000}"/>
    <cellStyle name="Normal 3 2 2 2 2 2 4 3" xfId="25149" xr:uid="{00000000-0005-0000-0000-00006C620000}"/>
    <cellStyle name="Normal 3 2 2 2 2 2 4 3 2" xfId="25150" xr:uid="{00000000-0005-0000-0000-00006D620000}"/>
    <cellStyle name="Normal 3 2 2 2 2 2 4 4" xfId="25151" xr:uid="{00000000-0005-0000-0000-00006E620000}"/>
    <cellStyle name="Normal 3 2 2 2 2 2 5" xfId="25152" xr:uid="{00000000-0005-0000-0000-00006F620000}"/>
    <cellStyle name="Normal 3 2 2 2 2 2 5 2" xfId="25153" xr:uid="{00000000-0005-0000-0000-000070620000}"/>
    <cellStyle name="Normal 3 2 2 2 2 2 5 2 2" xfId="25154" xr:uid="{00000000-0005-0000-0000-000071620000}"/>
    <cellStyle name="Normal 3 2 2 2 2 2 5 3" xfId="25155" xr:uid="{00000000-0005-0000-0000-000072620000}"/>
    <cellStyle name="Normal 3 2 2 2 2 2 6" xfId="25156" xr:uid="{00000000-0005-0000-0000-000073620000}"/>
    <cellStyle name="Normal 3 2 2 2 2 2 6 2" xfId="25157" xr:uid="{00000000-0005-0000-0000-000074620000}"/>
    <cellStyle name="Normal 3 2 2 2 2 2 7" xfId="25158" xr:uid="{00000000-0005-0000-0000-000075620000}"/>
    <cellStyle name="Normal 3 2 2 2 2 3" xfId="25159" xr:uid="{00000000-0005-0000-0000-000076620000}"/>
    <cellStyle name="Normal 3 2 2 2 2 3 2" xfId="25160" xr:uid="{00000000-0005-0000-0000-000077620000}"/>
    <cellStyle name="Normal 3 2 2 2 2 3 2 2" xfId="25161" xr:uid="{00000000-0005-0000-0000-000078620000}"/>
    <cellStyle name="Normal 3 2 2 2 2 3 2 2 2" xfId="25162" xr:uid="{00000000-0005-0000-0000-000079620000}"/>
    <cellStyle name="Normal 3 2 2 2 2 3 2 2 2 2" xfId="25163" xr:uid="{00000000-0005-0000-0000-00007A620000}"/>
    <cellStyle name="Normal 3 2 2 2 2 3 2 2 2 2 2" xfId="25164" xr:uid="{00000000-0005-0000-0000-00007B620000}"/>
    <cellStyle name="Normal 3 2 2 2 2 3 2 2 2 3" xfId="25165" xr:uid="{00000000-0005-0000-0000-00007C620000}"/>
    <cellStyle name="Normal 3 2 2 2 2 3 2 2 3" xfId="25166" xr:uid="{00000000-0005-0000-0000-00007D620000}"/>
    <cellStyle name="Normal 3 2 2 2 2 3 2 2 3 2" xfId="25167" xr:uid="{00000000-0005-0000-0000-00007E620000}"/>
    <cellStyle name="Normal 3 2 2 2 2 3 2 2 4" xfId="25168" xr:uid="{00000000-0005-0000-0000-00007F620000}"/>
    <cellStyle name="Normal 3 2 2 2 2 3 2 3" xfId="25169" xr:uid="{00000000-0005-0000-0000-000080620000}"/>
    <cellStyle name="Normal 3 2 2 2 2 3 2 3 2" xfId="25170" xr:uid="{00000000-0005-0000-0000-000081620000}"/>
    <cellStyle name="Normal 3 2 2 2 2 3 2 3 2 2" xfId="25171" xr:uid="{00000000-0005-0000-0000-000082620000}"/>
    <cellStyle name="Normal 3 2 2 2 2 3 2 3 3" xfId="25172" xr:uid="{00000000-0005-0000-0000-000083620000}"/>
    <cellStyle name="Normal 3 2 2 2 2 3 2 4" xfId="25173" xr:uid="{00000000-0005-0000-0000-000084620000}"/>
    <cellStyle name="Normal 3 2 2 2 2 3 2 4 2" xfId="25174" xr:uid="{00000000-0005-0000-0000-000085620000}"/>
    <cellStyle name="Normal 3 2 2 2 2 3 2 5" xfId="25175" xr:uid="{00000000-0005-0000-0000-000086620000}"/>
    <cellStyle name="Normal 3 2 2 2 2 3 3" xfId="25176" xr:uid="{00000000-0005-0000-0000-000087620000}"/>
    <cellStyle name="Normal 3 2 2 2 2 3 3 2" xfId="25177" xr:uid="{00000000-0005-0000-0000-000088620000}"/>
    <cellStyle name="Normal 3 2 2 2 2 3 3 2 2" xfId="25178" xr:uid="{00000000-0005-0000-0000-000089620000}"/>
    <cellStyle name="Normal 3 2 2 2 2 3 3 2 2 2" xfId="25179" xr:uid="{00000000-0005-0000-0000-00008A620000}"/>
    <cellStyle name="Normal 3 2 2 2 2 3 3 2 3" xfId="25180" xr:uid="{00000000-0005-0000-0000-00008B620000}"/>
    <cellStyle name="Normal 3 2 2 2 2 3 3 3" xfId="25181" xr:uid="{00000000-0005-0000-0000-00008C620000}"/>
    <cellStyle name="Normal 3 2 2 2 2 3 3 3 2" xfId="25182" xr:uid="{00000000-0005-0000-0000-00008D620000}"/>
    <cellStyle name="Normal 3 2 2 2 2 3 3 4" xfId="25183" xr:uid="{00000000-0005-0000-0000-00008E620000}"/>
    <cellStyle name="Normal 3 2 2 2 2 3 4" xfId="25184" xr:uid="{00000000-0005-0000-0000-00008F620000}"/>
    <cellStyle name="Normal 3 2 2 2 2 3 4 2" xfId="25185" xr:uid="{00000000-0005-0000-0000-000090620000}"/>
    <cellStyle name="Normal 3 2 2 2 2 3 4 2 2" xfId="25186" xr:uid="{00000000-0005-0000-0000-000091620000}"/>
    <cellStyle name="Normal 3 2 2 2 2 3 4 3" xfId="25187" xr:uid="{00000000-0005-0000-0000-000092620000}"/>
    <cellStyle name="Normal 3 2 2 2 2 3 5" xfId="25188" xr:uid="{00000000-0005-0000-0000-000093620000}"/>
    <cellStyle name="Normal 3 2 2 2 2 3 5 2" xfId="25189" xr:uid="{00000000-0005-0000-0000-000094620000}"/>
    <cellStyle name="Normal 3 2 2 2 2 3 6" xfId="25190" xr:uid="{00000000-0005-0000-0000-000095620000}"/>
    <cellStyle name="Normal 3 2 2 2 2 4" xfId="25191" xr:uid="{00000000-0005-0000-0000-000096620000}"/>
    <cellStyle name="Normal 3 2 2 2 2 4 2" xfId="25192" xr:uid="{00000000-0005-0000-0000-000097620000}"/>
    <cellStyle name="Normal 3 2 2 2 2 4 2 2" xfId="25193" xr:uid="{00000000-0005-0000-0000-000098620000}"/>
    <cellStyle name="Normal 3 2 2 2 2 4 2 2 2" xfId="25194" xr:uid="{00000000-0005-0000-0000-000099620000}"/>
    <cellStyle name="Normal 3 2 2 2 2 4 2 2 2 2" xfId="25195" xr:uid="{00000000-0005-0000-0000-00009A620000}"/>
    <cellStyle name="Normal 3 2 2 2 2 4 2 2 3" xfId="25196" xr:uid="{00000000-0005-0000-0000-00009B620000}"/>
    <cellStyle name="Normal 3 2 2 2 2 4 2 3" xfId="25197" xr:uid="{00000000-0005-0000-0000-00009C620000}"/>
    <cellStyle name="Normal 3 2 2 2 2 4 2 3 2" xfId="25198" xr:uid="{00000000-0005-0000-0000-00009D620000}"/>
    <cellStyle name="Normal 3 2 2 2 2 4 2 4" xfId="25199" xr:uid="{00000000-0005-0000-0000-00009E620000}"/>
    <cellStyle name="Normal 3 2 2 2 2 4 3" xfId="25200" xr:uid="{00000000-0005-0000-0000-00009F620000}"/>
    <cellStyle name="Normal 3 2 2 2 2 4 3 2" xfId="25201" xr:uid="{00000000-0005-0000-0000-0000A0620000}"/>
    <cellStyle name="Normal 3 2 2 2 2 4 3 2 2" xfId="25202" xr:uid="{00000000-0005-0000-0000-0000A1620000}"/>
    <cellStyle name="Normal 3 2 2 2 2 4 3 3" xfId="25203" xr:uid="{00000000-0005-0000-0000-0000A2620000}"/>
    <cellStyle name="Normal 3 2 2 2 2 4 4" xfId="25204" xr:uid="{00000000-0005-0000-0000-0000A3620000}"/>
    <cellStyle name="Normal 3 2 2 2 2 4 4 2" xfId="25205" xr:uid="{00000000-0005-0000-0000-0000A4620000}"/>
    <cellStyle name="Normal 3 2 2 2 2 4 5" xfId="25206" xr:uid="{00000000-0005-0000-0000-0000A5620000}"/>
    <cellStyle name="Normal 3 2 2 2 2 5" xfId="25207" xr:uid="{00000000-0005-0000-0000-0000A6620000}"/>
    <cellStyle name="Normal 3 2 2 2 2 5 2" xfId="25208" xr:uid="{00000000-0005-0000-0000-0000A7620000}"/>
    <cellStyle name="Normal 3 2 2 2 2 5 2 2" xfId="25209" xr:uid="{00000000-0005-0000-0000-0000A8620000}"/>
    <cellStyle name="Normal 3 2 2 2 2 5 2 2 2" xfId="25210" xr:uid="{00000000-0005-0000-0000-0000A9620000}"/>
    <cellStyle name="Normal 3 2 2 2 2 5 2 3" xfId="25211" xr:uid="{00000000-0005-0000-0000-0000AA620000}"/>
    <cellStyle name="Normal 3 2 2 2 2 5 3" xfId="25212" xr:uid="{00000000-0005-0000-0000-0000AB620000}"/>
    <cellStyle name="Normal 3 2 2 2 2 5 3 2" xfId="25213" xr:uid="{00000000-0005-0000-0000-0000AC620000}"/>
    <cellStyle name="Normal 3 2 2 2 2 5 4" xfId="25214" xr:uid="{00000000-0005-0000-0000-0000AD620000}"/>
    <cellStyle name="Normal 3 2 2 2 2 6" xfId="25215" xr:uid="{00000000-0005-0000-0000-0000AE620000}"/>
    <cellStyle name="Normal 3 2 2 2 2 6 2" xfId="25216" xr:uid="{00000000-0005-0000-0000-0000AF620000}"/>
    <cellStyle name="Normal 3 2 2 2 2 6 2 2" xfId="25217" xr:uid="{00000000-0005-0000-0000-0000B0620000}"/>
    <cellStyle name="Normal 3 2 2 2 2 6 3" xfId="25218" xr:uid="{00000000-0005-0000-0000-0000B1620000}"/>
    <cellStyle name="Normal 3 2 2 2 2 7" xfId="25219" xr:uid="{00000000-0005-0000-0000-0000B2620000}"/>
    <cellStyle name="Normal 3 2 2 2 2 7 2" xfId="25220" xr:uid="{00000000-0005-0000-0000-0000B3620000}"/>
    <cellStyle name="Normal 3 2 2 2 2 8" xfId="25221" xr:uid="{00000000-0005-0000-0000-0000B4620000}"/>
    <cellStyle name="Normal 3 2 2 2 3" xfId="25222" xr:uid="{00000000-0005-0000-0000-0000B5620000}"/>
    <cellStyle name="Normal 3 2 2 2 3 2" xfId="25223" xr:uid="{00000000-0005-0000-0000-0000B6620000}"/>
    <cellStyle name="Normal 3 2 2 2 3 2 2" xfId="25224" xr:uid="{00000000-0005-0000-0000-0000B7620000}"/>
    <cellStyle name="Normal 3 2 2 2 3 2 2 2" xfId="25225" xr:uid="{00000000-0005-0000-0000-0000B8620000}"/>
    <cellStyle name="Normal 3 2 2 2 3 2 2 2 2" xfId="25226" xr:uid="{00000000-0005-0000-0000-0000B9620000}"/>
    <cellStyle name="Normal 3 2 2 2 3 2 2 2 2 2" xfId="25227" xr:uid="{00000000-0005-0000-0000-0000BA620000}"/>
    <cellStyle name="Normal 3 2 2 2 3 2 2 2 2 2 2" xfId="25228" xr:uid="{00000000-0005-0000-0000-0000BB620000}"/>
    <cellStyle name="Normal 3 2 2 2 3 2 2 2 2 3" xfId="25229" xr:uid="{00000000-0005-0000-0000-0000BC620000}"/>
    <cellStyle name="Normal 3 2 2 2 3 2 2 2 3" xfId="25230" xr:uid="{00000000-0005-0000-0000-0000BD620000}"/>
    <cellStyle name="Normal 3 2 2 2 3 2 2 2 3 2" xfId="25231" xr:uid="{00000000-0005-0000-0000-0000BE620000}"/>
    <cellStyle name="Normal 3 2 2 2 3 2 2 2 4" xfId="25232" xr:uid="{00000000-0005-0000-0000-0000BF620000}"/>
    <cellStyle name="Normal 3 2 2 2 3 2 2 3" xfId="25233" xr:uid="{00000000-0005-0000-0000-0000C0620000}"/>
    <cellStyle name="Normal 3 2 2 2 3 2 2 3 2" xfId="25234" xr:uid="{00000000-0005-0000-0000-0000C1620000}"/>
    <cellStyle name="Normal 3 2 2 2 3 2 2 3 2 2" xfId="25235" xr:uid="{00000000-0005-0000-0000-0000C2620000}"/>
    <cellStyle name="Normal 3 2 2 2 3 2 2 3 3" xfId="25236" xr:uid="{00000000-0005-0000-0000-0000C3620000}"/>
    <cellStyle name="Normal 3 2 2 2 3 2 2 4" xfId="25237" xr:uid="{00000000-0005-0000-0000-0000C4620000}"/>
    <cellStyle name="Normal 3 2 2 2 3 2 2 4 2" xfId="25238" xr:uid="{00000000-0005-0000-0000-0000C5620000}"/>
    <cellStyle name="Normal 3 2 2 2 3 2 2 5" xfId="25239" xr:uid="{00000000-0005-0000-0000-0000C6620000}"/>
    <cellStyle name="Normal 3 2 2 2 3 2 3" xfId="25240" xr:uid="{00000000-0005-0000-0000-0000C7620000}"/>
    <cellStyle name="Normal 3 2 2 2 3 2 3 2" xfId="25241" xr:uid="{00000000-0005-0000-0000-0000C8620000}"/>
    <cellStyle name="Normal 3 2 2 2 3 2 3 2 2" xfId="25242" xr:uid="{00000000-0005-0000-0000-0000C9620000}"/>
    <cellStyle name="Normal 3 2 2 2 3 2 3 2 2 2" xfId="25243" xr:uid="{00000000-0005-0000-0000-0000CA620000}"/>
    <cellStyle name="Normal 3 2 2 2 3 2 3 2 3" xfId="25244" xr:uid="{00000000-0005-0000-0000-0000CB620000}"/>
    <cellStyle name="Normal 3 2 2 2 3 2 3 3" xfId="25245" xr:uid="{00000000-0005-0000-0000-0000CC620000}"/>
    <cellStyle name="Normal 3 2 2 2 3 2 3 3 2" xfId="25246" xr:uid="{00000000-0005-0000-0000-0000CD620000}"/>
    <cellStyle name="Normal 3 2 2 2 3 2 3 4" xfId="25247" xr:uid="{00000000-0005-0000-0000-0000CE620000}"/>
    <cellStyle name="Normal 3 2 2 2 3 2 4" xfId="25248" xr:uid="{00000000-0005-0000-0000-0000CF620000}"/>
    <cellStyle name="Normal 3 2 2 2 3 2 4 2" xfId="25249" xr:uid="{00000000-0005-0000-0000-0000D0620000}"/>
    <cellStyle name="Normal 3 2 2 2 3 2 4 2 2" xfId="25250" xr:uid="{00000000-0005-0000-0000-0000D1620000}"/>
    <cellStyle name="Normal 3 2 2 2 3 2 4 3" xfId="25251" xr:uid="{00000000-0005-0000-0000-0000D2620000}"/>
    <cellStyle name="Normal 3 2 2 2 3 2 5" xfId="25252" xr:uid="{00000000-0005-0000-0000-0000D3620000}"/>
    <cellStyle name="Normal 3 2 2 2 3 2 5 2" xfId="25253" xr:uid="{00000000-0005-0000-0000-0000D4620000}"/>
    <cellStyle name="Normal 3 2 2 2 3 2 6" xfId="25254" xr:uid="{00000000-0005-0000-0000-0000D5620000}"/>
    <cellStyle name="Normal 3 2 2 2 3 3" xfId="25255" xr:uid="{00000000-0005-0000-0000-0000D6620000}"/>
    <cellStyle name="Normal 3 2 2 2 3 3 2" xfId="25256" xr:uid="{00000000-0005-0000-0000-0000D7620000}"/>
    <cellStyle name="Normal 3 2 2 2 3 3 2 2" xfId="25257" xr:uid="{00000000-0005-0000-0000-0000D8620000}"/>
    <cellStyle name="Normal 3 2 2 2 3 3 2 2 2" xfId="25258" xr:uid="{00000000-0005-0000-0000-0000D9620000}"/>
    <cellStyle name="Normal 3 2 2 2 3 3 2 2 2 2" xfId="25259" xr:uid="{00000000-0005-0000-0000-0000DA620000}"/>
    <cellStyle name="Normal 3 2 2 2 3 3 2 2 3" xfId="25260" xr:uid="{00000000-0005-0000-0000-0000DB620000}"/>
    <cellStyle name="Normal 3 2 2 2 3 3 2 3" xfId="25261" xr:uid="{00000000-0005-0000-0000-0000DC620000}"/>
    <cellStyle name="Normal 3 2 2 2 3 3 2 3 2" xfId="25262" xr:uid="{00000000-0005-0000-0000-0000DD620000}"/>
    <cellStyle name="Normal 3 2 2 2 3 3 2 4" xfId="25263" xr:uid="{00000000-0005-0000-0000-0000DE620000}"/>
    <cellStyle name="Normal 3 2 2 2 3 3 3" xfId="25264" xr:uid="{00000000-0005-0000-0000-0000DF620000}"/>
    <cellStyle name="Normal 3 2 2 2 3 3 3 2" xfId="25265" xr:uid="{00000000-0005-0000-0000-0000E0620000}"/>
    <cellStyle name="Normal 3 2 2 2 3 3 3 2 2" xfId="25266" xr:uid="{00000000-0005-0000-0000-0000E1620000}"/>
    <cellStyle name="Normal 3 2 2 2 3 3 3 3" xfId="25267" xr:uid="{00000000-0005-0000-0000-0000E2620000}"/>
    <cellStyle name="Normal 3 2 2 2 3 3 4" xfId="25268" xr:uid="{00000000-0005-0000-0000-0000E3620000}"/>
    <cellStyle name="Normal 3 2 2 2 3 3 4 2" xfId="25269" xr:uid="{00000000-0005-0000-0000-0000E4620000}"/>
    <cellStyle name="Normal 3 2 2 2 3 3 5" xfId="25270" xr:uid="{00000000-0005-0000-0000-0000E5620000}"/>
    <cellStyle name="Normal 3 2 2 2 3 4" xfId="25271" xr:uid="{00000000-0005-0000-0000-0000E6620000}"/>
    <cellStyle name="Normal 3 2 2 2 3 4 2" xfId="25272" xr:uid="{00000000-0005-0000-0000-0000E7620000}"/>
    <cellStyle name="Normal 3 2 2 2 3 4 2 2" xfId="25273" xr:uid="{00000000-0005-0000-0000-0000E8620000}"/>
    <cellStyle name="Normal 3 2 2 2 3 4 2 2 2" xfId="25274" xr:uid="{00000000-0005-0000-0000-0000E9620000}"/>
    <cellStyle name="Normal 3 2 2 2 3 4 2 3" xfId="25275" xr:uid="{00000000-0005-0000-0000-0000EA620000}"/>
    <cellStyle name="Normal 3 2 2 2 3 4 3" xfId="25276" xr:uid="{00000000-0005-0000-0000-0000EB620000}"/>
    <cellStyle name="Normal 3 2 2 2 3 4 3 2" xfId="25277" xr:uid="{00000000-0005-0000-0000-0000EC620000}"/>
    <cellStyle name="Normal 3 2 2 2 3 4 4" xfId="25278" xr:uid="{00000000-0005-0000-0000-0000ED620000}"/>
    <cellStyle name="Normal 3 2 2 2 3 5" xfId="25279" xr:uid="{00000000-0005-0000-0000-0000EE620000}"/>
    <cellStyle name="Normal 3 2 2 2 3 5 2" xfId="25280" xr:uid="{00000000-0005-0000-0000-0000EF620000}"/>
    <cellStyle name="Normal 3 2 2 2 3 5 2 2" xfId="25281" xr:uid="{00000000-0005-0000-0000-0000F0620000}"/>
    <cellStyle name="Normal 3 2 2 2 3 5 3" xfId="25282" xr:uid="{00000000-0005-0000-0000-0000F1620000}"/>
    <cellStyle name="Normal 3 2 2 2 3 6" xfId="25283" xr:uid="{00000000-0005-0000-0000-0000F2620000}"/>
    <cellStyle name="Normal 3 2 2 2 3 6 2" xfId="25284" xr:uid="{00000000-0005-0000-0000-0000F3620000}"/>
    <cellStyle name="Normal 3 2 2 2 3 7" xfId="25285" xr:uid="{00000000-0005-0000-0000-0000F4620000}"/>
    <cellStyle name="Normal 3 2 2 2 4" xfId="25286" xr:uid="{00000000-0005-0000-0000-0000F5620000}"/>
    <cellStyle name="Normal 3 2 2 2 4 2" xfId="25287" xr:uid="{00000000-0005-0000-0000-0000F6620000}"/>
    <cellStyle name="Normal 3 2 2 2 4 2 2" xfId="25288" xr:uid="{00000000-0005-0000-0000-0000F7620000}"/>
    <cellStyle name="Normal 3 2 2 2 4 2 2 2" xfId="25289" xr:uid="{00000000-0005-0000-0000-0000F8620000}"/>
    <cellStyle name="Normal 3 2 2 2 4 2 2 2 2" xfId="25290" xr:uid="{00000000-0005-0000-0000-0000F9620000}"/>
    <cellStyle name="Normal 3 2 2 2 4 2 2 2 2 2" xfId="25291" xr:uid="{00000000-0005-0000-0000-0000FA620000}"/>
    <cellStyle name="Normal 3 2 2 2 4 2 2 2 3" xfId="25292" xr:uid="{00000000-0005-0000-0000-0000FB620000}"/>
    <cellStyle name="Normal 3 2 2 2 4 2 2 3" xfId="25293" xr:uid="{00000000-0005-0000-0000-0000FC620000}"/>
    <cellStyle name="Normal 3 2 2 2 4 2 2 3 2" xfId="25294" xr:uid="{00000000-0005-0000-0000-0000FD620000}"/>
    <cellStyle name="Normal 3 2 2 2 4 2 2 4" xfId="25295" xr:uid="{00000000-0005-0000-0000-0000FE620000}"/>
    <cellStyle name="Normal 3 2 2 2 4 2 3" xfId="25296" xr:uid="{00000000-0005-0000-0000-0000FF620000}"/>
    <cellStyle name="Normal 3 2 2 2 4 2 3 2" xfId="25297" xr:uid="{00000000-0005-0000-0000-000000630000}"/>
    <cellStyle name="Normal 3 2 2 2 4 2 3 2 2" xfId="25298" xr:uid="{00000000-0005-0000-0000-000001630000}"/>
    <cellStyle name="Normal 3 2 2 2 4 2 3 3" xfId="25299" xr:uid="{00000000-0005-0000-0000-000002630000}"/>
    <cellStyle name="Normal 3 2 2 2 4 2 4" xfId="25300" xr:uid="{00000000-0005-0000-0000-000003630000}"/>
    <cellStyle name="Normal 3 2 2 2 4 2 4 2" xfId="25301" xr:uid="{00000000-0005-0000-0000-000004630000}"/>
    <cellStyle name="Normal 3 2 2 2 4 2 5" xfId="25302" xr:uid="{00000000-0005-0000-0000-000005630000}"/>
    <cellStyle name="Normal 3 2 2 2 4 3" xfId="25303" xr:uid="{00000000-0005-0000-0000-000006630000}"/>
    <cellStyle name="Normal 3 2 2 2 4 3 2" xfId="25304" xr:uid="{00000000-0005-0000-0000-000007630000}"/>
    <cellStyle name="Normal 3 2 2 2 4 3 2 2" xfId="25305" xr:uid="{00000000-0005-0000-0000-000008630000}"/>
    <cellStyle name="Normal 3 2 2 2 4 3 2 2 2" xfId="25306" xr:uid="{00000000-0005-0000-0000-000009630000}"/>
    <cellStyle name="Normal 3 2 2 2 4 3 2 3" xfId="25307" xr:uid="{00000000-0005-0000-0000-00000A630000}"/>
    <cellStyle name="Normal 3 2 2 2 4 3 3" xfId="25308" xr:uid="{00000000-0005-0000-0000-00000B630000}"/>
    <cellStyle name="Normal 3 2 2 2 4 3 3 2" xfId="25309" xr:uid="{00000000-0005-0000-0000-00000C630000}"/>
    <cellStyle name="Normal 3 2 2 2 4 3 4" xfId="25310" xr:uid="{00000000-0005-0000-0000-00000D630000}"/>
    <cellStyle name="Normal 3 2 2 2 4 4" xfId="25311" xr:uid="{00000000-0005-0000-0000-00000E630000}"/>
    <cellStyle name="Normal 3 2 2 2 4 4 2" xfId="25312" xr:uid="{00000000-0005-0000-0000-00000F630000}"/>
    <cellStyle name="Normal 3 2 2 2 4 4 2 2" xfId="25313" xr:uid="{00000000-0005-0000-0000-000010630000}"/>
    <cellStyle name="Normal 3 2 2 2 4 4 3" xfId="25314" xr:uid="{00000000-0005-0000-0000-000011630000}"/>
    <cellStyle name="Normal 3 2 2 2 4 5" xfId="25315" xr:uid="{00000000-0005-0000-0000-000012630000}"/>
    <cellStyle name="Normal 3 2 2 2 4 5 2" xfId="25316" xr:uid="{00000000-0005-0000-0000-000013630000}"/>
    <cellStyle name="Normal 3 2 2 2 4 6" xfId="25317" xr:uid="{00000000-0005-0000-0000-000014630000}"/>
    <cellStyle name="Normal 3 2 2 2 5" xfId="25318" xr:uid="{00000000-0005-0000-0000-000015630000}"/>
    <cellStyle name="Normal 3 2 2 2 5 2" xfId="25319" xr:uid="{00000000-0005-0000-0000-000016630000}"/>
    <cellStyle name="Normal 3 2 2 2 5 2 2" xfId="25320" xr:uid="{00000000-0005-0000-0000-000017630000}"/>
    <cellStyle name="Normal 3 2 2 2 5 2 2 2" xfId="25321" xr:uid="{00000000-0005-0000-0000-000018630000}"/>
    <cellStyle name="Normal 3 2 2 2 5 2 2 2 2" xfId="25322" xr:uid="{00000000-0005-0000-0000-000019630000}"/>
    <cellStyle name="Normal 3 2 2 2 5 2 2 3" xfId="25323" xr:uid="{00000000-0005-0000-0000-00001A630000}"/>
    <cellStyle name="Normal 3 2 2 2 5 2 3" xfId="25324" xr:uid="{00000000-0005-0000-0000-00001B630000}"/>
    <cellStyle name="Normal 3 2 2 2 5 2 3 2" xfId="25325" xr:uid="{00000000-0005-0000-0000-00001C630000}"/>
    <cellStyle name="Normal 3 2 2 2 5 2 4" xfId="25326" xr:uid="{00000000-0005-0000-0000-00001D630000}"/>
    <cellStyle name="Normal 3 2 2 2 5 3" xfId="25327" xr:uid="{00000000-0005-0000-0000-00001E630000}"/>
    <cellStyle name="Normal 3 2 2 2 5 3 2" xfId="25328" xr:uid="{00000000-0005-0000-0000-00001F630000}"/>
    <cellStyle name="Normal 3 2 2 2 5 3 2 2" xfId="25329" xr:uid="{00000000-0005-0000-0000-000020630000}"/>
    <cellStyle name="Normal 3 2 2 2 5 3 3" xfId="25330" xr:uid="{00000000-0005-0000-0000-000021630000}"/>
    <cellStyle name="Normal 3 2 2 2 5 4" xfId="25331" xr:uid="{00000000-0005-0000-0000-000022630000}"/>
    <cellStyle name="Normal 3 2 2 2 5 4 2" xfId="25332" xr:uid="{00000000-0005-0000-0000-000023630000}"/>
    <cellStyle name="Normal 3 2 2 2 5 5" xfId="25333" xr:uid="{00000000-0005-0000-0000-000024630000}"/>
    <cellStyle name="Normal 3 2 2 2 6" xfId="25334" xr:uid="{00000000-0005-0000-0000-000025630000}"/>
    <cellStyle name="Normal 3 2 2 2 6 2" xfId="25335" xr:uid="{00000000-0005-0000-0000-000026630000}"/>
    <cellStyle name="Normal 3 2 2 2 6 2 2" xfId="25336" xr:uid="{00000000-0005-0000-0000-000027630000}"/>
    <cellStyle name="Normal 3 2 2 2 6 2 2 2" xfId="25337" xr:uid="{00000000-0005-0000-0000-000028630000}"/>
    <cellStyle name="Normal 3 2 2 2 6 2 3" xfId="25338" xr:uid="{00000000-0005-0000-0000-000029630000}"/>
    <cellStyle name="Normal 3 2 2 2 6 3" xfId="25339" xr:uid="{00000000-0005-0000-0000-00002A630000}"/>
    <cellStyle name="Normal 3 2 2 2 6 3 2" xfId="25340" xr:uid="{00000000-0005-0000-0000-00002B630000}"/>
    <cellStyle name="Normal 3 2 2 2 6 4" xfId="25341" xr:uid="{00000000-0005-0000-0000-00002C630000}"/>
    <cellStyle name="Normal 3 2 2 2 7" xfId="25342" xr:uid="{00000000-0005-0000-0000-00002D630000}"/>
    <cellStyle name="Normal 3 2 2 2 7 2" xfId="25343" xr:uid="{00000000-0005-0000-0000-00002E630000}"/>
    <cellStyle name="Normal 3 2 2 2 7 2 2" xfId="25344" xr:uid="{00000000-0005-0000-0000-00002F630000}"/>
    <cellStyle name="Normal 3 2 2 2 7 3" xfId="25345" xr:uid="{00000000-0005-0000-0000-000030630000}"/>
    <cellStyle name="Normal 3 2 2 2 8" xfId="25346" xr:uid="{00000000-0005-0000-0000-000031630000}"/>
    <cellStyle name="Normal 3 2 2 2 8 2" xfId="25347" xr:uid="{00000000-0005-0000-0000-000032630000}"/>
    <cellStyle name="Normal 3 2 2 2 9" xfId="25348" xr:uid="{00000000-0005-0000-0000-000033630000}"/>
    <cellStyle name="Normal 3 2 2 3" xfId="25349" xr:uid="{00000000-0005-0000-0000-000034630000}"/>
    <cellStyle name="Normal 3 2 2 3 2" xfId="25350" xr:uid="{00000000-0005-0000-0000-000035630000}"/>
    <cellStyle name="Normal 3 2 2 3 2 2" xfId="25351" xr:uid="{00000000-0005-0000-0000-000036630000}"/>
    <cellStyle name="Normal 3 2 2 3 2 2 2" xfId="25352" xr:uid="{00000000-0005-0000-0000-000037630000}"/>
    <cellStyle name="Normal 3 2 2 3 2 2 2 2" xfId="25353" xr:uid="{00000000-0005-0000-0000-000038630000}"/>
    <cellStyle name="Normal 3 2 2 3 2 2 2 2 2" xfId="25354" xr:uid="{00000000-0005-0000-0000-000039630000}"/>
    <cellStyle name="Normal 3 2 2 3 2 2 2 2 2 2" xfId="25355" xr:uid="{00000000-0005-0000-0000-00003A630000}"/>
    <cellStyle name="Normal 3 2 2 3 2 2 2 2 2 2 2" xfId="25356" xr:uid="{00000000-0005-0000-0000-00003B630000}"/>
    <cellStyle name="Normal 3 2 2 3 2 2 2 2 2 3" xfId="25357" xr:uid="{00000000-0005-0000-0000-00003C630000}"/>
    <cellStyle name="Normal 3 2 2 3 2 2 2 2 3" xfId="25358" xr:uid="{00000000-0005-0000-0000-00003D630000}"/>
    <cellStyle name="Normal 3 2 2 3 2 2 2 2 3 2" xfId="25359" xr:uid="{00000000-0005-0000-0000-00003E630000}"/>
    <cellStyle name="Normal 3 2 2 3 2 2 2 2 4" xfId="25360" xr:uid="{00000000-0005-0000-0000-00003F630000}"/>
    <cellStyle name="Normal 3 2 2 3 2 2 2 3" xfId="25361" xr:uid="{00000000-0005-0000-0000-000040630000}"/>
    <cellStyle name="Normal 3 2 2 3 2 2 2 3 2" xfId="25362" xr:uid="{00000000-0005-0000-0000-000041630000}"/>
    <cellStyle name="Normal 3 2 2 3 2 2 2 3 2 2" xfId="25363" xr:uid="{00000000-0005-0000-0000-000042630000}"/>
    <cellStyle name="Normal 3 2 2 3 2 2 2 3 3" xfId="25364" xr:uid="{00000000-0005-0000-0000-000043630000}"/>
    <cellStyle name="Normal 3 2 2 3 2 2 2 4" xfId="25365" xr:uid="{00000000-0005-0000-0000-000044630000}"/>
    <cellStyle name="Normal 3 2 2 3 2 2 2 4 2" xfId="25366" xr:uid="{00000000-0005-0000-0000-000045630000}"/>
    <cellStyle name="Normal 3 2 2 3 2 2 2 5" xfId="25367" xr:uid="{00000000-0005-0000-0000-000046630000}"/>
    <cellStyle name="Normal 3 2 2 3 2 2 3" xfId="25368" xr:uid="{00000000-0005-0000-0000-000047630000}"/>
    <cellStyle name="Normal 3 2 2 3 2 2 3 2" xfId="25369" xr:uid="{00000000-0005-0000-0000-000048630000}"/>
    <cellStyle name="Normal 3 2 2 3 2 2 3 2 2" xfId="25370" xr:uid="{00000000-0005-0000-0000-000049630000}"/>
    <cellStyle name="Normal 3 2 2 3 2 2 3 2 2 2" xfId="25371" xr:uid="{00000000-0005-0000-0000-00004A630000}"/>
    <cellStyle name="Normal 3 2 2 3 2 2 3 2 3" xfId="25372" xr:uid="{00000000-0005-0000-0000-00004B630000}"/>
    <cellStyle name="Normal 3 2 2 3 2 2 3 3" xfId="25373" xr:uid="{00000000-0005-0000-0000-00004C630000}"/>
    <cellStyle name="Normal 3 2 2 3 2 2 3 3 2" xfId="25374" xr:uid="{00000000-0005-0000-0000-00004D630000}"/>
    <cellStyle name="Normal 3 2 2 3 2 2 3 4" xfId="25375" xr:uid="{00000000-0005-0000-0000-00004E630000}"/>
    <cellStyle name="Normal 3 2 2 3 2 2 4" xfId="25376" xr:uid="{00000000-0005-0000-0000-00004F630000}"/>
    <cellStyle name="Normal 3 2 2 3 2 2 4 2" xfId="25377" xr:uid="{00000000-0005-0000-0000-000050630000}"/>
    <cellStyle name="Normal 3 2 2 3 2 2 4 2 2" xfId="25378" xr:uid="{00000000-0005-0000-0000-000051630000}"/>
    <cellStyle name="Normal 3 2 2 3 2 2 4 3" xfId="25379" xr:uid="{00000000-0005-0000-0000-000052630000}"/>
    <cellStyle name="Normal 3 2 2 3 2 2 5" xfId="25380" xr:uid="{00000000-0005-0000-0000-000053630000}"/>
    <cellStyle name="Normal 3 2 2 3 2 2 5 2" xfId="25381" xr:uid="{00000000-0005-0000-0000-000054630000}"/>
    <cellStyle name="Normal 3 2 2 3 2 2 6" xfId="25382" xr:uid="{00000000-0005-0000-0000-000055630000}"/>
    <cellStyle name="Normal 3 2 2 3 2 3" xfId="25383" xr:uid="{00000000-0005-0000-0000-000056630000}"/>
    <cellStyle name="Normal 3 2 2 3 2 3 2" xfId="25384" xr:uid="{00000000-0005-0000-0000-000057630000}"/>
    <cellStyle name="Normal 3 2 2 3 2 3 2 2" xfId="25385" xr:uid="{00000000-0005-0000-0000-000058630000}"/>
    <cellStyle name="Normal 3 2 2 3 2 3 2 2 2" xfId="25386" xr:uid="{00000000-0005-0000-0000-000059630000}"/>
    <cellStyle name="Normal 3 2 2 3 2 3 2 2 2 2" xfId="25387" xr:uid="{00000000-0005-0000-0000-00005A630000}"/>
    <cellStyle name="Normal 3 2 2 3 2 3 2 2 3" xfId="25388" xr:uid="{00000000-0005-0000-0000-00005B630000}"/>
    <cellStyle name="Normal 3 2 2 3 2 3 2 3" xfId="25389" xr:uid="{00000000-0005-0000-0000-00005C630000}"/>
    <cellStyle name="Normal 3 2 2 3 2 3 2 3 2" xfId="25390" xr:uid="{00000000-0005-0000-0000-00005D630000}"/>
    <cellStyle name="Normal 3 2 2 3 2 3 2 4" xfId="25391" xr:uid="{00000000-0005-0000-0000-00005E630000}"/>
    <cellStyle name="Normal 3 2 2 3 2 3 3" xfId="25392" xr:uid="{00000000-0005-0000-0000-00005F630000}"/>
    <cellStyle name="Normal 3 2 2 3 2 3 3 2" xfId="25393" xr:uid="{00000000-0005-0000-0000-000060630000}"/>
    <cellStyle name="Normal 3 2 2 3 2 3 3 2 2" xfId="25394" xr:uid="{00000000-0005-0000-0000-000061630000}"/>
    <cellStyle name="Normal 3 2 2 3 2 3 3 3" xfId="25395" xr:uid="{00000000-0005-0000-0000-000062630000}"/>
    <cellStyle name="Normal 3 2 2 3 2 3 4" xfId="25396" xr:uid="{00000000-0005-0000-0000-000063630000}"/>
    <cellStyle name="Normal 3 2 2 3 2 3 4 2" xfId="25397" xr:uid="{00000000-0005-0000-0000-000064630000}"/>
    <cellStyle name="Normal 3 2 2 3 2 3 5" xfId="25398" xr:uid="{00000000-0005-0000-0000-000065630000}"/>
    <cellStyle name="Normal 3 2 2 3 2 4" xfId="25399" xr:uid="{00000000-0005-0000-0000-000066630000}"/>
    <cellStyle name="Normal 3 2 2 3 2 4 2" xfId="25400" xr:uid="{00000000-0005-0000-0000-000067630000}"/>
    <cellStyle name="Normal 3 2 2 3 2 4 2 2" xfId="25401" xr:uid="{00000000-0005-0000-0000-000068630000}"/>
    <cellStyle name="Normal 3 2 2 3 2 4 2 2 2" xfId="25402" xr:uid="{00000000-0005-0000-0000-000069630000}"/>
    <cellStyle name="Normal 3 2 2 3 2 4 2 3" xfId="25403" xr:uid="{00000000-0005-0000-0000-00006A630000}"/>
    <cellStyle name="Normal 3 2 2 3 2 4 3" xfId="25404" xr:uid="{00000000-0005-0000-0000-00006B630000}"/>
    <cellStyle name="Normal 3 2 2 3 2 4 3 2" xfId="25405" xr:uid="{00000000-0005-0000-0000-00006C630000}"/>
    <cellStyle name="Normal 3 2 2 3 2 4 4" xfId="25406" xr:uid="{00000000-0005-0000-0000-00006D630000}"/>
    <cellStyle name="Normal 3 2 2 3 2 5" xfId="25407" xr:uid="{00000000-0005-0000-0000-00006E630000}"/>
    <cellStyle name="Normal 3 2 2 3 2 5 2" xfId="25408" xr:uid="{00000000-0005-0000-0000-00006F630000}"/>
    <cellStyle name="Normal 3 2 2 3 2 5 2 2" xfId="25409" xr:uid="{00000000-0005-0000-0000-000070630000}"/>
    <cellStyle name="Normal 3 2 2 3 2 5 3" xfId="25410" xr:uid="{00000000-0005-0000-0000-000071630000}"/>
    <cellStyle name="Normal 3 2 2 3 2 6" xfId="25411" xr:uid="{00000000-0005-0000-0000-000072630000}"/>
    <cellStyle name="Normal 3 2 2 3 2 6 2" xfId="25412" xr:uid="{00000000-0005-0000-0000-000073630000}"/>
    <cellStyle name="Normal 3 2 2 3 2 7" xfId="25413" xr:uid="{00000000-0005-0000-0000-000074630000}"/>
    <cellStyle name="Normal 3 2 2 3 3" xfId="25414" xr:uid="{00000000-0005-0000-0000-000075630000}"/>
    <cellStyle name="Normal 3 2 2 3 3 2" xfId="25415" xr:uid="{00000000-0005-0000-0000-000076630000}"/>
    <cellStyle name="Normal 3 2 2 3 3 2 2" xfId="25416" xr:uid="{00000000-0005-0000-0000-000077630000}"/>
    <cellStyle name="Normal 3 2 2 3 3 2 2 2" xfId="25417" xr:uid="{00000000-0005-0000-0000-000078630000}"/>
    <cellStyle name="Normal 3 2 2 3 3 2 2 2 2" xfId="25418" xr:uid="{00000000-0005-0000-0000-000079630000}"/>
    <cellStyle name="Normal 3 2 2 3 3 2 2 2 2 2" xfId="25419" xr:uid="{00000000-0005-0000-0000-00007A630000}"/>
    <cellStyle name="Normal 3 2 2 3 3 2 2 2 3" xfId="25420" xr:uid="{00000000-0005-0000-0000-00007B630000}"/>
    <cellStyle name="Normal 3 2 2 3 3 2 2 3" xfId="25421" xr:uid="{00000000-0005-0000-0000-00007C630000}"/>
    <cellStyle name="Normal 3 2 2 3 3 2 2 3 2" xfId="25422" xr:uid="{00000000-0005-0000-0000-00007D630000}"/>
    <cellStyle name="Normal 3 2 2 3 3 2 2 4" xfId="25423" xr:uid="{00000000-0005-0000-0000-00007E630000}"/>
    <cellStyle name="Normal 3 2 2 3 3 2 3" xfId="25424" xr:uid="{00000000-0005-0000-0000-00007F630000}"/>
    <cellStyle name="Normal 3 2 2 3 3 2 3 2" xfId="25425" xr:uid="{00000000-0005-0000-0000-000080630000}"/>
    <cellStyle name="Normal 3 2 2 3 3 2 3 2 2" xfId="25426" xr:uid="{00000000-0005-0000-0000-000081630000}"/>
    <cellStyle name="Normal 3 2 2 3 3 2 3 3" xfId="25427" xr:uid="{00000000-0005-0000-0000-000082630000}"/>
    <cellStyle name="Normal 3 2 2 3 3 2 4" xfId="25428" xr:uid="{00000000-0005-0000-0000-000083630000}"/>
    <cellStyle name="Normal 3 2 2 3 3 2 4 2" xfId="25429" xr:uid="{00000000-0005-0000-0000-000084630000}"/>
    <cellStyle name="Normal 3 2 2 3 3 2 5" xfId="25430" xr:uid="{00000000-0005-0000-0000-000085630000}"/>
    <cellStyle name="Normal 3 2 2 3 3 3" xfId="25431" xr:uid="{00000000-0005-0000-0000-000086630000}"/>
    <cellStyle name="Normal 3 2 2 3 3 3 2" xfId="25432" xr:uid="{00000000-0005-0000-0000-000087630000}"/>
    <cellStyle name="Normal 3 2 2 3 3 3 2 2" xfId="25433" xr:uid="{00000000-0005-0000-0000-000088630000}"/>
    <cellStyle name="Normal 3 2 2 3 3 3 2 2 2" xfId="25434" xr:uid="{00000000-0005-0000-0000-000089630000}"/>
    <cellStyle name="Normal 3 2 2 3 3 3 2 3" xfId="25435" xr:uid="{00000000-0005-0000-0000-00008A630000}"/>
    <cellStyle name="Normal 3 2 2 3 3 3 3" xfId="25436" xr:uid="{00000000-0005-0000-0000-00008B630000}"/>
    <cellStyle name="Normal 3 2 2 3 3 3 3 2" xfId="25437" xr:uid="{00000000-0005-0000-0000-00008C630000}"/>
    <cellStyle name="Normal 3 2 2 3 3 3 4" xfId="25438" xr:uid="{00000000-0005-0000-0000-00008D630000}"/>
    <cellStyle name="Normal 3 2 2 3 3 4" xfId="25439" xr:uid="{00000000-0005-0000-0000-00008E630000}"/>
    <cellStyle name="Normal 3 2 2 3 3 4 2" xfId="25440" xr:uid="{00000000-0005-0000-0000-00008F630000}"/>
    <cellStyle name="Normal 3 2 2 3 3 4 2 2" xfId="25441" xr:uid="{00000000-0005-0000-0000-000090630000}"/>
    <cellStyle name="Normal 3 2 2 3 3 4 3" xfId="25442" xr:uid="{00000000-0005-0000-0000-000091630000}"/>
    <cellStyle name="Normal 3 2 2 3 3 5" xfId="25443" xr:uid="{00000000-0005-0000-0000-000092630000}"/>
    <cellStyle name="Normal 3 2 2 3 3 5 2" xfId="25444" xr:uid="{00000000-0005-0000-0000-000093630000}"/>
    <cellStyle name="Normal 3 2 2 3 3 6" xfId="25445" xr:uid="{00000000-0005-0000-0000-000094630000}"/>
    <cellStyle name="Normal 3 2 2 3 4" xfId="25446" xr:uid="{00000000-0005-0000-0000-000095630000}"/>
    <cellStyle name="Normal 3 2 2 3 4 2" xfId="25447" xr:uid="{00000000-0005-0000-0000-000096630000}"/>
    <cellStyle name="Normal 3 2 2 3 4 2 2" xfId="25448" xr:uid="{00000000-0005-0000-0000-000097630000}"/>
    <cellStyle name="Normal 3 2 2 3 4 2 2 2" xfId="25449" xr:uid="{00000000-0005-0000-0000-000098630000}"/>
    <cellStyle name="Normal 3 2 2 3 4 2 2 2 2" xfId="25450" xr:uid="{00000000-0005-0000-0000-000099630000}"/>
    <cellStyle name="Normal 3 2 2 3 4 2 2 3" xfId="25451" xr:uid="{00000000-0005-0000-0000-00009A630000}"/>
    <cellStyle name="Normal 3 2 2 3 4 2 3" xfId="25452" xr:uid="{00000000-0005-0000-0000-00009B630000}"/>
    <cellStyle name="Normal 3 2 2 3 4 2 3 2" xfId="25453" xr:uid="{00000000-0005-0000-0000-00009C630000}"/>
    <cellStyle name="Normal 3 2 2 3 4 2 4" xfId="25454" xr:uid="{00000000-0005-0000-0000-00009D630000}"/>
    <cellStyle name="Normal 3 2 2 3 4 3" xfId="25455" xr:uid="{00000000-0005-0000-0000-00009E630000}"/>
    <cellStyle name="Normal 3 2 2 3 4 3 2" xfId="25456" xr:uid="{00000000-0005-0000-0000-00009F630000}"/>
    <cellStyle name="Normal 3 2 2 3 4 3 2 2" xfId="25457" xr:uid="{00000000-0005-0000-0000-0000A0630000}"/>
    <cellStyle name="Normal 3 2 2 3 4 3 3" xfId="25458" xr:uid="{00000000-0005-0000-0000-0000A1630000}"/>
    <cellStyle name="Normal 3 2 2 3 4 4" xfId="25459" xr:uid="{00000000-0005-0000-0000-0000A2630000}"/>
    <cellStyle name="Normal 3 2 2 3 4 4 2" xfId="25460" xr:uid="{00000000-0005-0000-0000-0000A3630000}"/>
    <cellStyle name="Normal 3 2 2 3 4 5" xfId="25461" xr:uid="{00000000-0005-0000-0000-0000A4630000}"/>
    <cellStyle name="Normal 3 2 2 3 5" xfId="25462" xr:uid="{00000000-0005-0000-0000-0000A5630000}"/>
    <cellStyle name="Normal 3 2 2 3 5 2" xfId="25463" xr:uid="{00000000-0005-0000-0000-0000A6630000}"/>
    <cellStyle name="Normal 3 2 2 3 5 2 2" xfId="25464" xr:uid="{00000000-0005-0000-0000-0000A7630000}"/>
    <cellStyle name="Normal 3 2 2 3 5 2 2 2" xfId="25465" xr:uid="{00000000-0005-0000-0000-0000A8630000}"/>
    <cellStyle name="Normal 3 2 2 3 5 2 3" xfId="25466" xr:uid="{00000000-0005-0000-0000-0000A9630000}"/>
    <cellStyle name="Normal 3 2 2 3 5 3" xfId="25467" xr:uid="{00000000-0005-0000-0000-0000AA630000}"/>
    <cellStyle name="Normal 3 2 2 3 5 3 2" xfId="25468" xr:uid="{00000000-0005-0000-0000-0000AB630000}"/>
    <cellStyle name="Normal 3 2 2 3 5 4" xfId="25469" xr:uid="{00000000-0005-0000-0000-0000AC630000}"/>
    <cellStyle name="Normal 3 2 2 3 6" xfId="25470" xr:uid="{00000000-0005-0000-0000-0000AD630000}"/>
    <cellStyle name="Normal 3 2 2 3 6 2" xfId="25471" xr:uid="{00000000-0005-0000-0000-0000AE630000}"/>
    <cellStyle name="Normal 3 2 2 3 6 2 2" xfId="25472" xr:uid="{00000000-0005-0000-0000-0000AF630000}"/>
    <cellStyle name="Normal 3 2 2 3 6 3" xfId="25473" xr:uid="{00000000-0005-0000-0000-0000B0630000}"/>
    <cellStyle name="Normal 3 2 2 3 7" xfId="25474" xr:uid="{00000000-0005-0000-0000-0000B1630000}"/>
    <cellStyle name="Normal 3 2 2 3 7 2" xfId="25475" xr:uid="{00000000-0005-0000-0000-0000B2630000}"/>
    <cellStyle name="Normal 3 2 2 3 8" xfId="25476" xr:uid="{00000000-0005-0000-0000-0000B3630000}"/>
    <cellStyle name="Normal 3 2 2 4" xfId="25477" xr:uid="{00000000-0005-0000-0000-0000B4630000}"/>
    <cellStyle name="Normal 3 2 2 4 2" xfId="25478" xr:uid="{00000000-0005-0000-0000-0000B5630000}"/>
    <cellStyle name="Normal 3 2 2 4 2 2" xfId="25479" xr:uid="{00000000-0005-0000-0000-0000B6630000}"/>
    <cellStyle name="Normal 3 2 2 4 2 2 2" xfId="25480" xr:uid="{00000000-0005-0000-0000-0000B7630000}"/>
    <cellStyle name="Normal 3 2 2 4 2 2 2 2" xfId="25481" xr:uid="{00000000-0005-0000-0000-0000B8630000}"/>
    <cellStyle name="Normal 3 2 2 4 2 2 2 2 2" xfId="25482" xr:uid="{00000000-0005-0000-0000-0000B9630000}"/>
    <cellStyle name="Normal 3 2 2 4 2 2 2 2 2 2" xfId="25483" xr:uid="{00000000-0005-0000-0000-0000BA630000}"/>
    <cellStyle name="Normal 3 2 2 4 2 2 2 2 3" xfId="25484" xr:uid="{00000000-0005-0000-0000-0000BB630000}"/>
    <cellStyle name="Normal 3 2 2 4 2 2 2 3" xfId="25485" xr:uid="{00000000-0005-0000-0000-0000BC630000}"/>
    <cellStyle name="Normal 3 2 2 4 2 2 2 3 2" xfId="25486" xr:uid="{00000000-0005-0000-0000-0000BD630000}"/>
    <cellStyle name="Normal 3 2 2 4 2 2 2 4" xfId="25487" xr:uid="{00000000-0005-0000-0000-0000BE630000}"/>
    <cellStyle name="Normal 3 2 2 4 2 2 3" xfId="25488" xr:uid="{00000000-0005-0000-0000-0000BF630000}"/>
    <cellStyle name="Normal 3 2 2 4 2 2 3 2" xfId="25489" xr:uid="{00000000-0005-0000-0000-0000C0630000}"/>
    <cellStyle name="Normal 3 2 2 4 2 2 3 2 2" xfId="25490" xr:uid="{00000000-0005-0000-0000-0000C1630000}"/>
    <cellStyle name="Normal 3 2 2 4 2 2 3 3" xfId="25491" xr:uid="{00000000-0005-0000-0000-0000C2630000}"/>
    <cellStyle name="Normal 3 2 2 4 2 2 4" xfId="25492" xr:uid="{00000000-0005-0000-0000-0000C3630000}"/>
    <cellStyle name="Normal 3 2 2 4 2 2 4 2" xfId="25493" xr:uid="{00000000-0005-0000-0000-0000C4630000}"/>
    <cellStyle name="Normal 3 2 2 4 2 2 5" xfId="25494" xr:uid="{00000000-0005-0000-0000-0000C5630000}"/>
    <cellStyle name="Normal 3 2 2 4 2 3" xfId="25495" xr:uid="{00000000-0005-0000-0000-0000C6630000}"/>
    <cellStyle name="Normal 3 2 2 4 2 3 2" xfId="25496" xr:uid="{00000000-0005-0000-0000-0000C7630000}"/>
    <cellStyle name="Normal 3 2 2 4 2 3 2 2" xfId="25497" xr:uid="{00000000-0005-0000-0000-0000C8630000}"/>
    <cellStyle name="Normal 3 2 2 4 2 3 2 2 2" xfId="25498" xr:uid="{00000000-0005-0000-0000-0000C9630000}"/>
    <cellStyle name="Normal 3 2 2 4 2 3 2 3" xfId="25499" xr:uid="{00000000-0005-0000-0000-0000CA630000}"/>
    <cellStyle name="Normal 3 2 2 4 2 3 3" xfId="25500" xr:uid="{00000000-0005-0000-0000-0000CB630000}"/>
    <cellStyle name="Normal 3 2 2 4 2 3 3 2" xfId="25501" xr:uid="{00000000-0005-0000-0000-0000CC630000}"/>
    <cellStyle name="Normal 3 2 2 4 2 3 4" xfId="25502" xr:uid="{00000000-0005-0000-0000-0000CD630000}"/>
    <cellStyle name="Normal 3 2 2 4 2 4" xfId="25503" xr:uid="{00000000-0005-0000-0000-0000CE630000}"/>
    <cellStyle name="Normal 3 2 2 4 2 4 2" xfId="25504" xr:uid="{00000000-0005-0000-0000-0000CF630000}"/>
    <cellStyle name="Normal 3 2 2 4 2 4 2 2" xfId="25505" xr:uid="{00000000-0005-0000-0000-0000D0630000}"/>
    <cellStyle name="Normal 3 2 2 4 2 4 3" xfId="25506" xr:uid="{00000000-0005-0000-0000-0000D1630000}"/>
    <cellStyle name="Normal 3 2 2 4 2 5" xfId="25507" xr:uid="{00000000-0005-0000-0000-0000D2630000}"/>
    <cellStyle name="Normal 3 2 2 4 2 5 2" xfId="25508" xr:uid="{00000000-0005-0000-0000-0000D3630000}"/>
    <cellStyle name="Normal 3 2 2 4 2 6" xfId="25509" xr:uid="{00000000-0005-0000-0000-0000D4630000}"/>
    <cellStyle name="Normal 3 2 2 4 3" xfId="25510" xr:uid="{00000000-0005-0000-0000-0000D5630000}"/>
    <cellStyle name="Normal 3 2 2 4 3 2" xfId="25511" xr:uid="{00000000-0005-0000-0000-0000D6630000}"/>
    <cellStyle name="Normal 3 2 2 4 3 2 2" xfId="25512" xr:uid="{00000000-0005-0000-0000-0000D7630000}"/>
    <cellStyle name="Normal 3 2 2 4 3 2 2 2" xfId="25513" xr:uid="{00000000-0005-0000-0000-0000D8630000}"/>
    <cellStyle name="Normal 3 2 2 4 3 2 2 2 2" xfId="25514" xr:uid="{00000000-0005-0000-0000-0000D9630000}"/>
    <cellStyle name="Normal 3 2 2 4 3 2 2 3" xfId="25515" xr:uid="{00000000-0005-0000-0000-0000DA630000}"/>
    <cellStyle name="Normal 3 2 2 4 3 2 3" xfId="25516" xr:uid="{00000000-0005-0000-0000-0000DB630000}"/>
    <cellStyle name="Normal 3 2 2 4 3 2 3 2" xfId="25517" xr:uid="{00000000-0005-0000-0000-0000DC630000}"/>
    <cellStyle name="Normal 3 2 2 4 3 2 4" xfId="25518" xr:uid="{00000000-0005-0000-0000-0000DD630000}"/>
    <cellStyle name="Normal 3 2 2 4 3 3" xfId="25519" xr:uid="{00000000-0005-0000-0000-0000DE630000}"/>
    <cellStyle name="Normal 3 2 2 4 3 3 2" xfId="25520" xr:uid="{00000000-0005-0000-0000-0000DF630000}"/>
    <cellStyle name="Normal 3 2 2 4 3 3 2 2" xfId="25521" xr:uid="{00000000-0005-0000-0000-0000E0630000}"/>
    <cellStyle name="Normal 3 2 2 4 3 3 3" xfId="25522" xr:uid="{00000000-0005-0000-0000-0000E1630000}"/>
    <cellStyle name="Normal 3 2 2 4 3 4" xfId="25523" xr:uid="{00000000-0005-0000-0000-0000E2630000}"/>
    <cellStyle name="Normal 3 2 2 4 3 4 2" xfId="25524" xr:uid="{00000000-0005-0000-0000-0000E3630000}"/>
    <cellStyle name="Normal 3 2 2 4 3 5" xfId="25525" xr:uid="{00000000-0005-0000-0000-0000E4630000}"/>
    <cellStyle name="Normal 3 2 2 4 4" xfId="25526" xr:uid="{00000000-0005-0000-0000-0000E5630000}"/>
    <cellStyle name="Normal 3 2 2 4 4 2" xfId="25527" xr:uid="{00000000-0005-0000-0000-0000E6630000}"/>
    <cellStyle name="Normal 3 2 2 4 4 2 2" xfId="25528" xr:uid="{00000000-0005-0000-0000-0000E7630000}"/>
    <cellStyle name="Normal 3 2 2 4 4 2 2 2" xfId="25529" xr:uid="{00000000-0005-0000-0000-0000E8630000}"/>
    <cellStyle name="Normal 3 2 2 4 4 2 3" xfId="25530" xr:uid="{00000000-0005-0000-0000-0000E9630000}"/>
    <cellStyle name="Normal 3 2 2 4 4 3" xfId="25531" xr:uid="{00000000-0005-0000-0000-0000EA630000}"/>
    <cellStyle name="Normal 3 2 2 4 4 3 2" xfId="25532" xr:uid="{00000000-0005-0000-0000-0000EB630000}"/>
    <cellStyle name="Normal 3 2 2 4 4 4" xfId="25533" xr:uid="{00000000-0005-0000-0000-0000EC630000}"/>
    <cellStyle name="Normal 3 2 2 4 5" xfId="25534" xr:uid="{00000000-0005-0000-0000-0000ED630000}"/>
    <cellStyle name="Normal 3 2 2 4 5 2" xfId="25535" xr:uid="{00000000-0005-0000-0000-0000EE630000}"/>
    <cellStyle name="Normal 3 2 2 4 5 2 2" xfId="25536" xr:uid="{00000000-0005-0000-0000-0000EF630000}"/>
    <cellStyle name="Normal 3 2 2 4 5 3" xfId="25537" xr:uid="{00000000-0005-0000-0000-0000F0630000}"/>
    <cellStyle name="Normal 3 2 2 4 6" xfId="25538" xr:uid="{00000000-0005-0000-0000-0000F1630000}"/>
    <cellStyle name="Normal 3 2 2 4 6 2" xfId="25539" xr:uid="{00000000-0005-0000-0000-0000F2630000}"/>
    <cellStyle name="Normal 3 2 2 4 7" xfId="25540" xr:uid="{00000000-0005-0000-0000-0000F3630000}"/>
    <cellStyle name="Normal 3 2 2 5" xfId="25541" xr:uid="{00000000-0005-0000-0000-0000F4630000}"/>
    <cellStyle name="Normal 3 2 2 5 2" xfId="25542" xr:uid="{00000000-0005-0000-0000-0000F5630000}"/>
    <cellStyle name="Normal 3 2 2 5 2 2" xfId="25543" xr:uid="{00000000-0005-0000-0000-0000F6630000}"/>
    <cellStyle name="Normal 3 2 2 5 2 2 2" xfId="25544" xr:uid="{00000000-0005-0000-0000-0000F7630000}"/>
    <cellStyle name="Normal 3 2 2 5 2 2 2 2" xfId="25545" xr:uid="{00000000-0005-0000-0000-0000F8630000}"/>
    <cellStyle name="Normal 3 2 2 5 2 2 2 2 2" xfId="25546" xr:uid="{00000000-0005-0000-0000-0000F9630000}"/>
    <cellStyle name="Normal 3 2 2 5 2 2 2 3" xfId="25547" xr:uid="{00000000-0005-0000-0000-0000FA630000}"/>
    <cellStyle name="Normal 3 2 2 5 2 2 3" xfId="25548" xr:uid="{00000000-0005-0000-0000-0000FB630000}"/>
    <cellStyle name="Normal 3 2 2 5 2 2 3 2" xfId="25549" xr:uid="{00000000-0005-0000-0000-0000FC630000}"/>
    <cellStyle name="Normal 3 2 2 5 2 2 4" xfId="25550" xr:uid="{00000000-0005-0000-0000-0000FD630000}"/>
    <cellStyle name="Normal 3 2 2 5 2 3" xfId="25551" xr:uid="{00000000-0005-0000-0000-0000FE630000}"/>
    <cellStyle name="Normal 3 2 2 5 2 3 2" xfId="25552" xr:uid="{00000000-0005-0000-0000-0000FF630000}"/>
    <cellStyle name="Normal 3 2 2 5 2 3 2 2" xfId="25553" xr:uid="{00000000-0005-0000-0000-000000640000}"/>
    <cellStyle name="Normal 3 2 2 5 2 3 3" xfId="25554" xr:uid="{00000000-0005-0000-0000-000001640000}"/>
    <cellStyle name="Normal 3 2 2 5 2 4" xfId="25555" xr:uid="{00000000-0005-0000-0000-000002640000}"/>
    <cellStyle name="Normal 3 2 2 5 2 4 2" xfId="25556" xr:uid="{00000000-0005-0000-0000-000003640000}"/>
    <cellStyle name="Normal 3 2 2 5 2 5" xfId="25557" xr:uid="{00000000-0005-0000-0000-000004640000}"/>
    <cellStyle name="Normal 3 2 2 5 3" xfId="25558" xr:uid="{00000000-0005-0000-0000-000005640000}"/>
    <cellStyle name="Normal 3 2 2 5 3 2" xfId="25559" xr:uid="{00000000-0005-0000-0000-000006640000}"/>
    <cellStyle name="Normal 3 2 2 5 3 2 2" xfId="25560" xr:uid="{00000000-0005-0000-0000-000007640000}"/>
    <cellStyle name="Normal 3 2 2 5 3 2 2 2" xfId="25561" xr:uid="{00000000-0005-0000-0000-000008640000}"/>
    <cellStyle name="Normal 3 2 2 5 3 2 3" xfId="25562" xr:uid="{00000000-0005-0000-0000-000009640000}"/>
    <cellStyle name="Normal 3 2 2 5 3 3" xfId="25563" xr:uid="{00000000-0005-0000-0000-00000A640000}"/>
    <cellStyle name="Normal 3 2 2 5 3 3 2" xfId="25564" xr:uid="{00000000-0005-0000-0000-00000B640000}"/>
    <cellStyle name="Normal 3 2 2 5 3 4" xfId="25565" xr:uid="{00000000-0005-0000-0000-00000C640000}"/>
    <cellStyle name="Normal 3 2 2 5 4" xfId="25566" xr:uid="{00000000-0005-0000-0000-00000D640000}"/>
    <cellStyle name="Normal 3 2 2 5 4 2" xfId="25567" xr:uid="{00000000-0005-0000-0000-00000E640000}"/>
    <cellStyle name="Normal 3 2 2 5 4 2 2" xfId="25568" xr:uid="{00000000-0005-0000-0000-00000F640000}"/>
    <cellStyle name="Normal 3 2 2 5 4 3" xfId="25569" xr:uid="{00000000-0005-0000-0000-000010640000}"/>
    <cellStyle name="Normal 3 2 2 5 5" xfId="25570" xr:uid="{00000000-0005-0000-0000-000011640000}"/>
    <cellStyle name="Normal 3 2 2 5 5 2" xfId="25571" xr:uid="{00000000-0005-0000-0000-000012640000}"/>
    <cellStyle name="Normal 3 2 2 5 6" xfId="25572" xr:uid="{00000000-0005-0000-0000-000013640000}"/>
    <cellStyle name="Normal 3 2 2 6" xfId="25573" xr:uid="{00000000-0005-0000-0000-000014640000}"/>
    <cellStyle name="Normal 3 2 2 6 2" xfId="25574" xr:uid="{00000000-0005-0000-0000-000015640000}"/>
    <cellStyle name="Normal 3 2 2 6 2 2" xfId="25575" xr:uid="{00000000-0005-0000-0000-000016640000}"/>
    <cellStyle name="Normal 3 2 2 6 2 2 2" xfId="25576" xr:uid="{00000000-0005-0000-0000-000017640000}"/>
    <cellStyle name="Normal 3 2 2 6 2 2 2 2" xfId="25577" xr:uid="{00000000-0005-0000-0000-000018640000}"/>
    <cellStyle name="Normal 3 2 2 6 2 2 3" xfId="25578" xr:uid="{00000000-0005-0000-0000-000019640000}"/>
    <cellStyle name="Normal 3 2 2 6 2 3" xfId="25579" xr:uid="{00000000-0005-0000-0000-00001A640000}"/>
    <cellStyle name="Normal 3 2 2 6 2 3 2" xfId="25580" xr:uid="{00000000-0005-0000-0000-00001B640000}"/>
    <cellStyle name="Normal 3 2 2 6 2 4" xfId="25581" xr:uid="{00000000-0005-0000-0000-00001C640000}"/>
    <cellStyle name="Normal 3 2 2 6 3" xfId="25582" xr:uid="{00000000-0005-0000-0000-00001D640000}"/>
    <cellStyle name="Normal 3 2 2 6 3 2" xfId="25583" xr:uid="{00000000-0005-0000-0000-00001E640000}"/>
    <cellStyle name="Normal 3 2 2 6 3 2 2" xfId="25584" xr:uid="{00000000-0005-0000-0000-00001F640000}"/>
    <cellStyle name="Normal 3 2 2 6 3 3" xfId="25585" xr:uid="{00000000-0005-0000-0000-000020640000}"/>
    <cellStyle name="Normal 3 2 2 6 4" xfId="25586" xr:uid="{00000000-0005-0000-0000-000021640000}"/>
    <cellStyle name="Normal 3 2 2 6 4 2" xfId="25587" xr:uid="{00000000-0005-0000-0000-000022640000}"/>
    <cellStyle name="Normal 3 2 2 6 5" xfId="25588" xr:uid="{00000000-0005-0000-0000-000023640000}"/>
    <cellStyle name="Normal 3 2 2 7" xfId="25589" xr:uid="{00000000-0005-0000-0000-000024640000}"/>
    <cellStyle name="Normal 3 2 2 7 2" xfId="25590" xr:uid="{00000000-0005-0000-0000-000025640000}"/>
    <cellStyle name="Normal 3 2 2 7 2 2" xfId="25591" xr:uid="{00000000-0005-0000-0000-000026640000}"/>
    <cellStyle name="Normal 3 2 2 7 2 2 2" xfId="25592" xr:uid="{00000000-0005-0000-0000-000027640000}"/>
    <cellStyle name="Normal 3 2 2 7 2 3" xfId="25593" xr:uid="{00000000-0005-0000-0000-000028640000}"/>
    <cellStyle name="Normal 3 2 2 7 3" xfId="25594" xr:uid="{00000000-0005-0000-0000-000029640000}"/>
    <cellStyle name="Normal 3 2 2 7 3 2" xfId="25595" xr:uid="{00000000-0005-0000-0000-00002A640000}"/>
    <cellStyle name="Normal 3 2 2 7 4" xfId="25596" xr:uid="{00000000-0005-0000-0000-00002B640000}"/>
    <cellStyle name="Normal 3 2 2 8" xfId="25597" xr:uid="{00000000-0005-0000-0000-00002C640000}"/>
    <cellStyle name="Normal 3 2 2 8 2" xfId="25598" xr:uid="{00000000-0005-0000-0000-00002D640000}"/>
    <cellStyle name="Normal 3 2 2 8 2 2" xfId="25599" xr:uid="{00000000-0005-0000-0000-00002E640000}"/>
    <cellStyle name="Normal 3 2 2 8 3" xfId="25600" xr:uid="{00000000-0005-0000-0000-00002F640000}"/>
    <cellStyle name="Normal 3 2 2 9" xfId="25601" xr:uid="{00000000-0005-0000-0000-000030640000}"/>
    <cellStyle name="Normal 3 2 2 9 2" xfId="25602" xr:uid="{00000000-0005-0000-0000-000031640000}"/>
    <cellStyle name="Normal 3 2 3" xfId="25603" xr:uid="{00000000-0005-0000-0000-000032640000}"/>
    <cellStyle name="Normal 3 2 3 2" xfId="25604" xr:uid="{00000000-0005-0000-0000-000033640000}"/>
    <cellStyle name="Normal 3 2 3 2 2" xfId="25605" xr:uid="{00000000-0005-0000-0000-000034640000}"/>
    <cellStyle name="Normal 3 2 3 2 2 2" xfId="25606" xr:uid="{00000000-0005-0000-0000-000035640000}"/>
    <cellStyle name="Normal 3 2 3 2 2 2 2" xfId="25607" xr:uid="{00000000-0005-0000-0000-000036640000}"/>
    <cellStyle name="Normal 3 2 3 2 2 2 2 2" xfId="25608" xr:uid="{00000000-0005-0000-0000-000037640000}"/>
    <cellStyle name="Normal 3 2 3 2 2 2 2 2 2" xfId="25609" xr:uid="{00000000-0005-0000-0000-000038640000}"/>
    <cellStyle name="Normal 3 2 3 2 2 2 2 2 2 2" xfId="25610" xr:uid="{00000000-0005-0000-0000-000039640000}"/>
    <cellStyle name="Normal 3 2 3 2 2 2 2 2 2 2 2" xfId="25611" xr:uid="{00000000-0005-0000-0000-00003A640000}"/>
    <cellStyle name="Normal 3 2 3 2 2 2 2 2 2 3" xfId="25612" xr:uid="{00000000-0005-0000-0000-00003B640000}"/>
    <cellStyle name="Normal 3 2 3 2 2 2 2 2 3" xfId="25613" xr:uid="{00000000-0005-0000-0000-00003C640000}"/>
    <cellStyle name="Normal 3 2 3 2 2 2 2 2 3 2" xfId="25614" xr:uid="{00000000-0005-0000-0000-00003D640000}"/>
    <cellStyle name="Normal 3 2 3 2 2 2 2 2 4" xfId="25615" xr:uid="{00000000-0005-0000-0000-00003E640000}"/>
    <cellStyle name="Normal 3 2 3 2 2 2 2 3" xfId="25616" xr:uid="{00000000-0005-0000-0000-00003F640000}"/>
    <cellStyle name="Normal 3 2 3 2 2 2 2 3 2" xfId="25617" xr:uid="{00000000-0005-0000-0000-000040640000}"/>
    <cellStyle name="Normal 3 2 3 2 2 2 2 3 2 2" xfId="25618" xr:uid="{00000000-0005-0000-0000-000041640000}"/>
    <cellStyle name="Normal 3 2 3 2 2 2 2 3 3" xfId="25619" xr:uid="{00000000-0005-0000-0000-000042640000}"/>
    <cellStyle name="Normal 3 2 3 2 2 2 2 4" xfId="25620" xr:uid="{00000000-0005-0000-0000-000043640000}"/>
    <cellStyle name="Normal 3 2 3 2 2 2 2 4 2" xfId="25621" xr:uid="{00000000-0005-0000-0000-000044640000}"/>
    <cellStyle name="Normal 3 2 3 2 2 2 2 5" xfId="25622" xr:uid="{00000000-0005-0000-0000-000045640000}"/>
    <cellStyle name="Normal 3 2 3 2 2 2 3" xfId="25623" xr:uid="{00000000-0005-0000-0000-000046640000}"/>
    <cellStyle name="Normal 3 2 3 2 2 2 3 2" xfId="25624" xr:uid="{00000000-0005-0000-0000-000047640000}"/>
    <cellStyle name="Normal 3 2 3 2 2 2 3 2 2" xfId="25625" xr:uid="{00000000-0005-0000-0000-000048640000}"/>
    <cellStyle name="Normal 3 2 3 2 2 2 3 2 2 2" xfId="25626" xr:uid="{00000000-0005-0000-0000-000049640000}"/>
    <cellStyle name="Normal 3 2 3 2 2 2 3 2 3" xfId="25627" xr:uid="{00000000-0005-0000-0000-00004A640000}"/>
    <cellStyle name="Normal 3 2 3 2 2 2 3 3" xfId="25628" xr:uid="{00000000-0005-0000-0000-00004B640000}"/>
    <cellStyle name="Normal 3 2 3 2 2 2 3 3 2" xfId="25629" xr:uid="{00000000-0005-0000-0000-00004C640000}"/>
    <cellStyle name="Normal 3 2 3 2 2 2 3 4" xfId="25630" xr:uid="{00000000-0005-0000-0000-00004D640000}"/>
    <cellStyle name="Normal 3 2 3 2 2 2 4" xfId="25631" xr:uid="{00000000-0005-0000-0000-00004E640000}"/>
    <cellStyle name="Normal 3 2 3 2 2 2 4 2" xfId="25632" xr:uid="{00000000-0005-0000-0000-00004F640000}"/>
    <cellStyle name="Normal 3 2 3 2 2 2 4 2 2" xfId="25633" xr:uid="{00000000-0005-0000-0000-000050640000}"/>
    <cellStyle name="Normal 3 2 3 2 2 2 4 3" xfId="25634" xr:uid="{00000000-0005-0000-0000-000051640000}"/>
    <cellStyle name="Normal 3 2 3 2 2 2 5" xfId="25635" xr:uid="{00000000-0005-0000-0000-000052640000}"/>
    <cellStyle name="Normal 3 2 3 2 2 2 5 2" xfId="25636" xr:uid="{00000000-0005-0000-0000-000053640000}"/>
    <cellStyle name="Normal 3 2 3 2 2 2 6" xfId="25637" xr:uid="{00000000-0005-0000-0000-000054640000}"/>
    <cellStyle name="Normal 3 2 3 2 2 3" xfId="25638" xr:uid="{00000000-0005-0000-0000-000055640000}"/>
    <cellStyle name="Normal 3 2 3 2 2 3 2" xfId="25639" xr:uid="{00000000-0005-0000-0000-000056640000}"/>
    <cellStyle name="Normal 3 2 3 2 2 3 2 2" xfId="25640" xr:uid="{00000000-0005-0000-0000-000057640000}"/>
    <cellStyle name="Normal 3 2 3 2 2 3 2 2 2" xfId="25641" xr:uid="{00000000-0005-0000-0000-000058640000}"/>
    <cellStyle name="Normal 3 2 3 2 2 3 2 2 2 2" xfId="25642" xr:uid="{00000000-0005-0000-0000-000059640000}"/>
    <cellStyle name="Normal 3 2 3 2 2 3 2 2 3" xfId="25643" xr:uid="{00000000-0005-0000-0000-00005A640000}"/>
    <cellStyle name="Normal 3 2 3 2 2 3 2 3" xfId="25644" xr:uid="{00000000-0005-0000-0000-00005B640000}"/>
    <cellStyle name="Normal 3 2 3 2 2 3 2 3 2" xfId="25645" xr:uid="{00000000-0005-0000-0000-00005C640000}"/>
    <cellStyle name="Normal 3 2 3 2 2 3 2 4" xfId="25646" xr:uid="{00000000-0005-0000-0000-00005D640000}"/>
    <cellStyle name="Normal 3 2 3 2 2 3 3" xfId="25647" xr:uid="{00000000-0005-0000-0000-00005E640000}"/>
    <cellStyle name="Normal 3 2 3 2 2 3 3 2" xfId="25648" xr:uid="{00000000-0005-0000-0000-00005F640000}"/>
    <cellStyle name="Normal 3 2 3 2 2 3 3 2 2" xfId="25649" xr:uid="{00000000-0005-0000-0000-000060640000}"/>
    <cellStyle name="Normal 3 2 3 2 2 3 3 3" xfId="25650" xr:uid="{00000000-0005-0000-0000-000061640000}"/>
    <cellStyle name="Normal 3 2 3 2 2 3 4" xfId="25651" xr:uid="{00000000-0005-0000-0000-000062640000}"/>
    <cellStyle name="Normal 3 2 3 2 2 3 4 2" xfId="25652" xr:uid="{00000000-0005-0000-0000-000063640000}"/>
    <cellStyle name="Normal 3 2 3 2 2 3 5" xfId="25653" xr:uid="{00000000-0005-0000-0000-000064640000}"/>
    <cellStyle name="Normal 3 2 3 2 2 4" xfId="25654" xr:uid="{00000000-0005-0000-0000-000065640000}"/>
    <cellStyle name="Normal 3 2 3 2 2 4 2" xfId="25655" xr:uid="{00000000-0005-0000-0000-000066640000}"/>
    <cellStyle name="Normal 3 2 3 2 2 4 2 2" xfId="25656" xr:uid="{00000000-0005-0000-0000-000067640000}"/>
    <cellStyle name="Normal 3 2 3 2 2 4 2 2 2" xfId="25657" xr:uid="{00000000-0005-0000-0000-000068640000}"/>
    <cellStyle name="Normal 3 2 3 2 2 4 2 3" xfId="25658" xr:uid="{00000000-0005-0000-0000-000069640000}"/>
    <cellStyle name="Normal 3 2 3 2 2 4 3" xfId="25659" xr:uid="{00000000-0005-0000-0000-00006A640000}"/>
    <cellStyle name="Normal 3 2 3 2 2 4 3 2" xfId="25660" xr:uid="{00000000-0005-0000-0000-00006B640000}"/>
    <cellStyle name="Normal 3 2 3 2 2 4 4" xfId="25661" xr:uid="{00000000-0005-0000-0000-00006C640000}"/>
    <cellStyle name="Normal 3 2 3 2 2 5" xfId="25662" xr:uid="{00000000-0005-0000-0000-00006D640000}"/>
    <cellStyle name="Normal 3 2 3 2 2 5 2" xfId="25663" xr:uid="{00000000-0005-0000-0000-00006E640000}"/>
    <cellStyle name="Normal 3 2 3 2 2 5 2 2" xfId="25664" xr:uid="{00000000-0005-0000-0000-00006F640000}"/>
    <cellStyle name="Normal 3 2 3 2 2 5 3" xfId="25665" xr:uid="{00000000-0005-0000-0000-000070640000}"/>
    <cellStyle name="Normal 3 2 3 2 2 6" xfId="25666" xr:uid="{00000000-0005-0000-0000-000071640000}"/>
    <cellStyle name="Normal 3 2 3 2 2 6 2" xfId="25667" xr:uid="{00000000-0005-0000-0000-000072640000}"/>
    <cellStyle name="Normal 3 2 3 2 2 7" xfId="25668" xr:uid="{00000000-0005-0000-0000-000073640000}"/>
    <cellStyle name="Normal 3 2 3 2 3" xfId="25669" xr:uid="{00000000-0005-0000-0000-000074640000}"/>
    <cellStyle name="Normal 3 2 3 2 3 2" xfId="25670" xr:uid="{00000000-0005-0000-0000-000075640000}"/>
    <cellStyle name="Normal 3 2 3 2 3 2 2" xfId="25671" xr:uid="{00000000-0005-0000-0000-000076640000}"/>
    <cellStyle name="Normal 3 2 3 2 3 2 2 2" xfId="25672" xr:uid="{00000000-0005-0000-0000-000077640000}"/>
    <cellStyle name="Normal 3 2 3 2 3 2 2 2 2" xfId="25673" xr:uid="{00000000-0005-0000-0000-000078640000}"/>
    <cellStyle name="Normal 3 2 3 2 3 2 2 2 2 2" xfId="25674" xr:uid="{00000000-0005-0000-0000-000079640000}"/>
    <cellStyle name="Normal 3 2 3 2 3 2 2 2 3" xfId="25675" xr:uid="{00000000-0005-0000-0000-00007A640000}"/>
    <cellStyle name="Normal 3 2 3 2 3 2 2 3" xfId="25676" xr:uid="{00000000-0005-0000-0000-00007B640000}"/>
    <cellStyle name="Normal 3 2 3 2 3 2 2 3 2" xfId="25677" xr:uid="{00000000-0005-0000-0000-00007C640000}"/>
    <cellStyle name="Normal 3 2 3 2 3 2 2 4" xfId="25678" xr:uid="{00000000-0005-0000-0000-00007D640000}"/>
    <cellStyle name="Normal 3 2 3 2 3 2 3" xfId="25679" xr:uid="{00000000-0005-0000-0000-00007E640000}"/>
    <cellStyle name="Normal 3 2 3 2 3 2 3 2" xfId="25680" xr:uid="{00000000-0005-0000-0000-00007F640000}"/>
    <cellStyle name="Normal 3 2 3 2 3 2 3 2 2" xfId="25681" xr:uid="{00000000-0005-0000-0000-000080640000}"/>
    <cellStyle name="Normal 3 2 3 2 3 2 3 3" xfId="25682" xr:uid="{00000000-0005-0000-0000-000081640000}"/>
    <cellStyle name="Normal 3 2 3 2 3 2 4" xfId="25683" xr:uid="{00000000-0005-0000-0000-000082640000}"/>
    <cellStyle name="Normal 3 2 3 2 3 2 4 2" xfId="25684" xr:uid="{00000000-0005-0000-0000-000083640000}"/>
    <cellStyle name="Normal 3 2 3 2 3 2 5" xfId="25685" xr:uid="{00000000-0005-0000-0000-000084640000}"/>
    <cellStyle name="Normal 3 2 3 2 3 3" xfId="25686" xr:uid="{00000000-0005-0000-0000-000085640000}"/>
    <cellStyle name="Normal 3 2 3 2 3 3 2" xfId="25687" xr:uid="{00000000-0005-0000-0000-000086640000}"/>
    <cellStyle name="Normal 3 2 3 2 3 3 2 2" xfId="25688" xr:uid="{00000000-0005-0000-0000-000087640000}"/>
    <cellStyle name="Normal 3 2 3 2 3 3 2 2 2" xfId="25689" xr:uid="{00000000-0005-0000-0000-000088640000}"/>
    <cellStyle name="Normal 3 2 3 2 3 3 2 3" xfId="25690" xr:uid="{00000000-0005-0000-0000-000089640000}"/>
    <cellStyle name="Normal 3 2 3 2 3 3 3" xfId="25691" xr:uid="{00000000-0005-0000-0000-00008A640000}"/>
    <cellStyle name="Normal 3 2 3 2 3 3 3 2" xfId="25692" xr:uid="{00000000-0005-0000-0000-00008B640000}"/>
    <cellStyle name="Normal 3 2 3 2 3 3 4" xfId="25693" xr:uid="{00000000-0005-0000-0000-00008C640000}"/>
    <cellStyle name="Normal 3 2 3 2 3 4" xfId="25694" xr:uid="{00000000-0005-0000-0000-00008D640000}"/>
    <cellStyle name="Normal 3 2 3 2 3 4 2" xfId="25695" xr:uid="{00000000-0005-0000-0000-00008E640000}"/>
    <cellStyle name="Normal 3 2 3 2 3 4 2 2" xfId="25696" xr:uid="{00000000-0005-0000-0000-00008F640000}"/>
    <cellStyle name="Normal 3 2 3 2 3 4 3" xfId="25697" xr:uid="{00000000-0005-0000-0000-000090640000}"/>
    <cellStyle name="Normal 3 2 3 2 3 5" xfId="25698" xr:uid="{00000000-0005-0000-0000-000091640000}"/>
    <cellStyle name="Normal 3 2 3 2 3 5 2" xfId="25699" xr:uid="{00000000-0005-0000-0000-000092640000}"/>
    <cellStyle name="Normal 3 2 3 2 3 6" xfId="25700" xr:uid="{00000000-0005-0000-0000-000093640000}"/>
    <cellStyle name="Normal 3 2 3 2 4" xfId="25701" xr:uid="{00000000-0005-0000-0000-000094640000}"/>
    <cellStyle name="Normal 3 2 3 2 4 2" xfId="25702" xr:uid="{00000000-0005-0000-0000-000095640000}"/>
    <cellStyle name="Normal 3 2 3 2 4 2 2" xfId="25703" xr:uid="{00000000-0005-0000-0000-000096640000}"/>
    <cellStyle name="Normal 3 2 3 2 4 2 2 2" xfId="25704" xr:uid="{00000000-0005-0000-0000-000097640000}"/>
    <cellStyle name="Normal 3 2 3 2 4 2 2 2 2" xfId="25705" xr:uid="{00000000-0005-0000-0000-000098640000}"/>
    <cellStyle name="Normal 3 2 3 2 4 2 2 3" xfId="25706" xr:uid="{00000000-0005-0000-0000-000099640000}"/>
    <cellStyle name="Normal 3 2 3 2 4 2 3" xfId="25707" xr:uid="{00000000-0005-0000-0000-00009A640000}"/>
    <cellStyle name="Normal 3 2 3 2 4 2 3 2" xfId="25708" xr:uid="{00000000-0005-0000-0000-00009B640000}"/>
    <cellStyle name="Normal 3 2 3 2 4 2 4" xfId="25709" xr:uid="{00000000-0005-0000-0000-00009C640000}"/>
    <cellStyle name="Normal 3 2 3 2 4 3" xfId="25710" xr:uid="{00000000-0005-0000-0000-00009D640000}"/>
    <cellStyle name="Normal 3 2 3 2 4 3 2" xfId="25711" xr:uid="{00000000-0005-0000-0000-00009E640000}"/>
    <cellStyle name="Normal 3 2 3 2 4 3 2 2" xfId="25712" xr:uid="{00000000-0005-0000-0000-00009F640000}"/>
    <cellStyle name="Normal 3 2 3 2 4 3 3" xfId="25713" xr:uid="{00000000-0005-0000-0000-0000A0640000}"/>
    <cellStyle name="Normal 3 2 3 2 4 4" xfId="25714" xr:uid="{00000000-0005-0000-0000-0000A1640000}"/>
    <cellStyle name="Normal 3 2 3 2 4 4 2" xfId="25715" xr:uid="{00000000-0005-0000-0000-0000A2640000}"/>
    <cellStyle name="Normal 3 2 3 2 4 5" xfId="25716" xr:uid="{00000000-0005-0000-0000-0000A3640000}"/>
    <cellStyle name="Normal 3 2 3 2 5" xfId="25717" xr:uid="{00000000-0005-0000-0000-0000A4640000}"/>
    <cellStyle name="Normal 3 2 3 2 5 2" xfId="25718" xr:uid="{00000000-0005-0000-0000-0000A5640000}"/>
    <cellStyle name="Normal 3 2 3 2 5 2 2" xfId="25719" xr:uid="{00000000-0005-0000-0000-0000A6640000}"/>
    <cellStyle name="Normal 3 2 3 2 5 2 2 2" xfId="25720" xr:uid="{00000000-0005-0000-0000-0000A7640000}"/>
    <cellStyle name="Normal 3 2 3 2 5 2 3" xfId="25721" xr:uid="{00000000-0005-0000-0000-0000A8640000}"/>
    <cellStyle name="Normal 3 2 3 2 5 3" xfId="25722" xr:uid="{00000000-0005-0000-0000-0000A9640000}"/>
    <cellStyle name="Normal 3 2 3 2 5 3 2" xfId="25723" xr:uid="{00000000-0005-0000-0000-0000AA640000}"/>
    <cellStyle name="Normal 3 2 3 2 5 4" xfId="25724" xr:uid="{00000000-0005-0000-0000-0000AB640000}"/>
    <cellStyle name="Normal 3 2 3 2 6" xfId="25725" xr:uid="{00000000-0005-0000-0000-0000AC640000}"/>
    <cellStyle name="Normal 3 2 3 2 6 2" xfId="25726" xr:uid="{00000000-0005-0000-0000-0000AD640000}"/>
    <cellStyle name="Normal 3 2 3 2 6 2 2" xfId="25727" xr:uid="{00000000-0005-0000-0000-0000AE640000}"/>
    <cellStyle name="Normal 3 2 3 2 6 3" xfId="25728" xr:uid="{00000000-0005-0000-0000-0000AF640000}"/>
    <cellStyle name="Normal 3 2 3 2 7" xfId="25729" xr:uid="{00000000-0005-0000-0000-0000B0640000}"/>
    <cellStyle name="Normal 3 2 3 2 7 2" xfId="25730" xr:uid="{00000000-0005-0000-0000-0000B1640000}"/>
    <cellStyle name="Normal 3 2 3 2 8" xfId="25731" xr:uid="{00000000-0005-0000-0000-0000B2640000}"/>
    <cellStyle name="Normal 3 2 3 3" xfId="25732" xr:uid="{00000000-0005-0000-0000-0000B3640000}"/>
    <cellStyle name="Normal 3 2 3 3 2" xfId="25733" xr:uid="{00000000-0005-0000-0000-0000B4640000}"/>
    <cellStyle name="Normal 3 2 3 3 2 2" xfId="25734" xr:uid="{00000000-0005-0000-0000-0000B5640000}"/>
    <cellStyle name="Normal 3 2 3 3 2 2 2" xfId="25735" xr:uid="{00000000-0005-0000-0000-0000B6640000}"/>
    <cellStyle name="Normal 3 2 3 3 2 2 2 2" xfId="25736" xr:uid="{00000000-0005-0000-0000-0000B7640000}"/>
    <cellStyle name="Normal 3 2 3 3 2 2 2 2 2" xfId="25737" xr:uid="{00000000-0005-0000-0000-0000B8640000}"/>
    <cellStyle name="Normal 3 2 3 3 2 2 2 2 2 2" xfId="25738" xr:uid="{00000000-0005-0000-0000-0000B9640000}"/>
    <cellStyle name="Normal 3 2 3 3 2 2 2 2 3" xfId="25739" xr:uid="{00000000-0005-0000-0000-0000BA640000}"/>
    <cellStyle name="Normal 3 2 3 3 2 2 2 3" xfId="25740" xr:uid="{00000000-0005-0000-0000-0000BB640000}"/>
    <cellStyle name="Normal 3 2 3 3 2 2 2 3 2" xfId="25741" xr:uid="{00000000-0005-0000-0000-0000BC640000}"/>
    <cellStyle name="Normal 3 2 3 3 2 2 2 4" xfId="25742" xr:uid="{00000000-0005-0000-0000-0000BD640000}"/>
    <cellStyle name="Normal 3 2 3 3 2 2 3" xfId="25743" xr:uid="{00000000-0005-0000-0000-0000BE640000}"/>
    <cellStyle name="Normal 3 2 3 3 2 2 3 2" xfId="25744" xr:uid="{00000000-0005-0000-0000-0000BF640000}"/>
    <cellStyle name="Normal 3 2 3 3 2 2 3 2 2" xfId="25745" xr:uid="{00000000-0005-0000-0000-0000C0640000}"/>
    <cellStyle name="Normal 3 2 3 3 2 2 3 3" xfId="25746" xr:uid="{00000000-0005-0000-0000-0000C1640000}"/>
    <cellStyle name="Normal 3 2 3 3 2 2 4" xfId="25747" xr:uid="{00000000-0005-0000-0000-0000C2640000}"/>
    <cellStyle name="Normal 3 2 3 3 2 2 4 2" xfId="25748" xr:uid="{00000000-0005-0000-0000-0000C3640000}"/>
    <cellStyle name="Normal 3 2 3 3 2 2 5" xfId="25749" xr:uid="{00000000-0005-0000-0000-0000C4640000}"/>
    <cellStyle name="Normal 3 2 3 3 2 3" xfId="25750" xr:uid="{00000000-0005-0000-0000-0000C5640000}"/>
    <cellStyle name="Normal 3 2 3 3 2 3 2" xfId="25751" xr:uid="{00000000-0005-0000-0000-0000C6640000}"/>
    <cellStyle name="Normal 3 2 3 3 2 3 2 2" xfId="25752" xr:uid="{00000000-0005-0000-0000-0000C7640000}"/>
    <cellStyle name="Normal 3 2 3 3 2 3 2 2 2" xfId="25753" xr:uid="{00000000-0005-0000-0000-0000C8640000}"/>
    <cellStyle name="Normal 3 2 3 3 2 3 2 3" xfId="25754" xr:uid="{00000000-0005-0000-0000-0000C9640000}"/>
    <cellStyle name="Normal 3 2 3 3 2 3 3" xfId="25755" xr:uid="{00000000-0005-0000-0000-0000CA640000}"/>
    <cellStyle name="Normal 3 2 3 3 2 3 3 2" xfId="25756" xr:uid="{00000000-0005-0000-0000-0000CB640000}"/>
    <cellStyle name="Normal 3 2 3 3 2 3 4" xfId="25757" xr:uid="{00000000-0005-0000-0000-0000CC640000}"/>
    <cellStyle name="Normal 3 2 3 3 2 4" xfId="25758" xr:uid="{00000000-0005-0000-0000-0000CD640000}"/>
    <cellStyle name="Normal 3 2 3 3 2 4 2" xfId="25759" xr:uid="{00000000-0005-0000-0000-0000CE640000}"/>
    <cellStyle name="Normal 3 2 3 3 2 4 2 2" xfId="25760" xr:uid="{00000000-0005-0000-0000-0000CF640000}"/>
    <cellStyle name="Normal 3 2 3 3 2 4 3" xfId="25761" xr:uid="{00000000-0005-0000-0000-0000D0640000}"/>
    <cellStyle name="Normal 3 2 3 3 2 5" xfId="25762" xr:uid="{00000000-0005-0000-0000-0000D1640000}"/>
    <cellStyle name="Normal 3 2 3 3 2 5 2" xfId="25763" xr:uid="{00000000-0005-0000-0000-0000D2640000}"/>
    <cellStyle name="Normal 3 2 3 3 2 6" xfId="25764" xr:uid="{00000000-0005-0000-0000-0000D3640000}"/>
    <cellStyle name="Normal 3 2 3 3 3" xfId="25765" xr:uid="{00000000-0005-0000-0000-0000D4640000}"/>
    <cellStyle name="Normal 3 2 3 3 3 2" xfId="25766" xr:uid="{00000000-0005-0000-0000-0000D5640000}"/>
    <cellStyle name="Normal 3 2 3 3 3 2 2" xfId="25767" xr:uid="{00000000-0005-0000-0000-0000D6640000}"/>
    <cellStyle name="Normal 3 2 3 3 3 2 2 2" xfId="25768" xr:uid="{00000000-0005-0000-0000-0000D7640000}"/>
    <cellStyle name="Normal 3 2 3 3 3 2 2 2 2" xfId="25769" xr:uid="{00000000-0005-0000-0000-0000D8640000}"/>
    <cellStyle name="Normal 3 2 3 3 3 2 2 3" xfId="25770" xr:uid="{00000000-0005-0000-0000-0000D9640000}"/>
    <cellStyle name="Normal 3 2 3 3 3 2 3" xfId="25771" xr:uid="{00000000-0005-0000-0000-0000DA640000}"/>
    <cellStyle name="Normal 3 2 3 3 3 2 3 2" xfId="25772" xr:uid="{00000000-0005-0000-0000-0000DB640000}"/>
    <cellStyle name="Normal 3 2 3 3 3 2 4" xfId="25773" xr:uid="{00000000-0005-0000-0000-0000DC640000}"/>
    <cellStyle name="Normal 3 2 3 3 3 3" xfId="25774" xr:uid="{00000000-0005-0000-0000-0000DD640000}"/>
    <cellStyle name="Normal 3 2 3 3 3 3 2" xfId="25775" xr:uid="{00000000-0005-0000-0000-0000DE640000}"/>
    <cellStyle name="Normal 3 2 3 3 3 3 2 2" xfId="25776" xr:uid="{00000000-0005-0000-0000-0000DF640000}"/>
    <cellStyle name="Normal 3 2 3 3 3 3 3" xfId="25777" xr:uid="{00000000-0005-0000-0000-0000E0640000}"/>
    <cellStyle name="Normal 3 2 3 3 3 4" xfId="25778" xr:uid="{00000000-0005-0000-0000-0000E1640000}"/>
    <cellStyle name="Normal 3 2 3 3 3 4 2" xfId="25779" xr:uid="{00000000-0005-0000-0000-0000E2640000}"/>
    <cellStyle name="Normal 3 2 3 3 3 5" xfId="25780" xr:uid="{00000000-0005-0000-0000-0000E3640000}"/>
    <cellStyle name="Normal 3 2 3 3 4" xfId="25781" xr:uid="{00000000-0005-0000-0000-0000E4640000}"/>
    <cellStyle name="Normal 3 2 3 3 4 2" xfId="25782" xr:uid="{00000000-0005-0000-0000-0000E5640000}"/>
    <cellStyle name="Normal 3 2 3 3 4 2 2" xfId="25783" xr:uid="{00000000-0005-0000-0000-0000E6640000}"/>
    <cellStyle name="Normal 3 2 3 3 4 2 2 2" xfId="25784" xr:uid="{00000000-0005-0000-0000-0000E7640000}"/>
    <cellStyle name="Normal 3 2 3 3 4 2 3" xfId="25785" xr:uid="{00000000-0005-0000-0000-0000E8640000}"/>
    <cellStyle name="Normal 3 2 3 3 4 3" xfId="25786" xr:uid="{00000000-0005-0000-0000-0000E9640000}"/>
    <cellStyle name="Normal 3 2 3 3 4 3 2" xfId="25787" xr:uid="{00000000-0005-0000-0000-0000EA640000}"/>
    <cellStyle name="Normal 3 2 3 3 4 4" xfId="25788" xr:uid="{00000000-0005-0000-0000-0000EB640000}"/>
    <cellStyle name="Normal 3 2 3 3 5" xfId="25789" xr:uid="{00000000-0005-0000-0000-0000EC640000}"/>
    <cellStyle name="Normal 3 2 3 3 5 2" xfId="25790" xr:uid="{00000000-0005-0000-0000-0000ED640000}"/>
    <cellStyle name="Normal 3 2 3 3 5 2 2" xfId="25791" xr:uid="{00000000-0005-0000-0000-0000EE640000}"/>
    <cellStyle name="Normal 3 2 3 3 5 3" xfId="25792" xr:uid="{00000000-0005-0000-0000-0000EF640000}"/>
    <cellStyle name="Normal 3 2 3 3 6" xfId="25793" xr:uid="{00000000-0005-0000-0000-0000F0640000}"/>
    <cellStyle name="Normal 3 2 3 3 6 2" xfId="25794" xr:uid="{00000000-0005-0000-0000-0000F1640000}"/>
    <cellStyle name="Normal 3 2 3 3 7" xfId="25795" xr:uid="{00000000-0005-0000-0000-0000F2640000}"/>
    <cellStyle name="Normal 3 2 3 4" xfId="25796" xr:uid="{00000000-0005-0000-0000-0000F3640000}"/>
    <cellStyle name="Normal 3 2 3 4 2" xfId="25797" xr:uid="{00000000-0005-0000-0000-0000F4640000}"/>
    <cellStyle name="Normal 3 2 3 4 2 2" xfId="25798" xr:uid="{00000000-0005-0000-0000-0000F5640000}"/>
    <cellStyle name="Normal 3 2 3 4 2 2 2" xfId="25799" xr:uid="{00000000-0005-0000-0000-0000F6640000}"/>
    <cellStyle name="Normal 3 2 3 4 2 2 2 2" xfId="25800" xr:uid="{00000000-0005-0000-0000-0000F7640000}"/>
    <cellStyle name="Normal 3 2 3 4 2 2 2 2 2" xfId="25801" xr:uid="{00000000-0005-0000-0000-0000F8640000}"/>
    <cellStyle name="Normal 3 2 3 4 2 2 2 3" xfId="25802" xr:uid="{00000000-0005-0000-0000-0000F9640000}"/>
    <cellStyle name="Normal 3 2 3 4 2 2 3" xfId="25803" xr:uid="{00000000-0005-0000-0000-0000FA640000}"/>
    <cellStyle name="Normal 3 2 3 4 2 2 3 2" xfId="25804" xr:uid="{00000000-0005-0000-0000-0000FB640000}"/>
    <cellStyle name="Normal 3 2 3 4 2 2 4" xfId="25805" xr:uid="{00000000-0005-0000-0000-0000FC640000}"/>
    <cellStyle name="Normal 3 2 3 4 2 3" xfId="25806" xr:uid="{00000000-0005-0000-0000-0000FD640000}"/>
    <cellStyle name="Normal 3 2 3 4 2 3 2" xfId="25807" xr:uid="{00000000-0005-0000-0000-0000FE640000}"/>
    <cellStyle name="Normal 3 2 3 4 2 3 2 2" xfId="25808" xr:uid="{00000000-0005-0000-0000-0000FF640000}"/>
    <cellStyle name="Normal 3 2 3 4 2 3 3" xfId="25809" xr:uid="{00000000-0005-0000-0000-000000650000}"/>
    <cellStyle name="Normal 3 2 3 4 2 4" xfId="25810" xr:uid="{00000000-0005-0000-0000-000001650000}"/>
    <cellStyle name="Normal 3 2 3 4 2 4 2" xfId="25811" xr:uid="{00000000-0005-0000-0000-000002650000}"/>
    <cellStyle name="Normal 3 2 3 4 2 5" xfId="25812" xr:uid="{00000000-0005-0000-0000-000003650000}"/>
    <cellStyle name="Normal 3 2 3 4 3" xfId="25813" xr:uid="{00000000-0005-0000-0000-000004650000}"/>
    <cellStyle name="Normal 3 2 3 4 3 2" xfId="25814" xr:uid="{00000000-0005-0000-0000-000005650000}"/>
    <cellStyle name="Normal 3 2 3 4 3 2 2" xfId="25815" xr:uid="{00000000-0005-0000-0000-000006650000}"/>
    <cellStyle name="Normal 3 2 3 4 3 2 2 2" xfId="25816" xr:uid="{00000000-0005-0000-0000-000007650000}"/>
    <cellStyle name="Normal 3 2 3 4 3 2 3" xfId="25817" xr:uid="{00000000-0005-0000-0000-000008650000}"/>
    <cellStyle name="Normal 3 2 3 4 3 3" xfId="25818" xr:uid="{00000000-0005-0000-0000-000009650000}"/>
    <cellStyle name="Normal 3 2 3 4 3 3 2" xfId="25819" xr:uid="{00000000-0005-0000-0000-00000A650000}"/>
    <cellStyle name="Normal 3 2 3 4 3 4" xfId="25820" xr:uid="{00000000-0005-0000-0000-00000B650000}"/>
    <cellStyle name="Normal 3 2 3 4 4" xfId="25821" xr:uid="{00000000-0005-0000-0000-00000C650000}"/>
    <cellStyle name="Normal 3 2 3 4 4 2" xfId="25822" xr:uid="{00000000-0005-0000-0000-00000D650000}"/>
    <cellStyle name="Normal 3 2 3 4 4 2 2" xfId="25823" xr:uid="{00000000-0005-0000-0000-00000E650000}"/>
    <cellStyle name="Normal 3 2 3 4 4 3" xfId="25824" xr:uid="{00000000-0005-0000-0000-00000F650000}"/>
    <cellStyle name="Normal 3 2 3 4 5" xfId="25825" xr:uid="{00000000-0005-0000-0000-000010650000}"/>
    <cellStyle name="Normal 3 2 3 4 5 2" xfId="25826" xr:uid="{00000000-0005-0000-0000-000011650000}"/>
    <cellStyle name="Normal 3 2 3 4 6" xfId="25827" xr:uid="{00000000-0005-0000-0000-000012650000}"/>
    <cellStyle name="Normal 3 2 3 5" xfId="25828" xr:uid="{00000000-0005-0000-0000-000013650000}"/>
    <cellStyle name="Normal 3 2 3 5 2" xfId="25829" xr:uid="{00000000-0005-0000-0000-000014650000}"/>
    <cellStyle name="Normal 3 2 3 5 2 2" xfId="25830" xr:uid="{00000000-0005-0000-0000-000015650000}"/>
    <cellStyle name="Normal 3 2 3 5 2 2 2" xfId="25831" xr:uid="{00000000-0005-0000-0000-000016650000}"/>
    <cellStyle name="Normal 3 2 3 5 2 2 2 2" xfId="25832" xr:uid="{00000000-0005-0000-0000-000017650000}"/>
    <cellStyle name="Normal 3 2 3 5 2 2 3" xfId="25833" xr:uid="{00000000-0005-0000-0000-000018650000}"/>
    <cellStyle name="Normal 3 2 3 5 2 3" xfId="25834" xr:uid="{00000000-0005-0000-0000-000019650000}"/>
    <cellStyle name="Normal 3 2 3 5 2 3 2" xfId="25835" xr:uid="{00000000-0005-0000-0000-00001A650000}"/>
    <cellStyle name="Normal 3 2 3 5 2 4" xfId="25836" xr:uid="{00000000-0005-0000-0000-00001B650000}"/>
    <cellStyle name="Normal 3 2 3 5 3" xfId="25837" xr:uid="{00000000-0005-0000-0000-00001C650000}"/>
    <cellStyle name="Normal 3 2 3 5 3 2" xfId="25838" xr:uid="{00000000-0005-0000-0000-00001D650000}"/>
    <cellStyle name="Normal 3 2 3 5 3 2 2" xfId="25839" xr:uid="{00000000-0005-0000-0000-00001E650000}"/>
    <cellStyle name="Normal 3 2 3 5 3 3" xfId="25840" xr:uid="{00000000-0005-0000-0000-00001F650000}"/>
    <cellStyle name="Normal 3 2 3 5 4" xfId="25841" xr:uid="{00000000-0005-0000-0000-000020650000}"/>
    <cellStyle name="Normal 3 2 3 5 4 2" xfId="25842" xr:uid="{00000000-0005-0000-0000-000021650000}"/>
    <cellStyle name="Normal 3 2 3 5 5" xfId="25843" xr:uid="{00000000-0005-0000-0000-000022650000}"/>
    <cellStyle name="Normal 3 2 3 6" xfId="25844" xr:uid="{00000000-0005-0000-0000-000023650000}"/>
    <cellStyle name="Normal 3 2 3 6 2" xfId="25845" xr:uid="{00000000-0005-0000-0000-000024650000}"/>
    <cellStyle name="Normal 3 2 3 6 2 2" xfId="25846" xr:uid="{00000000-0005-0000-0000-000025650000}"/>
    <cellStyle name="Normal 3 2 3 6 2 2 2" xfId="25847" xr:uid="{00000000-0005-0000-0000-000026650000}"/>
    <cellStyle name="Normal 3 2 3 6 2 3" xfId="25848" xr:uid="{00000000-0005-0000-0000-000027650000}"/>
    <cellStyle name="Normal 3 2 3 6 3" xfId="25849" xr:uid="{00000000-0005-0000-0000-000028650000}"/>
    <cellStyle name="Normal 3 2 3 6 3 2" xfId="25850" xr:uid="{00000000-0005-0000-0000-000029650000}"/>
    <cellStyle name="Normal 3 2 3 6 4" xfId="25851" xr:uid="{00000000-0005-0000-0000-00002A650000}"/>
    <cellStyle name="Normal 3 2 3 7" xfId="25852" xr:uid="{00000000-0005-0000-0000-00002B650000}"/>
    <cellStyle name="Normal 3 2 3 7 2" xfId="25853" xr:uid="{00000000-0005-0000-0000-00002C650000}"/>
    <cellStyle name="Normal 3 2 3 7 2 2" xfId="25854" xr:uid="{00000000-0005-0000-0000-00002D650000}"/>
    <cellStyle name="Normal 3 2 3 7 3" xfId="25855" xr:uid="{00000000-0005-0000-0000-00002E650000}"/>
    <cellStyle name="Normal 3 2 3 8" xfId="25856" xr:uid="{00000000-0005-0000-0000-00002F650000}"/>
    <cellStyle name="Normal 3 2 3 8 2" xfId="25857" xr:uid="{00000000-0005-0000-0000-000030650000}"/>
    <cellStyle name="Normal 3 2 3 9" xfId="25858" xr:uid="{00000000-0005-0000-0000-000031650000}"/>
    <cellStyle name="Normal 3 2 4" xfId="25859" xr:uid="{00000000-0005-0000-0000-000032650000}"/>
    <cellStyle name="Normal 3 2 4 2" xfId="25860" xr:uid="{00000000-0005-0000-0000-000033650000}"/>
    <cellStyle name="Normal 3 2 4 2 2" xfId="25861" xr:uid="{00000000-0005-0000-0000-000034650000}"/>
    <cellStyle name="Normal 3 2 4 2 2 2" xfId="25862" xr:uid="{00000000-0005-0000-0000-000035650000}"/>
    <cellStyle name="Normal 3 2 4 2 2 2 2" xfId="25863" xr:uid="{00000000-0005-0000-0000-000036650000}"/>
    <cellStyle name="Normal 3 2 4 2 2 2 2 2" xfId="25864" xr:uid="{00000000-0005-0000-0000-000037650000}"/>
    <cellStyle name="Normal 3 2 4 2 2 2 2 2 2" xfId="25865" xr:uid="{00000000-0005-0000-0000-000038650000}"/>
    <cellStyle name="Normal 3 2 4 2 2 2 2 2 2 2" xfId="25866" xr:uid="{00000000-0005-0000-0000-000039650000}"/>
    <cellStyle name="Normal 3 2 4 2 2 2 2 2 3" xfId="25867" xr:uid="{00000000-0005-0000-0000-00003A650000}"/>
    <cellStyle name="Normal 3 2 4 2 2 2 2 3" xfId="25868" xr:uid="{00000000-0005-0000-0000-00003B650000}"/>
    <cellStyle name="Normal 3 2 4 2 2 2 2 3 2" xfId="25869" xr:uid="{00000000-0005-0000-0000-00003C650000}"/>
    <cellStyle name="Normal 3 2 4 2 2 2 2 4" xfId="25870" xr:uid="{00000000-0005-0000-0000-00003D650000}"/>
    <cellStyle name="Normal 3 2 4 2 2 2 3" xfId="25871" xr:uid="{00000000-0005-0000-0000-00003E650000}"/>
    <cellStyle name="Normal 3 2 4 2 2 2 3 2" xfId="25872" xr:uid="{00000000-0005-0000-0000-00003F650000}"/>
    <cellStyle name="Normal 3 2 4 2 2 2 3 2 2" xfId="25873" xr:uid="{00000000-0005-0000-0000-000040650000}"/>
    <cellStyle name="Normal 3 2 4 2 2 2 3 3" xfId="25874" xr:uid="{00000000-0005-0000-0000-000041650000}"/>
    <cellStyle name="Normal 3 2 4 2 2 2 4" xfId="25875" xr:uid="{00000000-0005-0000-0000-000042650000}"/>
    <cellStyle name="Normal 3 2 4 2 2 2 4 2" xfId="25876" xr:uid="{00000000-0005-0000-0000-000043650000}"/>
    <cellStyle name="Normal 3 2 4 2 2 2 5" xfId="25877" xr:uid="{00000000-0005-0000-0000-000044650000}"/>
    <cellStyle name="Normal 3 2 4 2 2 3" xfId="25878" xr:uid="{00000000-0005-0000-0000-000045650000}"/>
    <cellStyle name="Normal 3 2 4 2 2 3 2" xfId="25879" xr:uid="{00000000-0005-0000-0000-000046650000}"/>
    <cellStyle name="Normal 3 2 4 2 2 3 2 2" xfId="25880" xr:uid="{00000000-0005-0000-0000-000047650000}"/>
    <cellStyle name="Normal 3 2 4 2 2 3 2 2 2" xfId="25881" xr:uid="{00000000-0005-0000-0000-000048650000}"/>
    <cellStyle name="Normal 3 2 4 2 2 3 2 3" xfId="25882" xr:uid="{00000000-0005-0000-0000-000049650000}"/>
    <cellStyle name="Normal 3 2 4 2 2 3 3" xfId="25883" xr:uid="{00000000-0005-0000-0000-00004A650000}"/>
    <cellStyle name="Normal 3 2 4 2 2 3 3 2" xfId="25884" xr:uid="{00000000-0005-0000-0000-00004B650000}"/>
    <cellStyle name="Normal 3 2 4 2 2 3 4" xfId="25885" xr:uid="{00000000-0005-0000-0000-00004C650000}"/>
    <cellStyle name="Normal 3 2 4 2 2 4" xfId="25886" xr:uid="{00000000-0005-0000-0000-00004D650000}"/>
    <cellStyle name="Normal 3 2 4 2 2 4 2" xfId="25887" xr:uid="{00000000-0005-0000-0000-00004E650000}"/>
    <cellStyle name="Normal 3 2 4 2 2 4 2 2" xfId="25888" xr:uid="{00000000-0005-0000-0000-00004F650000}"/>
    <cellStyle name="Normal 3 2 4 2 2 4 3" xfId="25889" xr:uid="{00000000-0005-0000-0000-000050650000}"/>
    <cellStyle name="Normal 3 2 4 2 2 5" xfId="25890" xr:uid="{00000000-0005-0000-0000-000051650000}"/>
    <cellStyle name="Normal 3 2 4 2 2 5 2" xfId="25891" xr:uid="{00000000-0005-0000-0000-000052650000}"/>
    <cellStyle name="Normal 3 2 4 2 2 6" xfId="25892" xr:uid="{00000000-0005-0000-0000-000053650000}"/>
    <cellStyle name="Normal 3 2 4 2 3" xfId="25893" xr:uid="{00000000-0005-0000-0000-000054650000}"/>
    <cellStyle name="Normal 3 2 4 2 3 2" xfId="25894" xr:uid="{00000000-0005-0000-0000-000055650000}"/>
    <cellStyle name="Normal 3 2 4 2 3 2 2" xfId="25895" xr:uid="{00000000-0005-0000-0000-000056650000}"/>
    <cellStyle name="Normal 3 2 4 2 3 2 2 2" xfId="25896" xr:uid="{00000000-0005-0000-0000-000057650000}"/>
    <cellStyle name="Normal 3 2 4 2 3 2 2 2 2" xfId="25897" xr:uid="{00000000-0005-0000-0000-000058650000}"/>
    <cellStyle name="Normal 3 2 4 2 3 2 2 3" xfId="25898" xr:uid="{00000000-0005-0000-0000-000059650000}"/>
    <cellStyle name="Normal 3 2 4 2 3 2 3" xfId="25899" xr:uid="{00000000-0005-0000-0000-00005A650000}"/>
    <cellStyle name="Normal 3 2 4 2 3 2 3 2" xfId="25900" xr:uid="{00000000-0005-0000-0000-00005B650000}"/>
    <cellStyle name="Normal 3 2 4 2 3 2 4" xfId="25901" xr:uid="{00000000-0005-0000-0000-00005C650000}"/>
    <cellStyle name="Normal 3 2 4 2 3 3" xfId="25902" xr:uid="{00000000-0005-0000-0000-00005D650000}"/>
    <cellStyle name="Normal 3 2 4 2 3 3 2" xfId="25903" xr:uid="{00000000-0005-0000-0000-00005E650000}"/>
    <cellStyle name="Normal 3 2 4 2 3 3 2 2" xfId="25904" xr:uid="{00000000-0005-0000-0000-00005F650000}"/>
    <cellStyle name="Normal 3 2 4 2 3 3 3" xfId="25905" xr:uid="{00000000-0005-0000-0000-000060650000}"/>
    <cellStyle name="Normal 3 2 4 2 3 4" xfId="25906" xr:uid="{00000000-0005-0000-0000-000061650000}"/>
    <cellStyle name="Normal 3 2 4 2 3 4 2" xfId="25907" xr:uid="{00000000-0005-0000-0000-000062650000}"/>
    <cellStyle name="Normal 3 2 4 2 3 5" xfId="25908" xr:uid="{00000000-0005-0000-0000-000063650000}"/>
    <cellStyle name="Normal 3 2 4 2 4" xfId="25909" xr:uid="{00000000-0005-0000-0000-000064650000}"/>
    <cellStyle name="Normal 3 2 4 2 4 2" xfId="25910" xr:uid="{00000000-0005-0000-0000-000065650000}"/>
    <cellStyle name="Normal 3 2 4 2 4 2 2" xfId="25911" xr:uid="{00000000-0005-0000-0000-000066650000}"/>
    <cellStyle name="Normal 3 2 4 2 4 2 2 2" xfId="25912" xr:uid="{00000000-0005-0000-0000-000067650000}"/>
    <cellStyle name="Normal 3 2 4 2 4 2 3" xfId="25913" xr:uid="{00000000-0005-0000-0000-000068650000}"/>
    <cellStyle name="Normal 3 2 4 2 4 3" xfId="25914" xr:uid="{00000000-0005-0000-0000-000069650000}"/>
    <cellStyle name="Normal 3 2 4 2 4 3 2" xfId="25915" xr:uid="{00000000-0005-0000-0000-00006A650000}"/>
    <cellStyle name="Normal 3 2 4 2 4 4" xfId="25916" xr:uid="{00000000-0005-0000-0000-00006B650000}"/>
    <cellStyle name="Normal 3 2 4 2 5" xfId="25917" xr:uid="{00000000-0005-0000-0000-00006C650000}"/>
    <cellStyle name="Normal 3 2 4 2 5 2" xfId="25918" xr:uid="{00000000-0005-0000-0000-00006D650000}"/>
    <cellStyle name="Normal 3 2 4 2 5 2 2" xfId="25919" xr:uid="{00000000-0005-0000-0000-00006E650000}"/>
    <cellStyle name="Normal 3 2 4 2 5 3" xfId="25920" xr:uid="{00000000-0005-0000-0000-00006F650000}"/>
    <cellStyle name="Normal 3 2 4 2 6" xfId="25921" xr:uid="{00000000-0005-0000-0000-000070650000}"/>
    <cellStyle name="Normal 3 2 4 2 6 2" xfId="25922" xr:uid="{00000000-0005-0000-0000-000071650000}"/>
    <cellStyle name="Normal 3 2 4 2 7" xfId="25923" xr:uid="{00000000-0005-0000-0000-000072650000}"/>
    <cellStyle name="Normal 3 2 4 3" xfId="25924" xr:uid="{00000000-0005-0000-0000-000073650000}"/>
    <cellStyle name="Normal 3 2 4 3 2" xfId="25925" xr:uid="{00000000-0005-0000-0000-000074650000}"/>
    <cellStyle name="Normal 3 2 4 3 2 2" xfId="25926" xr:uid="{00000000-0005-0000-0000-000075650000}"/>
    <cellStyle name="Normal 3 2 4 3 2 2 2" xfId="25927" xr:uid="{00000000-0005-0000-0000-000076650000}"/>
    <cellStyle name="Normal 3 2 4 3 2 2 2 2" xfId="25928" xr:uid="{00000000-0005-0000-0000-000077650000}"/>
    <cellStyle name="Normal 3 2 4 3 2 2 2 2 2" xfId="25929" xr:uid="{00000000-0005-0000-0000-000078650000}"/>
    <cellStyle name="Normal 3 2 4 3 2 2 2 3" xfId="25930" xr:uid="{00000000-0005-0000-0000-000079650000}"/>
    <cellStyle name="Normal 3 2 4 3 2 2 3" xfId="25931" xr:uid="{00000000-0005-0000-0000-00007A650000}"/>
    <cellStyle name="Normal 3 2 4 3 2 2 3 2" xfId="25932" xr:uid="{00000000-0005-0000-0000-00007B650000}"/>
    <cellStyle name="Normal 3 2 4 3 2 2 4" xfId="25933" xr:uid="{00000000-0005-0000-0000-00007C650000}"/>
    <cellStyle name="Normal 3 2 4 3 2 3" xfId="25934" xr:uid="{00000000-0005-0000-0000-00007D650000}"/>
    <cellStyle name="Normal 3 2 4 3 2 3 2" xfId="25935" xr:uid="{00000000-0005-0000-0000-00007E650000}"/>
    <cellStyle name="Normal 3 2 4 3 2 3 2 2" xfId="25936" xr:uid="{00000000-0005-0000-0000-00007F650000}"/>
    <cellStyle name="Normal 3 2 4 3 2 3 3" xfId="25937" xr:uid="{00000000-0005-0000-0000-000080650000}"/>
    <cellStyle name="Normal 3 2 4 3 2 4" xfId="25938" xr:uid="{00000000-0005-0000-0000-000081650000}"/>
    <cellStyle name="Normal 3 2 4 3 2 4 2" xfId="25939" xr:uid="{00000000-0005-0000-0000-000082650000}"/>
    <cellStyle name="Normal 3 2 4 3 2 5" xfId="25940" xr:uid="{00000000-0005-0000-0000-000083650000}"/>
    <cellStyle name="Normal 3 2 4 3 3" xfId="25941" xr:uid="{00000000-0005-0000-0000-000084650000}"/>
    <cellStyle name="Normal 3 2 4 3 3 2" xfId="25942" xr:uid="{00000000-0005-0000-0000-000085650000}"/>
    <cellStyle name="Normal 3 2 4 3 3 2 2" xfId="25943" xr:uid="{00000000-0005-0000-0000-000086650000}"/>
    <cellStyle name="Normal 3 2 4 3 3 2 2 2" xfId="25944" xr:uid="{00000000-0005-0000-0000-000087650000}"/>
    <cellStyle name="Normal 3 2 4 3 3 2 3" xfId="25945" xr:uid="{00000000-0005-0000-0000-000088650000}"/>
    <cellStyle name="Normal 3 2 4 3 3 3" xfId="25946" xr:uid="{00000000-0005-0000-0000-000089650000}"/>
    <cellStyle name="Normal 3 2 4 3 3 3 2" xfId="25947" xr:uid="{00000000-0005-0000-0000-00008A650000}"/>
    <cellStyle name="Normal 3 2 4 3 3 4" xfId="25948" xr:uid="{00000000-0005-0000-0000-00008B650000}"/>
    <cellStyle name="Normal 3 2 4 3 4" xfId="25949" xr:uid="{00000000-0005-0000-0000-00008C650000}"/>
    <cellStyle name="Normal 3 2 4 3 4 2" xfId="25950" xr:uid="{00000000-0005-0000-0000-00008D650000}"/>
    <cellStyle name="Normal 3 2 4 3 4 2 2" xfId="25951" xr:uid="{00000000-0005-0000-0000-00008E650000}"/>
    <cellStyle name="Normal 3 2 4 3 4 3" xfId="25952" xr:uid="{00000000-0005-0000-0000-00008F650000}"/>
    <cellStyle name="Normal 3 2 4 3 5" xfId="25953" xr:uid="{00000000-0005-0000-0000-000090650000}"/>
    <cellStyle name="Normal 3 2 4 3 5 2" xfId="25954" xr:uid="{00000000-0005-0000-0000-000091650000}"/>
    <cellStyle name="Normal 3 2 4 3 6" xfId="25955" xr:uid="{00000000-0005-0000-0000-000092650000}"/>
    <cellStyle name="Normal 3 2 4 4" xfId="25956" xr:uid="{00000000-0005-0000-0000-000093650000}"/>
    <cellStyle name="Normal 3 2 4 4 2" xfId="25957" xr:uid="{00000000-0005-0000-0000-000094650000}"/>
    <cellStyle name="Normal 3 2 4 4 2 2" xfId="25958" xr:uid="{00000000-0005-0000-0000-000095650000}"/>
    <cellStyle name="Normal 3 2 4 4 2 2 2" xfId="25959" xr:uid="{00000000-0005-0000-0000-000096650000}"/>
    <cellStyle name="Normal 3 2 4 4 2 2 2 2" xfId="25960" xr:uid="{00000000-0005-0000-0000-000097650000}"/>
    <cellStyle name="Normal 3 2 4 4 2 2 3" xfId="25961" xr:uid="{00000000-0005-0000-0000-000098650000}"/>
    <cellStyle name="Normal 3 2 4 4 2 3" xfId="25962" xr:uid="{00000000-0005-0000-0000-000099650000}"/>
    <cellStyle name="Normal 3 2 4 4 2 3 2" xfId="25963" xr:uid="{00000000-0005-0000-0000-00009A650000}"/>
    <cellStyle name="Normal 3 2 4 4 2 4" xfId="25964" xr:uid="{00000000-0005-0000-0000-00009B650000}"/>
    <cellStyle name="Normal 3 2 4 4 3" xfId="25965" xr:uid="{00000000-0005-0000-0000-00009C650000}"/>
    <cellStyle name="Normal 3 2 4 4 3 2" xfId="25966" xr:uid="{00000000-0005-0000-0000-00009D650000}"/>
    <cellStyle name="Normal 3 2 4 4 3 2 2" xfId="25967" xr:uid="{00000000-0005-0000-0000-00009E650000}"/>
    <cellStyle name="Normal 3 2 4 4 3 3" xfId="25968" xr:uid="{00000000-0005-0000-0000-00009F650000}"/>
    <cellStyle name="Normal 3 2 4 4 4" xfId="25969" xr:uid="{00000000-0005-0000-0000-0000A0650000}"/>
    <cellStyle name="Normal 3 2 4 4 4 2" xfId="25970" xr:uid="{00000000-0005-0000-0000-0000A1650000}"/>
    <cellStyle name="Normal 3 2 4 4 5" xfId="25971" xr:uid="{00000000-0005-0000-0000-0000A2650000}"/>
    <cellStyle name="Normal 3 2 4 5" xfId="25972" xr:uid="{00000000-0005-0000-0000-0000A3650000}"/>
    <cellStyle name="Normal 3 2 4 5 2" xfId="25973" xr:uid="{00000000-0005-0000-0000-0000A4650000}"/>
    <cellStyle name="Normal 3 2 4 5 2 2" xfId="25974" xr:uid="{00000000-0005-0000-0000-0000A5650000}"/>
    <cellStyle name="Normal 3 2 4 5 2 2 2" xfId="25975" xr:uid="{00000000-0005-0000-0000-0000A6650000}"/>
    <cellStyle name="Normal 3 2 4 5 2 3" xfId="25976" xr:uid="{00000000-0005-0000-0000-0000A7650000}"/>
    <cellStyle name="Normal 3 2 4 5 3" xfId="25977" xr:uid="{00000000-0005-0000-0000-0000A8650000}"/>
    <cellStyle name="Normal 3 2 4 5 3 2" xfId="25978" xr:uid="{00000000-0005-0000-0000-0000A9650000}"/>
    <cellStyle name="Normal 3 2 4 5 4" xfId="25979" xr:uid="{00000000-0005-0000-0000-0000AA650000}"/>
    <cellStyle name="Normal 3 2 4 6" xfId="25980" xr:uid="{00000000-0005-0000-0000-0000AB650000}"/>
    <cellStyle name="Normal 3 2 4 6 2" xfId="25981" xr:uid="{00000000-0005-0000-0000-0000AC650000}"/>
    <cellStyle name="Normal 3 2 4 6 2 2" xfId="25982" xr:uid="{00000000-0005-0000-0000-0000AD650000}"/>
    <cellStyle name="Normal 3 2 4 6 3" xfId="25983" xr:uid="{00000000-0005-0000-0000-0000AE650000}"/>
    <cellStyle name="Normal 3 2 4 7" xfId="25984" xr:uid="{00000000-0005-0000-0000-0000AF650000}"/>
    <cellStyle name="Normal 3 2 4 7 2" xfId="25985" xr:uid="{00000000-0005-0000-0000-0000B0650000}"/>
    <cellStyle name="Normal 3 2 4 8" xfId="25986" xr:uid="{00000000-0005-0000-0000-0000B1650000}"/>
    <cellStyle name="Normal 3 2 5" xfId="25987" xr:uid="{00000000-0005-0000-0000-0000B2650000}"/>
    <cellStyle name="Normal 3 2 5 2" xfId="25988" xr:uid="{00000000-0005-0000-0000-0000B3650000}"/>
    <cellStyle name="Normal 3 2 5 2 2" xfId="25989" xr:uid="{00000000-0005-0000-0000-0000B4650000}"/>
    <cellStyle name="Normal 3 2 5 2 2 2" xfId="25990" xr:uid="{00000000-0005-0000-0000-0000B5650000}"/>
    <cellStyle name="Normal 3 2 5 2 2 2 2" xfId="25991" xr:uid="{00000000-0005-0000-0000-0000B6650000}"/>
    <cellStyle name="Normal 3 2 5 2 2 2 2 2" xfId="25992" xr:uid="{00000000-0005-0000-0000-0000B7650000}"/>
    <cellStyle name="Normal 3 2 5 2 2 2 2 2 2" xfId="25993" xr:uid="{00000000-0005-0000-0000-0000B8650000}"/>
    <cellStyle name="Normal 3 2 5 2 2 2 2 3" xfId="25994" xr:uid="{00000000-0005-0000-0000-0000B9650000}"/>
    <cellStyle name="Normal 3 2 5 2 2 2 3" xfId="25995" xr:uid="{00000000-0005-0000-0000-0000BA650000}"/>
    <cellStyle name="Normal 3 2 5 2 2 2 3 2" xfId="25996" xr:uid="{00000000-0005-0000-0000-0000BB650000}"/>
    <cellStyle name="Normal 3 2 5 2 2 2 4" xfId="25997" xr:uid="{00000000-0005-0000-0000-0000BC650000}"/>
    <cellStyle name="Normal 3 2 5 2 2 3" xfId="25998" xr:uid="{00000000-0005-0000-0000-0000BD650000}"/>
    <cellStyle name="Normal 3 2 5 2 2 3 2" xfId="25999" xr:uid="{00000000-0005-0000-0000-0000BE650000}"/>
    <cellStyle name="Normal 3 2 5 2 2 3 2 2" xfId="26000" xr:uid="{00000000-0005-0000-0000-0000BF650000}"/>
    <cellStyle name="Normal 3 2 5 2 2 3 3" xfId="26001" xr:uid="{00000000-0005-0000-0000-0000C0650000}"/>
    <cellStyle name="Normal 3 2 5 2 2 4" xfId="26002" xr:uid="{00000000-0005-0000-0000-0000C1650000}"/>
    <cellStyle name="Normal 3 2 5 2 2 4 2" xfId="26003" xr:uid="{00000000-0005-0000-0000-0000C2650000}"/>
    <cellStyle name="Normal 3 2 5 2 2 5" xfId="26004" xr:uid="{00000000-0005-0000-0000-0000C3650000}"/>
    <cellStyle name="Normal 3 2 5 2 3" xfId="26005" xr:uid="{00000000-0005-0000-0000-0000C4650000}"/>
    <cellStyle name="Normal 3 2 5 2 3 2" xfId="26006" xr:uid="{00000000-0005-0000-0000-0000C5650000}"/>
    <cellStyle name="Normal 3 2 5 2 3 2 2" xfId="26007" xr:uid="{00000000-0005-0000-0000-0000C6650000}"/>
    <cellStyle name="Normal 3 2 5 2 3 2 2 2" xfId="26008" xr:uid="{00000000-0005-0000-0000-0000C7650000}"/>
    <cellStyle name="Normal 3 2 5 2 3 2 3" xfId="26009" xr:uid="{00000000-0005-0000-0000-0000C8650000}"/>
    <cellStyle name="Normal 3 2 5 2 3 3" xfId="26010" xr:uid="{00000000-0005-0000-0000-0000C9650000}"/>
    <cellStyle name="Normal 3 2 5 2 3 3 2" xfId="26011" xr:uid="{00000000-0005-0000-0000-0000CA650000}"/>
    <cellStyle name="Normal 3 2 5 2 3 4" xfId="26012" xr:uid="{00000000-0005-0000-0000-0000CB650000}"/>
    <cellStyle name="Normal 3 2 5 2 4" xfId="26013" xr:uid="{00000000-0005-0000-0000-0000CC650000}"/>
    <cellStyle name="Normal 3 2 5 2 4 2" xfId="26014" xr:uid="{00000000-0005-0000-0000-0000CD650000}"/>
    <cellStyle name="Normal 3 2 5 2 4 2 2" xfId="26015" xr:uid="{00000000-0005-0000-0000-0000CE650000}"/>
    <cellStyle name="Normal 3 2 5 2 4 3" xfId="26016" xr:uid="{00000000-0005-0000-0000-0000CF650000}"/>
    <cellStyle name="Normal 3 2 5 2 5" xfId="26017" xr:uid="{00000000-0005-0000-0000-0000D0650000}"/>
    <cellStyle name="Normal 3 2 5 2 5 2" xfId="26018" xr:uid="{00000000-0005-0000-0000-0000D1650000}"/>
    <cellStyle name="Normal 3 2 5 2 6" xfId="26019" xr:uid="{00000000-0005-0000-0000-0000D2650000}"/>
    <cellStyle name="Normal 3 2 5 2 6 2" xfId="26020" xr:uid="{00000000-0005-0000-0000-0000D3650000}"/>
    <cellStyle name="Normal 3 2 5 2 7" xfId="26021" xr:uid="{00000000-0005-0000-0000-0000D4650000}"/>
    <cellStyle name="Normal 3 2 5 3" xfId="26022" xr:uid="{00000000-0005-0000-0000-0000D5650000}"/>
    <cellStyle name="Normal 3 2 5 3 2" xfId="26023" xr:uid="{00000000-0005-0000-0000-0000D6650000}"/>
    <cellStyle name="Normal 3 2 5 3 2 2" xfId="26024" xr:uid="{00000000-0005-0000-0000-0000D7650000}"/>
    <cellStyle name="Normal 3 2 5 3 2 2 2" xfId="26025" xr:uid="{00000000-0005-0000-0000-0000D8650000}"/>
    <cellStyle name="Normal 3 2 5 3 2 2 2 2" xfId="26026" xr:uid="{00000000-0005-0000-0000-0000D9650000}"/>
    <cellStyle name="Normal 3 2 5 3 2 2 3" xfId="26027" xr:uid="{00000000-0005-0000-0000-0000DA650000}"/>
    <cellStyle name="Normal 3 2 5 3 2 3" xfId="26028" xr:uid="{00000000-0005-0000-0000-0000DB650000}"/>
    <cellStyle name="Normal 3 2 5 3 2 3 2" xfId="26029" xr:uid="{00000000-0005-0000-0000-0000DC650000}"/>
    <cellStyle name="Normal 3 2 5 3 2 4" xfId="26030" xr:uid="{00000000-0005-0000-0000-0000DD650000}"/>
    <cellStyle name="Normal 3 2 5 3 3" xfId="26031" xr:uid="{00000000-0005-0000-0000-0000DE650000}"/>
    <cellStyle name="Normal 3 2 5 3 3 2" xfId="26032" xr:uid="{00000000-0005-0000-0000-0000DF650000}"/>
    <cellStyle name="Normal 3 2 5 3 3 2 2" xfId="26033" xr:uid="{00000000-0005-0000-0000-0000E0650000}"/>
    <cellStyle name="Normal 3 2 5 3 3 3" xfId="26034" xr:uid="{00000000-0005-0000-0000-0000E1650000}"/>
    <cellStyle name="Normal 3 2 5 3 4" xfId="26035" xr:uid="{00000000-0005-0000-0000-0000E2650000}"/>
    <cellStyle name="Normal 3 2 5 3 4 2" xfId="26036" xr:uid="{00000000-0005-0000-0000-0000E3650000}"/>
    <cellStyle name="Normal 3 2 5 3 5" xfId="26037" xr:uid="{00000000-0005-0000-0000-0000E4650000}"/>
    <cellStyle name="Normal 3 2 5 4" xfId="26038" xr:uid="{00000000-0005-0000-0000-0000E5650000}"/>
    <cellStyle name="Normal 3 2 5 4 2" xfId="26039" xr:uid="{00000000-0005-0000-0000-0000E6650000}"/>
    <cellStyle name="Normal 3 2 5 4 2 2" xfId="26040" xr:uid="{00000000-0005-0000-0000-0000E7650000}"/>
    <cellStyle name="Normal 3 2 5 4 2 2 2" xfId="26041" xr:uid="{00000000-0005-0000-0000-0000E8650000}"/>
    <cellStyle name="Normal 3 2 5 4 2 3" xfId="26042" xr:uid="{00000000-0005-0000-0000-0000E9650000}"/>
    <cellStyle name="Normal 3 2 5 4 3" xfId="26043" xr:uid="{00000000-0005-0000-0000-0000EA650000}"/>
    <cellStyle name="Normal 3 2 5 4 3 2" xfId="26044" xr:uid="{00000000-0005-0000-0000-0000EB650000}"/>
    <cellStyle name="Normal 3 2 5 4 4" xfId="26045" xr:uid="{00000000-0005-0000-0000-0000EC650000}"/>
    <cellStyle name="Normal 3 2 5 5" xfId="26046" xr:uid="{00000000-0005-0000-0000-0000ED650000}"/>
    <cellStyle name="Normal 3 2 5 5 2" xfId="26047" xr:uid="{00000000-0005-0000-0000-0000EE650000}"/>
    <cellStyle name="Normal 3 2 5 5 2 2" xfId="26048" xr:uid="{00000000-0005-0000-0000-0000EF650000}"/>
    <cellStyle name="Normal 3 2 5 5 3" xfId="26049" xr:uid="{00000000-0005-0000-0000-0000F0650000}"/>
    <cellStyle name="Normal 3 2 5 6" xfId="26050" xr:uid="{00000000-0005-0000-0000-0000F1650000}"/>
    <cellStyle name="Normal 3 2 5 6 2" xfId="26051" xr:uid="{00000000-0005-0000-0000-0000F2650000}"/>
    <cellStyle name="Normal 3 2 5 7" xfId="26052" xr:uid="{00000000-0005-0000-0000-0000F3650000}"/>
    <cellStyle name="Normal 3 2 5 7 2" xfId="26053" xr:uid="{00000000-0005-0000-0000-0000F4650000}"/>
    <cellStyle name="Normal 3 2 5 8" xfId="26054" xr:uid="{00000000-0005-0000-0000-0000F5650000}"/>
    <cellStyle name="Normal 3 2 6" xfId="26055" xr:uid="{00000000-0005-0000-0000-0000F6650000}"/>
    <cellStyle name="Normal 3 2 6 2" xfId="26056" xr:uid="{00000000-0005-0000-0000-0000F7650000}"/>
    <cellStyle name="Normal 3 2 6 2 2" xfId="26057" xr:uid="{00000000-0005-0000-0000-0000F8650000}"/>
    <cellStyle name="Normal 3 2 6 2 2 2" xfId="26058" xr:uid="{00000000-0005-0000-0000-0000F9650000}"/>
    <cellStyle name="Normal 3 2 6 2 2 2 2" xfId="26059" xr:uid="{00000000-0005-0000-0000-0000FA650000}"/>
    <cellStyle name="Normal 3 2 6 2 2 2 2 2" xfId="26060" xr:uid="{00000000-0005-0000-0000-0000FB650000}"/>
    <cellStyle name="Normal 3 2 6 2 2 2 3" xfId="26061" xr:uid="{00000000-0005-0000-0000-0000FC650000}"/>
    <cellStyle name="Normal 3 2 6 2 2 3" xfId="26062" xr:uid="{00000000-0005-0000-0000-0000FD650000}"/>
    <cellStyle name="Normal 3 2 6 2 2 3 2" xfId="26063" xr:uid="{00000000-0005-0000-0000-0000FE650000}"/>
    <cellStyle name="Normal 3 2 6 2 2 4" xfId="26064" xr:uid="{00000000-0005-0000-0000-0000FF650000}"/>
    <cellStyle name="Normal 3 2 6 2 3" xfId="26065" xr:uid="{00000000-0005-0000-0000-000000660000}"/>
    <cellStyle name="Normal 3 2 6 2 3 2" xfId="26066" xr:uid="{00000000-0005-0000-0000-000001660000}"/>
    <cellStyle name="Normal 3 2 6 2 3 2 2" xfId="26067" xr:uid="{00000000-0005-0000-0000-000002660000}"/>
    <cellStyle name="Normal 3 2 6 2 3 3" xfId="26068" xr:uid="{00000000-0005-0000-0000-000003660000}"/>
    <cellStyle name="Normal 3 2 6 2 4" xfId="26069" xr:uid="{00000000-0005-0000-0000-000004660000}"/>
    <cellStyle name="Normal 3 2 6 2 4 2" xfId="26070" xr:uid="{00000000-0005-0000-0000-000005660000}"/>
    <cellStyle name="Normal 3 2 6 2 5" xfId="26071" xr:uid="{00000000-0005-0000-0000-000006660000}"/>
    <cellStyle name="Normal 3 2 6 2 5 2" xfId="26072" xr:uid="{00000000-0005-0000-0000-000007660000}"/>
    <cellStyle name="Normal 3 2 6 2 6" xfId="26073" xr:uid="{00000000-0005-0000-0000-000008660000}"/>
    <cellStyle name="Normal 3 2 6 2 6 2" xfId="26074" xr:uid="{00000000-0005-0000-0000-000009660000}"/>
    <cellStyle name="Normal 3 2 6 2 7" xfId="26075" xr:uid="{00000000-0005-0000-0000-00000A660000}"/>
    <cellStyle name="Normal 3 2 6 3" xfId="26076" xr:uid="{00000000-0005-0000-0000-00000B660000}"/>
    <cellStyle name="Normal 3 2 6 3 2" xfId="26077" xr:uid="{00000000-0005-0000-0000-00000C660000}"/>
    <cellStyle name="Normal 3 2 6 3 2 2" xfId="26078" xr:uid="{00000000-0005-0000-0000-00000D660000}"/>
    <cellStyle name="Normal 3 2 6 3 2 2 2" xfId="26079" xr:uid="{00000000-0005-0000-0000-00000E660000}"/>
    <cellStyle name="Normal 3 2 6 3 2 3" xfId="26080" xr:uid="{00000000-0005-0000-0000-00000F660000}"/>
    <cellStyle name="Normal 3 2 6 3 3" xfId="26081" xr:uid="{00000000-0005-0000-0000-000010660000}"/>
    <cellStyle name="Normal 3 2 6 3 3 2" xfId="26082" xr:uid="{00000000-0005-0000-0000-000011660000}"/>
    <cellStyle name="Normal 3 2 6 3 4" xfId="26083" xr:uid="{00000000-0005-0000-0000-000012660000}"/>
    <cellStyle name="Normal 3 2 6 4" xfId="26084" xr:uid="{00000000-0005-0000-0000-000013660000}"/>
    <cellStyle name="Normal 3 2 6 4 2" xfId="26085" xr:uid="{00000000-0005-0000-0000-000014660000}"/>
    <cellStyle name="Normal 3 2 6 4 2 2" xfId="26086" xr:uid="{00000000-0005-0000-0000-000015660000}"/>
    <cellStyle name="Normal 3 2 6 4 3" xfId="26087" xr:uid="{00000000-0005-0000-0000-000016660000}"/>
    <cellStyle name="Normal 3 2 6 5" xfId="26088" xr:uid="{00000000-0005-0000-0000-000017660000}"/>
    <cellStyle name="Normal 3 2 6 5 2" xfId="26089" xr:uid="{00000000-0005-0000-0000-000018660000}"/>
    <cellStyle name="Normal 3 2 6 6" xfId="26090" xr:uid="{00000000-0005-0000-0000-000019660000}"/>
    <cellStyle name="Normal 3 2 6 6 2" xfId="26091" xr:uid="{00000000-0005-0000-0000-00001A660000}"/>
    <cellStyle name="Normal 3 2 6 7" xfId="26092" xr:uid="{00000000-0005-0000-0000-00001B660000}"/>
    <cellStyle name="Normal 3 2 6 7 2" xfId="26093" xr:uid="{00000000-0005-0000-0000-00001C660000}"/>
    <cellStyle name="Normal 3 2 6 8" xfId="26094" xr:uid="{00000000-0005-0000-0000-00001D660000}"/>
    <cellStyle name="Normal 3 2 7" xfId="26095" xr:uid="{00000000-0005-0000-0000-00001E660000}"/>
    <cellStyle name="Normal 3 2 7 2" xfId="26096" xr:uid="{00000000-0005-0000-0000-00001F660000}"/>
    <cellStyle name="Normal 3 2 7 2 2" xfId="26097" xr:uid="{00000000-0005-0000-0000-000020660000}"/>
    <cellStyle name="Normal 3 2 7 2 2 2" xfId="26098" xr:uid="{00000000-0005-0000-0000-000021660000}"/>
    <cellStyle name="Normal 3 2 7 2 2 2 2" xfId="26099" xr:uid="{00000000-0005-0000-0000-000022660000}"/>
    <cellStyle name="Normal 3 2 7 2 2 3" xfId="26100" xr:uid="{00000000-0005-0000-0000-000023660000}"/>
    <cellStyle name="Normal 3 2 7 2 3" xfId="26101" xr:uid="{00000000-0005-0000-0000-000024660000}"/>
    <cellStyle name="Normal 3 2 7 2 3 2" xfId="26102" xr:uid="{00000000-0005-0000-0000-000025660000}"/>
    <cellStyle name="Normal 3 2 7 2 4" xfId="26103" xr:uid="{00000000-0005-0000-0000-000026660000}"/>
    <cellStyle name="Normal 3 2 7 2 4 2" xfId="26104" xr:uid="{00000000-0005-0000-0000-000027660000}"/>
    <cellStyle name="Normal 3 2 7 2 5" xfId="26105" xr:uid="{00000000-0005-0000-0000-000028660000}"/>
    <cellStyle name="Normal 3 2 7 2 5 2" xfId="26106" xr:uid="{00000000-0005-0000-0000-000029660000}"/>
    <cellStyle name="Normal 3 2 7 2 6" xfId="26107" xr:uid="{00000000-0005-0000-0000-00002A660000}"/>
    <cellStyle name="Normal 3 2 7 2 6 2" xfId="26108" xr:uid="{00000000-0005-0000-0000-00002B660000}"/>
    <cellStyle name="Normal 3 2 7 2 7" xfId="26109" xr:uid="{00000000-0005-0000-0000-00002C660000}"/>
    <cellStyle name="Normal 3 2 7 3" xfId="26110" xr:uid="{00000000-0005-0000-0000-00002D660000}"/>
    <cellStyle name="Normal 3 2 7 3 2" xfId="26111" xr:uid="{00000000-0005-0000-0000-00002E660000}"/>
    <cellStyle name="Normal 3 2 7 3 2 2" xfId="26112" xr:uid="{00000000-0005-0000-0000-00002F660000}"/>
    <cellStyle name="Normal 3 2 7 3 3" xfId="26113" xr:uid="{00000000-0005-0000-0000-000030660000}"/>
    <cellStyle name="Normal 3 2 7 4" xfId="26114" xr:uid="{00000000-0005-0000-0000-000031660000}"/>
    <cellStyle name="Normal 3 2 7 4 2" xfId="26115" xr:uid="{00000000-0005-0000-0000-000032660000}"/>
    <cellStyle name="Normal 3 2 7 5" xfId="26116" xr:uid="{00000000-0005-0000-0000-000033660000}"/>
    <cellStyle name="Normal 3 2 7 5 2" xfId="26117" xr:uid="{00000000-0005-0000-0000-000034660000}"/>
    <cellStyle name="Normal 3 2 7 6" xfId="26118" xr:uid="{00000000-0005-0000-0000-000035660000}"/>
    <cellStyle name="Normal 3 2 7 6 2" xfId="26119" xr:uid="{00000000-0005-0000-0000-000036660000}"/>
    <cellStyle name="Normal 3 2 7 7" xfId="26120" xr:uid="{00000000-0005-0000-0000-000037660000}"/>
    <cellStyle name="Normal 3 2 7 7 2" xfId="26121" xr:uid="{00000000-0005-0000-0000-000038660000}"/>
    <cellStyle name="Normal 3 2 7 8" xfId="26122" xr:uid="{00000000-0005-0000-0000-000039660000}"/>
    <cellStyle name="Normal 3 2 8" xfId="26123" xr:uid="{00000000-0005-0000-0000-00003A660000}"/>
    <cellStyle name="Normal 3 2 8 2" xfId="26124" xr:uid="{00000000-0005-0000-0000-00003B660000}"/>
    <cellStyle name="Normal 3 2 8 2 2" xfId="26125" xr:uid="{00000000-0005-0000-0000-00003C660000}"/>
    <cellStyle name="Normal 3 2 8 2 2 2" xfId="26126" xr:uid="{00000000-0005-0000-0000-00003D660000}"/>
    <cellStyle name="Normal 3 2 8 2 3" xfId="26127" xr:uid="{00000000-0005-0000-0000-00003E660000}"/>
    <cellStyle name="Normal 3 2 8 2 3 2" xfId="26128" xr:uid="{00000000-0005-0000-0000-00003F660000}"/>
    <cellStyle name="Normal 3 2 8 2 4" xfId="26129" xr:uid="{00000000-0005-0000-0000-000040660000}"/>
    <cellStyle name="Normal 3 2 8 2 4 2" xfId="26130" xr:uid="{00000000-0005-0000-0000-000041660000}"/>
    <cellStyle name="Normal 3 2 8 2 5" xfId="26131" xr:uid="{00000000-0005-0000-0000-000042660000}"/>
    <cellStyle name="Normal 3 2 8 2 5 2" xfId="26132" xr:uid="{00000000-0005-0000-0000-000043660000}"/>
    <cellStyle name="Normal 3 2 8 2 6" xfId="26133" xr:uid="{00000000-0005-0000-0000-000044660000}"/>
    <cellStyle name="Normal 3 2 8 2 6 2" xfId="26134" xr:uid="{00000000-0005-0000-0000-000045660000}"/>
    <cellStyle name="Normal 3 2 8 2 7" xfId="26135" xr:uid="{00000000-0005-0000-0000-000046660000}"/>
    <cellStyle name="Normal 3 2 8 3" xfId="26136" xr:uid="{00000000-0005-0000-0000-000047660000}"/>
    <cellStyle name="Normal 3 2 8 3 2" xfId="26137" xr:uid="{00000000-0005-0000-0000-000048660000}"/>
    <cellStyle name="Normal 3 2 8 4" xfId="26138" xr:uid="{00000000-0005-0000-0000-000049660000}"/>
    <cellStyle name="Normal 3 2 8 4 2" xfId="26139" xr:uid="{00000000-0005-0000-0000-00004A660000}"/>
    <cellStyle name="Normal 3 2 8 5" xfId="26140" xr:uid="{00000000-0005-0000-0000-00004B660000}"/>
    <cellStyle name="Normal 3 2 8 5 2" xfId="26141" xr:uid="{00000000-0005-0000-0000-00004C660000}"/>
    <cellStyle name="Normal 3 2 8 6" xfId="26142" xr:uid="{00000000-0005-0000-0000-00004D660000}"/>
    <cellStyle name="Normal 3 2 8 6 2" xfId="26143" xr:uid="{00000000-0005-0000-0000-00004E660000}"/>
    <cellStyle name="Normal 3 2 8 7" xfId="26144" xr:uid="{00000000-0005-0000-0000-00004F660000}"/>
    <cellStyle name="Normal 3 2 8 7 2" xfId="26145" xr:uid="{00000000-0005-0000-0000-000050660000}"/>
    <cellStyle name="Normal 3 2 8 8" xfId="26146" xr:uid="{00000000-0005-0000-0000-000051660000}"/>
    <cellStyle name="Normal 3 2 9" xfId="26147" xr:uid="{00000000-0005-0000-0000-000052660000}"/>
    <cellStyle name="Normal 3 2 9 2" xfId="26148" xr:uid="{00000000-0005-0000-0000-000053660000}"/>
    <cellStyle name="Normal 3 2 9 2 2" xfId="26149" xr:uid="{00000000-0005-0000-0000-000054660000}"/>
    <cellStyle name="Normal 3 2 9 2 2 2" xfId="26150" xr:uid="{00000000-0005-0000-0000-000055660000}"/>
    <cellStyle name="Normal 3 2 9 2 3" xfId="26151" xr:uid="{00000000-0005-0000-0000-000056660000}"/>
    <cellStyle name="Normal 3 2 9 2 3 2" xfId="26152" xr:uid="{00000000-0005-0000-0000-000057660000}"/>
    <cellStyle name="Normal 3 2 9 2 4" xfId="26153" xr:uid="{00000000-0005-0000-0000-000058660000}"/>
    <cellStyle name="Normal 3 2 9 2 4 2" xfId="26154" xr:uid="{00000000-0005-0000-0000-000059660000}"/>
    <cellStyle name="Normal 3 2 9 2 5" xfId="26155" xr:uid="{00000000-0005-0000-0000-00005A660000}"/>
    <cellStyle name="Normal 3 2 9 2 5 2" xfId="26156" xr:uid="{00000000-0005-0000-0000-00005B660000}"/>
    <cellStyle name="Normal 3 2 9 2 6" xfId="26157" xr:uid="{00000000-0005-0000-0000-00005C660000}"/>
    <cellStyle name="Normal 3 2 9 2 6 2" xfId="26158" xr:uid="{00000000-0005-0000-0000-00005D660000}"/>
    <cellStyle name="Normal 3 2 9 2 7" xfId="26159" xr:uid="{00000000-0005-0000-0000-00005E660000}"/>
    <cellStyle name="Normal 3 2 9 3" xfId="26160" xr:uid="{00000000-0005-0000-0000-00005F660000}"/>
    <cellStyle name="Normal 3 2 9 3 2" xfId="26161" xr:uid="{00000000-0005-0000-0000-000060660000}"/>
    <cellStyle name="Normal 3 2 9 4" xfId="26162" xr:uid="{00000000-0005-0000-0000-000061660000}"/>
    <cellStyle name="Normal 3 2 9 4 2" xfId="26163" xr:uid="{00000000-0005-0000-0000-000062660000}"/>
    <cellStyle name="Normal 3 2 9 5" xfId="26164" xr:uid="{00000000-0005-0000-0000-000063660000}"/>
    <cellStyle name="Normal 3 2 9 5 2" xfId="26165" xr:uid="{00000000-0005-0000-0000-000064660000}"/>
    <cellStyle name="Normal 3 2 9 6" xfId="26166" xr:uid="{00000000-0005-0000-0000-000065660000}"/>
    <cellStyle name="Normal 3 2 9 6 2" xfId="26167" xr:uid="{00000000-0005-0000-0000-000066660000}"/>
    <cellStyle name="Normal 3 2 9 7" xfId="26168" xr:uid="{00000000-0005-0000-0000-000067660000}"/>
    <cellStyle name="Normal 3 2 9 7 2" xfId="26169" xr:uid="{00000000-0005-0000-0000-000068660000}"/>
    <cellStyle name="Normal 3 2 9 8" xfId="26170" xr:uid="{00000000-0005-0000-0000-000069660000}"/>
    <cellStyle name="Normal 3 20" xfId="26171" xr:uid="{00000000-0005-0000-0000-00006A660000}"/>
    <cellStyle name="Normal 3 20 2" xfId="26172" xr:uid="{00000000-0005-0000-0000-00006B660000}"/>
    <cellStyle name="Normal 3 21" xfId="26173" xr:uid="{00000000-0005-0000-0000-00006C660000}"/>
    <cellStyle name="Normal 3 21 2" xfId="26174" xr:uid="{00000000-0005-0000-0000-00006D660000}"/>
    <cellStyle name="Normal 3 22" xfId="26175" xr:uid="{00000000-0005-0000-0000-00006E660000}"/>
    <cellStyle name="Normal 3 23" xfId="26176" xr:uid="{00000000-0005-0000-0000-00006F660000}"/>
    <cellStyle name="Normal 3 3" xfId="26177" xr:uid="{00000000-0005-0000-0000-000070660000}"/>
    <cellStyle name="Normal 3 3 10" xfId="26178" xr:uid="{00000000-0005-0000-0000-000071660000}"/>
    <cellStyle name="Normal 3 3 2" xfId="26179" xr:uid="{00000000-0005-0000-0000-000072660000}"/>
    <cellStyle name="Normal 3 3 2 2" xfId="26180" xr:uid="{00000000-0005-0000-0000-000073660000}"/>
    <cellStyle name="Normal 3 3 2 2 2" xfId="26181" xr:uid="{00000000-0005-0000-0000-000074660000}"/>
    <cellStyle name="Normal 3 3 2 2 2 2" xfId="26182" xr:uid="{00000000-0005-0000-0000-000075660000}"/>
    <cellStyle name="Normal 3 3 2 2 2 2 2" xfId="26183" xr:uid="{00000000-0005-0000-0000-000076660000}"/>
    <cellStyle name="Normal 3 3 2 2 2 2 2 2" xfId="26184" xr:uid="{00000000-0005-0000-0000-000077660000}"/>
    <cellStyle name="Normal 3 3 2 2 2 2 2 2 2" xfId="26185" xr:uid="{00000000-0005-0000-0000-000078660000}"/>
    <cellStyle name="Normal 3 3 2 2 2 2 2 2 2 2" xfId="26186" xr:uid="{00000000-0005-0000-0000-000079660000}"/>
    <cellStyle name="Normal 3 3 2 2 2 2 2 2 2 2 2" xfId="26187" xr:uid="{00000000-0005-0000-0000-00007A660000}"/>
    <cellStyle name="Normal 3 3 2 2 2 2 2 2 2 3" xfId="26188" xr:uid="{00000000-0005-0000-0000-00007B660000}"/>
    <cellStyle name="Normal 3 3 2 2 2 2 2 2 3" xfId="26189" xr:uid="{00000000-0005-0000-0000-00007C660000}"/>
    <cellStyle name="Normal 3 3 2 2 2 2 2 2 3 2" xfId="26190" xr:uid="{00000000-0005-0000-0000-00007D660000}"/>
    <cellStyle name="Normal 3 3 2 2 2 2 2 2 4" xfId="26191" xr:uid="{00000000-0005-0000-0000-00007E660000}"/>
    <cellStyle name="Normal 3 3 2 2 2 2 2 3" xfId="26192" xr:uid="{00000000-0005-0000-0000-00007F660000}"/>
    <cellStyle name="Normal 3 3 2 2 2 2 2 3 2" xfId="26193" xr:uid="{00000000-0005-0000-0000-000080660000}"/>
    <cellStyle name="Normal 3 3 2 2 2 2 2 3 2 2" xfId="26194" xr:uid="{00000000-0005-0000-0000-000081660000}"/>
    <cellStyle name="Normal 3 3 2 2 2 2 2 3 3" xfId="26195" xr:uid="{00000000-0005-0000-0000-000082660000}"/>
    <cellStyle name="Normal 3 3 2 2 2 2 2 4" xfId="26196" xr:uid="{00000000-0005-0000-0000-000083660000}"/>
    <cellStyle name="Normal 3 3 2 2 2 2 2 4 2" xfId="26197" xr:uid="{00000000-0005-0000-0000-000084660000}"/>
    <cellStyle name="Normal 3 3 2 2 2 2 2 5" xfId="26198" xr:uid="{00000000-0005-0000-0000-000085660000}"/>
    <cellStyle name="Normal 3 3 2 2 2 2 3" xfId="26199" xr:uid="{00000000-0005-0000-0000-000086660000}"/>
    <cellStyle name="Normal 3 3 2 2 2 2 3 2" xfId="26200" xr:uid="{00000000-0005-0000-0000-000087660000}"/>
    <cellStyle name="Normal 3 3 2 2 2 2 3 2 2" xfId="26201" xr:uid="{00000000-0005-0000-0000-000088660000}"/>
    <cellStyle name="Normal 3 3 2 2 2 2 3 2 2 2" xfId="26202" xr:uid="{00000000-0005-0000-0000-000089660000}"/>
    <cellStyle name="Normal 3 3 2 2 2 2 3 2 3" xfId="26203" xr:uid="{00000000-0005-0000-0000-00008A660000}"/>
    <cellStyle name="Normal 3 3 2 2 2 2 3 3" xfId="26204" xr:uid="{00000000-0005-0000-0000-00008B660000}"/>
    <cellStyle name="Normal 3 3 2 2 2 2 3 3 2" xfId="26205" xr:uid="{00000000-0005-0000-0000-00008C660000}"/>
    <cellStyle name="Normal 3 3 2 2 2 2 3 4" xfId="26206" xr:uid="{00000000-0005-0000-0000-00008D660000}"/>
    <cellStyle name="Normal 3 3 2 2 2 2 4" xfId="26207" xr:uid="{00000000-0005-0000-0000-00008E660000}"/>
    <cellStyle name="Normal 3 3 2 2 2 2 4 2" xfId="26208" xr:uid="{00000000-0005-0000-0000-00008F660000}"/>
    <cellStyle name="Normal 3 3 2 2 2 2 4 2 2" xfId="26209" xr:uid="{00000000-0005-0000-0000-000090660000}"/>
    <cellStyle name="Normal 3 3 2 2 2 2 4 3" xfId="26210" xr:uid="{00000000-0005-0000-0000-000091660000}"/>
    <cellStyle name="Normal 3 3 2 2 2 2 5" xfId="26211" xr:uid="{00000000-0005-0000-0000-000092660000}"/>
    <cellStyle name="Normal 3 3 2 2 2 2 5 2" xfId="26212" xr:uid="{00000000-0005-0000-0000-000093660000}"/>
    <cellStyle name="Normal 3 3 2 2 2 2 6" xfId="26213" xr:uid="{00000000-0005-0000-0000-000094660000}"/>
    <cellStyle name="Normal 3 3 2 2 2 3" xfId="26214" xr:uid="{00000000-0005-0000-0000-000095660000}"/>
    <cellStyle name="Normal 3 3 2 2 2 3 2" xfId="26215" xr:uid="{00000000-0005-0000-0000-000096660000}"/>
    <cellStyle name="Normal 3 3 2 2 2 3 2 2" xfId="26216" xr:uid="{00000000-0005-0000-0000-000097660000}"/>
    <cellStyle name="Normal 3 3 2 2 2 3 2 2 2" xfId="26217" xr:uid="{00000000-0005-0000-0000-000098660000}"/>
    <cellStyle name="Normal 3 3 2 2 2 3 2 2 2 2" xfId="26218" xr:uid="{00000000-0005-0000-0000-000099660000}"/>
    <cellStyle name="Normal 3 3 2 2 2 3 2 2 3" xfId="26219" xr:uid="{00000000-0005-0000-0000-00009A660000}"/>
    <cellStyle name="Normal 3 3 2 2 2 3 2 3" xfId="26220" xr:uid="{00000000-0005-0000-0000-00009B660000}"/>
    <cellStyle name="Normal 3 3 2 2 2 3 2 3 2" xfId="26221" xr:uid="{00000000-0005-0000-0000-00009C660000}"/>
    <cellStyle name="Normal 3 3 2 2 2 3 2 4" xfId="26222" xr:uid="{00000000-0005-0000-0000-00009D660000}"/>
    <cellStyle name="Normal 3 3 2 2 2 3 3" xfId="26223" xr:uid="{00000000-0005-0000-0000-00009E660000}"/>
    <cellStyle name="Normal 3 3 2 2 2 3 3 2" xfId="26224" xr:uid="{00000000-0005-0000-0000-00009F660000}"/>
    <cellStyle name="Normal 3 3 2 2 2 3 3 2 2" xfId="26225" xr:uid="{00000000-0005-0000-0000-0000A0660000}"/>
    <cellStyle name="Normal 3 3 2 2 2 3 3 3" xfId="26226" xr:uid="{00000000-0005-0000-0000-0000A1660000}"/>
    <cellStyle name="Normal 3 3 2 2 2 3 4" xfId="26227" xr:uid="{00000000-0005-0000-0000-0000A2660000}"/>
    <cellStyle name="Normal 3 3 2 2 2 3 4 2" xfId="26228" xr:uid="{00000000-0005-0000-0000-0000A3660000}"/>
    <cellStyle name="Normal 3 3 2 2 2 3 5" xfId="26229" xr:uid="{00000000-0005-0000-0000-0000A4660000}"/>
    <cellStyle name="Normal 3 3 2 2 2 4" xfId="26230" xr:uid="{00000000-0005-0000-0000-0000A5660000}"/>
    <cellStyle name="Normal 3 3 2 2 2 4 2" xfId="26231" xr:uid="{00000000-0005-0000-0000-0000A6660000}"/>
    <cellStyle name="Normal 3 3 2 2 2 4 2 2" xfId="26232" xr:uid="{00000000-0005-0000-0000-0000A7660000}"/>
    <cellStyle name="Normal 3 3 2 2 2 4 2 2 2" xfId="26233" xr:uid="{00000000-0005-0000-0000-0000A8660000}"/>
    <cellStyle name="Normal 3 3 2 2 2 4 2 3" xfId="26234" xr:uid="{00000000-0005-0000-0000-0000A9660000}"/>
    <cellStyle name="Normal 3 3 2 2 2 4 3" xfId="26235" xr:uid="{00000000-0005-0000-0000-0000AA660000}"/>
    <cellStyle name="Normal 3 3 2 2 2 4 3 2" xfId="26236" xr:uid="{00000000-0005-0000-0000-0000AB660000}"/>
    <cellStyle name="Normal 3 3 2 2 2 4 4" xfId="26237" xr:uid="{00000000-0005-0000-0000-0000AC660000}"/>
    <cellStyle name="Normal 3 3 2 2 2 5" xfId="26238" xr:uid="{00000000-0005-0000-0000-0000AD660000}"/>
    <cellStyle name="Normal 3 3 2 2 2 5 2" xfId="26239" xr:uid="{00000000-0005-0000-0000-0000AE660000}"/>
    <cellStyle name="Normal 3 3 2 2 2 5 2 2" xfId="26240" xr:uid="{00000000-0005-0000-0000-0000AF660000}"/>
    <cellStyle name="Normal 3 3 2 2 2 5 3" xfId="26241" xr:uid="{00000000-0005-0000-0000-0000B0660000}"/>
    <cellStyle name="Normal 3 3 2 2 2 6" xfId="26242" xr:uid="{00000000-0005-0000-0000-0000B1660000}"/>
    <cellStyle name="Normal 3 3 2 2 2 6 2" xfId="26243" xr:uid="{00000000-0005-0000-0000-0000B2660000}"/>
    <cellStyle name="Normal 3 3 2 2 2 7" xfId="26244" xr:uid="{00000000-0005-0000-0000-0000B3660000}"/>
    <cellStyle name="Normal 3 3 2 2 3" xfId="26245" xr:uid="{00000000-0005-0000-0000-0000B4660000}"/>
    <cellStyle name="Normal 3 3 2 2 3 2" xfId="26246" xr:uid="{00000000-0005-0000-0000-0000B5660000}"/>
    <cellStyle name="Normal 3 3 2 2 3 2 2" xfId="26247" xr:uid="{00000000-0005-0000-0000-0000B6660000}"/>
    <cellStyle name="Normal 3 3 2 2 3 2 2 2" xfId="26248" xr:uid="{00000000-0005-0000-0000-0000B7660000}"/>
    <cellStyle name="Normal 3 3 2 2 3 2 2 2 2" xfId="26249" xr:uid="{00000000-0005-0000-0000-0000B8660000}"/>
    <cellStyle name="Normal 3 3 2 2 3 2 2 2 2 2" xfId="26250" xr:uid="{00000000-0005-0000-0000-0000B9660000}"/>
    <cellStyle name="Normal 3 3 2 2 3 2 2 2 3" xfId="26251" xr:uid="{00000000-0005-0000-0000-0000BA660000}"/>
    <cellStyle name="Normal 3 3 2 2 3 2 2 3" xfId="26252" xr:uid="{00000000-0005-0000-0000-0000BB660000}"/>
    <cellStyle name="Normal 3 3 2 2 3 2 2 3 2" xfId="26253" xr:uid="{00000000-0005-0000-0000-0000BC660000}"/>
    <cellStyle name="Normal 3 3 2 2 3 2 2 4" xfId="26254" xr:uid="{00000000-0005-0000-0000-0000BD660000}"/>
    <cellStyle name="Normal 3 3 2 2 3 2 3" xfId="26255" xr:uid="{00000000-0005-0000-0000-0000BE660000}"/>
    <cellStyle name="Normal 3 3 2 2 3 2 3 2" xfId="26256" xr:uid="{00000000-0005-0000-0000-0000BF660000}"/>
    <cellStyle name="Normal 3 3 2 2 3 2 3 2 2" xfId="26257" xr:uid="{00000000-0005-0000-0000-0000C0660000}"/>
    <cellStyle name="Normal 3 3 2 2 3 2 3 3" xfId="26258" xr:uid="{00000000-0005-0000-0000-0000C1660000}"/>
    <cellStyle name="Normal 3 3 2 2 3 2 4" xfId="26259" xr:uid="{00000000-0005-0000-0000-0000C2660000}"/>
    <cellStyle name="Normal 3 3 2 2 3 2 4 2" xfId="26260" xr:uid="{00000000-0005-0000-0000-0000C3660000}"/>
    <cellStyle name="Normal 3 3 2 2 3 2 5" xfId="26261" xr:uid="{00000000-0005-0000-0000-0000C4660000}"/>
    <cellStyle name="Normal 3 3 2 2 3 3" xfId="26262" xr:uid="{00000000-0005-0000-0000-0000C5660000}"/>
    <cellStyle name="Normal 3 3 2 2 3 3 2" xfId="26263" xr:uid="{00000000-0005-0000-0000-0000C6660000}"/>
    <cellStyle name="Normal 3 3 2 2 3 3 2 2" xfId="26264" xr:uid="{00000000-0005-0000-0000-0000C7660000}"/>
    <cellStyle name="Normal 3 3 2 2 3 3 2 2 2" xfId="26265" xr:uid="{00000000-0005-0000-0000-0000C8660000}"/>
    <cellStyle name="Normal 3 3 2 2 3 3 2 3" xfId="26266" xr:uid="{00000000-0005-0000-0000-0000C9660000}"/>
    <cellStyle name="Normal 3 3 2 2 3 3 3" xfId="26267" xr:uid="{00000000-0005-0000-0000-0000CA660000}"/>
    <cellStyle name="Normal 3 3 2 2 3 3 3 2" xfId="26268" xr:uid="{00000000-0005-0000-0000-0000CB660000}"/>
    <cellStyle name="Normal 3 3 2 2 3 3 4" xfId="26269" xr:uid="{00000000-0005-0000-0000-0000CC660000}"/>
    <cellStyle name="Normal 3 3 2 2 3 4" xfId="26270" xr:uid="{00000000-0005-0000-0000-0000CD660000}"/>
    <cellStyle name="Normal 3 3 2 2 3 4 2" xfId="26271" xr:uid="{00000000-0005-0000-0000-0000CE660000}"/>
    <cellStyle name="Normal 3 3 2 2 3 4 2 2" xfId="26272" xr:uid="{00000000-0005-0000-0000-0000CF660000}"/>
    <cellStyle name="Normal 3 3 2 2 3 4 3" xfId="26273" xr:uid="{00000000-0005-0000-0000-0000D0660000}"/>
    <cellStyle name="Normal 3 3 2 2 3 5" xfId="26274" xr:uid="{00000000-0005-0000-0000-0000D1660000}"/>
    <cellStyle name="Normal 3 3 2 2 3 5 2" xfId="26275" xr:uid="{00000000-0005-0000-0000-0000D2660000}"/>
    <cellStyle name="Normal 3 3 2 2 3 6" xfId="26276" xr:uid="{00000000-0005-0000-0000-0000D3660000}"/>
    <cellStyle name="Normal 3 3 2 2 4" xfId="26277" xr:uid="{00000000-0005-0000-0000-0000D4660000}"/>
    <cellStyle name="Normal 3 3 2 2 4 2" xfId="26278" xr:uid="{00000000-0005-0000-0000-0000D5660000}"/>
    <cellStyle name="Normal 3 3 2 2 4 2 2" xfId="26279" xr:uid="{00000000-0005-0000-0000-0000D6660000}"/>
    <cellStyle name="Normal 3 3 2 2 4 2 2 2" xfId="26280" xr:uid="{00000000-0005-0000-0000-0000D7660000}"/>
    <cellStyle name="Normal 3 3 2 2 4 2 2 2 2" xfId="26281" xr:uid="{00000000-0005-0000-0000-0000D8660000}"/>
    <cellStyle name="Normal 3 3 2 2 4 2 2 3" xfId="26282" xr:uid="{00000000-0005-0000-0000-0000D9660000}"/>
    <cellStyle name="Normal 3 3 2 2 4 2 3" xfId="26283" xr:uid="{00000000-0005-0000-0000-0000DA660000}"/>
    <cellStyle name="Normal 3 3 2 2 4 2 3 2" xfId="26284" xr:uid="{00000000-0005-0000-0000-0000DB660000}"/>
    <cellStyle name="Normal 3 3 2 2 4 2 4" xfId="26285" xr:uid="{00000000-0005-0000-0000-0000DC660000}"/>
    <cellStyle name="Normal 3 3 2 2 4 3" xfId="26286" xr:uid="{00000000-0005-0000-0000-0000DD660000}"/>
    <cellStyle name="Normal 3 3 2 2 4 3 2" xfId="26287" xr:uid="{00000000-0005-0000-0000-0000DE660000}"/>
    <cellStyle name="Normal 3 3 2 2 4 3 2 2" xfId="26288" xr:uid="{00000000-0005-0000-0000-0000DF660000}"/>
    <cellStyle name="Normal 3 3 2 2 4 3 3" xfId="26289" xr:uid="{00000000-0005-0000-0000-0000E0660000}"/>
    <cellStyle name="Normal 3 3 2 2 4 4" xfId="26290" xr:uid="{00000000-0005-0000-0000-0000E1660000}"/>
    <cellStyle name="Normal 3 3 2 2 4 4 2" xfId="26291" xr:uid="{00000000-0005-0000-0000-0000E2660000}"/>
    <cellStyle name="Normal 3 3 2 2 4 5" xfId="26292" xr:uid="{00000000-0005-0000-0000-0000E3660000}"/>
    <cellStyle name="Normal 3 3 2 2 5" xfId="26293" xr:uid="{00000000-0005-0000-0000-0000E4660000}"/>
    <cellStyle name="Normal 3 3 2 2 5 2" xfId="26294" xr:uid="{00000000-0005-0000-0000-0000E5660000}"/>
    <cellStyle name="Normal 3 3 2 2 5 2 2" xfId="26295" xr:uid="{00000000-0005-0000-0000-0000E6660000}"/>
    <cellStyle name="Normal 3 3 2 2 5 2 2 2" xfId="26296" xr:uid="{00000000-0005-0000-0000-0000E7660000}"/>
    <cellStyle name="Normal 3 3 2 2 5 2 3" xfId="26297" xr:uid="{00000000-0005-0000-0000-0000E8660000}"/>
    <cellStyle name="Normal 3 3 2 2 5 3" xfId="26298" xr:uid="{00000000-0005-0000-0000-0000E9660000}"/>
    <cellStyle name="Normal 3 3 2 2 5 3 2" xfId="26299" xr:uid="{00000000-0005-0000-0000-0000EA660000}"/>
    <cellStyle name="Normal 3 3 2 2 5 4" xfId="26300" xr:uid="{00000000-0005-0000-0000-0000EB660000}"/>
    <cellStyle name="Normal 3 3 2 2 6" xfId="26301" xr:uid="{00000000-0005-0000-0000-0000EC660000}"/>
    <cellStyle name="Normal 3 3 2 2 6 2" xfId="26302" xr:uid="{00000000-0005-0000-0000-0000ED660000}"/>
    <cellStyle name="Normal 3 3 2 2 6 2 2" xfId="26303" xr:uid="{00000000-0005-0000-0000-0000EE660000}"/>
    <cellStyle name="Normal 3 3 2 2 6 3" xfId="26304" xr:uid="{00000000-0005-0000-0000-0000EF660000}"/>
    <cellStyle name="Normal 3 3 2 2 7" xfId="26305" xr:uid="{00000000-0005-0000-0000-0000F0660000}"/>
    <cellStyle name="Normal 3 3 2 2 7 2" xfId="26306" xr:uid="{00000000-0005-0000-0000-0000F1660000}"/>
    <cellStyle name="Normal 3 3 2 2 8" xfId="26307" xr:uid="{00000000-0005-0000-0000-0000F2660000}"/>
    <cellStyle name="Normal 3 3 2 3" xfId="26308" xr:uid="{00000000-0005-0000-0000-0000F3660000}"/>
    <cellStyle name="Normal 3 3 2 3 2" xfId="26309" xr:uid="{00000000-0005-0000-0000-0000F4660000}"/>
    <cellStyle name="Normal 3 3 2 3 2 2" xfId="26310" xr:uid="{00000000-0005-0000-0000-0000F5660000}"/>
    <cellStyle name="Normal 3 3 2 3 2 2 2" xfId="26311" xr:uid="{00000000-0005-0000-0000-0000F6660000}"/>
    <cellStyle name="Normal 3 3 2 3 2 2 2 2" xfId="26312" xr:uid="{00000000-0005-0000-0000-0000F7660000}"/>
    <cellStyle name="Normal 3 3 2 3 2 2 2 2 2" xfId="26313" xr:uid="{00000000-0005-0000-0000-0000F8660000}"/>
    <cellStyle name="Normal 3 3 2 3 2 2 2 2 2 2" xfId="26314" xr:uid="{00000000-0005-0000-0000-0000F9660000}"/>
    <cellStyle name="Normal 3 3 2 3 2 2 2 2 3" xfId="26315" xr:uid="{00000000-0005-0000-0000-0000FA660000}"/>
    <cellStyle name="Normal 3 3 2 3 2 2 2 3" xfId="26316" xr:uid="{00000000-0005-0000-0000-0000FB660000}"/>
    <cellStyle name="Normal 3 3 2 3 2 2 2 3 2" xfId="26317" xr:uid="{00000000-0005-0000-0000-0000FC660000}"/>
    <cellStyle name="Normal 3 3 2 3 2 2 2 4" xfId="26318" xr:uid="{00000000-0005-0000-0000-0000FD660000}"/>
    <cellStyle name="Normal 3 3 2 3 2 2 3" xfId="26319" xr:uid="{00000000-0005-0000-0000-0000FE660000}"/>
    <cellStyle name="Normal 3 3 2 3 2 2 3 2" xfId="26320" xr:uid="{00000000-0005-0000-0000-0000FF660000}"/>
    <cellStyle name="Normal 3 3 2 3 2 2 3 2 2" xfId="26321" xr:uid="{00000000-0005-0000-0000-000000670000}"/>
    <cellStyle name="Normal 3 3 2 3 2 2 3 3" xfId="26322" xr:uid="{00000000-0005-0000-0000-000001670000}"/>
    <cellStyle name="Normal 3 3 2 3 2 2 4" xfId="26323" xr:uid="{00000000-0005-0000-0000-000002670000}"/>
    <cellStyle name="Normal 3 3 2 3 2 2 4 2" xfId="26324" xr:uid="{00000000-0005-0000-0000-000003670000}"/>
    <cellStyle name="Normal 3 3 2 3 2 2 5" xfId="26325" xr:uid="{00000000-0005-0000-0000-000004670000}"/>
    <cellStyle name="Normal 3 3 2 3 2 3" xfId="26326" xr:uid="{00000000-0005-0000-0000-000005670000}"/>
    <cellStyle name="Normal 3 3 2 3 2 3 2" xfId="26327" xr:uid="{00000000-0005-0000-0000-000006670000}"/>
    <cellStyle name="Normal 3 3 2 3 2 3 2 2" xfId="26328" xr:uid="{00000000-0005-0000-0000-000007670000}"/>
    <cellStyle name="Normal 3 3 2 3 2 3 2 2 2" xfId="26329" xr:uid="{00000000-0005-0000-0000-000008670000}"/>
    <cellStyle name="Normal 3 3 2 3 2 3 2 3" xfId="26330" xr:uid="{00000000-0005-0000-0000-000009670000}"/>
    <cellStyle name="Normal 3 3 2 3 2 3 3" xfId="26331" xr:uid="{00000000-0005-0000-0000-00000A670000}"/>
    <cellStyle name="Normal 3 3 2 3 2 3 3 2" xfId="26332" xr:uid="{00000000-0005-0000-0000-00000B670000}"/>
    <cellStyle name="Normal 3 3 2 3 2 3 4" xfId="26333" xr:uid="{00000000-0005-0000-0000-00000C670000}"/>
    <cellStyle name="Normal 3 3 2 3 2 4" xfId="26334" xr:uid="{00000000-0005-0000-0000-00000D670000}"/>
    <cellStyle name="Normal 3 3 2 3 2 4 2" xfId="26335" xr:uid="{00000000-0005-0000-0000-00000E670000}"/>
    <cellStyle name="Normal 3 3 2 3 2 4 2 2" xfId="26336" xr:uid="{00000000-0005-0000-0000-00000F670000}"/>
    <cellStyle name="Normal 3 3 2 3 2 4 3" xfId="26337" xr:uid="{00000000-0005-0000-0000-000010670000}"/>
    <cellStyle name="Normal 3 3 2 3 2 5" xfId="26338" xr:uid="{00000000-0005-0000-0000-000011670000}"/>
    <cellStyle name="Normal 3 3 2 3 2 5 2" xfId="26339" xr:uid="{00000000-0005-0000-0000-000012670000}"/>
    <cellStyle name="Normal 3 3 2 3 2 6" xfId="26340" xr:uid="{00000000-0005-0000-0000-000013670000}"/>
    <cellStyle name="Normal 3 3 2 3 3" xfId="26341" xr:uid="{00000000-0005-0000-0000-000014670000}"/>
    <cellStyle name="Normal 3 3 2 3 3 2" xfId="26342" xr:uid="{00000000-0005-0000-0000-000015670000}"/>
    <cellStyle name="Normal 3 3 2 3 3 2 2" xfId="26343" xr:uid="{00000000-0005-0000-0000-000016670000}"/>
    <cellStyle name="Normal 3 3 2 3 3 2 2 2" xfId="26344" xr:uid="{00000000-0005-0000-0000-000017670000}"/>
    <cellStyle name="Normal 3 3 2 3 3 2 2 2 2" xfId="26345" xr:uid="{00000000-0005-0000-0000-000018670000}"/>
    <cellStyle name="Normal 3 3 2 3 3 2 2 3" xfId="26346" xr:uid="{00000000-0005-0000-0000-000019670000}"/>
    <cellStyle name="Normal 3 3 2 3 3 2 3" xfId="26347" xr:uid="{00000000-0005-0000-0000-00001A670000}"/>
    <cellStyle name="Normal 3 3 2 3 3 2 3 2" xfId="26348" xr:uid="{00000000-0005-0000-0000-00001B670000}"/>
    <cellStyle name="Normal 3 3 2 3 3 2 4" xfId="26349" xr:uid="{00000000-0005-0000-0000-00001C670000}"/>
    <cellStyle name="Normal 3 3 2 3 3 3" xfId="26350" xr:uid="{00000000-0005-0000-0000-00001D670000}"/>
    <cellStyle name="Normal 3 3 2 3 3 3 2" xfId="26351" xr:uid="{00000000-0005-0000-0000-00001E670000}"/>
    <cellStyle name="Normal 3 3 2 3 3 3 2 2" xfId="26352" xr:uid="{00000000-0005-0000-0000-00001F670000}"/>
    <cellStyle name="Normal 3 3 2 3 3 3 3" xfId="26353" xr:uid="{00000000-0005-0000-0000-000020670000}"/>
    <cellStyle name="Normal 3 3 2 3 3 4" xfId="26354" xr:uid="{00000000-0005-0000-0000-000021670000}"/>
    <cellStyle name="Normal 3 3 2 3 3 4 2" xfId="26355" xr:uid="{00000000-0005-0000-0000-000022670000}"/>
    <cellStyle name="Normal 3 3 2 3 3 5" xfId="26356" xr:uid="{00000000-0005-0000-0000-000023670000}"/>
    <cellStyle name="Normal 3 3 2 3 4" xfId="26357" xr:uid="{00000000-0005-0000-0000-000024670000}"/>
    <cellStyle name="Normal 3 3 2 3 4 2" xfId="26358" xr:uid="{00000000-0005-0000-0000-000025670000}"/>
    <cellStyle name="Normal 3 3 2 3 4 2 2" xfId="26359" xr:uid="{00000000-0005-0000-0000-000026670000}"/>
    <cellStyle name="Normal 3 3 2 3 4 2 2 2" xfId="26360" xr:uid="{00000000-0005-0000-0000-000027670000}"/>
    <cellStyle name="Normal 3 3 2 3 4 2 3" xfId="26361" xr:uid="{00000000-0005-0000-0000-000028670000}"/>
    <cellStyle name="Normal 3 3 2 3 4 3" xfId="26362" xr:uid="{00000000-0005-0000-0000-000029670000}"/>
    <cellStyle name="Normal 3 3 2 3 4 3 2" xfId="26363" xr:uid="{00000000-0005-0000-0000-00002A670000}"/>
    <cellStyle name="Normal 3 3 2 3 4 4" xfId="26364" xr:uid="{00000000-0005-0000-0000-00002B670000}"/>
    <cellStyle name="Normal 3 3 2 3 5" xfId="26365" xr:uid="{00000000-0005-0000-0000-00002C670000}"/>
    <cellStyle name="Normal 3 3 2 3 5 2" xfId="26366" xr:uid="{00000000-0005-0000-0000-00002D670000}"/>
    <cellStyle name="Normal 3 3 2 3 5 2 2" xfId="26367" xr:uid="{00000000-0005-0000-0000-00002E670000}"/>
    <cellStyle name="Normal 3 3 2 3 5 3" xfId="26368" xr:uid="{00000000-0005-0000-0000-00002F670000}"/>
    <cellStyle name="Normal 3 3 2 3 6" xfId="26369" xr:uid="{00000000-0005-0000-0000-000030670000}"/>
    <cellStyle name="Normal 3 3 2 3 6 2" xfId="26370" xr:uid="{00000000-0005-0000-0000-000031670000}"/>
    <cellStyle name="Normal 3 3 2 3 7" xfId="26371" xr:uid="{00000000-0005-0000-0000-000032670000}"/>
    <cellStyle name="Normal 3 3 2 4" xfId="26372" xr:uid="{00000000-0005-0000-0000-000033670000}"/>
    <cellStyle name="Normal 3 3 2 4 2" xfId="26373" xr:uid="{00000000-0005-0000-0000-000034670000}"/>
    <cellStyle name="Normal 3 3 2 4 2 2" xfId="26374" xr:uid="{00000000-0005-0000-0000-000035670000}"/>
    <cellStyle name="Normal 3 3 2 4 2 2 2" xfId="26375" xr:uid="{00000000-0005-0000-0000-000036670000}"/>
    <cellStyle name="Normal 3 3 2 4 2 2 2 2" xfId="26376" xr:uid="{00000000-0005-0000-0000-000037670000}"/>
    <cellStyle name="Normal 3 3 2 4 2 2 2 2 2" xfId="26377" xr:uid="{00000000-0005-0000-0000-000038670000}"/>
    <cellStyle name="Normal 3 3 2 4 2 2 2 3" xfId="26378" xr:uid="{00000000-0005-0000-0000-000039670000}"/>
    <cellStyle name="Normal 3 3 2 4 2 2 3" xfId="26379" xr:uid="{00000000-0005-0000-0000-00003A670000}"/>
    <cellStyle name="Normal 3 3 2 4 2 2 3 2" xfId="26380" xr:uid="{00000000-0005-0000-0000-00003B670000}"/>
    <cellStyle name="Normal 3 3 2 4 2 2 4" xfId="26381" xr:uid="{00000000-0005-0000-0000-00003C670000}"/>
    <cellStyle name="Normal 3 3 2 4 2 3" xfId="26382" xr:uid="{00000000-0005-0000-0000-00003D670000}"/>
    <cellStyle name="Normal 3 3 2 4 2 3 2" xfId="26383" xr:uid="{00000000-0005-0000-0000-00003E670000}"/>
    <cellStyle name="Normal 3 3 2 4 2 3 2 2" xfId="26384" xr:uid="{00000000-0005-0000-0000-00003F670000}"/>
    <cellStyle name="Normal 3 3 2 4 2 3 3" xfId="26385" xr:uid="{00000000-0005-0000-0000-000040670000}"/>
    <cellStyle name="Normal 3 3 2 4 2 4" xfId="26386" xr:uid="{00000000-0005-0000-0000-000041670000}"/>
    <cellStyle name="Normal 3 3 2 4 2 4 2" xfId="26387" xr:uid="{00000000-0005-0000-0000-000042670000}"/>
    <cellStyle name="Normal 3 3 2 4 2 5" xfId="26388" xr:uid="{00000000-0005-0000-0000-000043670000}"/>
    <cellStyle name="Normal 3 3 2 4 3" xfId="26389" xr:uid="{00000000-0005-0000-0000-000044670000}"/>
    <cellStyle name="Normal 3 3 2 4 3 2" xfId="26390" xr:uid="{00000000-0005-0000-0000-000045670000}"/>
    <cellStyle name="Normal 3 3 2 4 3 2 2" xfId="26391" xr:uid="{00000000-0005-0000-0000-000046670000}"/>
    <cellStyle name="Normal 3 3 2 4 3 2 2 2" xfId="26392" xr:uid="{00000000-0005-0000-0000-000047670000}"/>
    <cellStyle name="Normal 3 3 2 4 3 2 3" xfId="26393" xr:uid="{00000000-0005-0000-0000-000048670000}"/>
    <cellStyle name="Normal 3 3 2 4 3 3" xfId="26394" xr:uid="{00000000-0005-0000-0000-000049670000}"/>
    <cellStyle name="Normal 3 3 2 4 3 3 2" xfId="26395" xr:uid="{00000000-0005-0000-0000-00004A670000}"/>
    <cellStyle name="Normal 3 3 2 4 3 4" xfId="26396" xr:uid="{00000000-0005-0000-0000-00004B670000}"/>
    <cellStyle name="Normal 3 3 2 4 4" xfId="26397" xr:uid="{00000000-0005-0000-0000-00004C670000}"/>
    <cellStyle name="Normal 3 3 2 4 4 2" xfId="26398" xr:uid="{00000000-0005-0000-0000-00004D670000}"/>
    <cellStyle name="Normal 3 3 2 4 4 2 2" xfId="26399" xr:uid="{00000000-0005-0000-0000-00004E670000}"/>
    <cellStyle name="Normal 3 3 2 4 4 3" xfId="26400" xr:uid="{00000000-0005-0000-0000-00004F670000}"/>
    <cellStyle name="Normal 3 3 2 4 5" xfId="26401" xr:uid="{00000000-0005-0000-0000-000050670000}"/>
    <cellStyle name="Normal 3 3 2 4 5 2" xfId="26402" xr:uid="{00000000-0005-0000-0000-000051670000}"/>
    <cellStyle name="Normal 3 3 2 4 6" xfId="26403" xr:uid="{00000000-0005-0000-0000-000052670000}"/>
    <cellStyle name="Normal 3 3 2 5" xfId="26404" xr:uid="{00000000-0005-0000-0000-000053670000}"/>
    <cellStyle name="Normal 3 3 2 5 2" xfId="26405" xr:uid="{00000000-0005-0000-0000-000054670000}"/>
    <cellStyle name="Normal 3 3 2 5 2 2" xfId="26406" xr:uid="{00000000-0005-0000-0000-000055670000}"/>
    <cellStyle name="Normal 3 3 2 5 2 2 2" xfId="26407" xr:uid="{00000000-0005-0000-0000-000056670000}"/>
    <cellStyle name="Normal 3 3 2 5 2 2 2 2" xfId="26408" xr:uid="{00000000-0005-0000-0000-000057670000}"/>
    <cellStyle name="Normal 3 3 2 5 2 2 3" xfId="26409" xr:uid="{00000000-0005-0000-0000-000058670000}"/>
    <cellStyle name="Normal 3 3 2 5 2 3" xfId="26410" xr:uid="{00000000-0005-0000-0000-000059670000}"/>
    <cellStyle name="Normal 3 3 2 5 2 3 2" xfId="26411" xr:uid="{00000000-0005-0000-0000-00005A670000}"/>
    <cellStyle name="Normal 3 3 2 5 2 4" xfId="26412" xr:uid="{00000000-0005-0000-0000-00005B670000}"/>
    <cellStyle name="Normal 3 3 2 5 3" xfId="26413" xr:uid="{00000000-0005-0000-0000-00005C670000}"/>
    <cellStyle name="Normal 3 3 2 5 3 2" xfId="26414" xr:uid="{00000000-0005-0000-0000-00005D670000}"/>
    <cellStyle name="Normal 3 3 2 5 3 2 2" xfId="26415" xr:uid="{00000000-0005-0000-0000-00005E670000}"/>
    <cellStyle name="Normal 3 3 2 5 3 3" xfId="26416" xr:uid="{00000000-0005-0000-0000-00005F670000}"/>
    <cellStyle name="Normal 3 3 2 5 4" xfId="26417" xr:uid="{00000000-0005-0000-0000-000060670000}"/>
    <cellStyle name="Normal 3 3 2 5 4 2" xfId="26418" xr:uid="{00000000-0005-0000-0000-000061670000}"/>
    <cellStyle name="Normal 3 3 2 5 5" xfId="26419" xr:uid="{00000000-0005-0000-0000-000062670000}"/>
    <cellStyle name="Normal 3 3 2 6" xfId="26420" xr:uid="{00000000-0005-0000-0000-000063670000}"/>
    <cellStyle name="Normal 3 3 2 6 2" xfId="26421" xr:uid="{00000000-0005-0000-0000-000064670000}"/>
    <cellStyle name="Normal 3 3 2 6 2 2" xfId="26422" xr:uid="{00000000-0005-0000-0000-000065670000}"/>
    <cellStyle name="Normal 3 3 2 6 2 2 2" xfId="26423" xr:uid="{00000000-0005-0000-0000-000066670000}"/>
    <cellStyle name="Normal 3 3 2 6 2 3" xfId="26424" xr:uid="{00000000-0005-0000-0000-000067670000}"/>
    <cellStyle name="Normal 3 3 2 6 3" xfId="26425" xr:uid="{00000000-0005-0000-0000-000068670000}"/>
    <cellStyle name="Normal 3 3 2 6 3 2" xfId="26426" xr:uid="{00000000-0005-0000-0000-000069670000}"/>
    <cellStyle name="Normal 3 3 2 6 4" xfId="26427" xr:uid="{00000000-0005-0000-0000-00006A670000}"/>
    <cellStyle name="Normal 3 3 2 7" xfId="26428" xr:uid="{00000000-0005-0000-0000-00006B670000}"/>
    <cellStyle name="Normal 3 3 2 7 2" xfId="26429" xr:uid="{00000000-0005-0000-0000-00006C670000}"/>
    <cellStyle name="Normal 3 3 2 7 2 2" xfId="26430" xr:uid="{00000000-0005-0000-0000-00006D670000}"/>
    <cellStyle name="Normal 3 3 2 7 3" xfId="26431" xr:uid="{00000000-0005-0000-0000-00006E670000}"/>
    <cellStyle name="Normal 3 3 2 8" xfId="26432" xr:uid="{00000000-0005-0000-0000-00006F670000}"/>
    <cellStyle name="Normal 3 3 2 8 2" xfId="26433" xr:uid="{00000000-0005-0000-0000-000070670000}"/>
    <cellStyle name="Normal 3 3 2 9" xfId="26434" xr:uid="{00000000-0005-0000-0000-000071670000}"/>
    <cellStyle name="Normal 3 3 3" xfId="26435" xr:uid="{00000000-0005-0000-0000-000072670000}"/>
    <cellStyle name="Normal 3 3 3 2" xfId="26436" xr:uid="{00000000-0005-0000-0000-000073670000}"/>
    <cellStyle name="Normal 3 3 3 2 2" xfId="26437" xr:uid="{00000000-0005-0000-0000-000074670000}"/>
    <cellStyle name="Normal 3 3 3 2 2 2" xfId="26438" xr:uid="{00000000-0005-0000-0000-000075670000}"/>
    <cellStyle name="Normal 3 3 3 2 2 2 2" xfId="26439" xr:uid="{00000000-0005-0000-0000-000076670000}"/>
    <cellStyle name="Normal 3 3 3 2 2 2 2 2" xfId="26440" xr:uid="{00000000-0005-0000-0000-000077670000}"/>
    <cellStyle name="Normal 3 3 3 2 2 2 2 2 2" xfId="26441" xr:uid="{00000000-0005-0000-0000-000078670000}"/>
    <cellStyle name="Normal 3 3 3 2 2 2 2 2 2 2" xfId="26442" xr:uid="{00000000-0005-0000-0000-000079670000}"/>
    <cellStyle name="Normal 3 3 3 2 2 2 2 2 3" xfId="26443" xr:uid="{00000000-0005-0000-0000-00007A670000}"/>
    <cellStyle name="Normal 3 3 3 2 2 2 2 3" xfId="26444" xr:uid="{00000000-0005-0000-0000-00007B670000}"/>
    <cellStyle name="Normal 3 3 3 2 2 2 2 3 2" xfId="26445" xr:uid="{00000000-0005-0000-0000-00007C670000}"/>
    <cellStyle name="Normal 3 3 3 2 2 2 2 4" xfId="26446" xr:uid="{00000000-0005-0000-0000-00007D670000}"/>
    <cellStyle name="Normal 3 3 3 2 2 2 3" xfId="26447" xr:uid="{00000000-0005-0000-0000-00007E670000}"/>
    <cellStyle name="Normal 3 3 3 2 2 2 3 2" xfId="26448" xr:uid="{00000000-0005-0000-0000-00007F670000}"/>
    <cellStyle name="Normal 3 3 3 2 2 2 3 2 2" xfId="26449" xr:uid="{00000000-0005-0000-0000-000080670000}"/>
    <cellStyle name="Normal 3 3 3 2 2 2 3 3" xfId="26450" xr:uid="{00000000-0005-0000-0000-000081670000}"/>
    <cellStyle name="Normal 3 3 3 2 2 2 4" xfId="26451" xr:uid="{00000000-0005-0000-0000-000082670000}"/>
    <cellStyle name="Normal 3 3 3 2 2 2 4 2" xfId="26452" xr:uid="{00000000-0005-0000-0000-000083670000}"/>
    <cellStyle name="Normal 3 3 3 2 2 2 5" xfId="26453" xr:uid="{00000000-0005-0000-0000-000084670000}"/>
    <cellStyle name="Normal 3 3 3 2 2 3" xfId="26454" xr:uid="{00000000-0005-0000-0000-000085670000}"/>
    <cellStyle name="Normal 3 3 3 2 2 3 2" xfId="26455" xr:uid="{00000000-0005-0000-0000-000086670000}"/>
    <cellStyle name="Normal 3 3 3 2 2 3 2 2" xfId="26456" xr:uid="{00000000-0005-0000-0000-000087670000}"/>
    <cellStyle name="Normal 3 3 3 2 2 3 2 2 2" xfId="26457" xr:uid="{00000000-0005-0000-0000-000088670000}"/>
    <cellStyle name="Normal 3 3 3 2 2 3 2 3" xfId="26458" xr:uid="{00000000-0005-0000-0000-000089670000}"/>
    <cellStyle name="Normal 3 3 3 2 2 3 3" xfId="26459" xr:uid="{00000000-0005-0000-0000-00008A670000}"/>
    <cellStyle name="Normal 3 3 3 2 2 3 3 2" xfId="26460" xr:uid="{00000000-0005-0000-0000-00008B670000}"/>
    <cellStyle name="Normal 3 3 3 2 2 3 4" xfId="26461" xr:uid="{00000000-0005-0000-0000-00008C670000}"/>
    <cellStyle name="Normal 3 3 3 2 2 4" xfId="26462" xr:uid="{00000000-0005-0000-0000-00008D670000}"/>
    <cellStyle name="Normal 3 3 3 2 2 4 2" xfId="26463" xr:uid="{00000000-0005-0000-0000-00008E670000}"/>
    <cellStyle name="Normal 3 3 3 2 2 4 2 2" xfId="26464" xr:uid="{00000000-0005-0000-0000-00008F670000}"/>
    <cellStyle name="Normal 3 3 3 2 2 4 3" xfId="26465" xr:uid="{00000000-0005-0000-0000-000090670000}"/>
    <cellStyle name="Normal 3 3 3 2 2 5" xfId="26466" xr:uid="{00000000-0005-0000-0000-000091670000}"/>
    <cellStyle name="Normal 3 3 3 2 2 5 2" xfId="26467" xr:uid="{00000000-0005-0000-0000-000092670000}"/>
    <cellStyle name="Normal 3 3 3 2 2 6" xfId="26468" xr:uid="{00000000-0005-0000-0000-000093670000}"/>
    <cellStyle name="Normal 3 3 3 2 3" xfId="26469" xr:uid="{00000000-0005-0000-0000-000094670000}"/>
    <cellStyle name="Normal 3 3 3 2 3 2" xfId="26470" xr:uid="{00000000-0005-0000-0000-000095670000}"/>
    <cellStyle name="Normal 3 3 3 2 3 2 2" xfId="26471" xr:uid="{00000000-0005-0000-0000-000096670000}"/>
    <cellStyle name="Normal 3 3 3 2 3 2 2 2" xfId="26472" xr:uid="{00000000-0005-0000-0000-000097670000}"/>
    <cellStyle name="Normal 3 3 3 2 3 2 2 2 2" xfId="26473" xr:uid="{00000000-0005-0000-0000-000098670000}"/>
    <cellStyle name="Normal 3 3 3 2 3 2 2 3" xfId="26474" xr:uid="{00000000-0005-0000-0000-000099670000}"/>
    <cellStyle name="Normal 3 3 3 2 3 2 3" xfId="26475" xr:uid="{00000000-0005-0000-0000-00009A670000}"/>
    <cellStyle name="Normal 3 3 3 2 3 2 3 2" xfId="26476" xr:uid="{00000000-0005-0000-0000-00009B670000}"/>
    <cellStyle name="Normal 3 3 3 2 3 2 4" xfId="26477" xr:uid="{00000000-0005-0000-0000-00009C670000}"/>
    <cellStyle name="Normal 3 3 3 2 3 3" xfId="26478" xr:uid="{00000000-0005-0000-0000-00009D670000}"/>
    <cellStyle name="Normal 3 3 3 2 3 3 2" xfId="26479" xr:uid="{00000000-0005-0000-0000-00009E670000}"/>
    <cellStyle name="Normal 3 3 3 2 3 3 2 2" xfId="26480" xr:uid="{00000000-0005-0000-0000-00009F670000}"/>
    <cellStyle name="Normal 3 3 3 2 3 3 3" xfId="26481" xr:uid="{00000000-0005-0000-0000-0000A0670000}"/>
    <cellStyle name="Normal 3 3 3 2 3 4" xfId="26482" xr:uid="{00000000-0005-0000-0000-0000A1670000}"/>
    <cellStyle name="Normal 3 3 3 2 3 4 2" xfId="26483" xr:uid="{00000000-0005-0000-0000-0000A2670000}"/>
    <cellStyle name="Normal 3 3 3 2 3 5" xfId="26484" xr:uid="{00000000-0005-0000-0000-0000A3670000}"/>
    <cellStyle name="Normal 3 3 3 2 4" xfId="26485" xr:uid="{00000000-0005-0000-0000-0000A4670000}"/>
    <cellStyle name="Normal 3 3 3 2 4 2" xfId="26486" xr:uid="{00000000-0005-0000-0000-0000A5670000}"/>
    <cellStyle name="Normal 3 3 3 2 4 2 2" xfId="26487" xr:uid="{00000000-0005-0000-0000-0000A6670000}"/>
    <cellStyle name="Normal 3 3 3 2 4 2 2 2" xfId="26488" xr:uid="{00000000-0005-0000-0000-0000A7670000}"/>
    <cellStyle name="Normal 3 3 3 2 4 2 3" xfId="26489" xr:uid="{00000000-0005-0000-0000-0000A8670000}"/>
    <cellStyle name="Normal 3 3 3 2 4 3" xfId="26490" xr:uid="{00000000-0005-0000-0000-0000A9670000}"/>
    <cellStyle name="Normal 3 3 3 2 4 3 2" xfId="26491" xr:uid="{00000000-0005-0000-0000-0000AA670000}"/>
    <cellStyle name="Normal 3 3 3 2 4 4" xfId="26492" xr:uid="{00000000-0005-0000-0000-0000AB670000}"/>
    <cellStyle name="Normal 3 3 3 2 5" xfId="26493" xr:uid="{00000000-0005-0000-0000-0000AC670000}"/>
    <cellStyle name="Normal 3 3 3 2 5 2" xfId="26494" xr:uid="{00000000-0005-0000-0000-0000AD670000}"/>
    <cellStyle name="Normal 3 3 3 2 5 2 2" xfId="26495" xr:uid="{00000000-0005-0000-0000-0000AE670000}"/>
    <cellStyle name="Normal 3 3 3 2 5 3" xfId="26496" xr:uid="{00000000-0005-0000-0000-0000AF670000}"/>
    <cellStyle name="Normal 3 3 3 2 6" xfId="26497" xr:uid="{00000000-0005-0000-0000-0000B0670000}"/>
    <cellStyle name="Normal 3 3 3 2 6 2" xfId="26498" xr:uid="{00000000-0005-0000-0000-0000B1670000}"/>
    <cellStyle name="Normal 3 3 3 2 7" xfId="26499" xr:uid="{00000000-0005-0000-0000-0000B2670000}"/>
    <cellStyle name="Normal 3 3 3 3" xfId="26500" xr:uid="{00000000-0005-0000-0000-0000B3670000}"/>
    <cellStyle name="Normal 3 3 3 3 2" xfId="26501" xr:uid="{00000000-0005-0000-0000-0000B4670000}"/>
    <cellStyle name="Normal 3 3 3 3 2 2" xfId="26502" xr:uid="{00000000-0005-0000-0000-0000B5670000}"/>
    <cellStyle name="Normal 3 3 3 3 2 2 2" xfId="26503" xr:uid="{00000000-0005-0000-0000-0000B6670000}"/>
    <cellStyle name="Normal 3 3 3 3 2 2 2 2" xfId="26504" xr:uid="{00000000-0005-0000-0000-0000B7670000}"/>
    <cellStyle name="Normal 3 3 3 3 2 2 2 2 2" xfId="26505" xr:uid="{00000000-0005-0000-0000-0000B8670000}"/>
    <cellStyle name="Normal 3 3 3 3 2 2 2 3" xfId="26506" xr:uid="{00000000-0005-0000-0000-0000B9670000}"/>
    <cellStyle name="Normal 3 3 3 3 2 2 3" xfId="26507" xr:uid="{00000000-0005-0000-0000-0000BA670000}"/>
    <cellStyle name="Normal 3 3 3 3 2 2 3 2" xfId="26508" xr:uid="{00000000-0005-0000-0000-0000BB670000}"/>
    <cellStyle name="Normal 3 3 3 3 2 2 4" xfId="26509" xr:uid="{00000000-0005-0000-0000-0000BC670000}"/>
    <cellStyle name="Normal 3 3 3 3 2 3" xfId="26510" xr:uid="{00000000-0005-0000-0000-0000BD670000}"/>
    <cellStyle name="Normal 3 3 3 3 2 3 2" xfId="26511" xr:uid="{00000000-0005-0000-0000-0000BE670000}"/>
    <cellStyle name="Normal 3 3 3 3 2 3 2 2" xfId="26512" xr:uid="{00000000-0005-0000-0000-0000BF670000}"/>
    <cellStyle name="Normal 3 3 3 3 2 3 3" xfId="26513" xr:uid="{00000000-0005-0000-0000-0000C0670000}"/>
    <cellStyle name="Normal 3 3 3 3 2 4" xfId="26514" xr:uid="{00000000-0005-0000-0000-0000C1670000}"/>
    <cellStyle name="Normal 3 3 3 3 2 4 2" xfId="26515" xr:uid="{00000000-0005-0000-0000-0000C2670000}"/>
    <cellStyle name="Normal 3 3 3 3 2 5" xfId="26516" xr:uid="{00000000-0005-0000-0000-0000C3670000}"/>
    <cellStyle name="Normal 3 3 3 3 3" xfId="26517" xr:uid="{00000000-0005-0000-0000-0000C4670000}"/>
    <cellStyle name="Normal 3 3 3 3 3 2" xfId="26518" xr:uid="{00000000-0005-0000-0000-0000C5670000}"/>
    <cellStyle name="Normal 3 3 3 3 3 2 2" xfId="26519" xr:uid="{00000000-0005-0000-0000-0000C6670000}"/>
    <cellStyle name="Normal 3 3 3 3 3 2 2 2" xfId="26520" xr:uid="{00000000-0005-0000-0000-0000C7670000}"/>
    <cellStyle name="Normal 3 3 3 3 3 2 3" xfId="26521" xr:uid="{00000000-0005-0000-0000-0000C8670000}"/>
    <cellStyle name="Normal 3 3 3 3 3 3" xfId="26522" xr:uid="{00000000-0005-0000-0000-0000C9670000}"/>
    <cellStyle name="Normal 3 3 3 3 3 3 2" xfId="26523" xr:uid="{00000000-0005-0000-0000-0000CA670000}"/>
    <cellStyle name="Normal 3 3 3 3 3 4" xfId="26524" xr:uid="{00000000-0005-0000-0000-0000CB670000}"/>
    <cellStyle name="Normal 3 3 3 3 4" xfId="26525" xr:uid="{00000000-0005-0000-0000-0000CC670000}"/>
    <cellStyle name="Normal 3 3 3 3 4 2" xfId="26526" xr:uid="{00000000-0005-0000-0000-0000CD670000}"/>
    <cellStyle name="Normal 3 3 3 3 4 2 2" xfId="26527" xr:uid="{00000000-0005-0000-0000-0000CE670000}"/>
    <cellStyle name="Normal 3 3 3 3 4 3" xfId="26528" xr:uid="{00000000-0005-0000-0000-0000CF670000}"/>
    <cellStyle name="Normal 3 3 3 3 5" xfId="26529" xr:uid="{00000000-0005-0000-0000-0000D0670000}"/>
    <cellStyle name="Normal 3 3 3 3 5 2" xfId="26530" xr:uid="{00000000-0005-0000-0000-0000D1670000}"/>
    <cellStyle name="Normal 3 3 3 3 6" xfId="26531" xr:uid="{00000000-0005-0000-0000-0000D2670000}"/>
    <cellStyle name="Normal 3 3 3 4" xfId="26532" xr:uid="{00000000-0005-0000-0000-0000D3670000}"/>
    <cellStyle name="Normal 3 3 3 4 2" xfId="26533" xr:uid="{00000000-0005-0000-0000-0000D4670000}"/>
    <cellStyle name="Normal 3 3 3 4 2 2" xfId="26534" xr:uid="{00000000-0005-0000-0000-0000D5670000}"/>
    <cellStyle name="Normal 3 3 3 4 2 2 2" xfId="26535" xr:uid="{00000000-0005-0000-0000-0000D6670000}"/>
    <cellStyle name="Normal 3 3 3 4 2 2 2 2" xfId="26536" xr:uid="{00000000-0005-0000-0000-0000D7670000}"/>
    <cellStyle name="Normal 3 3 3 4 2 2 3" xfId="26537" xr:uid="{00000000-0005-0000-0000-0000D8670000}"/>
    <cellStyle name="Normal 3 3 3 4 2 3" xfId="26538" xr:uid="{00000000-0005-0000-0000-0000D9670000}"/>
    <cellStyle name="Normal 3 3 3 4 2 3 2" xfId="26539" xr:uid="{00000000-0005-0000-0000-0000DA670000}"/>
    <cellStyle name="Normal 3 3 3 4 2 4" xfId="26540" xr:uid="{00000000-0005-0000-0000-0000DB670000}"/>
    <cellStyle name="Normal 3 3 3 4 3" xfId="26541" xr:uid="{00000000-0005-0000-0000-0000DC670000}"/>
    <cellStyle name="Normal 3 3 3 4 3 2" xfId="26542" xr:uid="{00000000-0005-0000-0000-0000DD670000}"/>
    <cellStyle name="Normal 3 3 3 4 3 2 2" xfId="26543" xr:uid="{00000000-0005-0000-0000-0000DE670000}"/>
    <cellStyle name="Normal 3 3 3 4 3 3" xfId="26544" xr:uid="{00000000-0005-0000-0000-0000DF670000}"/>
    <cellStyle name="Normal 3 3 3 4 4" xfId="26545" xr:uid="{00000000-0005-0000-0000-0000E0670000}"/>
    <cellStyle name="Normal 3 3 3 4 4 2" xfId="26546" xr:uid="{00000000-0005-0000-0000-0000E1670000}"/>
    <cellStyle name="Normal 3 3 3 4 5" xfId="26547" xr:uid="{00000000-0005-0000-0000-0000E2670000}"/>
    <cellStyle name="Normal 3 3 3 5" xfId="26548" xr:uid="{00000000-0005-0000-0000-0000E3670000}"/>
    <cellStyle name="Normal 3 3 3 5 2" xfId="26549" xr:uid="{00000000-0005-0000-0000-0000E4670000}"/>
    <cellStyle name="Normal 3 3 3 5 2 2" xfId="26550" xr:uid="{00000000-0005-0000-0000-0000E5670000}"/>
    <cellStyle name="Normal 3 3 3 5 2 2 2" xfId="26551" xr:uid="{00000000-0005-0000-0000-0000E6670000}"/>
    <cellStyle name="Normal 3 3 3 5 2 3" xfId="26552" xr:uid="{00000000-0005-0000-0000-0000E7670000}"/>
    <cellStyle name="Normal 3 3 3 5 3" xfId="26553" xr:uid="{00000000-0005-0000-0000-0000E8670000}"/>
    <cellStyle name="Normal 3 3 3 5 3 2" xfId="26554" xr:uid="{00000000-0005-0000-0000-0000E9670000}"/>
    <cellStyle name="Normal 3 3 3 5 4" xfId="26555" xr:uid="{00000000-0005-0000-0000-0000EA670000}"/>
    <cellStyle name="Normal 3 3 3 6" xfId="26556" xr:uid="{00000000-0005-0000-0000-0000EB670000}"/>
    <cellStyle name="Normal 3 3 3 6 2" xfId="26557" xr:uid="{00000000-0005-0000-0000-0000EC670000}"/>
    <cellStyle name="Normal 3 3 3 6 2 2" xfId="26558" xr:uid="{00000000-0005-0000-0000-0000ED670000}"/>
    <cellStyle name="Normal 3 3 3 6 3" xfId="26559" xr:uid="{00000000-0005-0000-0000-0000EE670000}"/>
    <cellStyle name="Normal 3 3 3 7" xfId="26560" xr:uid="{00000000-0005-0000-0000-0000EF670000}"/>
    <cellStyle name="Normal 3 3 3 7 2" xfId="26561" xr:uid="{00000000-0005-0000-0000-0000F0670000}"/>
    <cellStyle name="Normal 3 3 3 8" xfId="26562" xr:uid="{00000000-0005-0000-0000-0000F1670000}"/>
    <cellStyle name="Normal 3 3 4" xfId="26563" xr:uid="{00000000-0005-0000-0000-0000F2670000}"/>
    <cellStyle name="Normal 3 3 4 2" xfId="26564" xr:uid="{00000000-0005-0000-0000-0000F3670000}"/>
    <cellStyle name="Normal 3 3 4 2 2" xfId="26565" xr:uid="{00000000-0005-0000-0000-0000F4670000}"/>
    <cellStyle name="Normal 3 3 4 2 2 2" xfId="26566" xr:uid="{00000000-0005-0000-0000-0000F5670000}"/>
    <cellStyle name="Normal 3 3 4 2 2 2 2" xfId="26567" xr:uid="{00000000-0005-0000-0000-0000F6670000}"/>
    <cellStyle name="Normal 3 3 4 2 2 2 2 2" xfId="26568" xr:uid="{00000000-0005-0000-0000-0000F7670000}"/>
    <cellStyle name="Normal 3 3 4 2 2 2 2 2 2" xfId="26569" xr:uid="{00000000-0005-0000-0000-0000F8670000}"/>
    <cellStyle name="Normal 3 3 4 2 2 2 2 3" xfId="26570" xr:uid="{00000000-0005-0000-0000-0000F9670000}"/>
    <cellStyle name="Normal 3 3 4 2 2 2 3" xfId="26571" xr:uid="{00000000-0005-0000-0000-0000FA670000}"/>
    <cellStyle name="Normal 3 3 4 2 2 2 3 2" xfId="26572" xr:uid="{00000000-0005-0000-0000-0000FB670000}"/>
    <cellStyle name="Normal 3 3 4 2 2 2 4" xfId="26573" xr:uid="{00000000-0005-0000-0000-0000FC670000}"/>
    <cellStyle name="Normal 3 3 4 2 2 3" xfId="26574" xr:uid="{00000000-0005-0000-0000-0000FD670000}"/>
    <cellStyle name="Normal 3 3 4 2 2 3 2" xfId="26575" xr:uid="{00000000-0005-0000-0000-0000FE670000}"/>
    <cellStyle name="Normal 3 3 4 2 2 3 2 2" xfId="26576" xr:uid="{00000000-0005-0000-0000-0000FF670000}"/>
    <cellStyle name="Normal 3 3 4 2 2 3 3" xfId="26577" xr:uid="{00000000-0005-0000-0000-000000680000}"/>
    <cellStyle name="Normal 3 3 4 2 2 4" xfId="26578" xr:uid="{00000000-0005-0000-0000-000001680000}"/>
    <cellStyle name="Normal 3 3 4 2 2 4 2" xfId="26579" xr:uid="{00000000-0005-0000-0000-000002680000}"/>
    <cellStyle name="Normal 3 3 4 2 2 5" xfId="26580" xr:uid="{00000000-0005-0000-0000-000003680000}"/>
    <cellStyle name="Normal 3 3 4 2 3" xfId="26581" xr:uid="{00000000-0005-0000-0000-000004680000}"/>
    <cellStyle name="Normal 3 3 4 2 3 2" xfId="26582" xr:uid="{00000000-0005-0000-0000-000005680000}"/>
    <cellStyle name="Normal 3 3 4 2 3 2 2" xfId="26583" xr:uid="{00000000-0005-0000-0000-000006680000}"/>
    <cellStyle name="Normal 3 3 4 2 3 2 2 2" xfId="26584" xr:uid="{00000000-0005-0000-0000-000007680000}"/>
    <cellStyle name="Normal 3 3 4 2 3 2 3" xfId="26585" xr:uid="{00000000-0005-0000-0000-000008680000}"/>
    <cellStyle name="Normal 3 3 4 2 3 3" xfId="26586" xr:uid="{00000000-0005-0000-0000-000009680000}"/>
    <cellStyle name="Normal 3 3 4 2 3 3 2" xfId="26587" xr:uid="{00000000-0005-0000-0000-00000A680000}"/>
    <cellStyle name="Normal 3 3 4 2 3 4" xfId="26588" xr:uid="{00000000-0005-0000-0000-00000B680000}"/>
    <cellStyle name="Normal 3 3 4 2 4" xfId="26589" xr:uid="{00000000-0005-0000-0000-00000C680000}"/>
    <cellStyle name="Normal 3 3 4 2 4 2" xfId="26590" xr:uid="{00000000-0005-0000-0000-00000D680000}"/>
    <cellStyle name="Normal 3 3 4 2 4 2 2" xfId="26591" xr:uid="{00000000-0005-0000-0000-00000E680000}"/>
    <cellStyle name="Normal 3 3 4 2 4 3" xfId="26592" xr:uid="{00000000-0005-0000-0000-00000F680000}"/>
    <cellStyle name="Normal 3 3 4 2 5" xfId="26593" xr:uid="{00000000-0005-0000-0000-000010680000}"/>
    <cellStyle name="Normal 3 3 4 2 5 2" xfId="26594" xr:uid="{00000000-0005-0000-0000-000011680000}"/>
    <cellStyle name="Normal 3 3 4 2 6" xfId="26595" xr:uid="{00000000-0005-0000-0000-000012680000}"/>
    <cellStyle name="Normal 3 3 4 3" xfId="26596" xr:uid="{00000000-0005-0000-0000-000013680000}"/>
    <cellStyle name="Normal 3 3 4 3 2" xfId="26597" xr:uid="{00000000-0005-0000-0000-000014680000}"/>
    <cellStyle name="Normal 3 3 4 3 2 2" xfId="26598" xr:uid="{00000000-0005-0000-0000-000015680000}"/>
    <cellStyle name="Normal 3 3 4 3 2 2 2" xfId="26599" xr:uid="{00000000-0005-0000-0000-000016680000}"/>
    <cellStyle name="Normal 3 3 4 3 2 2 2 2" xfId="26600" xr:uid="{00000000-0005-0000-0000-000017680000}"/>
    <cellStyle name="Normal 3 3 4 3 2 2 3" xfId="26601" xr:uid="{00000000-0005-0000-0000-000018680000}"/>
    <cellStyle name="Normal 3 3 4 3 2 3" xfId="26602" xr:uid="{00000000-0005-0000-0000-000019680000}"/>
    <cellStyle name="Normal 3 3 4 3 2 3 2" xfId="26603" xr:uid="{00000000-0005-0000-0000-00001A680000}"/>
    <cellStyle name="Normal 3 3 4 3 2 4" xfId="26604" xr:uid="{00000000-0005-0000-0000-00001B680000}"/>
    <cellStyle name="Normal 3 3 4 3 3" xfId="26605" xr:uid="{00000000-0005-0000-0000-00001C680000}"/>
    <cellStyle name="Normal 3 3 4 3 3 2" xfId="26606" xr:uid="{00000000-0005-0000-0000-00001D680000}"/>
    <cellStyle name="Normal 3 3 4 3 3 2 2" xfId="26607" xr:uid="{00000000-0005-0000-0000-00001E680000}"/>
    <cellStyle name="Normal 3 3 4 3 3 3" xfId="26608" xr:uid="{00000000-0005-0000-0000-00001F680000}"/>
    <cellStyle name="Normal 3 3 4 3 4" xfId="26609" xr:uid="{00000000-0005-0000-0000-000020680000}"/>
    <cellStyle name="Normal 3 3 4 3 4 2" xfId="26610" xr:uid="{00000000-0005-0000-0000-000021680000}"/>
    <cellStyle name="Normal 3 3 4 3 5" xfId="26611" xr:uid="{00000000-0005-0000-0000-000022680000}"/>
    <cellStyle name="Normal 3 3 4 4" xfId="26612" xr:uid="{00000000-0005-0000-0000-000023680000}"/>
    <cellStyle name="Normal 3 3 4 4 2" xfId="26613" xr:uid="{00000000-0005-0000-0000-000024680000}"/>
    <cellStyle name="Normal 3 3 4 4 2 2" xfId="26614" xr:uid="{00000000-0005-0000-0000-000025680000}"/>
    <cellStyle name="Normal 3 3 4 4 2 2 2" xfId="26615" xr:uid="{00000000-0005-0000-0000-000026680000}"/>
    <cellStyle name="Normal 3 3 4 4 2 3" xfId="26616" xr:uid="{00000000-0005-0000-0000-000027680000}"/>
    <cellStyle name="Normal 3 3 4 4 3" xfId="26617" xr:uid="{00000000-0005-0000-0000-000028680000}"/>
    <cellStyle name="Normal 3 3 4 4 3 2" xfId="26618" xr:uid="{00000000-0005-0000-0000-000029680000}"/>
    <cellStyle name="Normal 3 3 4 4 4" xfId="26619" xr:uid="{00000000-0005-0000-0000-00002A680000}"/>
    <cellStyle name="Normal 3 3 4 5" xfId="26620" xr:uid="{00000000-0005-0000-0000-00002B680000}"/>
    <cellStyle name="Normal 3 3 4 5 2" xfId="26621" xr:uid="{00000000-0005-0000-0000-00002C680000}"/>
    <cellStyle name="Normal 3 3 4 5 2 2" xfId="26622" xr:uid="{00000000-0005-0000-0000-00002D680000}"/>
    <cellStyle name="Normal 3 3 4 5 3" xfId="26623" xr:uid="{00000000-0005-0000-0000-00002E680000}"/>
    <cellStyle name="Normal 3 3 4 6" xfId="26624" xr:uid="{00000000-0005-0000-0000-00002F680000}"/>
    <cellStyle name="Normal 3 3 4 6 2" xfId="26625" xr:uid="{00000000-0005-0000-0000-000030680000}"/>
    <cellStyle name="Normal 3 3 4 7" xfId="26626" xr:uid="{00000000-0005-0000-0000-000031680000}"/>
    <cellStyle name="Normal 3 3 5" xfId="26627" xr:uid="{00000000-0005-0000-0000-000032680000}"/>
    <cellStyle name="Normal 3 3 5 2" xfId="26628" xr:uid="{00000000-0005-0000-0000-000033680000}"/>
    <cellStyle name="Normal 3 3 5 2 2" xfId="26629" xr:uid="{00000000-0005-0000-0000-000034680000}"/>
    <cellStyle name="Normal 3 3 5 2 2 2" xfId="26630" xr:uid="{00000000-0005-0000-0000-000035680000}"/>
    <cellStyle name="Normal 3 3 5 2 2 2 2" xfId="26631" xr:uid="{00000000-0005-0000-0000-000036680000}"/>
    <cellStyle name="Normal 3 3 5 2 2 2 2 2" xfId="26632" xr:uid="{00000000-0005-0000-0000-000037680000}"/>
    <cellStyle name="Normal 3 3 5 2 2 2 3" xfId="26633" xr:uid="{00000000-0005-0000-0000-000038680000}"/>
    <cellStyle name="Normal 3 3 5 2 2 3" xfId="26634" xr:uid="{00000000-0005-0000-0000-000039680000}"/>
    <cellStyle name="Normal 3 3 5 2 2 3 2" xfId="26635" xr:uid="{00000000-0005-0000-0000-00003A680000}"/>
    <cellStyle name="Normal 3 3 5 2 2 4" xfId="26636" xr:uid="{00000000-0005-0000-0000-00003B680000}"/>
    <cellStyle name="Normal 3 3 5 2 3" xfId="26637" xr:uid="{00000000-0005-0000-0000-00003C680000}"/>
    <cellStyle name="Normal 3 3 5 2 3 2" xfId="26638" xr:uid="{00000000-0005-0000-0000-00003D680000}"/>
    <cellStyle name="Normal 3 3 5 2 3 2 2" xfId="26639" xr:uid="{00000000-0005-0000-0000-00003E680000}"/>
    <cellStyle name="Normal 3 3 5 2 3 3" xfId="26640" xr:uid="{00000000-0005-0000-0000-00003F680000}"/>
    <cellStyle name="Normal 3 3 5 2 4" xfId="26641" xr:uid="{00000000-0005-0000-0000-000040680000}"/>
    <cellStyle name="Normal 3 3 5 2 4 2" xfId="26642" xr:uid="{00000000-0005-0000-0000-000041680000}"/>
    <cellStyle name="Normal 3 3 5 2 5" xfId="26643" xr:uid="{00000000-0005-0000-0000-000042680000}"/>
    <cellStyle name="Normal 3 3 5 3" xfId="26644" xr:uid="{00000000-0005-0000-0000-000043680000}"/>
    <cellStyle name="Normal 3 3 5 3 2" xfId="26645" xr:uid="{00000000-0005-0000-0000-000044680000}"/>
    <cellStyle name="Normal 3 3 5 3 2 2" xfId="26646" xr:uid="{00000000-0005-0000-0000-000045680000}"/>
    <cellStyle name="Normal 3 3 5 3 2 2 2" xfId="26647" xr:uid="{00000000-0005-0000-0000-000046680000}"/>
    <cellStyle name="Normal 3 3 5 3 2 3" xfId="26648" xr:uid="{00000000-0005-0000-0000-000047680000}"/>
    <cellStyle name="Normal 3 3 5 3 3" xfId="26649" xr:uid="{00000000-0005-0000-0000-000048680000}"/>
    <cellStyle name="Normal 3 3 5 3 3 2" xfId="26650" xr:uid="{00000000-0005-0000-0000-000049680000}"/>
    <cellStyle name="Normal 3 3 5 3 4" xfId="26651" xr:uid="{00000000-0005-0000-0000-00004A680000}"/>
    <cellStyle name="Normal 3 3 5 4" xfId="26652" xr:uid="{00000000-0005-0000-0000-00004B680000}"/>
    <cellStyle name="Normal 3 3 5 4 2" xfId="26653" xr:uid="{00000000-0005-0000-0000-00004C680000}"/>
    <cellStyle name="Normal 3 3 5 4 2 2" xfId="26654" xr:uid="{00000000-0005-0000-0000-00004D680000}"/>
    <cellStyle name="Normal 3 3 5 4 3" xfId="26655" xr:uid="{00000000-0005-0000-0000-00004E680000}"/>
    <cellStyle name="Normal 3 3 5 5" xfId="26656" xr:uid="{00000000-0005-0000-0000-00004F680000}"/>
    <cellStyle name="Normal 3 3 5 5 2" xfId="26657" xr:uid="{00000000-0005-0000-0000-000050680000}"/>
    <cellStyle name="Normal 3 3 5 6" xfId="26658" xr:uid="{00000000-0005-0000-0000-000051680000}"/>
    <cellStyle name="Normal 3 3 6" xfId="26659" xr:uid="{00000000-0005-0000-0000-000052680000}"/>
    <cellStyle name="Normal 3 3 6 2" xfId="26660" xr:uid="{00000000-0005-0000-0000-000053680000}"/>
    <cellStyle name="Normal 3 3 6 2 2" xfId="26661" xr:uid="{00000000-0005-0000-0000-000054680000}"/>
    <cellStyle name="Normal 3 3 6 2 2 2" xfId="26662" xr:uid="{00000000-0005-0000-0000-000055680000}"/>
    <cellStyle name="Normal 3 3 6 2 2 2 2" xfId="26663" xr:uid="{00000000-0005-0000-0000-000056680000}"/>
    <cellStyle name="Normal 3 3 6 2 2 3" xfId="26664" xr:uid="{00000000-0005-0000-0000-000057680000}"/>
    <cellStyle name="Normal 3 3 6 2 3" xfId="26665" xr:uid="{00000000-0005-0000-0000-000058680000}"/>
    <cellStyle name="Normal 3 3 6 2 3 2" xfId="26666" xr:uid="{00000000-0005-0000-0000-000059680000}"/>
    <cellStyle name="Normal 3 3 6 2 4" xfId="26667" xr:uid="{00000000-0005-0000-0000-00005A680000}"/>
    <cellStyle name="Normal 3 3 6 3" xfId="26668" xr:uid="{00000000-0005-0000-0000-00005B680000}"/>
    <cellStyle name="Normal 3 3 6 3 2" xfId="26669" xr:uid="{00000000-0005-0000-0000-00005C680000}"/>
    <cellStyle name="Normal 3 3 6 3 2 2" xfId="26670" xr:uid="{00000000-0005-0000-0000-00005D680000}"/>
    <cellStyle name="Normal 3 3 6 3 3" xfId="26671" xr:uid="{00000000-0005-0000-0000-00005E680000}"/>
    <cellStyle name="Normal 3 3 6 4" xfId="26672" xr:uid="{00000000-0005-0000-0000-00005F680000}"/>
    <cellStyle name="Normal 3 3 6 4 2" xfId="26673" xr:uid="{00000000-0005-0000-0000-000060680000}"/>
    <cellStyle name="Normal 3 3 6 5" xfId="26674" xr:uid="{00000000-0005-0000-0000-000061680000}"/>
    <cellStyle name="Normal 3 3 7" xfId="26675" xr:uid="{00000000-0005-0000-0000-000062680000}"/>
    <cellStyle name="Normal 3 3 7 2" xfId="26676" xr:uid="{00000000-0005-0000-0000-000063680000}"/>
    <cellStyle name="Normal 3 3 7 2 2" xfId="26677" xr:uid="{00000000-0005-0000-0000-000064680000}"/>
    <cellStyle name="Normal 3 3 7 2 2 2" xfId="26678" xr:uid="{00000000-0005-0000-0000-000065680000}"/>
    <cellStyle name="Normal 3 3 7 2 3" xfId="26679" xr:uid="{00000000-0005-0000-0000-000066680000}"/>
    <cellStyle name="Normal 3 3 7 3" xfId="26680" xr:uid="{00000000-0005-0000-0000-000067680000}"/>
    <cellStyle name="Normal 3 3 7 3 2" xfId="26681" xr:uid="{00000000-0005-0000-0000-000068680000}"/>
    <cellStyle name="Normal 3 3 7 4" xfId="26682" xr:uid="{00000000-0005-0000-0000-000069680000}"/>
    <cellStyle name="Normal 3 3 8" xfId="26683" xr:uid="{00000000-0005-0000-0000-00006A680000}"/>
    <cellStyle name="Normal 3 3 8 2" xfId="26684" xr:uid="{00000000-0005-0000-0000-00006B680000}"/>
    <cellStyle name="Normal 3 3 8 2 2" xfId="26685" xr:uid="{00000000-0005-0000-0000-00006C680000}"/>
    <cellStyle name="Normal 3 3 8 3" xfId="26686" xr:uid="{00000000-0005-0000-0000-00006D680000}"/>
    <cellStyle name="Normal 3 3 9" xfId="26687" xr:uid="{00000000-0005-0000-0000-00006E680000}"/>
    <cellStyle name="Normal 3 3 9 2" xfId="26688" xr:uid="{00000000-0005-0000-0000-00006F680000}"/>
    <cellStyle name="Normal 3 4" xfId="26689" xr:uid="{00000000-0005-0000-0000-000070680000}"/>
    <cellStyle name="Normal 3 4 2" xfId="26690" xr:uid="{00000000-0005-0000-0000-000071680000}"/>
    <cellStyle name="Normal 3 4 2 2" xfId="26691" xr:uid="{00000000-0005-0000-0000-000072680000}"/>
    <cellStyle name="Normal 3 4 2 2 2" xfId="26692" xr:uid="{00000000-0005-0000-0000-000073680000}"/>
    <cellStyle name="Normal 3 4 2 2 2 2" xfId="26693" xr:uid="{00000000-0005-0000-0000-000074680000}"/>
    <cellStyle name="Normal 3 4 2 2 2 2 2" xfId="26694" xr:uid="{00000000-0005-0000-0000-000075680000}"/>
    <cellStyle name="Normal 3 4 2 2 2 2 2 2" xfId="26695" xr:uid="{00000000-0005-0000-0000-000076680000}"/>
    <cellStyle name="Normal 3 4 2 2 2 2 2 2 2" xfId="26696" xr:uid="{00000000-0005-0000-0000-000077680000}"/>
    <cellStyle name="Normal 3 4 2 2 2 2 2 2 2 2" xfId="26697" xr:uid="{00000000-0005-0000-0000-000078680000}"/>
    <cellStyle name="Normal 3 4 2 2 2 2 2 2 3" xfId="26698" xr:uid="{00000000-0005-0000-0000-000079680000}"/>
    <cellStyle name="Normal 3 4 2 2 2 2 2 3" xfId="26699" xr:uid="{00000000-0005-0000-0000-00007A680000}"/>
    <cellStyle name="Normal 3 4 2 2 2 2 2 3 2" xfId="26700" xr:uid="{00000000-0005-0000-0000-00007B680000}"/>
    <cellStyle name="Normal 3 4 2 2 2 2 2 4" xfId="26701" xr:uid="{00000000-0005-0000-0000-00007C680000}"/>
    <cellStyle name="Normal 3 4 2 2 2 2 3" xfId="26702" xr:uid="{00000000-0005-0000-0000-00007D680000}"/>
    <cellStyle name="Normal 3 4 2 2 2 2 3 2" xfId="26703" xr:uid="{00000000-0005-0000-0000-00007E680000}"/>
    <cellStyle name="Normal 3 4 2 2 2 2 3 2 2" xfId="26704" xr:uid="{00000000-0005-0000-0000-00007F680000}"/>
    <cellStyle name="Normal 3 4 2 2 2 2 3 3" xfId="26705" xr:uid="{00000000-0005-0000-0000-000080680000}"/>
    <cellStyle name="Normal 3 4 2 2 2 2 4" xfId="26706" xr:uid="{00000000-0005-0000-0000-000081680000}"/>
    <cellStyle name="Normal 3 4 2 2 2 2 4 2" xfId="26707" xr:uid="{00000000-0005-0000-0000-000082680000}"/>
    <cellStyle name="Normal 3 4 2 2 2 2 5" xfId="26708" xr:uid="{00000000-0005-0000-0000-000083680000}"/>
    <cellStyle name="Normal 3 4 2 2 2 3" xfId="26709" xr:uid="{00000000-0005-0000-0000-000084680000}"/>
    <cellStyle name="Normal 3 4 2 2 2 3 2" xfId="26710" xr:uid="{00000000-0005-0000-0000-000085680000}"/>
    <cellStyle name="Normal 3 4 2 2 2 3 2 2" xfId="26711" xr:uid="{00000000-0005-0000-0000-000086680000}"/>
    <cellStyle name="Normal 3 4 2 2 2 3 2 2 2" xfId="26712" xr:uid="{00000000-0005-0000-0000-000087680000}"/>
    <cellStyle name="Normal 3 4 2 2 2 3 2 3" xfId="26713" xr:uid="{00000000-0005-0000-0000-000088680000}"/>
    <cellStyle name="Normal 3 4 2 2 2 3 3" xfId="26714" xr:uid="{00000000-0005-0000-0000-000089680000}"/>
    <cellStyle name="Normal 3 4 2 2 2 3 3 2" xfId="26715" xr:uid="{00000000-0005-0000-0000-00008A680000}"/>
    <cellStyle name="Normal 3 4 2 2 2 3 4" xfId="26716" xr:uid="{00000000-0005-0000-0000-00008B680000}"/>
    <cellStyle name="Normal 3 4 2 2 2 4" xfId="26717" xr:uid="{00000000-0005-0000-0000-00008C680000}"/>
    <cellStyle name="Normal 3 4 2 2 2 4 2" xfId="26718" xr:uid="{00000000-0005-0000-0000-00008D680000}"/>
    <cellStyle name="Normal 3 4 2 2 2 4 2 2" xfId="26719" xr:uid="{00000000-0005-0000-0000-00008E680000}"/>
    <cellStyle name="Normal 3 4 2 2 2 4 3" xfId="26720" xr:uid="{00000000-0005-0000-0000-00008F680000}"/>
    <cellStyle name="Normal 3 4 2 2 2 5" xfId="26721" xr:uid="{00000000-0005-0000-0000-000090680000}"/>
    <cellStyle name="Normal 3 4 2 2 2 5 2" xfId="26722" xr:uid="{00000000-0005-0000-0000-000091680000}"/>
    <cellStyle name="Normal 3 4 2 2 2 6" xfId="26723" xr:uid="{00000000-0005-0000-0000-000092680000}"/>
    <cellStyle name="Normal 3 4 2 2 3" xfId="26724" xr:uid="{00000000-0005-0000-0000-000093680000}"/>
    <cellStyle name="Normal 3 4 2 2 3 2" xfId="26725" xr:uid="{00000000-0005-0000-0000-000094680000}"/>
    <cellStyle name="Normal 3 4 2 2 3 2 2" xfId="26726" xr:uid="{00000000-0005-0000-0000-000095680000}"/>
    <cellStyle name="Normal 3 4 2 2 3 2 2 2" xfId="26727" xr:uid="{00000000-0005-0000-0000-000096680000}"/>
    <cellStyle name="Normal 3 4 2 2 3 2 2 2 2" xfId="26728" xr:uid="{00000000-0005-0000-0000-000097680000}"/>
    <cellStyle name="Normal 3 4 2 2 3 2 2 3" xfId="26729" xr:uid="{00000000-0005-0000-0000-000098680000}"/>
    <cellStyle name="Normal 3 4 2 2 3 2 3" xfId="26730" xr:uid="{00000000-0005-0000-0000-000099680000}"/>
    <cellStyle name="Normal 3 4 2 2 3 2 3 2" xfId="26731" xr:uid="{00000000-0005-0000-0000-00009A680000}"/>
    <cellStyle name="Normal 3 4 2 2 3 2 4" xfId="26732" xr:uid="{00000000-0005-0000-0000-00009B680000}"/>
    <cellStyle name="Normal 3 4 2 2 3 3" xfId="26733" xr:uid="{00000000-0005-0000-0000-00009C680000}"/>
    <cellStyle name="Normal 3 4 2 2 3 3 2" xfId="26734" xr:uid="{00000000-0005-0000-0000-00009D680000}"/>
    <cellStyle name="Normal 3 4 2 2 3 3 2 2" xfId="26735" xr:uid="{00000000-0005-0000-0000-00009E680000}"/>
    <cellStyle name="Normal 3 4 2 2 3 3 3" xfId="26736" xr:uid="{00000000-0005-0000-0000-00009F680000}"/>
    <cellStyle name="Normal 3 4 2 2 3 4" xfId="26737" xr:uid="{00000000-0005-0000-0000-0000A0680000}"/>
    <cellStyle name="Normal 3 4 2 2 3 4 2" xfId="26738" xr:uid="{00000000-0005-0000-0000-0000A1680000}"/>
    <cellStyle name="Normal 3 4 2 2 3 5" xfId="26739" xr:uid="{00000000-0005-0000-0000-0000A2680000}"/>
    <cellStyle name="Normal 3 4 2 2 4" xfId="26740" xr:uid="{00000000-0005-0000-0000-0000A3680000}"/>
    <cellStyle name="Normal 3 4 2 2 4 2" xfId="26741" xr:uid="{00000000-0005-0000-0000-0000A4680000}"/>
    <cellStyle name="Normal 3 4 2 2 4 2 2" xfId="26742" xr:uid="{00000000-0005-0000-0000-0000A5680000}"/>
    <cellStyle name="Normal 3 4 2 2 4 2 2 2" xfId="26743" xr:uid="{00000000-0005-0000-0000-0000A6680000}"/>
    <cellStyle name="Normal 3 4 2 2 4 2 3" xfId="26744" xr:uid="{00000000-0005-0000-0000-0000A7680000}"/>
    <cellStyle name="Normal 3 4 2 2 4 3" xfId="26745" xr:uid="{00000000-0005-0000-0000-0000A8680000}"/>
    <cellStyle name="Normal 3 4 2 2 4 3 2" xfId="26746" xr:uid="{00000000-0005-0000-0000-0000A9680000}"/>
    <cellStyle name="Normal 3 4 2 2 4 4" xfId="26747" xr:uid="{00000000-0005-0000-0000-0000AA680000}"/>
    <cellStyle name="Normal 3 4 2 2 5" xfId="26748" xr:uid="{00000000-0005-0000-0000-0000AB680000}"/>
    <cellStyle name="Normal 3 4 2 2 5 2" xfId="26749" xr:uid="{00000000-0005-0000-0000-0000AC680000}"/>
    <cellStyle name="Normal 3 4 2 2 5 2 2" xfId="26750" xr:uid="{00000000-0005-0000-0000-0000AD680000}"/>
    <cellStyle name="Normal 3 4 2 2 5 3" xfId="26751" xr:uid="{00000000-0005-0000-0000-0000AE680000}"/>
    <cellStyle name="Normal 3 4 2 2 6" xfId="26752" xr:uid="{00000000-0005-0000-0000-0000AF680000}"/>
    <cellStyle name="Normal 3 4 2 2 6 2" xfId="26753" xr:uid="{00000000-0005-0000-0000-0000B0680000}"/>
    <cellStyle name="Normal 3 4 2 2 7" xfId="26754" xr:uid="{00000000-0005-0000-0000-0000B1680000}"/>
    <cellStyle name="Normal 3 4 2 3" xfId="26755" xr:uid="{00000000-0005-0000-0000-0000B2680000}"/>
    <cellStyle name="Normal 3 4 2 3 2" xfId="26756" xr:uid="{00000000-0005-0000-0000-0000B3680000}"/>
    <cellStyle name="Normal 3 4 2 3 2 2" xfId="26757" xr:uid="{00000000-0005-0000-0000-0000B4680000}"/>
    <cellStyle name="Normal 3 4 2 3 2 2 2" xfId="26758" xr:uid="{00000000-0005-0000-0000-0000B5680000}"/>
    <cellStyle name="Normal 3 4 2 3 2 2 2 2" xfId="26759" xr:uid="{00000000-0005-0000-0000-0000B6680000}"/>
    <cellStyle name="Normal 3 4 2 3 2 2 2 2 2" xfId="26760" xr:uid="{00000000-0005-0000-0000-0000B7680000}"/>
    <cellStyle name="Normal 3 4 2 3 2 2 2 3" xfId="26761" xr:uid="{00000000-0005-0000-0000-0000B8680000}"/>
    <cellStyle name="Normal 3 4 2 3 2 2 3" xfId="26762" xr:uid="{00000000-0005-0000-0000-0000B9680000}"/>
    <cellStyle name="Normal 3 4 2 3 2 2 3 2" xfId="26763" xr:uid="{00000000-0005-0000-0000-0000BA680000}"/>
    <cellStyle name="Normal 3 4 2 3 2 2 4" xfId="26764" xr:uid="{00000000-0005-0000-0000-0000BB680000}"/>
    <cellStyle name="Normal 3 4 2 3 2 3" xfId="26765" xr:uid="{00000000-0005-0000-0000-0000BC680000}"/>
    <cellStyle name="Normal 3 4 2 3 2 3 2" xfId="26766" xr:uid="{00000000-0005-0000-0000-0000BD680000}"/>
    <cellStyle name="Normal 3 4 2 3 2 3 2 2" xfId="26767" xr:uid="{00000000-0005-0000-0000-0000BE680000}"/>
    <cellStyle name="Normal 3 4 2 3 2 3 3" xfId="26768" xr:uid="{00000000-0005-0000-0000-0000BF680000}"/>
    <cellStyle name="Normal 3 4 2 3 2 4" xfId="26769" xr:uid="{00000000-0005-0000-0000-0000C0680000}"/>
    <cellStyle name="Normal 3 4 2 3 2 4 2" xfId="26770" xr:uid="{00000000-0005-0000-0000-0000C1680000}"/>
    <cellStyle name="Normal 3 4 2 3 2 5" xfId="26771" xr:uid="{00000000-0005-0000-0000-0000C2680000}"/>
    <cellStyle name="Normal 3 4 2 3 3" xfId="26772" xr:uid="{00000000-0005-0000-0000-0000C3680000}"/>
    <cellStyle name="Normal 3 4 2 3 3 2" xfId="26773" xr:uid="{00000000-0005-0000-0000-0000C4680000}"/>
    <cellStyle name="Normal 3 4 2 3 3 2 2" xfId="26774" xr:uid="{00000000-0005-0000-0000-0000C5680000}"/>
    <cellStyle name="Normal 3 4 2 3 3 2 2 2" xfId="26775" xr:uid="{00000000-0005-0000-0000-0000C6680000}"/>
    <cellStyle name="Normal 3 4 2 3 3 2 3" xfId="26776" xr:uid="{00000000-0005-0000-0000-0000C7680000}"/>
    <cellStyle name="Normal 3 4 2 3 3 3" xfId="26777" xr:uid="{00000000-0005-0000-0000-0000C8680000}"/>
    <cellStyle name="Normal 3 4 2 3 3 3 2" xfId="26778" xr:uid="{00000000-0005-0000-0000-0000C9680000}"/>
    <cellStyle name="Normal 3 4 2 3 3 4" xfId="26779" xr:uid="{00000000-0005-0000-0000-0000CA680000}"/>
    <cellStyle name="Normal 3 4 2 3 4" xfId="26780" xr:uid="{00000000-0005-0000-0000-0000CB680000}"/>
    <cellStyle name="Normal 3 4 2 3 4 2" xfId="26781" xr:uid="{00000000-0005-0000-0000-0000CC680000}"/>
    <cellStyle name="Normal 3 4 2 3 4 2 2" xfId="26782" xr:uid="{00000000-0005-0000-0000-0000CD680000}"/>
    <cellStyle name="Normal 3 4 2 3 4 3" xfId="26783" xr:uid="{00000000-0005-0000-0000-0000CE680000}"/>
    <cellStyle name="Normal 3 4 2 3 5" xfId="26784" xr:uid="{00000000-0005-0000-0000-0000CF680000}"/>
    <cellStyle name="Normal 3 4 2 3 5 2" xfId="26785" xr:uid="{00000000-0005-0000-0000-0000D0680000}"/>
    <cellStyle name="Normal 3 4 2 3 6" xfId="26786" xr:uid="{00000000-0005-0000-0000-0000D1680000}"/>
    <cellStyle name="Normal 3 4 2 4" xfId="26787" xr:uid="{00000000-0005-0000-0000-0000D2680000}"/>
    <cellStyle name="Normal 3 4 2 4 2" xfId="26788" xr:uid="{00000000-0005-0000-0000-0000D3680000}"/>
    <cellStyle name="Normal 3 4 2 4 2 2" xfId="26789" xr:uid="{00000000-0005-0000-0000-0000D4680000}"/>
    <cellStyle name="Normal 3 4 2 4 2 2 2" xfId="26790" xr:uid="{00000000-0005-0000-0000-0000D5680000}"/>
    <cellStyle name="Normal 3 4 2 4 2 2 2 2" xfId="26791" xr:uid="{00000000-0005-0000-0000-0000D6680000}"/>
    <cellStyle name="Normal 3 4 2 4 2 2 3" xfId="26792" xr:uid="{00000000-0005-0000-0000-0000D7680000}"/>
    <cellStyle name="Normal 3 4 2 4 2 3" xfId="26793" xr:uid="{00000000-0005-0000-0000-0000D8680000}"/>
    <cellStyle name="Normal 3 4 2 4 2 3 2" xfId="26794" xr:uid="{00000000-0005-0000-0000-0000D9680000}"/>
    <cellStyle name="Normal 3 4 2 4 2 4" xfId="26795" xr:uid="{00000000-0005-0000-0000-0000DA680000}"/>
    <cellStyle name="Normal 3 4 2 4 3" xfId="26796" xr:uid="{00000000-0005-0000-0000-0000DB680000}"/>
    <cellStyle name="Normal 3 4 2 4 3 2" xfId="26797" xr:uid="{00000000-0005-0000-0000-0000DC680000}"/>
    <cellStyle name="Normal 3 4 2 4 3 2 2" xfId="26798" xr:uid="{00000000-0005-0000-0000-0000DD680000}"/>
    <cellStyle name="Normal 3 4 2 4 3 3" xfId="26799" xr:uid="{00000000-0005-0000-0000-0000DE680000}"/>
    <cellStyle name="Normal 3 4 2 4 4" xfId="26800" xr:uid="{00000000-0005-0000-0000-0000DF680000}"/>
    <cellStyle name="Normal 3 4 2 4 4 2" xfId="26801" xr:uid="{00000000-0005-0000-0000-0000E0680000}"/>
    <cellStyle name="Normal 3 4 2 4 5" xfId="26802" xr:uid="{00000000-0005-0000-0000-0000E1680000}"/>
    <cellStyle name="Normal 3 4 2 5" xfId="26803" xr:uid="{00000000-0005-0000-0000-0000E2680000}"/>
    <cellStyle name="Normal 3 4 2 5 2" xfId="26804" xr:uid="{00000000-0005-0000-0000-0000E3680000}"/>
    <cellStyle name="Normal 3 4 2 5 2 2" xfId="26805" xr:uid="{00000000-0005-0000-0000-0000E4680000}"/>
    <cellStyle name="Normal 3 4 2 5 2 2 2" xfId="26806" xr:uid="{00000000-0005-0000-0000-0000E5680000}"/>
    <cellStyle name="Normal 3 4 2 5 2 3" xfId="26807" xr:uid="{00000000-0005-0000-0000-0000E6680000}"/>
    <cellStyle name="Normal 3 4 2 5 3" xfId="26808" xr:uid="{00000000-0005-0000-0000-0000E7680000}"/>
    <cellStyle name="Normal 3 4 2 5 3 2" xfId="26809" xr:uid="{00000000-0005-0000-0000-0000E8680000}"/>
    <cellStyle name="Normal 3 4 2 5 4" xfId="26810" xr:uid="{00000000-0005-0000-0000-0000E9680000}"/>
    <cellStyle name="Normal 3 4 2 6" xfId="26811" xr:uid="{00000000-0005-0000-0000-0000EA680000}"/>
    <cellStyle name="Normal 3 4 2 6 2" xfId="26812" xr:uid="{00000000-0005-0000-0000-0000EB680000}"/>
    <cellStyle name="Normal 3 4 2 6 2 2" xfId="26813" xr:uid="{00000000-0005-0000-0000-0000EC680000}"/>
    <cellStyle name="Normal 3 4 2 6 3" xfId="26814" xr:uid="{00000000-0005-0000-0000-0000ED680000}"/>
    <cellStyle name="Normal 3 4 2 7" xfId="26815" xr:uid="{00000000-0005-0000-0000-0000EE680000}"/>
    <cellStyle name="Normal 3 4 2 7 2" xfId="26816" xr:uid="{00000000-0005-0000-0000-0000EF680000}"/>
    <cellStyle name="Normal 3 4 2 8" xfId="26817" xr:uid="{00000000-0005-0000-0000-0000F0680000}"/>
    <cellStyle name="Normal 3 4 3" xfId="26818" xr:uid="{00000000-0005-0000-0000-0000F1680000}"/>
    <cellStyle name="Normal 3 4 3 2" xfId="26819" xr:uid="{00000000-0005-0000-0000-0000F2680000}"/>
    <cellStyle name="Normal 3 4 3 2 2" xfId="26820" xr:uid="{00000000-0005-0000-0000-0000F3680000}"/>
    <cellStyle name="Normal 3 4 3 2 2 2" xfId="26821" xr:uid="{00000000-0005-0000-0000-0000F4680000}"/>
    <cellStyle name="Normal 3 4 3 2 2 2 2" xfId="26822" xr:uid="{00000000-0005-0000-0000-0000F5680000}"/>
    <cellStyle name="Normal 3 4 3 2 2 2 2 2" xfId="26823" xr:uid="{00000000-0005-0000-0000-0000F6680000}"/>
    <cellStyle name="Normal 3 4 3 2 2 2 2 2 2" xfId="26824" xr:uid="{00000000-0005-0000-0000-0000F7680000}"/>
    <cellStyle name="Normal 3 4 3 2 2 2 2 3" xfId="26825" xr:uid="{00000000-0005-0000-0000-0000F8680000}"/>
    <cellStyle name="Normal 3 4 3 2 2 2 3" xfId="26826" xr:uid="{00000000-0005-0000-0000-0000F9680000}"/>
    <cellStyle name="Normal 3 4 3 2 2 2 3 2" xfId="26827" xr:uid="{00000000-0005-0000-0000-0000FA680000}"/>
    <cellStyle name="Normal 3 4 3 2 2 2 4" xfId="26828" xr:uid="{00000000-0005-0000-0000-0000FB680000}"/>
    <cellStyle name="Normal 3 4 3 2 2 3" xfId="26829" xr:uid="{00000000-0005-0000-0000-0000FC680000}"/>
    <cellStyle name="Normal 3 4 3 2 2 3 2" xfId="26830" xr:uid="{00000000-0005-0000-0000-0000FD680000}"/>
    <cellStyle name="Normal 3 4 3 2 2 3 2 2" xfId="26831" xr:uid="{00000000-0005-0000-0000-0000FE680000}"/>
    <cellStyle name="Normal 3 4 3 2 2 3 3" xfId="26832" xr:uid="{00000000-0005-0000-0000-0000FF680000}"/>
    <cellStyle name="Normal 3 4 3 2 2 4" xfId="26833" xr:uid="{00000000-0005-0000-0000-000000690000}"/>
    <cellStyle name="Normal 3 4 3 2 2 4 2" xfId="26834" xr:uid="{00000000-0005-0000-0000-000001690000}"/>
    <cellStyle name="Normal 3 4 3 2 2 5" xfId="26835" xr:uid="{00000000-0005-0000-0000-000002690000}"/>
    <cellStyle name="Normal 3 4 3 2 3" xfId="26836" xr:uid="{00000000-0005-0000-0000-000003690000}"/>
    <cellStyle name="Normal 3 4 3 2 3 2" xfId="26837" xr:uid="{00000000-0005-0000-0000-000004690000}"/>
    <cellStyle name="Normal 3 4 3 2 3 2 2" xfId="26838" xr:uid="{00000000-0005-0000-0000-000005690000}"/>
    <cellStyle name="Normal 3 4 3 2 3 2 2 2" xfId="26839" xr:uid="{00000000-0005-0000-0000-000006690000}"/>
    <cellStyle name="Normal 3 4 3 2 3 2 3" xfId="26840" xr:uid="{00000000-0005-0000-0000-000007690000}"/>
    <cellStyle name="Normal 3 4 3 2 3 3" xfId="26841" xr:uid="{00000000-0005-0000-0000-000008690000}"/>
    <cellStyle name="Normal 3 4 3 2 3 3 2" xfId="26842" xr:uid="{00000000-0005-0000-0000-000009690000}"/>
    <cellStyle name="Normal 3 4 3 2 3 4" xfId="26843" xr:uid="{00000000-0005-0000-0000-00000A690000}"/>
    <cellStyle name="Normal 3 4 3 2 4" xfId="26844" xr:uid="{00000000-0005-0000-0000-00000B690000}"/>
    <cellStyle name="Normal 3 4 3 2 4 2" xfId="26845" xr:uid="{00000000-0005-0000-0000-00000C690000}"/>
    <cellStyle name="Normal 3 4 3 2 4 2 2" xfId="26846" xr:uid="{00000000-0005-0000-0000-00000D690000}"/>
    <cellStyle name="Normal 3 4 3 2 4 3" xfId="26847" xr:uid="{00000000-0005-0000-0000-00000E690000}"/>
    <cellStyle name="Normal 3 4 3 2 5" xfId="26848" xr:uid="{00000000-0005-0000-0000-00000F690000}"/>
    <cellStyle name="Normal 3 4 3 2 5 2" xfId="26849" xr:uid="{00000000-0005-0000-0000-000010690000}"/>
    <cellStyle name="Normal 3 4 3 2 6" xfId="26850" xr:uid="{00000000-0005-0000-0000-000011690000}"/>
    <cellStyle name="Normal 3 4 3 3" xfId="26851" xr:uid="{00000000-0005-0000-0000-000012690000}"/>
    <cellStyle name="Normal 3 4 3 3 2" xfId="26852" xr:uid="{00000000-0005-0000-0000-000013690000}"/>
    <cellStyle name="Normal 3 4 3 3 2 2" xfId="26853" xr:uid="{00000000-0005-0000-0000-000014690000}"/>
    <cellStyle name="Normal 3 4 3 3 2 2 2" xfId="26854" xr:uid="{00000000-0005-0000-0000-000015690000}"/>
    <cellStyle name="Normal 3 4 3 3 2 2 2 2" xfId="26855" xr:uid="{00000000-0005-0000-0000-000016690000}"/>
    <cellStyle name="Normal 3 4 3 3 2 2 3" xfId="26856" xr:uid="{00000000-0005-0000-0000-000017690000}"/>
    <cellStyle name="Normal 3 4 3 3 2 3" xfId="26857" xr:uid="{00000000-0005-0000-0000-000018690000}"/>
    <cellStyle name="Normal 3 4 3 3 2 3 2" xfId="26858" xr:uid="{00000000-0005-0000-0000-000019690000}"/>
    <cellStyle name="Normal 3 4 3 3 2 4" xfId="26859" xr:uid="{00000000-0005-0000-0000-00001A690000}"/>
    <cellStyle name="Normal 3 4 3 3 3" xfId="26860" xr:uid="{00000000-0005-0000-0000-00001B690000}"/>
    <cellStyle name="Normal 3 4 3 3 3 2" xfId="26861" xr:uid="{00000000-0005-0000-0000-00001C690000}"/>
    <cellStyle name="Normal 3 4 3 3 3 2 2" xfId="26862" xr:uid="{00000000-0005-0000-0000-00001D690000}"/>
    <cellStyle name="Normal 3 4 3 3 3 3" xfId="26863" xr:uid="{00000000-0005-0000-0000-00001E690000}"/>
    <cellStyle name="Normal 3 4 3 3 4" xfId="26864" xr:uid="{00000000-0005-0000-0000-00001F690000}"/>
    <cellStyle name="Normal 3 4 3 3 4 2" xfId="26865" xr:uid="{00000000-0005-0000-0000-000020690000}"/>
    <cellStyle name="Normal 3 4 3 3 5" xfId="26866" xr:uid="{00000000-0005-0000-0000-000021690000}"/>
    <cellStyle name="Normal 3 4 3 4" xfId="26867" xr:uid="{00000000-0005-0000-0000-000022690000}"/>
    <cellStyle name="Normal 3 4 3 4 2" xfId="26868" xr:uid="{00000000-0005-0000-0000-000023690000}"/>
    <cellStyle name="Normal 3 4 3 4 2 2" xfId="26869" xr:uid="{00000000-0005-0000-0000-000024690000}"/>
    <cellStyle name="Normal 3 4 3 4 2 2 2" xfId="26870" xr:uid="{00000000-0005-0000-0000-000025690000}"/>
    <cellStyle name="Normal 3 4 3 4 2 3" xfId="26871" xr:uid="{00000000-0005-0000-0000-000026690000}"/>
    <cellStyle name="Normal 3 4 3 4 3" xfId="26872" xr:uid="{00000000-0005-0000-0000-000027690000}"/>
    <cellStyle name="Normal 3 4 3 4 3 2" xfId="26873" xr:uid="{00000000-0005-0000-0000-000028690000}"/>
    <cellStyle name="Normal 3 4 3 4 4" xfId="26874" xr:uid="{00000000-0005-0000-0000-000029690000}"/>
    <cellStyle name="Normal 3 4 3 5" xfId="26875" xr:uid="{00000000-0005-0000-0000-00002A690000}"/>
    <cellStyle name="Normal 3 4 3 5 2" xfId="26876" xr:uid="{00000000-0005-0000-0000-00002B690000}"/>
    <cellStyle name="Normal 3 4 3 5 2 2" xfId="26877" xr:uid="{00000000-0005-0000-0000-00002C690000}"/>
    <cellStyle name="Normal 3 4 3 5 3" xfId="26878" xr:uid="{00000000-0005-0000-0000-00002D690000}"/>
    <cellStyle name="Normal 3 4 3 6" xfId="26879" xr:uid="{00000000-0005-0000-0000-00002E690000}"/>
    <cellStyle name="Normal 3 4 3 6 2" xfId="26880" xr:uid="{00000000-0005-0000-0000-00002F690000}"/>
    <cellStyle name="Normal 3 4 3 7" xfId="26881" xr:uid="{00000000-0005-0000-0000-000030690000}"/>
    <cellStyle name="Normal 3 4 4" xfId="26882" xr:uid="{00000000-0005-0000-0000-000031690000}"/>
    <cellStyle name="Normal 3 4 4 2" xfId="26883" xr:uid="{00000000-0005-0000-0000-000032690000}"/>
    <cellStyle name="Normal 3 4 4 2 2" xfId="26884" xr:uid="{00000000-0005-0000-0000-000033690000}"/>
    <cellStyle name="Normal 3 4 4 2 2 2" xfId="26885" xr:uid="{00000000-0005-0000-0000-000034690000}"/>
    <cellStyle name="Normal 3 4 4 2 2 2 2" xfId="26886" xr:uid="{00000000-0005-0000-0000-000035690000}"/>
    <cellStyle name="Normal 3 4 4 2 2 2 2 2" xfId="26887" xr:uid="{00000000-0005-0000-0000-000036690000}"/>
    <cellStyle name="Normal 3 4 4 2 2 2 3" xfId="26888" xr:uid="{00000000-0005-0000-0000-000037690000}"/>
    <cellStyle name="Normal 3 4 4 2 2 3" xfId="26889" xr:uid="{00000000-0005-0000-0000-000038690000}"/>
    <cellStyle name="Normal 3 4 4 2 2 3 2" xfId="26890" xr:uid="{00000000-0005-0000-0000-000039690000}"/>
    <cellStyle name="Normal 3 4 4 2 2 4" xfId="26891" xr:uid="{00000000-0005-0000-0000-00003A690000}"/>
    <cellStyle name="Normal 3 4 4 2 3" xfId="26892" xr:uid="{00000000-0005-0000-0000-00003B690000}"/>
    <cellStyle name="Normal 3 4 4 2 3 2" xfId="26893" xr:uid="{00000000-0005-0000-0000-00003C690000}"/>
    <cellStyle name="Normal 3 4 4 2 3 2 2" xfId="26894" xr:uid="{00000000-0005-0000-0000-00003D690000}"/>
    <cellStyle name="Normal 3 4 4 2 3 3" xfId="26895" xr:uid="{00000000-0005-0000-0000-00003E690000}"/>
    <cellStyle name="Normal 3 4 4 2 4" xfId="26896" xr:uid="{00000000-0005-0000-0000-00003F690000}"/>
    <cellStyle name="Normal 3 4 4 2 4 2" xfId="26897" xr:uid="{00000000-0005-0000-0000-000040690000}"/>
    <cellStyle name="Normal 3 4 4 2 5" xfId="26898" xr:uid="{00000000-0005-0000-0000-000041690000}"/>
    <cellStyle name="Normal 3 4 4 3" xfId="26899" xr:uid="{00000000-0005-0000-0000-000042690000}"/>
    <cellStyle name="Normal 3 4 4 3 2" xfId="26900" xr:uid="{00000000-0005-0000-0000-000043690000}"/>
    <cellStyle name="Normal 3 4 4 3 2 2" xfId="26901" xr:uid="{00000000-0005-0000-0000-000044690000}"/>
    <cellStyle name="Normal 3 4 4 3 2 2 2" xfId="26902" xr:uid="{00000000-0005-0000-0000-000045690000}"/>
    <cellStyle name="Normal 3 4 4 3 2 3" xfId="26903" xr:uid="{00000000-0005-0000-0000-000046690000}"/>
    <cellStyle name="Normal 3 4 4 3 3" xfId="26904" xr:uid="{00000000-0005-0000-0000-000047690000}"/>
    <cellStyle name="Normal 3 4 4 3 3 2" xfId="26905" xr:uid="{00000000-0005-0000-0000-000048690000}"/>
    <cellStyle name="Normal 3 4 4 3 4" xfId="26906" xr:uid="{00000000-0005-0000-0000-000049690000}"/>
    <cellStyle name="Normal 3 4 4 4" xfId="26907" xr:uid="{00000000-0005-0000-0000-00004A690000}"/>
    <cellStyle name="Normal 3 4 4 4 2" xfId="26908" xr:uid="{00000000-0005-0000-0000-00004B690000}"/>
    <cellStyle name="Normal 3 4 4 4 2 2" xfId="26909" xr:uid="{00000000-0005-0000-0000-00004C690000}"/>
    <cellStyle name="Normal 3 4 4 4 3" xfId="26910" xr:uid="{00000000-0005-0000-0000-00004D690000}"/>
    <cellStyle name="Normal 3 4 4 5" xfId="26911" xr:uid="{00000000-0005-0000-0000-00004E690000}"/>
    <cellStyle name="Normal 3 4 4 5 2" xfId="26912" xr:uid="{00000000-0005-0000-0000-00004F690000}"/>
    <cellStyle name="Normal 3 4 4 6" xfId="26913" xr:uid="{00000000-0005-0000-0000-000050690000}"/>
    <cellStyle name="Normal 3 4 5" xfId="26914" xr:uid="{00000000-0005-0000-0000-000051690000}"/>
    <cellStyle name="Normal 3 4 5 2" xfId="26915" xr:uid="{00000000-0005-0000-0000-000052690000}"/>
    <cellStyle name="Normal 3 4 5 2 2" xfId="26916" xr:uid="{00000000-0005-0000-0000-000053690000}"/>
    <cellStyle name="Normal 3 4 5 2 2 2" xfId="26917" xr:uid="{00000000-0005-0000-0000-000054690000}"/>
    <cellStyle name="Normal 3 4 5 2 2 2 2" xfId="26918" xr:uid="{00000000-0005-0000-0000-000055690000}"/>
    <cellStyle name="Normal 3 4 5 2 2 3" xfId="26919" xr:uid="{00000000-0005-0000-0000-000056690000}"/>
    <cellStyle name="Normal 3 4 5 2 3" xfId="26920" xr:uid="{00000000-0005-0000-0000-000057690000}"/>
    <cellStyle name="Normal 3 4 5 2 3 2" xfId="26921" xr:uid="{00000000-0005-0000-0000-000058690000}"/>
    <cellStyle name="Normal 3 4 5 2 4" xfId="26922" xr:uid="{00000000-0005-0000-0000-000059690000}"/>
    <cellStyle name="Normal 3 4 5 3" xfId="26923" xr:uid="{00000000-0005-0000-0000-00005A690000}"/>
    <cellStyle name="Normal 3 4 5 3 2" xfId="26924" xr:uid="{00000000-0005-0000-0000-00005B690000}"/>
    <cellStyle name="Normal 3 4 5 3 2 2" xfId="26925" xr:uid="{00000000-0005-0000-0000-00005C690000}"/>
    <cellStyle name="Normal 3 4 5 3 3" xfId="26926" xr:uid="{00000000-0005-0000-0000-00005D690000}"/>
    <cellStyle name="Normal 3 4 5 4" xfId="26927" xr:uid="{00000000-0005-0000-0000-00005E690000}"/>
    <cellStyle name="Normal 3 4 5 4 2" xfId="26928" xr:uid="{00000000-0005-0000-0000-00005F690000}"/>
    <cellStyle name="Normal 3 4 5 5" xfId="26929" xr:uid="{00000000-0005-0000-0000-000060690000}"/>
    <cellStyle name="Normal 3 4 6" xfId="26930" xr:uid="{00000000-0005-0000-0000-000061690000}"/>
    <cellStyle name="Normal 3 4 6 2" xfId="26931" xr:uid="{00000000-0005-0000-0000-000062690000}"/>
    <cellStyle name="Normal 3 4 6 2 2" xfId="26932" xr:uid="{00000000-0005-0000-0000-000063690000}"/>
    <cellStyle name="Normal 3 4 6 2 2 2" xfId="26933" xr:uid="{00000000-0005-0000-0000-000064690000}"/>
    <cellStyle name="Normal 3 4 6 2 3" xfId="26934" xr:uid="{00000000-0005-0000-0000-000065690000}"/>
    <cellStyle name="Normal 3 4 6 3" xfId="26935" xr:uid="{00000000-0005-0000-0000-000066690000}"/>
    <cellStyle name="Normal 3 4 6 3 2" xfId="26936" xr:uid="{00000000-0005-0000-0000-000067690000}"/>
    <cellStyle name="Normal 3 4 6 4" xfId="26937" xr:uid="{00000000-0005-0000-0000-000068690000}"/>
    <cellStyle name="Normal 3 4 7" xfId="26938" xr:uid="{00000000-0005-0000-0000-000069690000}"/>
    <cellStyle name="Normal 3 4 7 2" xfId="26939" xr:uid="{00000000-0005-0000-0000-00006A690000}"/>
    <cellStyle name="Normal 3 4 7 2 2" xfId="26940" xr:uid="{00000000-0005-0000-0000-00006B690000}"/>
    <cellStyle name="Normal 3 4 7 3" xfId="26941" xr:uid="{00000000-0005-0000-0000-00006C690000}"/>
    <cellStyle name="Normal 3 4 8" xfId="26942" xr:uid="{00000000-0005-0000-0000-00006D690000}"/>
    <cellStyle name="Normal 3 4 8 2" xfId="26943" xr:uid="{00000000-0005-0000-0000-00006E690000}"/>
    <cellStyle name="Normal 3 4 9" xfId="26944" xr:uid="{00000000-0005-0000-0000-00006F690000}"/>
    <cellStyle name="Normal 3 5" xfId="26945" xr:uid="{00000000-0005-0000-0000-000070690000}"/>
    <cellStyle name="Normal 3 5 2" xfId="26946" xr:uid="{00000000-0005-0000-0000-000071690000}"/>
    <cellStyle name="Normal 3 5 2 2" xfId="26947" xr:uid="{00000000-0005-0000-0000-000072690000}"/>
    <cellStyle name="Normal 3 5 2 2 2" xfId="26948" xr:uid="{00000000-0005-0000-0000-000073690000}"/>
    <cellStyle name="Normal 3 5 2 2 2 2" xfId="26949" xr:uid="{00000000-0005-0000-0000-000074690000}"/>
    <cellStyle name="Normal 3 5 2 2 2 2 2" xfId="26950" xr:uid="{00000000-0005-0000-0000-000075690000}"/>
    <cellStyle name="Normal 3 5 2 2 2 2 2 2" xfId="26951" xr:uid="{00000000-0005-0000-0000-000076690000}"/>
    <cellStyle name="Normal 3 5 2 2 2 2 2 2 2" xfId="26952" xr:uid="{00000000-0005-0000-0000-000077690000}"/>
    <cellStyle name="Normal 3 5 2 2 2 2 2 3" xfId="26953" xr:uid="{00000000-0005-0000-0000-000078690000}"/>
    <cellStyle name="Normal 3 5 2 2 2 2 3" xfId="26954" xr:uid="{00000000-0005-0000-0000-000079690000}"/>
    <cellStyle name="Normal 3 5 2 2 2 2 3 2" xfId="26955" xr:uid="{00000000-0005-0000-0000-00007A690000}"/>
    <cellStyle name="Normal 3 5 2 2 2 2 4" xfId="26956" xr:uid="{00000000-0005-0000-0000-00007B690000}"/>
    <cellStyle name="Normal 3 5 2 2 2 3" xfId="26957" xr:uid="{00000000-0005-0000-0000-00007C690000}"/>
    <cellStyle name="Normal 3 5 2 2 2 3 2" xfId="26958" xr:uid="{00000000-0005-0000-0000-00007D690000}"/>
    <cellStyle name="Normal 3 5 2 2 2 3 2 2" xfId="26959" xr:uid="{00000000-0005-0000-0000-00007E690000}"/>
    <cellStyle name="Normal 3 5 2 2 2 3 3" xfId="26960" xr:uid="{00000000-0005-0000-0000-00007F690000}"/>
    <cellStyle name="Normal 3 5 2 2 2 4" xfId="26961" xr:uid="{00000000-0005-0000-0000-000080690000}"/>
    <cellStyle name="Normal 3 5 2 2 2 4 2" xfId="26962" xr:uid="{00000000-0005-0000-0000-000081690000}"/>
    <cellStyle name="Normal 3 5 2 2 2 5" xfId="26963" xr:uid="{00000000-0005-0000-0000-000082690000}"/>
    <cellStyle name="Normal 3 5 2 2 3" xfId="26964" xr:uid="{00000000-0005-0000-0000-000083690000}"/>
    <cellStyle name="Normal 3 5 2 2 3 2" xfId="26965" xr:uid="{00000000-0005-0000-0000-000084690000}"/>
    <cellStyle name="Normal 3 5 2 2 3 2 2" xfId="26966" xr:uid="{00000000-0005-0000-0000-000085690000}"/>
    <cellStyle name="Normal 3 5 2 2 3 2 2 2" xfId="26967" xr:uid="{00000000-0005-0000-0000-000086690000}"/>
    <cellStyle name="Normal 3 5 2 2 3 2 3" xfId="26968" xr:uid="{00000000-0005-0000-0000-000087690000}"/>
    <cellStyle name="Normal 3 5 2 2 3 3" xfId="26969" xr:uid="{00000000-0005-0000-0000-000088690000}"/>
    <cellStyle name="Normal 3 5 2 2 3 3 2" xfId="26970" xr:uid="{00000000-0005-0000-0000-000089690000}"/>
    <cellStyle name="Normal 3 5 2 2 3 4" xfId="26971" xr:uid="{00000000-0005-0000-0000-00008A690000}"/>
    <cellStyle name="Normal 3 5 2 2 4" xfId="26972" xr:uid="{00000000-0005-0000-0000-00008B690000}"/>
    <cellStyle name="Normal 3 5 2 2 4 2" xfId="26973" xr:uid="{00000000-0005-0000-0000-00008C690000}"/>
    <cellStyle name="Normal 3 5 2 2 4 2 2" xfId="26974" xr:uid="{00000000-0005-0000-0000-00008D690000}"/>
    <cellStyle name="Normal 3 5 2 2 4 3" xfId="26975" xr:uid="{00000000-0005-0000-0000-00008E690000}"/>
    <cellStyle name="Normal 3 5 2 2 5" xfId="26976" xr:uid="{00000000-0005-0000-0000-00008F690000}"/>
    <cellStyle name="Normal 3 5 2 2 5 2" xfId="26977" xr:uid="{00000000-0005-0000-0000-000090690000}"/>
    <cellStyle name="Normal 3 5 2 2 6" xfId="26978" xr:uid="{00000000-0005-0000-0000-000091690000}"/>
    <cellStyle name="Normal 3 5 2 3" xfId="26979" xr:uid="{00000000-0005-0000-0000-000092690000}"/>
    <cellStyle name="Normal 3 5 2 3 2" xfId="26980" xr:uid="{00000000-0005-0000-0000-000093690000}"/>
    <cellStyle name="Normal 3 5 2 3 2 2" xfId="26981" xr:uid="{00000000-0005-0000-0000-000094690000}"/>
    <cellStyle name="Normal 3 5 2 3 2 2 2" xfId="26982" xr:uid="{00000000-0005-0000-0000-000095690000}"/>
    <cellStyle name="Normal 3 5 2 3 2 2 2 2" xfId="26983" xr:uid="{00000000-0005-0000-0000-000096690000}"/>
    <cellStyle name="Normal 3 5 2 3 2 2 3" xfId="26984" xr:uid="{00000000-0005-0000-0000-000097690000}"/>
    <cellStyle name="Normal 3 5 2 3 2 3" xfId="26985" xr:uid="{00000000-0005-0000-0000-000098690000}"/>
    <cellStyle name="Normal 3 5 2 3 2 3 2" xfId="26986" xr:uid="{00000000-0005-0000-0000-000099690000}"/>
    <cellStyle name="Normal 3 5 2 3 2 4" xfId="26987" xr:uid="{00000000-0005-0000-0000-00009A690000}"/>
    <cellStyle name="Normal 3 5 2 3 3" xfId="26988" xr:uid="{00000000-0005-0000-0000-00009B690000}"/>
    <cellStyle name="Normal 3 5 2 3 3 2" xfId="26989" xr:uid="{00000000-0005-0000-0000-00009C690000}"/>
    <cellStyle name="Normal 3 5 2 3 3 2 2" xfId="26990" xr:uid="{00000000-0005-0000-0000-00009D690000}"/>
    <cellStyle name="Normal 3 5 2 3 3 3" xfId="26991" xr:uid="{00000000-0005-0000-0000-00009E690000}"/>
    <cellStyle name="Normal 3 5 2 3 4" xfId="26992" xr:uid="{00000000-0005-0000-0000-00009F690000}"/>
    <cellStyle name="Normal 3 5 2 3 4 2" xfId="26993" xr:uid="{00000000-0005-0000-0000-0000A0690000}"/>
    <cellStyle name="Normal 3 5 2 3 5" xfId="26994" xr:uid="{00000000-0005-0000-0000-0000A1690000}"/>
    <cellStyle name="Normal 3 5 2 4" xfId="26995" xr:uid="{00000000-0005-0000-0000-0000A2690000}"/>
    <cellStyle name="Normal 3 5 2 4 2" xfId="26996" xr:uid="{00000000-0005-0000-0000-0000A3690000}"/>
    <cellStyle name="Normal 3 5 2 4 2 2" xfId="26997" xr:uid="{00000000-0005-0000-0000-0000A4690000}"/>
    <cellStyle name="Normal 3 5 2 4 2 2 2" xfId="26998" xr:uid="{00000000-0005-0000-0000-0000A5690000}"/>
    <cellStyle name="Normal 3 5 2 4 2 3" xfId="26999" xr:uid="{00000000-0005-0000-0000-0000A6690000}"/>
    <cellStyle name="Normal 3 5 2 4 3" xfId="27000" xr:uid="{00000000-0005-0000-0000-0000A7690000}"/>
    <cellStyle name="Normal 3 5 2 4 3 2" xfId="27001" xr:uid="{00000000-0005-0000-0000-0000A8690000}"/>
    <cellStyle name="Normal 3 5 2 4 4" xfId="27002" xr:uid="{00000000-0005-0000-0000-0000A9690000}"/>
    <cellStyle name="Normal 3 5 2 5" xfId="27003" xr:uid="{00000000-0005-0000-0000-0000AA690000}"/>
    <cellStyle name="Normal 3 5 2 5 2" xfId="27004" xr:uid="{00000000-0005-0000-0000-0000AB690000}"/>
    <cellStyle name="Normal 3 5 2 5 2 2" xfId="27005" xr:uid="{00000000-0005-0000-0000-0000AC690000}"/>
    <cellStyle name="Normal 3 5 2 5 3" xfId="27006" xr:uid="{00000000-0005-0000-0000-0000AD690000}"/>
    <cellStyle name="Normal 3 5 2 6" xfId="27007" xr:uid="{00000000-0005-0000-0000-0000AE690000}"/>
    <cellStyle name="Normal 3 5 2 6 2" xfId="27008" xr:uid="{00000000-0005-0000-0000-0000AF690000}"/>
    <cellStyle name="Normal 3 5 2 7" xfId="27009" xr:uid="{00000000-0005-0000-0000-0000B0690000}"/>
    <cellStyle name="Normal 3 5 3" xfId="27010" xr:uid="{00000000-0005-0000-0000-0000B1690000}"/>
    <cellStyle name="Normal 3 5 3 2" xfId="27011" xr:uid="{00000000-0005-0000-0000-0000B2690000}"/>
    <cellStyle name="Normal 3 5 3 2 2" xfId="27012" xr:uid="{00000000-0005-0000-0000-0000B3690000}"/>
    <cellStyle name="Normal 3 5 3 2 2 2" xfId="27013" xr:uid="{00000000-0005-0000-0000-0000B4690000}"/>
    <cellStyle name="Normal 3 5 3 2 2 2 2" xfId="27014" xr:uid="{00000000-0005-0000-0000-0000B5690000}"/>
    <cellStyle name="Normal 3 5 3 2 2 2 2 2" xfId="27015" xr:uid="{00000000-0005-0000-0000-0000B6690000}"/>
    <cellStyle name="Normal 3 5 3 2 2 2 3" xfId="27016" xr:uid="{00000000-0005-0000-0000-0000B7690000}"/>
    <cellStyle name="Normal 3 5 3 2 2 3" xfId="27017" xr:uid="{00000000-0005-0000-0000-0000B8690000}"/>
    <cellStyle name="Normal 3 5 3 2 2 3 2" xfId="27018" xr:uid="{00000000-0005-0000-0000-0000B9690000}"/>
    <cellStyle name="Normal 3 5 3 2 2 4" xfId="27019" xr:uid="{00000000-0005-0000-0000-0000BA690000}"/>
    <cellStyle name="Normal 3 5 3 2 3" xfId="27020" xr:uid="{00000000-0005-0000-0000-0000BB690000}"/>
    <cellStyle name="Normal 3 5 3 2 3 2" xfId="27021" xr:uid="{00000000-0005-0000-0000-0000BC690000}"/>
    <cellStyle name="Normal 3 5 3 2 3 2 2" xfId="27022" xr:uid="{00000000-0005-0000-0000-0000BD690000}"/>
    <cellStyle name="Normal 3 5 3 2 3 3" xfId="27023" xr:uid="{00000000-0005-0000-0000-0000BE690000}"/>
    <cellStyle name="Normal 3 5 3 2 4" xfId="27024" xr:uid="{00000000-0005-0000-0000-0000BF690000}"/>
    <cellStyle name="Normal 3 5 3 2 4 2" xfId="27025" xr:uid="{00000000-0005-0000-0000-0000C0690000}"/>
    <cellStyle name="Normal 3 5 3 2 5" xfId="27026" xr:uid="{00000000-0005-0000-0000-0000C1690000}"/>
    <cellStyle name="Normal 3 5 3 3" xfId="27027" xr:uid="{00000000-0005-0000-0000-0000C2690000}"/>
    <cellStyle name="Normal 3 5 3 3 2" xfId="27028" xr:uid="{00000000-0005-0000-0000-0000C3690000}"/>
    <cellStyle name="Normal 3 5 3 3 2 2" xfId="27029" xr:uid="{00000000-0005-0000-0000-0000C4690000}"/>
    <cellStyle name="Normal 3 5 3 3 2 2 2" xfId="27030" xr:uid="{00000000-0005-0000-0000-0000C5690000}"/>
    <cellStyle name="Normal 3 5 3 3 2 3" xfId="27031" xr:uid="{00000000-0005-0000-0000-0000C6690000}"/>
    <cellStyle name="Normal 3 5 3 3 3" xfId="27032" xr:uid="{00000000-0005-0000-0000-0000C7690000}"/>
    <cellStyle name="Normal 3 5 3 3 3 2" xfId="27033" xr:uid="{00000000-0005-0000-0000-0000C8690000}"/>
    <cellStyle name="Normal 3 5 3 3 4" xfId="27034" xr:uid="{00000000-0005-0000-0000-0000C9690000}"/>
    <cellStyle name="Normal 3 5 3 4" xfId="27035" xr:uid="{00000000-0005-0000-0000-0000CA690000}"/>
    <cellStyle name="Normal 3 5 3 4 2" xfId="27036" xr:uid="{00000000-0005-0000-0000-0000CB690000}"/>
    <cellStyle name="Normal 3 5 3 4 2 2" xfId="27037" xr:uid="{00000000-0005-0000-0000-0000CC690000}"/>
    <cellStyle name="Normal 3 5 3 4 3" xfId="27038" xr:uid="{00000000-0005-0000-0000-0000CD690000}"/>
    <cellStyle name="Normal 3 5 3 5" xfId="27039" xr:uid="{00000000-0005-0000-0000-0000CE690000}"/>
    <cellStyle name="Normal 3 5 3 5 2" xfId="27040" xr:uid="{00000000-0005-0000-0000-0000CF690000}"/>
    <cellStyle name="Normal 3 5 3 6" xfId="27041" xr:uid="{00000000-0005-0000-0000-0000D0690000}"/>
    <cellStyle name="Normal 3 5 4" xfId="27042" xr:uid="{00000000-0005-0000-0000-0000D1690000}"/>
    <cellStyle name="Normal 3 5 4 2" xfId="27043" xr:uid="{00000000-0005-0000-0000-0000D2690000}"/>
    <cellStyle name="Normal 3 5 4 2 2" xfId="27044" xr:uid="{00000000-0005-0000-0000-0000D3690000}"/>
    <cellStyle name="Normal 3 5 4 2 2 2" xfId="27045" xr:uid="{00000000-0005-0000-0000-0000D4690000}"/>
    <cellStyle name="Normal 3 5 4 2 2 2 2" xfId="27046" xr:uid="{00000000-0005-0000-0000-0000D5690000}"/>
    <cellStyle name="Normal 3 5 4 2 2 3" xfId="27047" xr:uid="{00000000-0005-0000-0000-0000D6690000}"/>
    <cellStyle name="Normal 3 5 4 2 3" xfId="27048" xr:uid="{00000000-0005-0000-0000-0000D7690000}"/>
    <cellStyle name="Normal 3 5 4 2 3 2" xfId="27049" xr:uid="{00000000-0005-0000-0000-0000D8690000}"/>
    <cellStyle name="Normal 3 5 4 2 4" xfId="27050" xr:uid="{00000000-0005-0000-0000-0000D9690000}"/>
    <cellStyle name="Normal 3 5 4 3" xfId="27051" xr:uid="{00000000-0005-0000-0000-0000DA690000}"/>
    <cellStyle name="Normal 3 5 4 3 2" xfId="27052" xr:uid="{00000000-0005-0000-0000-0000DB690000}"/>
    <cellStyle name="Normal 3 5 4 3 2 2" xfId="27053" xr:uid="{00000000-0005-0000-0000-0000DC690000}"/>
    <cellStyle name="Normal 3 5 4 3 3" xfId="27054" xr:uid="{00000000-0005-0000-0000-0000DD690000}"/>
    <cellStyle name="Normal 3 5 4 4" xfId="27055" xr:uid="{00000000-0005-0000-0000-0000DE690000}"/>
    <cellStyle name="Normal 3 5 4 4 2" xfId="27056" xr:uid="{00000000-0005-0000-0000-0000DF690000}"/>
    <cellStyle name="Normal 3 5 4 5" xfId="27057" xr:uid="{00000000-0005-0000-0000-0000E0690000}"/>
    <cellStyle name="Normal 3 5 5" xfId="27058" xr:uid="{00000000-0005-0000-0000-0000E1690000}"/>
    <cellStyle name="Normal 3 5 5 2" xfId="27059" xr:uid="{00000000-0005-0000-0000-0000E2690000}"/>
    <cellStyle name="Normal 3 5 5 2 2" xfId="27060" xr:uid="{00000000-0005-0000-0000-0000E3690000}"/>
    <cellStyle name="Normal 3 5 5 2 2 2" xfId="27061" xr:uid="{00000000-0005-0000-0000-0000E4690000}"/>
    <cellStyle name="Normal 3 5 5 2 3" xfId="27062" xr:uid="{00000000-0005-0000-0000-0000E5690000}"/>
    <cellStyle name="Normal 3 5 5 3" xfId="27063" xr:uid="{00000000-0005-0000-0000-0000E6690000}"/>
    <cellStyle name="Normal 3 5 5 3 2" xfId="27064" xr:uid="{00000000-0005-0000-0000-0000E7690000}"/>
    <cellStyle name="Normal 3 5 5 4" xfId="27065" xr:uid="{00000000-0005-0000-0000-0000E8690000}"/>
    <cellStyle name="Normal 3 5 6" xfId="27066" xr:uid="{00000000-0005-0000-0000-0000E9690000}"/>
    <cellStyle name="Normal 3 5 6 2" xfId="27067" xr:uid="{00000000-0005-0000-0000-0000EA690000}"/>
    <cellStyle name="Normal 3 5 6 2 2" xfId="27068" xr:uid="{00000000-0005-0000-0000-0000EB690000}"/>
    <cellStyle name="Normal 3 5 6 3" xfId="27069" xr:uid="{00000000-0005-0000-0000-0000EC690000}"/>
    <cellStyle name="Normal 3 5 7" xfId="27070" xr:uid="{00000000-0005-0000-0000-0000ED690000}"/>
    <cellStyle name="Normal 3 5 7 2" xfId="27071" xr:uid="{00000000-0005-0000-0000-0000EE690000}"/>
    <cellStyle name="Normal 3 5 8" xfId="27072" xr:uid="{00000000-0005-0000-0000-0000EF690000}"/>
    <cellStyle name="Normal 3 6" xfId="27073" xr:uid="{00000000-0005-0000-0000-0000F0690000}"/>
    <cellStyle name="Normal 3 6 2" xfId="27074" xr:uid="{00000000-0005-0000-0000-0000F1690000}"/>
    <cellStyle name="Normal 3 6 2 2" xfId="27075" xr:uid="{00000000-0005-0000-0000-0000F2690000}"/>
    <cellStyle name="Normal 3 6 2 2 2" xfId="27076" xr:uid="{00000000-0005-0000-0000-0000F3690000}"/>
    <cellStyle name="Normal 3 6 2 2 2 2" xfId="27077" xr:uid="{00000000-0005-0000-0000-0000F4690000}"/>
    <cellStyle name="Normal 3 6 2 2 2 2 2" xfId="27078" xr:uid="{00000000-0005-0000-0000-0000F5690000}"/>
    <cellStyle name="Normal 3 6 2 2 2 2 2 2" xfId="27079" xr:uid="{00000000-0005-0000-0000-0000F6690000}"/>
    <cellStyle name="Normal 3 6 2 2 2 2 3" xfId="27080" xr:uid="{00000000-0005-0000-0000-0000F7690000}"/>
    <cellStyle name="Normal 3 6 2 2 2 3" xfId="27081" xr:uid="{00000000-0005-0000-0000-0000F8690000}"/>
    <cellStyle name="Normal 3 6 2 2 2 3 2" xfId="27082" xr:uid="{00000000-0005-0000-0000-0000F9690000}"/>
    <cellStyle name="Normal 3 6 2 2 2 4" xfId="27083" xr:uid="{00000000-0005-0000-0000-0000FA690000}"/>
    <cellStyle name="Normal 3 6 2 2 3" xfId="27084" xr:uid="{00000000-0005-0000-0000-0000FB690000}"/>
    <cellStyle name="Normal 3 6 2 2 3 2" xfId="27085" xr:uid="{00000000-0005-0000-0000-0000FC690000}"/>
    <cellStyle name="Normal 3 6 2 2 3 2 2" xfId="27086" xr:uid="{00000000-0005-0000-0000-0000FD690000}"/>
    <cellStyle name="Normal 3 6 2 2 3 3" xfId="27087" xr:uid="{00000000-0005-0000-0000-0000FE690000}"/>
    <cellStyle name="Normal 3 6 2 2 4" xfId="27088" xr:uid="{00000000-0005-0000-0000-0000FF690000}"/>
    <cellStyle name="Normal 3 6 2 2 4 2" xfId="27089" xr:uid="{00000000-0005-0000-0000-0000006A0000}"/>
    <cellStyle name="Normal 3 6 2 2 5" xfId="27090" xr:uid="{00000000-0005-0000-0000-0000016A0000}"/>
    <cellStyle name="Normal 3 6 2 3" xfId="27091" xr:uid="{00000000-0005-0000-0000-0000026A0000}"/>
    <cellStyle name="Normal 3 6 2 3 2" xfId="27092" xr:uid="{00000000-0005-0000-0000-0000036A0000}"/>
    <cellStyle name="Normal 3 6 2 3 2 2" xfId="27093" xr:uid="{00000000-0005-0000-0000-0000046A0000}"/>
    <cellStyle name="Normal 3 6 2 3 2 2 2" xfId="27094" xr:uid="{00000000-0005-0000-0000-0000056A0000}"/>
    <cellStyle name="Normal 3 6 2 3 2 3" xfId="27095" xr:uid="{00000000-0005-0000-0000-0000066A0000}"/>
    <cellStyle name="Normal 3 6 2 3 3" xfId="27096" xr:uid="{00000000-0005-0000-0000-0000076A0000}"/>
    <cellStyle name="Normal 3 6 2 3 3 2" xfId="27097" xr:uid="{00000000-0005-0000-0000-0000086A0000}"/>
    <cellStyle name="Normal 3 6 2 3 4" xfId="27098" xr:uid="{00000000-0005-0000-0000-0000096A0000}"/>
    <cellStyle name="Normal 3 6 2 4" xfId="27099" xr:uid="{00000000-0005-0000-0000-00000A6A0000}"/>
    <cellStyle name="Normal 3 6 2 4 2" xfId="27100" xr:uid="{00000000-0005-0000-0000-00000B6A0000}"/>
    <cellStyle name="Normal 3 6 2 4 2 2" xfId="27101" xr:uid="{00000000-0005-0000-0000-00000C6A0000}"/>
    <cellStyle name="Normal 3 6 2 4 3" xfId="27102" xr:uid="{00000000-0005-0000-0000-00000D6A0000}"/>
    <cellStyle name="Normal 3 6 2 5" xfId="27103" xr:uid="{00000000-0005-0000-0000-00000E6A0000}"/>
    <cellStyle name="Normal 3 6 2 5 2" xfId="27104" xr:uid="{00000000-0005-0000-0000-00000F6A0000}"/>
    <cellStyle name="Normal 3 6 2 6" xfId="27105" xr:uid="{00000000-0005-0000-0000-0000106A0000}"/>
    <cellStyle name="Normal 3 6 2 6 2" xfId="27106" xr:uid="{00000000-0005-0000-0000-0000116A0000}"/>
    <cellStyle name="Normal 3 6 2 7" xfId="27107" xr:uid="{00000000-0005-0000-0000-0000126A0000}"/>
    <cellStyle name="Normal 3 6 3" xfId="27108" xr:uid="{00000000-0005-0000-0000-0000136A0000}"/>
    <cellStyle name="Normal 3 6 3 2" xfId="27109" xr:uid="{00000000-0005-0000-0000-0000146A0000}"/>
    <cellStyle name="Normal 3 6 3 2 2" xfId="27110" xr:uid="{00000000-0005-0000-0000-0000156A0000}"/>
    <cellStyle name="Normal 3 6 3 2 2 2" xfId="27111" xr:uid="{00000000-0005-0000-0000-0000166A0000}"/>
    <cellStyle name="Normal 3 6 3 2 2 2 2" xfId="27112" xr:uid="{00000000-0005-0000-0000-0000176A0000}"/>
    <cellStyle name="Normal 3 6 3 2 2 3" xfId="27113" xr:uid="{00000000-0005-0000-0000-0000186A0000}"/>
    <cellStyle name="Normal 3 6 3 2 3" xfId="27114" xr:uid="{00000000-0005-0000-0000-0000196A0000}"/>
    <cellStyle name="Normal 3 6 3 2 3 2" xfId="27115" xr:uid="{00000000-0005-0000-0000-00001A6A0000}"/>
    <cellStyle name="Normal 3 6 3 2 4" xfId="27116" xr:uid="{00000000-0005-0000-0000-00001B6A0000}"/>
    <cellStyle name="Normal 3 6 3 3" xfId="27117" xr:uid="{00000000-0005-0000-0000-00001C6A0000}"/>
    <cellStyle name="Normal 3 6 3 3 2" xfId="27118" xr:uid="{00000000-0005-0000-0000-00001D6A0000}"/>
    <cellStyle name="Normal 3 6 3 3 2 2" xfId="27119" xr:uid="{00000000-0005-0000-0000-00001E6A0000}"/>
    <cellStyle name="Normal 3 6 3 3 3" xfId="27120" xr:uid="{00000000-0005-0000-0000-00001F6A0000}"/>
    <cellStyle name="Normal 3 6 3 4" xfId="27121" xr:uid="{00000000-0005-0000-0000-0000206A0000}"/>
    <cellStyle name="Normal 3 6 3 4 2" xfId="27122" xr:uid="{00000000-0005-0000-0000-0000216A0000}"/>
    <cellStyle name="Normal 3 6 3 5" xfId="27123" xr:uid="{00000000-0005-0000-0000-0000226A0000}"/>
    <cellStyle name="Normal 3 6 4" xfId="27124" xr:uid="{00000000-0005-0000-0000-0000236A0000}"/>
    <cellStyle name="Normal 3 6 4 2" xfId="27125" xr:uid="{00000000-0005-0000-0000-0000246A0000}"/>
    <cellStyle name="Normal 3 6 4 2 2" xfId="27126" xr:uid="{00000000-0005-0000-0000-0000256A0000}"/>
    <cellStyle name="Normal 3 6 4 2 2 2" xfId="27127" xr:uid="{00000000-0005-0000-0000-0000266A0000}"/>
    <cellStyle name="Normal 3 6 4 2 3" xfId="27128" xr:uid="{00000000-0005-0000-0000-0000276A0000}"/>
    <cellStyle name="Normal 3 6 4 3" xfId="27129" xr:uid="{00000000-0005-0000-0000-0000286A0000}"/>
    <cellStyle name="Normal 3 6 4 3 2" xfId="27130" xr:uid="{00000000-0005-0000-0000-0000296A0000}"/>
    <cellStyle name="Normal 3 6 4 4" xfId="27131" xr:uid="{00000000-0005-0000-0000-00002A6A0000}"/>
    <cellStyle name="Normal 3 6 5" xfId="27132" xr:uid="{00000000-0005-0000-0000-00002B6A0000}"/>
    <cellStyle name="Normal 3 6 5 2" xfId="27133" xr:uid="{00000000-0005-0000-0000-00002C6A0000}"/>
    <cellStyle name="Normal 3 6 5 2 2" xfId="27134" xr:uid="{00000000-0005-0000-0000-00002D6A0000}"/>
    <cellStyle name="Normal 3 6 5 3" xfId="27135" xr:uid="{00000000-0005-0000-0000-00002E6A0000}"/>
    <cellStyle name="Normal 3 6 6" xfId="27136" xr:uid="{00000000-0005-0000-0000-00002F6A0000}"/>
    <cellStyle name="Normal 3 6 6 2" xfId="27137" xr:uid="{00000000-0005-0000-0000-0000306A0000}"/>
    <cellStyle name="Normal 3 6 7" xfId="27138" xr:uid="{00000000-0005-0000-0000-0000316A0000}"/>
    <cellStyle name="Normal 3 6 7 2" xfId="27139" xr:uid="{00000000-0005-0000-0000-0000326A0000}"/>
    <cellStyle name="Normal 3 6 8" xfId="27140" xr:uid="{00000000-0005-0000-0000-0000336A0000}"/>
    <cellStyle name="Normal 3 7" xfId="27141" xr:uid="{00000000-0005-0000-0000-0000346A0000}"/>
    <cellStyle name="Normal 3 7 2" xfId="27142" xr:uid="{00000000-0005-0000-0000-0000356A0000}"/>
    <cellStyle name="Normal 3 7 2 2" xfId="27143" xr:uid="{00000000-0005-0000-0000-0000366A0000}"/>
    <cellStyle name="Normal 3 7 2 2 2" xfId="27144" xr:uid="{00000000-0005-0000-0000-0000376A0000}"/>
    <cellStyle name="Normal 3 7 2 2 2 2" xfId="27145" xr:uid="{00000000-0005-0000-0000-0000386A0000}"/>
    <cellStyle name="Normal 3 7 2 2 2 2 2" xfId="27146" xr:uid="{00000000-0005-0000-0000-0000396A0000}"/>
    <cellStyle name="Normal 3 7 2 2 2 3" xfId="27147" xr:uid="{00000000-0005-0000-0000-00003A6A0000}"/>
    <cellStyle name="Normal 3 7 2 2 3" xfId="27148" xr:uid="{00000000-0005-0000-0000-00003B6A0000}"/>
    <cellStyle name="Normal 3 7 2 2 3 2" xfId="27149" xr:uid="{00000000-0005-0000-0000-00003C6A0000}"/>
    <cellStyle name="Normal 3 7 2 2 4" xfId="27150" xr:uid="{00000000-0005-0000-0000-00003D6A0000}"/>
    <cellStyle name="Normal 3 7 2 3" xfId="27151" xr:uid="{00000000-0005-0000-0000-00003E6A0000}"/>
    <cellStyle name="Normal 3 7 2 3 2" xfId="27152" xr:uid="{00000000-0005-0000-0000-00003F6A0000}"/>
    <cellStyle name="Normal 3 7 2 3 2 2" xfId="27153" xr:uid="{00000000-0005-0000-0000-0000406A0000}"/>
    <cellStyle name="Normal 3 7 2 3 3" xfId="27154" xr:uid="{00000000-0005-0000-0000-0000416A0000}"/>
    <cellStyle name="Normal 3 7 2 4" xfId="27155" xr:uid="{00000000-0005-0000-0000-0000426A0000}"/>
    <cellStyle name="Normal 3 7 2 4 2" xfId="27156" xr:uid="{00000000-0005-0000-0000-0000436A0000}"/>
    <cellStyle name="Normal 3 7 2 5" xfId="27157" xr:uid="{00000000-0005-0000-0000-0000446A0000}"/>
    <cellStyle name="Normal 3 7 2 5 2" xfId="27158" xr:uid="{00000000-0005-0000-0000-0000456A0000}"/>
    <cellStyle name="Normal 3 7 2 6" xfId="27159" xr:uid="{00000000-0005-0000-0000-0000466A0000}"/>
    <cellStyle name="Normal 3 7 2 6 2" xfId="27160" xr:uid="{00000000-0005-0000-0000-0000476A0000}"/>
    <cellStyle name="Normal 3 7 2 7" xfId="27161" xr:uid="{00000000-0005-0000-0000-0000486A0000}"/>
    <cellStyle name="Normal 3 7 3" xfId="27162" xr:uid="{00000000-0005-0000-0000-0000496A0000}"/>
    <cellStyle name="Normal 3 7 3 2" xfId="27163" xr:uid="{00000000-0005-0000-0000-00004A6A0000}"/>
    <cellStyle name="Normal 3 7 3 2 2" xfId="27164" xr:uid="{00000000-0005-0000-0000-00004B6A0000}"/>
    <cellStyle name="Normal 3 7 3 2 2 2" xfId="27165" xr:uid="{00000000-0005-0000-0000-00004C6A0000}"/>
    <cellStyle name="Normal 3 7 3 2 3" xfId="27166" xr:uid="{00000000-0005-0000-0000-00004D6A0000}"/>
    <cellStyle name="Normal 3 7 3 3" xfId="27167" xr:uid="{00000000-0005-0000-0000-00004E6A0000}"/>
    <cellStyle name="Normal 3 7 3 3 2" xfId="27168" xr:uid="{00000000-0005-0000-0000-00004F6A0000}"/>
    <cellStyle name="Normal 3 7 3 4" xfId="27169" xr:uid="{00000000-0005-0000-0000-0000506A0000}"/>
    <cellStyle name="Normal 3 7 4" xfId="27170" xr:uid="{00000000-0005-0000-0000-0000516A0000}"/>
    <cellStyle name="Normal 3 7 4 2" xfId="27171" xr:uid="{00000000-0005-0000-0000-0000526A0000}"/>
    <cellStyle name="Normal 3 7 4 2 2" xfId="27172" xr:uid="{00000000-0005-0000-0000-0000536A0000}"/>
    <cellStyle name="Normal 3 7 4 3" xfId="27173" xr:uid="{00000000-0005-0000-0000-0000546A0000}"/>
    <cellStyle name="Normal 3 7 5" xfId="27174" xr:uid="{00000000-0005-0000-0000-0000556A0000}"/>
    <cellStyle name="Normal 3 7 5 2" xfId="27175" xr:uid="{00000000-0005-0000-0000-0000566A0000}"/>
    <cellStyle name="Normal 3 7 6" xfId="27176" xr:uid="{00000000-0005-0000-0000-0000576A0000}"/>
    <cellStyle name="Normal 3 7 6 2" xfId="27177" xr:uid="{00000000-0005-0000-0000-0000586A0000}"/>
    <cellStyle name="Normal 3 7 7" xfId="27178" xr:uid="{00000000-0005-0000-0000-0000596A0000}"/>
    <cellStyle name="Normal 3 7 7 2" xfId="27179" xr:uid="{00000000-0005-0000-0000-00005A6A0000}"/>
    <cellStyle name="Normal 3 7 8" xfId="27180" xr:uid="{00000000-0005-0000-0000-00005B6A0000}"/>
    <cellStyle name="Normal 3 8" xfId="27181" xr:uid="{00000000-0005-0000-0000-00005C6A0000}"/>
    <cellStyle name="Normal 3 8 2" xfId="27182" xr:uid="{00000000-0005-0000-0000-00005D6A0000}"/>
    <cellStyle name="Normal 3 8 2 2" xfId="27183" xr:uid="{00000000-0005-0000-0000-00005E6A0000}"/>
    <cellStyle name="Normal 3 8 2 2 2" xfId="27184" xr:uid="{00000000-0005-0000-0000-00005F6A0000}"/>
    <cellStyle name="Normal 3 8 2 2 2 2" xfId="27185" xr:uid="{00000000-0005-0000-0000-0000606A0000}"/>
    <cellStyle name="Normal 3 8 2 2 3" xfId="27186" xr:uid="{00000000-0005-0000-0000-0000616A0000}"/>
    <cellStyle name="Normal 3 8 2 3" xfId="27187" xr:uid="{00000000-0005-0000-0000-0000626A0000}"/>
    <cellStyle name="Normal 3 8 2 3 2" xfId="27188" xr:uid="{00000000-0005-0000-0000-0000636A0000}"/>
    <cellStyle name="Normal 3 8 2 4" xfId="27189" xr:uid="{00000000-0005-0000-0000-0000646A0000}"/>
    <cellStyle name="Normal 3 8 2 4 2" xfId="27190" xr:uid="{00000000-0005-0000-0000-0000656A0000}"/>
    <cellStyle name="Normal 3 8 2 5" xfId="27191" xr:uid="{00000000-0005-0000-0000-0000666A0000}"/>
    <cellStyle name="Normal 3 8 2 5 2" xfId="27192" xr:uid="{00000000-0005-0000-0000-0000676A0000}"/>
    <cellStyle name="Normal 3 8 2 6" xfId="27193" xr:uid="{00000000-0005-0000-0000-0000686A0000}"/>
    <cellStyle name="Normal 3 8 2 6 2" xfId="27194" xr:uid="{00000000-0005-0000-0000-0000696A0000}"/>
    <cellStyle name="Normal 3 8 2 7" xfId="27195" xr:uid="{00000000-0005-0000-0000-00006A6A0000}"/>
    <cellStyle name="Normal 3 8 3" xfId="27196" xr:uid="{00000000-0005-0000-0000-00006B6A0000}"/>
    <cellStyle name="Normal 3 8 3 2" xfId="27197" xr:uid="{00000000-0005-0000-0000-00006C6A0000}"/>
    <cellStyle name="Normal 3 8 3 2 2" xfId="27198" xr:uid="{00000000-0005-0000-0000-00006D6A0000}"/>
    <cellStyle name="Normal 3 8 3 3" xfId="27199" xr:uid="{00000000-0005-0000-0000-00006E6A0000}"/>
    <cellStyle name="Normal 3 8 4" xfId="27200" xr:uid="{00000000-0005-0000-0000-00006F6A0000}"/>
    <cellStyle name="Normal 3 8 4 2" xfId="27201" xr:uid="{00000000-0005-0000-0000-0000706A0000}"/>
    <cellStyle name="Normal 3 8 5" xfId="27202" xr:uid="{00000000-0005-0000-0000-0000716A0000}"/>
    <cellStyle name="Normal 3 8 5 2" xfId="27203" xr:uid="{00000000-0005-0000-0000-0000726A0000}"/>
    <cellStyle name="Normal 3 8 6" xfId="27204" xr:uid="{00000000-0005-0000-0000-0000736A0000}"/>
    <cellStyle name="Normal 3 8 6 2" xfId="27205" xr:uid="{00000000-0005-0000-0000-0000746A0000}"/>
    <cellStyle name="Normal 3 8 7" xfId="27206" xr:uid="{00000000-0005-0000-0000-0000756A0000}"/>
    <cellStyle name="Normal 3 8 7 2" xfId="27207" xr:uid="{00000000-0005-0000-0000-0000766A0000}"/>
    <cellStyle name="Normal 3 8 8" xfId="27208" xr:uid="{00000000-0005-0000-0000-0000776A0000}"/>
    <cellStyle name="Normal 3 9" xfId="27209" xr:uid="{00000000-0005-0000-0000-0000786A0000}"/>
    <cellStyle name="Normal 3 9 2" xfId="27210" xr:uid="{00000000-0005-0000-0000-0000796A0000}"/>
    <cellStyle name="Normal 3 9 2 2" xfId="27211" xr:uid="{00000000-0005-0000-0000-00007A6A0000}"/>
    <cellStyle name="Normal 3 9 2 2 2" xfId="27212" xr:uid="{00000000-0005-0000-0000-00007B6A0000}"/>
    <cellStyle name="Normal 3 9 2 3" xfId="27213" xr:uid="{00000000-0005-0000-0000-00007C6A0000}"/>
    <cellStyle name="Normal 3 9 2 3 2" xfId="27214" xr:uid="{00000000-0005-0000-0000-00007D6A0000}"/>
    <cellStyle name="Normal 3 9 2 4" xfId="27215" xr:uid="{00000000-0005-0000-0000-00007E6A0000}"/>
    <cellStyle name="Normal 3 9 2 4 2" xfId="27216" xr:uid="{00000000-0005-0000-0000-00007F6A0000}"/>
    <cellStyle name="Normal 3 9 2 5" xfId="27217" xr:uid="{00000000-0005-0000-0000-0000806A0000}"/>
    <cellStyle name="Normal 3 9 2 5 2" xfId="27218" xr:uid="{00000000-0005-0000-0000-0000816A0000}"/>
    <cellStyle name="Normal 3 9 2 6" xfId="27219" xr:uid="{00000000-0005-0000-0000-0000826A0000}"/>
    <cellStyle name="Normal 3 9 2 6 2" xfId="27220" xr:uid="{00000000-0005-0000-0000-0000836A0000}"/>
    <cellStyle name="Normal 3 9 2 7" xfId="27221" xr:uid="{00000000-0005-0000-0000-0000846A0000}"/>
    <cellStyle name="Normal 3 9 3" xfId="27222" xr:uid="{00000000-0005-0000-0000-0000856A0000}"/>
    <cellStyle name="Normal 3 9 3 2" xfId="27223" xr:uid="{00000000-0005-0000-0000-0000866A0000}"/>
    <cellStyle name="Normal 3 9 4" xfId="27224" xr:uid="{00000000-0005-0000-0000-0000876A0000}"/>
    <cellStyle name="Normal 3 9 4 2" xfId="27225" xr:uid="{00000000-0005-0000-0000-0000886A0000}"/>
    <cellStyle name="Normal 3 9 5" xfId="27226" xr:uid="{00000000-0005-0000-0000-0000896A0000}"/>
    <cellStyle name="Normal 3 9 5 2" xfId="27227" xr:uid="{00000000-0005-0000-0000-00008A6A0000}"/>
    <cellStyle name="Normal 3 9 6" xfId="27228" xr:uid="{00000000-0005-0000-0000-00008B6A0000}"/>
    <cellStyle name="Normal 3 9 6 2" xfId="27229" xr:uid="{00000000-0005-0000-0000-00008C6A0000}"/>
    <cellStyle name="Normal 3 9 7" xfId="27230" xr:uid="{00000000-0005-0000-0000-00008D6A0000}"/>
    <cellStyle name="Normal 3 9 7 2" xfId="27231" xr:uid="{00000000-0005-0000-0000-00008E6A0000}"/>
    <cellStyle name="Normal 3 9 8" xfId="27232" xr:uid="{00000000-0005-0000-0000-00008F6A0000}"/>
    <cellStyle name="Normal 4" xfId="27233" xr:uid="{00000000-0005-0000-0000-0000906A0000}"/>
    <cellStyle name="Normal 4 10" xfId="27234" xr:uid="{00000000-0005-0000-0000-0000916A0000}"/>
    <cellStyle name="Normal 4 10 2" xfId="27235" xr:uid="{00000000-0005-0000-0000-0000926A0000}"/>
    <cellStyle name="Normal 4 10 2 2" xfId="27236" xr:uid="{00000000-0005-0000-0000-0000936A0000}"/>
    <cellStyle name="Normal 4 10 2 2 2" xfId="27237" xr:uid="{00000000-0005-0000-0000-0000946A0000}"/>
    <cellStyle name="Normal 4 10 2 3" xfId="27238" xr:uid="{00000000-0005-0000-0000-0000956A0000}"/>
    <cellStyle name="Normal 4 10 2 3 2" xfId="27239" xr:uid="{00000000-0005-0000-0000-0000966A0000}"/>
    <cellStyle name="Normal 4 10 2 4" xfId="27240" xr:uid="{00000000-0005-0000-0000-0000976A0000}"/>
    <cellStyle name="Normal 4 10 2 4 2" xfId="27241" xr:uid="{00000000-0005-0000-0000-0000986A0000}"/>
    <cellStyle name="Normal 4 10 2 5" xfId="27242" xr:uid="{00000000-0005-0000-0000-0000996A0000}"/>
    <cellStyle name="Normal 4 10 2 5 2" xfId="27243" xr:uid="{00000000-0005-0000-0000-00009A6A0000}"/>
    <cellStyle name="Normal 4 10 2 6" xfId="27244" xr:uid="{00000000-0005-0000-0000-00009B6A0000}"/>
    <cellStyle name="Normal 4 10 2 6 2" xfId="27245" xr:uid="{00000000-0005-0000-0000-00009C6A0000}"/>
    <cellStyle name="Normal 4 10 2 7" xfId="27246" xr:uid="{00000000-0005-0000-0000-00009D6A0000}"/>
    <cellStyle name="Normal 4 10 3" xfId="27247" xr:uid="{00000000-0005-0000-0000-00009E6A0000}"/>
    <cellStyle name="Normal 4 10 3 2" xfId="27248" xr:uid="{00000000-0005-0000-0000-00009F6A0000}"/>
    <cellStyle name="Normal 4 10 4" xfId="27249" xr:uid="{00000000-0005-0000-0000-0000A06A0000}"/>
    <cellStyle name="Normal 4 10 4 2" xfId="27250" xr:uid="{00000000-0005-0000-0000-0000A16A0000}"/>
    <cellStyle name="Normal 4 10 5" xfId="27251" xr:uid="{00000000-0005-0000-0000-0000A26A0000}"/>
    <cellStyle name="Normal 4 10 5 2" xfId="27252" xr:uid="{00000000-0005-0000-0000-0000A36A0000}"/>
    <cellStyle name="Normal 4 10 6" xfId="27253" xr:uid="{00000000-0005-0000-0000-0000A46A0000}"/>
    <cellStyle name="Normal 4 10 6 2" xfId="27254" xr:uid="{00000000-0005-0000-0000-0000A56A0000}"/>
    <cellStyle name="Normal 4 10 7" xfId="27255" xr:uid="{00000000-0005-0000-0000-0000A66A0000}"/>
    <cellStyle name="Normal 4 10 7 2" xfId="27256" xr:uid="{00000000-0005-0000-0000-0000A76A0000}"/>
    <cellStyle name="Normal 4 10 8" xfId="27257" xr:uid="{00000000-0005-0000-0000-0000A86A0000}"/>
    <cellStyle name="Normal 4 11" xfId="27258" xr:uid="{00000000-0005-0000-0000-0000A96A0000}"/>
    <cellStyle name="Normal 4 11 2" xfId="27259" xr:uid="{00000000-0005-0000-0000-0000AA6A0000}"/>
    <cellStyle name="Normal 4 11 2 2" xfId="27260" xr:uid="{00000000-0005-0000-0000-0000AB6A0000}"/>
    <cellStyle name="Normal 4 11 2 2 2" xfId="27261" xr:uid="{00000000-0005-0000-0000-0000AC6A0000}"/>
    <cellStyle name="Normal 4 11 2 3" xfId="27262" xr:uid="{00000000-0005-0000-0000-0000AD6A0000}"/>
    <cellStyle name="Normal 4 11 2 3 2" xfId="27263" xr:uid="{00000000-0005-0000-0000-0000AE6A0000}"/>
    <cellStyle name="Normal 4 11 2 4" xfId="27264" xr:uid="{00000000-0005-0000-0000-0000AF6A0000}"/>
    <cellStyle name="Normal 4 11 2 4 2" xfId="27265" xr:uid="{00000000-0005-0000-0000-0000B06A0000}"/>
    <cellStyle name="Normal 4 11 2 5" xfId="27266" xr:uid="{00000000-0005-0000-0000-0000B16A0000}"/>
    <cellStyle name="Normal 4 11 2 5 2" xfId="27267" xr:uid="{00000000-0005-0000-0000-0000B26A0000}"/>
    <cellStyle name="Normal 4 11 2 6" xfId="27268" xr:uid="{00000000-0005-0000-0000-0000B36A0000}"/>
    <cellStyle name="Normal 4 11 2 6 2" xfId="27269" xr:uid="{00000000-0005-0000-0000-0000B46A0000}"/>
    <cellStyle name="Normal 4 11 2 7" xfId="27270" xr:uid="{00000000-0005-0000-0000-0000B56A0000}"/>
    <cellStyle name="Normal 4 11 3" xfId="27271" xr:uid="{00000000-0005-0000-0000-0000B66A0000}"/>
    <cellStyle name="Normal 4 11 3 2" xfId="27272" xr:uid="{00000000-0005-0000-0000-0000B76A0000}"/>
    <cellStyle name="Normal 4 11 4" xfId="27273" xr:uid="{00000000-0005-0000-0000-0000B86A0000}"/>
    <cellStyle name="Normal 4 11 4 2" xfId="27274" xr:uid="{00000000-0005-0000-0000-0000B96A0000}"/>
    <cellStyle name="Normal 4 11 5" xfId="27275" xr:uid="{00000000-0005-0000-0000-0000BA6A0000}"/>
    <cellStyle name="Normal 4 11 5 2" xfId="27276" xr:uid="{00000000-0005-0000-0000-0000BB6A0000}"/>
    <cellStyle name="Normal 4 11 6" xfId="27277" xr:uid="{00000000-0005-0000-0000-0000BC6A0000}"/>
    <cellStyle name="Normal 4 11 6 2" xfId="27278" xr:uid="{00000000-0005-0000-0000-0000BD6A0000}"/>
    <cellStyle name="Normal 4 11 7" xfId="27279" xr:uid="{00000000-0005-0000-0000-0000BE6A0000}"/>
    <cellStyle name="Normal 4 11 7 2" xfId="27280" xr:uid="{00000000-0005-0000-0000-0000BF6A0000}"/>
    <cellStyle name="Normal 4 11 8" xfId="27281" xr:uid="{00000000-0005-0000-0000-0000C06A0000}"/>
    <cellStyle name="Normal 4 12" xfId="27282" xr:uid="{00000000-0005-0000-0000-0000C16A0000}"/>
    <cellStyle name="Normal 4 12 2" xfId="27283" xr:uid="{00000000-0005-0000-0000-0000C26A0000}"/>
    <cellStyle name="Normal 4 12 2 2" xfId="27284" xr:uid="{00000000-0005-0000-0000-0000C36A0000}"/>
    <cellStyle name="Normal 4 12 2 2 2" xfId="27285" xr:uid="{00000000-0005-0000-0000-0000C46A0000}"/>
    <cellStyle name="Normal 4 12 2 3" xfId="27286" xr:uid="{00000000-0005-0000-0000-0000C56A0000}"/>
    <cellStyle name="Normal 4 12 2 3 2" xfId="27287" xr:uid="{00000000-0005-0000-0000-0000C66A0000}"/>
    <cellStyle name="Normal 4 12 2 4" xfId="27288" xr:uid="{00000000-0005-0000-0000-0000C76A0000}"/>
    <cellStyle name="Normal 4 12 2 4 2" xfId="27289" xr:uid="{00000000-0005-0000-0000-0000C86A0000}"/>
    <cellStyle name="Normal 4 12 2 5" xfId="27290" xr:uid="{00000000-0005-0000-0000-0000C96A0000}"/>
    <cellStyle name="Normal 4 12 2 5 2" xfId="27291" xr:uid="{00000000-0005-0000-0000-0000CA6A0000}"/>
    <cellStyle name="Normal 4 12 2 6" xfId="27292" xr:uid="{00000000-0005-0000-0000-0000CB6A0000}"/>
    <cellStyle name="Normal 4 12 2 6 2" xfId="27293" xr:uid="{00000000-0005-0000-0000-0000CC6A0000}"/>
    <cellStyle name="Normal 4 12 2 7" xfId="27294" xr:uid="{00000000-0005-0000-0000-0000CD6A0000}"/>
    <cellStyle name="Normal 4 12 3" xfId="27295" xr:uid="{00000000-0005-0000-0000-0000CE6A0000}"/>
    <cellStyle name="Normal 4 12 3 2" xfId="27296" xr:uid="{00000000-0005-0000-0000-0000CF6A0000}"/>
    <cellStyle name="Normal 4 12 4" xfId="27297" xr:uid="{00000000-0005-0000-0000-0000D06A0000}"/>
    <cellStyle name="Normal 4 12 4 2" xfId="27298" xr:uid="{00000000-0005-0000-0000-0000D16A0000}"/>
    <cellStyle name="Normal 4 12 5" xfId="27299" xr:uid="{00000000-0005-0000-0000-0000D26A0000}"/>
    <cellStyle name="Normal 4 12 5 2" xfId="27300" xr:uid="{00000000-0005-0000-0000-0000D36A0000}"/>
    <cellStyle name="Normal 4 12 6" xfId="27301" xr:uid="{00000000-0005-0000-0000-0000D46A0000}"/>
    <cellStyle name="Normal 4 12 6 2" xfId="27302" xr:uid="{00000000-0005-0000-0000-0000D56A0000}"/>
    <cellStyle name="Normal 4 12 7" xfId="27303" xr:uid="{00000000-0005-0000-0000-0000D66A0000}"/>
    <cellStyle name="Normal 4 12 7 2" xfId="27304" xr:uid="{00000000-0005-0000-0000-0000D76A0000}"/>
    <cellStyle name="Normal 4 12 8" xfId="27305" xr:uid="{00000000-0005-0000-0000-0000D86A0000}"/>
    <cellStyle name="Normal 4 13" xfId="27306" xr:uid="{00000000-0005-0000-0000-0000D96A0000}"/>
    <cellStyle name="Normal 4 13 2" xfId="27307" xr:uid="{00000000-0005-0000-0000-0000DA6A0000}"/>
    <cellStyle name="Normal 4 13 2 2" xfId="27308" xr:uid="{00000000-0005-0000-0000-0000DB6A0000}"/>
    <cellStyle name="Normal 4 13 2 2 2" xfId="27309" xr:uid="{00000000-0005-0000-0000-0000DC6A0000}"/>
    <cellStyle name="Normal 4 13 2 3" xfId="27310" xr:uid="{00000000-0005-0000-0000-0000DD6A0000}"/>
    <cellStyle name="Normal 4 13 2 3 2" xfId="27311" xr:uid="{00000000-0005-0000-0000-0000DE6A0000}"/>
    <cellStyle name="Normal 4 13 2 4" xfId="27312" xr:uid="{00000000-0005-0000-0000-0000DF6A0000}"/>
    <cellStyle name="Normal 4 13 2 4 2" xfId="27313" xr:uid="{00000000-0005-0000-0000-0000E06A0000}"/>
    <cellStyle name="Normal 4 13 2 5" xfId="27314" xr:uid="{00000000-0005-0000-0000-0000E16A0000}"/>
    <cellStyle name="Normal 4 13 2 5 2" xfId="27315" xr:uid="{00000000-0005-0000-0000-0000E26A0000}"/>
    <cellStyle name="Normal 4 13 2 6" xfId="27316" xr:uid="{00000000-0005-0000-0000-0000E36A0000}"/>
    <cellStyle name="Normal 4 13 2 6 2" xfId="27317" xr:uid="{00000000-0005-0000-0000-0000E46A0000}"/>
    <cellStyle name="Normal 4 13 2 7" xfId="27318" xr:uid="{00000000-0005-0000-0000-0000E56A0000}"/>
    <cellStyle name="Normal 4 13 3" xfId="27319" xr:uid="{00000000-0005-0000-0000-0000E66A0000}"/>
    <cellStyle name="Normal 4 13 3 2" xfId="27320" xr:uid="{00000000-0005-0000-0000-0000E76A0000}"/>
    <cellStyle name="Normal 4 13 4" xfId="27321" xr:uid="{00000000-0005-0000-0000-0000E86A0000}"/>
    <cellStyle name="Normal 4 13 4 2" xfId="27322" xr:uid="{00000000-0005-0000-0000-0000E96A0000}"/>
    <cellStyle name="Normal 4 13 5" xfId="27323" xr:uid="{00000000-0005-0000-0000-0000EA6A0000}"/>
    <cellStyle name="Normal 4 13 5 2" xfId="27324" xr:uid="{00000000-0005-0000-0000-0000EB6A0000}"/>
    <cellStyle name="Normal 4 13 6" xfId="27325" xr:uid="{00000000-0005-0000-0000-0000EC6A0000}"/>
    <cellStyle name="Normal 4 13 6 2" xfId="27326" xr:uid="{00000000-0005-0000-0000-0000ED6A0000}"/>
    <cellStyle name="Normal 4 13 7" xfId="27327" xr:uid="{00000000-0005-0000-0000-0000EE6A0000}"/>
    <cellStyle name="Normal 4 13 7 2" xfId="27328" xr:uid="{00000000-0005-0000-0000-0000EF6A0000}"/>
    <cellStyle name="Normal 4 13 8" xfId="27329" xr:uid="{00000000-0005-0000-0000-0000F06A0000}"/>
    <cellStyle name="Normal 4 14" xfId="27330" xr:uid="{00000000-0005-0000-0000-0000F16A0000}"/>
    <cellStyle name="Normal 4 14 2" xfId="27331" xr:uid="{00000000-0005-0000-0000-0000F26A0000}"/>
    <cellStyle name="Normal 4 14 2 2" xfId="27332" xr:uid="{00000000-0005-0000-0000-0000F36A0000}"/>
    <cellStyle name="Normal 4 14 3" xfId="27333" xr:uid="{00000000-0005-0000-0000-0000F46A0000}"/>
    <cellStyle name="Normal 4 14 3 2" xfId="27334" xr:uid="{00000000-0005-0000-0000-0000F56A0000}"/>
    <cellStyle name="Normal 4 14 4" xfId="27335" xr:uid="{00000000-0005-0000-0000-0000F66A0000}"/>
    <cellStyle name="Normal 4 14 4 2" xfId="27336" xr:uid="{00000000-0005-0000-0000-0000F76A0000}"/>
    <cellStyle name="Normal 4 14 5" xfId="27337" xr:uid="{00000000-0005-0000-0000-0000F86A0000}"/>
    <cellStyle name="Normal 4 14 5 2" xfId="27338" xr:uid="{00000000-0005-0000-0000-0000F96A0000}"/>
    <cellStyle name="Normal 4 14 6" xfId="27339" xr:uid="{00000000-0005-0000-0000-0000FA6A0000}"/>
    <cellStyle name="Normal 4 14 6 2" xfId="27340" xr:uid="{00000000-0005-0000-0000-0000FB6A0000}"/>
    <cellStyle name="Normal 4 14 7" xfId="27341" xr:uid="{00000000-0005-0000-0000-0000FC6A0000}"/>
    <cellStyle name="Normal 4 15" xfId="27342" xr:uid="{00000000-0005-0000-0000-0000FD6A0000}"/>
    <cellStyle name="Normal 4 15 2" xfId="27343" xr:uid="{00000000-0005-0000-0000-0000FE6A0000}"/>
    <cellStyle name="Normal 4 15 2 2" xfId="27344" xr:uid="{00000000-0005-0000-0000-0000FF6A0000}"/>
    <cellStyle name="Normal 4 15 3" xfId="27345" xr:uid="{00000000-0005-0000-0000-0000006B0000}"/>
    <cellStyle name="Normal 4 15 3 2" xfId="27346" xr:uid="{00000000-0005-0000-0000-0000016B0000}"/>
    <cellStyle name="Normal 4 15 4" xfId="27347" xr:uid="{00000000-0005-0000-0000-0000026B0000}"/>
    <cellStyle name="Normal 4 15 4 2" xfId="27348" xr:uid="{00000000-0005-0000-0000-0000036B0000}"/>
    <cellStyle name="Normal 4 15 5" xfId="27349" xr:uid="{00000000-0005-0000-0000-0000046B0000}"/>
    <cellStyle name="Normal 4 15 5 2" xfId="27350" xr:uid="{00000000-0005-0000-0000-0000056B0000}"/>
    <cellStyle name="Normal 4 15 6" xfId="27351" xr:uid="{00000000-0005-0000-0000-0000066B0000}"/>
    <cellStyle name="Normal 4 15 6 2" xfId="27352" xr:uid="{00000000-0005-0000-0000-0000076B0000}"/>
    <cellStyle name="Normal 4 15 7" xfId="27353" xr:uid="{00000000-0005-0000-0000-0000086B0000}"/>
    <cellStyle name="Normal 4 16" xfId="27354" xr:uid="{00000000-0005-0000-0000-0000096B0000}"/>
    <cellStyle name="Normal 4 16 2" xfId="27355" xr:uid="{00000000-0005-0000-0000-00000A6B0000}"/>
    <cellStyle name="Normal 4 16 2 2" xfId="27356" xr:uid="{00000000-0005-0000-0000-00000B6B0000}"/>
    <cellStyle name="Normal 4 16 3" xfId="27357" xr:uid="{00000000-0005-0000-0000-00000C6B0000}"/>
    <cellStyle name="Normal 4 16 3 2" xfId="27358" xr:uid="{00000000-0005-0000-0000-00000D6B0000}"/>
    <cellStyle name="Normal 4 16 4" xfId="27359" xr:uid="{00000000-0005-0000-0000-00000E6B0000}"/>
    <cellStyle name="Normal 4 16 4 2" xfId="27360" xr:uid="{00000000-0005-0000-0000-00000F6B0000}"/>
    <cellStyle name="Normal 4 16 5" xfId="27361" xr:uid="{00000000-0005-0000-0000-0000106B0000}"/>
    <cellStyle name="Normal 4 16 5 2" xfId="27362" xr:uid="{00000000-0005-0000-0000-0000116B0000}"/>
    <cellStyle name="Normal 4 16 6" xfId="27363" xr:uid="{00000000-0005-0000-0000-0000126B0000}"/>
    <cellStyle name="Normal 4 16 6 2" xfId="27364" xr:uid="{00000000-0005-0000-0000-0000136B0000}"/>
    <cellStyle name="Normal 4 16 7" xfId="27365" xr:uid="{00000000-0005-0000-0000-0000146B0000}"/>
    <cellStyle name="Normal 4 17" xfId="27366" xr:uid="{00000000-0005-0000-0000-0000156B0000}"/>
    <cellStyle name="Normal 4 17 2" xfId="27367" xr:uid="{00000000-0005-0000-0000-0000166B0000}"/>
    <cellStyle name="Normal 4 18" xfId="27368" xr:uid="{00000000-0005-0000-0000-0000176B0000}"/>
    <cellStyle name="Normal 4 18 2" xfId="27369" xr:uid="{00000000-0005-0000-0000-0000186B0000}"/>
    <cellStyle name="Normal 4 19" xfId="27370" xr:uid="{00000000-0005-0000-0000-0000196B0000}"/>
    <cellStyle name="Normal 4 19 2" xfId="27371" xr:uid="{00000000-0005-0000-0000-00001A6B0000}"/>
    <cellStyle name="Normal 4 2" xfId="27372" xr:uid="{00000000-0005-0000-0000-00001B6B0000}"/>
    <cellStyle name="Normal 4 2 10" xfId="27373" xr:uid="{00000000-0005-0000-0000-00001C6B0000}"/>
    <cellStyle name="Normal 4 2 10 2" xfId="27374" xr:uid="{00000000-0005-0000-0000-00001D6B0000}"/>
    <cellStyle name="Normal 4 2 10 2 2" xfId="27375" xr:uid="{00000000-0005-0000-0000-00001E6B0000}"/>
    <cellStyle name="Normal 4 2 10 2 2 2" xfId="27376" xr:uid="{00000000-0005-0000-0000-00001F6B0000}"/>
    <cellStyle name="Normal 4 2 10 2 3" xfId="27377" xr:uid="{00000000-0005-0000-0000-0000206B0000}"/>
    <cellStyle name="Normal 4 2 10 2 3 2" xfId="27378" xr:uid="{00000000-0005-0000-0000-0000216B0000}"/>
    <cellStyle name="Normal 4 2 10 2 4" xfId="27379" xr:uid="{00000000-0005-0000-0000-0000226B0000}"/>
    <cellStyle name="Normal 4 2 10 2 4 2" xfId="27380" xr:uid="{00000000-0005-0000-0000-0000236B0000}"/>
    <cellStyle name="Normal 4 2 10 2 5" xfId="27381" xr:uid="{00000000-0005-0000-0000-0000246B0000}"/>
    <cellStyle name="Normal 4 2 10 2 5 2" xfId="27382" xr:uid="{00000000-0005-0000-0000-0000256B0000}"/>
    <cellStyle name="Normal 4 2 10 2 6" xfId="27383" xr:uid="{00000000-0005-0000-0000-0000266B0000}"/>
    <cellStyle name="Normal 4 2 10 2 6 2" xfId="27384" xr:uid="{00000000-0005-0000-0000-0000276B0000}"/>
    <cellStyle name="Normal 4 2 10 2 7" xfId="27385" xr:uid="{00000000-0005-0000-0000-0000286B0000}"/>
    <cellStyle name="Normal 4 2 10 3" xfId="27386" xr:uid="{00000000-0005-0000-0000-0000296B0000}"/>
    <cellStyle name="Normal 4 2 10 3 2" xfId="27387" xr:uid="{00000000-0005-0000-0000-00002A6B0000}"/>
    <cellStyle name="Normal 4 2 10 4" xfId="27388" xr:uid="{00000000-0005-0000-0000-00002B6B0000}"/>
    <cellStyle name="Normal 4 2 10 4 2" xfId="27389" xr:uid="{00000000-0005-0000-0000-00002C6B0000}"/>
    <cellStyle name="Normal 4 2 10 5" xfId="27390" xr:uid="{00000000-0005-0000-0000-00002D6B0000}"/>
    <cellStyle name="Normal 4 2 10 5 2" xfId="27391" xr:uid="{00000000-0005-0000-0000-00002E6B0000}"/>
    <cellStyle name="Normal 4 2 10 6" xfId="27392" xr:uid="{00000000-0005-0000-0000-00002F6B0000}"/>
    <cellStyle name="Normal 4 2 10 6 2" xfId="27393" xr:uid="{00000000-0005-0000-0000-0000306B0000}"/>
    <cellStyle name="Normal 4 2 10 7" xfId="27394" xr:uid="{00000000-0005-0000-0000-0000316B0000}"/>
    <cellStyle name="Normal 4 2 10 7 2" xfId="27395" xr:uid="{00000000-0005-0000-0000-0000326B0000}"/>
    <cellStyle name="Normal 4 2 10 8" xfId="27396" xr:uid="{00000000-0005-0000-0000-0000336B0000}"/>
    <cellStyle name="Normal 4 2 11" xfId="27397" xr:uid="{00000000-0005-0000-0000-0000346B0000}"/>
    <cellStyle name="Normal 4 2 11 2" xfId="27398" xr:uid="{00000000-0005-0000-0000-0000356B0000}"/>
    <cellStyle name="Normal 4 2 11 2 2" xfId="27399" xr:uid="{00000000-0005-0000-0000-0000366B0000}"/>
    <cellStyle name="Normal 4 2 11 3" xfId="27400" xr:uid="{00000000-0005-0000-0000-0000376B0000}"/>
    <cellStyle name="Normal 4 2 11 3 2" xfId="27401" xr:uid="{00000000-0005-0000-0000-0000386B0000}"/>
    <cellStyle name="Normal 4 2 11 4" xfId="27402" xr:uid="{00000000-0005-0000-0000-0000396B0000}"/>
    <cellStyle name="Normal 4 2 11 4 2" xfId="27403" xr:uid="{00000000-0005-0000-0000-00003A6B0000}"/>
    <cellStyle name="Normal 4 2 11 5" xfId="27404" xr:uid="{00000000-0005-0000-0000-00003B6B0000}"/>
    <cellStyle name="Normal 4 2 11 5 2" xfId="27405" xr:uid="{00000000-0005-0000-0000-00003C6B0000}"/>
    <cellStyle name="Normal 4 2 11 6" xfId="27406" xr:uid="{00000000-0005-0000-0000-00003D6B0000}"/>
    <cellStyle name="Normal 4 2 11 6 2" xfId="27407" xr:uid="{00000000-0005-0000-0000-00003E6B0000}"/>
    <cellStyle name="Normal 4 2 11 7" xfId="27408" xr:uid="{00000000-0005-0000-0000-00003F6B0000}"/>
    <cellStyle name="Normal 4 2 12" xfId="27409" xr:uid="{00000000-0005-0000-0000-0000406B0000}"/>
    <cellStyle name="Normal 4 2 12 2" xfId="27410" xr:uid="{00000000-0005-0000-0000-0000416B0000}"/>
    <cellStyle name="Normal 4 2 12 2 2" xfId="27411" xr:uid="{00000000-0005-0000-0000-0000426B0000}"/>
    <cellStyle name="Normal 4 2 12 3" xfId="27412" xr:uid="{00000000-0005-0000-0000-0000436B0000}"/>
    <cellStyle name="Normal 4 2 12 3 2" xfId="27413" xr:uid="{00000000-0005-0000-0000-0000446B0000}"/>
    <cellStyle name="Normal 4 2 12 4" xfId="27414" xr:uid="{00000000-0005-0000-0000-0000456B0000}"/>
    <cellStyle name="Normal 4 2 12 4 2" xfId="27415" xr:uid="{00000000-0005-0000-0000-0000466B0000}"/>
    <cellStyle name="Normal 4 2 12 5" xfId="27416" xr:uid="{00000000-0005-0000-0000-0000476B0000}"/>
    <cellStyle name="Normal 4 2 12 5 2" xfId="27417" xr:uid="{00000000-0005-0000-0000-0000486B0000}"/>
    <cellStyle name="Normal 4 2 12 6" xfId="27418" xr:uid="{00000000-0005-0000-0000-0000496B0000}"/>
    <cellStyle name="Normal 4 2 12 6 2" xfId="27419" xr:uid="{00000000-0005-0000-0000-00004A6B0000}"/>
    <cellStyle name="Normal 4 2 12 7" xfId="27420" xr:uid="{00000000-0005-0000-0000-00004B6B0000}"/>
    <cellStyle name="Normal 4 2 13" xfId="27421" xr:uid="{00000000-0005-0000-0000-00004C6B0000}"/>
    <cellStyle name="Normal 4 2 13 2" xfId="27422" xr:uid="{00000000-0005-0000-0000-00004D6B0000}"/>
    <cellStyle name="Normal 4 2 14" xfId="27423" xr:uid="{00000000-0005-0000-0000-00004E6B0000}"/>
    <cellStyle name="Normal 4 2 14 2" xfId="27424" xr:uid="{00000000-0005-0000-0000-00004F6B0000}"/>
    <cellStyle name="Normal 4 2 15" xfId="27425" xr:uid="{00000000-0005-0000-0000-0000506B0000}"/>
    <cellStyle name="Normal 4 2 15 2" xfId="27426" xr:uid="{00000000-0005-0000-0000-0000516B0000}"/>
    <cellStyle name="Normal 4 2 16" xfId="27427" xr:uid="{00000000-0005-0000-0000-0000526B0000}"/>
    <cellStyle name="Normal 4 2 16 2" xfId="27428" xr:uid="{00000000-0005-0000-0000-0000536B0000}"/>
    <cellStyle name="Normal 4 2 17" xfId="27429" xr:uid="{00000000-0005-0000-0000-0000546B0000}"/>
    <cellStyle name="Normal 4 2 17 2" xfId="27430" xr:uid="{00000000-0005-0000-0000-0000556B0000}"/>
    <cellStyle name="Normal 4 2 18" xfId="27431" xr:uid="{00000000-0005-0000-0000-0000566B0000}"/>
    <cellStyle name="Normal 4 2 2" xfId="27432" xr:uid="{00000000-0005-0000-0000-0000576B0000}"/>
    <cellStyle name="Normal 4 2 2 2" xfId="27433" xr:uid="{00000000-0005-0000-0000-0000586B0000}"/>
    <cellStyle name="Normal 4 2 2 2 2" xfId="27434" xr:uid="{00000000-0005-0000-0000-0000596B0000}"/>
    <cellStyle name="Normal 4 2 2 2 2 2" xfId="27435" xr:uid="{00000000-0005-0000-0000-00005A6B0000}"/>
    <cellStyle name="Normal 4 2 2 2 3" xfId="27436" xr:uid="{00000000-0005-0000-0000-00005B6B0000}"/>
    <cellStyle name="Normal 4 2 2 2 3 2" xfId="27437" xr:uid="{00000000-0005-0000-0000-00005C6B0000}"/>
    <cellStyle name="Normal 4 2 2 2 4" xfId="27438" xr:uid="{00000000-0005-0000-0000-00005D6B0000}"/>
    <cellStyle name="Normal 4 2 2 2 4 2" xfId="27439" xr:uid="{00000000-0005-0000-0000-00005E6B0000}"/>
    <cellStyle name="Normal 4 2 2 2 5" xfId="27440" xr:uid="{00000000-0005-0000-0000-00005F6B0000}"/>
    <cellStyle name="Normal 4 2 2 2 5 2" xfId="27441" xr:uid="{00000000-0005-0000-0000-0000606B0000}"/>
    <cellStyle name="Normal 4 2 2 2 6" xfId="27442" xr:uid="{00000000-0005-0000-0000-0000616B0000}"/>
    <cellStyle name="Normal 4 2 2 2 6 2" xfId="27443" xr:uid="{00000000-0005-0000-0000-0000626B0000}"/>
    <cellStyle name="Normal 4 2 2 2 7" xfId="27444" xr:uid="{00000000-0005-0000-0000-0000636B0000}"/>
    <cellStyle name="Normal 4 2 2 3" xfId="27445" xr:uid="{00000000-0005-0000-0000-0000646B0000}"/>
    <cellStyle name="Normal 4 2 2 3 2" xfId="27446" xr:uid="{00000000-0005-0000-0000-0000656B0000}"/>
    <cellStyle name="Normal 4 2 2 4" xfId="27447" xr:uid="{00000000-0005-0000-0000-0000666B0000}"/>
    <cellStyle name="Normal 4 2 2 4 2" xfId="27448" xr:uid="{00000000-0005-0000-0000-0000676B0000}"/>
    <cellStyle name="Normal 4 2 2 5" xfId="27449" xr:uid="{00000000-0005-0000-0000-0000686B0000}"/>
    <cellStyle name="Normal 4 2 2 5 2" xfId="27450" xr:uid="{00000000-0005-0000-0000-0000696B0000}"/>
    <cellStyle name="Normal 4 2 2 6" xfId="27451" xr:uid="{00000000-0005-0000-0000-00006A6B0000}"/>
    <cellStyle name="Normal 4 2 2 6 2" xfId="27452" xr:uid="{00000000-0005-0000-0000-00006B6B0000}"/>
    <cellStyle name="Normal 4 2 2 7" xfId="27453" xr:uid="{00000000-0005-0000-0000-00006C6B0000}"/>
    <cellStyle name="Normal 4 2 2 7 2" xfId="27454" xr:uid="{00000000-0005-0000-0000-00006D6B0000}"/>
    <cellStyle name="Normal 4 2 2 8" xfId="27455" xr:uid="{00000000-0005-0000-0000-00006E6B0000}"/>
    <cellStyle name="Normal 4 2 3" xfId="27456" xr:uid="{00000000-0005-0000-0000-00006F6B0000}"/>
    <cellStyle name="Normal 4 2 3 2" xfId="27457" xr:uid="{00000000-0005-0000-0000-0000706B0000}"/>
    <cellStyle name="Normal 4 2 3 2 2" xfId="27458" xr:uid="{00000000-0005-0000-0000-0000716B0000}"/>
    <cellStyle name="Normal 4 2 3 2 2 2" xfId="27459" xr:uid="{00000000-0005-0000-0000-0000726B0000}"/>
    <cellStyle name="Normal 4 2 3 2 3" xfId="27460" xr:uid="{00000000-0005-0000-0000-0000736B0000}"/>
    <cellStyle name="Normal 4 2 3 2 3 2" xfId="27461" xr:uid="{00000000-0005-0000-0000-0000746B0000}"/>
    <cellStyle name="Normal 4 2 3 2 4" xfId="27462" xr:uid="{00000000-0005-0000-0000-0000756B0000}"/>
    <cellStyle name="Normal 4 2 3 2 4 2" xfId="27463" xr:uid="{00000000-0005-0000-0000-0000766B0000}"/>
    <cellStyle name="Normal 4 2 3 2 5" xfId="27464" xr:uid="{00000000-0005-0000-0000-0000776B0000}"/>
    <cellStyle name="Normal 4 2 3 2 5 2" xfId="27465" xr:uid="{00000000-0005-0000-0000-0000786B0000}"/>
    <cellStyle name="Normal 4 2 3 2 6" xfId="27466" xr:uid="{00000000-0005-0000-0000-0000796B0000}"/>
    <cellStyle name="Normal 4 2 3 2 6 2" xfId="27467" xr:uid="{00000000-0005-0000-0000-00007A6B0000}"/>
    <cellStyle name="Normal 4 2 3 2 7" xfId="27468" xr:uid="{00000000-0005-0000-0000-00007B6B0000}"/>
    <cellStyle name="Normal 4 2 3 3" xfId="27469" xr:uid="{00000000-0005-0000-0000-00007C6B0000}"/>
    <cellStyle name="Normal 4 2 3 3 2" xfId="27470" xr:uid="{00000000-0005-0000-0000-00007D6B0000}"/>
    <cellStyle name="Normal 4 2 3 4" xfId="27471" xr:uid="{00000000-0005-0000-0000-00007E6B0000}"/>
    <cellStyle name="Normal 4 2 3 4 2" xfId="27472" xr:uid="{00000000-0005-0000-0000-00007F6B0000}"/>
    <cellStyle name="Normal 4 2 3 5" xfId="27473" xr:uid="{00000000-0005-0000-0000-0000806B0000}"/>
    <cellStyle name="Normal 4 2 3 5 2" xfId="27474" xr:uid="{00000000-0005-0000-0000-0000816B0000}"/>
    <cellStyle name="Normal 4 2 3 6" xfId="27475" xr:uid="{00000000-0005-0000-0000-0000826B0000}"/>
    <cellStyle name="Normal 4 2 3 6 2" xfId="27476" xr:uid="{00000000-0005-0000-0000-0000836B0000}"/>
    <cellStyle name="Normal 4 2 3 7" xfId="27477" xr:uid="{00000000-0005-0000-0000-0000846B0000}"/>
    <cellStyle name="Normal 4 2 3 7 2" xfId="27478" xr:uid="{00000000-0005-0000-0000-0000856B0000}"/>
    <cellStyle name="Normal 4 2 3 8" xfId="27479" xr:uid="{00000000-0005-0000-0000-0000866B0000}"/>
    <cellStyle name="Normal 4 2 4" xfId="27480" xr:uid="{00000000-0005-0000-0000-0000876B0000}"/>
    <cellStyle name="Normal 4 2 4 2" xfId="27481" xr:uid="{00000000-0005-0000-0000-0000886B0000}"/>
    <cellStyle name="Normal 4 2 4 2 2" xfId="27482" xr:uid="{00000000-0005-0000-0000-0000896B0000}"/>
    <cellStyle name="Normal 4 2 4 2 2 2" xfId="27483" xr:uid="{00000000-0005-0000-0000-00008A6B0000}"/>
    <cellStyle name="Normal 4 2 4 2 3" xfId="27484" xr:uid="{00000000-0005-0000-0000-00008B6B0000}"/>
    <cellStyle name="Normal 4 2 4 2 3 2" xfId="27485" xr:uid="{00000000-0005-0000-0000-00008C6B0000}"/>
    <cellStyle name="Normal 4 2 4 2 4" xfId="27486" xr:uid="{00000000-0005-0000-0000-00008D6B0000}"/>
    <cellStyle name="Normal 4 2 4 2 4 2" xfId="27487" xr:uid="{00000000-0005-0000-0000-00008E6B0000}"/>
    <cellStyle name="Normal 4 2 4 2 5" xfId="27488" xr:uid="{00000000-0005-0000-0000-00008F6B0000}"/>
    <cellStyle name="Normal 4 2 4 2 5 2" xfId="27489" xr:uid="{00000000-0005-0000-0000-0000906B0000}"/>
    <cellStyle name="Normal 4 2 4 2 6" xfId="27490" xr:uid="{00000000-0005-0000-0000-0000916B0000}"/>
    <cellStyle name="Normal 4 2 4 2 6 2" xfId="27491" xr:uid="{00000000-0005-0000-0000-0000926B0000}"/>
    <cellStyle name="Normal 4 2 4 2 7" xfId="27492" xr:uid="{00000000-0005-0000-0000-0000936B0000}"/>
    <cellStyle name="Normal 4 2 4 3" xfId="27493" xr:uid="{00000000-0005-0000-0000-0000946B0000}"/>
    <cellStyle name="Normal 4 2 4 3 2" xfId="27494" xr:uid="{00000000-0005-0000-0000-0000956B0000}"/>
    <cellStyle name="Normal 4 2 4 4" xfId="27495" xr:uid="{00000000-0005-0000-0000-0000966B0000}"/>
    <cellStyle name="Normal 4 2 4 4 2" xfId="27496" xr:uid="{00000000-0005-0000-0000-0000976B0000}"/>
    <cellStyle name="Normal 4 2 4 5" xfId="27497" xr:uid="{00000000-0005-0000-0000-0000986B0000}"/>
    <cellStyle name="Normal 4 2 4 5 2" xfId="27498" xr:uid="{00000000-0005-0000-0000-0000996B0000}"/>
    <cellStyle name="Normal 4 2 4 6" xfId="27499" xr:uid="{00000000-0005-0000-0000-00009A6B0000}"/>
    <cellStyle name="Normal 4 2 4 6 2" xfId="27500" xr:uid="{00000000-0005-0000-0000-00009B6B0000}"/>
    <cellStyle name="Normal 4 2 4 7" xfId="27501" xr:uid="{00000000-0005-0000-0000-00009C6B0000}"/>
    <cellStyle name="Normal 4 2 4 7 2" xfId="27502" xr:uid="{00000000-0005-0000-0000-00009D6B0000}"/>
    <cellStyle name="Normal 4 2 4 8" xfId="27503" xr:uid="{00000000-0005-0000-0000-00009E6B0000}"/>
    <cellStyle name="Normal 4 2 5" xfId="27504" xr:uid="{00000000-0005-0000-0000-00009F6B0000}"/>
    <cellStyle name="Normal 4 2 5 2" xfId="27505" xr:uid="{00000000-0005-0000-0000-0000A06B0000}"/>
    <cellStyle name="Normal 4 2 5 2 2" xfId="27506" xr:uid="{00000000-0005-0000-0000-0000A16B0000}"/>
    <cellStyle name="Normal 4 2 5 2 2 2" xfId="27507" xr:uid="{00000000-0005-0000-0000-0000A26B0000}"/>
    <cellStyle name="Normal 4 2 5 2 3" xfId="27508" xr:uid="{00000000-0005-0000-0000-0000A36B0000}"/>
    <cellStyle name="Normal 4 2 5 2 3 2" xfId="27509" xr:uid="{00000000-0005-0000-0000-0000A46B0000}"/>
    <cellStyle name="Normal 4 2 5 2 4" xfId="27510" xr:uid="{00000000-0005-0000-0000-0000A56B0000}"/>
    <cellStyle name="Normal 4 2 5 2 4 2" xfId="27511" xr:uid="{00000000-0005-0000-0000-0000A66B0000}"/>
    <cellStyle name="Normal 4 2 5 2 5" xfId="27512" xr:uid="{00000000-0005-0000-0000-0000A76B0000}"/>
    <cellStyle name="Normal 4 2 5 2 5 2" xfId="27513" xr:uid="{00000000-0005-0000-0000-0000A86B0000}"/>
    <cellStyle name="Normal 4 2 5 2 6" xfId="27514" xr:uid="{00000000-0005-0000-0000-0000A96B0000}"/>
    <cellStyle name="Normal 4 2 5 2 6 2" xfId="27515" xr:uid="{00000000-0005-0000-0000-0000AA6B0000}"/>
    <cellStyle name="Normal 4 2 5 2 7" xfId="27516" xr:uid="{00000000-0005-0000-0000-0000AB6B0000}"/>
    <cellStyle name="Normal 4 2 5 3" xfId="27517" xr:uid="{00000000-0005-0000-0000-0000AC6B0000}"/>
    <cellStyle name="Normal 4 2 5 3 2" xfId="27518" xr:uid="{00000000-0005-0000-0000-0000AD6B0000}"/>
    <cellStyle name="Normal 4 2 5 4" xfId="27519" xr:uid="{00000000-0005-0000-0000-0000AE6B0000}"/>
    <cellStyle name="Normal 4 2 5 4 2" xfId="27520" xr:uid="{00000000-0005-0000-0000-0000AF6B0000}"/>
    <cellStyle name="Normal 4 2 5 5" xfId="27521" xr:uid="{00000000-0005-0000-0000-0000B06B0000}"/>
    <cellStyle name="Normal 4 2 5 5 2" xfId="27522" xr:uid="{00000000-0005-0000-0000-0000B16B0000}"/>
    <cellStyle name="Normal 4 2 5 6" xfId="27523" xr:uid="{00000000-0005-0000-0000-0000B26B0000}"/>
    <cellStyle name="Normal 4 2 5 6 2" xfId="27524" xr:uid="{00000000-0005-0000-0000-0000B36B0000}"/>
    <cellStyle name="Normal 4 2 5 7" xfId="27525" xr:uid="{00000000-0005-0000-0000-0000B46B0000}"/>
    <cellStyle name="Normal 4 2 5 7 2" xfId="27526" xr:uid="{00000000-0005-0000-0000-0000B56B0000}"/>
    <cellStyle name="Normal 4 2 5 8" xfId="27527" xr:uid="{00000000-0005-0000-0000-0000B66B0000}"/>
    <cellStyle name="Normal 4 2 6" xfId="27528" xr:uid="{00000000-0005-0000-0000-0000B76B0000}"/>
    <cellStyle name="Normal 4 2 6 2" xfId="27529" xr:uid="{00000000-0005-0000-0000-0000B86B0000}"/>
    <cellStyle name="Normal 4 2 6 2 2" xfId="27530" xr:uid="{00000000-0005-0000-0000-0000B96B0000}"/>
    <cellStyle name="Normal 4 2 6 2 2 2" xfId="27531" xr:uid="{00000000-0005-0000-0000-0000BA6B0000}"/>
    <cellStyle name="Normal 4 2 6 2 3" xfId="27532" xr:uid="{00000000-0005-0000-0000-0000BB6B0000}"/>
    <cellStyle name="Normal 4 2 6 2 3 2" xfId="27533" xr:uid="{00000000-0005-0000-0000-0000BC6B0000}"/>
    <cellStyle name="Normal 4 2 6 2 4" xfId="27534" xr:uid="{00000000-0005-0000-0000-0000BD6B0000}"/>
    <cellStyle name="Normal 4 2 6 2 4 2" xfId="27535" xr:uid="{00000000-0005-0000-0000-0000BE6B0000}"/>
    <cellStyle name="Normal 4 2 6 2 5" xfId="27536" xr:uid="{00000000-0005-0000-0000-0000BF6B0000}"/>
    <cellStyle name="Normal 4 2 6 2 5 2" xfId="27537" xr:uid="{00000000-0005-0000-0000-0000C06B0000}"/>
    <cellStyle name="Normal 4 2 6 2 6" xfId="27538" xr:uid="{00000000-0005-0000-0000-0000C16B0000}"/>
    <cellStyle name="Normal 4 2 6 2 6 2" xfId="27539" xr:uid="{00000000-0005-0000-0000-0000C26B0000}"/>
    <cellStyle name="Normal 4 2 6 2 7" xfId="27540" xr:uid="{00000000-0005-0000-0000-0000C36B0000}"/>
    <cellStyle name="Normal 4 2 6 3" xfId="27541" xr:uid="{00000000-0005-0000-0000-0000C46B0000}"/>
    <cellStyle name="Normal 4 2 6 3 2" xfId="27542" xr:uid="{00000000-0005-0000-0000-0000C56B0000}"/>
    <cellStyle name="Normal 4 2 6 4" xfId="27543" xr:uid="{00000000-0005-0000-0000-0000C66B0000}"/>
    <cellStyle name="Normal 4 2 6 4 2" xfId="27544" xr:uid="{00000000-0005-0000-0000-0000C76B0000}"/>
    <cellStyle name="Normal 4 2 6 5" xfId="27545" xr:uid="{00000000-0005-0000-0000-0000C86B0000}"/>
    <cellStyle name="Normal 4 2 6 5 2" xfId="27546" xr:uid="{00000000-0005-0000-0000-0000C96B0000}"/>
    <cellStyle name="Normal 4 2 6 6" xfId="27547" xr:uid="{00000000-0005-0000-0000-0000CA6B0000}"/>
    <cellStyle name="Normal 4 2 6 6 2" xfId="27548" xr:uid="{00000000-0005-0000-0000-0000CB6B0000}"/>
    <cellStyle name="Normal 4 2 6 7" xfId="27549" xr:uid="{00000000-0005-0000-0000-0000CC6B0000}"/>
    <cellStyle name="Normal 4 2 6 7 2" xfId="27550" xr:uid="{00000000-0005-0000-0000-0000CD6B0000}"/>
    <cellStyle name="Normal 4 2 6 8" xfId="27551" xr:uid="{00000000-0005-0000-0000-0000CE6B0000}"/>
    <cellStyle name="Normal 4 2 7" xfId="27552" xr:uid="{00000000-0005-0000-0000-0000CF6B0000}"/>
    <cellStyle name="Normal 4 2 7 2" xfId="27553" xr:uid="{00000000-0005-0000-0000-0000D06B0000}"/>
    <cellStyle name="Normal 4 2 7 2 2" xfId="27554" xr:uid="{00000000-0005-0000-0000-0000D16B0000}"/>
    <cellStyle name="Normal 4 2 7 2 2 2" xfId="27555" xr:uid="{00000000-0005-0000-0000-0000D26B0000}"/>
    <cellStyle name="Normal 4 2 7 2 3" xfId="27556" xr:uid="{00000000-0005-0000-0000-0000D36B0000}"/>
    <cellStyle name="Normal 4 2 7 2 3 2" xfId="27557" xr:uid="{00000000-0005-0000-0000-0000D46B0000}"/>
    <cellStyle name="Normal 4 2 7 2 4" xfId="27558" xr:uid="{00000000-0005-0000-0000-0000D56B0000}"/>
    <cellStyle name="Normal 4 2 7 2 4 2" xfId="27559" xr:uid="{00000000-0005-0000-0000-0000D66B0000}"/>
    <cellStyle name="Normal 4 2 7 2 5" xfId="27560" xr:uid="{00000000-0005-0000-0000-0000D76B0000}"/>
    <cellStyle name="Normal 4 2 7 2 5 2" xfId="27561" xr:uid="{00000000-0005-0000-0000-0000D86B0000}"/>
    <cellStyle name="Normal 4 2 7 2 6" xfId="27562" xr:uid="{00000000-0005-0000-0000-0000D96B0000}"/>
    <cellStyle name="Normal 4 2 7 2 6 2" xfId="27563" xr:uid="{00000000-0005-0000-0000-0000DA6B0000}"/>
    <cellStyle name="Normal 4 2 7 2 7" xfId="27564" xr:uid="{00000000-0005-0000-0000-0000DB6B0000}"/>
    <cellStyle name="Normal 4 2 7 3" xfId="27565" xr:uid="{00000000-0005-0000-0000-0000DC6B0000}"/>
    <cellStyle name="Normal 4 2 7 3 2" xfId="27566" xr:uid="{00000000-0005-0000-0000-0000DD6B0000}"/>
    <cellStyle name="Normal 4 2 7 4" xfId="27567" xr:uid="{00000000-0005-0000-0000-0000DE6B0000}"/>
    <cellStyle name="Normal 4 2 7 4 2" xfId="27568" xr:uid="{00000000-0005-0000-0000-0000DF6B0000}"/>
    <cellStyle name="Normal 4 2 7 5" xfId="27569" xr:uid="{00000000-0005-0000-0000-0000E06B0000}"/>
    <cellStyle name="Normal 4 2 7 5 2" xfId="27570" xr:uid="{00000000-0005-0000-0000-0000E16B0000}"/>
    <cellStyle name="Normal 4 2 7 6" xfId="27571" xr:uid="{00000000-0005-0000-0000-0000E26B0000}"/>
    <cellStyle name="Normal 4 2 7 6 2" xfId="27572" xr:uid="{00000000-0005-0000-0000-0000E36B0000}"/>
    <cellStyle name="Normal 4 2 7 7" xfId="27573" xr:uid="{00000000-0005-0000-0000-0000E46B0000}"/>
    <cellStyle name="Normal 4 2 7 7 2" xfId="27574" xr:uid="{00000000-0005-0000-0000-0000E56B0000}"/>
    <cellStyle name="Normal 4 2 7 8" xfId="27575" xr:uid="{00000000-0005-0000-0000-0000E66B0000}"/>
    <cellStyle name="Normal 4 2 8" xfId="27576" xr:uid="{00000000-0005-0000-0000-0000E76B0000}"/>
    <cellStyle name="Normal 4 2 8 2" xfId="27577" xr:uid="{00000000-0005-0000-0000-0000E86B0000}"/>
    <cellStyle name="Normal 4 2 8 2 2" xfId="27578" xr:uid="{00000000-0005-0000-0000-0000E96B0000}"/>
    <cellStyle name="Normal 4 2 8 2 2 2" xfId="27579" xr:uid="{00000000-0005-0000-0000-0000EA6B0000}"/>
    <cellStyle name="Normal 4 2 8 2 3" xfId="27580" xr:uid="{00000000-0005-0000-0000-0000EB6B0000}"/>
    <cellStyle name="Normal 4 2 8 2 3 2" xfId="27581" xr:uid="{00000000-0005-0000-0000-0000EC6B0000}"/>
    <cellStyle name="Normal 4 2 8 2 4" xfId="27582" xr:uid="{00000000-0005-0000-0000-0000ED6B0000}"/>
    <cellStyle name="Normal 4 2 8 2 4 2" xfId="27583" xr:uid="{00000000-0005-0000-0000-0000EE6B0000}"/>
    <cellStyle name="Normal 4 2 8 2 5" xfId="27584" xr:uid="{00000000-0005-0000-0000-0000EF6B0000}"/>
    <cellStyle name="Normal 4 2 8 2 5 2" xfId="27585" xr:uid="{00000000-0005-0000-0000-0000F06B0000}"/>
    <cellStyle name="Normal 4 2 8 2 6" xfId="27586" xr:uid="{00000000-0005-0000-0000-0000F16B0000}"/>
    <cellStyle name="Normal 4 2 8 2 6 2" xfId="27587" xr:uid="{00000000-0005-0000-0000-0000F26B0000}"/>
    <cellStyle name="Normal 4 2 8 2 7" xfId="27588" xr:uid="{00000000-0005-0000-0000-0000F36B0000}"/>
    <cellStyle name="Normal 4 2 8 3" xfId="27589" xr:uid="{00000000-0005-0000-0000-0000F46B0000}"/>
    <cellStyle name="Normal 4 2 8 3 2" xfId="27590" xr:uid="{00000000-0005-0000-0000-0000F56B0000}"/>
    <cellStyle name="Normal 4 2 8 4" xfId="27591" xr:uid="{00000000-0005-0000-0000-0000F66B0000}"/>
    <cellStyle name="Normal 4 2 8 4 2" xfId="27592" xr:uid="{00000000-0005-0000-0000-0000F76B0000}"/>
    <cellStyle name="Normal 4 2 8 5" xfId="27593" xr:uid="{00000000-0005-0000-0000-0000F86B0000}"/>
    <cellStyle name="Normal 4 2 8 5 2" xfId="27594" xr:uid="{00000000-0005-0000-0000-0000F96B0000}"/>
    <cellStyle name="Normal 4 2 8 6" xfId="27595" xr:uid="{00000000-0005-0000-0000-0000FA6B0000}"/>
    <cellStyle name="Normal 4 2 8 6 2" xfId="27596" xr:uid="{00000000-0005-0000-0000-0000FB6B0000}"/>
    <cellStyle name="Normal 4 2 8 7" xfId="27597" xr:uid="{00000000-0005-0000-0000-0000FC6B0000}"/>
    <cellStyle name="Normal 4 2 8 7 2" xfId="27598" xr:uid="{00000000-0005-0000-0000-0000FD6B0000}"/>
    <cellStyle name="Normal 4 2 8 8" xfId="27599" xr:uid="{00000000-0005-0000-0000-0000FE6B0000}"/>
    <cellStyle name="Normal 4 2 9" xfId="27600" xr:uid="{00000000-0005-0000-0000-0000FF6B0000}"/>
    <cellStyle name="Normal 4 2 9 2" xfId="27601" xr:uid="{00000000-0005-0000-0000-0000006C0000}"/>
    <cellStyle name="Normal 4 2 9 2 2" xfId="27602" xr:uid="{00000000-0005-0000-0000-0000016C0000}"/>
    <cellStyle name="Normal 4 2 9 2 2 2" xfId="27603" xr:uid="{00000000-0005-0000-0000-0000026C0000}"/>
    <cellStyle name="Normal 4 2 9 2 3" xfId="27604" xr:uid="{00000000-0005-0000-0000-0000036C0000}"/>
    <cellStyle name="Normal 4 2 9 2 3 2" xfId="27605" xr:uid="{00000000-0005-0000-0000-0000046C0000}"/>
    <cellStyle name="Normal 4 2 9 2 4" xfId="27606" xr:uid="{00000000-0005-0000-0000-0000056C0000}"/>
    <cellStyle name="Normal 4 2 9 2 4 2" xfId="27607" xr:uid="{00000000-0005-0000-0000-0000066C0000}"/>
    <cellStyle name="Normal 4 2 9 2 5" xfId="27608" xr:uid="{00000000-0005-0000-0000-0000076C0000}"/>
    <cellStyle name="Normal 4 2 9 2 5 2" xfId="27609" xr:uid="{00000000-0005-0000-0000-0000086C0000}"/>
    <cellStyle name="Normal 4 2 9 2 6" xfId="27610" xr:uid="{00000000-0005-0000-0000-0000096C0000}"/>
    <cellStyle name="Normal 4 2 9 2 6 2" xfId="27611" xr:uid="{00000000-0005-0000-0000-00000A6C0000}"/>
    <cellStyle name="Normal 4 2 9 2 7" xfId="27612" xr:uid="{00000000-0005-0000-0000-00000B6C0000}"/>
    <cellStyle name="Normal 4 2 9 3" xfId="27613" xr:uid="{00000000-0005-0000-0000-00000C6C0000}"/>
    <cellStyle name="Normal 4 2 9 3 2" xfId="27614" xr:uid="{00000000-0005-0000-0000-00000D6C0000}"/>
    <cellStyle name="Normal 4 2 9 4" xfId="27615" xr:uid="{00000000-0005-0000-0000-00000E6C0000}"/>
    <cellStyle name="Normal 4 2 9 4 2" xfId="27616" xr:uid="{00000000-0005-0000-0000-00000F6C0000}"/>
    <cellStyle name="Normal 4 2 9 5" xfId="27617" xr:uid="{00000000-0005-0000-0000-0000106C0000}"/>
    <cellStyle name="Normal 4 2 9 5 2" xfId="27618" xr:uid="{00000000-0005-0000-0000-0000116C0000}"/>
    <cellStyle name="Normal 4 2 9 6" xfId="27619" xr:uid="{00000000-0005-0000-0000-0000126C0000}"/>
    <cellStyle name="Normal 4 2 9 6 2" xfId="27620" xr:uid="{00000000-0005-0000-0000-0000136C0000}"/>
    <cellStyle name="Normal 4 2 9 7" xfId="27621" xr:uid="{00000000-0005-0000-0000-0000146C0000}"/>
    <cellStyle name="Normal 4 2 9 7 2" xfId="27622" xr:uid="{00000000-0005-0000-0000-0000156C0000}"/>
    <cellStyle name="Normal 4 2 9 8" xfId="27623" xr:uid="{00000000-0005-0000-0000-0000166C0000}"/>
    <cellStyle name="Normal 4 20" xfId="27624" xr:uid="{00000000-0005-0000-0000-0000176C0000}"/>
    <cellStyle name="Normal 4 20 2" xfId="27625" xr:uid="{00000000-0005-0000-0000-0000186C0000}"/>
    <cellStyle name="Normal 4 21" xfId="27626" xr:uid="{00000000-0005-0000-0000-0000196C0000}"/>
    <cellStyle name="Normal 4 21 2" xfId="27627" xr:uid="{00000000-0005-0000-0000-00001A6C0000}"/>
    <cellStyle name="Normal 4 22" xfId="27628" xr:uid="{00000000-0005-0000-0000-00001B6C0000}"/>
    <cellStyle name="Normal 4 23" xfId="27629" xr:uid="{00000000-0005-0000-0000-00001C6C0000}"/>
    <cellStyle name="Normal 4 24" xfId="27630" xr:uid="{00000000-0005-0000-0000-00001D6C0000}"/>
    <cellStyle name="Normal 4 3" xfId="27631" xr:uid="{00000000-0005-0000-0000-00001E6C0000}"/>
    <cellStyle name="Normal 4 3 2" xfId="27632" xr:uid="{00000000-0005-0000-0000-00001F6C0000}"/>
    <cellStyle name="Normal 4 3 2 2" xfId="27633" xr:uid="{00000000-0005-0000-0000-0000206C0000}"/>
    <cellStyle name="Normal 4 3 2 2 2" xfId="27634" xr:uid="{00000000-0005-0000-0000-0000216C0000}"/>
    <cellStyle name="Normal 4 3 2 3" xfId="27635" xr:uid="{00000000-0005-0000-0000-0000226C0000}"/>
    <cellStyle name="Normal 4 3 2 3 2" xfId="27636" xr:uid="{00000000-0005-0000-0000-0000236C0000}"/>
    <cellStyle name="Normal 4 3 2 4" xfId="27637" xr:uid="{00000000-0005-0000-0000-0000246C0000}"/>
    <cellStyle name="Normal 4 3 2 4 2" xfId="27638" xr:uid="{00000000-0005-0000-0000-0000256C0000}"/>
    <cellStyle name="Normal 4 3 2 5" xfId="27639" xr:uid="{00000000-0005-0000-0000-0000266C0000}"/>
    <cellStyle name="Normal 4 3 2 5 2" xfId="27640" xr:uid="{00000000-0005-0000-0000-0000276C0000}"/>
    <cellStyle name="Normal 4 3 2 6" xfId="27641" xr:uid="{00000000-0005-0000-0000-0000286C0000}"/>
    <cellStyle name="Normal 4 3 2 6 2" xfId="27642" xr:uid="{00000000-0005-0000-0000-0000296C0000}"/>
    <cellStyle name="Normal 4 3 2 7" xfId="27643" xr:uid="{00000000-0005-0000-0000-00002A6C0000}"/>
    <cellStyle name="Normal 4 3 3" xfId="27644" xr:uid="{00000000-0005-0000-0000-00002B6C0000}"/>
    <cellStyle name="Normal 4 3 3 2" xfId="27645" xr:uid="{00000000-0005-0000-0000-00002C6C0000}"/>
    <cellStyle name="Normal 4 3 4" xfId="27646" xr:uid="{00000000-0005-0000-0000-00002D6C0000}"/>
    <cellStyle name="Normal 4 3 4 2" xfId="27647" xr:uid="{00000000-0005-0000-0000-00002E6C0000}"/>
    <cellStyle name="Normal 4 3 5" xfId="27648" xr:uid="{00000000-0005-0000-0000-00002F6C0000}"/>
    <cellStyle name="Normal 4 3 5 2" xfId="27649" xr:uid="{00000000-0005-0000-0000-0000306C0000}"/>
    <cellStyle name="Normal 4 3 6" xfId="27650" xr:uid="{00000000-0005-0000-0000-0000316C0000}"/>
    <cellStyle name="Normal 4 3 6 2" xfId="27651" xr:uid="{00000000-0005-0000-0000-0000326C0000}"/>
    <cellStyle name="Normal 4 3 7" xfId="27652" xr:uid="{00000000-0005-0000-0000-0000336C0000}"/>
    <cellStyle name="Normal 4 3 7 2" xfId="27653" xr:uid="{00000000-0005-0000-0000-0000346C0000}"/>
    <cellStyle name="Normal 4 3 8" xfId="27654" xr:uid="{00000000-0005-0000-0000-0000356C0000}"/>
    <cellStyle name="Normal 4 4" xfId="27655" xr:uid="{00000000-0005-0000-0000-0000366C0000}"/>
    <cellStyle name="Normal 4 4 2" xfId="27656" xr:uid="{00000000-0005-0000-0000-0000376C0000}"/>
    <cellStyle name="Normal 4 4 2 2" xfId="27657" xr:uid="{00000000-0005-0000-0000-0000386C0000}"/>
    <cellStyle name="Normal 4 4 2 2 2" xfId="27658" xr:uid="{00000000-0005-0000-0000-0000396C0000}"/>
    <cellStyle name="Normal 4 4 2 3" xfId="27659" xr:uid="{00000000-0005-0000-0000-00003A6C0000}"/>
    <cellStyle name="Normal 4 4 2 3 2" xfId="27660" xr:uid="{00000000-0005-0000-0000-00003B6C0000}"/>
    <cellStyle name="Normal 4 4 2 4" xfId="27661" xr:uid="{00000000-0005-0000-0000-00003C6C0000}"/>
    <cellStyle name="Normal 4 4 2 4 2" xfId="27662" xr:uid="{00000000-0005-0000-0000-00003D6C0000}"/>
    <cellStyle name="Normal 4 4 2 5" xfId="27663" xr:uid="{00000000-0005-0000-0000-00003E6C0000}"/>
    <cellStyle name="Normal 4 4 2 5 2" xfId="27664" xr:uid="{00000000-0005-0000-0000-00003F6C0000}"/>
    <cellStyle name="Normal 4 4 2 6" xfId="27665" xr:uid="{00000000-0005-0000-0000-0000406C0000}"/>
    <cellStyle name="Normal 4 4 2 6 2" xfId="27666" xr:uid="{00000000-0005-0000-0000-0000416C0000}"/>
    <cellStyle name="Normal 4 4 2 7" xfId="27667" xr:uid="{00000000-0005-0000-0000-0000426C0000}"/>
    <cellStyle name="Normal 4 4 3" xfId="27668" xr:uid="{00000000-0005-0000-0000-0000436C0000}"/>
    <cellStyle name="Normal 4 4 3 2" xfId="27669" xr:uid="{00000000-0005-0000-0000-0000446C0000}"/>
    <cellStyle name="Normal 4 4 4" xfId="27670" xr:uid="{00000000-0005-0000-0000-0000456C0000}"/>
    <cellStyle name="Normal 4 4 4 2" xfId="27671" xr:uid="{00000000-0005-0000-0000-0000466C0000}"/>
    <cellStyle name="Normal 4 4 5" xfId="27672" xr:uid="{00000000-0005-0000-0000-0000476C0000}"/>
    <cellStyle name="Normal 4 4 5 2" xfId="27673" xr:uid="{00000000-0005-0000-0000-0000486C0000}"/>
    <cellStyle name="Normal 4 4 6" xfId="27674" xr:uid="{00000000-0005-0000-0000-0000496C0000}"/>
    <cellStyle name="Normal 4 4 6 2" xfId="27675" xr:uid="{00000000-0005-0000-0000-00004A6C0000}"/>
    <cellStyle name="Normal 4 4 7" xfId="27676" xr:uid="{00000000-0005-0000-0000-00004B6C0000}"/>
    <cellStyle name="Normal 4 4 7 2" xfId="27677" xr:uid="{00000000-0005-0000-0000-00004C6C0000}"/>
    <cellStyle name="Normal 4 4 8" xfId="27678" xr:uid="{00000000-0005-0000-0000-00004D6C0000}"/>
    <cellStyle name="Normal 4 5" xfId="27679" xr:uid="{00000000-0005-0000-0000-00004E6C0000}"/>
    <cellStyle name="Normal 4 5 2" xfId="27680" xr:uid="{00000000-0005-0000-0000-00004F6C0000}"/>
    <cellStyle name="Normal 4 5 2 2" xfId="27681" xr:uid="{00000000-0005-0000-0000-0000506C0000}"/>
    <cellStyle name="Normal 4 5 2 2 2" xfId="27682" xr:uid="{00000000-0005-0000-0000-0000516C0000}"/>
    <cellStyle name="Normal 4 5 2 3" xfId="27683" xr:uid="{00000000-0005-0000-0000-0000526C0000}"/>
    <cellStyle name="Normal 4 5 2 3 2" xfId="27684" xr:uid="{00000000-0005-0000-0000-0000536C0000}"/>
    <cellStyle name="Normal 4 5 2 4" xfId="27685" xr:uid="{00000000-0005-0000-0000-0000546C0000}"/>
    <cellStyle name="Normal 4 5 2 4 2" xfId="27686" xr:uid="{00000000-0005-0000-0000-0000556C0000}"/>
    <cellStyle name="Normal 4 5 2 5" xfId="27687" xr:uid="{00000000-0005-0000-0000-0000566C0000}"/>
    <cellStyle name="Normal 4 5 2 5 2" xfId="27688" xr:uid="{00000000-0005-0000-0000-0000576C0000}"/>
    <cellStyle name="Normal 4 5 2 6" xfId="27689" xr:uid="{00000000-0005-0000-0000-0000586C0000}"/>
    <cellStyle name="Normal 4 5 2 6 2" xfId="27690" xr:uid="{00000000-0005-0000-0000-0000596C0000}"/>
    <cellStyle name="Normal 4 5 2 7" xfId="27691" xr:uid="{00000000-0005-0000-0000-00005A6C0000}"/>
    <cellStyle name="Normal 4 5 3" xfId="27692" xr:uid="{00000000-0005-0000-0000-00005B6C0000}"/>
    <cellStyle name="Normal 4 5 3 2" xfId="27693" xr:uid="{00000000-0005-0000-0000-00005C6C0000}"/>
    <cellStyle name="Normal 4 5 4" xfId="27694" xr:uid="{00000000-0005-0000-0000-00005D6C0000}"/>
    <cellStyle name="Normal 4 5 4 2" xfId="27695" xr:uid="{00000000-0005-0000-0000-00005E6C0000}"/>
    <cellStyle name="Normal 4 5 5" xfId="27696" xr:uid="{00000000-0005-0000-0000-00005F6C0000}"/>
    <cellStyle name="Normal 4 5 5 2" xfId="27697" xr:uid="{00000000-0005-0000-0000-0000606C0000}"/>
    <cellStyle name="Normal 4 5 6" xfId="27698" xr:uid="{00000000-0005-0000-0000-0000616C0000}"/>
    <cellStyle name="Normal 4 5 6 2" xfId="27699" xr:uid="{00000000-0005-0000-0000-0000626C0000}"/>
    <cellStyle name="Normal 4 5 7" xfId="27700" xr:uid="{00000000-0005-0000-0000-0000636C0000}"/>
    <cellStyle name="Normal 4 5 7 2" xfId="27701" xr:uid="{00000000-0005-0000-0000-0000646C0000}"/>
    <cellStyle name="Normal 4 5 8" xfId="27702" xr:uid="{00000000-0005-0000-0000-0000656C0000}"/>
    <cellStyle name="Normal 4 6" xfId="27703" xr:uid="{00000000-0005-0000-0000-0000666C0000}"/>
    <cellStyle name="Normal 4 6 2" xfId="27704" xr:uid="{00000000-0005-0000-0000-0000676C0000}"/>
    <cellStyle name="Normal 4 6 2 2" xfId="27705" xr:uid="{00000000-0005-0000-0000-0000686C0000}"/>
    <cellStyle name="Normal 4 6 2 2 2" xfId="27706" xr:uid="{00000000-0005-0000-0000-0000696C0000}"/>
    <cellStyle name="Normal 4 6 2 3" xfId="27707" xr:uid="{00000000-0005-0000-0000-00006A6C0000}"/>
    <cellStyle name="Normal 4 6 2 3 2" xfId="27708" xr:uid="{00000000-0005-0000-0000-00006B6C0000}"/>
    <cellStyle name="Normal 4 6 2 4" xfId="27709" xr:uid="{00000000-0005-0000-0000-00006C6C0000}"/>
    <cellStyle name="Normal 4 6 2 4 2" xfId="27710" xr:uid="{00000000-0005-0000-0000-00006D6C0000}"/>
    <cellStyle name="Normal 4 6 2 5" xfId="27711" xr:uid="{00000000-0005-0000-0000-00006E6C0000}"/>
    <cellStyle name="Normal 4 6 2 5 2" xfId="27712" xr:uid="{00000000-0005-0000-0000-00006F6C0000}"/>
    <cellStyle name="Normal 4 6 2 6" xfId="27713" xr:uid="{00000000-0005-0000-0000-0000706C0000}"/>
    <cellStyle name="Normal 4 6 2 6 2" xfId="27714" xr:uid="{00000000-0005-0000-0000-0000716C0000}"/>
    <cellStyle name="Normal 4 6 2 7" xfId="27715" xr:uid="{00000000-0005-0000-0000-0000726C0000}"/>
    <cellStyle name="Normal 4 6 3" xfId="27716" xr:uid="{00000000-0005-0000-0000-0000736C0000}"/>
    <cellStyle name="Normal 4 6 3 2" xfId="27717" xr:uid="{00000000-0005-0000-0000-0000746C0000}"/>
    <cellStyle name="Normal 4 6 4" xfId="27718" xr:uid="{00000000-0005-0000-0000-0000756C0000}"/>
    <cellStyle name="Normal 4 6 4 2" xfId="27719" xr:uid="{00000000-0005-0000-0000-0000766C0000}"/>
    <cellStyle name="Normal 4 6 5" xfId="27720" xr:uid="{00000000-0005-0000-0000-0000776C0000}"/>
    <cellStyle name="Normal 4 6 5 2" xfId="27721" xr:uid="{00000000-0005-0000-0000-0000786C0000}"/>
    <cellStyle name="Normal 4 6 6" xfId="27722" xr:uid="{00000000-0005-0000-0000-0000796C0000}"/>
    <cellStyle name="Normal 4 6 6 2" xfId="27723" xr:uid="{00000000-0005-0000-0000-00007A6C0000}"/>
    <cellStyle name="Normal 4 6 7" xfId="27724" xr:uid="{00000000-0005-0000-0000-00007B6C0000}"/>
    <cellStyle name="Normal 4 6 7 2" xfId="27725" xr:uid="{00000000-0005-0000-0000-00007C6C0000}"/>
    <cellStyle name="Normal 4 6 8" xfId="27726" xr:uid="{00000000-0005-0000-0000-00007D6C0000}"/>
    <cellStyle name="Normal 4 7" xfId="27727" xr:uid="{00000000-0005-0000-0000-00007E6C0000}"/>
    <cellStyle name="Normal 4 7 2" xfId="27728" xr:uid="{00000000-0005-0000-0000-00007F6C0000}"/>
    <cellStyle name="Normal 4 7 2 2" xfId="27729" xr:uid="{00000000-0005-0000-0000-0000806C0000}"/>
    <cellStyle name="Normal 4 7 2 2 2" xfId="27730" xr:uid="{00000000-0005-0000-0000-0000816C0000}"/>
    <cellStyle name="Normal 4 7 2 3" xfId="27731" xr:uid="{00000000-0005-0000-0000-0000826C0000}"/>
    <cellStyle name="Normal 4 7 2 3 2" xfId="27732" xr:uid="{00000000-0005-0000-0000-0000836C0000}"/>
    <cellStyle name="Normal 4 7 2 4" xfId="27733" xr:uid="{00000000-0005-0000-0000-0000846C0000}"/>
    <cellStyle name="Normal 4 7 2 4 2" xfId="27734" xr:uid="{00000000-0005-0000-0000-0000856C0000}"/>
    <cellStyle name="Normal 4 7 2 5" xfId="27735" xr:uid="{00000000-0005-0000-0000-0000866C0000}"/>
    <cellStyle name="Normal 4 7 2 5 2" xfId="27736" xr:uid="{00000000-0005-0000-0000-0000876C0000}"/>
    <cellStyle name="Normal 4 7 2 6" xfId="27737" xr:uid="{00000000-0005-0000-0000-0000886C0000}"/>
    <cellStyle name="Normal 4 7 2 6 2" xfId="27738" xr:uid="{00000000-0005-0000-0000-0000896C0000}"/>
    <cellStyle name="Normal 4 7 2 7" xfId="27739" xr:uid="{00000000-0005-0000-0000-00008A6C0000}"/>
    <cellStyle name="Normal 4 7 3" xfId="27740" xr:uid="{00000000-0005-0000-0000-00008B6C0000}"/>
    <cellStyle name="Normal 4 7 3 2" xfId="27741" xr:uid="{00000000-0005-0000-0000-00008C6C0000}"/>
    <cellStyle name="Normal 4 7 4" xfId="27742" xr:uid="{00000000-0005-0000-0000-00008D6C0000}"/>
    <cellStyle name="Normal 4 7 4 2" xfId="27743" xr:uid="{00000000-0005-0000-0000-00008E6C0000}"/>
    <cellStyle name="Normal 4 7 5" xfId="27744" xr:uid="{00000000-0005-0000-0000-00008F6C0000}"/>
    <cellStyle name="Normal 4 7 5 2" xfId="27745" xr:uid="{00000000-0005-0000-0000-0000906C0000}"/>
    <cellStyle name="Normal 4 7 6" xfId="27746" xr:uid="{00000000-0005-0000-0000-0000916C0000}"/>
    <cellStyle name="Normal 4 7 6 2" xfId="27747" xr:uid="{00000000-0005-0000-0000-0000926C0000}"/>
    <cellStyle name="Normal 4 7 7" xfId="27748" xr:uid="{00000000-0005-0000-0000-0000936C0000}"/>
    <cellStyle name="Normal 4 7 7 2" xfId="27749" xr:uid="{00000000-0005-0000-0000-0000946C0000}"/>
    <cellStyle name="Normal 4 7 8" xfId="27750" xr:uid="{00000000-0005-0000-0000-0000956C0000}"/>
    <cellStyle name="Normal 4 8" xfId="27751" xr:uid="{00000000-0005-0000-0000-0000966C0000}"/>
    <cellStyle name="Normal 4 8 2" xfId="27752" xr:uid="{00000000-0005-0000-0000-0000976C0000}"/>
    <cellStyle name="Normal 4 8 2 2" xfId="27753" xr:uid="{00000000-0005-0000-0000-0000986C0000}"/>
    <cellStyle name="Normal 4 8 2 2 2" xfId="27754" xr:uid="{00000000-0005-0000-0000-0000996C0000}"/>
    <cellStyle name="Normal 4 8 2 3" xfId="27755" xr:uid="{00000000-0005-0000-0000-00009A6C0000}"/>
    <cellStyle name="Normal 4 8 2 3 2" xfId="27756" xr:uid="{00000000-0005-0000-0000-00009B6C0000}"/>
    <cellStyle name="Normal 4 8 2 4" xfId="27757" xr:uid="{00000000-0005-0000-0000-00009C6C0000}"/>
    <cellStyle name="Normal 4 8 2 4 2" xfId="27758" xr:uid="{00000000-0005-0000-0000-00009D6C0000}"/>
    <cellStyle name="Normal 4 8 2 5" xfId="27759" xr:uid="{00000000-0005-0000-0000-00009E6C0000}"/>
    <cellStyle name="Normal 4 8 2 5 2" xfId="27760" xr:uid="{00000000-0005-0000-0000-00009F6C0000}"/>
    <cellStyle name="Normal 4 8 2 6" xfId="27761" xr:uid="{00000000-0005-0000-0000-0000A06C0000}"/>
    <cellStyle name="Normal 4 8 2 6 2" xfId="27762" xr:uid="{00000000-0005-0000-0000-0000A16C0000}"/>
    <cellStyle name="Normal 4 8 2 7" xfId="27763" xr:uid="{00000000-0005-0000-0000-0000A26C0000}"/>
    <cellStyle name="Normal 4 8 3" xfId="27764" xr:uid="{00000000-0005-0000-0000-0000A36C0000}"/>
    <cellStyle name="Normal 4 8 3 2" xfId="27765" xr:uid="{00000000-0005-0000-0000-0000A46C0000}"/>
    <cellStyle name="Normal 4 8 4" xfId="27766" xr:uid="{00000000-0005-0000-0000-0000A56C0000}"/>
    <cellStyle name="Normal 4 8 4 2" xfId="27767" xr:uid="{00000000-0005-0000-0000-0000A66C0000}"/>
    <cellStyle name="Normal 4 8 5" xfId="27768" xr:uid="{00000000-0005-0000-0000-0000A76C0000}"/>
    <cellStyle name="Normal 4 8 5 2" xfId="27769" xr:uid="{00000000-0005-0000-0000-0000A86C0000}"/>
    <cellStyle name="Normal 4 8 6" xfId="27770" xr:uid="{00000000-0005-0000-0000-0000A96C0000}"/>
    <cellStyle name="Normal 4 8 6 2" xfId="27771" xr:uid="{00000000-0005-0000-0000-0000AA6C0000}"/>
    <cellStyle name="Normal 4 8 7" xfId="27772" xr:uid="{00000000-0005-0000-0000-0000AB6C0000}"/>
    <cellStyle name="Normal 4 8 7 2" xfId="27773" xr:uid="{00000000-0005-0000-0000-0000AC6C0000}"/>
    <cellStyle name="Normal 4 8 8" xfId="27774" xr:uid="{00000000-0005-0000-0000-0000AD6C0000}"/>
    <cellStyle name="Normal 4 9" xfId="27775" xr:uid="{00000000-0005-0000-0000-0000AE6C0000}"/>
    <cellStyle name="Normal 4 9 2" xfId="27776" xr:uid="{00000000-0005-0000-0000-0000AF6C0000}"/>
    <cellStyle name="Normal 4 9 2 2" xfId="27777" xr:uid="{00000000-0005-0000-0000-0000B06C0000}"/>
    <cellStyle name="Normal 4 9 2 2 2" xfId="27778" xr:uid="{00000000-0005-0000-0000-0000B16C0000}"/>
    <cellStyle name="Normal 4 9 2 3" xfId="27779" xr:uid="{00000000-0005-0000-0000-0000B26C0000}"/>
    <cellStyle name="Normal 4 9 2 3 2" xfId="27780" xr:uid="{00000000-0005-0000-0000-0000B36C0000}"/>
    <cellStyle name="Normal 4 9 2 4" xfId="27781" xr:uid="{00000000-0005-0000-0000-0000B46C0000}"/>
    <cellStyle name="Normal 4 9 2 4 2" xfId="27782" xr:uid="{00000000-0005-0000-0000-0000B56C0000}"/>
    <cellStyle name="Normal 4 9 2 5" xfId="27783" xr:uid="{00000000-0005-0000-0000-0000B66C0000}"/>
    <cellStyle name="Normal 4 9 2 5 2" xfId="27784" xr:uid="{00000000-0005-0000-0000-0000B76C0000}"/>
    <cellStyle name="Normal 4 9 2 6" xfId="27785" xr:uid="{00000000-0005-0000-0000-0000B86C0000}"/>
    <cellStyle name="Normal 4 9 2 6 2" xfId="27786" xr:uid="{00000000-0005-0000-0000-0000B96C0000}"/>
    <cellStyle name="Normal 4 9 2 7" xfId="27787" xr:uid="{00000000-0005-0000-0000-0000BA6C0000}"/>
    <cellStyle name="Normal 4 9 3" xfId="27788" xr:uid="{00000000-0005-0000-0000-0000BB6C0000}"/>
    <cellStyle name="Normal 4 9 3 2" xfId="27789" xr:uid="{00000000-0005-0000-0000-0000BC6C0000}"/>
    <cellStyle name="Normal 4 9 4" xfId="27790" xr:uid="{00000000-0005-0000-0000-0000BD6C0000}"/>
    <cellStyle name="Normal 4 9 4 2" xfId="27791" xr:uid="{00000000-0005-0000-0000-0000BE6C0000}"/>
    <cellStyle name="Normal 4 9 5" xfId="27792" xr:uid="{00000000-0005-0000-0000-0000BF6C0000}"/>
    <cellStyle name="Normal 4 9 5 2" xfId="27793" xr:uid="{00000000-0005-0000-0000-0000C06C0000}"/>
    <cellStyle name="Normal 4 9 6" xfId="27794" xr:uid="{00000000-0005-0000-0000-0000C16C0000}"/>
    <cellStyle name="Normal 4 9 6 2" xfId="27795" xr:uid="{00000000-0005-0000-0000-0000C26C0000}"/>
    <cellStyle name="Normal 4 9 7" xfId="27796" xr:uid="{00000000-0005-0000-0000-0000C36C0000}"/>
    <cellStyle name="Normal 4 9 7 2" xfId="27797" xr:uid="{00000000-0005-0000-0000-0000C46C0000}"/>
    <cellStyle name="Normal 4 9 8" xfId="27798" xr:uid="{00000000-0005-0000-0000-0000C56C0000}"/>
    <cellStyle name="Normal 5" xfId="27799" xr:uid="{00000000-0005-0000-0000-0000C66C0000}"/>
    <cellStyle name="Normal 5 10" xfId="27800" xr:uid="{00000000-0005-0000-0000-0000C76C0000}"/>
    <cellStyle name="Normal 5 10 2" xfId="27801" xr:uid="{00000000-0005-0000-0000-0000C86C0000}"/>
    <cellStyle name="Normal 5 10 2 2" xfId="27802" xr:uid="{00000000-0005-0000-0000-0000C96C0000}"/>
    <cellStyle name="Normal 5 10 2 2 2" xfId="27803" xr:uid="{00000000-0005-0000-0000-0000CA6C0000}"/>
    <cellStyle name="Normal 5 10 2 3" xfId="27804" xr:uid="{00000000-0005-0000-0000-0000CB6C0000}"/>
    <cellStyle name="Normal 5 10 2 3 2" xfId="27805" xr:uid="{00000000-0005-0000-0000-0000CC6C0000}"/>
    <cellStyle name="Normal 5 10 2 4" xfId="27806" xr:uid="{00000000-0005-0000-0000-0000CD6C0000}"/>
    <cellStyle name="Normal 5 10 2 4 2" xfId="27807" xr:uid="{00000000-0005-0000-0000-0000CE6C0000}"/>
    <cellStyle name="Normal 5 10 2 5" xfId="27808" xr:uid="{00000000-0005-0000-0000-0000CF6C0000}"/>
    <cellStyle name="Normal 5 10 2 5 2" xfId="27809" xr:uid="{00000000-0005-0000-0000-0000D06C0000}"/>
    <cellStyle name="Normal 5 10 2 6" xfId="27810" xr:uid="{00000000-0005-0000-0000-0000D16C0000}"/>
    <cellStyle name="Normal 5 10 2 6 2" xfId="27811" xr:uid="{00000000-0005-0000-0000-0000D26C0000}"/>
    <cellStyle name="Normal 5 10 2 7" xfId="27812" xr:uid="{00000000-0005-0000-0000-0000D36C0000}"/>
    <cellStyle name="Normal 5 10 3" xfId="27813" xr:uid="{00000000-0005-0000-0000-0000D46C0000}"/>
    <cellStyle name="Normal 5 10 3 2" xfId="27814" xr:uid="{00000000-0005-0000-0000-0000D56C0000}"/>
    <cellStyle name="Normal 5 10 4" xfId="27815" xr:uid="{00000000-0005-0000-0000-0000D66C0000}"/>
    <cellStyle name="Normal 5 10 4 2" xfId="27816" xr:uid="{00000000-0005-0000-0000-0000D76C0000}"/>
    <cellStyle name="Normal 5 10 5" xfId="27817" xr:uid="{00000000-0005-0000-0000-0000D86C0000}"/>
    <cellStyle name="Normal 5 10 5 2" xfId="27818" xr:uid="{00000000-0005-0000-0000-0000D96C0000}"/>
    <cellStyle name="Normal 5 10 6" xfId="27819" xr:uid="{00000000-0005-0000-0000-0000DA6C0000}"/>
    <cellStyle name="Normal 5 10 6 2" xfId="27820" xr:uid="{00000000-0005-0000-0000-0000DB6C0000}"/>
    <cellStyle name="Normal 5 10 7" xfId="27821" xr:uid="{00000000-0005-0000-0000-0000DC6C0000}"/>
    <cellStyle name="Normal 5 10 7 2" xfId="27822" xr:uid="{00000000-0005-0000-0000-0000DD6C0000}"/>
    <cellStyle name="Normal 5 10 8" xfId="27823" xr:uid="{00000000-0005-0000-0000-0000DE6C0000}"/>
    <cellStyle name="Normal 5 11" xfId="27824" xr:uid="{00000000-0005-0000-0000-0000DF6C0000}"/>
    <cellStyle name="Normal 5 11 2" xfId="27825" xr:uid="{00000000-0005-0000-0000-0000E06C0000}"/>
    <cellStyle name="Normal 5 11 2 2" xfId="27826" xr:uid="{00000000-0005-0000-0000-0000E16C0000}"/>
    <cellStyle name="Normal 5 11 2 2 2" xfId="27827" xr:uid="{00000000-0005-0000-0000-0000E26C0000}"/>
    <cellStyle name="Normal 5 11 2 3" xfId="27828" xr:uid="{00000000-0005-0000-0000-0000E36C0000}"/>
    <cellStyle name="Normal 5 11 2 3 2" xfId="27829" xr:uid="{00000000-0005-0000-0000-0000E46C0000}"/>
    <cellStyle name="Normal 5 11 2 4" xfId="27830" xr:uid="{00000000-0005-0000-0000-0000E56C0000}"/>
    <cellStyle name="Normal 5 11 2 4 2" xfId="27831" xr:uid="{00000000-0005-0000-0000-0000E66C0000}"/>
    <cellStyle name="Normal 5 11 2 5" xfId="27832" xr:uid="{00000000-0005-0000-0000-0000E76C0000}"/>
    <cellStyle name="Normal 5 11 2 5 2" xfId="27833" xr:uid="{00000000-0005-0000-0000-0000E86C0000}"/>
    <cellStyle name="Normal 5 11 2 6" xfId="27834" xr:uid="{00000000-0005-0000-0000-0000E96C0000}"/>
    <cellStyle name="Normal 5 11 2 6 2" xfId="27835" xr:uid="{00000000-0005-0000-0000-0000EA6C0000}"/>
    <cellStyle name="Normal 5 11 2 7" xfId="27836" xr:uid="{00000000-0005-0000-0000-0000EB6C0000}"/>
    <cellStyle name="Normal 5 11 3" xfId="27837" xr:uid="{00000000-0005-0000-0000-0000EC6C0000}"/>
    <cellStyle name="Normal 5 11 3 2" xfId="27838" xr:uid="{00000000-0005-0000-0000-0000ED6C0000}"/>
    <cellStyle name="Normal 5 11 4" xfId="27839" xr:uid="{00000000-0005-0000-0000-0000EE6C0000}"/>
    <cellStyle name="Normal 5 11 4 2" xfId="27840" xr:uid="{00000000-0005-0000-0000-0000EF6C0000}"/>
    <cellStyle name="Normal 5 11 5" xfId="27841" xr:uid="{00000000-0005-0000-0000-0000F06C0000}"/>
    <cellStyle name="Normal 5 11 5 2" xfId="27842" xr:uid="{00000000-0005-0000-0000-0000F16C0000}"/>
    <cellStyle name="Normal 5 11 6" xfId="27843" xr:uid="{00000000-0005-0000-0000-0000F26C0000}"/>
    <cellStyle name="Normal 5 11 6 2" xfId="27844" xr:uid="{00000000-0005-0000-0000-0000F36C0000}"/>
    <cellStyle name="Normal 5 11 7" xfId="27845" xr:uid="{00000000-0005-0000-0000-0000F46C0000}"/>
    <cellStyle name="Normal 5 11 7 2" xfId="27846" xr:uid="{00000000-0005-0000-0000-0000F56C0000}"/>
    <cellStyle name="Normal 5 11 8" xfId="27847" xr:uid="{00000000-0005-0000-0000-0000F66C0000}"/>
    <cellStyle name="Normal 5 12" xfId="27848" xr:uid="{00000000-0005-0000-0000-0000F76C0000}"/>
    <cellStyle name="Normal 5 12 2" xfId="27849" xr:uid="{00000000-0005-0000-0000-0000F86C0000}"/>
    <cellStyle name="Normal 5 12 2 2" xfId="27850" xr:uid="{00000000-0005-0000-0000-0000F96C0000}"/>
    <cellStyle name="Normal 5 12 2 2 2" xfId="27851" xr:uid="{00000000-0005-0000-0000-0000FA6C0000}"/>
    <cellStyle name="Normal 5 12 2 3" xfId="27852" xr:uid="{00000000-0005-0000-0000-0000FB6C0000}"/>
    <cellStyle name="Normal 5 12 2 3 2" xfId="27853" xr:uid="{00000000-0005-0000-0000-0000FC6C0000}"/>
    <cellStyle name="Normal 5 12 2 4" xfId="27854" xr:uid="{00000000-0005-0000-0000-0000FD6C0000}"/>
    <cellStyle name="Normal 5 12 2 4 2" xfId="27855" xr:uid="{00000000-0005-0000-0000-0000FE6C0000}"/>
    <cellStyle name="Normal 5 12 2 5" xfId="27856" xr:uid="{00000000-0005-0000-0000-0000FF6C0000}"/>
    <cellStyle name="Normal 5 12 2 5 2" xfId="27857" xr:uid="{00000000-0005-0000-0000-0000006D0000}"/>
    <cellStyle name="Normal 5 12 2 6" xfId="27858" xr:uid="{00000000-0005-0000-0000-0000016D0000}"/>
    <cellStyle name="Normal 5 12 2 6 2" xfId="27859" xr:uid="{00000000-0005-0000-0000-0000026D0000}"/>
    <cellStyle name="Normal 5 12 2 7" xfId="27860" xr:uid="{00000000-0005-0000-0000-0000036D0000}"/>
    <cellStyle name="Normal 5 12 3" xfId="27861" xr:uid="{00000000-0005-0000-0000-0000046D0000}"/>
    <cellStyle name="Normal 5 12 3 2" xfId="27862" xr:uid="{00000000-0005-0000-0000-0000056D0000}"/>
    <cellStyle name="Normal 5 12 4" xfId="27863" xr:uid="{00000000-0005-0000-0000-0000066D0000}"/>
    <cellStyle name="Normal 5 12 4 2" xfId="27864" xr:uid="{00000000-0005-0000-0000-0000076D0000}"/>
    <cellStyle name="Normal 5 12 5" xfId="27865" xr:uid="{00000000-0005-0000-0000-0000086D0000}"/>
    <cellStyle name="Normal 5 12 5 2" xfId="27866" xr:uid="{00000000-0005-0000-0000-0000096D0000}"/>
    <cellStyle name="Normal 5 12 6" xfId="27867" xr:uid="{00000000-0005-0000-0000-00000A6D0000}"/>
    <cellStyle name="Normal 5 12 6 2" xfId="27868" xr:uid="{00000000-0005-0000-0000-00000B6D0000}"/>
    <cellStyle name="Normal 5 12 7" xfId="27869" xr:uid="{00000000-0005-0000-0000-00000C6D0000}"/>
    <cellStyle name="Normal 5 12 7 2" xfId="27870" xr:uid="{00000000-0005-0000-0000-00000D6D0000}"/>
    <cellStyle name="Normal 5 12 8" xfId="27871" xr:uid="{00000000-0005-0000-0000-00000E6D0000}"/>
    <cellStyle name="Normal 5 13" xfId="27872" xr:uid="{00000000-0005-0000-0000-00000F6D0000}"/>
    <cellStyle name="Normal 5 13 2" xfId="27873" xr:uid="{00000000-0005-0000-0000-0000106D0000}"/>
    <cellStyle name="Normal 5 13 2 2" xfId="27874" xr:uid="{00000000-0005-0000-0000-0000116D0000}"/>
    <cellStyle name="Normal 5 13 2 2 2" xfId="27875" xr:uid="{00000000-0005-0000-0000-0000126D0000}"/>
    <cellStyle name="Normal 5 13 2 3" xfId="27876" xr:uid="{00000000-0005-0000-0000-0000136D0000}"/>
    <cellStyle name="Normal 5 13 2 3 2" xfId="27877" xr:uid="{00000000-0005-0000-0000-0000146D0000}"/>
    <cellStyle name="Normal 5 13 2 4" xfId="27878" xr:uid="{00000000-0005-0000-0000-0000156D0000}"/>
    <cellStyle name="Normal 5 13 2 4 2" xfId="27879" xr:uid="{00000000-0005-0000-0000-0000166D0000}"/>
    <cellStyle name="Normal 5 13 2 5" xfId="27880" xr:uid="{00000000-0005-0000-0000-0000176D0000}"/>
    <cellStyle name="Normal 5 13 2 5 2" xfId="27881" xr:uid="{00000000-0005-0000-0000-0000186D0000}"/>
    <cellStyle name="Normal 5 13 2 6" xfId="27882" xr:uid="{00000000-0005-0000-0000-0000196D0000}"/>
    <cellStyle name="Normal 5 13 2 6 2" xfId="27883" xr:uid="{00000000-0005-0000-0000-00001A6D0000}"/>
    <cellStyle name="Normal 5 13 2 7" xfId="27884" xr:uid="{00000000-0005-0000-0000-00001B6D0000}"/>
    <cellStyle name="Normal 5 13 3" xfId="27885" xr:uid="{00000000-0005-0000-0000-00001C6D0000}"/>
    <cellStyle name="Normal 5 13 3 2" xfId="27886" xr:uid="{00000000-0005-0000-0000-00001D6D0000}"/>
    <cellStyle name="Normal 5 13 4" xfId="27887" xr:uid="{00000000-0005-0000-0000-00001E6D0000}"/>
    <cellStyle name="Normal 5 13 4 2" xfId="27888" xr:uid="{00000000-0005-0000-0000-00001F6D0000}"/>
    <cellStyle name="Normal 5 13 5" xfId="27889" xr:uid="{00000000-0005-0000-0000-0000206D0000}"/>
    <cellStyle name="Normal 5 13 5 2" xfId="27890" xr:uid="{00000000-0005-0000-0000-0000216D0000}"/>
    <cellStyle name="Normal 5 13 6" xfId="27891" xr:uid="{00000000-0005-0000-0000-0000226D0000}"/>
    <cellStyle name="Normal 5 13 6 2" xfId="27892" xr:uid="{00000000-0005-0000-0000-0000236D0000}"/>
    <cellStyle name="Normal 5 13 7" xfId="27893" xr:uid="{00000000-0005-0000-0000-0000246D0000}"/>
    <cellStyle name="Normal 5 13 7 2" xfId="27894" xr:uid="{00000000-0005-0000-0000-0000256D0000}"/>
    <cellStyle name="Normal 5 13 8" xfId="27895" xr:uid="{00000000-0005-0000-0000-0000266D0000}"/>
    <cellStyle name="Normal 5 14" xfId="27896" xr:uid="{00000000-0005-0000-0000-0000276D0000}"/>
    <cellStyle name="Normal 5 14 2" xfId="27897" xr:uid="{00000000-0005-0000-0000-0000286D0000}"/>
    <cellStyle name="Normal 5 14 2 2" xfId="27898" xr:uid="{00000000-0005-0000-0000-0000296D0000}"/>
    <cellStyle name="Normal 5 14 3" xfId="27899" xr:uid="{00000000-0005-0000-0000-00002A6D0000}"/>
    <cellStyle name="Normal 5 14 3 2" xfId="27900" xr:uid="{00000000-0005-0000-0000-00002B6D0000}"/>
    <cellStyle name="Normal 5 14 4" xfId="27901" xr:uid="{00000000-0005-0000-0000-00002C6D0000}"/>
    <cellStyle name="Normal 5 14 4 2" xfId="27902" xr:uid="{00000000-0005-0000-0000-00002D6D0000}"/>
    <cellStyle name="Normal 5 14 5" xfId="27903" xr:uid="{00000000-0005-0000-0000-00002E6D0000}"/>
    <cellStyle name="Normal 5 14 5 2" xfId="27904" xr:uid="{00000000-0005-0000-0000-00002F6D0000}"/>
    <cellStyle name="Normal 5 14 6" xfId="27905" xr:uid="{00000000-0005-0000-0000-0000306D0000}"/>
    <cellStyle name="Normal 5 14 6 2" xfId="27906" xr:uid="{00000000-0005-0000-0000-0000316D0000}"/>
    <cellStyle name="Normal 5 14 7" xfId="27907" xr:uid="{00000000-0005-0000-0000-0000326D0000}"/>
    <cellStyle name="Normal 5 15" xfId="27908" xr:uid="{00000000-0005-0000-0000-0000336D0000}"/>
    <cellStyle name="Normal 5 15 2" xfId="27909" xr:uid="{00000000-0005-0000-0000-0000346D0000}"/>
    <cellStyle name="Normal 5 15 2 2" xfId="27910" xr:uid="{00000000-0005-0000-0000-0000356D0000}"/>
    <cellStyle name="Normal 5 15 3" xfId="27911" xr:uid="{00000000-0005-0000-0000-0000366D0000}"/>
    <cellStyle name="Normal 5 15 3 2" xfId="27912" xr:uid="{00000000-0005-0000-0000-0000376D0000}"/>
    <cellStyle name="Normal 5 15 4" xfId="27913" xr:uid="{00000000-0005-0000-0000-0000386D0000}"/>
    <cellStyle name="Normal 5 15 4 2" xfId="27914" xr:uid="{00000000-0005-0000-0000-0000396D0000}"/>
    <cellStyle name="Normal 5 15 5" xfId="27915" xr:uid="{00000000-0005-0000-0000-00003A6D0000}"/>
    <cellStyle name="Normal 5 15 5 2" xfId="27916" xr:uid="{00000000-0005-0000-0000-00003B6D0000}"/>
    <cellStyle name="Normal 5 15 6" xfId="27917" xr:uid="{00000000-0005-0000-0000-00003C6D0000}"/>
    <cellStyle name="Normal 5 15 6 2" xfId="27918" xr:uid="{00000000-0005-0000-0000-00003D6D0000}"/>
    <cellStyle name="Normal 5 15 7" xfId="27919" xr:uid="{00000000-0005-0000-0000-00003E6D0000}"/>
    <cellStyle name="Normal 5 16" xfId="27920" xr:uid="{00000000-0005-0000-0000-00003F6D0000}"/>
    <cellStyle name="Normal 5 16 2" xfId="27921" xr:uid="{00000000-0005-0000-0000-0000406D0000}"/>
    <cellStyle name="Normal 5 16 2 2" xfId="27922" xr:uid="{00000000-0005-0000-0000-0000416D0000}"/>
    <cellStyle name="Normal 5 16 3" xfId="27923" xr:uid="{00000000-0005-0000-0000-0000426D0000}"/>
    <cellStyle name="Normal 5 16 3 2" xfId="27924" xr:uid="{00000000-0005-0000-0000-0000436D0000}"/>
    <cellStyle name="Normal 5 16 4" xfId="27925" xr:uid="{00000000-0005-0000-0000-0000446D0000}"/>
    <cellStyle name="Normal 5 16 4 2" xfId="27926" xr:uid="{00000000-0005-0000-0000-0000456D0000}"/>
    <cellStyle name="Normal 5 16 5" xfId="27927" xr:uid="{00000000-0005-0000-0000-0000466D0000}"/>
    <cellStyle name="Normal 5 16 5 2" xfId="27928" xr:uid="{00000000-0005-0000-0000-0000476D0000}"/>
    <cellStyle name="Normal 5 16 6" xfId="27929" xr:uid="{00000000-0005-0000-0000-0000486D0000}"/>
    <cellStyle name="Normal 5 16 6 2" xfId="27930" xr:uid="{00000000-0005-0000-0000-0000496D0000}"/>
    <cellStyle name="Normal 5 16 7" xfId="27931" xr:uid="{00000000-0005-0000-0000-00004A6D0000}"/>
    <cellStyle name="Normal 5 17" xfId="27932" xr:uid="{00000000-0005-0000-0000-00004B6D0000}"/>
    <cellStyle name="Normal 5 17 2" xfId="27933" xr:uid="{00000000-0005-0000-0000-00004C6D0000}"/>
    <cellStyle name="Normal 5 18" xfId="27934" xr:uid="{00000000-0005-0000-0000-00004D6D0000}"/>
    <cellStyle name="Normal 5 18 2" xfId="27935" xr:uid="{00000000-0005-0000-0000-00004E6D0000}"/>
    <cellStyle name="Normal 5 19" xfId="27936" xr:uid="{00000000-0005-0000-0000-00004F6D0000}"/>
    <cellStyle name="Normal 5 19 2" xfId="27937" xr:uid="{00000000-0005-0000-0000-0000506D0000}"/>
    <cellStyle name="Normal 5 2" xfId="27938" xr:uid="{00000000-0005-0000-0000-0000516D0000}"/>
    <cellStyle name="Normal 5 2 10" xfId="27939" xr:uid="{00000000-0005-0000-0000-0000526D0000}"/>
    <cellStyle name="Normal 5 2 10 2" xfId="27940" xr:uid="{00000000-0005-0000-0000-0000536D0000}"/>
    <cellStyle name="Normal 5 2 10 2 2" xfId="27941" xr:uid="{00000000-0005-0000-0000-0000546D0000}"/>
    <cellStyle name="Normal 5 2 10 2 2 2" xfId="27942" xr:uid="{00000000-0005-0000-0000-0000556D0000}"/>
    <cellStyle name="Normal 5 2 10 2 3" xfId="27943" xr:uid="{00000000-0005-0000-0000-0000566D0000}"/>
    <cellStyle name="Normal 5 2 10 2 3 2" xfId="27944" xr:uid="{00000000-0005-0000-0000-0000576D0000}"/>
    <cellStyle name="Normal 5 2 10 2 4" xfId="27945" xr:uid="{00000000-0005-0000-0000-0000586D0000}"/>
    <cellStyle name="Normal 5 2 10 2 4 2" xfId="27946" xr:uid="{00000000-0005-0000-0000-0000596D0000}"/>
    <cellStyle name="Normal 5 2 10 2 5" xfId="27947" xr:uid="{00000000-0005-0000-0000-00005A6D0000}"/>
    <cellStyle name="Normal 5 2 10 2 5 2" xfId="27948" xr:uid="{00000000-0005-0000-0000-00005B6D0000}"/>
    <cellStyle name="Normal 5 2 10 2 6" xfId="27949" xr:uid="{00000000-0005-0000-0000-00005C6D0000}"/>
    <cellStyle name="Normal 5 2 10 2 6 2" xfId="27950" xr:uid="{00000000-0005-0000-0000-00005D6D0000}"/>
    <cellStyle name="Normal 5 2 10 2 7" xfId="27951" xr:uid="{00000000-0005-0000-0000-00005E6D0000}"/>
    <cellStyle name="Normal 5 2 10 3" xfId="27952" xr:uid="{00000000-0005-0000-0000-00005F6D0000}"/>
    <cellStyle name="Normal 5 2 10 3 2" xfId="27953" xr:uid="{00000000-0005-0000-0000-0000606D0000}"/>
    <cellStyle name="Normal 5 2 10 4" xfId="27954" xr:uid="{00000000-0005-0000-0000-0000616D0000}"/>
    <cellStyle name="Normal 5 2 10 4 2" xfId="27955" xr:uid="{00000000-0005-0000-0000-0000626D0000}"/>
    <cellStyle name="Normal 5 2 10 5" xfId="27956" xr:uid="{00000000-0005-0000-0000-0000636D0000}"/>
    <cellStyle name="Normal 5 2 10 5 2" xfId="27957" xr:uid="{00000000-0005-0000-0000-0000646D0000}"/>
    <cellStyle name="Normal 5 2 10 6" xfId="27958" xr:uid="{00000000-0005-0000-0000-0000656D0000}"/>
    <cellStyle name="Normal 5 2 10 6 2" xfId="27959" xr:uid="{00000000-0005-0000-0000-0000666D0000}"/>
    <cellStyle name="Normal 5 2 10 7" xfId="27960" xr:uid="{00000000-0005-0000-0000-0000676D0000}"/>
    <cellStyle name="Normal 5 2 10 7 2" xfId="27961" xr:uid="{00000000-0005-0000-0000-0000686D0000}"/>
    <cellStyle name="Normal 5 2 10 8" xfId="27962" xr:uid="{00000000-0005-0000-0000-0000696D0000}"/>
    <cellStyle name="Normal 5 2 11" xfId="27963" xr:uid="{00000000-0005-0000-0000-00006A6D0000}"/>
    <cellStyle name="Normal 5 2 11 2" xfId="27964" xr:uid="{00000000-0005-0000-0000-00006B6D0000}"/>
    <cellStyle name="Normal 5 2 11 2 2" xfId="27965" xr:uid="{00000000-0005-0000-0000-00006C6D0000}"/>
    <cellStyle name="Normal 5 2 11 3" xfId="27966" xr:uid="{00000000-0005-0000-0000-00006D6D0000}"/>
    <cellStyle name="Normal 5 2 11 3 2" xfId="27967" xr:uid="{00000000-0005-0000-0000-00006E6D0000}"/>
    <cellStyle name="Normal 5 2 11 4" xfId="27968" xr:uid="{00000000-0005-0000-0000-00006F6D0000}"/>
    <cellStyle name="Normal 5 2 11 4 2" xfId="27969" xr:uid="{00000000-0005-0000-0000-0000706D0000}"/>
    <cellStyle name="Normal 5 2 11 5" xfId="27970" xr:uid="{00000000-0005-0000-0000-0000716D0000}"/>
    <cellStyle name="Normal 5 2 11 5 2" xfId="27971" xr:uid="{00000000-0005-0000-0000-0000726D0000}"/>
    <cellStyle name="Normal 5 2 11 6" xfId="27972" xr:uid="{00000000-0005-0000-0000-0000736D0000}"/>
    <cellStyle name="Normal 5 2 11 6 2" xfId="27973" xr:uid="{00000000-0005-0000-0000-0000746D0000}"/>
    <cellStyle name="Normal 5 2 11 7" xfId="27974" xr:uid="{00000000-0005-0000-0000-0000756D0000}"/>
    <cellStyle name="Normal 5 2 12" xfId="27975" xr:uid="{00000000-0005-0000-0000-0000766D0000}"/>
    <cellStyle name="Normal 5 2 12 2" xfId="27976" xr:uid="{00000000-0005-0000-0000-0000776D0000}"/>
    <cellStyle name="Normal 5 2 12 2 2" xfId="27977" xr:uid="{00000000-0005-0000-0000-0000786D0000}"/>
    <cellStyle name="Normal 5 2 12 3" xfId="27978" xr:uid="{00000000-0005-0000-0000-0000796D0000}"/>
    <cellStyle name="Normal 5 2 12 3 2" xfId="27979" xr:uid="{00000000-0005-0000-0000-00007A6D0000}"/>
    <cellStyle name="Normal 5 2 12 4" xfId="27980" xr:uid="{00000000-0005-0000-0000-00007B6D0000}"/>
    <cellStyle name="Normal 5 2 12 4 2" xfId="27981" xr:uid="{00000000-0005-0000-0000-00007C6D0000}"/>
    <cellStyle name="Normal 5 2 12 5" xfId="27982" xr:uid="{00000000-0005-0000-0000-00007D6D0000}"/>
    <cellStyle name="Normal 5 2 12 5 2" xfId="27983" xr:uid="{00000000-0005-0000-0000-00007E6D0000}"/>
    <cellStyle name="Normal 5 2 12 6" xfId="27984" xr:uid="{00000000-0005-0000-0000-00007F6D0000}"/>
    <cellStyle name="Normal 5 2 12 6 2" xfId="27985" xr:uid="{00000000-0005-0000-0000-0000806D0000}"/>
    <cellStyle name="Normal 5 2 12 7" xfId="27986" xr:uid="{00000000-0005-0000-0000-0000816D0000}"/>
    <cellStyle name="Normal 5 2 13" xfId="27987" xr:uid="{00000000-0005-0000-0000-0000826D0000}"/>
    <cellStyle name="Normal 5 2 13 2" xfId="27988" xr:uid="{00000000-0005-0000-0000-0000836D0000}"/>
    <cellStyle name="Normal 5 2 14" xfId="27989" xr:uid="{00000000-0005-0000-0000-0000846D0000}"/>
    <cellStyle name="Normal 5 2 14 2" xfId="27990" xr:uid="{00000000-0005-0000-0000-0000856D0000}"/>
    <cellStyle name="Normal 5 2 15" xfId="27991" xr:uid="{00000000-0005-0000-0000-0000866D0000}"/>
    <cellStyle name="Normal 5 2 15 2" xfId="27992" xr:uid="{00000000-0005-0000-0000-0000876D0000}"/>
    <cellStyle name="Normal 5 2 16" xfId="27993" xr:uid="{00000000-0005-0000-0000-0000886D0000}"/>
    <cellStyle name="Normal 5 2 16 2" xfId="27994" xr:uid="{00000000-0005-0000-0000-0000896D0000}"/>
    <cellStyle name="Normal 5 2 17" xfId="27995" xr:uid="{00000000-0005-0000-0000-00008A6D0000}"/>
    <cellStyle name="Normal 5 2 17 2" xfId="27996" xr:uid="{00000000-0005-0000-0000-00008B6D0000}"/>
    <cellStyle name="Normal 5 2 18" xfId="27997" xr:uid="{00000000-0005-0000-0000-00008C6D0000}"/>
    <cellStyle name="Normal 5 2 2" xfId="27998" xr:uid="{00000000-0005-0000-0000-00008D6D0000}"/>
    <cellStyle name="Normal 5 2 2 2" xfId="27999" xr:uid="{00000000-0005-0000-0000-00008E6D0000}"/>
    <cellStyle name="Normal 5 2 2 2 2" xfId="28000" xr:uid="{00000000-0005-0000-0000-00008F6D0000}"/>
    <cellStyle name="Normal 5 2 2 2 2 2" xfId="28001" xr:uid="{00000000-0005-0000-0000-0000906D0000}"/>
    <cellStyle name="Normal 5 2 2 2 2 2 2" xfId="28002" xr:uid="{00000000-0005-0000-0000-0000916D0000}"/>
    <cellStyle name="Normal 5 2 2 2 2 2 2 2" xfId="28003" xr:uid="{00000000-0005-0000-0000-0000926D0000}"/>
    <cellStyle name="Normal 5 2 2 2 2 2 2 2 2" xfId="28004" xr:uid="{00000000-0005-0000-0000-0000936D0000}"/>
    <cellStyle name="Normal 5 2 2 2 2 2 2 2 2 2" xfId="28005" xr:uid="{00000000-0005-0000-0000-0000946D0000}"/>
    <cellStyle name="Normal 5 2 2 2 2 2 2 2 2 2 2" xfId="28006" xr:uid="{00000000-0005-0000-0000-0000956D0000}"/>
    <cellStyle name="Normal 5 2 2 2 2 2 2 2 2 3" xfId="28007" xr:uid="{00000000-0005-0000-0000-0000966D0000}"/>
    <cellStyle name="Normal 5 2 2 2 2 2 2 2 3" xfId="28008" xr:uid="{00000000-0005-0000-0000-0000976D0000}"/>
    <cellStyle name="Normal 5 2 2 2 2 2 2 2 3 2" xfId="28009" xr:uid="{00000000-0005-0000-0000-0000986D0000}"/>
    <cellStyle name="Normal 5 2 2 2 2 2 2 2 4" xfId="28010" xr:uid="{00000000-0005-0000-0000-0000996D0000}"/>
    <cellStyle name="Normal 5 2 2 2 2 2 2 3" xfId="28011" xr:uid="{00000000-0005-0000-0000-00009A6D0000}"/>
    <cellStyle name="Normal 5 2 2 2 2 2 2 3 2" xfId="28012" xr:uid="{00000000-0005-0000-0000-00009B6D0000}"/>
    <cellStyle name="Normal 5 2 2 2 2 2 2 3 2 2" xfId="28013" xr:uid="{00000000-0005-0000-0000-00009C6D0000}"/>
    <cellStyle name="Normal 5 2 2 2 2 2 2 3 3" xfId="28014" xr:uid="{00000000-0005-0000-0000-00009D6D0000}"/>
    <cellStyle name="Normal 5 2 2 2 2 2 2 4" xfId="28015" xr:uid="{00000000-0005-0000-0000-00009E6D0000}"/>
    <cellStyle name="Normal 5 2 2 2 2 2 2 4 2" xfId="28016" xr:uid="{00000000-0005-0000-0000-00009F6D0000}"/>
    <cellStyle name="Normal 5 2 2 2 2 2 2 5" xfId="28017" xr:uid="{00000000-0005-0000-0000-0000A06D0000}"/>
    <cellStyle name="Normal 5 2 2 2 2 2 3" xfId="28018" xr:uid="{00000000-0005-0000-0000-0000A16D0000}"/>
    <cellStyle name="Normal 5 2 2 2 2 2 3 2" xfId="28019" xr:uid="{00000000-0005-0000-0000-0000A26D0000}"/>
    <cellStyle name="Normal 5 2 2 2 2 2 3 2 2" xfId="28020" xr:uid="{00000000-0005-0000-0000-0000A36D0000}"/>
    <cellStyle name="Normal 5 2 2 2 2 2 3 2 2 2" xfId="28021" xr:uid="{00000000-0005-0000-0000-0000A46D0000}"/>
    <cellStyle name="Normal 5 2 2 2 2 2 3 2 3" xfId="28022" xr:uid="{00000000-0005-0000-0000-0000A56D0000}"/>
    <cellStyle name="Normal 5 2 2 2 2 2 3 3" xfId="28023" xr:uid="{00000000-0005-0000-0000-0000A66D0000}"/>
    <cellStyle name="Normal 5 2 2 2 2 2 3 3 2" xfId="28024" xr:uid="{00000000-0005-0000-0000-0000A76D0000}"/>
    <cellStyle name="Normal 5 2 2 2 2 2 3 4" xfId="28025" xr:uid="{00000000-0005-0000-0000-0000A86D0000}"/>
    <cellStyle name="Normal 5 2 2 2 2 2 4" xfId="28026" xr:uid="{00000000-0005-0000-0000-0000A96D0000}"/>
    <cellStyle name="Normal 5 2 2 2 2 2 4 2" xfId="28027" xr:uid="{00000000-0005-0000-0000-0000AA6D0000}"/>
    <cellStyle name="Normal 5 2 2 2 2 2 4 2 2" xfId="28028" xr:uid="{00000000-0005-0000-0000-0000AB6D0000}"/>
    <cellStyle name="Normal 5 2 2 2 2 2 4 3" xfId="28029" xr:uid="{00000000-0005-0000-0000-0000AC6D0000}"/>
    <cellStyle name="Normal 5 2 2 2 2 2 5" xfId="28030" xr:uid="{00000000-0005-0000-0000-0000AD6D0000}"/>
    <cellStyle name="Normal 5 2 2 2 2 2 5 2" xfId="28031" xr:uid="{00000000-0005-0000-0000-0000AE6D0000}"/>
    <cellStyle name="Normal 5 2 2 2 2 2 6" xfId="28032" xr:uid="{00000000-0005-0000-0000-0000AF6D0000}"/>
    <cellStyle name="Normal 5 2 2 2 2 3" xfId="28033" xr:uid="{00000000-0005-0000-0000-0000B06D0000}"/>
    <cellStyle name="Normal 5 2 2 2 2 3 2" xfId="28034" xr:uid="{00000000-0005-0000-0000-0000B16D0000}"/>
    <cellStyle name="Normal 5 2 2 2 2 3 2 2" xfId="28035" xr:uid="{00000000-0005-0000-0000-0000B26D0000}"/>
    <cellStyle name="Normal 5 2 2 2 2 3 2 2 2" xfId="28036" xr:uid="{00000000-0005-0000-0000-0000B36D0000}"/>
    <cellStyle name="Normal 5 2 2 2 2 3 2 2 2 2" xfId="28037" xr:uid="{00000000-0005-0000-0000-0000B46D0000}"/>
    <cellStyle name="Normal 5 2 2 2 2 3 2 2 3" xfId="28038" xr:uid="{00000000-0005-0000-0000-0000B56D0000}"/>
    <cellStyle name="Normal 5 2 2 2 2 3 2 3" xfId="28039" xr:uid="{00000000-0005-0000-0000-0000B66D0000}"/>
    <cellStyle name="Normal 5 2 2 2 2 3 2 3 2" xfId="28040" xr:uid="{00000000-0005-0000-0000-0000B76D0000}"/>
    <cellStyle name="Normal 5 2 2 2 2 3 2 4" xfId="28041" xr:uid="{00000000-0005-0000-0000-0000B86D0000}"/>
    <cellStyle name="Normal 5 2 2 2 2 3 3" xfId="28042" xr:uid="{00000000-0005-0000-0000-0000B96D0000}"/>
    <cellStyle name="Normal 5 2 2 2 2 3 3 2" xfId="28043" xr:uid="{00000000-0005-0000-0000-0000BA6D0000}"/>
    <cellStyle name="Normal 5 2 2 2 2 3 3 2 2" xfId="28044" xr:uid="{00000000-0005-0000-0000-0000BB6D0000}"/>
    <cellStyle name="Normal 5 2 2 2 2 3 3 3" xfId="28045" xr:uid="{00000000-0005-0000-0000-0000BC6D0000}"/>
    <cellStyle name="Normal 5 2 2 2 2 3 4" xfId="28046" xr:uid="{00000000-0005-0000-0000-0000BD6D0000}"/>
    <cellStyle name="Normal 5 2 2 2 2 3 4 2" xfId="28047" xr:uid="{00000000-0005-0000-0000-0000BE6D0000}"/>
    <cellStyle name="Normal 5 2 2 2 2 3 5" xfId="28048" xr:uid="{00000000-0005-0000-0000-0000BF6D0000}"/>
    <cellStyle name="Normal 5 2 2 2 2 4" xfId="28049" xr:uid="{00000000-0005-0000-0000-0000C06D0000}"/>
    <cellStyle name="Normal 5 2 2 2 2 4 2" xfId="28050" xr:uid="{00000000-0005-0000-0000-0000C16D0000}"/>
    <cellStyle name="Normal 5 2 2 2 2 4 2 2" xfId="28051" xr:uid="{00000000-0005-0000-0000-0000C26D0000}"/>
    <cellStyle name="Normal 5 2 2 2 2 4 2 2 2" xfId="28052" xr:uid="{00000000-0005-0000-0000-0000C36D0000}"/>
    <cellStyle name="Normal 5 2 2 2 2 4 2 3" xfId="28053" xr:uid="{00000000-0005-0000-0000-0000C46D0000}"/>
    <cellStyle name="Normal 5 2 2 2 2 4 3" xfId="28054" xr:uid="{00000000-0005-0000-0000-0000C56D0000}"/>
    <cellStyle name="Normal 5 2 2 2 2 4 3 2" xfId="28055" xr:uid="{00000000-0005-0000-0000-0000C66D0000}"/>
    <cellStyle name="Normal 5 2 2 2 2 4 4" xfId="28056" xr:uid="{00000000-0005-0000-0000-0000C76D0000}"/>
    <cellStyle name="Normal 5 2 2 2 2 5" xfId="28057" xr:uid="{00000000-0005-0000-0000-0000C86D0000}"/>
    <cellStyle name="Normal 5 2 2 2 2 5 2" xfId="28058" xr:uid="{00000000-0005-0000-0000-0000C96D0000}"/>
    <cellStyle name="Normal 5 2 2 2 2 5 2 2" xfId="28059" xr:uid="{00000000-0005-0000-0000-0000CA6D0000}"/>
    <cellStyle name="Normal 5 2 2 2 2 5 3" xfId="28060" xr:uid="{00000000-0005-0000-0000-0000CB6D0000}"/>
    <cellStyle name="Normal 5 2 2 2 2 6" xfId="28061" xr:uid="{00000000-0005-0000-0000-0000CC6D0000}"/>
    <cellStyle name="Normal 5 2 2 2 2 6 2" xfId="28062" xr:uid="{00000000-0005-0000-0000-0000CD6D0000}"/>
    <cellStyle name="Normal 5 2 2 2 2 7" xfId="28063" xr:uid="{00000000-0005-0000-0000-0000CE6D0000}"/>
    <cellStyle name="Normal 5 2 2 2 3" xfId="28064" xr:uid="{00000000-0005-0000-0000-0000CF6D0000}"/>
    <cellStyle name="Normal 5 2 2 2 3 2" xfId="28065" xr:uid="{00000000-0005-0000-0000-0000D06D0000}"/>
    <cellStyle name="Normal 5 2 2 2 3 2 2" xfId="28066" xr:uid="{00000000-0005-0000-0000-0000D16D0000}"/>
    <cellStyle name="Normal 5 2 2 2 3 2 2 2" xfId="28067" xr:uid="{00000000-0005-0000-0000-0000D26D0000}"/>
    <cellStyle name="Normal 5 2 2 2 3 2 2 2 2" xfId="28068" xr:uid="{00000000-0005-0000-0000-0000D36D0000}"/>
    <cellStyle name="Normal 5 2 2 2 3 2 2 2 2 2" xfId="28069" xr:uid="{00000000-0005-0000-0000-0000D46D0000}"/>
    <cellStyle name="Normal 5 2 2 2 3 2 2 2 3" xfId="28070" xr:uid="{00000000-0005-0000-0000-0000D56D0000}"/>
    <cellStyle name="Normal 5 2 2 2 3 2 2 3" xfId="28071" xr:uid="{00000000-0005-0000-0000-0000D66D0000}"/>
    <cellStyle name="Normal 5 2 2 2 3 2 2 3 2" xfId="28072" xr:uid="{00000000-0005-0000-0000-0000D76D0000}"/>
    <cellStyle name="Normal 5 2 2 2 3 2 2 4" xfId="28073" xr:uid="{00000000-0005-0000-0000-0000D86D0000}"/>
    <cellStyle name="Normal 5 2 2 2 3 2 3" xfId="28074" xr:uid="{00000000-0005-0000-0000-0000D96D0000}"/>
    <cellStyle name="Normal 5 2 2 2 3 2 3 2" xfId="28075" xr:uid="{00000000-0005-0000-0000-0000DA6D0000}"/>
    <cellStyle name="Normal 5 2 2 2 3 2 3 2 2" xfId="28076" xr:uid="{00000000-0005-0000-0000-0000DB6D0000}"/>
    <cellStyle name="Normal 5 2 2 2 3 2 3 3" xfId="28077" xr:uid="{00000000-0005-0000-0000-0000DC6D0000}"/>
    <cellStyle name="Normal 5 2 2 2 3 2 4" xfId="28078" xr:uid="{00000000-0005-0000-0000-0000DD6D0000}"/>
    <cellStyle name="Normal 5 2 2 2 3 2 4 2" xfId="28079" xr:uid="{00000000-0005-0000-0000-0000DE6D0000}"/>
    <cellStyle name="Normal 5 2 2 2 3 2 5" xfId="28080" xr:uid="{00000000-0005-0000-0000-0000DF6D0000}"/>
    <cellStyle name="Normal 5 2 2 2 3 3" xfId="28081" xr:uid="{00000000-0005-0000-0000-0000E06D0000}"/>
    <cellStyle name="Normal 5 2 2 2 3 3 2" xfId="28082" xr:uid="{00000000-0005-0000-0000-0000E16D0000}"/>
    <cellStyle name="Normal 5 2 2 2 3 3 2 2" xfId="28083" xr:uid="{00000000-0005-0000-0000-0000E26D0000}"/>
    <cellStyle name="Normal 5 2 2 2 3 3 2 2 2" xfId="28084" xr:uid="{00000000-0005-0000-0000-0000E36D0000}"/>
    <cellStyle name="Normal 5 2 2 2 3 3 2 3" xfId="28085" xr:uid="{00000000-0005-0000-0000-0000E46D0000}"/>
    <cellStyle name="Normal 5 2 2 2 3 3 3" xfId="28086" xr:uid="{00000000-0005-0000-0000-0000E56D0000}"/>
    <cellStyle name="Normal 5 2 2 2 3 3 3 2" xfId="28087" xr:uid="{00000000-0005-0000-0000-0000E66D0000}"/>
    <cellStyle name="Normal 5 2 2 2 3 3 4" xfId="28088" xr:uid="{00000000-0005-0000-0000-0000E76D0000}"/>
    <cellStyle name="Normal 5 2 2 2 3 4" xfId="28089" xr:uid="{00000000-0005-0000-0000-0000E86D0000}"/>
    <cellStyle name="Normal 5 2 2 2 3 4 2" xfId="28090" xr:uid="{00000000-0005-0000-0000-0000E96D0000}"/>
    <cellStyle name="Normal 5 2 2 2 3 4 2 2" xfId="28091" xr:uid="{00000000-0005-0000-0000-0000EA6D0000}"/>
    <cellStyle name="Normal 5 2 2 2 3 4 3" xfId="28092" xr:uid="{00000000-0005-0000-0000-0000EB6D0000}"/>
    <cellStyle name="Normal 5 2 2 2 3 5" xfId="28093" xr:uid="{00000000-0005-0000-0000-0000EC6D0000}"/>
    <cellStyle name="Normal 5 2 2 2 3 5 2" xfId="28094" xr:uid="{00000000-0005-0000-0000-0000ED6D0000}"/>
    <cellStyle name="Normal 5 2 2 2 3 6" xfId="28095" xr:uid="{00000000-0005-0000-0000-0000EE6D0000}"/>
    <cellStyle name="Normal 5 2 2 2 4" xfId="28096" xr:uid="{00000000-0005-0000-0000-0000EF6D0000}"/>
    <cellStyle name="Normal 5 2 2 2 4 2" xfId="28097" xr:uid="{00000000-0005-0000-0000-0000F06D0000}"/>
    <cellStyle name="Normal 5 2 2 2 4 2 2" xfId="28098" xr:uid="{00000000-0005-0000-0000-0000F16D0000}"/>
    <cellStyle name="Normal 5 2 2 2 4 2 2 2" xfId="28099" xr:uid="{00000000-0005-0000-0000-0000F26D0000}"/>
    <cellStyle name="Normal 5 2 2 2 4 2 2 2 2" xfId="28100" xr:uid="{00000000-0005-0000-0000-0000F36D0000}"/>
    <cellStyle name="Normal 5 2 2 2 4 2 2 3" xfId="28101" xr:uid="{00000000-0005-0000-0000-0000F46D0000}"/>
    <cellStyle name="Normal 5 2 2 2 4 2 3" xfId="28102" xr:uid="{00000000-0005-0000-0000-0000F56D0000}"/>
    <cellStyle name="Normal 5 2 2 2 4 2 3 2" xfId="28103" xr:uid="{00000000-0005-0000-0000-0000F66D0000}"/>
    <cellStyle name="Normal 5 2 2 2 4 2 4" xfId="28104" xr:uid="{00000000-0005-0000-0000-0000F76D0000}"/>
    <cellStyle name="Normal 5 2 2 2 4 3" xfId="28105" xr:uid="{00000000-0005-0000-0000-0000F86D0000}"/>
    <cellStyle name="Normal 5 2 2 2 4 3 2" xfId="28106" xr:uid="{00000000-0005-0000-0000-0000F96D0000}"/>
    <cellStyle name="Normal 5 2 2 2 4 3 2 2" xfId="28107" xr:uid="{00000000-0005-0000-0000-0000FA6D0000}"/>
    <cellStyle name="Normal 5 2 2 2 4 3 3" xfId="28108" xr:uid="{00000000-0005-0000-0000-0000FB6D0000}"/>
    <cellStyle name="Normal 5 2 2 2 4 4" xfId="28109" xr:uid="{00000000-0005-0000-0000-0000FC6D0000}"/>
    <cellStyle name="Normal 5 2 2 2 4 4 2" xfId="28110" xr:uid="{00000000-0005-0000-0000-0000FD6D0000}"/>
    <cellStyle name="Normal 5 2 2 2 4 5" xfId="28111" xr:uid="{00000000-0005-0000-0000-0000FE6D0000}"/>
    <cellStyle name="Normal 5 2 2 2 5" xfId="28112" xr:uid="{00000000-0005-0000-0000-0000FF6D0000}"/>
    <cellStyle name="Normal 5 2 2 2 5 2" xfId="28113" xr:uid="{00000000-0005-0000-0000-0000006E0000}"/>
    <cellStyle name="Normal 5 2 2 2 5 2 2" xfId="28114" xr:uid="{00000000-0005-0000-0000-0000016E0000}"/>
    <cellStyle name="Normal 5 2 2 2 5 2 2 2" xfId="28115" xr:uid="{00000000-0005-0000-0000-0000026E0000}"/>
    <cellStyle name="Normal 5 2 2 2 5 2 3" xfId="28116" xr:uid="{00000000-0005-0000-0000-0000036E0000}"/>
    <cellStyle name="Normal 5 2 2 2 5 3" xfId="28117" xr:uid="{00000000-0005-0000-0000-0000046E0000}"/>
    <cellStyle name="Normal 5 2 2 2 5 3 2" xfId="28118" xr:uid="{00000000-0005-0000-0000-0000056E0000}"/>
    <cellStyle name="Normal 5 2 2 2 5 4" xfId="28119" xr:uid="{00000000-0005-0000-0000-0000066E0000}"/>
    <cellStyle name="Normal 5 2 2 2 6" xfId="28120" xr:uid="{00000000-0005-0000-0000-0000076E0000}"/>
    <cellStyle name="Normal 5 2 2 2 6 2" xfId="28121" xr:uid="{00000000-0005-0000-0000-0000086E0000}"/>
    <cellStyle name="Normal 5 2 2 2 6 2 2" xfId="28122" xr:uid="{00000000-0005-0000-0000-0000096E0000}"/>
    <cellStyle name="Normal 5 2 2 2 6 3" xfId="28123" xr:uid="{00000000-0005-0000-0000-00000A6E0000}"/>
    <cellStyle name="Normal 5 2 2 2 7" xfId="28124" xr:uid="{00000000-0005-0000-0000-00000B6E0000}"/>
    <cellStyle name="Normal 5 2 2 2 7 2" xfId="28125" xr:uid="{00000000-0005-0000-0000-00000C6E0000}"/>
    <cellStyle name="Normal 5 2 2 2 8" xfId="28126" xr:uid="{00000000-0005-0000-0000-00000D6E0000}"/>
    <cellStyle name="Normal 5 2 2 3" xfId="28127" xr:uid="{00000000-0005-0000-0000-00000E6E0000}"/>
    <cellStyle name="Normal 5 2 2 3 2" xfId="28128" xr:uid="{00000000-0005-0000-0000-00000F6E0000}"/>
    <cellStyle name="Normal 5 2 2 3 2 2" xfId="28129" xr:uid="{00000000-0005-0000-0000-0000106E0000}"/>
    <cellStyle name="Normal 5 2 2 3 2 2 2" xfId="28130" xr:uid="{00000000-0005-0000-0000-0000116E0000}"/>
    <cellStyle name="Normal 5 2 2 3 2 2 2 2" xfId="28131" xr:uid="{00000000-0005-0000-0000-0000126E0000}"/>
    <cellStyle name="Normal 5 2 2 3 2 2 2 2 2" xfId="28132" xr:uid="{00000000-0005-0000-0000-0000136E0000}"/>
    <cellStyle name="Normal 5 2 2 3 2 2 2 2 2 2" xfId="28133" xr:uid="{00000000-0005-0000-0000-0000146E0000}"/>
    <cellStyle name="Normal 5 2 2 3 2 2 2 2 3" xfId="28134" xr:uid="{00000000-0005-0000-0000-0000156E0000}"/>
    <cellStyle name="Normal 5 2 2 3 2 2 2 3" xfId="28135" xr:uid="{00000000-0005-0000-0000-0000166E0000}"/>
    <cellStyle name="Normal 5 2 2 3 2 2 2 3 2" xfId="28136" xr:uid="{00000000-0005-0000-0000-0000176E0000}"/>
    <cellStyle name="Normal 5 2 2 3 2 2 2 4" xfId="28137" xr:uid="{00000000-0005-0000-0000-0000186E0000}"/>
    <cellStyle name="Normal 5 2 2 3 2 2 3" xfId="28138" xr:uid="{00000000-0005-0000-0000-0000196E0000}"/>
    <cellStyle name="Normal 5 2 2 3 2 2 3 2" xfId="28139" xr:uid="{00000000-0005-0000-0000-00001A6E0000}"/>
    <cellStyle name="Normal 5 2 2 3 2 2 3 2 2" xfId="28140" xr:uid="{00000000-0005-0000-0000-00001B6E0000}"/>
    <cellStyle name="Normal 5 2 2 3 2 2 3 3" xfId="28141" xr:uid="{00000000-0005-0000-0000-00001C6E0000}"/>
    <cellStyle name="Normal 5 2 2 3 2 2 4" xfId="28142" xr:uid="{00000000-0005-0000-0000-00001D6E0000}"/>
    <cellStyle name="Normal 5 2 2 3 2 2 4 2" xfId="28143" xr:uid="{00000000-0005-0000-0000-00001E6E0000}"/>
    <cellStyle name="Normal 5 2 2 3 2 2 5" xfId="28144" xr:uid="{00000000-0005-0000-0000-00001F6E0000}"/>
    <cellStyle name="Normal 5 2 2 3 2 3" xfId="28145" xr:uid="{00000000-0005-0000-0000-0000206E0000}"/>
    <cellStyle name="Normal 5 2 2 3 2 3 2" xfId="28146" xr:uid="{00000000-0005-0000-0000-0000216E0000}"/>
    <cellStyle name="Normal 5 2 2 3 2 3 2 2" xfId="28147" xr:uid="{00000000-0005-0000-0000-0000226E0000}"/>
    <cellStyle name="Normal 5 2 2 3 2 3 2 2 2" xfId="28148" xr:uid="{00000000-0005-0000-0000-0000236E0000}"/>
    <cellStyle name="Normal 5 2 2 3 2 3 2 3" xfId="28149" xr:uid="{00000000-0005-0000-0000-0000246E0000}"/>
    <cellStyle name="Normal 5 2 2 3 2 3 3" xfId="28150" xr:uid="{00000000-0005-0000-0000-0000256E0000}"/>
    <cellStyle name="Normal 5 2 2 3 2 3 3 2" xfId="28151" xr:uid="{00000000-0005-0000-0000-0000266E0000}"/>
    <cellStyle name="Normal 5 2 2 3 2 3 4" xfId="28152" xr:uid="{00000000-0005-0000-0000-0000276E0000}"/>
    <cellStyle name="Normal 5 2 2 3 2 4" xfId="28153" xr:uid="{00000000-0005-0000-0000-0000286E0000}"/>
    <cellStyle name="Normal 5 2 2 3 2 4 2" xfId="28154" xr:uid="{00000000-0005-0000-0000-0000296E0000}"/>
    <cellStyle name="Normal 5 2 2 3 2 4 2 2" xfId="28155" xr:uid="{00000000-0005-0000-0000-00002A6E0000}"/>
    <cellStyle name="Normal 5 2 2 3 2 4 3" xfId="28156" xr:uid="{00000000-0005-0000-0000-00002B6E0000}"/>
    <cellStyle name="Normal 5 2 2 3 2 5" xfId="28157" xr:uid="{00000000-0005-0000-0000-00002C6E0000}"/>
    <cellStyle name="Normal 5 2 2 3 2 5 2" xfId="28158" xr:uid="{00000000-0005-0000-0000-00002D6E0000}"/>
    <cellStyle name="Normal 5 2 2 3 2 6" xfId="28159" xr:uid="{00000000-0005-0000-0000-00002E6E0000}"/>
    <cellStyle name="Normal 5 2 2 3 3" xfId="28160" xr:uid="{00000000-0005-0000-0000-00002F6E0000}"/>
    <cellStyle name="Normal 5 2 2 3 3 2" xfId="28161" xr:uid="{00000000-0005-0000-0000-0000306E0000}"/>
    <cellStyle name="Normal 5 2 2 3 3 2 2" xfId="28162" xr:uid="{00000000-0005-0000-0000-0000316E0000}"/>
    <cellStyle name="Normal 5 2 2 3 3 2 2 2" xfId="28163" xr:uid="{00000000-0005-0000-0000-0000326E0000}"/>
    <cellStyle name="Normal 5 2 2 3 3 2 2 2 2" xfId="28164" xr:uid="{00000000-0005-0000-0000-0000336E0000}"/>
    <cellStyle name="Normal 5 2 2 3 3 2 2 3" xfId="28165" xr:uid="{00000000-0005-0000-0000-0000346E0000}"/>
    <cellStyle name="Normal 5 2 2 3 3 2 3" xfId="28166" xr:uid="{00000000-0005-0000-0000-0000356E0000}"/>
    <cellStyle name="Normal 5 2 2 3 3 2 3 2" xfId="28167" xr:uid="{00000000-0005-0000-0000-0000366E0000}"/>
    <cellStyle name="Normal 5 2 2 3 3 2 4" xfId="28168" xr:uid="{00000000-0005-0000-0000-0000376E0000}"/>
    <cellStyle name="Normal 5 2 2 3 3 3" xfId="28169" xr:uid="{00000000-0005-0000-0000-0000386E0000}"/>
    <cellStyle name="Normal 5 2 2 3 3 3 2" xfId="28170" xr:uid="{00000000-0005-0000-0000-0000396E0000}"/>
    <cellStyle name="Normal 5 2 2 3 3 3 2 2" xfId="28171" xr:uid="{00000000-0005-0000-0000-00003A6E0000}"/>
    <cellStyle name="Normal 5 2 2 3 3 3 3" xfId="28172" xr:uid="{00000000-0005-0000-0000-00003B6E0000}"/>
    <cellStyle name="Normal 5 2 2 3 3 4" xfId="28173" xr:uid="{00000000-0005-0000-0000-00003C6E0000}"/>
    <cellStyle name="Normal 5 2 2 3 3 4 2" xfId="28174" xr:uid="{00000000-0005-0000-0000-00003D6E0000}"/>
    <cellStyle name="Normal 5 2 2 3 3 5" xfId="28175" xr:uid="{00000000-0005-0000-0000-00003E6E0000}"/>
    <cellStyle name="Normal 5 2 2 3 4" xfId="28176" xr:uid="{00000000-0005-0000-0000-00003F6E0000}"/>
    <cellStyle name="Normal 5 2 2 3 4 2" xfId="28177" xr:uid="{00000000-0005-0000-0000-0000406E0000}"/>
    <cellStyle name="Normal 5 2 2 3 4 2 2" xfId="28178" xr:uid="{00000000-0005-0000-0000-0000416E0000}"/>
    <cellStyle name="Normal 5 2 2 3 4 2 2 2" xfId="28179" xr:uid="{00000000-0005-0000-0000-0000426E0000}"/>
    <cellStyle name="Normal 5 2 2 3 4 2 3" xfId="28180" xr:uid="{00000000-0005-0000-0000-0000436E0000}"/>
    <cellStyle name="Normal 5 2 2 3 4 3" xfId="28181" xr:uid="{00000000-0005-0000-0000-0000446E0000}"/>
    <cellStyle name="Normal 5 2 2 3 4 3 2" xfId="28182" xr:uid="{00000000-0005-0000-0000-0000456E0000}"/>
    <cellStyle name="Normal 5 2 2 3 4 4" xfId="28183" xr:uid="{00000000-0005-0000-0000-0000466E0000}"/>
    <cellStyle name="Normal 5 2 2 3 5" xfId="28184" xr:uid="{00000000-0005-0000-0000-0000476E0000}"/>
    <cellStyle name="Normal 5 2 2 3 5 2" xfId="28185" xr:uid="{00000000-0005-0000-0000-0000486E0000}"/>
    <cellStyle name="Normal 5 2 2 3 5 2 2" xfId="28186" xr:uid="{00000000-0005-0000-0000-0000496E0000}"/>
    <cellStyle name="Normal 5 2 2 3 5 3" xfId="28187" xr:uid="{00000000-0005-0000-0000-00004A6E0000}"/>
    <cellStyle name="Normal 5 2 2 3 6" xfId="28188" xr:uid="{00000000-0005-0000-0000-00004B6E0000}"/>
    <cellStyle name="Normal 5 2 2 3 6 2" xfId="28189" xr:uid="{00000000-0005-0000-0000-00004C6E0000}"/>
    <cellStyle name="Normal 5 2 2 3 7" xfId="28190" xr:uid="{00000000-0005-0000-0000-00004D6E0000}"/>
    <cellStyle name="Normal 5 2 2 4" xfId="28191" xr:uid="{00000000-0005-0000-0000-00004E6E0000}"/>
    <cellStyle name="Normal 5 2 2 4 2" xfId="28192" xr:uid="{00000000-0005-0000-0000-00004F6E0000}"/>
    <cellStyle name="Normal 5 2 2 4 2 2" xfId="28193" xr:uid="{00000000-0005-0000-0000-0000506E0000}"/>
    <cellStyle name="Normal 5 2 2 4 2 2 2" xfId="28194" xr:uid="{00000000-0005-0000-0000-0000516E0000}"/>
    <cellStyle name="Normal 5 2 2 4 2 2 2 2" xfId="28195" xr:uid="{00000000-0005-0000-0000-0000526E0000}"/>
    <cellStyle name="Normal 5 2 2 4 2 2 2 2 2" xfId="28196" xr:uid="{00000000-0005-0000-0000-0000536E0000}"/>
    <cellStyle name="Normal 5 2 2 4 2 2 2 3" xfId="28197" xr:uid="{00000000-0005-0000-0000-0000546E0000}"/>
    <cellStyle name="Normal 5 2 2 4 2 2 3" xfId="28198" xr:uid="{00000000-0005-0000-0000-0000556E0000}"/>
    <cellStyle name="Normal 5 2 2 4 2 2 3 2" xfId="28199" xr:uid="{00000000-0005-0000-0000-0000566E0000}"/>
    <cellStyle name="Normal 5 2 2 4 2 2 4" xfId="28200" xr:uid="{00000000-0005-0000-0000-0000576E0000}"/>
    <cellStyle name="Normal 5 2 2 4 2 3" xfId="28201" xr:uid="{00000000-0005-0000-0000-0000586E0000}"/>
    <cellStyle name="Normal 5 2 2 4 2 3 2" xfId="28202" xr:uid="{00000000-0005-0000-0000-0000596E0000}"/>
    <cellStyle name="Normal 5 2 2 4 2 3 2 2" xfId="28203" xr:uid="{00000000-0005-0000-0000-00005A6E0000}"/>
    <cellStyle name="Normal 5 2 2 4 2 3 3" xfId="28204" xr:uid="{00000000-0005-0000-0000-00005B6E0000}"/>
    <cellStyle name="Normal 5 2 2 4 2 4" xfId="28205" xr:uid="{00000000-0005-0000-0000-00005C6E0000}"/>
    <cellStyle name="Normal 5 2 2 4 2 4 2" xfId="28206" xr:uid="{00000000-0005-0000-0000-00005D6E0000}"/>
    <cellStyle name="Normal 5 2 2 4 2 5" xfId="28207" xr:uid="{00000000-0005-0000-0000-00005E6E0000}"/>
    <cellStyle name="Normal 5 2 2 4 3" xfId="28208" xr:uid="{00000000-0005-0000-0000-00005F6E0000}"/>
    <cellStyle name="Normal 5 2 2 4 3 2" xfId="28209" xr:uid="{00000000-0005-0000-0000-0000606E0000}"/>
    <cellStyle name="Normal 5 2 2 4 3 2 2" xfId="28210" xr:uid="{00000000-0005-0000-0000-0000616E0000}"/>
    <cellStyle name="Normal 5 2 2 4 3 2 2 2" xfId="28211" xr:uid="{00000000-0005-0000-0000-0000626E0000}"/>
    <cellStyle name="Normal 5 2 2 4 3 2 3" xfId="28212" xr:uid="{00000000-0005-0000-0000-0000636E0000}"/>
    <cellStyle name="Normal 5 2 2 4 3 3" xfId="28213" xr:uid="{00000000-0005-0000-0000-0000646E0000}"/>
    <cellStyle name="Normal 5 2 2 4 3 3 2" xfId="28214" xr:uid="{00000000-0005-0000-0000-0000656E0000}"/>
    <cellStyle name="Normal 5 2 2 4 3 4" xfId="28215" xr:uid="{00000000-0005-0000-0000-0000666E0000}"/>
    <cellStyle name="Normal 5 2 2 4 4" xfId="28216" xr:uid="{00000000-0005-0000-0000-0000676E0000}"/>
    <cellStyle name="Normal 5 2 2 4 4 2" xfId="28217" xr:uid="{00000000-0005-0000-0000-0000686E0000}"/>
    <cellStyle name="Normal 5 2 2 4 4 2 2" xfId="28218" xr:uid="{00000000-0005-0000-0000-0000696E0000}"/>
    <cellStyle name="Normal 5 2 2 4 4 3" xfId="28219" xr:uid="{00000000-0005-0000-0000-00006A6E0000}"/>
    <cellStyle name="Normal 5 2 2 4 5" xfId="28220" xr:uid="{00000000-0005-0000-0000-00006B6E0000}"/>
    <cellStyle name="Normal 5 2 2 4 5 2" xfId="28221" xr:uid="{00000000-0005-0000-0000-00006C6E0000}"/>
    <cellStyle name="Normal 5 2 2 4 6" xfId="28222" xr:uid="{00000000-0005-0000-0000-00006D6E0000}"/>
    <cellStyle name="Normal 5 2 2 5" xfId="28223" xr:uid="{00000000-0005-0000-0000-00006E6E0000}"/>
    <cellStyle name="Normal 5 2 2 5 2" xfId="28224" xr:uid="{00000000-0005-0000-0000-00006F6E0000}"/>
    <cellStyle name="Normal 5 2 2 5 2 2" xfId="28225" xr:uid="{00000000-0005-0000-0000-0000706E0000}"/>
    <cellStyle name="Normal 5 2 2 5 2 2 2" xfId="28226" xr:uid="{00000000-0005-0000-0000-0000716E0000}"/>
    <cellStyle name="Normal 5 2 2 5 2 2 2 2" xfId="28227" xr:uid="{00000000-0005-0000-0000-0000726E0000}"/>
    <cellStyle name="Normal 5 2 2 5 2 2 3" xfId="28228" xr:uid="{00000000-0005-0000-0000-0000736E0000}"/>
    <cellStyle name="Normal 5 2 2 5 2 3" xfId="28229" xr:uid="{00000000-0005-0000-0000-0000746E0000}"/>
    <cellStyle name="Normal 5 2 2 5 2 3 2" xfId="28230" xr:uid="{00000000-0005-0000-0000-0000756E0000}"/>
    <cellStyle name="Normal 5 2 2 5 2 4" xfId="28231" xr:uid="{00000000-0005-0000-0000-0000766E0000}"/>
    <cellStyle name="Normal 5 2 2 5 3" xfId="28232" xr:uid="{00000000-0005-0000-0000-0000776E0000}"/>
    <cellStyle name="Normal 5 2 2 5 3 2" xfId="28233" xr:uid="{00000000-0005-0000-0000-0000786E0000}"/>
    <cellStyle name="Normal 5 2 2 5 3 2 2" xfId="28234" xr:uid="{00000000-0005-0000-0000-0000796E0000}"/>
    <cellStyle name="Normal 5 2 2 5 3 3" xfId="28235" xr:uid="{00000000-0005-0000-0000-00007A6E0000}"/>
    <cellStyle name="Normal 5 2 2 5 4" xfId="28236" xr:uid="{00000000-0005-0000-0000-00007B6E0000}"/>
    <cellStyle name="Normal 5 2 2 5 4 2" xfId="28237" xr:uid="{00000000-0005-0000-0000-00007C6E0000}"/>
    <cellStyle name="Normal 5 2 2 5 5" xfId="28238" xr:uid="{00000000-0005-0000-0000-00007D6E0000}"/>
    <cellStyle name="Normal 5 2 2 6" xfId="28239" xr:uid="{00000000-0005-0000-0000-00007E6E0000}"/>
    <cellStyle name="Normal 5 2 2 6 2" xfId="28240" xr:uid="{00000000-0005-0000-0000-00007F6E0000}"/>
    <cellStyle name="Normal 5 2 2 6 2 2" xfId="28241" xr:uid="{00000000-0005-0000-0000-0000806E0000}"/>
    <cellStyle name="Normal 5 2 2 6 2 2 2" xfId="28242" xr:uid="{00000000-0005-0000-0000-0000816E0000}"/>
    <cellStyle name="Normal 5 2 2 6 2 3" xfId="28243" xr:uid="{00000000-0005-0000-0000-0000826E0000}"/>
    <cellStyle name="Normal 5 2 2 6 3" xfId="28244" xr:uid="{00000000-0005-0000-0000-0000836E0000}"/>
    <cellStyle name="Normal 5 2 2 6 3 2" xfId="28245" xr:uid="{00000000-0005-0000-0000-0000846E0000}"/>
    <cellStyle name="Normal 5 2 2 6 4" xfId="28246" xr:uid="{00000000-0005-0000-0000-0000856E0000}"/>
    <cellStyle name="Normal 5 2 2 7" xfId="28247" xr:uid="{00000000-0005-0000-0000-0000866E0000}"/>
    <cellStyle name="Normal 5 2 2 7 2" xfId="28248" xr:uid="{00000000-0005-0000-0000-0000876E0000}"/>
    <cellStyle name="Normal 5 2 2 7 2 2" xfId="28249" xr:uid="{00000000-0005-0000-0000-0000886E0000}"/>
    <cellStyle name="Normal 5 2 2 7 3" xfId="28250" xr:uid="{00000000-0005-0000-0000-0000896E0000}"/>
    <cellStyle name="Normal 5 2 2 8" xfId="28251" xr:uid="{00000000-0005-0000-0000-00008A6E0000}"/>
    <cellStyle name="Normal 5 2 2 8 2" xfId="28252" xr:uid="{00000000-0005-0000-0000-00008B6E0000}"/>
    <cellStyle name="Normal 5 2 2 9" xfId="28253" xr:uid="{00000000-0005-0000-0000-00008C6E0000}"/>
    <cellStyle name="Normal 5 2 3" xfId="28254" xr:uid="{00000000-0005-0000-0000-00008D6E0000}"/>
    <cellStyle name="Normal 5 2 3 2" xfId="28255" xr:uid="{00000000-0005-0000-0000-00008E6E0000}"/>
    <cellStyle name="Normal 5 2 3 2 2" xfId="28256" xr:uid="{00000000-0005-0000-0000-00008F6E0000}"/>
    <cellStyle name="Normal 5 2 3 2 2 2" xfId="28257" xr:uid="{00000000-0005-0000-0000-0000906E0000}"/>
    <cellStyle name="Normal 5 2 3 2 2 2 2" xfId="28258" xr:uid="{00000000-0005-0000-0000-0000916E0000}"/>
    <cellStyle name="Normal 5 2 3 2 2 2 2 2" xfId="28259" xr:uid="{00000000-0005-0000-0000-0000926E0000}"/>
    <cellStyle name="Normal 5 2 3 2 2 2 2 2 2" xfId="28260" xr:uid="{00000000-0005-0000-0000-0000936E0000}"/>
    <cellStyle name="Normal 5 2 3 2 2 2 2 2 2 2" xfId="28261" xr:uid="{00000000-0005-0000-0000-0000946E0000}"/>
    <cellStyle name="Normal 5 2 3 2 2 2 2 2 3" xfId="28262" xr:uid="{00000000-0005-0000-0000-0000956E0000}"/>
    <cellStyle name="Normal 5 2 3 2 2 2 2 3" xfId="28263" xr:uid="{00000000-0005-0000-0000-0000966E0000}"/>
    <cellStyle name="Normal 5 2 3 2 2 2 2 3 2" xfId="28264" xr:uid="{00000000-0005-0000-0000-0000976E0000}"/>
    <cellStyle name="Normal 5 2 3 2 2 2 2 4" xfId="28265" xr:uid="{00000000-0005-0000-0000-0000986E0000}"/>
    <cellStyle name="Normal 5 2 3 2 2 2 3" xfId="28266" xr:uid="{00000000-0005-0000-0000-0000996E0000}"/>
    <cellStyle name="Normal 5 2 3 2 2 2 3 2" xfId="28267" xr:uid="{00000000-0005-0000-0000-00009A6E0000}"/>
    <cellStyle name="Normal 5 2 3 2 2 2 3 2 2" xfId="28268" xr:uid="{00000000-0005-0000-0000-00009B6E0000}"/>
    <cellStyle name="Normal 5 2 3 2 2 2 3 3" xfId="28269" xr:uid="{00000000-0005-0000-0000-00009C6E0000}"/>
    <cellStyle name="Normal 5 2 3 2 2 2 4" xfId="28270" xr:uid="{00000000-0005-0000-0000-00009D6E0000}"/>
    <cellStyle name="Normal 5 2 3 2 2 2 4 2" xfId="28271" xr:uid="{00000000-0005-0000-0000-00009E6E0000}"/>
    <cellStyle name="Normal 5 2 3 2 2 2 5" xfId="28272" xr:uid="{00000000-0005-0000-0000-00009F6E0000}"/>
    <cellStyle name="Normal 5 2 3 2 2 3" xfId="28273" xr:uid="{00000000-0005-0000-0000-0000A06E0000}"/>
    <cellStyle name="Normal 5 2 3 2 2 3 2" xfId="28274" xr:uid="{00000000-0005-0000-0000-0000A16E0000}"/>
    <cellStyle name="Normal 5 2 3 2 2 3 2 2" xfId="28275" xr:uid="{00000000-0005-0000-0000-0000A26E0000}"/>
    <cellStyle name="Normal 5 2 3 2 2 3 2 2 2" xfId="28276" xr:uid="{00000000-0005-0000-0000-0000A36E0000}"/>
    <cellStyle name="Normal 5 2 3 2 2 3 2 3" xfId="28277" xr:uid="{00000000-0005-0000-0000-0000A46E0000}"/>
    <cellStyle name="Normal 5 2 3 2 2 3 3" xfId="28278" xr:uid="{00000000-0005-0000-0000-0000A56E0000}"/>
    <cellStyle name="Normal 5 2 3 2 2 3 3 2" xfId="28279" xr:uid="{00000000-0005-0000-0000-0000A66E0000}"/>
    <cellStyle name="Normal 5 2 3 2 2 3 4" xfId="28280" xr:uid="{00000000-0005-0000-0000-0000A76E0000}"/>
    <cellStyle name="Normal 5 2 3 2 2 4" xfId="28281" xr:uid="{00000000-0005-0000-0000-0000A86E0000}"/>
    <cellStyle name="Normal 5 2 3 2 2 4 2" xfId="28282" xr:uid="{00000000-0005-0000-0000-0000A96E0000}"/>
    <cellStyle name="Normal 5 2 3 2 2 4 2 2" xfId="28283" xr:uid="{00000000-0005-0000-0000-0000AA6E0000}"/>
    <cellStyle name="Normal 5 2 3 2 2 4 3" xfId="28284" xr:uid="{00000000-0005-0000-0000-0000AB6E0000}"/>
    <cellStyle name="Normal 5 2 3 2 2 5" xfId="28285" xr:uid="{00000000-0005-0000-0000-0000AC6E0000}"/>
    <cellStyle name="Normal 5 2 3 2 2 5 2" xfId="28286" xr:uid="{00000000-0005-0000-0000-0000AD6E0000}"/>
    <cellStyle name="Normal 5 2 3 2 2 6" xfId="28287" xr:uid="{00000000-0005-0000-0000-0000AE6E0000}"/>
    <cellStyle name="Normal 5 2 3 2 3" xfId="28288" xr:uid="{00000000-0005-0000-0000-0000AF6E0000}"/>
    <cellStyle name="Normal 5 2 3 2 3 2" xfId="28289" xr:uid="{00000000-0005-0000-0000-0000B06E0000}"/>
    <cellStyle name="Normal 5 2 3 2 3 2 2" xfId="28290" xr:uid="{00000000-0005-0000-0000-0000B16E0000}"/>
    <cellStyle name="Normal 5 2 3 2 3 2 2 2" xfId="28291" xr:uid="{00000000-0005-0000-0000-0000B26E0000}"/>
    <cellStyle name="Normal 5 2 3 2 3 2 2 2 2" xfId="28292" xr:uid="{00000000-0005-0000-0000-0000B36E0000}"/>
    <cellStyle name="Normal 5 2 3 2 3 2 2 3" xfId="28293" xr:uid="{00000000-0005-0000-0000-0000B46E0000}"/>
    <cellStyle name="Normal 5 2 3 2 3 2 3" xfId="28294" xr:uid="{00000000-0005-0000-0000-0000B56E0000}"/>
    <cellStyle name="Normal 5 2 3 2 3 2 3 2" xfId="28295" xr:uid="{00000000-0005-0000-0000-0000B66E0000}"/>
    <cellStyle name="Normal 5 2 3 2 3 2 4" xfId="28296" xr:uid="{00000000-0005-0000-0000-0000B76E0000}"/>
    <cellStyle name="Normal 5 2 3 2 3 3" xfId="28297" xr:uid="{00000000-0005-0000-0000-0000B86E0000}"/>
    <cellStyle name="Normal 5 2 3 2 3 3 2" xfId="28298" xr:uid="{00000000-0005-0000-0000-0000B96E0000}"/>
    <cellStyle name="Normal 5 2 3 2 3 3 2 2" xfId="28299" xr:uid="{00000000-0005-0000-0000-0000BA6E0000}"/>
    <cellStyle name="Normal 5 2 3 2 3 3 3" xfId="28300" xr:uid="{00000000-0005-0000-0000-0000BB6E0000}"/>
    <cellStyle name="Normal 5 2 3 2 3 4" xfId="28301" xr:uid="{00000000-0005-0000-0000-0000BC6E0000}"/>
    <cellStyle name="Normal 5 2 3 2 3 4 2" xfId="28302" xr:uid="{00000000-0005-0000-0000-0000BD6E0000}"/>
    <cellStyle name="Normal 5 2 3 2 3 5" xfId="28303" xr:uid="{00000000-0005-0000-0000-0000BE6E0000}"/>
    <cellStyle name="Normal 5 2 3 2 4" xfId="28304" xr:uid="{00000000-0005-0000-0000-0000BF6E0000}"/>
    <cellStyle name="Normal 5 2 3 2 4 2" xfId="28305" xr:uid="{00000000-0005-0000-0000-0000C06E0000}"/>
    <cellStyle name="Normal 5 2 3 2 4 2 2" xfId="28306" xr:uid="{00000000-0005-0000-0000-0000C16E0000}"/>
    <cellStyle name="Normal 5 2 3 2 4 2 2 2" xfId="28307" xr:uid="{00000000-0005-0000-0000-0000C26E0000}"/>
    <cellStyle name="Normal 5 2 3 2 4 2 3" xfId="28308" xr:uid="{00000000-0005-0000-0000-0000C36E0000}"/>
    <cellStyle name="Normal 5 2 3 2 4 3" xfId="28309" xr:uid="{00000000-0005-0000-0000-0000C46E0000}"/>
    <cellStyle name="Normal 5 2 3 2 4 3 2" xfId="28310" xr:uid="{00000000-0005-0000-0000-0000C56E0000}"/>
    <cellStyle name="Normal 5 2 3 2 4 4" xfId="28311" xr:uid="{00000000-0005-0000-0000-0000C66E0000}"/>
    <cellStyle name="Normal 5 2 3 2 5" xfId="28312" xr:uid="{00000000-0005-0000-0000-0000C76E0000}"/>
    <cellStyle name="Normal 5 2 3 2 5 2" xfId="28313" xr:uid="{00000000-0005-0000-0000-0000C86E0000}"/>
    <cellStyle name="Normal 5 2 3 2 5 2 2" xfId="28314" xr:uid="{00000000-0005-0000-0000-0000C96E0000}"/>
    <cellStyle name="Normal 5 2 3 2 5 3" xfId="28315" xr:uid="{00000000-0005-0000-0000-0000CA6E0000}"/>
    <cellStyle name="Normal 5 2 3 2 6" xfId="28316" xr:uid="{00000000-0005-0000-0000-0000CB6E0000}"/>
    <cellStyle name="Normal 5 2 3 2 6 2" xfId="28317" xr:uid="{00000000-0005-0000-0000-0000CC6E0000}"/>
    <cellStyle name="Normal 5 2 3 2 7" xfId="28318" xr:uid="{00000000-0005-0000-0000-0000CD6E0000}"/>
    <cellStyle name="Normal 5 2 3 3" xfId="28319" xr:uid="{00000000-0005-0000-0000-0000CE6E0000}"/>
    <cellStyle name="Normal 5 2 3 3 2" xfId="28320" xr:uid="{00000000-0005-0000-0000-0000CF6E0000}"/>
    <cellStyle name="Normal 5 2 3 3 2 2" xfId="28321" xr:uid="{00000000-0005-0000-0000-0000D06E0000}"/>
    <cellStyle name="Normal 5 2 3 3 2 2 2" xfId="28322" xr:uid="{00000000-0005-0000-0000-0000D16E0000}"/>
    <cellStyle name="Normal 5 2 3 3 2 2 2 2" xfId="28323" xr:uid="{00000000-0005-0000-0000-0000D26E0000}"/>
    <cellStyle name="Normal 5 2 3 3 2 2 2 2 2" xfId="28324" xr:uid="{00000000-0005-0000-0000-0000D36E0000}"/>
    <cellStyle name="Normal 5 2 3 3 2 2 2 3" xfId="28325" xr:uid="{00000000-0005-0000-0000-0000D46E0000}"/>
    <cellStyle name="Normal 5 2 3 3 2 2 3" xfId="28326" xr:uid="{00000000-0005-0000-0000-0000D56E0000}"/>
    <cellStyle name="Normal 5 2 3 3 2 2 3 2" xfId="28327" xr:uid="{00000000-0005-0000-0000-0000D66E0000}"/>
    <cellStyle name="Normal 5 2 3 3 2 2 4" xfId="28328" xr:uid="{00000000-0005-0000-0000-0000D76E0000}"/>
    <cellStyle name="Normal 5 2 3 3 2 3" xfId="28329" xr:uid="{00000000-0005-0000-0000-0000D86E0000}"/>
    <cellStyle name="Normal 5 2 3 3 2 3 2" xfId="28330" xr:uid="{00000000-0005-0000-0000-0000D96E0000}"/>
    <cellStyle name="Normal 5 2 3 3 2 3 2 2" xfId="28331" xr:uid="{00000000-0005-0000-0000-0000DA6E0000}"/>
    <cellStyle name="Normal 5 2 3 3 2 3 3" xfId="28332" xr:uid="{00000000-0005-0000-0000-0000DB6E0000}"/>
    <cellStyle name="Normal 5 2 3 3 2 4" xfId="28333" xr:uid="{00000000-0005-0000-0000-0000DC6E0000}"/>
    <cellStyle name="Normal 5 2 3 3 2 4 2" xfId="28334" xr:uid="{00000000-0005-0000-0000-0000DD6E0000}"/>
    <cellStyle name="Normal 5 2 3 3 2 5" xfId="28335" xr:uid="{00000000-0005-0000-0000-0000DE6E0000}"/>
    <cellStyle name="Normal 5 2 3 3 3" xfId="28336" xr:uid="{00000000-0005-0000-0000-0000DF6E0000}"/>
    <cellStyle name="Normal 5 2 3 3 3 2" xfId="28337" xr:uid="{00000000-0005-0000-0000-0000E06E0000}"/>
    <cellStyle name="Normal 5 2 3 3 3 2 2" xfId="28338" xr:uid="{00000000-0005-0000-0000-0000E16E0000}"/>
    <cellStyle name="Normal 5 2 3 3 3 2 2 2" xfId="28339" xr:uid="{00000000-0005-0000-0000-0000E26E0000}"/>
    <cellStyle name="Normal 5 2 3 3 3 2 3" xfId="28340" xr:uid="{00000000-0005-0000-0000-0000E36E0000}"/>
    <cellStyle name="Normal 5 2 3 3 3 3" xfId="28341" xr:uid="{00000000-0005-0000-0000-0000E46E0000}"/>
    <cellStyle name="Normal 5 2 3 3 3 3 2" xfId="28342" xr:uid="{00000000-0005-0000-0000-0000E56E0000}"/>
    <cellStyle name="Normal 5 2 3 3 3 4" xfId="28343" xr:uid="{00000000-0005-0000-0000-0000E66E0000}"/>
    <cellStyle name="Normal 5 2 3 3 4" xfId="28344" xr:uid="{00000000-0005-0000-0000-0000E76E0000}"/>
    <cellStyle name="Normal 5 2 3 3 4 2" xfId="28345" xr:uid="{00000000-0005-0000-0000-0000E86E0000}"/>
    <cellStyle name="Normal 5 2 3 3 4 2 2" xfId="28346" xr:uid="{00000000-0005-0000-0000-0000E96E0000}"/>
    <cellStyle name="Normal 5 2 3 3 4 3" xfId="28347" xr:uid="{00000000-0005-0000-0000-0000EA6E0000}"/>
    <cellStyle name="Normal 5 2 3 3 5" xfId="28348" xr:uid="{00000000-0005-0000-0000-0000EB6E0000}"/>
    <cellStyle name="Normal 5 2 3 3 5 2" xfId="28349" xr:uid="{00000000-0005-0000-0000-0000EC6E0000}"/>
    <cellStyle name="Normal 5 2 3 3 6" xfId="28350" xr:uid="{00000000-0005-0000-0000-0000ED6E0000}"/>
    <cellStyle name="Normal 5 2 3 4" xfId="28351" xr:uid="{00000000-0005-0000-0000-0000EE6E0000}"/>
    <cellStyle name="Normal 5 2 3 4 2" xfId="28352" xr:uid="{00000000-0005-0000-0000-0000EF6E0000}"/>
    <cellStyle name="Normal 5 2 3 4 2 2" xfId="28353" xr:uid="{00000000-0005-0000-0000-0000F06E0000}"/>
    <cellStyle name="Normal 5 2 3 4 2 2 2" xfId="28354" xr:uid="{00000000-0005-0000-0000-0000F16E0000}"/>
    <cellStyle name="Normal 5 2 3 4 2 2 2 2" xfId="28355" xr:uid="{00000000-0005-0000-0000-0000F26E0000}"/>
    <cellStyle name="Normal 5 2 3 4 2 2 3" xfId="28356" xr:uid="{00000000-0005-0000-0000-0000F36E0000}"/>
    <cellStyle name="Normal 5 2 3 4 2 3" xfId="28357" xr:uid="{00000000-0005-0000-0000-0000F46E0000}"/>
    <cellStyle name="Normal 5 2 3 4 2 3 2" xfId="28358" xr:uid="{00000000-0005-0000-0000-0000F56E0000}"/>
    <cellStyle name="Normal 5 2 3 4 2 4" xfId="28359" xr:uid="{00000000-0005-0000-0000-0000F66E0000}"/>
    <cellStyle name="Normal 5 2 3 4 3" xfId="28360" xr:uid="{00000000-0005-0000-0000-0000F76E0000}"/>
    <cellStyle name="Normal 5 2 3 4 3 2" xfId="28361" xr:uid="{00000000-0005-0000-0000-0000F86E0000}"/>
    <cellStyle name="Normal 5 2 3 4 3 2 2" xfId="28362" xr:uid="{00000000-0005-0000-0000-0000F96E0000}"/>
    <cellStyle name="Normal 5 2 3 4 3 3" xfId="28363" xr:uid="{00000000-0005-0000-0000-0000FA6E0000}"/>
    <cellStyle name="Normal 5 2 3 4 4" xfId="28364" xr:uid="{00000000-0005-0000-0000-0000FB6E0000}"/>
    <cellStyle name="Normal 5 2 3 4 4 2" xfId="28365" xr:uid="{00000000-0005-0000-0000-0000FC6E0000}"/>
    <cellStyle name="Normal 5 2 3 4 5" xfId="28366" xr:uid="{00000000-0005-0000-0000-0000FD6E0000}"/>
    <cellStyle name="Normal 5 2 3 5" xfId="28367" xr:uid="{00000000-0005-0000-0000-0000FE6E0000}"/>
    <cellStyle name="Normal 5 2 3 5 2" xfId="28368" xr:uid="{00000000-0005-0000-0000-0000FF6E0000}"/>
    <cellStyle name="Normal 5 2 3 5 2 2" xfId="28369" xr:uid="{00000000-0005-0000-0000-0000006F0000}"/>
    <cellStyle name="Normal 5 2 3 5 2 2 2" xfId="28370" xr:uid="{00000000-0005-0000-0000-0000016F0000}"/>
    <cellStyle name="Normal 5 2 3 5 2 3" xfId="28371" xr:uid="{00000000-0005-0000-0000-0000026F0000}"/>
    <cellStyle name="Normal 5 2 3 5 3" xfId="28372" xr:uid="{00000000-0005-0000-0000-0000036F0000}"/>
    <cellStyle name="Normal 5 2 3 5 3 2" xfId="28373" xr:uid="{00000000-0005-0000-0000-0000046F0000}"/>
    <cellStyle name="Normal 5 2 3 5 4" xfId="28374" xr:uid="{00000000-0005-0000-0000-0000056F0000}"/>
    <cellStyle name="Normal 5 2 3 6" xfId="28375" xr:uid="{00000000-0005-0000-0000-0000066F0000}"/>
    <cellStyle name="Normal 5 2 3 6 2" xfId="28376" xr:uid="{00000000-0005-0000-0000-0000076F0000}"/>
    <cellStyle name="Normal 5 2 3 6 2 2" xfId="28377" xr:uid="{00000000-0005-0000-0000-0000086F0000}"/>
    <cellStyle name="Normal 5 2 3 6 3" xfId="28378" xr:uid="{00000000-0005-0000-0000-0000096F0000}"/>
    <cellStyle name="Normal 5 2 3 7" xfId="28379" xr:uid="{00000000-0005-0000-0000-00000A6F0000}"/>
    <cellStyle name="Normal 5 2 3 7 2" xfId="28380" xr:uid="{00000000-0005-0000-0000-00000B6F0000}"/>
    <cellStyle name="Normal 5 2 3 8" xfId="28381" xr:uid="{00000000-0005-0000-0000-00000C6F0000}"/>
    <cellStyle name="Normal 5 2 4" xfId="28382" xr:uid="{00000000-0005-0000-0000-00000D6F0000}"/>
    <cellStyle name="Normal 5 2 4 2" xfId="28383" xr:uid="{00000000-0005-0000-0000-00000E6F0000}"/>
    <cellStyle name="Normal 5 2 4 2 2" xfId="28384" xr:uid="{00000000-0005-0000-0000-00000F6F0000}"/>
    <cellStyle name="Normal 5 2 4 2 2 2" xfId="28385" xr:uid="{00000000-0005-0000-0000-0000106F0000}"/>
    <cellStyle name="Normal 5 2 4 2 2 2 2" xfId="28386" xr:uid="{00000000-0005-0000-0000-0000116F0000}"/>
    <cellStyle name="Normal 5 2 4 2 2 2 2 2" xfId="28387" xr:uid="{00000000-0005-0000-0000-0000126F0000}"/>
    <cellStyle name="Normal 5 2 4 2 2 2 2 2 2" xfId="28388" xr:uid="{00000000-0005-0000-0000-0000136F0000}"/>
    <cellStyle name="Normal 5 2 4 2 2 2 2 3" xfId="28389" xr:uid="{00000000-0005-0000-0000-0000146F0000}"/>
    <cellStyle name="Normal 5 2 4 2 2 2 3" xfId="28390" xr:uid="{00000000-0005-0000-0000-0000156F0000}"/>
    <cellStyle name="Normal 5 2 4 2 2 2 3 2" xfId="28391" xr:uid="{00000000-0005-0000-0000-0000166F0000}"/>
    <cellStyle name="Normal 5 2 4 2 2 2 4" xfId="28392" xr:uid="{00000000-0005-0000-0000-0000176F0000}"/>
    <cellStyle name="Normal 5 2 4 2 2 3" xfId="28393" xr:uid="{00000000-0005-0000-0000-0000186F0000}"/>
    <cellStyle name="Normal 5 2 4 2 2 3 2" xfId="28394" xr:uid="{00000000-0005-0000-0000-0000196F0000}"/>
    <cellStyle name="Normal 5 2 4 2 2 3 2 2" xfId="28395" xr:uid="{00000000-0005-0000-0000-00001A6F0000}"/>
    <cellStyle name="Normal 5 2 4 2 2 3 3" xfId="28396" xr:uid="{00000000-0005-0000-0000-00001B6F0000}"/>
    <cellStyle name="Normal 5 2 4 2 2 4" xfId="28397" xr:uid="{00000000-0005-0000-0000-00001C6F0000}"/>
    <cellStyle name="Normal 5 2 4 2 2 4 2" xfId="28398" xr:uid="{00000000-0005-0000-0000-00001D6F0000}"/>
    <cellStyle name="Normal 5 2 4 2 2 5" xfId="28399" xr:uid="{00000000-0005-0000-0000-00001E6F0000}"/>
    <cellStyle name="Normal 5 2 4 2 3" xfId="28400" xr:uid="{00000000-0005-0000-0000-00001F6F0000}"/>
    <cellStyle name="Normal 5 2 4 2 3 2" xfId="28401" xr:uid="{00000000-0005-0000-0000-0000206F0000}"/>
    <cellStyle name="Normal 5 2 4 2 3 2 2" xfId="28402" xr:uid="{00000000-0005-0000-0000-0000216F0000}"/>
    <cellStyle name="Normal 5 2 4 2 3 2 2 2" xfId="28403" xr:uid="{00000000-0005-0000-0000-0000226F0000}"/>
    <cellStyle name="Normal 5 2 4 2 3 2 3" xfId="28404" xr:uid="{00000000-0005-0000-0000-0000236F0000}"/>
    <cellStyle name="Normal 5 2 4 2 3 3" xfId="28405" xr:uid="{00000000-0005-0000-0000-0000246F0000}"/>
    <cellStyle name="Normal 5 2 4 2 3 3 2" xfId="28406" xr:uid="{00000000-0005-0000-0000-0000256F0000}"/>
    <cellStyle name="Normal 5 2 4 2 3 4" xfId="28407" xr:uid="{00000000-0005-0000-0000-0000266F0000}"/>
    <cellStyle name="Normal 5 2 4 2 4" xfId="28408" xr:uid="{00000000-0005-0000-0000-0000276F0000}"/>
    <cellStyle name="Normal 5 2 4 2 4 2" xfId="28409" xr:uid="{00000000-0005-0000-0000-0000286F0000}"/>
    <cellStyle name="Normal 5 2 4 2 4 2 2" xfId="28410" xr:uid="{00000000-0005-0000-0000-0000296F0000}"/>
    <cellStyle name="Normal 5 2 4 2 4 3" xfId="28411" xr:uid="{00000000-0005-0000-0000-00002A6F0000}"/>
    <cellStyle name="Normal 5 2 4 2 5" xfId="28412" xr:uid="{00000000-0005-0000-0000-00002B6F0000}"/>
    <cellStyle name="Normal 5 2 4 2 5 2" xfId="28413" xr:uid="{00000000-0005-0000-0000-00002C6F0000}"/>
    <cellStyle name="Normal 5 2 4 2 6" xfId="28414" xr:uid="{00000000-0005-0000-0000-00002D6F0000}"/>
    <cellStyle name="Normal 5 2 4 2 6 2" xfId="28415" xr:uid="{00000000-0005-0000-0000-00002E6F0000}"/>
    <cellStyle name="Normal 5 2 4 2 7" xfId="28416" xr:uid="{00000000-0005-0000-0000-00002F6F0000}"/>
    <cellStyle name="Normal 5 2 4 3" xfId="28417" xr:uid="{00000000-0005-0000-0000-0000306F0000}"/>
    <cellStyle name="Normal 5 2 4 3 2" xfId="28418" xr:uid="{00000000-0005-0000-0000-0000316F0000}"/>
    <cellStyle name="Normal 5 2 4 3 2 2" xfId="28419" xr:uid="{00000000-0005-0000-0000-0000326F0000}"/>
    <cellStyle name="Normal 5 2 4 3 2 2 2" xfId="28420" xr:uid="{00000000-0005-0000-0000-0000336F0000}"/>
    <cellStyle name="Normal 5 2 4 3 2 2 2 2" xfId="28421" xr:uid="{00000000-0005-0000-0000-0000346F0000}"/>
    <cellStyle name="Normal 5 2 4 3 2 2 3" xfId="28422" xr:uid="{00000000-0005-0000-0000-0000356F0000}"/>
    <cellStyle name="Normal 5 2 4 3 2 3" xfId="28423" xr:uid="{00000000-0005-0000-0000-0000366F0000}"/>
    <cellStyle name="Normal 5 2 4 3 2 3 2" xfId="28424" xr:uid="{00000000-0005-0000-0000-0000376F0000}"/>
    <cellStyle name="Normal 5 2 4 3 2 4" xfId="28425" xr:uid="{00000000-0005-0000-0000-0000386F0000}"/>
    <cellStyle name="Normal 5 2 4 3 3" xfId="28426" xr:uid="{00000000-0005-0000-0000-0000396F0000}"/>
    <cellStyle name="Normal 5 2 4 3 3 2" xfId="28427" xr:uid="{00000000-0005-0000-0000-00003A6F0000}"/>
    <cellStyle name="Normal 5 2 4 3 3 2 2" xfId="28428" xr:uid="{00000000-0005-0000-0000-00003B6F0000}"/>
    <cellStyle name="Normal 5 2 4 3 3 3" xfId="28429" xr:uid="{00000000-0005-0000-0000-00003C6F0000}"/>
    <cellStyle name="Normal 5 2 4 3 4" xfId="28430" xr:uid="{00000000-0005-0000-0000-00003D6F0000}"/>
    <cellStyle name="Normal 5 2 4 3 4 2" xfId="28431" xr:uid="{00000000-0005-0000-0000-00003E6F0000}"/>
    <cellStyle name="Normal 5 2 4 3 5" xfId="28432" xr:uid="{00000000-0005-0000-0000-00003F6F0000}"/>
    <cellStyle name="Normal 5 2 4 4" xfId="28433" xr:uid="{00000000-0005-0000-0000-0000406F0000}"/>
    <cellStyle name="Normal 5 2 4 4 2" xfId="28434" xr:uid="{00000000-0005-0000-0000-0000416F0000}"/>
    <cellStyle name="Normal 5 2 4 4 2 2" xfId="28435" xr:uid="{00000000-0005-0000-0000-0000426F0000}"/>
    <cellStyle name="Normal 5 2 4 4 2 2 2" xfId="28436" xr:uid="{00000000-0005-0000-0000-0000436F0000}"/>
    <cellStyle name="Normal 5 2 4 4 2 3" xfId="28437" xr:uid="{00000000-0005-0000-0000-0000446F0000}"/>
    <cellStyle name="Normal 5 2 4 4 3" xfId="28438" xr:uid="{00000000-0005-0000-0000-0000456F0000}"/>
    <cellStyle name="Normal 5 2 4 4 3 2" xfId="28439" xr:uid="{00000000-0005-0000-0000-0000466F0000}"/>
    <cellStyle name="Normal 5 2 4 4 4" xfId="28440" xr:uid="{00000000-0005-0000-0000-0000476F0000}"/>
    <cellStyle name="Normal 5 2 4 5" xfId="28441" xr:uid="{00000000-0005-0000-0000-0000486F0000}"/>
    <cellStyle name="Normal 5 2 4 5 2" xfId="28442" xr:uid="{00000000-0005-0000-0000-0000496F0000}"/>
    <cellStyle name="Normal 5 2 4 5 2 2" xfId="28443" xr:uid="{00000000-0005-0000-0000-00004A6F0000}"/>
    <cellStyle name="Normal 5 2 4 5 3" xfId="28444" xr:uid="{00000000-0005-0000-0000-00004B6F0000}"/>
    <cellStyle name="Normal 5 2 4 6" xfId="28445" xr:uid="{00000000-0005-0000-0000-00004C6F0000}"/>
    <cellStyle name="Normal 5 2 4 6 2" xfId="28446" xr:uid="{00000000-0005-0000-0000-00004D6F0000}"/>
    <cellStyle name="Normal 5 2 4 7" xfId="28447" xr:uid="{00000000-0005-0000-0000-00004E6F0000}"/>
    <cellStyle name="Normal 5 2 4 7 2" xfId="28448" xr:uid="{00000000-0005-0000-0000-00004F6F0000}"/>
    <cellStyle name="Normal 5 2 4 8" xfId="28449" xr:uid="{00000000-0005-0000-0000-0000506F0000}"/>
    <cellStyle name="Normal 5 2 5" xfId="28450" xr:uid="{00000000-0005-0000-0000-0000516F0000}"/>
    <cellStyle name="Normal 5 2 5 2" xfId="28451" xr:uid="{00000000-0005-0000-0000-0000526F0000}"/>
    <cellStyle name="Normal 5 2 5 2 2" xfId="28452" xr:uid="{00000000-0005-0000-0000-0000536F0000}"/>
    <cellStyle name="Normal 5 2 5 2 2 2" xfId="28453" xr:uid="{00000000-0005-0000-0000-0000546F0000}"/>
    <cellStyle name="Normal 5 2 5 2 2 2 2" xfId="28454" xr:uid="{00000000-0005-0000-0000-0000556F0000}"/>
    <cellStyle name="Normal 5 2 5 2 2 2 2 2" xfId="28455" xr:uid="{00000000-0005-0000-0000-0000566F0000}"/>
    <cellStyle name="Normal 5 2 5 2 2 2 3" xfId="28456" xr:uid="{00000000-0005-0000-0000-0000576F0000}"/>
    <cellStyle name="Normal 5 2 5 2 2 3" xfId="28457" xr:uid="{00000000-0005-0000-0000-0000586F0000}"/>
    <cellStyle name="Normal 5 2 5 2 2 3 2" xfId="28458" xr:uid="{00000000-0005-0000-0000-0000596F0000}"/>
    <cellStyle name="Normal 5 2 5 2 2 4" xfId="28459" xr:uid="{00000000-0005-0000-0000-00005A6F0000}"/>
    <cellStyle name="Normal 5 2 5 2 3" xfId="28460" xr:uid="{00000000-0005-0000-0000-00005B6F0000}"/>
    <cellStyle name="Normal 5 2 5 2 3 2" xfId="28461" xr:uid="{00000000-0005-0000-0000-00005C6F0000}"/>
    <cellStyle name="Normal 5 2 5 2 3 2 2" xfId="28462" xr:uid="{00000000-0005-0000-0000-00005D6F0000}"/>
    <cellStyle name="Normal 5 2 5 2 3 3" xfId="28463" xr:uid="{00000000-0005-0000-0000-00005E6F0000}"/>
    <cellStyle name="Normal 5 2 5 2 4" xfId="28464" xr:uid="{00000000-0005-0000-0000-00005F6F0000}"/>
    <cellStyle name="Normal 5 2 5 2 4 2" xfId="28465" xr:uid="{00000000-0005-0000-0000-0000606F0000}"/>
    <cellStyle name="Normal 5 2 5 2 5" xfId="28466" xr:uid="{00000000-0005-0000-0000-0000616F0000}"/>
    <cellStyle name="Normal 5 2 5 2 5 2" xfId="28467" xr:uid="{00000000-0005-0000-0000-0000626F0000}"/>
    <cellStyle name="Normal 5 2 5 2 6" xfId="28468" xr:uid="{00000000-0005-0000-0000-0000636F0000}"/>
    <cellStyle name="Normal 5 2 5 2 6 2" xfId="28469" xr:uid="{00000000-0005-0000-0000-0000646F0000}"/>
    <cellStyle name="Normal 5 2 5 2 7" xfId="28470" xr:uid="{00000000-0005-0000-0000-0000656F0000}"/>
    <cellStyle name="Normal 5 2 5 3" xfId="28471" xr:uid="{00000000-0005-0000-0000-0000666F0000}"/>
    <cellStyle name="Normal 5 2 5 3 2" xfId="28472" xr:uid="{00000000-0005-0000-0000-0000676F0000}"/>
    <cellStyle name="Normal 5 2 5 3 2 2" xfId="28473" xr:uid="{00000000-0005-0000-0000-0000686F0000}"/>
    <cellStyle name="Normal 5 2 5 3 2 2 2" xfId="28474" xr:uid="{00000000-0005-0000-0000-0000696F0000}"/>
    <cellStyle name="Normal 5 2 5 3 2 3" xfId="28475" xr:uid="{00000000-0005-0000-0000-00006A6F0000}"/>
    <cellStyle name="Normal 5 2 5 3 3" xfId="28476" xr:uid="{00000000-0005-0000-0000-00006B6F0000}"/>
    <cellStyle name="Normal 5 2 5 3 3 2" xfId="28477" xr:uid="{00000000-0005-0000-0000-00006C6F0000}"/>
    <cellStyle name="Normal 5 2 5 3 4" xfId="28478" xr:uid="{00000000-0005-0000-0000-00006D6F0000}"/>
    <cellStyle name="Normal 5 2 5 4" xfId="28479" xr:uid="{00000000-0005-0000-0000-00006E6F0000}"/>
    <cellStyle name="Normal 5 2 5 4 2" xfId="28480" xr:uid="{00000000-0005-0000-0000-00006F6F0000}"/>
    <cellStyle name="Normal 5 2 5 4 2 2" xfId="28481" xr:uid="{00000000-0005-0000-0000-0000706F0000}"/>
    <cellStyle name="Normal 5 2 5 4 3" xfId="28482" xr:uid="{00000000-0005-0000-0000-0000716F0000}"/>
    <cellStyle name="Normal 5 2 5 5" xfId="28483" xr:uid="{00000000-0005-0000-0000-0000726F0000}"/>
    <cellStyle name="Normal 5 2 5 5 2" xfId="28484" xr:uid="{00000000-0005-0000-0000-0000736F0000}"/>
    <cellStyle name="Normal 5 2 5 6" xfId="28485" xr:uid="{00000000-0005-0000-0000-0000746F0000}"/>
    <cellStyle name="Normal 5 2 5 6 2" xfId="28486" xr:uid="{00000000-0005-0000-0000-0000756F0000}"/>
    <cellStyle name="Normal 5 2 5 7" xfId="28487" xr:uid="{00000000-0005-0000-0000-0000766F0000}"/>
    <cellStyle name="Normal 5 2 5 7 2" xfId="28488" xr:uid="{00000000-0005-0000-0000-0000776F0000}"/>
    <cellStyle name="Normal 5 2 5 8" xfId="28489" xr:uid="{00000000-0005-0000-0000-0000786F0000}"/>
    <cellStyle name="Normal 5 2 6" xfId="28490" xr:uid="{00000000-0005-0000-0000-0000796F0000}"/>
    <cellStyle name="Normal 5 2 6 2" xfId="28491" xr:uid="{00000000-0005-0000-0000-00007A6F0000}"/>
    <cellStyle name="Normal 5 2 6 2 2" xfId="28492" xr:uid="{00000000-0005-0000-0000-00007B6F0000}"/>
    <cellStyle name="Normal 5 2 6 2 2 2" xfId="28493" xr:uid="{00000000-0005-0000-0000-00007C6F0000}"/>
    <cellStyle name="Normal 5 2 6 2 2 2 2" xfId="28494" xr:uid="{00000000-0005-0000-0000-00007D6F0000}"/>
    <cellStyle name="Normal 5 2 6 2 2 3" xfId="28495" xr:uid="{00000000-0005-0000-0000-00007E6F0000}"/>
    <cellStyle name="Normal 5 2 6 2 3" xfId="28496" xr:uid="{00000000-0005-0000-0000-00007F6F0000}"/>
    <cellStyle name="Normal 5 2 6 2 3 2" xfId="28497" xr:uid="{00000000-0005-0000-0000-0000806F0000}"/>
    <cellStyle name="Normal 5 2 6 2 4" xfId="28498" xr:uid="{00000000-0005-0000-0000-0000816F0000}"/>
    <cellStyle name="Normal 5 2 6 2 4 2" xfId="28499" xr:uid="{00000000-0005-0000-0000-0000826F0000}"/>
    <cellStyle name="Normal 5 2 6 2 5" xfId="28500" xr:uid="{00000000-0005-0000-0000-0000836F0000}"/>
    <cellStyle name="Normal 5 2 6 2 5 2" xfId="28501" xr:uid="{00000000-0005-0000-0000-0000846F0000}"/>
    <cellStyle name="Normal 5 2 6 2 6" xfId="28502" xr:uid="{00000000-0005-0000-0000-0000856F0000}"/>
    <cellStyle name="Normal 5 2 6 2 6 2" xfId="28503" xr:uid="{00000000-0005-0000-0000-0000866F0000}"/>
    <cellStyle name="Normal 5 2 6 2 7" xfId="28504" xr:uid="{00000000-0005-0000-0000-0000876F0000}"/>
    <cellStyle name="Normal 5 2 6 3" xfId="28505" xr:uid="{00000000-0005-0000-0000-0000886F0000}"/>
    <cellStyle name="Normal 5 2 6 3 2" xfId="28506" xr:uid="{00000000-0005-0000-0000-0000896F0000}"/>
    <cellStyle name="Normal 5 2 6 3 2 2" xfId="28507" xr:uid="{00000000-0005-0000-0000-00008A6F0000}"/>
    <cellStyle name="Normal 5 2 6 3 3" xfId="28508" xr:uid="{00000000-0005-0000-0000-00008B6F0000}"/>
    <cellStyle name="Normal 5 2 6 4" xfId="28509" xr:uid="{00000000-0005-0000-0000-00008C6F0000}"/>
    <cellStyle name="Normal 5 2 6 4 2" xfId="28510" xr:uid="{00000000-0005-0000-0000-00008D6F0000}"/>
    <cellStyle name="Normal 5 2 6 5" xfId="28511" xr:uid="{00000000-0005-0000-0000-00008E6F0000}"/>
    <cellStyle name="Normal 5 2 6 5 2" xfId="28512" xr:uid="{00000000-0005-0000-0000-00008F6F0000}"/>
    <cellStyle name="Normal 5 2 6 6" xfId="28513" xr:uid="{00000000-0005-0000-0000-0000906F0000}"/>
    <cellStyle name="Normal 5 2 6 6 2" xfId="28514" xr:uid="{00000000-0005-0000-0000-0000916F0000}"/>
    <cellStyle name="Normal 5 2 6 7" xfId="28515" xr:uid="{00000000-0005-0000-0000-0000926F0000}"/>
    <cellStyle name="Normal 5 2 6 7 2" xfId="28516" xr:uid="{00000000-0005-0000-0000-0000936F0000}"/>
    <cellStyle name="Normal 5 2 6 8" xfId="28517" xr:uid="{00000000-0005-0000-0000-0000946F0000}"/>
    <cellStyle name="Normal 5 2 7" xfId="28518" xr:uid="{00000000-0005-0000-0000-0000956F0000}"/>
    <cellStyle name="Normal 5 2 7 2" xfId="28519" xr:uid="{00000000-0005-0000-0000-0000966F0000}"/>
    <cellStyle name="Normal 5 2 7 2 2" xfId="28520" xr:uid="{00000000-0005-0000-0000-0000976F0000}"/>
    <cellStyle name="Normal 5 2 7 2 2 2" xfId="28521" xr:uid="{00000000-0005-0000-0000-0000986F0000}"/>
    <cellStyle name="Normal 5 2 7 2 3" xfId="28522" xr:uid="{00000000-0005-0000-0000-0000996F0000}"/>
    <cellStyle name="Normal 5 2 7 2 3 2" xfId="28523" xr:uid="{00000000-0005-0000-0000-00009A6F0000}"/>
    <cellStyle name="Normal 5 2 7 2 4" xfId="28524" xr:uid="{00000000-0005-0000-0000-00009B6F0000}"/>
    <cellStyle name="Normal 5 2 7 2 4 2" xfId="28525" xr:uid="{00000000-0005-0000-0000-00009C6F0000}"/>
    <cellStyle name="Normal 5 2 7 2 5" xfId="28526" xr:uid="{00000000-0005-0000-0000-00009D6F0000}"/>
    <cellStyle name="Normal 5 2 7 2 5 2" xfId="28527" xr:uid="{00000000-0005-0000-0000-00009E6F0000}"/>
    <cellStyle name="Normal 5 2 7 2 6" xfId="28528" xr:uid="{00000000-0005-0000-0000-00009F6F0000}"/>
    <cellStyle name="Normal 5 2 7 2 6 2" xfId="28529" xr:uid="{00000000-0005-0000-0000-0000A06F0000}"/>
    <cellStyle name="Normal 5 2 7 2 7" xfId="28530" xr:uid="{00000000-0005-0000-0000-0000A16F0000}"/>
    <cellStyle name="Normal 5 2 7 3" xfId="28531" xr:uid="{00000000-0005-0000-0000-0000A26F0000}"/>
    <cellStyle name="Normal 5 2 7 3 2" xfId="28532" xr:uid="{00000000-0005-0000-0000-0000A36F0000}"/>
    <cellStyle name="Normal 5 2 7 4" xfId="28533" xr:uid="{00000000-0005-0000-0000-0000A46F0000}"/>
    <cellStyle name="Normal 5 2 7 4 2" xfId="28534" xr:uid="{00000000-0005-0000-0000-0000A56F0000}"/>
    <cellStyle name="Normal 5 2 7 5" xfId="28535" xr:uid="{00000000-0005-0000-0000-0000A66F0000}"/>
    <cellStyle name="Normal 5 2 7 5 2" xfId="28536" xr:uid="{00000000-0005-0000-0000-0000A76F0000}"/>
    <cellStyle name="Normal 5 2 7 6" xfId="28537" xr:uid="{00000000-0005-0000-0000-0000A86F0000}"/>
    <cellStyle name="Normal 5 2 7 6 2" xfId="28538" xr:uid="{00000000-0005-0000-0000-0000A96F0000}"/>
    <cellStyle name="Normal 5 2 7 7" xfId="28539" xr:uid="{00000000-0005-0000-0000-0000AA6F0000}"/>
    <cellStyle name="Normal 5 2 7 7 2" xfId="28540" xr:uid="{00000000-0005-0000-0000-0000AB6F0000}"/>
    <cellStyle name="Normal 5 2 7 8" xfId="28541" xr:uid="{00000000-0005-0000-0000-0000AC6F0000}"/>
    <cellStyle name="Normal 5 2 8" xfId="28542" xr:uid="{00000000-0005-0000-0000-0000AD6F0000}"/>
    <cellStyle name="Normal 5 2 8 2" xfId="28543" xr:uid="{00000000-0005-0000-0000-0000AE6F0000}"/>
    <cellStyle name="Normal 5 2 8 2 2" xfId="28544" xr:uid="{00000000-0005-0000-0000-0000AF6F0000}"/>
    <cellStyle name="Normal 5 2 8 2 2 2" xfId="28545" xr:uid="{00000000-0005-0000-0000-0000B06F0000}"/>
    <cellStyle name="Normal 5 2 8 2 3" xfId="28546" xr:uid="{00000000-0005-0000-0000-0000B16F0000}"/>
    <cellStyle name="Normal 5 2 8 2 3 2" xfId="28547" xr:uid="{00000000-0005-0000-0000-0000B26F0000}"/>
    <cellStyle name="Normal 5 2 8 2 4" xfId="28548" xr:uid="{00000000-0005-0000-0000-0000B36F0000}"/>
    <cellStyle name="Normal 5 2 8 2 4 2" xfId="28549" xr:uid="{00000000-0005-0000-0000-0000B46F0000}"/>
    <cellStyle name="Normal 5 2 8 2 5" xfId="28550" xr:uid="{00000000-0005-0000-0000-0000B56F0000}"/>
    <cellStyle name="Normal 5 2 8 2 5 2" xfId="28551" xr:uid="{00000000-0005-0000-0000-0000B66F0000}"/>
    <cellStyle name="Normal 5 2 8 2 6" xfId="28552" xr:uid="{00000000-0005-0000-0000-0000B76F0000}"/>
    <cellStyle name="Normal 5 2 8 2 6 2" xfId="28553" xr:uid="{00000000-0005-0000-0000-0000B86F0000}"/>
    <cellStyle name="Normal 5 2 8 2 7" xfId="28554" xr:uid="{00000000-0005-0000-0000-0000B96F0000}"/>
    <cellStyle name="Normal 5 2 8 3" xfId="28555" xr:uid="{00000000-0005-0000-0000-0000BA6F0000}"/>
    <cellStyle name="Normal 5 2 8 3 2" xfId="28556" xr:uid="{00000000-0005-0000-0000-0000BB6F0000}"/>
    <cellStyle name="Normal 5 2 8 4" xfId="28557" xr:uid="{00000000-0005-0000-0000-0000BC6F0000}"/>
    <cellStyle name="Normal 5 2 8 4 2" xfId="28558" xr:uid="{00000000-0005-0000-0000-0000BD6F0000}"/>
    <cellStyle name="Normal 5 2 8 5" xfId="28559" xr:uid="{00000000-0005-0000-0000-0000BE6F0000}"/>
    <cellStyle name="Normal 5 2 8 5 2" xfId="28560" xr:uid="{00000000-0005-0000-0000-0000BF6F0000}"/>
    <cellStyle name="Normal 5 2 8 6" xfId="28561" xr:uid="{00000000-0005-0000-0000-0000C06F0000}"/>
    <cellStyle name="Normal 5 2 8 6 2" xfId="28562" xr:uid="{00000000-0005-0000-0000-0000C16F0000}"/>
    <cellStyle name="Normal 5 2 8 7" xfId="28563" xr:uid="{00000000-0005-0000-0000-0000C26F0000}"/>
    <cellStyle name="Normal 5 2 8 7 2" xfId="28564" xr:uid="{00000000-0005-0000-0000-0000C36F0000}"/>
    <cellStyle name="Normal 5 2 8 8" xfId="28565" xr:uid="{00000000-0005-0000-0000-0000C46F0000}"/>
    <cellStyle name="Normal 5 2 9" xfId="28566" xr:uid="{00000000-0005-0000-0000-0000C56F0000}"/>
    <cellStyle name="Normal 5 2 9 2" xfId="28567" xr:uid="{00000000-0005-0000-0000-0000C66F0000}"/>
    <cellStyle name="Normal 5 2 9 2 2" xfId="28568" xr:uid="{00000000-0005-0000-0000-0000C76F0000}"/>
    <cellStyle name="Normal 5 2 9 2 2 2" xfId="28569" xr:uid="{00000000-0005-0000-0000-0000C86F0000}"/>
    <cellStyle name="Normal 5 2 9 2 3" xfId="28570" xr:uid="{00000000-0005-0000-0000-0000C96F0000}"/>
    <cellStyle name="Normal 5 2 9 2 3 2" xfId="28571" xr:uid="{00000000-0005-0000-0000-0000CA6F0000}"/>
    <cellStyle name="Normal 5 2 9 2 4" xfId="28572" xr:uid="{00000000-0005-0000-0000-0000CB6F0000}"/>
    <cellStyle name="Normal 5 2 9 2 4 2" xfId="28573" xr:uid="{00000000-0005-0000-0000-0000CC6F0000}"/>
    <cellStyle name="Normal 5 2 9 2 5" xfId="28574" xr:uid="{00000000-0005-0000-0000-0000CD6F0000}"/>
    <cellStyle name="Normal 5 2 9 2 5 2" xfId="28575" xr:uid="{00000000-0005-0000-0000-0000CE6F0000}"/>
    <cellStyle name="Normal 5 2 9 2 6" xfId="28576" xr:uid="{00000000-0005-0000-0000-0000CF6F0000}"/>
    <cellStyle name="Normal 5 2 9 2 6 2" xfId="28577" xr:uid="{00000000-0005-0000-0000-0000D06F0000}"/>
    <cellStyle name="Normal 5 2 9 2 7" xfId="28578" xr:uid="{00000000-0005-0000-0000-0000D16F0000}"/>
    <cellStyle name="Normal 5 2 9 3" xfId="28579" xr:uid="{00000000-0005-0000-0000-0000D26F0000}"/>
    <cellStyle name="Normal 5 2 9 3 2" xfId="28580" xr:uid="{00000000-0005-0000-0000-0000D36F0000}"/>
    <cellStyle name="Normal 5 2 9 4" xfId="28581" xr:uid="{00000000-0005-0000-0000-0000D46F0000}"/>
    <cellStyle name="Normal 5 2 9 4 2" xfId="28582" xr:uid="{00000000-0005-0000-0000-0000D56F0000}"/>
    <cellStyle name="Normal 5 2 9 5" xfId="28583" xr:uid="{00000000-0005-0000-0000-0000D66F0000}"/>
    <cellStyle name="Normal 5 2 9 5 2" xfId="28584" xr:uid="{00000000-0005-0000-0000-0000D76F0000}"/>
    <cellStyle name="Normal 5 2 9 6" xfId="28585" xr:uid="{00000000-0005-0000-0000-0000D86F0000}"/>
    <cellStyle name="Normal 5 2 9 6 2" xfId="28586" xr:uid="{00000000-0005-0000-0000-0000D96F0000}"/>
    <cellStyle name="Normal 5 2 9 7" xfId="28587" xr:uid="{00000000-0005-0000-0000-0000DA6F0000}"/>
    <cellStyle name="Normal 5 2 9 7 2" xfId="28588" xr:uid="{00000000-0005-0000-0000-0000DB6F0000}"/>
    <cellStyle name="Normal 5 2 9 8" xfId="28589" xr:uid="{00000000-0005-0000-0000-0000DC6F0000}"/>
    <cellStyle name="Normal 5 20" xfId="28590" xr:uid="{00000000-0005-0000-0000-0000DD6F0000}"/>
    <cellStyle name="Normal 5 20 2" xfId="28591" xr:uid="{00000000-0005-0000-0000-0000DE6F0000}"/>
    <cellStyle name="Normal 5 21" xfId="28592" xr:uid="{00000000-0005-0000-0000-0000DF6F0000}"/>
    <cellStyle name="Normal 5 21 2" xfId="28593" xr:uid="{00000000-0005-0000-0000-0000E06F0000}"/>
    <cellStyle name="Normal 5 22" xfId="28594" xr:uid="{00000000-0005-0000-0000-0000E16F0000}"/>
    <cellStyle name="Normal 5 3" xfId="28595" xr:uid="{00000000-0005-0000-0000-0000E26F0000}"/>
    <cellStyle name="Normal 5 3 2" xfId="28596" xr:uid="{00000000-0005-0000-0000-0000E36F0000}"/>
    <cellStyle name="Normal 5 3 2 2" xfId="28597" xr:uid="{00000000-0005-0000-0000-0000E46F0000}"/>
    <cellStyle name="Normal 5 3 2 2 2" xfId="28598" xr:uid="{00000000-0005-0000-0000-0000E56F0000}"/>
    <cellStyle name="Normal 5 3 2 2 2 2" xfId="28599" xr:uid="{00000000-0005-0000-0000-0000E66F0000}"/>
    <cellStyle name="Normal 5 3 2 2 2 2 2" xfId="28600" xr:uid="{00000000-0005-0000-0000-0000E76F0000}"/>
    <cellStyle name="Normal 5 3 2 2 2 2 2 2" xfId="28601" xr:uid="{00000000-0005-0000-0000-0000E86F0000}"/>
    <cellStyle name="Normal 5 3 2 2 2 2 2 2 2" xfId="28602" xr:uid="{00000000-0005-0000-0000-0000E96F0000}"/>
    <cellStyle name="Normal 5 3 2 2 2 2 2 2 2 2" xfId="28603" xr:uid="{00000000-0005-0000-0000-0000EA6F0000}"/>
    <cellStyle name="Normal 5 3 2 2 2 2 2 2 3" xfId="28604" xr:uid="{00000000-0005-0000-0000-0000EB6F0000}"/>
    <cellStyle name="Normal 5 3 2 2 2 2 2 3" xfId="28605" xr:uid="{00000000-0005-0000-0000-0000EC6F0000}"/>
    <cellStyle name="Normal 5 3 2 2 2 2 2 3 2" xfId="28606" xr:uid="{00000000-0005-0000-0000-0000ED6F0000}"/>
    <cellStyle name="Normal 5 3 2 2 2 2 2 4" xfId="28607" xr:uid="{00000000-0005-0000-0000-0000EE6F0000}"/>
    <cellStyle name="Normal 5 3 2 2 2 2 3" xfId="28608" xr:uid="{00000000-0005-0000-0000-0000EF6F0000}"/>
    <cellStyle name="Normal 5 3 2 2 2 2 3 2" xfId="28609" xr:uid="{00000000-0005-0000-0000-0000F06F0000}"/>
    <cellStyle name="Normal 5 3 2 2 2 2 3 2 2" xfId="28610" xr:uid="{00000000-0005-0000-0000-0000F16F0000}"/>
    <cellStyle name="Normal 5 3 2 2 2 2 3 3" xfId="28611" xr:uid="{00000000-0005-0000-0000-0000F26F0000}"/>
    <cellStyle name="Normal 5 3 2 2 2 2 4" xfId="28612" xr:uid="{00000000-0005-0000-0000-0000F36F0000}"/>
    <cellStyle name="Normal 5 3 2 2 2 2 4 2" xfId="28613" xr:uid="{00000000-0005-0000-0000-0000F46F0000}"/>
    <cellStyle name="Normal 5 3 2 2 2 2 5" xfId="28614" xr:uid="{00000000-0005-0000-0000-0000F56F0000}"/>
    <cellStyle name="Normal 5 3 2 2 2 3" xfId="28615" xr:uid="{00000000-0005-0000-0000-0000F66F0000}"/>
    <cellStyle name="Normal 5 3 2 2 2 3 2" xfId="28616" xr:uid="{00000000-0005-0000-0000-0000F76F0000}"/>
    <cellStyle name="Normal 5 3 2 2 2 3 2 2" xfId="28617" xr:uid="{00000000-0005-0000-0000-0000F86F0000}"/>
    <cellStyle name="Normal 5 3 2 2 2 3 2 2 2" xfId="28618" xr:uid="{00000000-0005-0000-0000-0000F96F0000}"/>
    <cellStyle name="Normal 5 3 2 2 2 3 2 3" xfId="28619" xr:uid="{00000000-0005-0000-0000-0000FA6F0000}"/>
    <cellStyle name="Normal 5 3 2 2 2 3 3" xfId="28620" xr:uid="{00000000-0005-0000-0000-0000FB6F0000}"/>
    <cellStyle name="Normal 5 3 2 2 2 3 3 2" xfId="28621" xr:uid="{00000000-0005-0000-0000-0000FC6F0000}"/>
    <cellStyle name="Normal 5 3 2 2 2 3 4" xfId="28622" xr:uid="{00000000-0005-0000-0000-0000FD6F0000}"/>
    <cellStyle name="Normal 5 3 2 2 2 4" xfId="28623" xr:uid="{00000000-0005-0000-0000-0000FE6F0000}"/>
    <cellStyle name="Normal 5 3 2 2 2 4 2" xfId="28624" xr:uid="{00000000-0005-0000-0000-0000FF6F0000}"/>
    <cellStyle name="Normal 5 3 2 2 2 4 2 2" xfId="28625" xr:uid="{00000000-0005-0000-0000-000000700000}"/>
    <cellStyle name="Normal 5 3 2 2 2 4 3" xfId="28626" xr:uid="{00000000-0005-0000-0000-000001700000}"/>
    <cellStyle name="Normal 5 3 2 2 2 5" xfId="28627" xr:uid="{00000000-0005-0000-0000-000002700000}"/>
    <cellStyle name="Normal 5 3 2 2 2 5 2" xfId="28628" xr:uid="{00000000-0005-0000-0000-000003700000}"/>
    <cellStyle name="Normal 5 3 2 2 2 6" xfId="28629" xr:uid="{00000000-0005-0000-0000-000004700000}"/>
    <cellStyle name="Normal 5 3 2 2 3" xfId="28630" xr:uid="{00000000-0005-0000-0000-000005700000}"/>
    <cellStyle name="Normal 5 3 2 2 3 2" xfId="28631" xr:uid="{00000000-0005-0000-0000-000006700000}"/>
    <cellStyle name="Normal 5 3 2 2 3 2 2" xfId="28632" xr:uid="{00000000-0005-0000-0000-000007700000}"/>
    <cellStyle name="Normal 5 3 2 2 3 2 2 2" xfId="28633" xr:uid="{00000000-0005-0000-0000-000008700000}"/>
    <cellStyle name="Normal 5 3 2 2 3 2 2 2 2" xfId="28634" xr:uid="{00000000-0005-0000-0000-000009700000}"/>
    <cellStyle name="Normal 5 3 2 2 3 2 2 3" xfId="28635" xr:uid="{00000000-0005-0000-0000-00000A700000}"/>
    <cellStyle name="Normal 5 3 2 2 3 2 3" xfId="28636" xr:uid="{00000000-0005-0000-0000-00000B700000}"/>
    <cellStyle name="Normal 5 3 2 2 3 2 3 2" xfId="28637" xr:uid="{00000000-0005-0000-0000-00000C700000}"/>
    <cellStyle name="Normal 5 3 2 2 3 2 4" xfId="28638" xr:uid="{00000000-0005-0000-0000-00000D700000}"/>
    <cellStyle name="Normal 5 3 2 2 3 3" xfId="28639" xr:uid="{00000000-0005-0000-0000-00000E700000}"/>
    <cellStyle name="Normal 5 3 2 2 3 3 2" xfId="28640" xr:uid="{00000000-0005-0000-0000-00000F700000}"/>
    <cellStyle name="Normal 5 3 2 2 3 3 2 2" xfId="28641" xr:uid="{00000000-0005-0000-0000-000010700000}"/>
    <cellStyle name="Normal 5 3 2 2 3 3 3" xfId="28642" xr:uid="{00000000-0005-0000-0000-000011700000}"/>
    <cellStyle name="Normal 5 3 2 2 3 4" xfId="28643" xr:uid="{00000000-0005-0000-0000-000012700000}"/>
    <cellStyle name="Normal 5 3 2 2 3 4 2" xfId="28644" xr:uid="{00000000-0005-0000-0000-000013700000}"/>
    <cellStyle name="Normal 5 3 2 2 3 5" xfId="28645" xr:uid="{00000000-0005-0000-0000-000014700000}"/>
    <cellStyle name="Normal 5 3 2 2 4" xfId="28646" xr:uid="{00000000-0005-0000-0000-000015700000}"/>
    <cellStyle name="Normal 5 3 2 2 4 2" xfId="28647" xr:uid="{00000000-0005-0000-0000-000016700000}"/>
    <cellStyle name="Normal 5 3 2 2 4 2 2" xfId="28648" xr:uid="{00000000-0005-0000-0000-000017700000}"/>
    <cellStyle name="Normal 5 3 2 2 4 2 2 2" xfId="28649" xr:uid="{00000000-0005-0000-0000-000018700000}"/>
    <cellStyle name="Normal 5 3 2 2 4 2 3" xfId="28650" xr:uid="{00000000-0005-0000-0000-000019700000}"/>
    <cellStyle name="Normal 5 3 2 2 4 3" xfId="28651" xr:uid="{00000000-0005-0000-0000-00001A700000}"/>
    <cellStyle name="Normal 5 3 2 2 4 3 2" xfId="28652" xr:uid="{00000000-0005-0000-0000-00001B700000}"/>
    <cellStyle name="Normal 5 3 2 2 4 4" xfId="28653" xr:uid="{00000000-0005-0000-0000-00001C700000}"/>
    <cellStyle name="Normal 5 3 2 2 5" xfId="28654" xr:uid="{00000000-0005-0000-0000-00001D700000}"/>
    <cellStyle name="Normal 5 3 2 2 5 2" xfId="28655" xr:uid="{00000000-0005-0000-0000-00001E700000}"/>
    <cellStyle name="Normal 5 3 2 2 5 2 2" xfId="28656" xr:uid="{00000000-0005-0000-0000-00001F700000}"/>
    <cellStyle name="Normal 5 3 2 2 5 3" xfId="28657" xr:uid="{00000000-0005-0000-0000-000020700000}"/>
    <cellStyle name="Normal 5 3 2 2 6" xfId="28658" xr:uid="{00000000-0005-0000-0000-000021700000}"/>
    <cellStyle name="Normal 5 3 2 2 6 2" xfId="28659" xr:uid="{00000000-0005-0000-0000-000022700000}"/>
    <cellStyle name="Normal 5 3 2 2 7" xfId="28660" xr:uid="{00000000-0005-0000-0000-000023700000}"/>
    <cellStyle name="Normal 5 3 2 3" xfId="28661" xr:uid="{00000000-0005-0000-0000-000024700000}"/>
    <cellStyle name="Normal 5 3 2 3 2" xfId="28662" xr:uid="{00000000-0005-0000-0000-000025700000}"/>
    <cellStyle name="Normal 5 3 2 3 2 2" xfId="28663" xr:uid="{00000000-0005-0000-0000-000026700000}"/>
    <cellStyle name="Normal 5 3 2 3 2 2 2" xfId="28664" xr:uid="{00000000-0005-0000-0000-000027700000}"/>
    <cellStyle name="Normal 5 3 2 3 2 2 2 2" xfId="28665" xr:uid="{00000000-0005-0000-0000-000028700000}"/>
    <cellStyle name="Normal 5 3 2 3 2 2 2 2 2" xfId="28666" xr:uid="{00000000-0005-0000-0000-000029700000}"/>
    <cellStyle name="Normal 5 3 2 3 2 2 2 3" xfId="28667" xr:uid="{00000000-0005-0000-0000-00002A700000}"/>
    <cellStyle name="Normal 5 3 2 3 2 2 3" xfId="28668" xr:uid="{00000000-0005-0000-0000-00002B700000}"/>
    <cellStyle name="Normal 5 3 2 3 2 2 3 2" xfId="28669" xr:uid="{00000000-0005-0000-0000-00002C700000}"/>
    <cellStyle name="Normal 5 3 2 3 2 2 4" xfId="28670" xr:uid="{00000000-0005-0000-0000-00002D700000}"/>
    <cellStyle name="Normal 5 3 2 3 2 3" xfId="28671" xr:uid="{00000000-0005-0000-0000-00002E700000}"/>
    <cellStyle name="Normal 5 3 2 3 2 3 2" xfId="28672" xr:uid="{00000000-0005-0000-0000-00002F700000}"/>
    <cellStyle name="Normal 5 3 2 3 2 3 2 2" xfId="28673" xr:uid="{00000000-0005-0000-0000-000030700000}"/>
    <cellStyle name="Normal 5 3 2 3 2 3 3" xfId="28674" xr:uid="{00000000-0005-0000-0000-000031700000}"/>
    <cellStyle name="Normal 5 3 2 3 2 4" xfId="28675" xr:uid="{00000000-0005-0000-0000-000032700000}"/>
    <cellStyle name="Normal 5 3 2 3 2 4 2" xfId="28676" xr:uid="{00000000-0005-0000-0000-000033700000}"/>
    <cellStyle name="Normal 5 3 2 3 2 5" xfId="28677" xr:uid="{00000000-0005-0000-0000-000034700000}"/>
    <cellStyle name="Normal 5 3 2 3 3" xfId="28678" xr:uid="{00000000-0005-0000-0000-000035700000}"/>
    <cellStyle name="Normal 5 3 2 3 3 2" xfId="28679" xr:uid="{00000000-0005-0000-0000-000036700000}"/>
    <cellStyle name="Normal 5 3 2 3 3 2 2" xfId="28680" xr:uid="{00000000-0005-0000-0000-000037700000}"/>
    <cellStyle name="Normal 5 3 2 3 3 2 2 2" xfId="28681" xr:uid="{00000000-0005-0000-0000-000038700000}"/>
    <cellStyle name="Normal 5 3 2 3 3 2 3" xfId="28682" xr:uid="{00000000-0005-0000-0000-000039700000}"/>
    <cellStyle name="Normal 5 3 2 3 3 3" xfId="28683" xr:uid="{00000000-0005-0000-0000-00003A700000}"/>
    <cellStyle name="Normal 5 3 2 3 3 3 2" xfId="28684" xr:uid="{00000000-0005-0000-0000-00003B700000}"/>
    <cellStyle name="Normal 5 3 2 3 3 4" xfId="28685" xr:uid="{00000000-0005-0000-0000-00003C700000}"/>
    <cellStyle name="Normal 5 3 2 3 4" xfId="28686" xr:uid="{00000000-0005-0000-0000-00003D700000}"/>
    <cellStyle name="Normal 5 3 2 3 4 2" xfId="28687" xr:uid="{00000000-0005-0000-0000-00003E700000}"/>
    <cellStyle name="Normal 5 3 2 3 4 2 2" xfId="28688" xr:uid="{00000000-0005-0000-0000-00003F700000}"/>
    <cellStyle name="Normal 5 3 2 3 4 3" xfId="28689" xr:uid="{00000000-0005-0000-0000-000040700000}"/>
    <cellStyle name="Normal 5 3 2 3 5" xfId="28690" xr:uid="{00000000-0005-0000-0000-000041700000}"/>
    <cellStyle name="Normal 5 3 2 3 5 2" xfId="28691" xr:uid="{00000000-0005-0000-0000-000042700000}"/>
    <cellStyle name="Normal 5 3 2 3 6" xfId="28692" xr:uid="{00000000-0005-0000-0000-000043700000}"/>
    <cellStyle name="Normal 5 3 2 4" xfId="28693" xr:uid="{00000000-0005-0000-0000-000044700000}"/>
    <cellStyle name="Normal 5 3 2 4 2" xfId="28694" xr:uid="{00000000-0005-0000-0000-000045700000}"/>
    <cellStyle name="Normal 5 3 2 4 2 2" xfId="28695" xr:uid="{00000000-0005-0000-0000-000046700000}"/>
    <cellStyle name="Normal 5 3 2 4 2 2 2" xfId="28696" xr:uid="{00000000-0005-0000-0000-000047700000}"/>
    <cellStyle name="Normal 5 3 2 4 2 2 2 2" xfId="28697" xr:uid="{00000000-0005-0000-0000-000048700000}"/>
    <cellStyle name="Normal 5 3 2 4 2 2 3" xfId="28698" xr:uid="{00000000-0005-0000-0000-000049700000}"/>
    <cellStyle name="Normal 5 3 2 4 2 3" xfId="28699" xr:uid="{00000000-0005-0000-0000-00004A700000}"/>
    <cellStyle name="Normal 5 3 2 4 2 3 2" xfId="28700" xr:uid="{00000000-0005-0000-0000-00004B700000}"/>
    <cellStyle name="Normal 5 3 2 4 2 4" xfId="28701" xr:uid="{00000000-0005-0000-0000-00004C700000}"/>
    <cellStyle name="Normal 5 3 2 4 3" xfId="28702" xr:uid="{00000000-0005-0000-0000-00004D700000}"/>
    <cellStyle name="Normal 5 3 2 4 3 2" xfId="28703" xr:uid="{00000000-0005-0000-0000-00004E700000}"/>
    <cellStyle name="Normal 5 3 2 4 3 2 2" xfId="28704" xr:uid="{00000000-0005-0000-0000-00004F700000}"/>
    <cellStyle name="Normal 5 3 2 4 3 3" xfId="28705" xr:uid="{00000000-0005-0000-0000-000050700000}"/>
    <cellStyle name="Normal 5 3 2 4 4" xfId="28706" xr:uid="{00000000-0005-0000-0000-000051700000}"/>
    <cellStyle name="Normal 5 3 2 4 4 2" xfId="28707" xr:uid="{00000000-0005-0000-0000-000052700000}"/>
    <cellStyle name="Normal 5 3 2 4 5" xfId="28708" xr:uid="{00000000-0005-0000-0000-000053700000}"/>
    <cellStyle name="Normal 5 3 2 5" xfId="28709" xr:uid="{00000000-0005-0000-0000-000054700000}"/>
    <cellStyle name="Normal 5 3 2 5 2" xfId="28710" xr:uid="{00000000-0005-0000-0000-000055700000}"/>
    <cellStyle name="Normal 5 3 2 5 2 2" xfId="28711" xr:uid="{00000000-0005-0000-0000-000056700000}"/>
    <cellStyle name="Normal 5 3 2 5 2 2 2" xfId="28712" xr:uid="{00000000-0005-0000-0000-000057700000}"/>
    <cellStyle name="Normal 5 3 2 5 2 3" xfId="28713" xr:uid="{00000000-0005-0000-0000-000058700000}"/>
    <cellStyle name="Normal 5 3 2 5 3" xfId="28714" xr:uid="{00000000-0005-0000-0000-000059700000}"/>
    <cellStyle name="Normal 5 3 2 5 3 2" xfId="28715" xr:uid="{00000000-0005-0000-0000-00005A700000}"/>
    <cellStyle name="Normal 5 3 2 5 4" xfId="28716" xr:uid="{00000000-0005-0000-0000-00005B700000}"/>
    <cellStyle name="Normal 5 3 2 6" xfId="28717" xr:uid="{00000000-0005-0000-0000-00005C700000}"/>
    <cellStyle name="Normal 5 3 2 6 2" xfId="28718" xr:uid="{00000000-0005-0000-0000-00005D700000}"/>
    <cellStyle name="Normal 5 3 2 6 2 2" xfId="28719" xr:uid="{00000000-0005-0000-0000-00005E700000}"/>
    <cellStyle name="Normal 5 3 2 6 3" xfId="28720" xr:uid="{00000000-0005-0000-0000-00005F700000}"/>
    <cellStyle name="Normal 5 3 2 7" xfId="28721" xr:uid="{00000000-0005-0000-0000-000060700000}"/>
    <cellStyle name="Normal 5 3 2 7 2" xfId="28722" xr:uid="{00000000-0005-0000-0000-000061700000}"/>
    <cellStyle name="Normal 5 3 2 8" xfId="28723" xr:uid="{00000000-0005-0000-0000-000062700000}"/>
    <cellStyle name="Normal 5 3 3" xfId="28724" xr:uid="{00000000-0005-0000-0000-000063700000}"/>
    <cellStyle name="Normal 5 3 3 2" xfId="28725" xr:uid="{00000000-0005-0000-0000-000064700000}"/>
    <cellStyle name="Normal 5 3 3 2 2" xfId="28726" xr:uid="{00000000-0005-0000-0000-000065700000}"/>
    <cellStyle name="Normal 5 3 3 2 2 2" xfId="28727" xr:uid="{00000000-0005-0000-0000-000066700000}"/>
    <cellStyle name="Normal 5 3 3 2 2 2 2" xfId="28728" xr:uid="{00000000-0005-0000-0000-000067700000}"/>
    <cellStyle name="Normal 5 3 3 2 2 2 2 2" xfId="28729" xr:uid="{00000000-0005-0000-0000-000068700000}"/>
    <cellStyle name="Normal 5 3 3 2 2 2 2 2 2" xfId="28730" xr:uid="{00000000-0005-0000-0000-000069700000}"/>
    <cellStyle name="Normal 5 3 3 2 2 2 2 3" xfId="28731" xr:uid="{00000000-0005-0000-0000-00006A700000}"/>
    <cellStyle name="Normal 5 3 3 2 2 2 3" xfId="28732" xr:uid="{00000000-0005-0000-0000-00006B700000}"/>
    <cellStyle name="Normal 5 3 3 2 2 2 3 2" xfId="28733" xr:uid="{00000000-0005-0000-0000-00006C700000}"/>
    <cellStyle name="Normal 5 3 3 2 2 2 4" xfId="28734" xr:uid="{00000000-0005-0000-0000-00006D700000}"/>
    <cellStyle name="Normal 5 3 3 2 2 3" xfId="28735" xr:uid="{00000000-0005-0000-0000-00006E700000}"/>
    <cellStyle name="Normal 5 3 3 2 2 3 2" xfId="28736" xr:uid="{00000000-0005-0000-0000-00006F700000}"/>
    <cellStyle name="Normal 5 3 3 2 2 3 2 2" xfId="28737" xr:uid="{00000000-0005-0000-0000-000070700000}"/>
    <cellStyle name="Normal 5 3 3 2 2 3 3" xfId="28738" xr:uid="{00000000-0005-0000-0000-000071700000}"/>
    <cellStyle name="Normal 5 3 3 2 2 4" xfId="28739" xr:uid="{00000000-0005-0000-0000-000072700000}"/>
    <cellStyle name="Normal 5 3 3 2 2 4 2" xfId="28740" xr:uid="{00000000-0005-0000-0000-000073700000}"/>
    <cellStyle name="Normal 5 3 3 2 2 5" xfId="28741" xr:uid="{00000000-0005-0000-0000-000074700000}"/>
    <cellStyle name="Normal 5 3 3 2 3" xfId="28742" xr:uid="{00000000-0005-0000-0000-000075700000}"/>
    <cellStyle name="Normal 5 3 3 2 3 2" xfId="28743" xr:uid="{00000000-0005-0000-0000-000076700000}"/>
    <cellStyle name="Normal 5 3 3 2 3 2 2" xfId="28744" xr:uid="{00000000-0005-0000-0000-000077700000}"/>
    <cellStyle name="Normal 5 3 3 2 3 2 2 2" xfId="28745" xr:uid="{00000000-0005-0000-0000-000078700000}"/>
    <cellStyle name="Normal 5 3 3 2 3 2 3" xfId="28746" xr:uid="{00000000-0005-0000-0000-000079700000}"/>
    <cellStyle name="Normal 5 3 3 2 3 3" xfId="28747" xr:uid="{00000000-0005-0000-0000-00007A700000}"/>
    <cellStyle name="Normal 5 3 3 2 3 3 2" xfId="28748" xr:uid="{00000000-0005-0000-0000-00007B700000}"/>
    <cellStyle name="Normal 5 3 3 2 3 4" xfId="28749" xr:uid="{00000000-0005-0000-0000-00007C700000}"/>
    <cellStyle name="Normal 5 3 3 2 4" xfId="28750" xr:uid="{00000000-0005-0000-0000-00007D700000}"/>
    <cellStyle name="Normal 5 3 3 2 4 2" xfId="28751" xr:uid="{00000000-0005-0000-0000-00007E700000}"/>
    <cellStyle name="Normal 5 3 3 2 4 2 2" xfId="28752" xr:uid="{00000000-0005-0000-0000-00007F700000}"/>
    <cellStyle name="Normal 5 3 3 2 4 3" xfId="28753" xr:uid="{00000000-0005-0000-0000-000080700000}"/>
    <cellStyle name="Normal 5 3 3 2 5" xfId="28754" xr:uid="{00000000-0005-0000-0000-000081700000}"/>
    <cellStyle name="Normal 5 3 3 2 5 2" xfId="28755" xr:uid="{00000000-0005-0000-0000-000082700000}"/>
    <cellStyle name="Normal 5 3 3 2 6" xfId="28756" xr:uid="{00000000-0005-0000-0000-000083700000}"/>
    <cellStyle name="Normal 5 3 3 3" xfId="28757" xr:uid="{00000000-0005-0000-0000-000084700000}"/>
    <cellStyle name="Normal 5 3 3 3 2" xfId="28758" xr:uid="{00000000-0005-0000-0000-000085700000}"/>
    <cellStyle name="Normal 5 3 3 3 2 2" xfId="28759" xr:uid="{00000000-0005-0000-0000-000086700000}"/>
    <cellStyle name="Normal 5 3 3 3 2 2 2" xfId="28760" xr:uid="{00000000-0005-0000-0000-000087700000}"/>
    <cellStyle name="Normal 5 3 3 3 2 2 2 2" xfId="28761" xr:uid="{00000000-0005-0000-0000-000088700000}"/>
    <cellStyle name="Normal 5 3 3 3 2 2 3" xfId="28762" xr:uid="{00000000-0005-0000-0000-000089700000}"/>
    <cellStyle name="Normal 5 3 3 3 2 3" xfId="28763" xr:uid="{00000000-0005-0000-0000-00008A700000}"/>
    <cellStyle name="Normal 5 3 3 3 2 3 2" xfId="28764" xr:uid="{00000000-0005-0000-0000-00008B700000}"/>
    <cellStyle name="Normal 5 3 3 3 2 4" xfId="28765" xr:uid="{00000000-0005-0000-0000-00008C700000}"/>
    <cellStyle name="Normal 5 3 3 3 3" xfId="28766" xr:uid="{00000000-0005-0000-0000-00008D700000}"/>
    <cellStyle name="Normal 5 3 3 3 3 2" xfId="28767" xr:uid="{00000000-0005-0000-0000-00008E700000}"/>
    <cellStyle name="Normal 5 3 3 3 3 2 2" xfId="28768" xr:uid="{00000000-0005-0000-0000-00008F700000}"/>
    <cellStyle name="Normal 5 3 3 3 3 3" xfId="28769" xr:uid="{00000000-0005-0000-0000-000090700000}"/>
    <cellStyle name="Normal 5 3 3 3 4" xfId="28770" xr:uid="{00000000-0005-0000-0000-000091700000}"/>
    <cellStyle name="Normal 5 3 3 3 4 2" xfId="28771" xr:uid="{00000000-0005-0000-0000-000092700000}"/>
    <cellStyle name="Normal 5 3 3 3 5" xfId="28772" xr:uid="{00000000-0005-0000-0000-000093700000}"/>
    <cellStyle name="Normal 5 3 3 4" xfId="28773" xr:uid="{00000000-0005-0000-0000-000094700000}"/>
    <cellStyle name="Normal 5 3 3 4 2" xfId="28774" xr:uid="{00000000-0005-0000-0000-000095700000}"/>
    <cellStyle name="Normal 5 3 3 4 2 2" xfId="28775" xr:uid="{00000000-0005-0000-0000-000096700000}"/>
    <cellStyle name="Normal 5 3 3 4 2 2 2" xfId="28776" xr:uid="{00000000-0005-0000-0000-000097700000}"/>
    <cellStyle name="Normal 5 3 3 4 2 3" xfId="28777" xr:uid="{00000000-0005-0000-0000-000098700000}"/>
    <cellStyle name="Normal 5 3 3 4 3" xfId="28778" xr:uid="{00000000-0005-0000-0000-000099700000}"/>
    <cellStyle name="Normal 5 3 3 4 3 2" xfId="28779" xr:uid="{00000000-0005-0000-0000-00009A700000}"/>
    <cellStyle name="Normal 5 3 3 4 4" xfId="28780" xr:uid="{00000000-0005-0000-0000-00009B700000}"/>
    <cellStyle name="Normal 5 3 3 5" xfId="28781" xr:uid="{00000000-0005-0000-0000-00009C700000}"/>
    <cellStyle name="Normal 5 3 3 5 2" xfId="28782" xr:uid="{00000000-0005-0000-0000-00009D700000}"/>
    <cellStyle name="Normal 5 3 3 5 2 2" xfId="28783" xr:uid="{00000000-0005-0000-0000-00009E700000}"/>
    <cellStyle name="Normal 5 3 3 5 3" xfId="28784" xr:uid="{00000000-0005-0000-0000-00009F700000}"/>
    <cellStyle name="Normal 5 3 3 6" xfId="28785" xr:uid="{00000000-0005-0000-0000-0000A0700000}"/>
    <cellStyle name="Normal 5 3 3 6 2" xfId="28786" xr:uid="{00000000-0005-0000-0000-0000A1700000}"/>
    <cellStyle name="Normal 5 3 3 7" xfId="28787" xr:uid="{00000000-0005-0000-0000-0000A2700000}"/>
    <cellStyle name="Normal 5 3 4" xfId="28788" xr:uid="{00000000-0005-0000-0000-0000A3700000}"/>
    <cellStyle name="Normal 5 3 4 2" xfId="28789" xr:uid="{00000000-0005-0000-0000-0000A4700000}"/>
    <cellStyle name="Normal 5 3 4 2 2" xfId="28790" xr:uid="{00000000-0005-0000-0000-0000A5700000}"/>
    <cellStyle name="Normal 5 3 4 2 2 2" xfId="28791" xr:uid="{00000000-0005-0000-0000-0000A6700000}"/>
    <cellStyle name="Normal 5 3 4 2 2 2 2" xfId="28792" xr:uid="{00000000-0005-0000-0000-0000A7700000}"/>
    <cellStyle name="Normal 5 3 4 2 2 2 2 2" xfId="28793" xr:uid="{00000000-0005-0000-0000-0000A8700000}"/>
    <cellStyle name="Normal 5 3 4 2 2 2 3" xfId="28794" xr:uid="{00000000-0005-0000-0000-0000A9700000}"/>
    <cellStyle name="Normal 5 3 4 2 2 3" xfId="28795" xr:uid="{00000000-0005-0000-0000-0000AA700000}"/>
    <cellStyle name="Normal 5 3 4 2 2 3 2" xfId="28796" xr:uid="{00000000-0005-0000-0000-0000AB700000}"/>
    <cellStyle name="Normal 5 3 4 2 2 4" xfId="28797" xr:uid="{00000000-0005-0000-0000-0000AC700000}"/>
    <cellStyle name="Normal 5 3 4 2 3" xfId="28798" xr:uid="{00000000-0005-0000-0000-0000AD700000}"/>
    <cellStyle name="Normal 5 3 4 2 3 2" xfId="28799" xr:uid="{00000000-0005-0000-0000-0000AE700000}"/>
    <cellStyle name="Normal 5 3 4 2 3 2 2" xfId="28800" xr:uid="{00000000-0005-0000-0000-0000AF700000}"/>
    <cellStyle name="Normal 5 3 4 2 3 3" xfId="28801" xr:uid="{00000000-0005-0000-0000-0000B0700000}"/>
    <cellStyle name="Normal 5 3 4 2 4" xfId="28802" xr:uid="{00000000-0005-0000-0000-0000B1700000}"/>
    <cellStyle name="Normal 5 3 4 2 4 2" xfId="28803" xr:uid="{00000000-0005-0000-0000-0000B2700000}"/>
    <cellStyle name="Normal 5 3 4 2 5" xfId="28804" xr:uid="{00000000-0005-0000-0000-0000B3700000}"/>
    <cellStyle name="Normal 5 3 4 3" xfId="28805" xr:uid="{00000000-0005-0000-0000-0000B4700000}"/>
    <cellStyle name="Normal 5 3 4 3 2" xfId="28806" xr:uid="{00000000-0005-0000-0000-0000B5700000}"/>
    <cellStyle name="Normal 5 3 4 3 2 2" xfId="28807" xr:uid="{00000000-0005-0000-0000-0000B6700000}"/>
    <cellStyle name="Normal 5 3 4 3 2 2 2" xfId="28808" xr:uid="{00000000-0005-0000-0000-0000B7700000}"/>
    <cellStyle name="Normal 5 3 4 3 2 3" xfId="28809" xr:uid="{00000000-0005-0000-0000-0000B8700000}"/>
    <cellStyle name="Normal 5 3 4 3 3" xfId="28810" xr:uid="{00000000-0005-0000-0000-0000B9700000}"/>
    <cellStyle name="Normal 5 3 4 3 3 2" xfId="28811" xr:uid="{00000000-0005-0000-0000-0000BA700000}"/>
    <cellStyle name="Normal 5 3 4 3 4" xfId="28812" xr:uid="{00000000-0005-0000-0000-0000BB700000}"/>
    <cellStyle name="Normal 5 3 4 4" xfId="28813" xr:uid="{00000000-0005-0000-0000-0000BC700000}"/>
    <cellStyle name="Normal 5 3 4 4 2" xfId="28814" xr:uid="{00000000-0005-0000-0000-0000BD700000}"/>
    <cellStyle name="Normal 5 3 4 4 2 2" xfId="28815" xr:uid="{00000000-0005-0000-0000-0000BE700000}"/>
    <cellStyle name="Normal 5 3 4 4 3" xfId="28816" xr:uid="{00000000-0005-0000-0000-0000BF700000}"/>
    <cellStyle name="Normal 5 3 4 5" xfId="28817" xr:uid="{00000000-0005-0000-0000-0000C0700000}"/>
    <cellStyle name="Normal 5 3 4 5 2" xfId="28818" xr:uid="{00000000-0005-0000-0000-0000C1700000}"/>
    <cellStyle name="Normal 5 3 4 6" xfId="28819" xr:uid="{00000000-0005-0000-0000-0000C2700000}"/>
    <cellStyle name="Normal 5 3 5" xfId="28820" xr:uid="{00000000-0005-0000-0000-0000C3700000}"/>
    <cellStyle name="Normal 5 3 5 2" xfId="28821" xr:uid="{00000000-0005-0000-0000-0000C4700000}"/>
    <cellStyle name="Normal 5 3 5 2 2" xfId="28822" xr:uid="{00000000-0005-0000-0000-0000C5700000}"/>
    <cellStyle name="Normal 5 3 5 2 2 2" xfId="28823" xr:uid="{00000000-0005-0000-0000-0000C6700000}"/>
    <cellStyle name="Normal 5 3 5 2 2 2 2" xfId="28824" xr:uid="{00000000-0005-0000-0000-0000C7700000}"/>
    <cellStyle name="Normal 5 3 5 2 2 3" xfId="28825" xr:uid="{00000000-0005-0000-0000-0000C8700000}"/>
    <cellStyle name="Normal 5 3 5 2 3" xfId="28826" xr:uid="{00000000-0005-0000-0000-0000C9700000}"/>
    <cellStyle name="Normal 5 3 5 2 3 2" xfId="28827" xr:uid="{00000000-0005-0000-0000-0000CA700000}"/>
    <cellStyle name="Normal 5 3 5 2 4" xfId="28828" xr:uid="{00000000-0005-0000-0000-0000CB700000}"/>
    <cellStyle name="Normal 5 3 5 3" xfId="28829" xr:uid="{00000000-0005-0000-0000-0000CC700000}"/>
    <cellStyle name="Normal 5 3 5 3 2" xfId="28830" xr:uid="{00000000-0005-0000-0000-0000CD700000}"/>
    <cellStyle name="Normal 5 3 5 3 2 2" xfId="28831" xr:uid="{00000000-0005-0000-0000-0000CE700000}"/>
    <cellStyle name="Normal 5 3 5 3 3" xfId="28832" xr:uid="{00000000-0005-0000-0000-0000CF700000}"/>
    <cellStyle name="Normal 5 3 5 4" xfId="28833" xr:uid="{00000000-0005-0000-0000-0000D0700000}"/>
    <cellStyle name="Normal 5 3 5 4 2" xfId="28834" xr:uid="{00000000-0005-0000-0000-0000D1700000}"/>
    <cellStyle name="Normal 5 3 5 5" xfId="28835" xr:uid="{00000000-0005-0000-0000-0000D2700000}"/>
    <cellStyle name="Normal 5 3 6" xfId="28836" xr:uid="{00000000-0005-0000-0000-0000D3700000}"/>
    <cellStyle name="Normal 5 3 6 2" xfId="28837" xr:uid="{00000000-0005-0000-0000-0000D4700000}"/>
    <cellStyle name="Normal 5 3 6 2 2" xfId="28838" xr:uid="{00000000-0005-0000-0000-0000D5700000}"/>
    <cellStyle name="Normal 5 3 6 2 2 2" xfId="28839" xr:uid="{00000000-0005-0000-0000-0000D6700000}"/>
    <cellStyle name="Normal 5 3 6 2 3" xfId="28840" xr:uid="{00000000-0005-0000-0000-0000D7700000}"/>
    <cellStyle name="Normal 5 3 6 3" xfId="28841" xr:uid="{00000000-0005-0000-0000-0000D8700000}"/>
    <cellStyle name="Normal 5 3 6 3 2" xfId="28842" xr:uid="{00000000-0005-0000-0000-0000D9700000}"/>
    <cellStyle name="Normal 5 3 6 4" xfId="28843" xr:uid="{00000000-0005-0000-0000-0000DA700000}"/>
    <cellStyle name="Normal 5 3 7" xfId="28844" xr:uid="{00000000-0005-0000-0000-0000DB700000}"/>
    <cellStyle name="Normal 5 3 7 2" xfId="28845" xr:uid="{00000000-0005-0000-0000-0000DC700000}"/>
    <cellStyle name="Normal 5 3 7 2 2" xfId="28846" xr:uid="{00000000-0005-0000-0000-0000DD700000}"/>
    <cellStyle name="Normal 5 3 7 3" xfId="28847" xr:uid="{00000000-0005-0000-0000-0000DE700000}"/>
    <cellStyle name="Normal 5 3 8" xfId="28848" xr:uid="{00000000-0005-0000-0000-0000DF700000}"/>
    <cellStyle name="Normal 5 3 8 2" xfId="28849" xr:uid="{00000000-0005-0000-0000-0000E0700000}"/>
    <cellStyle name="Normal 5 3 9" xfId="28850" xr:uid="{00000000-0005-0000-0000-0000E1700000}"/>
    <cellStyle name="Normal 5 4" xfId="28851" xr:uid="{00000000-0005-0000-0000-0000E2700000}"/>
    <cellStyle name="Normal 5 4 2" xfId="28852" xr:uid="{00000000-0005-0000-0000-0000E3700000}"/>
    <cellStyle name="Normal 5 4 2 2" xfId="28853" xr:uid="{00000000-0005-0000-0000-0000E4700000}"/>
    <cellStyle name="Normal 5 4 2 2 2" xfId="28854" xr:uid="{00000000-0005-0000-0000-0000E5700000}"/>
    <cellStyle name="Normal 5 4 2 2 2 2" xfId="28855" xr:uid="{00000000-0005-0000-0000-0000E6700000}"/>
    <cellStyle name="Normal 5 4 2 2 2 2 2" xfId="28856" xr:uid="{00000000-0005-0000-0000-0000E7700000}"/>
    <cellStyle name="Normal 5 4 2 2 2 2 2 2" xfId="28857" xr:uid="{00000000-0005-0000-0000-0000E8700000}"/>
    <cellStyle name="Normal 5 4 2 2 2 2 2 2 2" xfId="28858" xr:uid="{00000000-0005-0000-0000-0000E9700000}"/>
    <cellStyle name="Normal 5 4 2 2 2 2 2 3" xfId="28859" xr:uid="{00000000-0005-0000-0000-0000EA700000}"/>
    <cellStyle name="Normal 5 4 2 2 2 2 3" xfId="28860" xr:uid="{00000000-0005-0000-0000-0000EB700000}"/>
    <cellStyle name="Normal 5 4 2 2 2 2 3 2" xfId="28861" xr:uid="{00000000-0005-0000-0000-0000EC700000}"/>
    <cellStyle name="Normal 5 4 2 2 2 2 4" xfId="28862" xr:uid="{00000000-0005-0000-0000-0000ED700000}"/>
    <cellStyle name="Normal 5 4 2 2 2 3" xfId="28863" xr:uid="{00000000-0005-0000-0000-0000EE700000}"/>
    <cellStyle name="Normal 5 4 2 2 2 3 2" xfId="28864" xr:uid="{00000000-0005-0000-0000-0000EF700000}"/>
    <cellStyle name="Normal 5 4 2 2 2 3 2 2" xfId="28865" xr:uid="{00000000-0005-0000-0000-0000F0700000}"/>
    <cellStyle name="Normal 5 4 2 2 2 3 3" xfId="28866" xr:uid="{00000000-0005-0000-0000-0000F1700000}"/>
    <cellStyle name="Normal 5 4 2 2 2 4" xfId="28867" xr:uid="{00000000-0005-0000-0000-0000F2700000}"/>
    <cellStyle name="Normal 5 4 2 2 2 4 2" xfId="28868" xr:uid="{00000000-0005-0000-0000-0000F3700000}"/>
    <cellStyle name="Normal 5 4 2 2 2 5" xfId="28869" xr:uid="{00000000-0005-0000-0000-0000F4700000}"/>
    <cellStyle name="Normal 5 4 2 2 3" xfId="28870" xr:uid="{00000000-0005-0000-0000-0000F5700000}"/>
    <cellStyle name="Normal 5 4 2 2 3 2" xfId="28871" xr:uid="{00000000-0005-0000-0000-0000F6700000}"/>
    <cellStyle name="Normal 5 4 2 2 3 2 2" xfId="28872" xr:uid="{00000000-0005-0000-0000-0000F7700000}"/>
    <cellStyle name="Normal 5 4 2 2 3 2 2 2" xfId="28873" xr:uid="{00000000-0005-0000-0000-0000F8700000}"/>
    <cellStyle name="Normal 5 4 2 2 3 2 3" xfId="28874" xr:uid="{00000000-0005-0000-0000-0000F9700000}"/>
    <cellStyle name="Normal 5 4 2 2 3 3" xfId="28875" xr:uid="{00000000-0005-0000-0000-0000FA700000}"/>
    <cellStyle name="Normal 5 4 2 2 3 3 2" xfId="28876" xr:uid="{00000000-0005-0000-0000-0000FB700000}"/>
    <cellStyle name="Normal 5 4 2 2 3 4" xfId="28877" xr:uid="{00000000-0005-0000-0000-0000FC700000}"/>
    <cellStyle name="Normal 5 4 2 2 4" xfId="28878" xr:uid="{00000000-0005-0000-0000-0000FD700000}"/>
    <cellStyle name="Normal 5 4 2 2 4 2" xfId="28879" xr:uid="{00000000-0005-0000-0000-0000FE700000}"/>
    <cellStyle name="Normal 5 4 2 2 4 2 2" xfId="28880" xr:uid="{00000000-0005-0000-0000-0000FF700000}"/>
    <cellStyle name="Normal 5 4 2 2 4 3" xfId="28881" xr:uid="{00000000-0005-0000-0000-000000710000}"/>
    <cellStyle name="Normal 5 4 2 2 5" xfId="28882" xr:uid="{00000000-0005-0000-0000-000001710000}"/>
    <cellStyle name="Normal 5 4 2 2 5 2" xfId="28883" xr:uid="{00000000-0005-0000-0000-000002710000}"/>
    <cellStyle name="Normal 5 4 2 2 6" xfId="28884" xr:uid="{00000000-0005-0000-0000-000003710000}"/>
    <cellStyle name="Normal 5 4 2 3" xfId="28885" xr:uid="{00000000-0005-0000-0000-000004710000}"/>
    <cellStyle name="Normal 5 4 2 3 2" xfId="28886" xr:uid="{00000000-0005-0000-0000-000005710000}"/>
    <cellStyle name="Normal 5 4 2 3 2 2" xfId="28887" xr:uid="{00000000-0005-0000-0000-000006710000}"/>
    <cellStyle name="Normal 5 4 2 3 2 2 2" xfId="28888" xr:uid="{00000000-0005-0000-0000-000007710000}"/>
    <cellStyle name="Normal 5 4 2 3 2 2 2 2" xfId="28889" xr:uid="{00000000-0005-0000-0000-000008710000}"/>
    <cellStyle name="Normal 5 4 2 3 2 2 3" xfId="28890" xr:uid="{00000000-0005-0000-0000-000009710000}"/>
    <cellStyle name="Normal 5 4 2 3 2 3" xfId="28891" xr:uid="{00000000-0005-0000-0000-00000A710000}"/>
    <cellStyle name="Normal 5 4 2 3 2 3 2" xfId="28892" xr:uid="{00000000-0005-0000-0000-00000B710000}"/>
    <cellStyle name="Normal 5 4 2 3 2 4" xfId="28893" xr:uid="{00000000-0005-0000-0000-00000C710000}"/>
    <cellStyle name="Normal 5 4 2 3 3" xfId="28894" xr:uid="{00000000-0005-0000-0000-00000D710000}"/>
    <cellStyle name="Normal 5 4 2 3 3 2" xfId="28895" xr:uid="{00000000-0005-0000-0000-00000E710000}"/>
    <cellStyle name="Normal 5 4 2 3 3 2 2" xfId="28896" xr:uid="{00000000-0005-0000-0000-00000F710000}"/>
    <cellStyle name="Normal 5 4 2 3 3 3" xfId="28897" xr:uid="{00000000-0005-0000-0000-000010710000}"/>
    <cellStyle name="Normal 5 4 2 3 4" xfId="28898" xr:uid="{00000000-0005-0000-0000-000011710000}"/>
    <cellStyle name="Normal 5 4 2 3 4 2" xfId="28899" xr:uid="{00000000-0005-0000-0000-000012710000}"/>
    <cellStyle name="Normal 5 4 2 3 5" xfId="28900" xr:uid="{00000000-0005-0000-0000-000013710000}"/>
    <cellStyle name="Normal 5 4 2 4" xfId="28901" xr:uid="{00000000-0005-0000-0000-000014710000}"/>
    <cellStyle name="Normal 5 4 2 4 2" xfId="28902" xr:uid="{00000000-0005-0000-0000-000015710000}"/>
    <cellStyle name="Normal 5 4 2 4 2 2" xfId="28903" xr:uid="{00000000-0005-0000-0000-000016710000}"/>
    <cellStyle name="Normal 5 4 2 4 2 2 2" xfId="28904" xr:uid="{00000000-0005-0000-0000-000017710000}"/>
    <cellStyle name="Normal 5 4 2 4 2 3" xfId="28905" xr:uid="{00000000-0005-0000-0000-000018710000}"/>
    <cellStyle name="Normal 5 4 2 4 3" xfId="28906" xr:uid="{00000000-0005-0000-0000-000019710000}"/>
    <cellStyle name="Normal 5 4 2 4 3 2" xfId="28907" xr:uid="{00000000-0005-0000-0000-00001A710000}"/>
    <cellStyle name="Normal 5 4 2 4 4" xfId="28908" xr:uid="{00000000-0005-0000-0000-00001B710000}"/>
    <cellStyle name="Normal 5 4 2 5" xfId="28909" xr:uid="{00000000-0005-0000-0000-00001C710000}"/>
    <cellStyle name="Normal 5 4 2 5 2" xfId="28910" xr:uid="{00000000-0005-0000-0000-00001D710000}"/>
    <cellStyle name="Normal 5 4 2 5 2 2" xfId="28911" xr:uid="{00000000-0005-0000-0000-00001E710000}"/>
    <cellStyle name="Normal 5 4 2 5 3" xfId="28912" xr:uid="{00000000-0005-0000-0000-00001F710000}"/>
    <cellStyle name="Normal 5 4 2 6" xfId="28913" xr:uid="{00000000-0005-0000-0000-000020710000}"/>
    <cellStyle name="Normal 5 4 2 6 2" xfId="28914" xr:uid="{00000000-0005-0000-0000-000021710000}"/>
    <cellStyle name="Normal 5 4 2 7" xfId="28915" xr:uid="{00000000-0005-0000-0000-000022710000}"/>
    <cellStyle name="Normal 5 4 3" xfId="28916" xr:uid="{00000000-0005-0000-0000-000023710000}"/>
    <cellStyle name="Normal 5 4 3 2" xfId="28917" xr:uid="{00000000-0005-0000-0000-000024710000}"/>
    <cellStyle name="Normal 5 4 3 2 2" xfId="28918" xr:uid="{00000000-0005-0000-0000-000025710000}"/>
    <cellStyle name="Normal 5 4 3 2 2 2" xfId="28919" xr:uid="{00000000-0005-0000-0000-000026710000}"/>
    <cellStyle name="Normal 5 4 3 2 2 2 2" xfId="28920" xr:uid="{00000000-0005-0000-0000-000027710000}"/>
    <cellStyle name="Normal 5 4 3 2 2 2 2 2" xfId="28921" xr:uid="{00000000-0005-0000-0000-000028710000}"/>
    <cellStyle name="Normal 5 4 3 2 2 2 3" xfId="28922" xr:uid="{00000000-0005-0000-0000-000029710000}"/>
    <cellStyle name="Normal 5 4 3 2 2 3" xfId="28923" xr:uid="{00000000-0005-0000-0000-00002A710000}"/>
    <cellStyle name="Normal 5 4 3 2 2 3 2" xfId="28924" xr:uid="{00000000-0005-0000-0000-00002B710000}"/>
    <cellStyle name="Normal 5 4 3 2 2 4" xfId="28925" xr:uid="{00000000-0005-0000-0000-00002C710000}"/>
    <cellStyle name="Normal 5 4 3 2 3" xfId="28926" xr:uid="{00000000-0005-0000-0000-00002D710000}"/>
    <cellStyle name="Normal 5 4 3 2 3 2" xfId="28927" xr:uid="{00000000-0005-0000-0000-00002E710000}"/>
    <cellStyle name="Normal 5 4 3 2 3 2 2" xfId="28928" xr:uid="{00000000-0005-0000-0000-00002F710000}"/>
    <cellStyle name="Normal 5 4 3 2 3 3" xfId="28929" xr:uid="{00000000-0005-0000-0000-000030710000}"/>
    <cellStyle name="Normal 5 4 3 2 4" xfId="28930" xr:uid="{00000000-0005-0000-0000-000031710000}"/>
    <cellStyle name="Normal 5 4 3 2 4 2" xfId="28931" xr:uid="{00000000-0005-0000-0000-000032710000}"/>
    <cellStyle name="Normal 5 4 3 2 5" xfId="28932" xr:uid="{00000000-0005-0000-0000-000033710000}"/>
    <cellStyle name="Normal 5 4 3 3" xfId="28933" xr:uid="{00000000-0005-0000-0000-000034710000}"/>
    <cellStyle name="Normal 5 4 3 3 2" xfId="28934" xr:uid="{00000000-0005-0000-0000-000035710000}"/>
    <cellStyle name="Normal 5 4 3 3 2 2" xfId="28935" xr:uid="{00000000-0005-0000-0000-000036710000}"/>
    <cellStyle name="Normal 5 4 3 3 2 2 2" xfId="28936" xr:uid="{00000000-0005-0000-0000-000037710000}"/>
    <cellStyle name="Normal 5 4 3 3 2 3" xfId="28937" xr:uid="{00000000-0005-0000-0000-000038710000}"/>
    <cellStyle name="Normal 5 4 3 3 3" xfId="28938" xr:uid="{00000000-0005-0000-0000-000039710000}"/>
    <cellStyle name="Normal 5 4 3 3 3 2" xfId="28939" xr:uid="{00000000-0005-0000-0000-00003A710000}"/>
    <cellStyle name="Normal 5 4 3 3 4" xfId="28940" xr:uid="{00000000-0005-0000-0000-00003B710000}"/>
    <cellStyle name="Normal 5 4 3 4" xfId="28941" xr:uid="{00000000-0005-0000-0000-00003C710000}"/>
    <cellStyle name="Normal 5 4 3 4 2" xfId="28942" xr:uid="{00000000-0005-0000-0000-00003D710000}"/>
    <cellStyle name="Normal 5 4 3 4 2 2" xfId="28943" xr:uid="{00000000-0005-0000-0000-00003E710000}"/>
    <cellStyle name="Normal 5 4 3 4 3" xfId="28944" xr:uid="{00000000-0005-0000-0000-00003F710000}"/>
    <cellStyle name="Normal 5 4 3 5" xfId="28945" xr:uid="{00000000-0005-0000-0000-000040710000}"/>
    <cellStyle name="Normal 5 4 3 5 2" xfId="28946" xr:uid="{00000000-0005-0000-0000-000041710000}"/>
    <cellStyle name="Normal 5 4 3 6" xfId="28947" xr:uid="{00000000-0005-0000-0000-000042710000}"/>
    <cellStyle name="Normal 5 4 4" xfId="28948" xr:uid="{00000000-0005-0000-0000-000043710000}"/>
    <cellStyle name="Normal 5 4 4 2" xfId="28949" xr:uid="{00000000-0005-0000-0000-000044710000}"/>
    <cellStyle name="Normal 5 4 4 2 2" xfId="28950" xr:uid="{00000000-0005-0000-0000-000045710000}"/>
    <cellStyle name="Normal 5 4 4 2 2 2" xfId="28951" xr:uid="{00000000-0005-0000-0000-000046710000}"/>
    <cellStyle name="Normal 5 4 4 2 2 2 2" xfId="28952" xr:uid="{00000000-0005-0000-0000-000047710000}"/>
    <cellStyle name="Normal 5 4 4 2 2 3" xfId="28953" xr:uid="{00000000-0005-0000-0000-000048710000}"/>
    <cellStyle name="Normal 5 4 4 2 3" xfId="28954" xr:uid="{00000000-0005-0000-0000-000049710000}"/>
    <cellStyle name="Normal 5 4 4 2 3 2" xfId="28955" xr:uid="{00000000-0005-0000-0000-00004A710000}"/>
    <cellStyle name="Normal 5 4 4 2 4" xfId="28956" xr:uid="{00000000-0005-0000-0000-00004B710000}"/>
    <cellStyle name="Normal 5 4 4 3" xfId="28957" xr:uid="{00000000-0005-0000-0000-00004C710000}"/>
    <cellStyle name="Normal 5 4 4 3 2" xfId="28958" xr:uid="{00000000-0005-0000-0000-00004D710000}"/>
    <cellStyle name="Normal 5 4 4 3 2 2" xfId="28959" xr:uid="{00000000-0005-0000-0000-00004E710000}"/>
    <cellStyle name="Normal 5 4 4 3 3" xfId="28960" xr:uid="{00000000-0005-0000-0000-00004F710000}"/>
    <cellStyle name="Normal 5 4 4 4" xfId="28961" xr:uid="{00000000-0005-0000-0000-000050710000}"/>
    <cellStyle name="Normal 5 4 4 4 2" xfId="28962" xr:uid="{00000000-0005-0000-0000-000051710000}"/>
    <cellStyle name="Normal 5 4 4 5" xfId="28963" xr:uid="{00000000-0005-0000-0000-000052710000}"/>
    <cellStyle name="Normal 5 4 5" xfId="28964" xr:uid="{00000000-0005-0000-0000-000053710000}"/>
    <cellStyle name="Normal 5 4 5 2" xfId="28965" xr:uid="{00000000-0005-0000-0000-000054710000}"/>
    <cellStyle name="Normal 5 4 5 2 2" xfId="28966" xr:uid="{00000000-0005-0000-0000-000055710000}"/>
    <cellStyle name="Normal 5 4 5 2 2 2" xfId="28967" xr:uid="{00000000-0005-0000-0000-000056710000}"/>
    <cellStyle name="Normal 5 4 5 2 3" xfId="28968" xr:uid="{00000000-0005-0000-0000-000057710000}"/>
    <cellStyle name="Normal 5 4 5 3" xfId="28969" xr:uid="{00000000-0005-0000-0000-000058710000}"/>
    <cellStyle name="Normal 5 4 5 3 2" xfId="28970" xr:uid="{00000000-0005-0000-0000-000059710000}"/>
    <cellStyle name="Normal 5 4 5 4" xfId="28971" xr:uid="{00000000-0005-0000-0000-00005A710000}"/>
    <cellStyle name="Normal 5 4 6" xfId="28972" xr:uid="{00000000-0005-0000-0000-00005B710000}"/>
    <cellStyle name="Normal 5 4 6 2" xfId="28973" xr:uid="{00000000-0005-0000-0000-00005C710000}"/>
    <cellStyle name="Normal 5 4 6 2 2" xfId="28974" xr:uid="{00000000-0005-0000-0000-00005D710000}"/>
    <cellStyle name="Normal 5 4 6 3" xfId="28975" xr:uid="{00000000-0005-0000-0000-00005E710000}"/>
    <cellStyle name="Normal 5 4 7" xfId="28976" xr:uid="{00000000-0005-0000-0000-00005F710000}"/>
    <cellStyle name="Normal 5 4 7 2" xfId="28977" xr:uid="{00000000-0005-0000-0000-000060710000}"/>
    <cellStyle name="Normal 5 4 8" xfId="28978" xr:uid="{00000000-0005-0000-0000-000061710000}"/>
    <cellStyle name="Normal 5 5" xfId="28979" xr:uid="{00000000-0005-0000-0000-000062710000}"/>
    <cellStyle name="Normal 5 5 2" xfId="28980" xr:uid="{00000000-0005-0000-0000-000063710000}"/>
    <cellStyle name="Normal 5 5 2 2" xfId="28981" xr:uid="{00000000-0005-0000-0000-000064710000}"/>
    <cellStyle name="Normal 5 5 2 2 2" xfId="28982" xr:uid="{00000000-0005-0000-0000-000065710000}"/>
    <cellStyle name="Normal 5 5 2 2 2 2" xfId="28983" xr:uid="{00000000-0005-0000-0000-000066710000}"/>
    <cellStyle name="Normal 5 5 2 2 2 2 2" xfId="28984" xr:uid="{00000000-0005-0000-0000-000067710000}"/>
    <cellStyle name="Normal 5 5 2 2 2 2 2 2" xfId="28985" xr:uid="{00000000-0005-0000-0000-000068710000}"/>
    <cellStyle name="Normal 5 5 2 2 2 2 3" xfId="28986" xr:uid="{00000000-0005-0000-0000-000069710000}"/>
    <cellStyle name="Normal 5 5 2 2 2 3" xfId="28987" xr:uid="{00000000-0005-0000-0000-00006A710000}"/>
    <cellStyle name="Normal 5 5 2 2 2 3 2" xfId="28988" xr:uid="{00000000-0005-0000-0000-00006B710000}"/>
    <cellStyle name="Normal 5 5 2 2 2 4" xfId="28989" xr:uid="{00000000-0005-0000-0000-00006C710000}"/>
    <cellStyle name="Normal 5 5 2 2 3" xfId="28990" xr:uid="{00000000-0005-0000-0000-00006D710000}"/>
    <cellStyle name="Normal 5 5 2 2 3 2" xfId="28991" xr:uid="{00000000-0005-0000-0000-00006E710000}"/>
    <cellStyle name="Normal 5 5 2 2 3 2 2" xfId="28992" xr:uid="{00000000-0005-0000-0000-00006F710000}"/>
    <cellStyle name="Normal 5 5 2 2 3 3" xfId="28993" xr:uid="{00000000-0005-0000-0000-000070710000}"/>
    <cellStyle name="Normal 5 5 2 2 4" xfId="28994" xr:uid="{00000000-0005-0000-0000-000071710000}"/>
    <cellStyle name="Normal 5 5 2 2 4 2" xfId="28995" xr:uid="{00000000-0005-0000-0000-000072710000}"/>
    <cellStyle name="Normal 5 5 2 2 5" xfId="28996" xr:uid="{00000000-0005-0000-0000-000073710000}"/>
    <cellStyle name="Normal 5 5 2 3" xfId="28997" xr:uid="{00000000-0005-0000-0000-000074710000}"/>
    <cellStyle name="Normal 5 5 2 3 2" xfId="28998" xr:uid="{00000000-0005-0000-0000-000075710000}"/>
    <cellStyle name="Normal 5 5 2 3 2 2" xfId="28999" xr:uid="{00000000-0005-0000-0000-000076710000}"/>
    <cellStyle name="Normal 5 5 2 3 2 2 2" xfId="29000" xr:uid="{00000000-0005-0000-0000-000077710000}"/>
    <cellStyle name="Normal 5 5 2 3 2 3" xfId="29001" xr:uid="{00000000-0005-0000-0000-000078710000}"/>
    <cellStyle name="Normal 5 5 2 3 3" xfId="29002" xr:uid="{00000000-0005-0000-0000-000079710000}"/>
    <cellStyle name="Normal 5 5 2 3 3 2" xfId="29003" xr:uid="{00000000-0005-0000-0000-00007A710000}"/>
    <cellStyle name="Normal 5 5 2 3 4" xfId="29004" xr:uid="{00000000-0005-0000-0000-00007B710000}"/>
    <cellStyle name="Normal 5 5 2 4" xfId="29005" xr:uid="{00000000-0005-0000-0000-00007C710000}"/>
    <cellStyle name="Normal 5 5 2 4 2" xfId="29006" xr:uid="{00000000-0005-0000-0000-00007D710000}"/>
    <cellStyle name="Normal 5 5 2 4 2 2" xfId="29007" xr:uid="{00000000-0005-0000-0000-00007E710000}"/>
    <cellStyle name="Normal 5 5 2 4 3" xfId="29008" xr:uid="{00000000-0005-0000-0000-00007F710000}"/>
    <cellStyle name="Normal 5 5 2 5" xfId="29009" xr:uid="{00000000-0005-0000-0000-000080710000}"/>
    <cellStyle name="Normal 5 5 2 5 2" xfId="29010" xr:uid="{00000000-0005-0000-0000-000081710000}"/>
    <cellStyle name="Normal 5 5 2 6" xfId="29011" xr:uid="{00000000-0005-0000-0000-000082710000}"/>
    <cellStyle name="Normal 5 5 2 6 2" xfId="29012" xr:uid="{00000000-0005-0000-0000-000083710000}"/>
    <cellStyle name="Normal 5 5 2 7" xfId="29013" xr:uid="{00000000-0005-0000-0000-000084710000}"/>
    <cellStyle name="Normal 5 5 3" xfId="29014" xr:uid="{00000000-0005-0000-0000-000085710000}"/>
    <cellStyle name="Normal 5 5 3 2" xfId="29015" xr:uid="{00000000-0005-0000-0000-000086710000}"/>
    <cellStyle name="Normal 5 5 3 2 2" xfId="29016" xr:uid="{00000000-0005-0000-0000-000087710000}"/>
    <cellStyle name="Normal 5 5 3 2 2 2" xfId="29017" xr:uid="{00000000-0005-0000-0000-000088710000}"/>
    <cellStyle name="Normal 5 5 3 2 2 2 2" xfId="29018" xr:uid="{00000000-0005-0000-0000-000089710000}"/>
    <cellStyle name="Normal 5 5 3 2 2 3" xfId="29019" xr:uid="{00000000-0005-0000-0000-00008A710000}"/>
    <cellStyle name="Normal 5 5 3 2 3" xfId="29020" xr:uid="{00000000-0005-0000-0000-00008B710000}"/>
    <cellStyle name="Normal 5 5 3 2 3 2" xfId="29021" xr:uid="{00000000-0005-0000-0000-00008C710000}"/>
    <cellStyle name="Normal 5 5 3 2 4" xfId="29022" xr:uid="{00000000-0005-0000-0000-00008D710000}"/>
    <cellStyle name="Normal 5 5 3 3" xfId="29023" xr:uid="{00000000-0005-0000-0000-00008E710000}"/>
    <cellStyle name="Normal 5 5 3 3 2" xfId="29024" xr:uid="{00000000-0005-0000-0000-00008F710000}"/>
    <cellStyle name="Normal 5 5 3 3 2 2" xfId="29025" xr:uid="{00000000-0005-0000-0000-000090710000}"/>
    <cellStyle name="Normal 5 5 3 3 3" xfId="29026" xr:uid="{00000000-0005-0000-0000-000091710000}"/>
    <cellStyle name="Normal 5 5 3 4" xfId="29027" xr:uid="{00000000-0005-0000-0000-000092710000}"/>
    <cellStyle name="Normal 5 5 3 4 2" xfId="29028" xr:uid="{00000000-0005-0000-0000-000093710000}"/>
    <cellStyle name="Normal 5 5 3 5" xfId="29029" xr:uid="{00000000-0005-0000-0000-000094710000}"/>
    <cellStyle name="Normal 5 5 4" xfId="29030" xr:uid="{00000000-0005-0000-0000-000095710000}"/>
    <cellStyle name="Normal 5 5 4 2" xfId="29031" xr:uid="{00000000-0005-0000-0000-000096710000}"/>
    <cellStyle name="Normal 5 5 4 2 2" xfId="29032" xr:uid="{00000000-0005-0000-0000-000097710000}"/>
    <cellStyle name="Normal 5 5 4 2 2 2" xfId="29033" xr:uid="{00000000-0005-0000-0000-000098710000}"/>
    <cellStyle name="Normal 5 5 4 2 3" xfId="29034" xr:uid="{00000000-0005-0000-0000-000099710000}"/>
    <cellStyle name="Normal 5 5 4 3" xfId="29035" xr:uid="{00000000-0005-0000-0000-00009A710000}"/>
    <cellStyle name="Normal 5 5 4 3 2" xfId="29036" xr:uid="{00000000-0005-0000-0000-00009B710000}"/>
    <cellStyle name="Normal 5 5 4 4" xfId="29037" xr:uid="{00000000-0005-0000-0000-00009C710000}"/>
    <cellStyle name="Normal 5 5 5" xfId="29038" xr:uid="{00000000-0005-0000-0000-00009D710000}"/>
    <cellStyle name="Normal 5 5 5 2" xfId="29039" xr:uid="{00000000-0005-0000-0000-00009E710000}"/>
    <cellStyle name="Normal 5 5 5 2 2" xfId="29040" xr:uid="{00000000-0005-0000-0000-00009F710000}"/>
    <cellStyle name="Normal 5 5 5 3" xfId="29041" xr:uid="{00000000-0005-0000-0000-0000A0710000}"/>
    <cellStyle name="Normal 5 5 6" xfId="29042" xr:uid="{00000000-0005-0000-0000-0000A1710000}"/>
    <cellStyle name="Normal 5 5 6 2" xfId="29043" xr:uid="{00000000-0005-0000-0000-0000A2710000}"/>
    <cellStyle name="Normal 5 5 7" xfId="29044" xr:uid="{00000000-0005-0000-0000-0000A3710000}"/>
    <cellStyle name="Normal 5 5 7 2" xfId="29045" xr:uid="{00000000-0005-0000-0000-0000A4710000}"/>
    <cellStyle name="Normal 5 5 8" xfId="29046" xr:uid="{00000000-0005-0000-0000-0000A5710000}"/>
    <cellStyle name="Normal 5 6" xfId="29047" xr:uid="{00000000-0005-0000-0000-0000A6710000}"/>
    <cellStyle name="Normal 5 6 2" xfId="29048" xr:uid="{00000000-0005-0000-0000-0000A7710000}"/>
    <cellStyle name="Normal 5 6 2 2" xfId="29049" xr:uid="{00000000-0005-0000-0000-0000A8710000}"/>
    <cellStyle name="Normal 5 6 2 2 2" xfId="29050" xr:uid="{00000000-0005-0000-0000-0000A9710000}"/>
    <cellStyle name="Normal 5 6 2 2 2 2" xfId="29051" xr:uid="{00000000-0005-0000-0000-0000AA710000}"/>
    <cellStyle name="Normal 5 6 2 2 2 2 2" xfId="29052" xr:uid="{00000000-0005-0000-0000-0000AB710000}"/>
    <cellStyle name="Normal 5 6 2 2 2 3" xfId="29053" xr:uid="{00000000-0005-0000-0000-0000AC710000}"/>
    <cellStyle name="Normal 5 6 2 2 3" xfId="29054" xr:uid="{00000000-0005-0000-0000-0000AD710000}"/>
    <cellStyle name="Normal 5 6 2 2 3 2" xfId="29055" xr:uid="{00000000-0005-0000-0000-0000AE710000}"/>
    <cellStyle name="Normal 5 6 2 2 4" xfId="29056" xr:uid="{00000000-0005-0000-0000-0000AF710000}"/>
    <cellStyle name="Normal 5 6 2 3" xfId="29057" xr:uid="{00000000-0005-0000-0000-0000B0710000}"/>
    <cellStyle name="Normal 5 6 2 3 2" xfId="29058" xr:uid="{00000000-0005-0000-0000-0000B1710000}"/>
    <cellStyle name="Normal 5 6 2 3 2 2" xfId="29059" xr:uid="{00000000-0005-0000-0000-0000B2710000}"/>
    <cellStyle name="Normal 5 6 2 3 3" xfId="29060" xr:uid="{00000000-0005-0000-0000-0000B3710000}"/>
    <cellStyle name="Normal 5 6 2 4" xfId="29061" xr:uid="{00000000-0005-0000-0000-0000B4710000}"/>
    <cellStyle name="Normal 5 6 2 4 2" xfId="29062" xr:uid="{00000000-0005-0000-0000-0000B5710000}"/>
    <cellStyle name="Normal 5 6 2 5" xfId="29063" xr:uid="{00000000-0005-0000-0000-0000B6710000}"/>
    <cellStyle name="Normal 5 6 2 5 2" xfId="29064" xr:uid="{00000000-0005-0000-0000-0000B7710000}"/>
    <cellStyle name="Normal 5 6 2 6" xfId="29065" xr:uid="{00000000-0005-0000-0000-0000B8710000}"/>
    <cellStyle name="Normal 5 6 2 6 2" xfId="29066" xr:uid="{00000000-0005-0000-0000-0000B9710000}"/>
    <cellStyle name="Normal 5 6 2 7" xfId="29067" xr:uid="{00000000-0005-0000-0000-0000BA710000}"/>
    <cellStyle name="Normal 5 6 3" xfId="29068" xr:uid="{00000000-0005-0000-0000-0000BB710000}"/>
    <cellStyle name="Normal 5 6 3 2" xfId="29069" xr:uid="{00000000-0005-0000-0000-0000BC710000}"/>
    <cellStyle name="Normal 5 6 3 2 2" xfId="29070" xr:uid="{00000000-0005-0000-0000-0000BD710000}"/>
    <cellStyle name="Normal 5 6 3 2 2 2" xfId="29071" xr:uid="{00000000-0005-0000-0000-0000BE710000}"/>
    <cellStyle name="Normal 5 6 3 2 3" xfId="29072" xr:uid="{00000000-0005-0000-0000-0000BF710000}"/>
    <cellStyle name="Normal 5 6 3 3" xfId="29073" xr:uid="{00000000-0005-0000-0000-0000C0710000}"/>
    <cellStyle name="Normal 5 6 3 3 2" xfId="29074" xr:uid="{00000000-0005-0000-0000-0000C1710000}"/>
    <cellStyle name="Normal 5 6 3 4" xfId="29075" xr:uid="{00000000-0005-0000-0000-0000C2710000}"/>
    <cellStyle name="Normal 5 6 4" xfId="29076" xr:uid="{00000000-0005-0000-0000-0000C3710000}"/>
    <cellStyle name="Normal 5 6 4 2" xfId="29077" xr:uid="{00000000-0005-0000-0000-0000C4710000}"/>
    <cellStyle name="Normal 5 6 4 2 2" xfId="29078" xr:uid="{00000000-0005-0000-0000-0000C5710000}"/>
    <cellStyle name="Normal 5 6 4 3" xfId="29079" xr:uid="{00000000-0005-0000-0000-0000C6710000}"/>
    <cellStyle name="Normal 5 6 5" xfId="29080" xr:uid="{00000000-0005-0000-0000-0000C7710000}"/>
    <cellStyle name="Normal 5 6 5 2" xfId="29081" xr:uid="{00000000-0005-0000-0000-0000C8710000}"/>
    <cellStyle name="Normal 5 6 6" xfId="29082" xr:uid="{00000000-0005-0000-0000-0000C9710000}"/>
    <cellStyle name="Normal 5 6 6 2" xfId="29083" xr:uid="{00000000-0005-0000-0000-0000CA710000}"/>
    <cellStyle name="Normal 5 6 7" xfId="29084" xr:uid="{00000000-0005-0000-0000-0000CB710000}"/>
    <cellStyle name="Normal 5 6 7 2" xfId="29085" xr:uid="{00000000-0005-0000-0000-0000CC710000}"/>
    <cellStyle name="Normal 5 6 8" xfId="29086" xr:uid="{00000000-0005-0000-0000-0000CD710000}"/>
    <cellStyle name="Normal 5 7" xfId="29087" xr:uid="{00000000-0005-0000-0000-0000CE710000}"/>
    <cellStyle name="Normal 5 7 2" xfId="29088" xr:uid="{00000000-0005-0000-0000-0000CF710000}"/>
    <cellStyle name="Normal 5 7 2 2" xfId="29089" xr:uid="{00000000-0005-0000-0000-0000D0710000}"/>
    <cellStyle name="Normal 5 7 2 2 2" xfId="29090" xr:uid="{00000000-0005-0000-0000-0000D1710000}"/>
    <cellStyle name="Normal 5 7 2 2 2 2" xfId="29091" xr:uid="{00000000-0005-0000-0000-0000D2710000}"/>
    <cellStyle name="Normal 5 7 2 2 3" xfId="29092" xr:uid="{00000000-0005-0000-0000-0000D3710000}"/>
    <cellStyle name="Normal 5 7 2 3" xfId="29093" xr:uid="{00000000-0005-0000-0000-0000D4710000}"/>
    <cellStyle name="Normal 5 7 2 3 2" xfId="29094" xr:uid="{00000000-0005-0000-0000-0000D5710000}"/>
    <cellStyle name="Normal 5 7 2 4" xfId="29095" xr:uid="{00000000-0005-0000-0000-0000D6710000}"/>
    <cellStyle name="Normal 5 7 2 4 2" xfId="29096" xr:uid="{00000000-0005-0000-0000-0000D7710000}"/>
    <cellStyle name="Normal 5 7 2 5" xfId="29097" xr:uid="{00000000-0005-0000-0000-0000D8710000}"/>
    <cellStyle name="Normal 5 7 2 5 2" xfId="29098" xr:uid="{00000000-0005-0000-0000-0000D9710000}"/>
    <cellStyle name="Normal 5 7 2 6" xfId="29099" xr:uid="{00000000-0005-0000-0000-0000DA710000}"/>
    <cellStyle name="Normal 5 7 2 6 2" xfId="29100" xr:uid="{00000000-0005-0000-0000-0000DB710000}"/>
    <cellStyle name="Normal 5 7 2 7" xfId="29101" xr:uid="{00000000-0005-0000-0000-0000DC710000}"/>
    <cellStyle name="Normal 5 7 3" xfId="29102" xr:uid="{00000000-0005-0000-0000-0000DD710000}"/>
    <cellStyle name="Normal 5 7 3 2" xfId="29103" xr:uid="{00000000-0005-0000-0000-0000DE710000}"/>
    <cellStyle name="Normal 5 7 3 2 2" xfId="29104" xr:uid="{00000000-0005-0000-0000-0000DF710000}"/>
    <cellStyle name="Normal 5 7 3 3" xfId="29105" xr:uid="{00000000-0005-0000-0000-0000E0710000}"/>
    <cellStyle name="Normal 5 7 4" xfId="29106" xr:uid="{00000000-0005-0000-0000-0000E1710000}"/>
    <cellStyle name="Normal 5 7 4 2" xfId="29107" xr:uid="{00000000-0005-0000-0000-0000E2710000}"/>
    <cellStyle name="Normal 5 7 5" xfId="29108" xr:uid="{00000000-0005-0000-0000-0000E3710000}"/>
    <cellStyle name="Normal 5 7 5 2" xfId="29109" xr:uid="{00000000-0005-0000-0000-0000E4710000}"/>
    <cellStyle name="Normal 5 7 6" xfId="29110" xr:uid="{00000000-0005-0000-0000-0000E5710000}"/>
    <cellStyle name="Normal 5 7 6 2" xfId="29111" xr:uid="{00000000-0005-0000-0000-0000E6710000}"/>
    <cellStyle name="Normal 5 7 7" xfId="29112" xr:uid="{00000000-0005-0000-0000-0000E7710000}"/>
    <cellStyle name="Normal 5 7 7 2" xfId="29113" xr:uid="{00000000-0005-0000-0000-0000E8710000}"/>
    <cellStyle name="Normal 5 7 8" xfId="29114" xr:uid="{00000000-0005-0000-0000-0000E9710000}"/>
    <cellStyle name="Normal 5 8" xfId="29115" xr:uid="{00000000-0005-0000-0000-0000EA710000}"/>
    <cellStyle name="Normal 5 8 2" xfId="29116" xr:uid="{00000000-0005-0000-0000-0000EB710000}"/>
    <cellStyle name="Normal 5 8 2 2" xfId="29117" xr:uid="{00000000-0005-0000-0000-0000EC710000}"/>
    <cellStyle name="Normal 5 8 2 2 2" xfId="29118" xr:uid="{00000000-0005-0000-0000-0000ED710000}"/>
    <cellStyle name="Normal 5 8 2 3" xfId="29119" xr:uid="{00000000-0005-0000-0000-0000EE710000}"/>
    <cellStyle name="Normal 5 8 2 3 2" xfId="29120" xr:uid="{00000000-0005-0000-0000-0000EF710000}"/>
    <cellStyle name="Normal 5 8 2 4" xfId="29121" xr:uid="{00000000-0005-0000-0000-0000F0710000}"/>
    <cellStyle name="Normal 5 8 2 4 2" xfId="29122" xr:uid="{00000000-0005-0000-0000-0000F1710000}"/>
    <cellStyle name="Normal 5 8 2 5" xfId="29123" xr:uid="{00000000-0005-0000-0000-0000F2710000}"/>
    <cellStyle name="Normal 5 8 2 5 2" xfId="29124" xr:uid="{00000000-0005-0000-0000-0000F3710000}"/>
    <cellStyle name="Normal 5 8 2 6" xfId="29125" xr:uid="{00000000-0005-0000-0000-0000F4710000}"/>
    <cellStyle name="Normal 5 8 2 6 2" xfId="29126" xr:uid="{00000000-0005-0000-0000-0000F5710000}"/>
    <cellStyle name="Normal 5 8 2 7" xfId="29127" xr:uid="{00000000-0005-0000-0000-0000F6710000}"/>
    <cellStyle name="Normal 5 8 3" xfId="29128" xr:uid="{00000000-0005-0000-0000-0000F7710000}"/>
    <cellStyle name="Normal 5 8 3 2" xfId="29129" xr:uid="{00000000-0005-0000-0000-0000F8710000}"/>
    <cellStyle name="Normal 5 8 4" xfId="29130" xr:uid="{00000000-0005-0000-0000-0000F9710000}"/>
    <cellStyle name="Normal 5 8 4 2" xfId="29131" xr:uid="{00000000-0005-0000-0000-0000FA710000}"/>
    <cellStyle name="Normal 5 8 5" xfId="29132" xr:uid="{00000000-0005-0000-0000-0000FB710000}"/>
    <cellStyle name="Normal 5 8 5 2" xfId="29133" xr:uid="{00000000-0005-0000-0000-0000FC710000}"/>
    <cellStyle name="Normal 5 8 6" xfId="29134" xr:uid="{00000000-0005-0000-0000-0000FD710000}"/>
    <cellStyle name="Normal 5 8 6 2" xfId="29135" xr:uid="{00000000-0005-0000-0000-0000FE710000}"/>
    <cellStyle name="Normal 5 8 7" xfId="29136" xr:uid="{00000000-0005-0000-0000-0000FF710000}"/>
    <cellStyle name="Normal 5 8 7 2" xfId="29137" xr:uid="{00000000-0005-0000-0000-000000720000}"/>
    <cellStyle name="Normal 5 8 8" xfId="29138" xr:uid="{00000000-0005-0000-0000-000001720000}"/>
    <cellStyle name="Normal 5 9" xfId="29139" xr:uid="{00000000-0005-0000-0000-000002720000}"/>
    <cellStyle name="Normal 5 9 2" xfId="29140" xr:uid="{00000000-0005-0000-0000-000003720000}"/>
    <cellStyle name="Normal 5 9 2 2" xfId="29141" xr:uid="{00000000-0005-0000-0000-000004720000}"/>
    <cellStyle name="Normal 5 9 2 2 2" xfId="29142" xr:uid="{00000000-0005-0000-0000-000005720000}"/>
    <cellStyle name="Normal 5 9 2 3" xfId="29143" xr:uid="{00000000-0005-0000-0000-000006720000}"/>
    <cellStyle name="Normal 5 9 2 3 2" xfId="29144" xr:uid="{00000000-0005-0000-0000-000007720000}"/>
    <cellStyle name="Normal 5 9 2 4" xfId="29145" xr:uid="{00000000-0005-0000-0000-000008720000}"/>
    <cellStyle name="Normal 5 9 2 4 2" xfId="29146" xr:uid="{00000000-0005-0000-0000-000009720000}"/>
    <cellStyle name="Normal 5 9 2 5" xfId="29147" xr:uid="{00000000-0005-0000-0000-00000A720000}"/>
    <cellStyle name="Normal 5 9 2 5 2" xfId="29148" xr:uid="{00000000-0005-0000-0000-00000B720000}"/>
    <cellStyle name="Normal 5 9 2 6" xfId="29149" xr:uid="{00000000-0005-0000-0000-00000C720000}"/>
    <cellStyle name="Normal 5 9 2 6 2" xfId="29150" xr:uid="{00000000-0005-0000-0000-00000D720000}"/>
    <cellStyle name="Normal 5 9 2 7" xfId="29151" xr:uid="{00000000-0005-0000-0000-00000E720000}"/>
    <cellStyle name="Normal 5 9 3" xfId="29152" xr:uid="{00000000-0005-0000-0000-00000F720000}"/>
    <cellStyle name="Normal 5 9 3 2" xfId="29153" xr:uid="{00000000-0005-0000-0000-000010720000}"/>
    <cellStyle name="Normal 5 9 4" xfId="29154" xr:uid="{00000000-0005-0000-0000-000011720000}"/>
    <cellStyle name="Normal 5 9 4 2" xfId="29155" xr:uid="{00000000-0005-0000-0000-000012720000}"/>
    <cellStyle name="Normal 5 9 5" xfId="29156" xr:uid="{00000000-0005-0000-0000-000013720000}"/>
    <cellStyle name="Normal 5 9 5 2" xfId="29157" xr:uid="{00000000-0005-0000-0000-000014720000}"/>
    <cellStyle name="Normal 5 9 6" xfId="29158" xr:uid="{00000000-0005-0000-0000-000015720000}"/>
    <cellStyle name="Normal 5 9 6 2" xfId="29159" xr:uid="{00000000-0005-0000-0000-000016720000}"/>
    <cellStyle name="Normal 5 9 7" xfId="29160" xr:uid="{00000000-0005-0000-0000-000017720000}"/>
    <cellStyle name="Normal 5 9 7 2" xfId="29161" xr:uid="{00000000-0005-0000-0000-000018720000}"/>
    <cellStyle name="Normal 5 9 8" xfId="29162" xr:uid="{00000000-0005-0000-0000-000019720000}"/>
    <cellStyle name="Normal 53" xfId="34040" xr:uid="{9DA725A5-973D-4BED-851E-EEC0C46CCDD6}"/>
    <cellStyle name="Normal 6" xfId="29163" xr:uid="{00000000-0005-0000-0000-00001A720000}"/>
    <cellStyle name="Normal 6 2" xfId="29164" xr:uid="{00000000-0005-0000-0000-00001B720000}"/>
    <cellStyle name="Normal 7" xfId="29165" xr:uid="{00000000-0005-0000-0000-00001C720000}"/>
    <cellStyle name="Normal 7 10" xfId="29166" xr:uid="{00000000-0005-0000-0000-00001D720000}"/>
    <cellStyle name="Normal 7 2" xfId="29167" xr:uid="{00000000-0005-0000-0000-00001E720000}"/>
    <cellStyle name="Normal 7 2 2" xfId="29168" xr:uid="{00000000-0005-0000-0000-00001F720000}"/>
    <cellStyle name="Normal 7 2 2 2" xfId="29169" xr:uid="{00000000-0005-0000-0000-000020720000}"/>
    <cellStyle name="Normal 7 2 2 2 2" xfId="29170" xr:uid="{00000000-0005-0000-0000-000021720000}"/>
    <cellStyle name="Normal 7 2 2 2 2 2" xfId="29171" xr:uid="{00000000-0005-0000-0000-000022720000}"/>
    <cellStyle name="Normal 7 2 2 2 2 2 2" xfId="29172" xr:uid="{00000000-0005-0000-0000-000023720000}"/>
    <cellStyle name="Normal 7 2 2 2 2 2 2 2" xfId="29173" xr:uid="{00000000-0005-0000-0000-000024720000}"/>
    <cellStyle name="Normal 7 2 2 2 2 2 2 2 2" xfId="29174" xr:uid="{00000000-0005-0000-0000-000025720000}"/>
    <cellStyle name="Normal 7 2 2 2 2 2 2 2 2 2" xfId="29175" xr:uid="{00000000-0005-0000-0000-000026720000}"/>
    <cellStyle name="Normal 7 2 2 2 2 2 2 2 3" xfId="29176" xr:uid="{00000000-0005-0000-0000-000027720000}"/>
    <cellStyle name="Normal 7 2 2 2 2 2 2 3" xfId="29177" xr:uid="{00000000-0005-0000-0000-000028720000}"/>
    <cellStyle name="Normal 7 2 2 2 2 2 2 3 2" xfId="29178" xr:uid="{00000000-0005-0000-0000-000029720000}"/>
    <cellStyle name="Normal 7 2 2 2 2 2 2 4" xfId="29179" xr:uid="{00000000-0005-0000-0000-00002A720000}"/>
    <cellStyle name="Normal 7 2 2 2 2 2 3" xfId="29180" xr:uid="{00000000-0005-0000-0000-00002B720000}"/>
    <cellStyle name="Normal 7 2 2 2 2 2 3 2" xfId="29181" xr:uid="{00000000-0005-0000-0000-00002C720000}"/>
    <cellStyle name="Normal 7 2 2 2 2 2 3 2 2" xfId="29182" xr:uid="{00000000-0005-0000-0000-00002D720000}"/>
    <cellStyle name="Normal 7 2 2 2 2 2 3 3" xfId="29183" xr:uid="{00000000-0005-0000-0000-00002E720000}"/>
    <cellStyle name="Normal 7 2 2 2 2 2 4" xfId="29184" xr:uid="{00000000-0005-0000-0000-00002F720000}"/>
    <cellStyle name="Normal 7 2 2 2 2 2 4 2" xfId="29185" xr:uid="{00000000-0005-0000-0000-000030720000}"/>
    <cellStyle name="Normal 7 2 2 2 2 2 5" xfId="29186" xr:uid="{00000000-0005-0000-0000-000031720000}"/>
    <cellStyle name="Normal 7 2 2 2 2 3" xfId="29187" xr:uid="{00000000-0005-0000-0000-000032720000}"/>
    <cellStyle name="Normal 7 2 2 2 2 3 2" xfId="29188" xr:uid="{00000000-0005-0000-0000-000033720000}"/>
    <cellStyle name="Normal 7 2 2 2 2 3 2 2" xfId="29189" xr:uid="{00000000-0005-0000-0000-000034720000}"/>
    <cellStyle name="Normal 7 2 2 2 2 3 2 2 2" xfId="29190" xr:uid="{00000000-0005-0000-0000-000035720000}"/>
    <cellStyle name="Normal 7 2 2 2 2 3 2 3" xfId="29191" xr:uid="{00000000-0005-0000-0000-000036720000}"/>
    <cellStyle name="Normal 7 2 2 2 2 3 3" xfId="29192" xr:uid="{00000000-0005-0000-0000-000037720000}"/>
    <cellStyle name="Normal 7 2 2 2 2 3 3 2" xfId="29193" xr:uid="{00000000-0005-0000-0000-000038720000}"/>
    <cellStyle name="Normal 7 2 2 2 2 3 4" xfId="29194" xr:uid="{00000000-0005-0000-0000-000039720000}"/>
    <cellStyle name="Normal 7 2 2 2 2 4" xfId="29195" xr:uid="{00000000-0005-0000-0000-00003A720000}"/>
    <cellStyle name="Normal 7 2 2 2 2 4 2" xfId="29196" xr:uid="{00000000-0005-0000-0000-00003B720000}"/>
    <cellStyle name="Normal 7 2 2 2 2 4 2 2" xfId="29197" xr:uid="{00000000-0005-0000-0000-00003C720000}"/>
    <cellStyle name="Normal 7 2 2 2 2 4 3" xfId="29198" xr:uid="{00000000-0005-0000-0000-00003D720000}"/>
    <cellStyle name="Normal 7 2 2 2 2 5" xfId="29199" xr:uid="{00000000-0005-0000-0000-00003E720000}"/>
    <cellStyle name="Normal 7 2 2 2 2 5 2" xfId="29200" xr:uid="{00000000-0005-0000-0000-00003F720000}"/>
    <cellStyle name="Normal 7 2 2 2 2 6" xfId="29201" xr:uid="{00000000-0005-0000-0000-000040720000}"/>
    <cellStyle name="Normal 7 2 2 2 3" xfId="29202" xr:uid="{00000000-0005-0000-0000-000041720000}"/>
    <cellStyle name="Normal 7 2 2 2 3 2" xfId="29203" xr:uid="{00000000-0005-0000-0000-000042720000}"/>
    <cellStyle name="Normal 7 2 2 2 3 2 2" xfId="29204" xr:uid="{00000000-0005-0000-0000-000043720000}"/>
    <cellStyle name="Normal 7 2 2 2 3 2 2 2" xfId="29205" xr:uid="{00000000-0005-0000-0000-000044720000}"/>
    <cellStyle name="Normal 7 2 2 2 3 2 2 2 2" xfId="29206" xr:uid="{00000000-0005-0000-0000-000045720000}"/>
    <cellStyle name="Normal 7 2 2 2 3 2 2 3" xfId="29207" xr:uid="{00000000-0005-0000-0000-000046720000}"/>
    <cellStyle name="Normal 7 2 2 2 3 2 3" xfId="29208" xr:uid="{00000000-0005-0000-0000-000047720000}"/>
    <cellStyle name="Normal 7 2 2 2 3 2 3 2" xfId="29209" xr:uid="{00000000-0005-0000-0000-000048720000}"/>
    <cellStyle name="Normal 7 2 2 2 3 2 4" xfId="29210" xr:uid="{00000000-0005-0000-0000-000049720000}"/>
    <cellStyle name="Normal 7 2 2 2 3 3" xfId="29211" xr:uid="{00000000-0005-0000-0000-00004A720000}"/>
    <cellStyle name="Normal 7 2 2 2 3 3 2" xfId="29212" xr:uid="{00000000-0005-0000-0000-00004B720000}"/>
    <cellStyle name="Normal 7 2 2 2 3 3 2 2" xfId="29213" xr:uid="{00000000-0005-0000-0000-00004C720000}"/>
    <cellStyle name="Normal 7 2 2 2 3 3 3" xfId="29214" xr:uid="{00000000-0005-0000-0000-00004D720000}"/>
    <cellStyle name="Normal 7 2 2 2 3 4" xfId="29215" xr:uid="{00000000-0005-0000-0000-00004E720000}"/>
    <cellStyle name="Normal 7 2 2 2 3 4 2" xfId="29216" xr:uid="{00000000-0005-0000-0000-00004F720000}"/>
    <cellStyle name="Normal 7 2 2 2 3 5" xfId="29217" xr:uid="{00000000-0005-0000-0000-000050720000}"/>
    <cellStyle name="Normal 7 2 2 2 4" xfId="29218" xr:uid="{00000000-0005-0000-0000-000051720000}"/>
    <cellStyle name="Normal 7 2 2 2 4 2" xfId="29219" xr:uid="{00000000-0005-0000-0000-000052720000}"/>
    <cellStyle name="Normal 7 2 2 2 4 2 2" xfId="29220" xr:uid="{00000000-0005-0000-0000-000053720000}"/>
    <cellStyle name="Normal 7 2 2 2 4 2 2 2" xfId="29221" xr:uid="{00000000-0005-0000-0000-000054720000}"/>
    <cellStyle name="Normal 7 2 2 2 4 2 3" xfId="29222" xr:uid="{00000000-0005-0000-0000-000055720000}"/>
    <cellStyle name="Normal 7 2 2 2 4 3" xfId="29223" xr:uid="{00000000-0005-0000-0000-000056720000}"/>
    <cellStyle name="Normal 7 2 2 2 4 3 2" xfId="29224" xr:uid="{00000000-0005-0000-0000-000057720000}"/>
    <cellStyle name="Normal 7 2 2 2 4 4" xfId="29225" xr:uid="{00000000-0005-0000-0000-000058720000}"/>
    <cellStyle name="Normal 7 2 2 2 5" xfId="29226" xr:uid="{00000000-0005-0000-0000-000059720000}"/>
    <cellStyle name="Normal 7 2 2 2 5 2" xfId="29227" xr:uid="{00000000-0005-0000-0000-00005A720000}"/>
    <cellStyle name="Normal 7 2 2 2 5 2 2" xfId="29228" xr:uid="{00000000-0005-0000-0000-00005B720000}"/>
    <cellStyle name="Normal 7 2 2 2 5 3" xfId="29229" xr:uid="{00000000-0005-0000-0000-00005C720000}"/>
    <cellStyle name="Normal 7 2 2 2 6" xfId="29230" xr:uid="{00000000-0005-0000-0000-00005D720000}"/>
    <cellStyle name="Normal 7 2 2 2 6 2" xfId="29231" xr:uid="{00000000-0005-0000-0000-00005E720000}"/>
    <cellStyle name="Normal 7 2 2 2 7" xfId="29232" xr:uid="{00000000-0005-0000-0000-00005F720000}"/>
    <cellStyle name="Normal 7 2 2 3" xfId="29233" xr:uid="{00000000-0005-0000-0000-000060720000}"/>
    <cellStyle name="Normal 7 2 2 3 2" xfId="29234" xr:uid="{00000000-0005-0000-0000-000061720000}"/>
    <cellStyle name="Normal 7 2 2 3 2 2" xfId="29235" xr:uid="{00000000-0005-0000-0000-000062720000}"/>
    <cellStyle name="Normal 7 2 2 3 2 2 2" xfId="29236" xr:uid="{00000000-0005-0000-0000-000063720000}"/>
    <cellStyle name="Normal 7 2 2 3 2 2 2 2" xfId="29237" xr:uid="{00000000-0005-0000-0000-000064720000}"/>
    <cellStyle name="Normal 7 2 2 3 2 2 2 2 2" xfId="29238" xr:uid="{00000000-0005-0000-0000-000065720000}"/>
    <cellStyle name="Normal 7 2 2 3 2 2 2 3" xfId="29239" xr:uid="{00000000-0005-0000-0000-000066720000}"/>
    <cellStyle name="Normal 7 2 2 3 2 2 3" xfId="29240" xr:uid="{00000000-0005-0000-0000-000067720000}"/>
    <cellStyle name="Normal 7 2 2 3 2 2 3 2" xfId="29241" xr:uid="{00000000-0005-0000-0000-000068720000}"/>
    <cellStyle name="Normal 7 2 2 3 2 2 4" xfId="29242" xr:uid="{00000000-0005-0000-0000-000069720000}"/>
    <cellStyle name="Normal 7 2 2 3 2 3" xfId="29243" xr:uid="{00000000-0005-0000-0000-00006A720000}"/>
    <cellStyle name="Normal 7 2 2 3 2 3 2" xfId="29244" xr:uid="{00000000-0005-0000-0000-00006B720000}"/>
    <cellStyle name="Normal 7 2 2 3 2 3 2 2" xfId="29245" xr:uid="{00000000-0005-0000-0000-00006C720000}"/>
    <cellStyle name="Normal 7 2 2 3 2 3 3" xfId="29246" xr:uid="{00000000-0005-0000-0000-00006D720000}"/>
    <cellStyle name="Normal 7 2 2 3 2 4" xfId="29247" xr:uid="{00000000-0005-0000-0000-00006E720000}"/>
    <cellStyle name="Normal 7 2 2 3 2 4 2" xfId="29248" xr:uid="{00000000-0005-0000-0000-00006F720000}"/>
    <cellStyle name="Normal 7 2 2 3 2 5" xfId="29249" xr:uid="{00000000-0005-0000-0000-000070720000}"/>
    <cellStyle name="Normal 7 2 2 3 3" xfId="29250" xr:uid="{00000000-0005-0000-0000-000071720000}"/>
    <cellStyle name="Normal 7 2 2 3 3 2" xfId="29251" xr:uid="{00000000-0005-0000-0000-000072720000}"/>
    <cellStyle name="Normal 7 2 2 3 3 2 2" xfId="29252" xr:uid="{00000000-0005-0000-0000-000073720000}"/>
    <cellStyle name="Normal 7 2 2 3 3 2 2 2" xfId="29253" xr:uid="{00000000-0005-0000-0000-000074720000}"/>
    <cellStyle name="Normal 7 2 2 3 3 2 3" xfId="29254" xr:uid="{00000000-0005-0000-0000-000075720000}"/>
    <cellStyle name="Normal 7 2 2 3 3 3" xfId="29255" xr:uid="{00000000-0005-0000-0000-000076720000}"/>
    <cellStyle name="Normal 7 2 2 3 3 3 2" xfId="29256" xr:uid="{00000000-0005-0000-0000-000077720000}"/>
    <cellStyle name="Normal 7 2 2 3 3 4" xfId="29257" xr:uid="{00000000-0005-0000-0000-000078720000}"/>
    <cellStyle name="Normal 7 2 2 3 4" xfId="29258" xr:uid="{00000000-0005-0000-0000-000079720000}"/>
    <cellStyle name="Normal 7 2 2 3 4 2" xfId="29259" xr:uid="{00000000-0005-0000-0000-00007A720000}"/>
    <cellStyle name="Normal 7 2 2 3 4 2 2" xfId="29260" xr:uid="{00000000-0005-0000-0000-00007B720000}"/>
    <cellStyle name="Normal 7 2 2 3 4 3" xfId="29261" xr:uid="{00000000-0005-0000-0000-00007C720000}"/>
    <cellStyle name="Normal 7 2 2 3 5" xfId="29262" xr:uid="{00000000-0005-0000-0000-00007D720000}"/>
    <cellStyle name="Normal 7 2 2 3 5 2" xfId="29263" xr:uid="{00000000-0005-0000-0000-00007E720000}"/>
    <cellStyle name="Normal 7 2 2 3 6" xfId="29264" xr:uid="{00000000-0005-0000-0000-00007F720000}"/>
    <cellStyle name="Normal 7 2 2 4" xfId="29265" xr:uid="{00000000-0005-0000-0000-000080720000}"/>
    <cellStyle name="Normal 7 2 2 4 2" xfId="29266" xr:uid="{00000000-0005-0000-0000-000081720000}"/>
    <cellStyle name="Normal 7 2 2 4 2 2" xfId="29267" xr:uid="{00000000-0005-0000-0000-000082720000}"/>
    <cellStyle name="Normal 7 2 2 4 2 2 2" xfId="29268" xr:uid="{00000000-0005-0000-0000-000083720000}"/>
    <cellStyle name="Normal 7 2 2 4 2 2 2 2" xfId="29269" xr:uid="{00000000-0005-0000-0000-000084720000}"/>
    <cellStyle name="Normal 7 2 2 4 2 2 3" xfId="29270" xr:uid="{00000000-0005-0000-0000-000085720000}"/>
    <cellStyle name="Normal 7 2 2 4 2 3" xfId="29271" xr:uid="{00000000-0005-0000-0000-000086720000}"/>
    <cellStyle name="Normal 7 2 2 4 2 3 2" xfId="29272" xr:uid="{00000000-0005-0000-0000-000087720000}"/>
    <cellStyle name="Normal 7 2 2 4 2 4" xfId="29273" xr:uid="{00000000-0005-0000-0000-000088720000}"/>
    <cellStyle name="Normal 7 2 2 4 3" xfId="29274" xr:uid="{00000000-0005-0000-0000-000089720000}"/>
    <cellStyle name="Normal 7 2 2 4 3 2" xfId="29275" xr:uid="{00000000-0005-0000-0000-00008A720000}"/>
    <cellStyle name="Normal 7 2 2 4 3 2 2" xfId="29276" xr:uid="{00000000-0005-0000-0000-00008B720000}"/>
    <cellStyle name="Normal 7 2 2 4 3 3" xfId="29277" xr:uid="{00000000-0005-0000-0000-00008C720000}"/>
    <cellStyle name="Normal 7 2 2 4 4" xfId="29278" xr:uid="{00000000-0005-0000-0000-00008D720000}"/>
    <cellStyle name="Normal 7 2 2 4 4 2" xfId="29279" xr:uid="{00000000-0005-0000-0000-00008E720000}"/>
    <cellStyle name="Normal 7 2 2 4 5" xfId="29280" xr:uid="{00000000-0005-0000-0000-00008F720000}"/>
    <cellStyle name="Normal 7 2 2 5" xfId="29281" xr:uid="{00000000-0005-0000-0000-000090720000}"/>
    <cellStyle name="Normal 7 2 2 5 2" xfId="29282" xr:uid="{00000000-0005-0000-0000-000091720000}"/>
    <cellStyle name="Normal 7 2 2 5 2 2" xfId="29283" xr:uid="{00000000-0005-0000-0000-000092720000}"/>
    <cellStyle name="Normal 7 2 2 5 2 2 2" xfId="29284" xr:uid="{00000000-0005-0000-0000-000093720000}"/>
    <cellStyle name="Normal 7 2 2 5 2 3" xfId="29285" xr:uid="{00000000-0005-0000-0000-000094720000}"/>
    <cellStyle name="Normal 7 2 2 5 3" xfId="29286" xr:uid="{00000000-0005-0000-0000-000095720000}"/>
    <cellStyle name="Normal 7 2 2 5 3 2" xfId="29287" xr:uid="{00000000-0005-0000-0000-000096720000}"/>
    <cellStyle name="Normal 7 2 2 5 4" xfId="29288" xr:uid="{00000000-0005-0000-0000-000097720000}"/>
    <cellStyle name="Normal 7 2 2 6" xfId="29289" xr:uid="{00000000-0005-0000-0000-000098720000}"/>
    <cellStyle name="Normal 7 2 2 6 2" xfId="29290" xr:uid="{00000000-0005-0000-0000-000099720000}"/>
    <cellStyle name="Normal 7 2 2 6 2 2" xfId="29291" xr:uid="{00000000-0005-0000-0000-00009A720000}"/>
    <cellStyle name="Normal 7 2 2 6 3" xfId="29292" xr:uid="{00000000-0005-0000-0000-00009B720000}"/>
    <cellStyle name="Normal 7 2 2 7" xfId="29293" xr:uid="{00000000-0005-0000-0000-00009C720000}"/>
    <cellStyle name="Normal 7 2 2 7 2" xfId="29294" xr:uid="{00000000-0005-0000-0000-00009D720000}"/>
    <cellStyle name="Normal 7 2 2 8" xfId="29295" xr:uid="{00000000-0005-0000-0000-00009E720000}"/>
    <cellStyle name="Normal 7 2 3" xfId="29296" xr:uid="{00000000-0005-0000-0000-00009F720000}"/>
    <cellStyle name="Normal 7 2 3 2" xfId="29297" xr:uid="{00000000-0005-0000-0000-0000A0720000}"/>
    <cellStyle name="Normal 7 2 3 2 2" xfId="29298" xr:uid="{00000000-0005-0000-0000-0000A1720000}"/>
    <cellStyle name="Normal 7 2 3 2 2 2" xfId="29299" xr:uid="{00000000-0005-0000-0000-0000A2720000}"/>
    <cellStyle name="Normal 7 2 3 2 2 2 2" xfId="29300" xr:uid="{00000000-0005-0000-0000-0000A3720000}"/>
    <cellStyle name="Normal 7 2 3 2 2 2 2 2" xfId="29301" xr:uid="{00000000-0005-0000-0000-0000A4720000}"/>
    <cellStyle name="Normal 7 2 3 2 2 2 2 2 2" xfId="29302" xr:uid="{00000000-0005-0000-0000-0000A5720000}"/>
    <cellStyle name="Normal 7 2 3 2 2 2 2 3" xfId="29303" xr:uid="{00000000-0005-0000-0000-0000A6720000}"/>
    <cellStyle name="Normal 7 2 3 2 2 2 3" xfId="29304" xr:uid="{00000000-0005-0000-0000-0000A7720000}"/>
    <cellStyle name="Normal 7 2 3 2 2 2 3 2" xfId="29305" xr:uid="{00000000-0005-0000-0000-0000A8720000}"/>
    <cellStyle name="Normal 7 2 3 2 2 2 4" xfId="29306" xr:uid="{00000000-0005-0000-0000-0000A9720000}"/>
    <cellStyle name="Normal 7 2 3 2 2 3" xfId="29307" xr:uid="{00000000-0005-0000-0000-0000AA720000}"/>
    <cellStyle name="Normal 7 2 3 2 2 3 2" xfId="29308" xr:uid="{00000000-0005-0000-0000-0000AB720000}"/>
    <cellStyle name="Normal 7 2 3 2 2 3 2 2" xfId="29309" xr:uid="{00000000-0005-0000-0000-0000AC720000}"/>
    <cellStyle name="Normal 7 2 3 2 2 3 3" xfId="29310" xr:uid="{00000000-0005-0000-0000-0000AD720000}"/>
    <cellStyle name="Normal 7 2 3 2 2 4" xfId="29311" xr:uid="{00000000-0005-0000-0000-0000AE720000}"/>
    <cellStyle name="Normal 7 2 3 2 2 4 2" xfId="29312" xr:uid="{00000000-0005-0000-0000-0000AF720000}"/>
    <cellStyle name="Normal 7 2 3 2 2 5" xfId="29313" xr:uid="{00000000-0005-0000-0000-0000B0720000}"/>
    <cellStyle name="Normal 7 2 3 2 3" xfId="29314" xr:uid="{00000000-0005-0000-0000-0000B1720000}"/>
    <cellStyle name="Normal 7 2 3 2 3 2" xfId="29315" xr:uid="{00000000-0005-0000-0000-0000B2720000}"/>
    <cellStyle name="Normal 7 2 3 2 3 2 2" xfId="29316" xr:uid="{00000000-0005-0000-0000-0000B3720000}"/>
    <cellStyle name="Normal 7 2 3 2 3 2 2 2" xfId="29317" xr:uid="{00000000-0005-0000-0000-0000B4720000}"/>
    <cellStyle name="Normal 7 2 3 2 3 2 3" xfId="29318" xr:uid="{00000000-0005-0000-0000-0000B5720000}"/>
    <cellStyle name="Normal 7 2 3 2 3 3" xfId="29319" xr:uid="{00000000-0005-0000-0000-0000B6720000}"/>
    <cellStyle name="Normal 7 2 3 2 3 3 2" xfId="29320" xr:uid="{00000000-0005-0000-0000-0000B7720000}"/>
    <cellStyle name="Normal 7 2 3 2 3 4" xfId="29321" xr:uid="{00000000-0005-0000-0000-0000B8720000}"/>
    <cellStyle name="Normal 7 2 3 2 4" xfId="29322" xr:uid="{00000000-0005-0000-0000-0000B9720000}"/>
    <cellStyle name="Normal 7 2 3 2 4 2" xfId="29323" xr:uid="{00000000-0005-0000-0000-0000BA720000}"/>
    <cellStyle name="Normal 7 2 3 2 4 2 2" xfId="29324" xr:uid="{00000000-0005-0000-0000-0000BB720000}"/>
    <cellStyle name="Normal 7 2 3 2 4 3" xfId="29325" xr:uid="{00000000-0005-0000-0000-0000BC720000}"/>
    <cellStyle name="Normal 7 2 3 2 5" xfId="29326" xr:uid="{00000000-0005-0000-0000-0000BD720000}"/>
    <cellStyle name="Normal 7 2 3 2 5 2" xfId="29327" xr:uid="{00000000-0005-0000-0000-0000BE720000}"/>
    <cellStyle name="Normal 7 2 3 2 6" xfId="29328" xr:uid="{00000000-0005-0000-0000-0000BF720000}"/>
    <cellStyle name="Normal 7 2 3 3" xfId="29329" xr:uid="{00000000-0005-0000-0000-0000C0720000}"/>
    <cellStyle name="Normal 7 2 3 3 2" xfId="29330" xr:uid="{00000000-0005-0000-0000-0000C1720000}"/>
    <cellStyle name="Normal 7 2 3 3 2 2" xfId="29331" xr:uid="{00000000-0005-0000-0000-0000C2720000}"/>
    <cellStyle name="Normal 7 2 3 3 2 2 2" xfId="29332" xr:uid="{00000000-0005-0000-0000-0000C3720000}"/>
    <cellStyle name="Normal 7 2 3 3 2 2 2 2" xfId="29333" xr:uid="{00000000-0005-0000-0000-0000C4720000}"/>
    <cellStyle name="Normal 7 2 3 3 2 2 3" xfId="29334" xr:uid="{00000000-0005-0000-0000-0000C5720000}"/>
    <cellStyle name="Normal 7 2 3 3 2 3" xfId="29335" xr:uid="{00000000-0005-0000-0000-0000C6720000}"/>
    <cellStyle name="Normal 7 2 3 3 2 3 2" xfId="29336" xr:uid="{00000000-0005-0000-0000-0000C7720000}"/>
    <cellStyle name="Normal 7 2 3 3 2 4" xfId="29337" xr:uid="{00000000-0005-0000-0000-0000C8720000}"/>
    <cellStyle name="Normal 7 2 3 3 3" xfId="29338" xr:uid="{00000000-0005-0000-0000-0000C9720000}"/>
    <cellStyle name="Normal 7 2 3 3 3 2" xfId="29339" xr:uid="{00000000-0005-0000-0000-0000CA720000}"/>
    <cellStyle name="Normal 7 2 3 3 3 2 2" xfId="29340" xr:uid="{00000000-0005-0000-0000-0000CB720000}"/>
    <cellStyle name="Normal 7 2 3 3 3 3" xfId="29341" xr:uid="{00000000-0005-0000-0000-0000CC720000}"/>
    <cellStyle name="Normal 7 2 3 3 4" xfId="29342" xr:uid="{00000000-0005-0000-0000-0000CD720000}"/>
    <cellStyle name="Normal 7 2 3 3 4 2" xfId="29343" xr:uid="{00000000-0005-0000-0000-0000CE720000}"/>
    <cellStyle name="Normal 7 2 3 3 5" xfId="29344" xr:uid="{00000000-0005-0000-0000-0000CF720000}"/>
    <cellStyle name="Normal 7 2 3 4" xfId="29345" xr:uid="{00000000-0005-0000-0000-0000D0720000}"/>
    <cellStyle name="Normal 7 2 3 4 2" xfId="29346" xr:uid="{00000000-0005-0000-0000-0000D1720000}"/>
    <cellStyle name="Normal 7 2 3 4 2 2" xfId="29347" xr:uid="{00000000-0005-0000-0000-0000D2720000}"/>
    <cellStyle name="Normal 7 2 3 4 2 2 2" xfId="29348" xr:uid="{00000000-0005-0000-0000-0000D3720000}"/>
    <cellStyle name="Normal 7 2 3 4 2 3" xfId="29349" xr:uid="{00000000-0005-0000-0000-0000D4720000}"/>
    <cellStyle name="Normal 7 2 3 4 3" xfId="29350" xr:uid="{00000000-0005-0000-0000-0000D5720000}"/>
    <cellStyle name="Normal 7 2 3 4 3 2" xfId="29351" xr:uid="{00000000-0005-0000-0000-0000D6720000}"/>
    <cellStyle name="Normal 7 2 3 4 4" xfId="29352" xr:uid="{00000000-0005-0000-0000-0000D7720000}"/>
    <cellStyle name="Normal 7 2 3 5" xfId="29353" xr:uid="{00000000-0005-0000-0000-0000D8720000}"/>
    <cellStyle name="Normal 7 2 3 5 2" xfId="29354" xr:uid="{00000000-0005-0000-0000-0000D9720000}"/>
    <cellStyle name="Normal 7 2 3 5 2 2" xfId="29355" xr:uid="{00000000-0005-0000-0000-0000DA720000}"/>
    <cellStyle name="Normal 7 2 3 5 3" xfId="29356" xr:uid="{00000000-0005-0000-0000-0000DB720000}"/>
    <cellStyle name="Normal 7 2 3 6" xfId="29357" xr:uid="{00000000-0005-0000-0000-0000DC720000}"/>
    <cellStyle name="Normal 7 2 3 6 2" xfId="29358" xr:uid="{00000000-0005-0000-0000-0000DD720000}"/>
    <cellStyle name="Normal 7 2 3 7" xfId="29359" xr:uid="{00000000-0005-0000-0000-0000DE720000}"/>
    <cellStyle name="Normal 7 2 4" xfId="29360" xr:uid="{00000000-0005-0000-0000-0000DF720000}"/>
    <cellStyle name="Normal 7 2 4 2" xfId="29361" xr:uid="{00000000-0005-0000-0000-0000E0720000}"/>
    <cellStyle name="Normal 7 2 4 2 2" xfId="29362" xr:uid="{00000000-0005-0000-0000-0000E1720000}"/>
    <cellStyle name="Normal 7 2 4 2 2 2" xfId="29363" xr:uid="{00000000-0005-0000-0000-0000E2720000}"/>
    <cellStyle name="Normal 7 2 4 2 2 2 2" xfId="29364" xr:uid="{00000000-0005-0000-0000-0000E3720000}"/>
    <cellStyle name="Normal 7 2 4 2 2 2 2 2" xfId="29365" xr:uid="{00000000-0005-0000-0000-0000E4720000}"/>
    <cellStyle name="Normal 7 2 4 2 2 2 3" xfId="29366" xr:uid="{00000000-0005-0000-0000-0000E5720000}"/>
    <cellStyle name="Normal 7 2 4 2 2 3" xfId="29367" xr:uid="{00000000-0005-0000-0000-0000E6720000}"/>
    <cellStyle name="Normal 7 2 4 2 2 3 2" xfId="29368" xr:uid="{00000000-0005-0000-0000-0000E7720000}"/>
    <cellStyle name="Normal 7 2 4 2 2 4" xfId="29369" xr:uid="{00000000-0005-0000-0000-0000E8720000}"/>
    <cellStyle name="Normal 7 2 4 2 3" xfId="29370" xr:uid="{00000000-0005-0000-0000-0000E9720000}"/>
    <cellStyle name="Normal 7 2 4 2 3 2" xfId="29371" xr:uid="{00000000-0005-0000-0000-0000EA720000}"/>
    <cellStyle name="Normal 7 2 4 2 3 2 2" xfId="29372" xr:uid="{00000000-0005-0000-0000-0000EB720000}"/>
    <cellStyle name="Normal 7 2 4 2 3 3" xfId="29373" xr:uid="{00000000-0005-0000-0000-0000EC720000}"/>
    <cellStyle name="Normal 7 2 4 2 4" xfId="29374" xr:uid="{00000000-0005-0000-0000-0000ED720000}"/>
    <cellStyle name="Normal 7 2 4 2 4 2" xfId="29375" xr:uid="{00000000-0005-0000-0000-0000EE720000}"/>
    <cellStyle name="Normal 7 2 4 2 5" xfId="29376" xr:uid="{00000000-0005-0000-0000-0000EF720000}"/>
    <cellStyle name="Normal 7 2 4 3" xfId="29377" xr:uid="{00000000-0005-0000-0000-0000F0720000}"/>
    <cellStyle name="Normal 7 2 4 3 2" xfId="29378" xr:uid="{00000000-0005-0000-0000-0000F1720000}"/>
    <cellStyle name="Normal 7 2 4 3 2 2" xfId="29379" xr:uid="{00000000-0005-0000-0000-0000F2720000}"/>
    <cellStyle name="Normal 7 2 4 3 2 2 2" xfId="29380" xr:uid="{00000000-0005-0000-0000-0000F3720000}"/>
    <cellStyle name="Normal 7 2 4 3 2 3" xfId="29381" xr:uid="{00000000-0005-0000-0000-0000F4720000}"/>
    <cellStyle name="Normal 7 2 4 3 3" xfId="29382" xr:uid="{00000000-0005-0000-0000-0000F5720000}"/>
    <cellStyle name="Normal 7 2 4 3 3 2" xfId="29383" xr:uid="{00000000-0005-0000-0000-0000F6720000}"/>
    <cellStyle name="Normal 7 2 4 3 4" xfId="29384" xr:uid="{00000000-0005-0000-0000-0000F7720000}"/>
    <cellStyle name="Normal 7 2 4 4" xfId="29385" xr:uid="{00000000-0005-0000-0000-0000F8720000}"/>
    <cellStyle name="Normal 7 2 4 4 2" xfId="29386" xr:uid="{00000000-0005-0000-0000-0000F9720000}"/>
    <cellStyle name="Normal 7 2 4 4 2 2" xfId="29387" xr:uid="{00000000-0005-0000-0000-0000FA720000}"/>
    <cellStyle name="Normal 7 2 4 4 3" xfId="29388" xr:uid="{00000000-0005-0000-0000-0000FB720000}"/>
    <cellStyle name="Normal 7 2 4 5" xfId="29389" xr:uid="{00000000-0005-0000-0000-0000FC720000}"/>
    <cellStyle name="Normal 7 2 4 5 2" xfId="29390" xr:uid="{00000000-0005-0000-0000-0000FD720000}"/>
    <cellStyle name="Normal 7 2 4 6" xfId="29391" xr:uid="{00000000-0005-0000-0000-0000FE720000}"/>
    <cellStyle name="Normal 7 2 5" xfId="29392" xr:uid="{00000000-0005-0000-0000-0000FF720000}"/>
    <cellStyle name="Normal 7 2 5 2" xfId="29393" xr:uid="{00000000-0005-0000-0000-000000730000}"/>
    <cellStyle name="Normal 7 2 5 2 2" xfId="29394" xr:uid="{00000000-0005-0000-0000-000001730000}"/>
    <cellStyle name="Normal 7 2 5 2 2 2" xfId="29395" xr:uid="{00000000-0005-0000-0000-000002730000}"/>
    <cellStyle name="Normal 7 2 5 2 2 2 2" xfId="29396" xr:uid="{00000000-0005-0000-0000-000003730000}"/>
    <cellStyle name="Normal 7 2 5 2 2 3" xfId="29397" xr:uid="{00000000-0005-0000-0000-000004730000}"/>
    <cellStyle name="Normal 7 2 5 2 3" xfId="29398" xr:uid="{00000000-0005-0000-0000-000005730000}"/>
    <cellStyle name="Normal 7 2 5 2 3 2" xfId="29399" xr:uid="{00000000-0005-0000-0000-000006730000}"/>
    <cellStyle name="Normal 7 2 5 2 4" xfId="29400" xr:uid="{00000000-0005-0000-0000-000007730000}"/>
    <cellStyle name="Normal 7 2 5 3" xfId="29401" xr:uid="{00000000-0005-0000-0000-000008730000}"/>
    <cellStyle name="Normal 7 2 5 3 2" xfId="29402" xr:uid="{00000000-0005-0000-0000-000009730000}"/>
    <cellStyle name="Normal 7 2 5 3 2 2" xfId="29403" xr:uid="{00000000-0005-0000-0000-00000A730000}"/>
    <cellStyle name="Normal 7 2 5 3 3" xfId="29404" xr:uid="{00000000-0005-0000-0000-00000B730000}"/>
    <cellStyle name="Normal 7 2 5 4" xfId="29405" xr:uid="{00000000-0005-0000-0000-00000C730000}"/>
    <cellStyle name="Normal 7 2 5 4 2" xfId="29406" xr:uid="{00000000-0005-0000-0000-00000D730000}"/>
    <cellStyle name="Normal 7 2 5 5" xfId="29407" xr:uid="{00000000-0005-0000-0000-00000E730000}"/>
    <cellStyle name="Normal 7 2 6" xfId="29408" xr:uid="{00000000-0005-0000-0000-00000F730000}"/>
    <cellStyle name="Normal 7 2 6 2" xfId="29409" xr:uid="{00000000-0005-0000-0000-000010730000}"/>
    <cellStyle name="Normal 7 2 6 2 2" xfId="29410" xr:uid="{00000000-0005-0000-0000-000011730000}"/>
    <cellStyle name="Normal 7 2 6 2 2 2" xfId="29411" xr:uid="{00000000-0005-0000-0000-000012730000}"/>
    <cellStyle name="Normal 7 2 6 2 3" xfId="29412" xr:uid="{00000000-0005-0000-0000-000013730000}"/>
    <cellStyle name="Normal 7 2 6 3" xfId="29413" xr:uid="{00000000-0005-0000-0000-000014730000}"/>
    <cellStyle name="Normal 7 2 6 3 2" xfId="29414" xr:uid="{00000000-0005-0000-0000-000015730000}"/>
    <cellStyle name="Normal 7 2 6 4" xfId="29415" xr:uid="{00000000-0005-0000-0000-000016730000}"/>
    <cellStyle name="Normal 7 2 7" xfId="29416" xr:uid="{00000000-0005-0000-0000-000017730000}"/>
    <cellStyle name="Normal 7 2 7 2" xfId="29417" xr:uid="{00000000-0005-0000-0000-000018730000}"/>
    <cellStyle name="Normal 7 2 7 2 2" xfId="29418" xr:uid="{00000000-0005-0000-0000-000019730000}"/>
    <cellStyle name="Normal 7 2 7 3" xfId="29419" xr:uid="{00000000-0005-0000-0000-00001A730000}"/>
    <cellStyle name="Normal 7 2 8" xfId="29420" xr:uid="{00000000-0005-0000-0000-00001B730000}"/>
    <cellStyle name="Normal 7 2 8 2" xfId="29421" xr:uid="{00000000-0005-0000-0000-00001C730000}"/>
    <cellStyle name="Normal 7 2 9" xfId="29422" xr:uid="{00000000-0005-0000-0000-00001D730000}"/>
    <cellStyle name="Normal 7 3" xfId="29423" xr:uid="{00000000-0005-0000-0000-00001E730000}"/>
    <cellStyle name="Normal 7 3 2" xfId="29424" xr:uid="{00000000-0005-0000-0000-00001F730000}"/>
    <cellStyle name="Normal 7 3 2 2" xfId="29425" xr:uid="{00000000-0005-0000-0000-000020730000}"/>
    <cellStyle name="Normal 7 3 2 2 2" xfId="29426" xr:uid="{00000000-0005-0000-0000-000021730000}"/>
    <cellStyle name="Normal 7 3 2 2 2 2" xfId="29427" xr:uid="{00000000-0005-0000-0000-000022730000}"/>
    <cellStyle name="Normal 7 3 2 2 2 2 2" xfId="29428" xr:uid="{00000000-0005-0000-0000-000023730000}"/>
    <cellStyle name="Normal 7 3 2 2 2 2 2 2" xfId="29429" xr:uid="{00000000-0005-0000-0000-000024730000}"/>
    <cellStyle name="Normal 7 3 2 2 2 2 2 2 2" xfId="29430" xr:uid="{00000000-0005-0000-0000-000025730000}"/>
    <cellStyle name="Normal 7 3 2 2 2 2 2 3" xfId="29431" xr:uid="{00000000-0005-0000-0000-000026730000}"/>
    <cellStyle name="Normal 7 3 2 2 2 2 3" xfId="29432" xr:uid="{00000000-0005-0000-0000-000027730000}"/>
    <cellStyle name="Normal 7 3 2 2 2 2 3 2" xfId="29433" xr:uid="{00000000-0005-0000-0000-000028730000}"/>
    <cellStyle name="Normal 7 3 2 2 2 2 4" xfId="29434" xr:uid="{00000000-0005-0000-0000-000029730000}"/>
    <cellStyle name="Normal 7 3 2 2 2 3" xfId="29435" xr:uid="{00000000-0005-0000-0000-00002A730000}"/>
    <cellStyle name="Normal 7 3 2 2 2 3 2" xfId="29436" xr:uid="{00000000-0005-0000-0000-00002B730000}"/>
    <cellStyle name="Normal 7 3 2 2 2 3 2 2" xfId="29437" xr:uid="{00000000-0005-0000-0000-00002C730000}"/>
    <cellStyle name="Normal 7 3 2 2 2 3 3" xfId="29438" xr:uid="{00000000-0005-0000-0000-00002D730000}"/>
    <cellStyle name="Normal 7 3 2 2 2 4" xfId="29439" xr:uid="{00000000-0005-0000-0000-00002E730000}"/>
    <cellStyle name="Normal 7 3 2 2 2 4 2" xfId="29440" xr:uid="{00000000-0005-0000-0000-00002F730000}"/>
    <cellStyle name="Normal 7 3 2 2 2 5" xfId="29441" xr:uid="{00000000-0005-0000-0000-000030730000}"/>
    <cellStyle name="Normal 7 3 2 2 3" xfId="29442" xr:uid="{00000000-0005-0000-0000-000031730000}"/>
    <cellStyle name="Normal 7 3 2 2 3 2" xfId="29443" xr:uid="{00000000-0005-0000-0000-000032730000}"/>
    <cellStyle name="Normal 7 3 2 2 3 2 2" xfId="29444" xr:uid="{00000000-0005-0000-0000-000033730000}"/>
    <cellStyle name="Normal 7 3 2 2 3 2 2 2" xfId="29445" xr:uid="{00000000-0005-0000-0000-000034730000}"/>
    <cellStyle name="Normal 7 3 2 2 3 2 3" xfId="29446" xr:uid="{00000000-0005-0000-0000-000035730000}"/>
    <cellStyle name="Normal 7 3 2 2 3 3" xfId="29447" xr:uid="{00000000-0005-0000-0000-000036730000}"/>
    <cellStyle name="Normal 7 3 2 2 3 3 2" xfId="29448" xr:uid="{00000000-0005-0000-0000-000037730000}"/>
    <cellStyle name="Normal 7 3 2 2 3 4" xfId="29449" xr:uid="{00000000-0005-0000-0000-000038730000}"/>
    <cellStyle name="Normal 7 3 2 2 4" xfId="29450" xr:uid="{00000000-0005-0000-0000-000039730000}"/>
    <cellStyle name="Normal 7 3 2 2 4 2" xfId="29451" xr:uid="{00000000-0005-0000-0000-00003A730000}"/>
    <cellStyle name="Normal 7 3 2 2 4 2 2" xfId="29452" xr:uid="{00000000-0005-0000-0000-00003B730000}"/>
    <cellStyle name="Normal 7 3 2 2 4 3" xfId="29453" xr:uid="{00000000-0005-0000-0000-00003C730000}"/>
    <cellStyle name="Normal 7 3 2 2 5" xfId="29454" xr:uid="{00000000-0005-0000-0000-00003D730000}"/>
    <cellStyle name="Normal 7 3 2 2 5 2" xfId="29455" xr:uid="{00000000-0005-0000-0000-00003E730000}"/>
    <cellStyle name="Normal 7 3 2 2 6" xfId="29456" xr:uid="{00000000-0005-0000-0000-00003F730000}"/>
    <cellStyle name="Normal 7 3 2 3" xfId="29457" xr:uid="{00000000-0005-0000-0000-000040730000}"/>
    <cellStyle name="Normal 7 3 2 3 2" xfId="29458" xr:uid="{00000000-0005-0000-0000-000041730000}"/>
    <cellStyle name="Normal 7 3 2 3 2 2" xfId="29459" xr:uid="{00000000-0005-0000-0000-000042730000}"/>
    <cellStyle name="Normal 7 3 2 3 2 2 2" xfId="29460" xr:uid="{00000000-0005-0000-0000-000043730000}"/>
    <cellStyle name="Normal 7 3 2 3 2 2 2 2" xfId="29461" xr:uid="{00000000-0005-0000-0000-000044730000}"/>
    <cellStyle name="Normal 7 3 2 3 2 2 3" xfId="29462" xr:uid="{00000000-0005-0000-0000-000045730000}"/>
    <cellStyle name="Normal 7 3 2 3 2 3" xfId="29463" xr:uid="{00000000-0005-0000-0000-000046730000}"/>
    <cellStyle name="Normal 7 3 2 3 2 3 2" xfId="29464" xr:uid="{00000000-0005-0000-0000-000047730000}"/>
    <cellStyle name="Normal 7 3 2 3 2 4" xfId="29465" xr:uid="{00000000-0005-0000-0000-000048730000}"/>
    <cellStyle name="Normal 7 3 2 3 3" xfId="29466" xr:uid="{00000000-0005-0000-0000-000049730000}"/>
    <cellStyle name="Normal 7 3 2 3 3 2" xfId="29467" xr:uid="{00000000-0005-0000-0000-00004A730000}"/>
    <cellStyle name="Normal 7 3 2 3 3 2 2" xfId="29468" xr:uid="{00000000-0005-0000-0000-00004B730000}"/>
    <cellStyle name="Normal 7 3 2 3 3 3" xfId="29469" xr:uid="{00000000-0005-0000-0000-00004C730000}"/>
    <cellStyle name="Normal 7 3 2 3 4" xfId="29470" xr:uid="{00000000-0005-0000-0000-00004D730000}"/>
    <cellStyle name="Normal 7 3 2 3 4 2" xfId="29471" xr:uid="{00000000-0005-0000-0000-00004E730000}"/>
    <cellStyle name="Normal 7 3 2 3 5" xfId="29472" xr:uid="{00000000-0005-0000-0000-00004F730000}"/>
    <cellStyle name="Normal 7 3 2 4" xfId="29473" xr:uid="{00000000-0005-0000-0000-000050730000}"/>
    <cellStyle name="Normal 7 3 2 4 2" xfId="29474" xr:uid="{00000000-0005-0000-0000-000051730000}"/>
    <cellStyle name="Normal 7 3 2 4 2 2" xfId="29475" xr:uid="{00000000-0005-0000-0000-000052730000}"/>
    <cellStyle name="Normal 7 3 2 4 2 2 2" xfId="29476" xr:uid="{00000000-0005-0000-0000-000053730000}"/>
    <cellStyle name="Normal 7 3 2 4 2 3" xfId="29477" xr:uid="{00000000-0005-0000-0000-000054730000}"/>
    <cellStyle name="Normal 7 3 2 4 3" xfId="29478" xr:uid="{00000000-0005-0000-0000-000055730000}"/>
    <cellStyle name="Normal 7 3 2 4 3 2" xfId="29479" xr:uid="{00000000-0005-0000-0000-000056730000}"/>
    <cellStyle name="Normal 7 3 2 4 4" xfId="29480" xr:uid="{00000000-0005-0000-0000-000057730000}"/>
    <cellStyle name="Normal 7 3 2 5" xfId="29481" xr:uid="{00000000-0005-0000-0000-000058730000}"/>
    <cellStyle name="Normal 7 3 2 5 2" xfId="29482" xr:uid="{00000000-0005-0000-0000-000059730000}"/>
    <cellStyle name="Normal 7 3 2 5 2 2" xfId="29483" xr:uid="{00000000-0005-0000-0000-00005A730000}"/>
    <cellStyle name="Normal 7 3 2 5 3" xfId="29484" xr:uid="{00000000-0005-0000-0000-00005B730000}"/>
    <cellStyle name="Normal 7 3 2 6" xfId="29485" xr:uid="{00000000-0005-0000-0000-00005C730000}"/>
    <cellStyle name="Normal 7 3 2 6 2" xfId="29486" xr:uid="{00000000-0005-0000-0000-00005D730000}"/>
    <cellStyle name="Normal 7 3 2 7" xfId="29487" xr:uid="{00000000-0005-0000-0000-00005E730000}"/>
    <cellStyle name="Normal 7 3 3" xfId="29488" xr:uid="{00000000-0005-0000-0000-00005F730000}"/>
    <cellStyle name="Normal 7 3 3 2" xfId="29489" xr:uid="{00000000-0005-0000-0000-000060730000}"/>
    <cellStyle name="Normal 7 3 3 2 2" xfId="29490" xr:uid="{00000000-0005-0000-0000-000061730000}"/>
    <cellStyle name="Normal 7 3 3 2 2 2" xfId="29491" xr:uid="{00000000-0005-0000-0000-000062730000}"/>
    <cellStyle name="Normal 7 3 3 2 2 2 2" xfId="29492" xr:uid="{00000000-0005-0000-0000-000063730000}"/>
    <cellStyle name="Normal 7 3 3 2 2 2 2 2" xfId="29493" xr:uid="{00000000-0005-0000-0000-000064730000}"/>
    <cellStyle name="Normal 7 3 3 2 2 2 3" xfId="29494" xr:uid="{00000000-0005-0000-0000-000065730000}"/>
    <cellStyle name="Normal 7 3 3 2 2 3" xfId="29495" xr:uid="{00000000-0005-0000-0000-000066730000}"/>
    <cellStyle name="Normal 7 3 3 2 2 3 2" xfId="29496" xr:uid="{00000000-0005-0000-0000-000067730000}"/>
    <cellStyle name="Normal 7 3 3 2 2 4" xfId="29497" xr:uid="{00000000-0005-0000-0000-000068730000}"/>
    <cellStyle name="Normal 7 3 3 2 3" xfId="29498" xr:uid="{00000000-0005-0000-0000-000069730000}"/>
    <cellStyle name="Normal 7 3 3 2 3 2" xfId="29499" xr:uid="{00000000-0005-0000-0000-00006A730000}"/>
    <cellStyle name="Normal 7 3 3 2 3 2 2" xfId="29500" xr:uid="{00000000-0005-0000-0000-00006B730000}"/>
    <cellStyle name="Normal 7 3 3 2 3 3" xfId="29501" xr:uid="{00000000-0005-0000-0000-00006C730000}"/>
    <cellStyle name="Normal 7 3 3 2 4" xfId="29502" xr:uid="{00000000-0005-0000-0000-00006D730000}"/>
    <cellStyle name="Normal 7 3 3 2 4 2" xfId="29503" xr:uid="{00000000-0005-0000-0000-00006E730000}"/>
    <cellStyle name="Normal 7 3 3 2 5" xfId="29504" xr:uid="{00000000-0005-0000-0000-00006F730000}"/>
    <cellStyle name="Normal 7 3 3 3" xfId="29505" xr:uid="{00000000-0005-0000-0000-000070730000}"/>
    <cellStyle name="Normal 7 3 3 3 2" xfId="29506" xr:uid="{00000000-0005-0000-0000-000071730000}"/>
    <cellStyle name="Normal 7 3 3 3 2 2" xfId="29507" xr:uid="{00000000-0005-0000-0000-000072730000}"/>
    <cellStyle name="Normal 7 3 3 3 2 2 2" xfId="29508" xr:uid="{00000000-0005-0000-0000-000073730000}"/>
    <cellStyle name="Normal 7 3 3 3 2 3" xfId="29509" xr:uid="{00000000-0005-0000-0000-000074730000}"/>
    <cellStyle name="Normal 7 3 3 3 3" xfId="29510" xr:uid="{00000000-0005-0000-0000-000075730000}"/>
    <cellStyle name="Normal 7 3 3 3 3 2" xfId="29511" xr:uid="{00000000-0005-0000-0000-000076730000}"/>
    <cellStyle name="Normal 7 3 3 3 4" xfId="29512" xr:uid="{00000000-0005-0000-0000-000077730000}"/>
    <cellStyle name="Normal 7 3 3 4" xfId="29513" xr:uid="{00000000-0005-0000-0000-000078730000}"/>
    <cellStyle name="Normal 7 3 3 4 2" xfId="29514" xr:uid="{00000000-0005-0000-0000-000079730000}"/>
    <cellStyle name="Normal 7 3 3 4 2 2" xfId="29515" xr:uid="{00000000-0005-0000-0000-00007A730000}"/>
    <cellStyle name="Normal 7 3 3 4 3" xfId="29516" xr:uid="{00000000-0005-0000-0000-00007B730000}"/>
    <cellStyle name="Normal 7 3 3 5" xfId="29517" xr:uid="{00000000-0005-0000-0000-00007C730000}"/>
    <cellStyle name="Normal 7 3 3 5 2" xfId="29518" xr:uid="{00000000-0005-0000-0000-00007D730000}"/>
    <cellStyle name="Normal 7 3 3 6" xfId="29519" xr:uid="{00000000-0005-0000-0000-00007E730000}"/>
    <cellStyle name="Normal 7 3 4" xfId="29520" xr:uid="{00000000-0005-0000-0000-00007F730000}"/>
    <cellStyle name="Normal 7 3 4 2" xfId="29521" xr:uid="{00000000-0005-0000-0000-000080730000}"/>
    <cellStyle name="Normal 7 3 4 2 2" xfId="29522" xr:uid="{00000000-0005-0000-0000-000081730000}"/>
    <cellStyle name="Normal 7 3 4 2 2 2" xfId="29523" xr:uid="{00000000-0005-0000-0000-000082730000}"/>
    <cellStyle name="Normal 7 3 4 2 2 2 2" xfId="29524" xr:uid="{00000000-0005-0000-0000-000083730000}"/>
    <cellStyle name="Normal 7 3 4 2 2 3" xfId="29525" xr:uid="{00000000-0005-0000-0000-000084730000}"/>
    <cellStyle name="Normal 7 3 4 2 3" xfId="29526" xr:uid="{00000000-0005-0000-0000-000085730000}"/>
    <cellStyle name="Normal 7 3 4 2 3 2" xfId="29527" xr:uid="{00000000-0005-0000-0000-000086730000}"/>
    <cellStyle name="Normal 7 3 4 2 4" xfId="29528" xr:uid="{00000000-0005-0000-0000-000087730000}"/>
    <cellStyle name="Normal 7 3 4 3" xfId="29529" xr:uid="{00000000-0005-0000-0000-000088730000}"/>
    <cellStyle name="Normal 7 3 4 3 2" xfId="29530" xr:uid="{00000000-0005-0000-0000-000089730000}"/>
    <cellStyle name="Normal 7 3 4 3 2 2" xfId="29531" xr:uid="{00000000-0005-0000-0000-00008A730000}"/>
    <cellStyle name="Normal 7 3 4 3 3" xfId="29532" xr:uid="{00000000-0005-0000-0000-00008B730000}"/>
    <cellStyle name="Normal 7 3 4 4" xfId="29533" xr:uid="{00000000-0005-0000-0000-00008C730000}"/>
    <cellStyle name="Normal 7 3 4 4 2" xfId="29534" xr:uid="{00000000-0005-0000-0000-00008D730000}"/>
    <cellStyle name="Normal 7 3 4 5" xfId="29535" xr:uid="{00000000-0005-0000-0000-00008E730000}"/>
    <cellStyle name="Normal 7 3 5" xfId="29536" xr:uid="{00000000-0005-0000-0000-00008F730000}"/>
    <cellStyle name="Normal 7 3 5 2" xfId="29537" xr:uid="{00000000-0005-0000-0000-000090730000}"/>
    <cellStyle name="Normal 7 3 5 2 2" xfId="29538" xr:uid="{00000000-0005-0000-0000-000091730000}"/>
    <cellStyle name="Normal 7 3 5 2 2 2" xfId="29539" xr:uid="{00000000-0005-0000-0000-000092730000}"/>
    <cellStyle name="Normal 7 3 5 2 3" xfId="29540" xr:uid="{00000000-0005-0000-0000-000093730000}"/>
    <cellStyle name="Normal 7 3 5 3" xfId="29541" xr:uid="{00000000-0005-0000-0000-000094730000}"/>
    <cellStyle name="Normal 7 3 5 3 2" xfId="29542" xr:uid="{00000000-0005-0000-0000-000095730000}"/>
    <cellStyle name="Normal 7 3 5 4" xfId="29543" xr:uid="{00000000-0005-0000-0000-000096730000}"/>
    <cellStyle name="Normal 7 3 6" xfId="29544" xr:uid="{00000000-0005-0000-0000-000097730000}"/>
    <cellStyle name="Normal 7 3 6 2" xfId="29545" xr:uid="{00000000-0005-0000-0000-000098730000}"/>
    <cellStyle name="Normal 7 3 6 2 2" xfId="29546" xr:uid="{00000000-0005-0000-0000-000099730000}"/>
    <cellStyle name="Normal 7 3 6 3" xfId="29547" xr:uid="{00000000-0005-0000-0000-00009A730000}"/>
    <cellStyle name="Normal 7 3 7" xfId="29548" xr:uid="{00000000-0005-0000-0000-00009B730000}"/>
    <cellStyle name="Normal 7 3 7 2" xfId="29549" xr:uid="{00000000-0005-0000-0000-00009C730000}"/>
    <cellStyle name="Normal 7 3 8" xfId="29550" xr:uid="{00000000-0005-0000-0000-00009D730000}"/>
    <cellStyle name="Normal 7 4" xfId="29551" xr:uid="{00000000-0005-0000-0000-00009E730000}"/>
    <cellStyle name="Normal 7 4 2" xfId="29552" xr:uid="{00000000-0005-0000-0000-00009F730000}"/>
    <cellStyle name="Normal 7 4 2 2" xfId="29553" xr:uid="{00000000-0005-0000-0000-0000A0730000}"/>
    <cellStyle name="Normal 7 4 2 2 2" xfId="29554" xr:uid="{00000000-0005-0000-0000-0000A1730000}"/>
    <cellStyle name="Normal 7 4 2 2 2 2" xfId="29555" xr:uid="{00000000-0005-0000-0000-0000A2730000}"/>
    <cellStyle name="Normal 7 4 2 2 2 2 2" xfId="29556" xr:uid="{00000000-0005-0000-0000-0000A3730000}"/>
    <cellStyle name="Normal 7 4 2 2 2 2 2 2" xfId="29557" xr:uid="{00000000-0005-0000-0000-0000A4730000}"/>
    <cellStyle name="Normal 7 4 2 2 2 2 3" xfId="29558" xr:uid="{00000000-0005-0000-0000-0000A5730000}"/>
    <cellStyle name="Normal 7 4 2 2 2 3" xfId="29559" xr:uid="{00000000-0005-0000-0000-0000A6730000}"/>
    <cellStyle name="Normal 7 4 2 2 2 3 2" xfId="29560" xr:uid="{00000000-0005-0000-0000-0000A7730000}"/>
    <cellStyle name="Normal 7 4 2 2 2 4" xfId="29561" xr:uid="{00000000-0005-0000-0000-0000A8730000}"/>
    <cellStyle name="Normal 7 4 2 2 3" xfId="29562" xr:uid="{00000000-0005-0000-0000-0000A9730000}"/>
    <cellStyle name="Normal 7 4 2 2 3 2" xfId="29563" xr:uid="{00000000-0005-0000-0000-0000AA730000}"/>
    <cellStyle name="Normal 7 4 2 2 3 2 2" xfId="29564" xr:uid="{00000000-0005-0000-0000-0000AB730000}"/>
    <cellStyle name="Normal 7 4 2 2 3 3" xfId="29565" xr:uid="{00000000-0005-0000-0000-0000AC730000}"/>
    <cellStyle name="Normal 7 4 2 2 4" xfId="29566" xr:uid="{00000000-0005-0000-0000-0000AD730000}"/>
    <cellStyle name="Normal 7 4 2 2 4 2" xfId="29567" xr:uid="{00000000-0005-0000-0000-0000AE730000}"/>
    <cellStyle name="Normal 7 4 2 2 5" xfId="29568" xr:uid="{00000000-0005-0000-0000-0000AF730000}"/>
    <cellStyle name="Normal 7 4 2 3" xfId="29569" xr:uid="{00000000-0005-0000-0000-0000B0730000}"/>
    <cellStyle name="Normal 7 4 2 3 2" xfId="29570" xr:uid="{00000000-0005-0000-0000-0000B1730000}"/>
    <cellStyle name="Normal 7 4 2 3 2 2" xfId="29571" xr:uid="{00000000-0005-0000-0000-0000B2730000}"/>
    <cellStyle name="Normal 7 4 2 3 2 2 2" xfId="29572" xr:uid="{00000000-0005-0000-0000-0000B3730000}"/>
    <cellStyle name="Normal 7 4 2 3 2 3" xfId="29573" xr:uid="{00000000-0005-0000-0000-0000B4730000}"/>
    <cellStyle name="Normal 7 4 2 3 3" xfId="29574" xr:uid="{00000000-0005-0000-0000-0000B5730000}"/>
    <cellStyle name="Normal 7 4 2 3 3 2" xfId="29575" xr:uid="{00000000-0005-0000-0000-0000B6730000}"/>
    <cellStyle name="Normal 7 4 2 3 4" xfId="29576" xr:uid="{00000000-0005-0000-0000-0000B7730000}"/>
    <cellStyle name="Normal 7 4 2 4" xfId="29577" xr:uid="{00000000-0005-0000-0000-0000B8730000}"/>
    <cellStyle name="Normal 7 4 2 4 2" xfId="29578" xr:uid="{00000000-0005-0000-0000-0000B9730000}"/>
    <cellStyle name="Normal 7 4 2 4 2 2" xfId="29579" xr:uid="{00000000-0005-0000-0000-0000BA730000}"/>
    <cellStyle name="Normal 7 4 2 4 3" xfId="29580" xr:uid="{00000000-0005-0000-0000-0000BB730000}"/>
    <cellStyle name="Normal 7 4 2 5" xfId="29581" xr:uid="{00000000-0005-0000-0000-0000BC730000}"/>
    <cellStyle name="Normal 7 4 2 5 2" xfId="29582" xr:uid="{00000000-0005-0000-0000-0000BD730000}"/>
    <cellStyle name="Normal 7 4 2 6" xfId="29583" xr:uid="{00000000-0005-0000-0000-0000BE730000}"/>
    <cellStyle name="Normal 7 4 3" xfId="29584" xr:uid="{00000000-0005-0000-0000-0000BF730000}"/>
    <cellStyle name="Normal 7 4 3 2" xfId="29585" xr:uid="{00000000-0005-0000-0000-0000C0730000}"/>
    <cellStyle name="Normal 7 4 3 2 2" xfId="29586" xr:uid="{00000000-0005-0000-0000-0000C1730000}"/>
    <cellStyle name="Normal 7 4 3 2 2 2" xfId="29587" xr:uid="{00000000-0005-0000-0000-0000C2730000}"/>
    <cellStyle name="Normal 7 4 3 2 2 2 2" xfId="29588" xr:uid="{00000000-0005-0000-0000-0000C3730000}"/>
    <cellStyle name="Normal 7 4 3 2 2 3" xfId="29589" xr:uid="{00000000-0005-0000-0000-0000C4730000}"/>
    <cellStyle name="Normal 7 4 3 2 3" xfId="29590" xr:uid="{00000000-0005-0000-0000-0000C5730000}"/>
    <cellStyle name="Normal 7 4 3 2 3 2" xfId="29591" xr:uid="{00000000-0005-0000-0000-0000C6730000}"/>
    <cellStyle name="Normal 7 4 3 2 4" xfId="29592" xr:uid="{00000000-0005-0000-0000-0000C7730000}"/>
    <cellStyle name="Normal 7 4 3 3" xfId="29593" xr:uid="{00000000-0005-0000-0000-0000C8730000}"/>
    <cellStyle name="Normal 7 4 3 3 2" xfId="29594" xr:uid="{00000000-0005-0000-0000-0000C9730000}"/>
    <cellStyle name="Normal 7 4 3 3 2 2" xfId="29595" xr:uid="{00000000-0005-0000-0000-0000CA730000}"/>
    <cellStyle name="Normal 7 4 3 3 3" xfId="29596" xr:uid="{00000000-0005-0000-0000-0000CB730000}"/>
    <cellStyle name="Normal 7 4 3 4" xfId="29597" xr:uid="{00000000-0005-0000-0000-0000CC730000}"/>
    <cellStyle name="Normal 7 4 3 4 2" xfId="29598" xr:uid="{00000000-0005-0000-0000-0000CD730000}"/>
    <cellStyle name="Normal 7 4 3 5" xfId="29599" xr:uid="{00000000-0005-0000-0000-0000CE730000}"/>
    <cellStyle name="Normal 7 4 4" xfId="29600" xr:uid="{00000000-0005-0000-0000-0000CF730000}"/>
    <cellStyle name="Normal 7 4 4 2" xfId="29601" xr:uid="{00000000-0005-0000-0000-0000D0730000}"/>
    <cellStyle name="Normal 7 4 4 2 2" xfId="29602" xr:uid="{00000000-0005-0000-0000-0000D1730000}"/>
    <cellStyle name="Normal 7 4 4 2 2 2" xfId="29603" xr:uid="{00000000-0005-0000-0000-0000D2730000}"/>
    <cellStyle name="Normal 7 4 4 2 3" xfId="29604" xr:uid="{00000000-0005-0000-0000-0000D3730000}"/>
    <cellStyle name="Normal 7 4 4 3" xfId="29605" xr:uid="{00000000-0005-0000-0000-0000D4730000}"/>
    <cellStyle name="Normal 7 4 4 3 2" xfId="29606" xr:uid="{00000000-0005-0000-0000-0000D5730000}"/>
    <cellStyle name="Normal 7 4 4 4" xfId="29607" xr:uid="{00000000-0005-0000-0000-0000D6730000}"/>
    <cellStyle name="Normal 7 4 5" xfId="29608" xr:uid="{00000000-0005-0000-0000-0000D7730000}"/>
    <cellStyle name="Normal 7 4 5 2" xfId="29609" xr:uid="{00000000-0005-0000-0000-0000D8730000}"/>
    <cellStyle name="Normal 7 4 5 2 2" xfId="29610" xr:uid="{00000000-0005-0000-0000-0000D9730000}"/>
    <cellStyle name="Normal 7 4 5 3" xfId="29611" xr:uid="{00000000-0005-0000-0000-0000DA730000}"/>
    <cellStyle name="Normal 7 4 6" xfId="29612" xr:uid="{00000000-0005-0000-0000-0000DB730000}"/>
    <cellStyle name="Normal 7 4 6 2" xfId="29613" xr:uid="{00000000-0005-0000-0000-0000DC730000}"/>
    <cellStyle name="Normal 7 4 7" xfId="29614" xr:uid="{00000000-0005-0000-0000-0000DD730000}"/>
    <cellStyle name="Normal 7 5" xfId="29615" xr:uid="{00000000-0005-0000-0000-0000DE730000}"/>
    <cellStyle name="Normal 7 5 2" xfId="29616" xr:uid="{00000000-0005-0000-0000-0000DF730000}"/>
    <cellStyle name="Normal 7 5 2 2" xfId="29617" xr:uid="{00000000-0005-0000-0000-0000E0730000}"/>
    <cellStyle name="Normal 7 5 2 2 2" xfId="29618" xr:uid="{00000000-0005-0000-0000-0000E1730000}"/>
    <cellStyle name="Normal 7 5 2 2 2 2" xfId="29619" xr:uid="{00000000-0005-0000-0000-0000E2730000}"/>
    <cellStyle name="Normal 7 5 2 2 2 2 2" xfId="29620" xr:uid="{00000000-0005-0000-0000-0000E3730000}"/>
    <cellStyle name="Normal 7 5 2 2 2 3" xfId="29621" xr:uid="{00000000-0005-0000-0000-0000E4730000}"/>
    <cellStyle name="Normal 7 5 2 2 3" xfId="29622" xr:uid="{00000000-0005-0000-0000-0000E5730000}"/>
    <cellStyle name="Normal 7 5 2 2 3 2" xfId="29623" xr:uid="{00000000-0005-0000-0000-0000E6730000}"/>
    <cellStyle name="Normal 7 5 2 2 4" xfId="29624" xr:uid="{00000000-0005-0000-0000-0000E7730000}"/>
    <cellStyle name="Normal 7 5 2 3" xfId="29625" xr:uid="{00000000-0005-0000-0000-0000E8730000}"/>
    <cellStyle name="Normal 7 5 2 3 2" xfId="29626" xr:uid="{00000000-0005-0000-0000-0000E9730000}"/>
    <cellStyle name="Normal 7 5 2 3 2 2" xfId="29627" xr:uid="{00000000-0005-0000-0000-0000EA730000}"/>
    <cellStyle name="Normal 7 5 2 3 3" xfId="29628" xr:uid="{00000000-0005-0000-0000-0000EB730000}"/>
    <cellStyle name="Normal 7 5 2 4" xfId="29629" xr:uid="{00000000-0005-0000-0000-0000EC730000}"/>
    <cellStyle name="Normal 7 5 2 4 2" xfId="29630" xr:uid="{00000000-0005-0000-0000-0000ED730000}"/>
    <cellStyle name="Normal 7 5 2 5" xfId="29631" xr:uid="{00000000-0005-0000-0000-0000EE730000}"/>
    <cellStyle name="Normal 7 5 3" xfId="29632" xr:uid="{00000000-0005-0000-0000-0000EF730000}"/>
    <cellStyle name="Normal 7 5 3 2" xfId="29633" xr:uid="{00000000-0005-0000-0000-0000F0730000}"/>
    <cellStyle name="Normal 7 5 3 2 2" xfId="29634" xr:uid="{00000000-0005-0000-0000-0000F1730000}"/>
    <cellStyle name="Normal 7 5 3 2 2 2" xfId="29635" xr:uid="{00000000-0005-0000-0000-0000F2730000}"/>
    <cellStyle name="Normal 7 5 3 2 3" xfId="29636" xr:uid="{00000000-0005-0000-0000-0000F3730000}"/>
    <cellStyle name="Normal 7 5 3 3" xfId="29637" xr:uid="{00000000-0005-0000-0000-0000F4730000}"/>
    <cellStyle name="Normal 7 5 3 3 2" xfId="29638" xr:uid="{00000000-0005-0000-0000-0000F5730000}"/>
    <cellStyle name="Normal 7 5 3 4" xfId="29639" xr:uid="{00000000-0005-0000-0000-0000F6730000}"/>
    <cellStyle name="Normal 7 5 4" xfId="29640" xr:uid="{00000000-0005-0000-0000-0000F7730000}"/>
    <cellStyle name="Normal 7 5 4 2" xfId="29641" xr:uid="{00000000-0005-0000-0000-0000F8730000}"/>
    <cellStyle name="Normal 7 5 4 2 2" xfId="29642" xr:uid="{00000000-0005-0000-0000-0000F9730000}"/>
    <cellStyle name="Normal 7 5 4 3" xfId="29643" xr:uid="{00000000-0005-0000-0000-0000FA730000}"/>
    <cellStyle name="Normal 7 5 5" xfId="29644" xr:uid="{00000000-0005-0000-0000-0000FB730000}"/>
    <cellStyle name="Normal 7 5 5 2" xfId="29645" xr:uid="{00000000-0005-0000-0000-0000FC730000}"/>
    <cellStyle name="Normal 7 5 6" xfId="29646" xr:uid="{00000000-0005-0000-0000-0000FD730000}"/>
    <cellStyle name="Normal 7 6" xfId="29647" xr:uid="{00000000-0005-0000-0000-0000FE730000}"/>
    <cellStyle name="Normal 7 6 2" xfId="29648" xr:uid="{00000000-0005-0000-0000-0000FF730000}"/>
    <cellStyle name="Normal 7 6 2 2" xfId="29649" xr:uid="{00000000-0005-0000-0000-000000740000}"/>
    <cellStyle name="Normal 7 6 2 2 2" xfId="29650" xr:uid="{00000000-0005-0000-0000-000001740000}"/>
    <cellStyle name="Normal 7 6 2 2 2 2" xfId="29651" xr:uid="{00000000-0005-0000-0000-000002740000}"/>
    <cellStyle name="Normal 7 6 2 2 3" xfId="29652" xr:uid="{00000000-0005-0000-0000-000003740000}"/>
    <cellStyle name="Normal 7 6 2 3" xfId="29653" xr:uid="{00000000-0005-0000-0000-000004740000}"/>
    <cellStyle name="Normal 7 6 2 3 2" xfId="29654" xr:uid="{00000000-0005-0000-0000-000005740000}"/>
    <cellStyle name="Normal 7 6 2 4" xfId="29655" xr:uid="{00000000-0005-0000-0000-000006740000}"/>
    <cellStyle name="Normal 7 6 3" xfId="29656" xr:uid="{00000000-0005-0000-0000-000007740000}"/>
    <cellStyle name="Normal 7 6 3 2" xfId="29657" xr:uid="{00000000-0005-0000-0000-000008740000}"/>
    <cellStyle name="Normal 7 6 3 2 2" xfId="29658" xr:uid="{00000000-0005-0000-0000-000009740000}"/>
    <cellStyle name="Normal 7 6 3 3" xfId="29659" xr:uid="{00000000-0005-0000-0000-00000A740000}"/>
    <cellStyle name="Normal 7 6 4" xfId="29660" xr:uid="{00000000-0005-0000-0000-00000B740000}"/>
    <cellStyle name="Normal 7 6 4 2" xfId="29661" xr:uid="{00000000-0005-0000-0000-00000C740000}"/>
    <cellStyle name="Normal 7 6 5" xfId="29662" xr:uid="{00000000-0005-0000-0000-00000D740000}"/>
    <cellStyle name="Normal 7 7" xfId="29663" xr:uid="{00000000-0005-0000-0000-00000E740000}"/>
    <cellStyle name="Normal 7 7 2" xfId="29664" xr:uid="{00000000-0005-0000-0000-00000F740000}"/>
    <cellStyle name="Normal 7 7 2 2" xfId="29665" xr:uid="{00000000-0005-0000-0000-000010740000}"/>
    <cellStyle name="Normal 7 7 2 2 2" xfId="29666" xr:uid="{00000000-0005-0000-0000-000011740000}"/>
    <cellStyle name="Normal 7 7 2 3" xfId="29667" xr:uid="{00000000-0005-0000-0000-000012740000}"/>
    <cellStyle name="Normal 7 7 3" xfId="29668" xr:uid="{00000000-0005-0000-0000-000013740000}"/>
    <cellStyle name="Normal 7 7 3 2" xfId="29669" xr:uid="{00000000-0005-0000-0000-000014740000}"/>
    <cellStyle name="Normal 7 7 4" xfId="29670" xr:uid="{00000000-0005-0000-0000-000015740000}"/>
    <cellStyle name="Normal 7 8" xfId="29671" xr:uid="{00000000-0005-0000-0000-000016740000}"/>
    <cellStyle name="Normal 7 8 2" xfId="29672" xr:uid="{00000000-0005-0000-0000-000017740000}"/>
    <cellStyle name="Normal 7 8 2 2" xfId="29673" xr:uid="{00000000-0005-0000-0000-000018740000}"/>
    <cellStyle name="Normal 7 8 3" xfId="29674" xr:uid="{00000000-0005-0000-0000-000019740000}"/>
    <cellStyle name="Normal 7 9" xfId="29675" xr:uid="{00000000-0005-0000-0000-00001A740000}"/>
    <cellStyle name="Normal 7 9 2" xfId="29676" xr:uid="{00000000-0005-0000-0000-00001B740000}"/>
    <cellStyle name="Normal 8" xfId="29677" xr:uid="{00000000-0005-0000-0000-00001C740000}"/>
    <cellStyle name="Normal 8 2" xfId="29678" xr:uid="{00000000-0005-0000-0000-00001D740000}"/>
    <cellStyle name="Normal 9" xfId="29679" xr:uid="{00000000-0005-0000-0000-00001E740000}"/>
    <cellStyle name="Normal 9 10" xfId="29680" xr:uid="{00000000-0005-0000-0000-00001F740000}"/>
    <cellStyle name="Normal 9 2" xfId="29681" xr:uid="{00000000-0005-0000-0000-000020740000}"/>
    <cellStyle name="Normal 9 2 2" xfId="29682" xr:uid="{00000000-0005-0000-0000-000021740000}"/>
    <cellStyle name="Normal 9 2 2 2" xfId="29683" xr:uid="{00000000-0005-0000-0000-000022740000}"/>
    <cellStyle name="Normal 9 2 2 2 2" xfId="29684" xr:uid="{00000000-0005-0000-0000-000023740000}"/>
    <cellStyle name="Normal 9 2 2 2 2 2" xfId="29685" xr:uid="{00000000-0005-0000-0000-000024740000}"/>
    <cellStyle name="Normal 9 2 2 2 2 2 2" xfId="29686" xr:uid="{00000000-0005-0000-0000-000025740000}"/>
    <cellStyle name="Normal 9 2 2 2 2 2 2 2" xfId="29687" xr:uid="{00000000-0005-0000-0000-000026740000}"/>
    <cellStyle name="Normal 9 2 2 2 2 2 2 2 2" xfId="29688" xr:uid="{00000000-0005-0000-0000-000027740000}"/>
    <cellStyle name="Normal 9 2 2 2 2 2 2 3" xfId="29689" xr:uid="{00000000-0005-0000-0000-000028740000}"/>
    <cellStyle name="Normal 9 2 2 2 2 2 3" xfId="29690" xr:uid="{00000000-0005-0000-0000-000029740000}"/>
    <cellStyle name="Normal 9 2 2 2 2 2 3 2" xfId="29691" xr:uid="{00000000-0005-0000-0000-00002A740000}"/>
    <cellStyle name="Normal 9 2 2 2 2 2 4" xfId="29692" xr:uid="{00000000-0005-0000-0000-00002B740000}"/>
    <cellStyle name="Normal 9 2 2 2 2 3" xfId="29693" xr:uid="{00000000-0005-0000-0000-00002C740000}"/>
    <cellStyle name="Normal 9 2 2 2 2 3 2" xfId="29694" xr:uid="{00000000-0005-0000-0000-00002D740000}"/>
    <cellStyle name="Normal 9 2 2 2 2 3 2 2" xfId="29695" xr:uid="{00000000-0005-0000-0000-00002E740000}"/>
    <cellStyle name="Normal 9 2 2 2 2 3 3" xfId="29696" xr:uid="{00000000-0005-0000-0000-00002F740000}"/>
    <cellStyle name="Normal 9 2 2 2 2 4" xfId="29697" xr:uid="{00000000-0005-0000-0000-000030740000}"/>
    <cellStyle name="Normal 9 2 2 2 2 4 2" xfId="29698" xr:uid="{00000000-0005-0000-0000-000031740000}"/>
    <cellStyle name="Normal 9 2 2 2 2 5" xfId="29699" xr:uid="{00000000-0005-0000-0000-000032740000}"/>
    <cellStyle name="Normal 9 2 2 2 3" xfId="29700" xr:uid="{00000000-0005-0000-0000-000033740000}"/>
    <cellStyle name="Normal 9 2 2 2 3 2" xfId="29701" xr:uid="{00000000-0005-0000-0000-000034740000}"/>
    <cellStyle name="Normal 9 2 2 2 3 2 2" xfId="29702" xr:uid="{00000000-0005-0000-0000-000035740000}"/>
    <cellStyle name="Normal 9 2 2 2 3 2 2 2" xfId="29703" xr:uid="{00000000-0005-0000-0000-000036740000}"/>
    <cellStyle name="Normal 9 2 2 2 3 2 3" xfId="29704" xr:uid="{00000000-0005-0000-0000-000037740000}"/>
    <cellStyle name="Normal 9 2 2 2 3 3" xfId="29705" xr:uid="{00000000-0005-0000-0000-000038740000}"/>
    <cellStyle name="Normal 9 2 2 2 3 3 2" xfId="29706" xr:uid="{00000000-0005-0000-0000-000039740000}"/>
    <cellStyle name="Normal 9 2 2 2 3 4" xfId="29707" xr:uid="{00000000-0005-0000-0000-00003A740000}"/>
    <cellStyle name="Normal 9 2 2 2 4" xfId="29708" xr:uid="{00000000-0005-0000-0000-00003B740000}"/>
    <cellStyle name="Normal 9 2 2 2 4 2" xfId="29709" xr:uid="{00000000-0005-0000-0000-00003C740000}"/>
    <cellStyle name="Normal 9 2 2 2 4 2 2" xfId="29710" xr:uid="{00000000-0005-0000-0000-00003D740000}"/>
    <cellStyle name="Normal 9 2 2 2 4 3" xfId="29711" xr:uid="{00000000-0005-0000-0000-00003E740000}"/>
    <cellStyle name="Normal 9 2 2 2 5" xfId="29712" xr:uid="{00000000-0005-0000-0000-00003F740000}"/>
    <cellStyle name="Normal 9 2 2 2 5 2" xfId="29713" xr:uid="{00000000-0005-0000-0000-000040740000}"/>
    <cellStyle name="Normal 9 2 2 2 6" xfId="29714" xr:uid="{00000000-0005-0000-0000-000041740000}"/>
    <cellStyle name="Normal 9 2 2 3" xfId="29715" xr:uid="{00000000-0005-0000-0000-000042740000}"/>
    <cellStyle name="Normal 9 2 2 3 2" xfId="29716" xr:uid="{00000000-0005-0000-0000-000043740000}"/>
    <cellStyle name="Normal 9 2 2 3 2 2" xfId="29717" xr:uid="{00000000-0005-0000-0000-000044740000}"/>
    <cellStyle name="Normal 9 2 2 3 2 2 2" xfId="29718" xr:uid="{00000000-0005-0000-0000-000045740000}"/>
    <cellStyle name="Normal 9 2 2 3 2 2 2 2" xfId="29719" xr:uid="{00000000-0005-0000-0000-000046740000}"/>
    <cellStyle name="Normal 9 2 2 3 2 2 3" xfId="29720" xr:uid="{00000000-0005-0000-0000-000047740000}"/>
    <cellStyle name="Normal 9 2 2 3 2 3" xfId="29721" xr:uid="{00000000-0005-0000-0000-000048740000}"/>
    <cellStyle name="Normal 9 2 2 3 2 3 2" xfId="29722" xr:uid="{00000000-0005-0000-0000-000049740000}"/>
    <cellStyle name="Normal 9 2 2 3 2 4" xfId="29723" xr:uid="{00000000-0005-0000-0000-00004A740000}"/>
    <cellStyle name="Normal 9 2 2 3 3" xfId="29724" xr:uid="{00000000-0005-0000-0000-00004B740000}"/>
    <cellStyle name="Normal 9 2 2 3 3 2" xfId="29725" xr:uid="{00000000-0005-0000-0000-00004C740000}"/>
    <cellStyle name="Normal 9 2 2 3 3 2 2" xfId="29726" xr:uid="{00000000-0005-0000-0000-00004D740000}"/>
    <cellStyle name="Normal 9 2 2 3 3 3" xfId="29727" xr:uid="{00000000-0005-0000-0000-00004E740000}"/>
    <cellStyle name="Normal 9 2 2 3 4" xfId="29728" xr:uid="{00000000-0005-0000-0000-00004F740000}"/>
    <cellStyle name="Normal 9 2 2 3 4 2" xfId="29729" xr:uid="{00000000-0005-0000-0000-000050740000}"/>
    <cellStyle name="Normal 9 2 2 3 5" xfId="29730" xr:uid="{00000000-0005-0000-0000-000051740000}"/>
    <cellStyle name="Normal 9 2 2 4" xfId="29731" xr:uid="{00000000-0005-0000-0000-000052740000}"/>
    <cellStyle name="Normal 9 2 2 4 2" xfId="29732" xr:uid="{00000000-0005-0000-0000-000053740000}"/>
    <cellStyle name="Normal 9 2 2 4 2 2" xfId="29733" xr:uid="{00000000-0005-0000-0000-000054740000}"/>
    <cellStyle name="Normal 9 2 2 4 2 2 2" xfId="29734" xr:uid="{00000000-0005-0000-0000-000055740000}"/>
    <cellStyle name="Normal 9 2 2 4 2 3" xfId="29735" xr:uid="{00000000-0005-0000-0000-000056740000}"/>
    <cellStyle name="Normal 9 2 2 4 3" xfId="29736" xr:uid="{00000000-0005-0000-0000-000057740000}"/>
    <cellStyle name="Normal 9 2 2 4 3 2" xfId="29737" xr:uid="{00000000-0005-0000-0000-000058740000}"/>
    <cellStyle name="Normal 9 2 2 4 4" xfId="29738" xr:uid="{00000000-0005-0000-0000-000059740000}"/>
    <cellStyle name="Normal 9 2 2 5" xfId="29739" xr:uid="{00000000-0005-0000-0000-00005A740000}"/>
    <cellStyle name="Normal 9 2 2 5 2" xfId="29740" xr:uid="{00000000-0005-0000-0000-00005B740000}"/>
    <cellStyle name="Normal 9 2 2 5 2 2" xfId="29741" xr:uid="{00000000-0005-0000-0000-00005C740000}"/>
    <cellStyle name="Normal 9 2 2 5 3" xfId="29742" xr:uid="{00000000-0005-0000-0000-00005D740000}"/>
    <cellStyle name="Normal 9 2 2 6" xfId="29743" xr:uid="{00000000-0005-0000-0000-00005E740000}"/>
    <cellStyle name="Normal 9 2 2 6 2" xfId="29744" xr:uid="{00000000-0005-0000-0000-00005F740000}"/>
    <cellStyle name="Normal 9 2 2 7" xfId="29745" xr:uid="{00000000-0005-0000-0000-000060740000}"/>
    <cellStyle name="Normal 9 2 3" xfId="29746" xr:uid="{00000000-0005-0000-0000-000061740000}"/>
    <cellStyle name="Normal 9 2 3 2" xfId="29747" xr:uid="{00000000-0005-0000-0000-000062740000}"/>
    <cellStyle name="Normal 9 2 3 2 2" xfId="29748" xr:uid="{00000000-0005-0000-0000-000063740000}"/>
    <cellStyle name="Normal 9 2 3 2 2 2" xfId="29749" xr:uid="{00000000-0005-0000-0000-000064740000}"/>
    <cellStyle name="Normal 9 2 3 2 2 2 2" xfId="29750" xr:uid="{00000000-0005-0000-0000-000065740000}"/>
    <cellStyle name="Normal 9 2 3 2 2 2 2 2" xfId="29751" xr:uid="{00000000-0005-0000-0000-000066740000}"/>
    <cellStyle name="Normal 9 2 3 2 2 2 3" xfId="29752" xr:uid="{00000000-0005-0000-0000-000067740000}"/>
    <cellStyle name="Normal 9 2 3 2 2 3" xfId="29753" xr:uid="{00000000-0005-0000-0000-000068740000}"/>
    <cellStyle name="Normal 9 2 3 2 2 3 2" xfId="29754" xr:uid="{00000000-0005-0000-0000-000069740000}"/>
    <cellStyle name="Normal 9 2 3 2 2 4" xfId="29755" xr:uid="{00000000-0005-0000-0000-00006A740000}"/>
    <cellStyle name="Normal 9 2 3 2 3" xfId="29756" xr:uid="{00000000-0005-0000-0000-00006B740000}"/>
    <cellStyle name="Normal 9 2 3 2 3 2" xfId="29757" xr:uid="{00000000-0005-0000-0000-00006C740000}"/>
    <cellStyle name="Normal 9 2 3 2 3 2 2" xfId="29758" xr:uid="{00000000-0005-0000-0000-00006D740000}"/>
    <cellStyle name="Normal 9 2 3 2 3 3" xfId="29759" xr:uid="{00000000-0005-0000-0000-00006E740000}"/>
    <cellStyle name="Normal 9 2 3 2 4" xfId="29760" xr:uid="{00000000-0005-0000-0000-00006F740000}"/>
    <cellStyle name="Normal 9 2 3 2 4 2" xfId="29761" xr:uid="{00000000-0005-0000-0000-000070740000}"/>
    <cellStyle name="Normal 9 2 3 2 5" xfId="29762" xr:uid="{00000000-0005-0000-0000-000071740000}"/>
    <cellStyle name="Normal 9 2 3 3" xfId="29763" xr:uid="{00000000-0005-0000-0000-000072740000}"/>
    <cellStyle name="Normal 9 2 3 3 2" xfId="29764" xr:uid="{00000000-0005-0000-0000-000073740000}"/>
    <cellStyle name="Normal 9 2 3 3 2 2" xfId="29765" xr:uid="{00000000-0005-0000-0000-000074740000}"/>
    <cellStyle name="Normal 9 2 3 3 2 2 2" xfId="29766" xr:uid="{00000000-0005-0000-0000-000075740000}"/>
    <cellStyle name="Normal 9 2 3 3 2 3" xfId="29767" xr:uid="{00000000-0005-0000-0000-000076740000}"/>
    <cellStyle name="Normal 9 2 3 3 3" xfId="29768" xr:uid="{00000000-0005-0000-0000-000077740000}"/>
    <cellStyle name="Normal 9 2 3 3 3 2" xfId="29769" xr:uid="{00000000-0005-0000-0000-000078740000}"/>
    <cellStyle name="Normal 9 2 3 3 4" xfId="29770" xr:uid="{00000000-0005-0000-0000-000079740000}"/>
    <cellStyle name="Normal 9 2 3 4" xfId="29771" xr:uid="{00000000-0005-0000-0000-00007A740000}"/>
    <cellStyle name="Normal 9 2 3 4 2" xfId="29772" xr:uid="{00000000-0005-0000-0000-00007B740000}"/>
    <cellStyle name="Normal 9 2 3 4 2 2" xfId="29773" xr:uid="{00000000-0005-0000-0000-00007C740000}"/>
    <cellStyle name="Normal 9 2 3 4 3" xfId="29774" xr:uid="{00000000-0005-0000-0000-00007D740000}"/>
    <cellStyle name="Normal 9 2 3 5" xfId="29775" xr:uid="{00000000-0005-0000-0000-00007E740000}"/>
    <cellStyle name="Normal 9 2 3 5 2" xfId="29776" xr:uid="{00000000-0005-0000-0000-00007F740000}"/>
    <cellStyle name="Normal 9 2 3 6" xfId="29777" xr:uid="{00000000-0005-0000-0000-000080740000}"/>
    <cellStyle name="Normal 9 2 4" xfId="29778" xr:uid="{00000000-0005-0000-0000-000081740000}"/>
    <cellStyle name="Normal 9 2 4 2" xfId="29779" xr:uid="{00000000-0005-0000-0000-000082740000}"/>
    <cellStyle name="Normal 9 2 4 2 2" xfId="29780" xr:uid="{00000000-0005-0000-0000-000083740000}"/>
    <cellStyle name="Normal 9 2 4 2 2 2" xfId="29781" xr:uid="{00000000-0005-0000-0000-000084740000}"/>
    <cellStyle name="Normal 9 2 4 2 2 2 2" xfId="29782" xr:uid="{00000000-0005-0000-0000-000085740000}"/>
    <cellStyle name="Normal 9 2 4 2 2 3" xfId="29783" xr:uid="{00000000-0005-0000-0000-000086740000}"/>
    <cellStyle name="Normal 9 2 4 2 3" xfId="29784" xr:uid="{00000000-0005-0000-0000-000087740000}"/>
    <cellStyle name="Normal 9 2 4 2 3 2" xfId="29785" xr:uid="{00000000-0005-0000-0000-000088740000}"/>
    <cellStyle name="Normal 9 2 4 2 4" xfId="29786" xr:uid="{00000000-0005-0000-0000-000089740000}"/>
    <cellStyle name="Normal 9 2 4 3" xfId="29787" xr:uid="{00000000-0005-0000-0000-00008A740000}"/>
    <cellStyle name="Normal 9 2 4 3 2" xfId="29788" xr:uid="{00000000-0005-0000-0000-00008B740000}"/>
    <cellStyle name="Normal 9 2 4 3 2 2" xfId="29789" xr:uid="{00000000-0005-0000-0000-00008C740000}"/>
    <cellStyle name="Normal 9 2 4 3 3" xfId="29790" xr:uid="{00000000-0005-0000-0000-00008D740000}"/>
    <cellStyle name="Normal 9 2 4 4" xfId="29791" xr:uid="{00000000-0005-0000-0000-00008E740000}"/>
    <cellStyle name="Normal 9 2 4 4 2" xfId="29792" xr:uid="{00000000-0005-0000-0000-00008F740000}"/>
    <cellStyle name="Normal 9 2 4 5" xfId="29793" xr:uid="{00000000-0005-0000-0000-000090740000}"/>
    <cellStyle name="Normal 9 2 5" xfId="29794" xr:uid="{00000000-0005-0000-0000-000091740000}"/>
    <cellStyle name="Normal 9 2 5 2" xfId="29795" xr:uid="{00000000-0005-0000-0000-000092740000}"/>
    <cellStyle name="Normal 9 2 5 2 2" xfId="29796" xr:uid="{00000000-0005-0000-0000-000093740000}"/>
    <cellStyle name="Normal 9 2 5 2 2 2" xfId="29797" xr:uid="{00000000-0005-0000-0000-000094740000}"/>
    <cellStyle name="Normal 9 2 5 2 3" xfId="29798" xr:uid="{00000000-0005-0000-0000-000095740000}"/>
    <cellStyle name="Normal 9 2 5 3" xfId="29799" xr:uid="{00000000-0005-0000-0000-000096740000}"/>
    <cellStyle name="Normal 9 2 5 3 2" xfId="29800" xr:uid="{00000000-0005-0000-0000-000097740000}"/>
    <cellStyle name="Normal 9 2 5 4" xfId="29801" xr:uid="{00000000-0005-0000-0000-000098740000}"/>
    <cellStyle name="Normal 9 2 6" xfId="29802" xr:uid="{00000000-0005-0000-0000-000099740000}"/>
    <cellStyle name="Normal 9 2 6 2" xfId="29803" xr:uid="{00000000-0005-0000-0000-00009A740000}"/>
    <cellStyle name="Normal 9 2 6 2 2" xfId="29804" xr:uid="{00000000-0005-0000-0000-00009B740000}"/>
    <cellStyle name="Normal 9 2 6 3" xfId="29805" xr:uid="{00000000-0005-0000-0000-00009C740000}"/>
    <cellStyle name="Normal 9 2 7" xfId="29806" xr:uid="{00000000-0005-0000-0000-00009D740000}"/>
    <cellStyle name="Normal 9 2 7 2" xfId="29807" xr:uid="{00000000-0005-0000-0000-00009E740000}"/>
    <cellStyle name="Normal 9 2 8" xfId="29808" xr:uid="{00000000-0005-0000-0000-00009F740000}"/>
    <cellStyle name="Normal 9 3" xfId="29809" xr:uid="{00000000-0005-0000-0000-0000A0740000}"/>
    <cellStyle name="Normal 9 3 2" xfId="29810" xr:uid="{00000000-0005-0000-0000-0000A1740000}"/>
    <cellStyle name="Normal 9 3 2 2" xfId="29811" xr:uid="{00000000-0005-0000-0000-0000A2740000}"/>
    <cellStyle name="Normal 9 3 2 2 2" xfId="29812" xr:uid="{00000000-0005-0000-0000-0000A3740000}"/>
    <cellStyle name="Normal 9 3 2 2 2 2" xfId="29813" xr:uid="{00000000-0005-0000-0000-0000A4740000}"/>
    <cellStyle name="Normal 9 3 2 2 2 2 2" xfId="29814" xr:uid="{00000000-0005-0000-0000-0000A5740000}"/>
    <cellStyle name="Normal 9 3 2 2 2 2 2 2" xfId="29815" xr:uid="{00000000-0005-0000-0000-0000A6740000}"/>
    <cellStyle name="Normal 9 3 2 2 2 2 3" xfId="29816" xr:uid="{00000000-0005-0000-0000-0000A7740000}"/>
    <cellStyle name="Normal 9 3 2 2 2 3" xfId="29817" xr:uid="{00000000-0005-0000-0000-0000A8740000}"/>
    <cellStyle name="Normal 9 3 2 2 2 3 2" xfId="29818" xr:uid="{00000000-0005-0000-0000-0000A9740000}"/>
    <cellStyle name="Normal 9 3 2 2 2 4" xfId="29819" xr:uid="{00000000-0005-0000-0000-0000AA740000}"/>
    <cellStyle name="Normal 9 3 2 2 3" xfId="29820" xr:uid="{00000000-0005-0000-0000-0000AB740000}"/>
    <cellStyle name="Normal 9 3 2 2 3 2" xfId="29821" xr:uid="{00000000-0005-0000-0000-0000AC740000}"/>
    <cellStyle name="Normal 9 3 2 2 3 2 2" xfId="29822" xr:uid="{00000000-0005-0000-0000-0000AD740000}"/>
    <cellStyle name="Normal 9 3 2 2 3 3" xfId="29823" xr:uid="{00000000-0005-0000-0000-0000AE740000}"/>
    <cellStyle name="Normal 9 3 2 2 4" xfId="29824" xr:uid="{00000000-0005-0000-0000-0000AF740000}"/>
    <cellStyle name="Normal 9 3 2 2 4 2" xfId="29825" xr:uid="{00000000-0005-0000-0000-0000B0740000}"/>
    <cellStyle name="Normal 9 3 2 2 5" xfId="29826" xr:uid="{00000000-0005-0000-0000-0000B1740000}"/>
    <cellStyle name="Normal 9 3 2 3" xfId="29827" xr:uid="{00000000-0005-0000-0000-0000B2740000}"/>
    <cellStyle name="Normal 9 3 2 3 2" xfId="29828" xr:uid="{00000000-0005-0000-0000-0000B3740000}"/>
    <cellStyle name="Normal 9 3 2 3 2 2" xfId="29829" xr:uid="{00000000-0005-0000-0000-0000B4740000}"/>
    <cellStyle name="Normal 9 3 2 3 2 2 2" xfId="29830" xr:uid="{00000000-0005-0000-0000-0000B5740000}"/>
    <cellStyle name="Normal 9 3 2 3 2 3" xfId="29831" xr:uid="{00000000-0005-0000-0000-0000B6740000}"/>
    <cellStyle name="Normal 9 3 2 3 3" xfId="29832" xr:uid="{00000000-0005-0000-0000-0000B7740000}"/>
    <cellStyle name="Normal 9 3 2 3 3 2" xfId="29833" xr:uid="{00000000-0005-0000-0000-0000B8740000}"/>
    <cellStyle name="Normal 9 3 2 3 4" xfId="29834" xr:uid="{00000000-0005-0000-0000-0000B9740000}"/>
    <cellStyle name="Normal 9 3 2 4" xfId="29835" xr:uid="{00000000-0005-0000-0000-0000BA740000}"/>
    <cellStyle name="Normal 9 3 2 4 2" xfId="29836" xr:uid="{00000000-0005-0000-0000-0000BB740000}"/>
    <cellStyle name="Normal 9 3 2 4 2 2" xfId="29837" xr:uid="{00000000-0005-0000-0000-0000BC740000}"/>
    <cellStyle name="Normal 9 3 2 4 3" xfId="29838" xr:uid="{00000000-0005-0000-0000-0000BD740000}"/>
    <cellStyle name="Normal 9 3 2 5" xfId="29839" xr:uid="{00000000-0005-0000-0000-0000BE740000}"/>
    <cellStyle name="Normal 9 3 2 5 2" xfId="29840" xr:uid="{00000000-0005-0000-0000-0000BF740000}"/>
    <cellStyle name="Normal 9 3 2 6" xfId="29841" xr:uid="{00000000-0005-0000-0000-0000C0740000}"/>
    <cellStyle name="Normal 9 3 3" xfId="29842" xr:uid="{00000000-0005-0000-0000-0000C1740000}"/>
    <cellStyle name="Normal 9 3 3 2" xfId="29843" xr:uid="{00000000-0005-0000-0000-0000C2740000}"/>
    <cellStyle name="Normal 9 3 3 2 2" xfId="29844" xr:uid="{00000000-0005-0000-0000-0000C3740000}"/>
    <cellStyle name="Normal 9 3 3 2 2 2" xfId="29845" xr:uid="{00000000-0005-0000-0000-0000C4740000}"/>
    <cellStyle name="Normal 9 3 3 2 2 2 2" xfId="29846" xr:uid="{00000000-0005-0000-0000-0000C5740000}"/>
    <cellStyle name="Normal 9 3 3 2 2 3" xfId="29847" xr:uid="{00000000-0005-0000-0000-0000C6740000}"/>
    <cellStyle name="Normal 9 3 3 2 3" xfId="29848" xr:uid="{00000000-0005-0000-0000-0000C7740000}"/>
    <cellStyle name="Normal 9 3 3 2 3 2" xfId="29849" xr:uid="{00000000-0005-0000-0000-0000C8740000}"/>
    <cellStyle name="Normal 9 3 3 2 4" xfId="29850" xr:uid="{00000000-0005-0000-0000-0000C9740000}"/>
    <cellStyle name="Normal 9 3 3 3" xfId="29851" xr:uid="{00000000-0005-0000-0000-0000CA740000}"/>
    <cellStyle name="Normal 9 3 3 3 2" xfId="29852" xr:uid="{00000000-0005-0000-0000-0000CB740000}"/>
    <cellStyle name="Normal 9 3 3 3 2 2" xfId="29853" xr:uid="{00000000-0005-0000-0000-0000CC740000}"/>
    <cellStyle name="Normal 9 3 3 3 3" xfId="29854" xr:uid="{00000000-0005-0000-0000-0000CD740000}"/>
    <cellStyle name="Normal 9 3 3 4" xfId="29855" xr:uid="{00000000-0005-0000-0000-0000CE740000}"/>
    <cellStyle name="Normal 9 3 3 4 2" xfId="29856" xr:uid="{00000000-0005-0000-0000-0000CF740000}"/>
    <cellStyle name="Normal 9 3 3 5" xfId="29857" xr:uid="{00000000-0005-0000-0000-0000D0740000}"/>
    <cellStyle name="Normal 9 3 4" xfId="29858" xr:uid="{00000000-0005-0000-0000-0000D1740000}"/>
    <cellStyle name="Normal 9 3 4 2" xfId="29859" xr:uid="{00000000-0005-0000-0000-0000D2740000}"/>
    <cellStyle name="Normal 9 3 4 2 2" xfId="29860" xr:uid="{00000000-0005-0000-0000-0000D3740000}"/>
    <cellStyle name="Normal 9 3 4 2 2 2" xfId="29861" xr:uid="{00000000-0005-0000-0000-0000D4740000}"/>
    <cellStyle name="Normal 9 3 4 2 3" xfId="29862" xr:uid="{00000000-0005-0000-0000-0000D5740000}"/>
    <cellStyle name="Normal 9 3 4 3" xfId="29863" xr:uid="{00000000-0005-0000-0000-0000D6740000}"/>
    <cellStyle name="Normal 9 3 4 3 2" xfId="29864" xr:uid="{00000000-0005-0000-0000-0000D7740000}"/>
    <cellStyle name="Normal 9 3 4 4" xfId="29865" xr:uid="{00000000-0005-0000-0000-0000D8740000}"/>
    <cellStyle name="Normal 9 3 5" xfId="29866" xr:uid="{00000000-0005-0000-0000-0000D9740000}"/>
    <cellStyle name="Normal 9 3 5 2" xfId="29867" xr:uid="{00000000-0005-0000-0000-0000DA740000}"/>
    <cellStyle name="Normal 9 3 5 2 2" xfId="29868" xr:uid="{00000000-0005-0000-0000-0000DB740000}"/>
    <cellStyle name="Normal 9 3 5 3" xfId="29869" xr:uid="{00000000-0005-0000-0000-0000DC740000}"/>
    <cellStyle name="Normal 9 3 6" xfId="29870" xr:uid="{00000000-0005-0000-0000-0000DD740000}"/>
    <cellStyle name="Normal 9 3 6 2" xfId="29871" xr:uid="{00000000-0005-0000-0000-0000DE740000}"/>
    <cellStyle name="Normal 9 3 7" xfId="29872" xr:uid="{00000000-0005-0000-0000-0000DF740000}"/>
    <cellStyle name="Normal 9 4" xfId="29873" xr:uid="{00000000-0005-0000-0000-0000E0740000}"/>
    <cellStyle name="Normal 9 4 2" xfId="29874" xr:uid="{00000000-0005-0000-0000-0000E1740000}"/>
    <cellStyle name="Normal 9 4 2 2" xfId="29875" xr:uid="{00000000-0005-0000-0000-0000E2740000}"/>
    <cellStyle name="Normal 9 4 2 2 2" xfId="29876" xr:uid="{00000000-0005-0000-0000-0000E3740000}"/>
    <cellStyle name="Normal 9 4 2 2 2 2" xfId="29877" xr:uid="{00000000-0005-0000-0000-0000E4740000}"/>
    <cellStyle name="Normal 9 4 2 2 2 2 2" xfId="29878" xr:uid="{00000000-0005-0000-0000-0000E5740000}"/>
    <cellStyle name="Normal 9 4 2 2 2 3" xfId="29879" xr:uid="{00000000-0005-0000-0000-0000E6740000}"/>
    <cellStyle name="Normal 9 4 2 2 3" xfId="29880" xr:uid="{00000000-0005-0000-0000-0000E7740000}"/>
    <cellStyle name="Normal 9 4 2 2 3 2" xfId="29881" xr:uid="{00000000-0005-0000-0000-0000E8740000}"/>
    <cellStyle name="Normal 9 4 2 2 4" xfId="29882" xr:uid="{00000000-0005-0000-0000-0000E9740000}"/>
    <cellStyle name="Normal 9 4 2 3" xfId="29883" xr:uid="{00000000-0005-0000-0000-0000EA740000}"/>
    <cellStyle name="Normal 9 4 2 3 2" xfId="29884" xr:uid="{00000000-0005-0000-0000-0000EB740000}"/>
    <cellStyle name="Normal 9 4 2 3 2 2" xfId="29885" xr:uid="{00000000-0005-0000-0000-0000EC740000}"/>
    <cellStyle name="Normal 9 4 2 3 3" xfId="29886" xr:uid="{00000000-0005-0000-0000-0000ED740000}"/>
    <cellStyle name="Normal 9 4 2 4" xfId="29887" xr:uid="{00000000-0005-0000-0000-0000EE740000}"/>
    <cellStyle name="Normal 9 4 2 4 2" xfId="29888" xr:uid="{00000000-0005-0000-0000-0000EF740000}"/>
    <cellStyle name="Normal 9 4 2 5" xfId="29889" xr:uid="{00000000-0005-0000-0000-0000F0740000}"/>
    <cellStyle name="Normal 9 4 3" xfId="29890" xr:uid="{00000000-0005-0000-0000-0000F1740000}"/>
    <cellStyle name="Normal 9 4 3 2" xfId="29891" xr:uid="{00000000-0005-0000-0000-0000F2740000}"/>
    <cellStyle name="Normal 9 4 3 2 2" xfId="29892" xr:uid="{00000000-0005-0000-0000-0000F3740000}"/>
    <cellStyle name="Normal 9 4 3 2 2 2" xfId="29893" xr:uid="{00000000-0005-0000-0000-0000F4740000}"/>
    <cellStyle name="Normal 9 4 3 2 3" xfId="29894" xr:uid="{00000000-0005-0000-0000-0000F5740000}"/>
    <cellStyle name="Normal 9 4 3 3" xfId="29895" xr:uid="{00000000-0005-0000-0000-0000F6740000}"/>
    <cellStyle name="Normal 9 4 3 3 2" xfId="29896" xr:uid="{00000000-0005-0000-0000-0000F7740000}"/>
    <cellStyle name="Normal 9 4 3 4" xfId="29897" xr:uid="{00000000-0005-0000-0000-0000F8740000}"/>
    <cellStyle name="Normal 9 4 4" xfId="29898" xr:uid="{00000000-0005-0000-0000-0000F9740000}"/>
    <cellStyle name="Normal 9 4 4 2" xfId="29899" xr:uid="{00000000-0005-0000-0000-0000FA740000}"/>
    <cellStyle name="Normal 9 4 4 2 2" xfId="29900" xr:uid="{00000000-0005-0000-0000-0000FB740000}"/>
    <cellStyle name="Normal 9 4 4 3" xfId="29901" xr:uid="{00000000-0005-0000-0000-0000FC740000}"/>
    <cellStyle name="Normal 9 4 5" xfId="29902" xr:uid="{00000000-0005-0000-0000-0000FD740000}"/>
    <cellStyle name="Normal 9 4 5 2" xfId="29903" xr:uid="{00000000-0005-0000-0000-0000FE740000}"/>
    <cellStyle name="Normal 9 4 6" xfId="29904" xr:uid="{00000000-0005-0000-0000-0000FF740000}"/>
    <cellStyle name="Normal 9 5" xfId="29905" xr:uid="{00000000-0005-0000-0000-000000750000}"/>
    <cellStyle name="Normal 9 5 2" xfId="29906" xr:uid="{00000000-0005-0000-0000-000001750000}"/>
    <cellStyle name="Normal 9 5 2 2" xfId="29907" xr:uid="{00000000-0005-0000-0000-000002750000}"/>
    <cellStyle name="Normal 9 5 2 2 2" xfId="29908" xr:uid="{00000000-0005-0000-0000-000003750000}"/>
    <cellStyle name="Normal 9 5 2 2 2 2" xfId="29909" xr:uid="{00000000-0005-0000-0000-000004750000}"/>
    <cellStyle name="Normal 9 5 2 2 3" xfId="29910" xr:uid="{00000000-0005-0000-0000-000005750000}"/>
    <cellStyle name="Normal 9 5 2 3" xfId="29911" xr:uid="{00000000-0005-0000-0000-000006750000}"/>
    <cellStyle name="Normal 9 5 2 3 2" xfId="29912" xr:uid="{00000000-0005-0000-0000-000007750000}"/>
    <cellStyle name="Normal 9 5 2 4" xfId="29913" xr:uid="{00000000-0005-0000-0000-000008750000}"/>
    <cellStyle name="Normal 9 5 3" xfId="29914" xr:uid="{00000000-0005-0000-0000-000009750000}"/>
    <cellStyle name="Normal 9 5 3 2" xfId="29915" xr:uid="{00000000-0005-0000-0000-00000A750000}"/>
    <cellStyle name="Normal 9 5 3 2 2" xfId="29916" xr:uid="{00000000-0005-0000-0000-00000B750000}"/>
    <cellStyle name="Normal 9 5 3 3" xfId="29917" xr:uid="{00000000-0005-0000-0000-00000C750000}"/>
    <cellStyle name="Normal 9 5 4" xfId="29918" xr:uid="{00000000-0005-0000-0000-00000D750000}"/>
    <cellStyle name="Normal 9 5 4 2" xfId="29919" xr:uid="{00000000-0005-0000-0000-00000E750000}"/>
    <cellStyle name="Normal 9 5 5" xfId="29920" xr:uid="{00000000-0005-0000-0000-00000F750000}"/>
    <cellStyle name="Normal 9 6" xfId="29921" xr:uid="{00000000-0005-0000-0000-000010750000}"/>
    <cellStyle name="Normal 9 6 2" xfId="29922" xr:uid="{00000000-0005-0000-0000-000011750000}"/>
    <cellStyle name="Normal 9 6 2 2" xfId="29923" xr:uid="{00000000-0005-0000-0000-000012750000}"/>
    <cellStyle name="Normal 9 6 2 2 2" xfId="29924" xr:uid="{00000000-0005-0000-0000-000013750000}"/>
    <cellStyle name="Normal 9 6 2 3" xfId="29925" xr:uid="{00000000-0005-0000-0000-000014750000}"/>
    <cellStyle name="Normal 9 6 3" xfId="29926" xr:uid="{00000000-0005-0000-0000-000015750000}"/>
    <cellStyle name="Normal 9 6 3 2" xfId="29927" xr:uid="{00000000-0005-0000-0000-000016750000}"/>
    <cellStyle name="Normal 9 6 4" xfId="29928" xr:uid="{00000000-0005-0000-0000-000017750000}"/>
    <cellStyle name="Normal 9 7" xfId="29929" xr:uid="{00000000-0005-0000-0000-000018750000}"/>
    <cellStyle name="Normal 9 7 2" xfId="29930" xr:uid="{00000000-0005-0000-0000-000019750000}"/>
    <cellStyle name="Normal 9 7 2 2" xfId="29931" xr:uid="{00000000-0005-0000-0000-00001A750000}"/>
    <cellStyle name="Normal 9 7 3" xfId="29932" xr:uid="{00000000-0005-0000-0000-00001B750000}"/>
    <cellStyle name="Normal 9 8" xfId="29933" xr:uid="{00000000-0005-0000-0000-00001C750000}"/>
    <cellStyle name="Normal 9 8 2" xfId="29934" xr:uid="{00000000-0005-0000-0000-00001D750000}"/>
    <cellStyle name="Normal 9 9" xfId="29935" xr:uid="{00000000-0005-0000-0000-00001E750000}"/>
    <cellStyle name="Note 10" xfId="29936" xr:uid="{00000000-0005-0000-0000-00001F750000}"/>
    <cellStyle name="Note 10 2" xfId="29937" xr:uid="{00000000-0005-0000-0000-000020750000}"/>
    <cellStyle name="Note 10 2 2" xfId="29938" xr:uid="{00000000-0005-0000-0000-000021750000}"/>
    <cellStyle name="Note 10 2 2 2" xfId="29939" xr:uid="{00000000-0005-0000-0000-000022750000}"/>
    <cellStyle name="Note 10 2 3" xfId="29940" xr:uid="{00000000-0005-0000-0000-000023750000}"/>
    <cellStyle name="Note 10 3" xfId="29941" xr:uid="{00000000-0005-0000-0000-000024750000}"/>
    <cellStyle name="Note 10 3 2" xfId="29942" xr:uid="{00000000-0005-0000-0000-000025750000}"/>
    <cellStyle name="Note 10 4" xfId="29943" xr:uid="{00000000-0005-0000-0000-000026750000}"/>
    <cellStyle name="Note 11" xfId="29944" xr:uid="{00000000-0005-0000-0000-000027750000}"/>
    <cellStyle name="Note 11 2" xfId="29945" xr:uid="{00000000-0005-0000-0000-000028750000}"/>
    <cellStyle name="Note 11 2 2" xfId="29946" xr:uid="{00000000-0005-0000-0000-000029750000}"/>
    <cellStyle name="Note 11 3" xfId="29947" xr:uid="{00000000-0005-0000-0000-00002A750000}"/>
    <cellStyle name="Note 12" xfId="29948" xr:uid="{00000000-0005-0000-0000-00002B750000}"/>
    <cellStyle name="Note 12 2" xfId="29949" xr:uid="{00000000-0005-0000-0000-00002C750000}"/>
    <cellStyle name="Note 13" xfId="29950" xr:uid="{00000000-0005-0000-0000-00002D750000}"/>
    <cellStyle name="Note 14" xfId="29951" xr:uid="{00000000-0005-0000-0000-00002E750000}"/>
    <cellStyle name="Note 2" xfId="29952" xr:uid="{00000000-0005-0000-0000-00002F750000}"/>
    <cellStyle name="Note 2 10" xfId="29953" xr:uid="{00000000-0005-0000-0000-000030750000}"/>
    <cellStyle name="Note 2 10 2" xfId="29954" xr:uid="{00000000-0005-0000-0000-000031750000}"/>
    <cellStyle name="Note 2 10 2 2" xfId="29955" xr:uid="{00000000-0005-0000-0000-000032750000}"/>
    <cellStyle name="Note 2 10 3" xfId="29956" xr:uid="{00000000-0005-0000-0000-000033750000}"/>
    <cellStyle name="Note 2 11" xfId="29957" xr:uid="{00000000-0005-0000-0000-000034750000}"/>
    <cellStyle name="Note 2 11 2" xfId="29958" xr:uid="{00000000-0005-0000-0000-000035750000}"/>
    <cellStyle name="Note 2 12" xfId="29959" xr:uid="{00000000-0005-0000-0000-000036750000}"/>
    <cellStyle name="Note 2 2" xfId="29960" xr:uid="{00000000-0005-0000-0000-000037750000}"/>
    <cellStyle name="Note 2 2 10" xfId="29961" xr:uid="{00000000-0005-0000-0000-000038750000}"/>
    <cellStyle name="Note 2 2 10 2" xfId="29962" xr:uid="{00000000-0005-0000-0000-000039750000}"/>
    <cellStyle name="Note 2 2 11" xfId="29963" xr:uid="{00000000-0005-0000-0000-00003A750000}"/>
    <cellStyle name="Note 2 2 2" xfId="29964" xr:uid="{00000000-0005-0000-0000-00003B750000}"/>
    <cellStyle name="Note 2 2 2 10" xfId="29965" xr:uid="{00000000-0005-0000-0000-00003C750000}"/>
    <cellStyle name="Note 2 2 2 2" xfId="29966" xr:uid="{00000000-0005-0000-0000-00003D750000}"/>
    <cellStyle name="Note 2 2 2 2 2" xfId="29967" xr:uid="{00000000-0005-0000-0000-00003E750000}"/>
    <cellStyle name="Note 2 2 2 2 2 2" xfId="29968" xr:uid="{00000000-0005-0000-0000-00003F750000}"/>
    <cellStyle name="Note 2 2 2 2 2 2 2" xfId="29969" xr:uid="{00000000-0005-0000-0000-000040750000}"/>
    <cellStyle name="Note 2 2 2 2 2 2 2 2" xfId="29970" xr:uid="{00000000-0005-0000-0000-000041750000}"/>
    <cellStyle name="Note 2 2 2 2 2 2 2 2 2" xfId="29971" xr:uid="{00000000-0005-0000-0000-000042750000}"/>
    <cellStyle name="Note 2 2 2 2 2 2 2 2 2 2" xfId="29972" xr:uid="{00000000-0005-0000-0000-000043750000}"/>
    <cellStyle name="Note 2 2 2 2 2 2 2 2 2 2 2" xfId="29973" xr:uid="{00000000-0005-0000-0000-000044750000}"/>
    <cellStyle name="Note 2 2 2 2 2 2 2 2 2 2 2 2" xfId="29974" xr:uid="{00000000-0005-0000-0000-000045750000}"/>
    <cellStyle name="Note 2 2 2 2 2 2 2 2 2 2 3" xfId="29975" xr:uid="{00000000-0005-0000-0000-000046750000}"/>
    <cellStyle name="Note 2 2 2 2 2 2 2 2 2 3" xfId="29976" xr:uid="{00000000-0005-0000-0000-000047750000}"/>
    <cellStyle name="Note 2 2 2 2 2 2 2 2 2 3 2" xfId="29977" xr:uid="{00000000-0005-0000-0000-000048750000}"/>
    <cellStyle name="Note 2 2 2 2 2 2 2 2 2 4" xfId="29978" xr:uid="{00000000-0005-0000-0000-000049750000}"/>
    <cellStyle name="Note 2 2 2 2 2 2 2 2 3" xfId="29979" xr:uid="{00000000-0005-0000-0000-00004A750000}"/>
    <cellStyle name="Note 2 2 2 2 2 2 2 2 3 2" xfId="29980" xr:uid="{00000000-0005-0000-0000-00004B750000}"/>
    <cellStyle name="Note 2 2 2 2 2 2 2 2 3 2 2" xfId="29981" xr:uid="{00000000-0005-0000-0000-00004C750000}"/>
    <cellStyle name="Note 2 2 2 2 2 2 2 2 3 3" xfId="29982" xr:uid="{00000000-0005-0000-0000-00004D750000}"/>
    <cellStyle name="Note 2 2 2 2 2 2 2 2 4" xfId="29983" xr:uid="{00000000-0005-0000-0000-00004E750000}"/>
    <cellStyle name="Note 2 2 2 2 2 2 2 2 4 2" xfId="29984" xr:uid="{00000000-0005-0000-0000-00004F750000}"/>
    <cellStyle name="Note 2 2 2 2 2 2 2 2 5" xfId="29985" xr:uid="{00000000-0005-0000-0000-000050750000}"/>
    <cellStyle name="Note 2 2 2 2 2 2 2 3" xfId="29986" xr:uid="{00000000-0005-0000-0000-000051750000}"/>
    <cellStyle name="Note 2 2 2 2 2 2 2 3 2" xfId="29987" xr:uid="{00000000-0005-0000-0000-000052750000}"/>
    <cellStyle name="Note 2 2 2 2 2 2 2 3 2 2" xfId="29988" xr:uid="{00000000-0005-0000-0000-000053750000}"/>
    <cellStyle name="Note 2 2 2 2 2 2 2 3 2 2 2" xfId="29989" xr:uid="{00000000-0005-0000-0000-000054750000}"/>
    <cellStyle name="Note 2 2 2 2 2 2 2 3 2 3" xfId="29990" xr:uid="{00000000-0005-0000-0000-000055750000}"/>
    <cellStyle name="Note 2 2 2 2 2 2 2 3 3" xfId="29991" xr:uid="{00000000-0005-0000-0000-000056750000}"/>
    <cellStyle name="Note 2 2 2 2 2 2 2 3 3 2" xfId="29992" xr:uid="{00000000-0005-0000-0000-000057750000}"/>
    <cellStyle name="Note 2 2 2 2 2 2 2 3 4" xfId="29993" xr:uid="{00000000-0005-0000-0000-000058750000}"/>
    <cellStyle name="Note 2 2 2 2 2 2 2 4" xfId="29994" xr:uid="{00000000-0005-0000-0000-000059750000}"/>
    <cellStyle name="Note 2 2 2 2 2 2 2 4 2" xfId="29995" xr:uid="{00000000-0005-0000-0000-00005A750000}"/>
    <cellStyle name="Note 2 2 2 2 2 2 2 4 2 2" xfId="29996" xr:uid="{00000000-0005-0000-0000-00005B750000}"/>
    <cellStyle name="Note 2 2 2 2 2 2 2 4 3" xfId="29997" xr:uid="{00000000-0005-0000-0000-00005C750000}"/>
    <cellStyle name="Note 2 2 2 2 2 2 2 5" xfId="29998" xr:uid="{00000000-0005-0000-0000-00005D750000}"/>
    <cellStyle name="Note 2 2 2 2 2 2 2 5 2" xfId="29999" xr:uid="{00000000-0005-0000-0000-00005E750000}"/>
    <cellStyle name="Note 2 2 2 2 2 2 2 6" xfId="30000" xr:uid="{00000000-0005-0000-0000-00005F750000}"/>
    <cellStyle name="Note 2 2 2 2 2 2 3" xfId="30001" xr:uid="{00000000-0005-0000-0000-000060750000}"/>
    <cellStyle name="Note 2 2 2 2 2 2 3 2" xfId="30002" xr:uid="{00000000-0005-0000-0000-000061750000}"/>
    <cellStyle name="Note 2 2 2 2 2 2 3 2 2" xfId="30003" xr:uid="{00000000-0005-0000-0000-000062750000}"/>
    <cellStyle name="Note 2 2 2 2 2 2 3 2 2 2" xfId="30004" xr:uid="{00000000-0005-0000-0000-000063750000}"/>
    <cellStyle name="Note 2 2 2 2 2 2 3 2 2 2 2" xfId="30005" xr:uid="{00000000-0005-0000-0000-000064750000}"/>
    <cellStyle name="Note 2 2 2 2 2 2 3 2 2 3" xfId="30006" xr:uid="{00000000-0005-0000-0000-000065750000}"/>
    <cellStyle name="Note 2 2 2 2 2 2 3 2 3" xfId="30007" xr:uid="{00000000-0005-0000-0000-000066750000}"/>
    <cellStyle name="Note 2 2 2 2 2 2 3 2 3 2" xfId="30008" xr:uid="{00000000-0005-0000-0000-000067750000}"/>
    <cellStyle name="Note 2 2 2 2 2 2 3 2 4" xfId="30009" xr:uid="{00000000-0005-0000-0000-000068750000}"/>
    <cellStyle name="Note 2 2 2 2 2 2 3 3" xfId="30010" xr:uid="{00000000-0005-0000-0000-000069750000}"/>
    <cellStyle name="Note 2 2 2 2 2 2 3 3 2" xfId="30011" xr:uid="{00000000-0005-0000-0000-00006A750000}"/>
    <cellStyle name="Note 2 2 2 2 2 2 3 3 2 2" xfId="30012" xr:uid="{00000000-0005-0000-0000-00006B750000}"/>
    <cellStyle name="Note 2 2 2 2 2 2 3 3 3" xfId="30013" xr:uid="{00000000-0005-0000-0000-00006C750000}"/>
    <cellStyle name="Note 2 2 2 2 2 2 3 4" xfId="30014" xr:uid="{00000000-0005-0000-0000-00006D750000}"/>
    <cellStyle name="Note 2 2 2 2 2 2 3 4 2" xfId="30015" xr:uid="{00000000-0005-0000-0000-00006E750000}"/>
    <cellStyle name="Note 2 2 2 2 2 2 3 5" xfId="30016" xr:uid="{00000000-0005-0000-0000-00006F750000}"/>
    <cellStyle name="Note 2 2 2 2 2 2 4" xfId="30017" xr:uid="{00000000-0005-0000-0000-000070750000}"/>
    <cellStyle name="Note 2 2 2 2 2 2 4 2" xfId="30018" xr:uid="{00000000-0005-0000-0000-000071750000}"/>
    <cellStyle name="Note 2 2 2 2 2 2 4 2 2" xfId="30019" xr:uid="{00000000-0005-0000-0000-000072750000}"/>
    <cellStyle name="Note 2 2 2 2 2 2 4 2 2 2" xfId="30020" xr:uid="{00000000-0005-0000-0000-000073750000}"/>
    <cellStyle name="Note 2 2 2 2 2 2 4 2 3" xfId="30021" xr:uid="{00000000-0005-0000-0000-000074750000}"/>
    <cellStyle name="Note 2 2 2 2 2 2 4 3" xfId="30022" xr:uid="{00000000-0005-0000-0000-000075750000}"/>
    <cellStyle name="Note 2 2 2 2 2 2 4 3 2" xfId="30023" xr:uid="{00000000-0005-0000-0000-000076750000}"/>
    <cellStyle name="Note 2 2 2 2 2 2 4 4" xfId="30024" xr:uid="{00000000-0005-0000-0000-000077750000}"/>
    <cellStyle name="Note 2 2 2 2 2 2 5" xfId="30025" xr:uid="{00000000-0005-0000-0000-000078750000}"/>
    <cellStyle name="Note 2 2 2 2 2 2 5 2" xfId="30026" xr:uid="{00000000-0005-0000-0000-000079750000}"/>
    <cellStyle name="Note 2 2 2 2 2 2 5 2 2" xfId="30027" xr:uid="{00000000-0005-0000-0000-00007A750000}"/>
    <cellStyle name="Note 2 2 2 2 2 2 5 3" xfId="30028" xr:uid="{00000000-0005-0000-0000-00007B750000}"/>
    <cellStyle name="Note 2 2 2 2 2 2 6" xfId="30029" xr:uid="{00000000-0005-0000-0000-00007C750000}"/>
    <cellStyle name="Note 2 2 2 2 2 2 6 2" xfId="30030" xr:uid="{00000000-0005-0000-0000-00007D750000}"/>
    <cellStyle name="Note 2 2 2 2 2 2 7" xfId="30031" xr:uid="{00000000-0005-0000-0000-00007E750000}"/>
    <cellStyle name="Note 2 2 2 2 2 3" xfId="30032" xr:uid="{00000000-0005-0000-0000-00007F750000}"/>
    <cellStyle name="Note 2 2 2 2 2 3 2" xfId="30033" xr:uid="{00000000-0005-0000-0000-000080750000}"/>
    <cellStyle name="Note 2 2 2 2 2 3 2 2" xfId="30034" xr:uid="{00000000-0005-0000-0000-000081750000}"/>
    <cellStyle name="Note 2 2 2 2 2 3 2 2 2" xfId="30035" xr:uid="{00000000-0005-0000-0000-000082750000}"/>
    <cellStyle name="Note 2 2 2 2 2 3 2 2 2 2" xfId="30036" xr:uid="{00000000-0005-0000-0000-000083750000}"/>
    <cellStyle name="Note 2 2 2 2 2 3 2 2 2 2 2" xfId="30037" xr:uid="{00000000-0005-0000-0000-000084750000}"/>
    <cellStyle name="Note 2 2 2 2 2 3 2 2 2 3" xfId="30038" xr:uid="{00000000-0005-0000-0000-000085750000}"/>
    <cellStyle name="Note 2 2 2 2 2 3 2 2 3" xfId="30039" xr:uid="{00000000-0005-0000-0000-000086750000}"/>
    <cellStyle name="Note 2 2 2 2 2 3 2 2 3 2" xfId="30040" xr:uid="{00000000-0005-0000-0000-000087750000}"/>
    <cellStyle name="Note 2 2 2 2 2 3 2 2 4" xfId="30041" xr:uid="{00000000-0005-0000-0000-000088750000}"/>
    <cellStyle name="Note 2 2 2 2 2 3 2 3" xfId="30042" xr:uid="{00000000-0005-0000-0000-000089750000}"/>
    <cellStyle name="Note 2 2 2 2 2 3 2 3 2" xfId="30043" xr:uid="{00000000-0005-0000-0000-00008A750000}"/>
    <cellStyle name="Note 2 2 2 2 2 3 2 3 2 2" xfId="30044" xr:uid="{00000000-0005-0000-0000-00008B750000}"/>
    <cellStyle name="Note 2 2 2 2 2 3 2 3 3" xfId="30045" xr:uid="{00000000-0005-0000-0000-00008C750000}"/>
    <cellStyle name="Note 2 2 2 2 2 3 2 4" xfId="30046" xr:uid="{00000000-0005-0000-0000-00008D750000}"/>
    <cellStyle name="Note 2 2 2 2 2 3 2 4 2" xfId="30047" xr:uid="{00000000-0005-0000-0000-00008E750000}"/>
    <cellStyle name="Note 2 2 2 2 2 3 2 5" xfId="30048" xr:uid="{00000000-0005-0000-0000-00008F750000}"/>
    <cellStyle name="Note 2 2 2 2 2 3 3" xfId="30049" xr:uid="{00000000-0005-0000-0000-000090750000}"/>
    <cellStyle name="Note 2 2 2 2 2 3 3 2" xfId="30050" xr:uid="{00000000-0005-0000-0000-000091750000}"/>
    <cellStyle name="Note 2 2 2 2 2 3 3 2 2" xfId="30051" xr:uid="{00000000-0005-0000-0000-000092750000}"/>
    <cellStyle name="Note 2 2 2 2 2 3 3 2 2 2" xfId="30052" xr:uid="{00000000-0005-0000-0000-000093750000}"/>
    <cellStyle name="Note 2 2 2 2 2 3 3 2 3" xfId="30053" xr:uid="{00000000-0005-0000-0000-000094750000}"/>
    <cellStyle name="Note 2 2 2 2 2 3 3 3" xfId="30054" xr:uid="{00000000-0005-0000-0000-000095750000}"/>
    <cellStyle name="Note 2 2 2 2 2 3 3 3 2" xfId="30055" xr:uid="{00000000-0005-0000-0000-000096750000}"/>
    <cellStyle name="Note 2 2 2 2 2 3 3 4" xfId="30056" xr:uid="{00000000-0005-0000-0000-000097750000}"/>
    <cellStyle name="Note 2 2 2 2 2 3 4" xfId="30057" xr:uid="{00000000-0005-0000-0000-000098750000}"/>
    <cellStyle name="Note 2 2 2 2 2 3 4 2" xfId="30058" xr:uid="{00000000-0005-0000-0000-000099750000}"/>
    <cellStyle name="Note 2 2 2 2 2 3 4 2 2" xfId="30059" xr:uid="{00000000-0005-0000-0000-00009A750000}"/>
    <cellStyle name="Note 2 2 2 2 2 3 4 3" xfId="30060" xr:uid="{00000000-0005-0000-0000-00009B750000}"/>
    <cellStyle name="Note 2 2 2 2 2 3 5" xfId="30061" xr:uid="{00000000-0005-0000-0000-00009C750000}"/>
    <cellStyle name="Note 2 2 2 2 2 3 5 2" xfId="30062" xr:uid="{00000000-0005-0000-0000-00009D750000}"/>
    <cellStyle name="Note 2 2 2 2 2 3 6" xfId="30063" xr:uid="{00000000-0005-0000-0000-00009E750000}"/>
    <cellStyle name="Note 2 2 2 2 2 4" xfId="30064" xr:uid="{00000000-0005-0000-0000-00009F750000}"/>
    <cellStyle name="Note 2 2 2 2 2 4 2" xfId="30065" xr:uid="{00000000-0005-0000-0000-0000A0750000}"/>
    <cellStyle name="Note 2 2 2 2 2 4 2 2" xfId="30066" xr:uid="{00000000-0005-0000-0000-0000A1750000}"/>
    <cellStyle name="Note 2 2 2 2 2 4 2 2 2" xfId="30067" xr:uid="{00000000-0005-0000-0000-0000A2750000}"/>
    <cellStyle name="Note 2 2 2 2 2 4 2 2 2 2" xfId="30068" xr:uid="{00000000-0005-0000-0000-0000A3750000}"/>
    <cellStyle name="Note 2 2 2 2 2 4 2 2 3" xfId="30069" xr:uid="{00000000-0005-0000-0000-0000A4750000}"/>
    <cellStyle name="Note 2 2 2 2 2 4 2 3" xfId="30070" xr:uid="{00000000-0005-0000-0000-0000A5750000}"/>
    <cellStyle name="Note 2 2 2 2 2 4 2 3 2" xfId="30071" xr:uid="{00000000-0005-0000-0000-0000A6750000}"/>
    <cellStyle name="Note 2 2 2 2 2 4 2 4" xfId="30072" xr:uid="{00000000-0005-0000-0000-0000A7750000}"/>
    <cellStyle name="Note 2 2 2 2 2 4 3" xfId="30073" xr:uid="{00000000-0005-0000-0000-0000A8750000}"/>
    <cellStyle name="Note 2 2 2 2 2 4 3 2" xfId="30074" xr:uid="{00000000-0005-0000-0000-0000A9750000}"/>
    <cellStyle name="Note 2 2 2 2 2 4 3 2 2" xfId="30075" xr:uid="{00000000-0005-0000-0000-0000AA750000}"/>
    <cellStyle name="Note 2 2 2 2 2 4 3 3" xfId="30076" xr:uid="{00000000-0005-0000-0000-0000AB750000}"/>
    <cellStyle name="Note 2 2 2 2 2 4 4" xfId="30077" xr:uid="{00000000-0005-0000-0000-0000AC750000}"/>
    <cellStyle name="Note 2 2 2 2 2 4 4 2" xfId="30078" xr:uid="{00000000-0005-0000-0000-0000AD750000}"/>
    <cellStyle name="Note 2 2 2 2 2 4 5" xfId="30079" xr:uid="{00000000-0005-0000-0000-0000AE750000}"/>
    <cellStyle name="Note 2 2 2 2 2 5" xfId="30080" xr:uid="{00000000-0005-0000-0000-0000AF750000}"/>
    <cellStyle name="Note 2 2 2 2 2 5 2" xfId="30081" xr:uid="{00000000-0005-0000-0000-0000B0750000}"/>
    <cellStyle name="Note 2 2 2 2 2 5 2 2" xfId="30082" xr:uid="{00000000-0005-0000-0000-0000B1750000}"/>
    <cellStyle name="Note 2 2 2 2 2 5 2 2 2" xfId="30083" xr:uid="{00000000-0005-0000-0000-0000B2750000}"/>
    <cellStyle name="Note 2 2 2 2 2 5 2 3" xfId="30084" xr:uid="{00000000-0005-0000-0000-0000B3750000}"/>
    <cellStyle name="Note 2 2 2 2 2 5 3" xfId="30085" xr:uid="{00000000-0005-0000-0000-0000B4750000}"/>
    <cellStyle name="Note 2 2 2 2 2 5 3 2" xfId="30086" xr:uid="{00000000-0005-0000-0000-0000B5750000}"/>
    <cellStyle name="Note 2 2 2 2 2 5 4" xfId="30087" xr:uid="{00000000-0005-0000-0000-0000B6750000}"/>
    <cellStyle name="Note 2 2 2 2 2 6" xfId="30088" xr:uid="{00000000-0005-0000-0000-0000B7750000}"/>
    <cellStyle name="Note 2 2 2 2 2 6 2" xfId="30089" xr:uid="{00000000-0005-0000-0000-0000B8750000}"/>
    <cellStyle name="Note 2 2 2 2 2 6 2 2" xfId="30090" xr:uid="{00000000-0005-0000-0000-0000B9750000}"/>
    <cellStyle name="Note 2 2 2 2 2 6 3" xfId="30091" xr:uid="{00000000-0005-0000-0000-0000BA750000}"/>
    <cellStyle name="Note 2 2 2 2 2 7" xfId="30092" xr:uid="{00000000-0005-0000-0000-0000BB750000}"/>
    <cellStyle name="Note 2 2 2 2 2 7 2" xfId="30093" xr:uid="{00000000-0005-0000-0000-0000BC750000}"/>
    <cellStyle name="Note 2 2 2 2 2 8" xfId="30094" xr:uid="{00000000-0005-0000-0000-0000BD750000}"/>
    <cellStyle name="Note 2 2 2 2 3" xfId="30095" xr:uid="{00000000-0005-0000-0000-0000BE750000}"/>
    <cellStyle name="Note 2 2 2 2 3 2" xfId="30096" xr:uid="{00000000-0005-0000-0000-0000BF750000}"/>
    <cellStyle name="Note 2 2 2 2 3 2 2" xfId="30097" xr:uid="{00000000-0005-0000-0000-0000C0750000}"/>
    <cellStyle name="Note 2 2 2 2 3 2 2 2" xfId="30098" xr:uid="{00000000-0005-0000-0000-0000C1750000}"/>
    <cellStyle name="Note 2 2 2 2 3 2 2 2 2" xfId="30099" xr:uid="{00000000-0005-0000-0000-0000C2750000}"/>
    <cellStyle name="Note 2 2 2 2 3 2 2 2 2 2" xfId="30100" xr:uid="{00000000-0005-0000-0000-0000C3750000}"/>
    <cellStyle name="Note 2 2 2 2 3 2 2 2 2 2 2" xfId="30101" xr:uid="{00000000-0005-0000-0000-0000C4750000}"/>
    <cellStyle name="Note 2 2 2 2 3 2 2 2 2 3" xfId="30102" xr:uid="{00000000-0005-0000-0000-0000C5750000}"/>
    <cellStyle name="Note 2 2 2 2 3 2 2 2 3" xfId="30103" xr:uid="{00000000-0005-0000-0000-0000C6750000}"/>
    <cellStyle name="Note 2 2 2 2 3 2 2 2 3 2" xfId="30104" xr:uid="{00000000-0005-0000-0000-0000C7750000}"/>
    <cellStyle name="Note 2 2 2 2 3 2 2 2 4" xfId="30105" xr:uid="{00000000-0005-0000-0000-0000C8750000}"/>
    <cellStyle name="Note 2 2 2 2 3 2 2 3" xfId="30106" xr:uid="{00000000-0005-0000-0000-0000C9750000}"/>
    <cellStyle name="Note 2 2 2 2 3 2 2 3 2" xfId="30107" xr:uid="{00000000-0005-0000-0000-0000CA750000}"/>
    <cellStyle name="Note 2 2 2 2 3 2 2 3 2 2" xfId="30108" xr:uid="{00000000-0005-0000-0000-0000CB750000}"/>
    <cellStyle name="Note 2 2 2 2 3 2 2 3 3" xfId="30109" xr:uid="{00000000-0005-0000-0000-0000CC750000}"/>
    <cellStyle name="Note 2 2 2 2 3 2 2 4" xfId="30110" xr:uid="{00000000-0005-0000-0000-0000CD750000}"/>
    <cellStyle name="Note 2 2 2 2 3 2 2 4 2" xfId="30111" xr:uid="{00000000-0005-0000-0000-0000CE750000}"/>
    <cellStyle name="Note 2 2 2 2 3 2 2 5" xfId="30112" xr:uid="{00000000-0005-0000-0000-0000CF750000}"/>
    <cellStyle name="Note 2 2 2 2 3 2 3" xfId="30113" xr:uid="{00000000-0005-0000-0000-0000D0750000}"/>
    <cellStyle name="Note 2 2 2 2 3 2 3 2" xfId="30114" xr:uid="{00000000-0005-0000-0000-0000D1750000}"/>
    <cellStyle name="Note 2 2 2 2 3 2 3 2 2" xfId="30115" xr:uid="{00000000-0005-0000-0000-0000D2750000}"/>
    <cellStyle name="Note 2 2 2 2 3 2 3 2 2 2" xfId="30116" xr:uid="{00000000-0005-0000-0000-0000D3750000}"/>
    <cellStyle name="Note 2 2 2 2 3 2 3 2 3" xfId="30117" xr:uid="{00000000-0005-0000-0000-0000D4750000}"/>
    <cellStyle name="Note 2 2 2 2 3 2 3 3" xfId="30118" xr:uid="{00000000-0005-0000-0000-0000D5750000}"/>
    <cellStyle name="Note 2 2 2 2 3 2 3 3 2" xfId="30119" xr:uid="{00000000-0005-0000-0000-0000D6750000}"/>
    <cellStyle name="Note 2 2 2 2 3 2 3 4" xfId="30120" xr:uid="{00000000-0005-0000-0000-0000D7750000}"/>
    <cellStyle name="Note 2 2 2 2 3 2 4" xfId="30121" xr:uid="{00000000-0005-0000-0000-0000D8750000}"/>
    <cellStyle name="Note 2 2 2 2 3 2 4 2" xfId="30122" xr:uid="{00000000-0005-0000-0000-0000D9750000}"/>
    <cellStyle name="Note 2 2 2 2 3 2 4 2 2" xfId="30123" xr:uid="{00000000-0005-0000-0000-0000DA750000}"/>
    <cellStyle name="Note 2 2 2 2 3 2 4 3" xfId="30124" xr:uid="{00000000-0005-0000-0000-0000DB750000}"/>
    <cellStyle name="Note 2 2 2 2 3 2 5" xfId="30125" xr:uid="{00000000-0005-0000-0000-0000DC750000}"/>
    <cellStyle name="Note 2 2 2 2 3 2 5 2" xfId="30126" xr:uid="{00000000-0005-0000-0000-0000DD750000}"/>
    <cellStyle name="Note 2 2 2 2 3 2 6" xfId="30127" xr:uid="{00000000-0005-0000-0000-0000DE750000}"/>
    <cellStyle name="Note 2 2 2 2 3 3" xfId="30128" xr:uid="{00000000-0005-0000-0000-0000DF750000}"/>
    <cellStyle name="Note 2 2 2 2 3 3 2" xfId="30129" xr:uid="{00000000-0005-0000-0000-0000E0750000}"/>
    <cellStyle name="Note 2 2 2 2 3 3 2 2" xfId="30130" xr:uid="{00000000-0005-0000-0000-0000E1750000}"/>
    <cellStyle name="Note 2 2 2 2 3 3 2 2 2" xfId="30131" xr:uid="{00000000-0005-0000-0000-0000E2750000}"/>
    <cellStyle name="Note 2 2 2 2 3 3 2 2 2 2" xfId="30132" xr:uid="{00000000-0005-0000-0000-0000E3750000}"/>
    <cellStyle name="Note 2 2 2 2 3 3 2 2 3" xfId="30133" xr:uid="{00000000-0005-0000-0000-0000E4750000}"/>
    <cellStyle name="Note 2 2 2 2 3 3 2 3" xfId="30134" xr:uid="{00000000-0005-0000-0000-0000E5750000}"/>
    <cellStyle name="Note 2 2 2 2 3 3 2 3 2" xfId="30135" xr:uid="{00000000-0005-0000-0000-0000E6750000}"/>
    <cellStyle name="Note 2 2 2 2 3 3 2 4" xfId="30136" xr:uid="{00000000-0005-0000-0000-0000E7750000}"/>
    <cellStyle name="Note 2 2 2 2 3 3 3" xfId="30137" xr:uid="{00000000-0005-0000-0000-0000E8750000}"/>
    <cellStyle name="Note 2 2 2 2 3 3 3 2" xfId="30138" xr:uid="{00000000-0005-0000-0000-0000E9750000}"/>
    <cellStyle name="Note 2 2 2 2 3 3 3 2 2" xfId="30139" xr:uid="{00000000-0005-0000-0000-0000EA750000}"/>
    <cellStyle name="Note 2 2 2 2 3 3 3 3" xfId="30140" xr:uid="{00000000-0005-0000-0000-0000EB750000}"/>
    <cellStyle name="Note 2 2 2 2 3 3 4" xfId="30141" xr:uid="{00000000-0005-0000-0000-0000EC750000}"/>
    <cellStyle name="Note 2 2 2 2 3 3 4 2" xfId="30142" xr:uid="{00000000-0005-0000-0000-0000ED750000}"/>
    <cellStyle name="Note 2 2 2 2 3 3 5" xfId="30143" xr:uid="{00000000-0005-0000-0000-0000EE750000}"/>
    <cellStyle name="Note 2 2 2 2 3 4" xfId="30144" xr:uid="{00000000-0005-0000-0000-0000EF750000}"/>
    <cellStyle name="Note 2 2 2 2 3 4 2" xfId="30145" xr:uid="{00000000-0005-0000-0000-0000F0750000}"/>
    <cellStyle name="Note 2 2 2 2 3 4 2 2" xfId="30146" xr:uid="{00000000-0005-0000-0000-0000F1750000}"/>
    <cellStyle name="Note 2 2 2 2 3 4 2 2 2" xfId="30147" xr:uid="{00000000-0005-0000-0000-0000F2750000}"/>
    <cellStyle name="Note 2 2 2 2 3 4 2 3" xfId="30148" xr:uid="{00000000-0005-0000-0000-0000F3750000}"/>
    <cellStyle name="Note 2 2 2 2 3 4 3" xfId="30149" xr:uid="{00000000-0005-0000-0000-0000F4750000}"/>
    <cellStyle name="Note 2 2 2 2 3 4 3 2" xfId="30150" xr:uid="{00000000-0005-0000-0000-0000F5750000}"/>
    <cellStyle name="Note 2 2 2 2 3 4 4" xfId="30151" xr:uid="{00000000-0005-0000-0000-0000F6750000}"/>
    <cellStyle name="Note 2 2 2 2 3 5" xfId="30152" xr:uid="{00000000-0005-0000-0000-0000F7750000}"/>
    <cellStyle name="Note 2 2 2 2 3 5 2" xfId="30153" xr:uid="{00000000-0005-0000-0000-0000F8750000}"/>
    <cellStyle name="Note 2 2 2 2 3 5 2 2" xfId="30154" xr:uid="{00000000-0005-0000-0000-0000F9750000}"/>
    <cellStyle name="Note 2 2 2 2 3 5 3" xfId="30155" xr:uid="{00000000-0005-0000-0000-0000FA750000}"/>
    <cellStyle name="Note 2 2 2 2 3 6" xfId="30156" xr:uid="{00000000-0005-0000-0000-0000FB750000}"/>
    <cellStyle name="Note 2 2 2 2 3 6 2" xfId="30157" xr:uid="{00000000-0005-0000-0000-0000FC750000}"/>
    <cellStyle name="Note 2 2 2 2 3 7" xfId="30158" xr:uid="{00000000-0005-0000-0000-0000FD750000}"/>
    <cellStyle name="Note 2 2 2 2 4" xfId="30159" xr:uid="{00000000-0005-0000-0000-0000FE750000}"/>
    <cellStyle name="Note 2 2 2 2 4 2" xfId="30160" xr:uid="{00000000-0005-0000-0000-0000FF750000}"/>
    <cellStyle name="Note 2 2 2 2 4 2 2" xfId="30161" xr:uid="{00000000-0005-0000-0000-000000760000}"/>
    <cellStyle name="Note 2 2 2 2 4 2 2 2" xfId="30162" xr:uid="{00000000-0005-0000-0000-000001760000}"/>
    <cellStyle name="Note 2 2 2 2 4 2 2 2 2" xfId="30163" xr:uid="{00000000-0005-0000-0000-000002760000}"/>
    <cellStyle name="Note 2 2 2 2 4 2 2 2 2 2" xfId="30164" xr:uid="{00000000-0005-0000-0000-000003760000}"/>
    <cellStyle name="Note 2 2 2 2 4 2 2 2 3" xfId="30165" xr:uid="{00000000-0005-0000-0000-000004760000}"/>
    <cellStyle name="Note 2 2 2 2 4 2 2 3" xfId="30166" xr:uid="{00000000-0005-0000-0000-000005760000}"/>
    <cellStyle name="Note 2 2 2 2 4 2 2 3 2" xfId="30167" xr:uid="{00000000-0005-0000-0000-000006760000}"/>
    <cellStyle name="Note 2 2 2 2 4 2 2 4" xfId="30168" xr:uid="{00000000-0005-0000-0000-000007760000}"/>
    <cellStyle name="Note 2 2 2 2 4 2 3" xfId="30169" xr:uid="{00000000-0005-0000-0000-000008760000}"/>
    <cellStyle name="Note 2 2 2 2 4 2 3 2" xfId="30170" xr:uid="{00000000-0005-0000-0000-000009760000}"/>
    <cellStyle name="Note 2 2 2 2 4 2 3 2 2" xfId="30171" xr:uid="{00000000-0005-0000-0000-00000A760000}"/>
    <cellStyle name="Note 2 2 2 2 4 2 3 3" xfId="30172" xr:uid="{00000000-0005-0000-0000-00000B760000}"/>
    <cellStyle name="Note 2 2 2 2 4 2 4" xfId="30173" xr:uid="{00000000-0005-0000-0000-00000C760000}"/>
    <cellStyle name="Note 2 2 2 2 4 2 4 2" xfId="30174" xr:uid="{00000000-0005-0000-0000-00000D760000}"/>
    <cellStyle name="Note 2 2 2 2 4 2 5" xfId="30175" xr:uid="{00000000-0005-0000-0000-00000E760000}"/>
    <cellStyle name="Note 2 2 2 2 4 3" xfId="30176" xr:uid="{00000000-0005-0000-0000-00000F760000}"/>
    <cellStyle name="Note 2 2 2 2 4 3 2" xfId="30177" xr:uid="{00000000-0005-0000-0000-000010760000}"/>
    <cellStyle name="Note 2 2 2 2 4 3 2 2" xfId="30178" xr:uid="{00000000-0005-0000-0000-000011760000}"/>
    <cellStyle name="Note 2 2 2 2 4 3 2 2 2" xfId="30179" xr:uid="{00000000-0005-0000-0000-000012760000}"/>
    <cellStyle name="Note 2 2 2 2 4 3 2 3" xfId="30180" xr:uid="{00000000-0005-0000-0000-000013760000}"/>
    <cellStyle name="Note 2 2 2 2 4 3 3" xfId="30181" xr:uid="{00000000-0005-0000-0000-000014760000}"/>
    <cellStyle name="Note 2 2 2 2 4 3 3 2" xfId="30182" xr:uid="{00000000-0005-0000-0000-000015760000}"/>
    <cellStyle name="Note 2 2 2 2 4 3 4" xfId="30183" xr:uid="{00000000-0005-0000-0000-000016760000}"/>
    <cellStyle name="Note 2 2 2 2 4 4" xfId="30184" xr:uid="{00000000-0005-0000-0000-000017760000}"/>
    <cellStyle name="Note 2 2 2 2 4 4 2" xfId="30185" xr:uid="{00000000-0005-0000-0000-000018760000}"/>
    <cellStyle name="Note 2 2 2 2 4 4 2 2" xfId="30186" xr:uid="{00000000-0005-0000-0000-000019760000}"/>
    <cellStyle name="Note 2 2 2 2 4 4 3" xfId="30187" xr:uid="{00000000-0005-0000-0000-00001A760000}"/>
    <cellStyle name="Note 2 2 2 2 4 5" xfId="30188" xr:uid="{00000000-0005-0000-0000-00001B760000}"/>
    <cellStyle name="Note 2 2 2 2 4 5 2" xfId="30189" xr:uid="{00000000-0005-0000-0000-00001C760000}"/>
    <cellStyle name="Note 2 2 2 2 4 6" xfId="30190" xr:uid="{00000000-0005-0000-0000-00001D760000}"/>
    <cellStyle name="Note 2 2 2 2 5" xfId="30191" xr:uid="{00000000-0005-0000-0000-00001E760000}"/>
    <cellStyle name="Note 2 2 2 2 5 2" xfId="30192" xr:uid="{00000000-0005-0000-0000-00001F760000}"/>
    <cellStyle name="Note 2 2 2 2 5 2 2" xfId="30193" xr:uid="{00000000-0005-0000-0000-000020760000}"/>
    <cellStyle name="Note 2 2 2 2 5 2 2 2" xfId="30194" xr:uid="{00000000-0005-0000-0000-000021760000}"/>
    <cellStyle name="Note 2 2 2 2 5 2 2 2 2" xfId="30195" xr:uid="{00000000-0005-0000-0000-000022760000}"/>
    <cellStyle name="Note 2 2 2 2 5 2 2 3" xfId="30196" xr:uid="{00000000-0005-0000-0000-000023760000}"/>
    <cellStyle name="Note 2 2 2 2 5 2 3" xfId="30197" xr:uid="{00000000-0005-0000-0000-000024760000}"/>
    <cellStyle name="Note 2 2 2 2 5 2 3 2" xfId="30198" xr:uid="{00000000-0005-0000-0000-000025760000}"/>
    <cellStyle name="Note 2 2 2 2 5 2 4" xfId="30199" xr:uid="{00000000-0005-0000-0000-000026760000}"/>
    <cellStyle name="Note 2 2 2 2 5 3" xfId="30200" xr:uid="{00000000-0005-0000-0000-000027760000}"/>
    <cellStyle name="Note 2 2 2 2 5 3 2" xfId="30201" xr:uid="{00000000-0005-0000-0000-000028760000}"/>
    <cellStyle name="Note 2 2 2 2 5 3 2 2" xfId="30202" xr:uid="{00000000-0005-0000-0000-000029760000}"/>
    <cellStyle name="Note 2 2 2 2 5 3 3" xfId="30203" xr:uid="{00000000-0005-0000-0000-00002A760000}"/>
    <cellStyle name="Note 2 2 2 2 5 4" xfId="30204" xr:uid="{00000000-0005-0000-0000-00002B760000}"/>
    <cellStyle name="Note 2 2 2 2 5 4 2" xfId="30205" xr:uid="{00000000-0005-0000-0000-00002C760000}"/>
    <cellStyle name="Note 2 2 2 2 5 5" xfId="30206" xr:uid="{00000000-0005-0000-0000-00002D760000}"/>
    <cellStyle name="Note 2 2 2 2 6" xfId="30207" xr:uid="{00000000-0005-0000-0000-00002E760000}"/>
    <cellStyle name="Note 2 2 2 2 6 2" xfId="30208" xr:uid="{00000000-0005-0000-0000-00002F760000}"/>
    <cellStyle name="Note 2 2 2 2 6 2 2" xfId="30209" xr:uid="{00000000-0005-0000-0000-000030760000}"/>
    <cellStyle name="Note 2 2 2 2 6 2 2 2" xfId="30210" xr:uid="{00000000-0005-0000-0000-000031760000}"/>
    <cellStyle name="Note 2 2 2 2 6 2 3" xfId="30211" xr:uid="{00000000-0005-0000-0000-000032760000}"/>
    <cellStyle name="Note 2 2 2 2 6 3" xfId="30212" xr:uid="{00000000-0005-0000-0000-000033760000}"/>
    <cellStyle name="Note 2 2 2 2 6 3 2" xfId="30213" xr:uid="{00000000-0005-0000-0000-000034760000}"/>
    <cellStyle name="Note 2 2 2 2 6 4" xfId="30214" xr:uid="{00000000-0005-0000-0000-000035760000}"/>
    <cellStyle name="Note 2 2 2 2 7" xfId="30215" xr:uid="{00000000-0005-0000-0000-000036760000}"/>
    <cellStyle name="Note 2 2 2 2 7 2" xfId="30216" xr:uid="{00000000-0005-0000-0000-000037760000}"/>
    <cellStyle name="Note 2 2 2 2 7 2 2" xfId="30217" xr:uid="{00000000-0005-0000-0000-000038760000}"/>
    <cellStyle name="Note 2 2 2 2 7 3" xfId="30218" xr:uid="{00000000-0005-0000-0000-000039760000}"/>
    <cellStyle name="Note 2 2 2 2 8" xfId="30219" xr:uid="{00000000-0005-0000-0000-00003A760000}"/>
    <cellStyle name="Note 2 2 2 2 8 2" xfId="30220" xr:uid="{00000000-0005-0000-0000-00003B760000}"/>
    <cellStyle name="Note 2 2 2 2 9" xfId="30221" xr:uid="{00000000-0005-0000-0000-00003C760000}"/>
    <cellStyle name="Note 2 2 2 3" xfId="30222" xr:uid="{00000000-0005-0000-0000-00003D760000}"/>
    <cellStyle name="Note 2 2 2 3 2" xfId="30223" xr:uid="{00000000-0005-0000-0000-00003E760000}"/>
    <cellStyle name="Note 2 2 2 3 2 2" xfId="30224" xr:uid="{00000000-0005-0000-0000-00003F760000}"/>
    <cellStyle name="Note 2 2 2 3 2 2 2" xfId="30225" xr:uid="{00000000-0005-0000-0000-000040760000}"/>
    <cellStyle name="Note 2 2 2 3 2 2 2 2" xfId="30226" xr:uid="{00000000-0005-0000-0000-000041760000}"/>
    <cellStyle name="Note 2 2 2 3 2 2 2 2 2" xfId="30227" xr:uid="{00000000-0005-0000-0000-000042760000}"/>
    <cellStyle name="Note 2 2 2 3 2 2 2 2 2 2" xfId="30228" xr:uid="{00000000-0005-0000-0000-000043760000}"/>
    <cellStyle name="Note 2 2 2 3 2 2 2 2 2 2 2" xfId="30229" xr:uid="{00000000-0005-0000-0000-000044760000}"/>
    <cellStyle name="Note 2 2 2 3 2 2 2 2 2 3" xfId="30230" xr:uid="{00000000-0005-0000-0000-000045760000}"/>
    <cellStyle name="Note 2 2 2 3 2 2 2 2 3" xfId="30231" xr:uid="{00000000-0005-0000-0000-000046760000}"/>
    <cellStyle name="Note 2 2 2 3 2 2 2 2 3 2" xfId="30232" xr:uid="{00000000-0005-0000-0000-000047760000}"/>
    <cellStyle name="Note 2 2 2 3 2 2 2 2 4" xfId="30233" xr:uid="{00000000-0005-0000-0000-000048760000}"/>
    <cellStyle name="Note 2 2 2 3 2 2 2 3" xfId="30234" xr:uid="{00000000-0005-0000-0000-000049760000}"/>
    <cellStyle name="Note 2 2 2 3 2 2 2 3 2" xfId="30235" xr:uid="{00000000-0005-0000-0000-00004A760000}"/>
    <cellStyle name="Note 2 2 2 3 2 2 2 3 2 2" xfId="30236" xr:uid="{00000000-0005-0000-0000-00004B760000}"/>
    <cellStyle name="Note 2 2 2 3 2 2 2 3 3" xfId="30237" xr:uid="{00000000-0005-0000-0000-00004C760000}"/>
    <cellStyle name="Note 2 2 2 3 2 2 2 4" xfId="30238" xr:uid="{00000000-0005-0000-0000-00004D760000}"/>
    <cellStyle name="Note 2 2 2 3 2 2 2 4 2" xfId="30239" xr:uid="{00000000-0005-0000-0000-00004E760000}"/>
    <cellStyle name="Note 2 2 2 3 2 2 2 5" xfId="30240" xr:uid="{00000000-0005-0000-0000-00004F760000}"/>
    <cellStyle name="Note 2 2 2 3 2 2 3" xfId="30241" xr:uid="{00000000-0005-0000-0000-000050760000}"/>
    <cellStyle name="Note 2 2 2 3 2 2 3 2" xfId="30242" xr:uid="{00000000-0005-0000-0000-000051760000}"/>
    <cellStyle name="Note 2 2 2 3 2 2 3 2 2" xfId="30243" xr:uid="{00000000-0005-0000-0000-000052760000}"/>
    <cellStyle name="Note 2 2 2 3 2 2 3 2 2 2" xfId="30244" xr:uid="{00000000-0005-0000-0000-000053760000}"/>
    <cellStyle name="Note 2 2 2 3 2 2 3 2 3" xfId="30245" xr:uid="{00000000-0005-0000-0000-000054760000}"/>
    <cellStyle name="Note 2 2 2 3 2 2 3 3" xfId="30246" xr:uid="{00000000-0005-0000-0000-000055760000}"/>
    <cellStyle name="Note 2 2 2 3 2 2 3 3 2" xfId="30247" xr:uid="{00000000-0005-0000-0000-000056760000}"/>
    <cellStyle name="Note 2 2 2 3 2 2 3 4" xfId="30248" xr:uid="{00000000-0005-0000-0000-000057760000}"/>
    <cellStyle name="Note 2 2 2 3 2 2 4" xfId="30249" xr:uid="{00000000-0005-0000-0000-000058760000}"/>
    <cellStyle name="Note 2 2 2 3 2 2 4 2" xfId="30250" xr:uid="{00000000-0005-0000-0000-000059760000}"/>
    <cellStyle name="Note 2 2 2 3 2 2 4 2 2" xfId="30251" xr:uid="{00000000-0005-0000-0000-00005A760000}"/>
    <cellStyle name="Note 2 2 2 3 2 2 4 3" xfId="30252" xr:uid="{00000000-0005-0000-0000-00005B760000}"/>
    <cellStyle name="Note 2 2 2 3 2 2 5" xfId="30253" xr:uid="{00000000-0005-0000-0000-00005C760000}"/>
    <cellStyle name="Note 2 2 2 3 2 2 5 2" xfId="30254" xr:uid="{00000000-0005-0000-0000-00005D760000}"/>
    <cellStyle name="Note 2 2 2 3 2 2 6" xfId="30255" xr:uid="{00000000-0005-0000-0000-00005E760000}"/>
    <cellStyle name="Note 2 2 2 3 2 3" xfId="30256" xr:uid="{00000000-0005-0000-0000-00005F760000}"/>
    <cellStyle name="Note 2 2 2 3 2 3 2" xfId="30257" xr:uid="{00000000-0005-0000-0000-000060760000}"/>
    <cellStyle name="Note 2 2 2 3 2 3 2 2" xfId="30258" xr:uid="{00000000-0005-0000-0000-000061760000}"/>
    <cellStyle name="Note 2 2 2 3 2 3 2 2 2" xfId="30259" xr:uid="{00000000-0005-0000-0000-000062760000}"/>
    <cellStyle name="Note 2 2 2 3 2 3 2 2 2 2" xfId="30260" xr:uid="{00000000-0005-0000-0000-000063760000}"/>
    <cellStyle name="Note 2 2 2 3 2 3 2 2 3" xfId="30261" xr:uid="{00000000-0005-0000-0000-000064760000}"/>
    <cellStyle name="Note 2 2 2 3 2 3 2 3" xfId="30262" xr:uid="{00000000-0005-0000-0000-000065760000}"/>
    <cellStyle name="Note 2 2 2 3 2 3 2 3 2" xfId="30263" xr:uid="{00000000-0005-0000-0000-000066760000}"/>
    <cellStyle name="Note 2 2 2 3 2 3 2 4" xfId="30264" xr:uid="{00000000-0005-0000-0000-000067760000}"/>
    <cellStyle name="Note 2 2 2 3 2 3 3" xfId="30265" xr:uid="{00000000-0005-0000-0000-000068760000}"/>
    <cellStyle name="Note 2 2 2 3 2 3 3 2" xfId="30266" xr:uid="{00000000-0005-0000-0000-000069760000}"/>
    <cellStyle name="Note 2 2 2 3 2 3 3 2 2" xfId="30267" xr:uid="{00000000-0005-0000-0000-00006A760000}"/>
    <cellStyle name="Note 2 2 2 3 2 3 3 3" xfId="30268" xr:uid="{00000000-0005-0000-0000-00006B760000}"/>
    <cellStyle name="Note 2 2 2 3 2 3 4" xfId="30269" xr:uid="{00000000-0005-0000-0000-00006C760000}"/>
    <cellStyle name="Note 2 2 2 3 2 3 4 2" xfId="30270" xr:uid="{00000000-0005-0000-0000-00006D760000}"/>
    <cellStyle name="Note 2 2 2 3 2 3 5" xfId="30271" xr:uid="{00000000-0005-0000-0000-00006E760000}"/>
    <cellStyle name="Note 2 2 2 3 2 4" xfId="30272" xr:uid="{00000000-0005-0000-0000-00006F760000}"/>
    <cellStyle name="Note 2 2 2 3 2 4 2" xfId="30273" xr:uid="{00000000-0005-0000-0000-000070760000}"/>
    <cellStyle name="Note 2 2 2 3 2 4 2 2" xfId="30274" xr:uid="{00000000-0005-0000-0000-000071760000}"/>
    <cellStyle name="Note 2 2 2 3 2 4 2 2 2" xfId="30275" xr:uid="{00000000-0005-0000-0000-000072760000}"/>
    <cellStyle name="Note 2 2 2 3 2 4 2 3" xfId="30276" xr:uid="{00000000-0005-0000-0000-000073760000}"/>
    <cellStyle name="Note 2 2 2 3 2 4 3" xfId="30277" xr:uid="{00000000-0005-0000-0000-000074760000}"/>
    <cellStyle name="Note 2 2 2 3 2 4 3 2" xfId="30278" xr:uid="{00000000-0005-0000-0000-000075760000}"/>
    <cellStyle name="Note 2 2 2 3 2 4 4" xfId="30279" xr:uid="{00000000-0005-0000-0000-000076760000}"/>
    <cellStyle name="Note 2 2 2 3 2 5" xfId="30280" xr:uid="{00000000-0005-0000-0000-000077760000}"/>
    <cellStyle name="Note 2 2 2 3 2 5 2" xfId="30281" xr:uid="{00000000-0005-0000-0000-000078760000}"/>
    <cellStyle name="Note 2 2 2 3 2 5 2 2" xfId="30282" xr:uid="{00000000-0005-0000-0000-000079760000}"/>
    <cellStyle name="Note 2 2 2 3 2 5 3" xfId="30283" xr:uid="{00000000-0005-0000-0000-00007A760000}"/>
    <cellStyle name="Note 2 2 2 3 2 6" xfId="30284" xr:uid="{00000000-0005-0000-0000-00007B760000}"/>
    <cellStyle name="Note 2 2 2 3 2 6 2" xfId="30285" xr:uid="{00000000-0005-0000-0000-00007C760000}"/>
    <cellStyle name="Note 2 2 2 3 2 7" xfId="30286" xr:uid="{00000000-0005-0000-0000-00007D760000}"/>
    <cellStyle name="Note 2 2 2 3 3" xfId="30287" xr:uid="{00000000-0005-0000-0000-00007E760000}"/>
    <cellStyle name="Note 2 2 2 3 3 2" xfId="30288" xr:uid="{00000000-0005-0000-0000-00007F760000}"/>
    <cellStyle name="Note 2 2 2 3 3 2 2" xfId="30289" xr:uid="{00000000-0005-0000-0000-000080760000}"/>
    <cellStyle name="Note 2 2 2 3 3 2 2 2" xfId="30290" xr:uid="{00000000-0005-0000-0000-000081760000}"/>
    <cellStyle name="Note 2 2 2 3 3 2 2 2 2" xfId="30291" xr:uid="{00000000-0005-0000-0000-000082760000}"/>
    <cellStyle name="Note 2 2 2 3 3 2 2 2 2 2" xfId="30292" xr:uid="{00000000-0005-0000-0000-000083760000}"/>
    <cellStyle name="Note 2 2 2 3 3 2 2 2 3" xfId="30293" xr:uid="{00000000-0005-0000-0000-000084760000}"/>
    <cellStyle name="Note 2 2 2 3 3 2 2 3" xfId="30294" xr:uid="{00000000-0005-0000-0000-000085760000}"/>
    <cellStyle name="Note 2 2 2 3 3 2 2 3 2" xfId="30295" xr:uid="{00000000-0005-0000-0000-000086760000}"/>
    <cellStyle name="Note 2 2 2 3 3 2 2 4" xfId="30296" xr:uid="{00000000-0005-0000-0000-000087760000}"/>
    <cellStyle name="Note 2 2 2 3 3 2 3" xfId="30297" xr:uid="{00000000-0005-0000-0000-000088760000}"/>
    <cellStyle name="Note 2 2 2 3 3 2 3 2" xfId="30298" xr:uid="{00000000-0005-0000-0000-000089760000}"/>
    <cellStyle name="Note 2 2 2 3 3 2 3 2 2" xfId="30299" xr:uid="{00000000-0005-0000-0000-00008A760000}"/>
    <cellStyle name="Note 2 2 2 3 3 2 3 3" xfId="30300" xr:uid="{00000000-0005-0000-0000-00008B760000}"/>
    <cellStyle name="Note 2 2 2 3 3 2 4" xfId="30301" xr:uid="{00000000-0005-0000-0000-00008C760000}"/>
    <cellStyle name="Note 2 2 2 3 3 2 4 2" xfId="30302" xr:uid="{00000000-0005-0000-0000-00008D760000}"/>
    <cellStyle name="Note 2 2 2 3 3 2 5" xfId="30303" xr:uid="{00000000-0005-0000-0000-00008E760000}"/>
    <cellStyle name="Note 2 2 2 3 3 3" xfId="30304" xr:uid="{00000000-0005-0000-0000-00008F760000}"/>
    <cellStyle name="Note 2 2 2 3 3 3 2" xfId="30305" xr:uid="{00000000-0005-0000-0000-000090760000}"/>
    <cellStyle name="Note 2 2 2 3 3 3 2 2" xfId="30306" xr:uid="{00000000-0005-0000-0000-000091760000}"/>
    <cellStyle name="Note 2 2 2 3 3 3 2 2 2" xfId="30307" xr:uid="{00000000-0005-0000-0000-000092760000}"/>
    <cellStyle name="Note 2 2 2 3 3 3 2 3" xfId="30308" xr:uid="{00000000-0005-0000-0000-000093760000}"/>
    <cellStyle name="Note 2 2 2 3 3 3 3" xfId="30309" xr:uid="{00000000-0005-0000-0000-000094760000}"/>
    <cellStyle name="Note 2 2 2 3 3 3 3 2" xfId="30310" xr:uid="{00000000-0005-0000-0000-000095760000}"/>
    <cellStyle name="Note 2 2 2 3 3 3 4" xfId="30311" xr:uid="{00000000-0005-0000-0000-000096760000}"/>
    <cellStyle name="Note 2 2 2 3 3 4" xfId="30312" xr:uid="{00000000-0005-0000-0000-000097760000}"/>
    <cellStyle name="Note 2 2 2 3 3 4 2" xfId="30313" xr:uid="{00000000-0005-0000-0000-000098760000}"/>
    <cellStyle name="Note 2 2 2 3 3 4 2 2" xfId="30314" xr:uid="{00000000-0005-0000-0000-000099760000}"/>
    <cellStyle name="Note 2 2 2 3 3 4 3" xfId="30315" xr:uid="{00000000-0005-0000-0000-00009A760000}"/>
    <cellStyle name="Note 2 2 2 3 3 5" xfId="30316" xr:uid="{00000000-0005-0000-0000-00009B760000}"/>
    <cellStyle name="Note 2 2 2 3 3 5 2" xfId="30317" xr:uid="{00000000-0005-0000-0000-00009C760000}"/>
    <cellStyle name="Note 2 2 2 3 3 6" xfId="30318" xr:uid="{00000000-0005-0000-0000-00009D760000}"/>
    <cellStyle name="Note 2 2 2 3 4" xfId="30319" xr:uid="{00000000-0005-0000-0000-00009E760000}"/>
    <cellStyle name="Note 2 2 2 3 4 2" xfId="30320" xr:uid="{00000000-0005-0000-0000-00009F760000}"/>
    <cellStyle name="Note 2 2 2 3 4 2 2" xfId="30321" xr:uid="{00000000-0005-0000-0000-0000A0760000}"/>
    <cellStyle name="Note 2 2 2 3 4 2 2 2" xfId="30322" xr:uid="{00000000-0005-0000-0000-0000A1760000}"/>
    <cellStyle name="Note 2 2 2 3 4 2 2 2 2" xfId="30323" xr:uid="{00000000-0005-0000-0000-0000A2760000}"/>
    <cellStyle name="Note 2 2 2 3 4 2 2 3" xfId="30324" xr:uid="{00000000-0005-0000-0000-0000A3760000}"/>
    <cellStyle name="Note 2 2 2 3 4 2 3" xfId="30325" xr:uid="{00000000-0005-0000-0000-0000A4760000}"/>
    <cellStyle name="Note 2 2 2 3 4 2 3 2" xfId="30326" xr:uid="{00000000-0005-0000-0000-0000A5760000}"/>
    <cellStyle name="Note 2 2 2 3 4 2 4" xfId="30327" xr:uid="{00000000-0005-0000-0000-0000A6760000}"/>
    <cellStyle name="Note 2 2 2 3 4 3" xfId="30328" xr:uid="{00000000-0005-0000-0000-0000A7760000}"/>
    <cellStyle name="Note 2 2 2 3 4 3 2" xfId="30329" xr:uid="{00000000-0005-0000-0000-0000A8760000}"/>
    <cellStyle name="Note 2 2 2 3 4 3 2 2" xfId="30330" xr:uid="{00000000-0005-0000-0000-0000A9760000}"/>
    <cellStyle name="Note 2 2 2 3 4 3 3" xfId="30331" xr:uid="{00000000-0005-0000-0000-0000AA760000}"/>
    <cellStyle name="Note 2 2 2 3 4 4" xfId="30332" xr:uid="{00000000-0005-0000-0000-0000AB760000}"/>
    <cellStyle name="Note 2 2 2 3 4 4 2" xfId="30333" xr:uid="{00000000-0005-0000-0000-0000AC760000}"/>
    <cellStyle name="Note 2 2 2 3 4 5" xfId="30334" xr:uid="{00000000-0005-0000-0000-0000AD760000}"/>
    <cellStyle name="Note 2 2 2 3 5" xfId="30335" xr:uid="{00000000-0005-0000-0000-0000AE760000}"/>
    <cellStyle name="Note 2 2 2 3 5 2" xfId="30336" xr:uid="{00000000-0005-0000-0000-0000AF760000}"/>
    <cellStyle name="Note 2 2 2 3 5 2 2" xfId="30337" xr:uid="{00000000-0005-0000-0000-0000B0760000}"/>
    <cellStyle name="Note 2 2 2 3 5 2 2 2" xfId="30338" xr:uid="{00000000-0005-0000-0000-0000B1760000}"/>
    <cellStyle name="Note 2 2 2 3 5 2 3" xfId="30339" xr:uid="{00000000-0005-0000-0000-0000B2760000}"/>
    <cellStyle name="Note 2 2 2 3 5 3" xfId="30340" xr:uid="{00000000-0005-0000-0000-0000B3760000}"/>
    <cellStyle name="Note 2 2 2 3 5 3 2" xfId="30341" xr:uid="{00000000-0005-0000-0000-0000B4760000}"/>
    <cellStyle name="Note 2 2 2 3 5 4" xfId="30342" xr:uid="{00000000-0005-0000-0000-0000B5760000}"/>
    <cellStyle name="Note 2 2 2 3 6" xfId="30343" xr:uid="{00000000-0005-0000-0000-0000B6760000}"/>
    <cellStyle name="Note 2 2 2 3 6 2" xfId="30344" xr:uid="{00000000-0005-0000-0000-0000B7760000}"/>
    <cellStyle name="Note 2 2 2 3 6 2 2" xfId="30345" xr:uid="{00000000-0005-0000-0000-0000B8760000}"/>
    <cellStyle name="Note 2 2 2 3 6 3" xfId="30346" xr:uid="{00000000-0005-0000-0000-0000B9760000}"/>
    <cellStyle name="Note 2 2 2 3 7" xfId="30347" xr:uid="{00000000-0005-0000-0000-0000BA760000}"/>
    <cellStyle name="Note 2 2 2 3 7 2" xfId="30348" xr:uid="{00000000-0005-0000-0000-0000BB760000}"/>
    <cellStyle name="Note 2 2 2 3 8" xfId="30349" xr:uid="{00000000-0005-0000-0000-0000BC760000}"/>
    <cellStyle name="Note 2 2 2 4" xfId="30350" xr:uid="{00000000-0005-0000-0000-0000BD760000}"/>
    <cellStyle name="Note 2 2 2 4 2" xfId="30351" xr:uid="{00000000-0005-0000-0000-0000BE760000}"/>
    <cellStyle name="Note 2 2 2 4 2 2" xfId="30352" xr:uid="{00000000-0005-0000-0000-0000BF760000}"/>
    <cellStyle name="Note 2 2 2 4 2 2 2" xfId="30353" xr:uid="{00000000-0005-0000-0000-0000C0760000}"/>
    <cellStyle name="Note 2 2 2 4 2 2 2 2" xfId="30354" xr:uid="{00000000-0005-0000-0000-0000C1760000}"/>
    <cellStyle name="Note 2 2 2 4 2 2 2 2 2" xfId="30355" xr:uid="{00000000-0005-0000-0000-0000C2760000}"/>
    <cellStyle name="Note 2 2 2 4 2 2 2 2 2 2" xfId="30356" xr:uid="{00000000-0005-0000-0000-0000C3760000}"/>
    <cellStyle name="Note 2 2 2 4 2 2 2 2 3" xfId="30357" xr:uid="{00000000-0005-0000-0000-0000C4760000}"/>
    <cellStyle name="Note 2 2 2 4 2 2 2 3" xfId="30358" xr:uid="{00000000-0005-0000-0000-0000C5760000}"/>
    <cellStyle name="Note 2 2 2 4 2 2 2 3 2" xfId="30359" xr:uid="{00000000-0005-0000-0000-0000C6760000}"/>
    <cellStyle name="Note 2 2 2 4 2 2 2 4" xfId="30360" xr:uid="{00000000-0005-0000-0000-0000C7760000}"/>
    <cellStyle name="Note 2 2 2 4 2 2 3" xfId="30361" xr:uid="{00000000-0005-0000-0000-0000C8760000}"/>
    <cellStyle name="Note 2 2 2 4 2 2 3 2" xfId="30362" xr:uid="{00000000-0005-0000-0000-0000C9760000}"/>
    <cellStyle name="Note 2 2 2 4 2 2 3 2 2" xfId="30363" xr:uid="{00000000-0005-0000-0000-0000CA760000}"/>
    <cellStyle name="Note 2 2 2 4 2 2 3 3" xfId="30364" xr:uid="{00000000-0005-0000-0000-0000CB760000}"/>
    <cellStyle name="Note 2 2 2 4 2 2 4" xfId="30365" xr:uid="{00000000-0005-0000-0000-0000CC760000}"/>
    <cellStyle name="Note 2 2 2 4 2 2 4 2" xfId="30366" xr:uid="{00000000-0005-0000-0000-0000CD760000}"/>
    <cellStyle name="Note 2 2 2 4 2 2 5" xfId="30367" xr:uid="{00000000-0005-0000-0000-0000CE760000}"/>
    <cellStyle name="Note 2 2 2 4 2 3" xfId="30368" xr:uid="{00000000-0005-0000-0000-0000CF760000}"/>
    <cellStyle name="Note 2 2 2 4 2 3 2" xfId="30369" xr:uid="{00000000-0005-0000-0000-0000D0760000}"/>
    <cellStyle name="Note 2 2 2 4 2 3 2 2" xfId="30370" xr:uid="{00000000-0005-0000-0000-0000D1760000}"/>
    <cellStyle name="Note 2 2 2 4 2 3 2 2 2" xfId="30371" xr:uid="{00000000-0005-0000-0000-0000D2760000}"/>
    <cellStyle name="Note 2 2 2 4 2 3 2 3" xfId="30372" xr:uid="{00000000-0005-0000-0000-0000D3760000}"/>
    <cellStyle name="Note 2 2 2 4 2 3 3" xfId="30373" xr:uid="{00000000-0005-0000-0000-0000D4760000}"/>
    <cellStyle name="Note 2 2 2 4 2 3 3 2" xfId="30374" xr:uid="{00000000-0005-0000-0000-0000D5760000}"/>
    <cellStyle name="Note 2 2 2 4 2 3 4" xfId="30375" xr:uid="{00000000-0005-0000-0000-0000D6760000}"/>
    <cellStyle name="Note 2 2 2 4 2 4" xfId="30376" xr:uid="{00000000-0005-0000-0000-0000D7760000}"/>
    <cellStyle name="Note 2 2 2 4 2 4 2" xfId="30377" xr:uid="{00000000-0005-0000-0000-0000D8760000}"/>
    <cellStyle name="Note 2 2 2 4 2 4 2 2" xfId="30378" xr:uid="{00000000-0005-0000-0000-0000D9760000}"/>
    <cellStyle name="Note 2 2 2 4 2 4 3" xfId="30379" xr:uid="{00000000-0005-0000-0000-0000DA760000}"/>
    <cellStyle name="Note 2 2 2 4 2 5" xfId="30380" xr:uid="{00000000-0005-0000-0000-0000DB760000}"/>
    <cellStyle name="Note 2 2 2 4 2 5 2" xfId="30381" xr:uid="{00000000-0005-0000-0000-0000DC760000}"/>
    <cellStyle name="Note 2 2 2 4 2 6" xfId="30382" xr:uid="{00000000-0005-0000-0000-0000DD760000}"/>
    <cellStyle name="Note 2 2 2 4 3" xfId="30383" xr:uid="{00000000-0005-0000-0000-0000DE760000}"/>
    <cellStyle name="Note 2 2 2 4 3 2" xfId="30384" xr:uid="{00000000-0005-0000-0000-0000DF760000}"/>
    <cellStyle name="Note 2 2 2 4 3 2 2" xfId="30385" xr:uid="{00000000-0005-0000-0000-0000E0760000}"/>
    <cellStyle name="Note 2 2 2 4 3 2 2 2" xfId="30386" xr:uid="{00000000-0005-0000-0000-0000E1760000}"/>
    <cellStyle name="Note 2 2 2 4 3 2 2 2 2" xfId="30387" xr:uid="{00000000-0005-0000-0000-0000E2760000}"/>
    <cellStyle name="Note 2 2 2 4 3 2 2 3" xfId="30388" xr:uid="{00000000-0005-0000-0000-0000E3760000}"/>
    <cellStyle name="Note 2 2 2 4 3 2 3" xfId="30389" xr:uid="{00000000-0005-0000-0000-0000E4760000}"/>
    <cellStyle name="Note 2 2 2 4 3 2 3 2" xfId="30390" xr:uid="{00000000-0005-0000-0000-0000E5760000}"/>
    <cellStyle name="Note 2 2 2 4 3 2 4" xfId="30391" xr:uid="{00000000-0005-0000-0000-0000E6760000}"/>
    <cellStyle name="Note 2 2 2 4 3 3" xfId="30392" xr:uid="{00000000-0005-0000-0000-0000E7760000}"/>
    <cellStyle name="Note 2 2 2 4 3 3 2" xfId="30393" xr:uid="{00000000-0005-0000-0000-0000E8760000}"/>
    <cellStyle name="Note 2 2 2 4 3 3 2 2" xfId="30394" xr:uid="{00000000-0005-0000-0000-0000E9760000}"/>
    <cellStyle name="Note 2 2 2 4 3 3 3" xfId="30395" xr:uid="{00000000-0005-0000-0000-0000EA760000}"/>
    <cellStyle name="Note 2 2 2 4 3 4" xfId="30396" xr:uid="{00000000-0005-0000-0000-0000EB760000}"/>
    <cellStyle name="Note 2 2 2 4 3 4 2" xfId="30397" xr:uid="{00000000-0005-0000-0000-0000EC760000}"/>
    <cellStyle name="Note 2 2 2 4 3 5" xfId="30398" xr:uid="{00000000-0005-0000-0000-0000ED760000}"/>
    <cellStyle name="Note 2 2 2 4 4" xfId="30399" xr:uid="{00000000-0005-0000-0000-0000EE760000}"/>
    <cellStyle name="Note 2 2 2 4 4 2" xfId="30400" xr:uid="{00000000-0005-0000-0000-0000EF760000}"/>
    <cellStyle name="Note 2 2 2 4 4 2 2" xfId="30401" xr:uid="{00000000-0005-0000-0000-0000F0760000}"/>
    <cellStyle name="Note 2 2 2 4 4 2 2 2" xfId="30402" xr:uid="{00000000-0005-0000-0000-0000F1760000}"/>
    <cellStyle name="Note 2 2 2 4 4 2 3" xfId="30403" xr:uid="{00000000-0005-0000-0000-0000F2760000}"/>
    <cellStyle name="Note 2 2 2 4 4 3" xfId="30404" xr:uid="{00000000-0005-0000-0000-0000F3760000}"/>
    <cellStyle name="Note 2 2 2 4 4 3 2" xfId="30405" xr:uid="{00000000-0005-0000-0000-0000F4760000}"/>
    <cellStyle name="Note 2 2 2 4 4 4" xfId="30406" xr:uid="{00000000-0005-0000-0000-0000F5760000}"/>
    <cellStyle name="Note 2 2 2 4 5" xfId="30407" xr:uid="{00000000-0005-0000-0000-0000F6760000}"/>
    <cellStyle name="Note 2 2 2 4 5 2" xfId="30408" xr:uid="{00000000-0005-0000-0000-0000F7760000}"/>
    <cellStyle name="Note 2 2 2 4 5 2 2" xfId="30409" xr:uid="{00000000-0005-0000-0000-0000F8760000}"/>
    <cellStyle name="Note 2 2 2 4 5 3" xfId="30410" xr:uid="{00000000-0005-0000-0000-0000F9760000}"/>
    <cellStyle name="Note 2 2 2 4 6" xfId="30411" xr:uid="{00000000-0005-0000-0000-0000FA760000}"/>
    <cellStyle name="Note 2 2 2 4 6 2" xfId="30412" xr:uid="{00000000-0005-0000-0000-0000FB760000}"/>
    <cellStyle name="Note 2 2 2 4 7" xfId="30413" xr:uid="{00000000-0005-0000-0000-0000FC760000}"/>
    <cellStyle name="Note 2 2 2 5" xfId="30414" xr:uid="{00000000-0005-0000-0000-0000FD760000}"/>
    <cellStyle name="Note 2 2 2 5 2" xfId="30415" xr:uid="{00000000-0005-0000-0000-0000FE760000}"/>
    <cellStyle name="Note 2 2 2 5 2 2" xfId="30416" xr:uid="{00000000-0005-0000-0000-0000FF760000}"/>
    <cellStyle name="Note 2 2 2 5 2 2 2" xfId="30417" xr:uid="{00000000-0005-0000-0000-000000770000}"/>
    <cellStyle name="Note 2 2 2 5 2 2 2 2" xfId="30418" xr:uid="{00000000-0005-0000-0000-000001770000}"/>
    <cellStyle name="Note 2 2 2 5 2 2 2 2 2" xfId="30419" xr:uid="{00000000-0005-0000-0000-000002770000}"/>
    <cellStyle name="Note 2 2 2 5 2 2 2 3" xfId="30420" xr:uid="{00000000-0005-0000-0000-000003770000}"/>
    <cellStyle name="Note 2 2 2 5 2 2 3" xfId="30421" xr:uid="{00000000-0005-0000-0000-000004770000}"/>
    <cellStyle name="Note 2 2 2 5 2 2 3 2" xfId="30422" xr:uid="{00000000-0005-0000-0000-000005770000}"/>
    <cellStyle name="Note 2 2 2 5 2 2 4" xfId="30423" xr:uid="{00000000-0005-0000-0000-000006770000}"/>
    <cellStyle name="Note 2 2 2 5 2 3" xfId="30424" xr:uid="{00000000-0005-0000-0000-000007770000}"/>
    <cellStyle name="Note 2 2 2 5 2 3 2" xfId="30425" xr:uid="{00000000-0005-0000-0000-000008770000}"/>
    <cellStyle name="Note 2 2 2 5 2 3 2 2" xfId="30426" xr:uid="{00000000-0005-0000-0000-000009770000}"/>
    <cellStyle name="Note 2 2 2 5 2 3 3" xfId="30427" xr:uid="{00000000-0005-0000-0000-00000A770000}"/>
    <cellStyle name="Note 2 2 2 5 2 4" xfId="30428" xr:uid="{00000000-0005-0000-0000-00000B770000}"/>
    <cellStyle name="Note 2 2 2 5 2 4 2" xfId="30429" xr:uid="{00000000-0005-0000-0000-00000C770000}"/>
    <cellStyle name="Note 2 2 2 5 2 5" xfId="30430" xr:uid="{00000000-0005-0000-0000-00000D770000}"/>
    <cellStyle name="Note 2 2 2 5 3" xfId="30431" xr:uid="{00000000-0005-0000-0000-00000E770000}"/>
    <cellStyle name="Note 2 2 2 5 3 2" xfId="30432" xr:uid="{00000000-0005-0000-0000-00000F770000}"/>
    <cellStyle name="Note 2 2 2 5 3 2 2" xfId="30433" xr:uid="{00000000-0005-0000-0000-000010770000}"/>
    <cellStyle name="Note 2 2 2 5 3 2 2 2" xfId="30434" xr:uid="{00000000-0005-0000-0000-000011770000}"/>
    <cellStyle name="Note 2 2 2 5 3 2 3" xfId="30435" xr:uid="{00000000-0005-0000-0000-000012770000}"/>
    <cellStyle name="Note 2 2 2 5 3 3" xfId="30436" xr:uid="{00000000-0005-0000-0000-000013770000}"/>
    <cellStyle name="Note 2 2 2 5 3 3 2" xfId="30437" xr:uid="{00000000-0005-0000-0000-000014770000}"/>
    <cellStyle name="Note 2 2 2 5 3 4" xfId="30438" xr:uid="{00000000-0005-0000-0000-000015770000}"/>
    <cellStyle name="Note 2 2 2 5 4" xfId="30439" xr:uid="{00000000-0005-0000-0000-000016770000}"/>
    <cellStyle name="Note 2 2 2 5 4 2" xfId="30440" xr:uid="{00000000-0005-0000-0000-000017770000}"/>
    <cellStyle name="Note 2 2 2 5 4 2 2" xfId="30441" xr:uid="{00000000-0005-0000-0000-000018770000}"/>
    <cellStyle name="Note 2 2 2 5 4 3" xfId="30442" xr:uid="{00000000-0005-0000-0000-000019770000}"/>
    <cellStyle name="Note 2 2 2 5 5" xfId="30443" xr:uid="{00000000-0005-0000-0000-00001A770000}"/>
    <cellStyle name="Note 2 2 2 5 5 2" xfId="30444" xr:uid="{00000000-0005-0000-0000-00001B770000}"/>
    <cellStyle name="Note 2 2 2 5 6" xfId="30445" xr:uid="{00000000-0005-0000-0000-00001C770000}"/>
    <cellStyle name="Note 2 2 2 6" xfId="30446" xr:uid="{00000000-0005-0000-0000-00001D770000}"/>
    <cellStyle name="Note 2 2 2 6 2" xfId="30447" xr:uid="{00000000-0005-0000-0000-00001E770000}"/>
    <cellStyle name="Note 2 2 2 6 2 2" xfId="30448" xr:uid="{00000000-0005-0000-0000-00001F770000}"/>
    <cellStyle name="Note 2 2 2 6 2 2 2" xfId="30449" xr:uid="{00000000-0005-0000-0000-000020770000}"/>
    <cellStyle name="Note 2 2 2 6 2 2 2 2" xfId="30450" xr:uid="{00000000-0005-0000-0000-000021770000}"/>
    <cellStyle name="Note 2 2 2 6 2 2 3" xfId="30451" xr:uid="{00000000-0005-0000-0000-000022770000}"/>
    <cellStyle name="Note 2 2 2 6 2 3" xfId="30452" xr:uid="{00000000-0005-0000-0000-000023770000}"/>
    <cellStyle name="Note 2 2 2 6 2 3 2" xfId="30453" xr:uid="{00000000-0005-0000-0000-000024770000}"/>
    <cellStyle name="Note 2 2 2 6 2 4" xfId="30454" xr:uid="{00000000-0005-0000-0000-000025770000}"/>
    <cellStyle name="Note 2 2 2 6 3" xfId="30455" xr:uid="{00000000-0005-0000-0000-000026770000}"/>
    <cellStyle name="Note 2 2 2 6 3 2" xfId="30456" xr:uid="{00000000-0005-0000-0000-000027770000}"/>
    <cellStyle name="Note 2 2 2 6 3 2 2" xfId="30457" xr:uid="{00000000-0005-0000-0000-000028770000}"/>
    <cellStyle name="Note 2 2 2 6 3 3" xfId="30458" xr:uid="{00000000-0005-0000-0000-000029770000}"/>
    <cellStyle name="Note 2 2 2 6 4" xfId="30459" xr:uid="{00000000-0005-0000-0000-00002A770000}"/>
    <cellStyle name="Note 2 2 2 6 4 2" xfId="30460" xr:uid="{00000000-0005-0000-0000-00002B770000}"/>
    <cellStyle name="Note 2 2 2 6 5" xfId="30461" xr:uid="{00000000-0005-0000-0000-00002C770000}"/>
    <cellStyle name="Note 2 2 2 7" xfId="30462" xr:uid="{00000000-0005-0000-0000-00002D770000}"/>
    <cellStyle name="Note 2 2 2 7 2" xfId="30463" xr:uid="{00000000-0005-0000-0000-00002E770000}"/>
    <cellStyle name="Note 2 2 2 7 2 2" xfId="30464" xr:uid="{00000000-0005-0000-0000-00002F770000}"/>
    <cellStyle name="Note 2 2 2 7 2 2 2" xfId="30465" xr:uid="{00000000-0005-0000-0000-000030770000}"/>
    <cellStyle name="Note 2 2 2 7 2 3" xfId="30466" xr:uid="{00000000-0005-0000-0000-000031770000}"/>
    <cellStyle name="Note 2 2 2 7 3" xfId="30467" xr:uid="{00000000-0005-0000-0000-000032770000}"/>
    <cellStyle name="Note 2 2 2 7 3 2" xfId="30468" xr:uid="{00000000-0005-0000-0000-000033770000}"/>
    <cellStyle name="Note 2 2 2 7 4" xfId="30469" xr:uid="{00000000-0005-0000-0000-000034770000}"/>
    <cellStyle name="Note 2 2 2 8" xfId="30470" xr:uid="{00000000-0005-0000-0000-000035770000}"/>
    <cellStyle name="Note 2 2 2 8 2" xfId="30471" xr:uid="{00000000-0005-0000-0000-000036770000}"/>
    <cellStyle name="Note 2 2 2 8 2 2" xfId="30472" xr:uid="{00000000-0005-0000-0000-000037770000}"/>
    <cellStyle name="Note 2 2 2 8 3" xfId="30473" xr:uid="{00000000-0005-0000-0000-000038770000}"/>
    <cellStyle name="Note 2 2 2 9" xfId="30474" xr:uid="{00000000-0005-0000-0000-000039770000}"/>
    <cellStyle name="Note 2 2 2 9 2" xfId="30475" xr:uid="{00000000-0005-0000-0000-00003A770000}"/>
    <cellStyle name="Note 2 2 3" xfId="30476" xr:uid="{00000000-0005-0000-0000-00003B770000}"/>
    <cellStyle name="Note 2 2 3 2" xfId="30477" xr:uid="{00000000-0005-0000-0000-00003C770000}"/>
    <cellStyle name="Note 2 2 3 2 2" xfId="30478" xr:uid="{00000000-0005-0000-0000-00003D770000}"/>
    <cellStyle name="Note 2 2 3 2 2 2" xfId="30479" xr:uid="{00000000-0005-0000-0000-00003E770000}"/>
    <cellStyle name="Note 2 2 3 2 2 2 2" xfId="30480" xr:uid="{00000000-0005-0000-0000-00003F770000}"/>
    <cellStyle name="Note 2 2 3 2 2 2 2 2" xfId="30481" xr:uid="{00000000-0005-0000-0000-000040770000}"/>
    <cellStyle name="Note 2 2 3 2 2 2 2 2 2" xfId="30482" xr:uid="{00000000-0005-0000-0000-000041770000}"/>
    <cellStyle name="Note 2 2 3 2 2 2 2 2 2 2" xfId="30483" xr:uid="{00000000-0005-0000-0000-000042770000}"/>
    <cellStyle name="Note 2 2 3 2 2 2 2 2 2 2 2" xfId="30484" xr:uid="{00000000-0005-0000-0000-000043770000}"/>
    <cellStyle name="Note 2 2 3 2 2 2 2 2 2 3" xfId="30485" xr:uid="{00000000-0005-0000-0000-000044770000}"/>
    <cellStyle name="Note 2 2 3 2 2 2 2 2 3" xfId="30486" xr:uid="{00000000-0005-0000-0000-000045770000}"/>
    <cellStyle name="Note 2 2 3 2 2 2 2 2 3 2" xfId="30487" xr:uid="{00000000-0005-0000-0000-000046770000}"/>
    <cellStyle name="Note 2 2 3 2 2 2 2 2 4" xfId="30488" xr:uid="{00000000-0005-0000-0000-000047770000}"/>
    <cellStyle name="Note 2 2 3 2 2 2 2 3" xfId="30489" xr:uid="{00000000-0005-0000-0000-000048770000}"/>
    <cellStyle name="Note 2 2 3 2 2 2 2 3 2" xfId="30490" xr:uid="{00000000-0005-0000-0000-000049770000}"/>
    <cellStyle name="Note 2 2 3 2 2 2 2 3 2 2" xfId="30491" xr:uid="{00000000-0005-0000-0000-00004A770000}"/>
    <cellStyle name="Note 2 2 3 2 2 2 2 3 3" xfId="30492" xr:uid="{00000000-0005-0000-0000-00004B770000}"/>
    <cellStyle name="Note 2 2 3 2 2 2 2 4" xfId="30493" xr:uid="{00000000-0005-0000-0000-00004C770000}"/>
    <cellStyle name="Note 2 2 3 2 2 2 2 4 2" xfId="30494" xr:uid="{00000000-0005-0000-0000-00004D770000}"/>
    <cellStyle name="Note 2 2 3 2 2 2 2 5" xfId="30495" xr:uid="{00000000-0005-0000-0000-00004E770000}"/>
    <cellStyle name="Note 2 2 3 2 2 2 3" xfId="30496" xr:uid="{00000000-0005-0000-0000-00004F770000}"/>
    <cellStyle name="Note 2 2 3 2 2 2 3 2" xfId="30497" xr:uid="{00000000-0005-0000-0000-000050770000}"/>
    <cellStyle name="Note 2 2 3 2 2 2 3 2 2" xfId="30498" xr:uid="{00000000-0005-0000-0000-000051770000}"/>
    <cellStyle name="Note 2 2 3 2 2 2 3 2 2 2" xfId="30499" xr:uid="{00000000-0005-0000-0000-000052770000}"/>
    <cellStyle name="Note 2 2 3 2 2 2 3 2 3" xfId="30500" xr:uid="{00000000-0005-0000-0000-000053770000}"/>
    <cellStyle name="Note 2 2 3 2 2 2 3 3" xfId="30501" xr:uid="{00000000-0005-0000-0000-000054770000}"/>
    <cellStyle name="Note 2 2 3 2 2 2 3 3 2" xfId="30502" xr:uid="{00000000-0005-0000-0000-000055770000}"/>
    <cellStyle name="Note 2 2 3 2 2 2 3 4" xfId="30503" xr:uid="{00000000-0005-0000-0000-000056770000}"/>
    <cellStyle name="Note 2 2 3 2 2 2 4" xfId="30504" xr:uid="{00000000-0005-0000-0000-000057770000}"/>
    <cellStyle name="Note 2 2 3 2 2 2 4 2" xfId="30505" xr:uid="{00000000-0005-0000-0000-000058770000}"/>
    <cellStyle name="Note 2 2 3 2 2 2 4 2 2" xfId="30506" xr:uid="{00000000-0005-0000-0000-000059770000}"/>
    <cellStyle name="Note 2 2 3 2 2 2 4 3" xfId="30507" xr:uid="{00000000-0005-0000-0000-00005A770000}"/>
    <cellStyle name="Note 2 2 3 2 2 2 5" xfId="30508" xr:uid="{00000000-0005-0000-0000-00005B770000}"/>
    <cellStyle name="Note 2 2 3 2 2 2 5 2" xfId="30509" xr:uid="{00000000-0005-0000-0000-00005C770000}"/>
    <cellStyle name="Note 2 2 3 2 2 2 6" xfId="30510" xr:uid="{00000000-0005-0000-0000-00005D770000}"/>
    <cellStyle name="Note 2 2 3 2 2 3" xfId="30511" xr:uid="{00000000-0005-0000-0000-00005E770000}"/>
    <cellStyle name="Note 2 2 3 2 2 3 2" xfId="30512" xr:uid="{00000000-0005-0000-0000-00005F770000}"/>
    <cellStyle name="Note 2 2 3 2 2 3 2 2" xfId="30513" xr:uid="{00000000-0005-0000-0000-000060770000}"/>
    <cellStyle name="Note 2 2 3 2 2 3 2 2 2" xfId="30514" xr:uid="{00000000-0005-0000-0000-000061770000}"/>
    <cellStyle name="Note 2 2 3 2 2 3 2 2 2 2" xfId="30515" xr:uid="{00000000-0005-0000-0000-000062770000}"/>
    <cellStyle name="Note 2 2 3 2 2 3 2 2 3" xfId="30516" xr:uid="{00000000-0005-0000-0000-000063770000}"/>
    <cellStyle name="Note 2 2 3 2 2 3 2 3" xfId="30517" xr:uid="{00000000-0005-0000-0000-000064770000}"/>
    <cellStyle name="Note 2 2 3 2 2 3 2 3 2" xfId="30518" xr:uid="{00000000-0005-0000-0000-000065770000}"/>
    <cellStyle name="Note 2 2 3 2 2 3 2 4" xfId="30519" xr:uid="{00000000-0005-0000-0000-000066770000}"/>
    <cellStyle name="Note 2 2 3 2 2 3 3" xfId="30520" xr:uid="{00000000-0005-0000-0000-000067770000}"/>
    <cellStyle name="Note 2 2 3 2 2 3 3 2" xfId="30521" xr:uid="{00000000-0005-0000-0000-000068770000}"/>
    <cellStyle name="Note 2 2 3 2 2 3 3 2 2" xfId="30522" xr:uid="{00000000-0005-0000-0000-000069770000}"/>
    <cellStyle name="Note 2 2 3 2 2 3 3 3" xfId="30523" xr:uid="{00000000-0005-0000-0000-00006A770000}"/>
    <cellStyle name="Note 2 2 3 2 2 3 4" xfId="30524" xr:uid="{00000000-0005-0000-0000-00006B770000}"/>
    <cellStyle name="Note 2 2 3 2 2 3 4 2" xfId="30525" xr:uid="{00000000-0005-0000-0000-00006C770000}"/>
    <cellStyle name="Note 2 2 3 2 2 3 5" xfId="30526" xr:uid="{00000000-0005-0000-0000-00006D770000}"/>
    <cellStyle name="Note 2 2 3 2 2 4" xfId="30527" xr:uid="{00000000-0005-0000-0000-00006E770000}"/>
    <cellStyle name="Note 2 2 3 2 2 4 2" xfId="30528" xr:uid="{00000000-0005-0000-0000-00006F770000}"/>
    <cellStyle name="Note 2 2 3 2 2 4 2 2" xfId="30529" xr:uid="{00000000-0005-0000-0000-000070770000}"/>
    <cellStyle name="Note 2 2 3 2 2 4 2 2 2" xfId="30530" xr:uid="{00000000-0005-0000-0000-000071770000}"/>
    <cellStyle name="Note 2 2 3 2 2 4 2 3" xfId="30531" xr:uid="{00000000-0005-0000-0000-000072770000}"/>
    <cellStyle name="Note 2 2 3 2 2 4 3" xfId="30532" xr:uid="{00000000-0005-0000-0000-000073770000}"/>
    <cellStyle name="Note 2 2 3 2 2 4 3 2" xfId="30533" xr:uid="{00000000-0005-0000-0000-000074770000}"/>
    <cellStyle name="Note 2 2 3 2 2 4 4" xfId="30534" xr:uid="{00000000-0005-0000-0000-000075770000}"/>
    <cellStyle name="Note 2 2 3 2 2 5" xfId="30535" xr:uid="{00000000-0005-0000-0000-000076770000}"/>
    <cellStyle name="Note 2 2 3 2 2 5 2" xfId="30536" xr:uid="{00000000-0005-0000-0000-000077770000}"/>
    <cellStyle name="Note 2 2 3 2 2 5 2 2" xfId="30537" xr:uid="{00000000-0005-0000-0000-000078770000}"/>
    <cellStyle name="Note 2 2 3 2 2 5 3" xfId="30538" xr:uid="{00000000-0005-0000-0000-000079770000}"/>
    <cellStyle name="Note 2 2 3 2 2 6" xfId="30539" xr:uid="{00000000-0005-0000-0000-00007A770000}"/>
    <cellStyle name="Note 2 2 3 2 2 6 2" xfId="30540" xr:uid="{00000000-0005-0000-0000-00007B770000}"/>
    <cellStyle name="Note 2 2 3 2 2 7" xfId="30541" xr:uid="{00000000-0005-0000-0000-00007C770000}"/>
    <cellStyle name="Note 2 2 3 2 3" xfId="30542" xr:uid="{00000000-0005-0000-0000-00007D770000}"/>
    <cellStyle name="Note 2 2 3 2 3 2" xfId="30543" xr:uid="{00000000-0005-0000-0000-00007E770000}"/>
    <cellStyle name="Note 2 2 3 2 3 2 2" xfId="30544" xr:uid="{00000000-0005-0000-0000-00007F770000}"/>
    <cellStyle name="Note 2 2 3 2 3 2 2 2" xfId="30545" xr:uid="{00000000-0005-0000-0000-000080770000}"/>
    <cellStyle name="Note 2 2 3 2 3 2 2 2 2" xfId="30546" xr:uid="{00000000-0005-0000-0000-000081770000}"/>
    <cellStyle name="Note 2 2 3 2 3 2 2 2 2 2" xfId="30547" xr:uid="{00000000-0005-0000-0000-000082770000}"/>
    <cellStyle name="Note 2 2 3 2 3 2 2 2 3" xfId="30548" xr:uid="{00000000-0005-0000-0000-000083770000}"/>
    <cellStyle name="Note 2 2 3 2 3 2 2 3" xfId="30549" xr:uid="{00000000-0005-0000-0000-000084770000}"/>
    <cellStyle name="Note 2 2 3 2 3 2 2 3 2" xfId="30550" xr:uid="{00000000-0005-0000-0000-000085770000}"/>
    <cellStyle name="Note 2 2 3 2 3 2 2 4" xfId="30551" xr:uid="{00000000-0005-0000-0000-000086770000}"/>
    <cellStyle name="Note 2 2 3 2 3 2 3" xfId="30552" xr:uid="{00000000-0005-0000-0000-000087770000}"/>
    <cellStyle name="Note 2 2 3 2 3 2 3 2" xfId="30553" xr:uid="{00000000-0005-0000-0000-000088770000}"/>
    <cellStyle name="Note 2 2 3 2 3 2 3 2 2" xfId="30554" xr:uid="{00000000-0005-0000-0000-000089770000}"/>
    <cellStyle name="Note 2 2 3 2 3 2 3 3" xfId="30555" xr:uid="{00000000-0005-0000-0000-00008A770000}"/>
    <cellStyle name="Note 2 2 3 2 3 2 4" xfId="30556" xr:uid="{00000000-0005-0000-0000-00008B770000}"/>
    <cellStyle name="Note 2 2 3 2 3 2 4 2" xfId="30557" xr:uid="{00000000-0005-0000-0000-00008C770000}"/>
    <cellStyle name="Note 2 2 3 2 3 2 5" xfId="30558" xr:uid="{00000000-0005-0000-0000-00008D770000}"/>
    <cellStyle name="Note 2 2 3 2 3 3" xfId="30559" xr:uid="{00000000-0005-0000-0000-00008E770000}"/>
    <cellStyle name="Note 2 2 3 2 3 3 2" xfId="30560" xr:uid="{00000000-0005-0000-0000-00008F770000}"/>
    <cellStyle name="Note 2 2 3 2 3 3 2 2" xfId="30561" xr:uid="{00000000-0005-0000-0000-000090770000}"/>
    <cellStyle name="Note 2 2 3 2 3 3 2 2 2" xfId="30562" xr:uid="{00000000-0005-0000-0000-000091770000}"/>
    <cellStyle name="Note 2 2 3 2 3 3 2 3" xfId="30563" xr:uid="{00000000-0005-0000-0000-000092770000}"/>
    <cellStyle name="Note 2 2 3 2 3 3 3" xfId="30564" xr:uid="{00000000-0005-0000-0000-000093770000}"/>
    <cellStyle name="Note 2 2 3 2 3 3 3 2" xfId="30565" xr:uid="{00000000-0005-0000-0000-000094770000}"/>
    <cellStyle name="Note 2 2 3 2 3 3 4" xfId="30566" xr:uid="{00000000-0005-0000-0000-000095770000}"/>
    <cellStyle name="Note 2 2 3 2 3 4" xfId="30567" xr:uid="{00000000-0005-0000-0000-000096770000}"/>
    <cellStyle name="Note 2 2 3 2 3 4 2" xfId="30568" xr:uid="{00000000-0005-0000-0000-000097770000}"/>
    <cellStyle name="Note 2 2 3 2 3 4 2 2" xfId="30569" xr:uid="{00000000-0005-0000-0000-000098770000}"/>
    <cellStyle name="Note 2 2 3 2 3 4 3" xfId="30570" xr:uid="{00000000-0005-0000-0000-000099770000}"/>
    <cellStyle name="Note 2 2 3 2 3 5" xfId="30571" xr:uid="{00000000-0005-0000-0000-00009A770000}"/>
    <cellStyle name="Note 2 2 3 2 3 5 2" xfId="30572" xr:uid="{00000000-0005-0000-0000-00009B770000}"/>
    <cellStyle name="Note 2 2 3 2 3 6" xfId="30573" xr:uid="{00000000-0005-0000-0000-00009C770000}"/>
    <cellStyle name="Note 2 2 3 2 4" xfId="30574" xr:uid="{00000000-0005-0000-0000-00009D770000}"/>
    <cellStyle name="Note 2 2 3 2 4 2" xfId="30575" xr:uid="{00000000-0005-0000-0000-00009E770000}"/>
    <cellStyle name="Note 2 2 3 2 4 2 2" xfId="30576" xr:uid="{00000000-0005-0000-0000-00009F770000}"/>
    <cellStyle name="Note 2 2 3 2 4 2 2 2" xfId="30577" xr:uid="{00000000-0005-0000-0000-0000A0770000}"/>
    <cellStyle name="Note 2 2 3 2 4 2 2 2 2" xfId="30578" xr:uid="{00000000-0005-0000-0000-0000A1770000}"/>
    <cellStyle name="Note 2 2 3 2 4 2 2 3" xfId="30579" xr:uid="{00000000-0005-0000-0000-0000A2770000}"/>
    <cellStyle name="Note 2 2 3 2 4 2 3" xfId="30580" xr:uid="{00000000-0005-0000-0000-0000A3770000}"/>
    <cellStyle name="Note 2 2 3 2 4 2 3 2" xfId="30581" xr:uid="{00000000-0005-0000-0000-0000A4770000}"/>
    <cellStyle name="Note 2 2 3 2 4 2 4" xfId="30582" xr:uid="{00000000-0005-0000-0000-0000A5770000}"/>
    <cellStyle name="Note 2 2 3 2 4 3" xfId="30583" xr:uid="{00000000-0005-0000-0000-0000A6770000}"/>
    <cellStyle name="Note 2 2 3 2 4 3 2" xfId="30584" xr:uid="{00000000-0005-0000-0000-0000A7770000}"/>
    <cellStyle name="Note 2 2 3 2 4 3 2 2" xfId="30585" xr:uid="{00000000-0005-0000-0000-0000A8770000}"/>
    <cellStyle name="Note 2 2 3 2 4 3 3" xfId="30586" xr:uid="{00000000-0005-0000-0000-0000A9770000}"/>
    <cellStyle name="Note 2 2 3 2 4 4" xfId="30587" xr:uid="{00000000-0005-0000-0000-0000AA770000}"/>
    <cellStyle name="Note 2 2 3 2 4 4 2" xfId="30588" xr:uid="{00000000-0005-0000-0000-0000AB770000}"/>
    <cellStyle name="Note 2 2 3 2 4 5" xfId="30589" xr:uid="{00000000-0005-0000-0000-0000AC770000}"/>
    <cellStyle name="Note 2 2 3 2 5" xfId="30590" xr:uid="{00000000-0005-0000-0000-0000AD770000}"/>
    <cellStyle name="Note 2 2 3 2 5 2" xfId="30591" xr:uid="{00000000-0005-0000-0000-0000AE770000}"/>
    <cellStyle name="Note 2 2 3 2 5 2 2" xfId="30592" xr:uid="{00000000-0005-0000-0000-0000AF770000}"/>
    <cellStyle name="Note 2 2 3 2 5 2 2 2" xfId="30593" xr:uid="{00000000-0005-0000-0000-0000B0770000}"/>
    <cellStyle name="Note 2 2 3 2 5 2 3" xfId="30594" xr:uid="{00000000-0005-0000-0000-0000B1770000}"/>
    <cellStyle name="Note 2 2 3 2 5 3" xfId="30595" xr:uid="{00000000-0005-0000-0000-0000B2770000}"/>
    <cellStyle name="Note 2 2 3 2 5 3 2" xfId="30596" xr:uid="{00000000-0005-0000-0000-0000B3770000}"/>
    <cellStyle name="Note 2 2 3 2 5 4" xfId="30597" xr:uid="{00000000-0005-0000-0000-0000B4770000}"/>
    <cellStyle name="Note 2 2 3 2 6" xfId="30598" xr:uid="{00000000-0005-0000-0000-0000B5770000}"/>
    <cellStyle name="Note 2 2 3 2 6 2" xfId="30599" xr:uid="{00000000-0005-0000-0000-0000B6770000}"/>
    <cellStyle name="Note 2 2 3 2 6 2 2" xfId="30600" xr:uid="{00000000-0005-0000-0000-0000B7770000}"/>
    <cellStyle name="Note 2 2 3 2 6 3" xfId="30601" xr:uid="{00000000-0005-0000-0000-0000B8770000}"/>
    <cellStyle name="Note 2 2 3 2 7" xfId="30602" xr:uid="{00000000-0005-0000-0000-0000B9770000}"/>
    <cellStyle name="Note 2 2 3 2 7 2" xfId="30603" xr:uid="{00000000-0005-0000-0000-0000BA770000}"/>
    <cellStyle name="Note 2 2 3 2 8" xfId="30604" xr:uid="{00000000-0005-0000-0000-0000BB770000}"/>
    <cellStyle name="Note 2 2 3 3" xfId="30605" xr:uid="{00000000-0005-0000-0000-0000BC770000}"/>
    <cellStyle name="Note 2 2 3 3 2" xfId="30606" xr:uid="{00000000-0005-0000-0000-0000BD770000}"/>
    <cellStyle name="Note 2 2 3 3 2 2" xfId="30607" xr:uid="{00000000-0005-0000-0000-0000BE770000}"/>
    <cellStyle name="Note 2 2 3 3 2 2 2" xfId="30608" xr:uid="{00000000-0005-0000-0000-0000BF770000}"/>
    <cellStyle name="Note 2 2 3 3 2 2 2 2" xfId="30609" xr:uid="{00000000-0005-0000-0000-0000C0770000}"/>
    <cellStyle name="Note 2 2 3 3 2 2 2 2 2" xfId="30610" xr:uid="{00000000-0005-0000-0000-0000C1770000}"/>
    <cellStyle name="Note 2 2 3 3 2 2 2 2 2 2" xfId="30611" xr:uid="{00000000-0005-0000-0000-0000C2770000}"/>
    <cellStyle name="Note 2 2 3 3 2 2 2 2 3" xfId="30612" xr:uid="{00000000-0005-0000-0000-0000C3770000}"/>
    <cellStyle name="Note 2 2 3 3 2 2 2 3" xfId="30613" xr:uid="{00000000-0005-0000-0000-0000C4770000}"/>
    <cellStyle name="Note 2 2 3 3 2 2 2 3 2" xfId="30614" xr:uid="{00000000-0005-0000-0000-0000C5770000}"/>
    <cellStyle name="Note 2 2 3 3 2 2 2 4" xfId="30615" xr:uid="{00000000-0005-0000-0000-0000C6770000}"/>
    <cellStyle name="Note 2 2 3 3 2 2 3" xfId="30616" xr:uid="{00000000-0005-0000-0000-0000C7770000}"/>
    <cellStyle name="Note 2 2 3 3 2 2 3 2" xfId="30617" xr:uid="{00000000-0005-0000-0000-0000C8770000}"/>
    <cellStyle name="Note 2 2 3 3 2 2 3 2 2" xfId="30618" xr:uid="{00000000-0005-0000-0000-0000C9770000}"/>
    <cellStyle name="Note 2 2 3 3 2 2 3 3" xfId="30619" xr:uid="{00000000-0005-0000-0000-0000CA770000}"/>
    <cellStyle name="Note 2 2 3 3 2 2 4" xfId="30620" xr:uid="{00000000-0005-0000-0000-0000CB770000}"/>
    <cellStyle name="Note 2 2 3 3 2 2 4 2" xfId="30621" xr:uid="{00000000-0005-0000-0000-0000CC770000}"/>
    <cellStyle name="Note 2 2 3 3 2 2 5" xfId="30622" xr:uid="{00000000-0005-0000-0000-0000CD770000}"/>
    <cellStyle name="Note 2 2 3 3 2 3" xfId="30623" xr:uid="{00000000-0005-0000-0000-0000CE770000}"/>
    <cellStyle name="Note 2 2 3 3 2 3 2" xfId="30624" xr:uid="{00000000-0005-0000-0000-0000CF770000}"/>
    <cellStyle name="Note 2 2 3 3 2 3 2 2" xfId="30625" xr:uid="{00000000-0005-0000-0000-0000D0770000}"/>
    <cellStyle name="Note 2 2 3 3 2 3 2 2 2" xfId="30626" xr:uid="{00000000-0005-0000-0000-0000D1770000}"/>
    <cellStyle name="Note 2 2 3 3 2 3 2 3" xfId="30627" xr:uid="{00000000-0005-0000-0000-0000D2770000}"/>
    <cellStyle name="Note 2 2 3 3 2 3 3" xfId="30628" xr:uid="{00000000-0005-0000-0000-0000D3770000}"/>
    <cellStyle name="Note 2 2 3 3 2 3 3 2" xfId="30629" xr:uid="{00000000-0005-0000-0000-0000D4770000}"/>
    <cellStyle name="Note 2 2 3 3 2 3 4" xfId="30630" xr:uid="{00000000-0005-0000-0000-0000D5770000}"/>
    <cellStyle name="Note 2 2 3 3 2 4" xfId="30631" xr:uid="{00000000-0005-0000-0000-0000D6770000}"/>
    <cellStyle name="Note 2 2 3 3 2 4 2" xfId="30632" xr:uid="{00000000-0005-0000-0000-0000D7770000}"/>
    <cellStyle name="Note 2 2 3 3 2 4 2 2" xfId="30633" xr:uid="{00000000-0005-0000-0000-0000D8770000}"/>
    <cellStyle name="Note 2 2 3 3 2 4 3" xfId="30634" xr:uid="{00000000-0005-0000-0000-0000D9770000}"/>
    <cellStyle name="Note 2 2 3 3 2 5" xfId="30635" xr:uid="{00000000-0005-0000-0000-0000DA770000}"/>
    <cellStyle name="Note 2 2 3 3 2 5 2" xfId="30636" xr:uid="{00000000-0005-0000-0000-0000DB770000}"/>
    <cellStyle name="Note 2 2 3 3 2 6" xfId="30637" xr:uid="{00000000-0005-0000-0000-0000DC770000}"/>
    <cellStyle name="Note 2 2 3 3 3" xfId="30638" xr:uid="{00000000-0005-0000-0000-0000DD770000}"/>
    <cellStyle name="Note 2 2 3 3 3 2" xfId="30639" xr:uid="{00000000-0005-0000-0000-0000DE770000}"/>
    <cellStyle name="Note 2 2 3 3 3 2 2" xfId="30640" xr:uid="{00000000-0005-0000-0000-0000DF770000}"/>
    <cellStyle name="Note 2 2 3 3 3 2 2 2" xfId="30641" xr:uid="{00000000-0005-0000-0000-0000E0770000}"/>
    <cellStyle name="Note 2 2 3 3 3 2 2 2 2" xfId="30642" xr:uid="{00000000-0005-0000-0000-0000E1770000}"/>
    <cellStyle name="Note 2 2 3 3 3 2 2 3" xfId="30643" xr:uid="{00000000-0005-0000-0000-0000E2770000}"/>
    <cellStyle name="Note 2 2 3 3 3 2 3" xfId="30644" xr:uid="{00000000-0005-0000-0000-0000E3770000}"/>
    <cellStyle name="Note 2 2 3 3 3 2 3 2" xfId="30645" xr:uid="{00000000-0005-0000-0000-0000E4770000}"/>
    <cellStyle name="Note 2 2 3 3 3 2 4" xfId="30646" xr:uid="{00000000-0005-0000-0000-0000E5770000}"/>
    <cellStyle name="Note 2 2 3 3 3 3" xfId="30647" xr:uid="{00000000-0005-0000-0000-0000E6770000}"/>
    <cellStyle name="Note 2 2 3 3 3 3 2" xfId="30648" xr:uid="{00000000-0005-0000-0000-0000E7770000}"/>
    <cellStyle name="Note 2 2 3 3 3 3 2 2" xfId="30649" xr:uid="{00000000-0005-0000-0000-0000E8770000}"/>
    <cellStyle name="Note 2 2 3 3 3 3 3" xfId="30650" xr:uid="{00000000-0005-0000-0000-0000E9770000}"/>
    <cellStyle name="Note 2 2 3 3 3 4" xfId="30651" xr:uid="{00000000-0005-0000-0000-0000EA770000}"/>
    <cellStyle name="Note 2 2 3 3 3 4 2" xfId="30652" xr:uid="{00000000-0005-0000-0000-0000EB770000}"/>
    <cellStyle name="Note 2 2 3 3 3 5" xfId="30653" xr:uid="{00000000-0005-0000-0000-0000EC770000}"/>
    <cellStyle name="Note 2 2 3 3 4" xfId="30654" xr:uid="{00000000-0005-0000-0000-0000ED770000}"/>
    <cellStyle name="Note 2 2 3 3 4 2" xfId="30655" xr:uid="{00000000-0005-0000-0000-0000EE770000}"/>
    <cellStyle name="Note 2 2 3 3 4 2 2" xfId="30656" xr:uid="{00000000-0005-0000-0000-0000EF770000}"/>
    <cellStyle name="Note 2 2 3 3 4 2 2 2" xfId="30657" xr:uid="{00000000-0005-0000-0000-0000F0770000}"/>
    <cellStyle name="Note 2 2 3 3 4 2 3" xfId="30658" xr:uid="{00000000-0005-0000-0000-0000F1770000}"/>
    <cellStyle name="Note 2 2 3 3 4 3" xfId="30659" xr:uid="{00000000-0005-0000-0000-0000F2770000}"/>
    <cellStyle name="Note 2 2 3 3 4 3 2" xfId="30660" xr:uid="{00000000-0005-0000-0000-0000F3770000}"/>
    <cellStyle name="Note 2 2 3 3 4 4" xfId="30661" xr:uid="{00000000-0005-0000-0000-0000F4770000}"/>
    <cellStyle name="Note 2 2 3 3 5" xfId="30662" xr:uid="{00000000-0005-0000-0000-0000F5770000}"/>
    <cellStyle name="Note 2 2 3 3 5 2" xfId="30663" xr:uid="{00000000-0005-0000-0000-0000F6770000}"/>
    <cellStyle name="Note 2 2 3 3 5 2 2" xfId="30664" xr:uid="{00000000-0005-0000-0000-0000F7770000}"/>
    <cellStyle name="Note 2 2 3 3 5 3" xfId="30665" xr:uid="{00000000-0005-0000-0000-0000F8770000}"/>
    <cellStyle name="Note 2 2 3 3 6" xfId="30666" xr:uid="{00000000-0005-0000-0000-0000F9770000}"/>
    <cellStyle name="Note 2 2 3 3 6 2" xfId="30667" xr:uid="{00000000-0005-0000-0000-0000FA770000}"/>
    <cellStyle name="Note 2 2 3 3 7" xfId="30668" xr:uid="{00000000-0005-0000-0000-0000FB770000}"/>
    <cellStyle name="Note 2 2 3 4" xfId="30669" xr:uid="{00000000-0005-0000-0000-0000FC770000}"/>
    <cellStyle name="Note 2 2 3 4 2" xfId="30670" xr:uid="{00000000-0005-0000-0000-0000FD770000}"/>
    <cellStyle name="Note 2 2 3 4 2 2" xfId="30671" xr:uid="{00000000-0005-0000-0000-0000FE770000}"/>
    <cellStyle name="Note 2 2 3 4 2 2 2" xfId="30672" xr:uid="{00000000-0005-0000-0000-0000FF770000}"/>
    <cellStyle name="Note 2 2 3 4 2 2 2 2" xfId="30673" xr:uid="{00000000-0005-0000-0000-000000780000}"/>
    <cellStyle name="Note 2 2 3 4 2 2 2 2 2" xfId="30674" xr:uid="{00000000-0005-0000-0000-000001780000}"/>
    <cellStyle name="Note 2 2 3 4 2 2 2 3" xfId="30675" xr:uid="{00000000-0005-0000-0000-000002780000}"/>
    <cellStyle name="Note 2 2 3 4 2 2 3" xfId="30676" xr:uid="{00000000-0005-0000-0000-000003780000}"/>
    <cellStyle name="Note 2 2 3 4 2 2 3 2" xfId="30677" xr:uid="{00000000-0005-0000-0000-000004780000}"/>
    <cellStyle name="Note 2 2 3 4 2 2 4" xfId="30678" xr:uid="{00000000-0005-0000-0000-000005780000}"/>
    <cellStyle name="Note 2 2 3 4 2 3" xfId="30679" xr:uid="{00000000-0005-0000-0000-000006780000}"/>
    <cellStyle name="Note 2 2 3 4 2 3 2" xfId="30680" xr:uid="{00000000-0005-0000-0000-000007780000}"/>
    <cellStyle name="Note 2 2 3 4 2 3 2 2" xfId="30681" xr:uid="{00000000-0005-0000-0000-000008780000}"/>
    <cellStyle name="Note 2 2 3 4 2 3 3" xfId="30682" xr:uid="{00000000-0005-0000-0000-000009780000}"/>
    <cellStyle name="Note 2 2 3 4 2 4" xfId="30683" xr:uid="{00000000-0005-0000-0000-00000A780000}"/>
    <cellStyle name="Note 2 2 3 4 2 4 2" xfId="30684" xr:uid="{00000000-0005-0000-0000-00000B780000}"/>
    <cellStyle name="Note 2 2 3 4 2 5" xfId="30685" xr:uid="{00000000-0005-0000-0000-00000C780000}"/>
    <cellStyle name="Note 2 2 3 4 3" xfId="30686" xr:uid="{00000000-0005-0000-0000-00000D780000}"/>
    <cellStyle name="Note 2 2 3 4 3 2" xfId="30687" xr:uid="{00000000-0005-0000-0000-00000E780000}"/>
    <cellStyle name="Note 2 2 3 4 3 2 2" xfId="30688" xr:uid="{00000000-0005-0000-0000-00000F780000}"/>
    <cellStyle name="Note 2 2 3 4 3 2 2 2" xfId="30689" xr:uid="{00000000-0005-0000-0000-000010780000}"/>
    <cellStyle name="Note 2 2 3 4 3 2 3" xfId="30690" xr:uid="{00000000-0005-0000-0000-000011780000}"/>
    <cellStyle name="Note 2 2 3 4 3 3" xfId="30691" xr:uid="{00000000-0005-0000-0000-000012780000}"/>
    <cellStyle name="Note 2 2 3 4 3 3 2" xfId="30692" xr:uid="{00000000-0005-0000-0000-000013780000}"/>
    <cellStyle name="Note 2 2 3 4 3 4" xfId="30693" xr:uid="{00000000-0005-0000-0000-000014780000}"/>
    <cellStyle name="Note 2 2 3 4 4" xfId="30694" xr:uid="{00000000-0005-0000-0000-000015780000}"/>
    <cellStyle name="Note 2 2 3 4 4 2" xfId="30695" xr:uid="{00000000-0005-0000-0000-000016780000}"/>
    <cellStyle name="Note 2 2 3 4 4 2 2" xfId="30696" xr:uid="{00000000-0005-0000-0000-000017780000}"/>
    <cellStyle name="Note 2 2 3 4 4 3" xfId="30697" xr:uid="{00000000-0005-0000-0000-000018780000}"/>
    <cellStyle name="Note 2 2 3 4 5" xfId="30698" xr:uid="{00000000-0005-0000-0000-000019780000}"/>
    <cellStyle name="Note 2 2 3 4 5 2" xfId="30699" xr:uid="{00000000-0005-0000-0000-00001A780000}"/>
    <cellStyle name="Note 2 2 3 4 6" xfId="30700" xr:uid="{00000000-0005-0000-0000-00001B780000}"/>
    <cellStyle name="Note 2 2 3 5" xfId="30701" xr:uid="{00000000-0005-0000-0000-00001C780000}"/>
    <cellStyle name="Note 2 2 3 5 2" xfId="30702" xr:uid="{00000000-0005-0000-0000-00001D780000}"/>
    <cellStyle name="Note 2 2 3 5 2 2" xfId="30703" xr:uid="{00000000-0005-0000-0000-00001E780000}"/>
    <cellStyle name="Note 2 2 3 5 2 2 2" xfId="30704" xr:uid="{00000000-0005-0000-0000-00001F780000}"/>
    <cellStyle name="Note 2 2 3 5 2 2 2 2" xfId="30705" xr:uid="{00000000-0005-0000-0000-000020780000}"/>
    <cellStyle name="Note 2 2 3 5 2 2 3" xfId="30706" xr:uid="{00000000-0005-0000-0000-000021780000}"/>
    <cellStyle name="Note 2 2 3 5 2 3" xfId="30707" xr:uid="{00000000-0005-0000-0000-000022780000}"/>
    <cellStyle name="Note 2 2 3 5 2 3 2" xfId="30708" xr:uid="{00000000-0005-0000-0000-000023780000}"/>
    <cellStyle name="Note 2 2 3 5 2 4" xfId="30709" xr:uid="{00000000-0005-0000-0000-000024780000}"/>
    <cellStyle name="Note 2 2 3 5 3" xfId="30710" xr:uid="{00000000-0005-0000-0000-000025780000}"/>
    <cellStyle name="Note 2 2 3 5 3 2" xfId="30711" xr:uid="{00000000-0005-0000-0000-000026780000}"/>
    <cellStyle name="Note 2 2 3 5 3 2 2" xfId="30712" xr:uid="{00000000-0005-0000-0000-000027780000}"/>
    <cellStyle name="Note 2 2 3 5 3 3" xfId="30713" xr:uid="{00000000-0005-0000-0000-000028780000}"/>
    <cellStyle name="Note 2 2 3 5 4" xfId="30714" xr:uid="{00000000-0005-0000-0000-000029780000}"/>
    <cellStyle name="Note 2 2 3 5 4 2" xfId="30715" xr:uid="{00000000-0005-0000-0000-00002A780000}"/>
    <cellStyle name="Note 2 2 3 5 5" xfId="30716" xr:uid="{00000000-0005-0000-0000-00002B780000}"/>
    <cellStyle name="Note 2 2 3 6" xfId="30717" xr:uid="{00000000-0005-0000-0000-00002C780000}"/>
    <cellStyle name="Note 2 2 3 6 2" xfId="30718" xr:uid="{00000000-0005-0000-0000-00002D780000}"/>
    <cellStyle name="Note 2 2 3 6 2 2" xfId="30719" xr:uid="{00000000-0005-0000-0000-00002E780000}"/>
    <cellStyle name="Note 2 2 3 6 2 2 2" xfId="30720" xr:uid="{00000000-0005-0000-0000-00002F780000}"/>
    <cellStyle name="Note 2 2 3 6 2 3" xfId="30721" xr:uid="{00000000-0005-0000-0000-000030780000}"/>
    <cellStyle name="Note 2 2 3 6 3" xfId="30722" xr:uid="{00000000-0005-0000-0000-000031780000}"/>
    <cellStyle name="Note 2 2 3 6 3 2" xfId="30723" xr:uid="{00000000-0005-0000-0000-000032780000}"/>
    <cellStyle name="Note 2 2 3 6 4" xfId="30724" xr:uid="{00000000-0005-0000-0000-000033780000}"/>
    <cellStyle name="Note 2 2 3 7" xfId="30725" xr:uid="{00000000-0005-0000-0000-000034780000}"/>
    <cellStyle name="Note 2 2 3 7 2" xfId="30726" xr:uid="{00000000-0005-0000-0000-000035780000}"/>
    <cellStyle name="Note 2 2 3 7 2 2" xfId="30727" xr:uid="{00000000-0005-0000-0000-000036780000}"/>
    <cellStyle name="Note 2 2 3 7 3" xfId="30728" xr:uid="{00000000-0005-0000-0000-000037780000}"/>
    <cellStyle name="Note 2 2 3 8" xfId="30729" xr:uid="{00000000-0005-0000-0000-000038780000}"/>
    <cellStyle name="Note 2 2 3 8 2" xfId="30730" xr:uid="{00000000-0005-0000-0000-000039780000}"/>
    <cellStyle name="Note 2 2 3 9" xfId="30731" xr:uid="{00000000-0005-0000-0000-00003A780000}"/>
    <cellStyle name="Note 2 2 4" xfId="30732" xr:uid="{00000000-0005-0000-0000-00003B780000}"/>
    <cellStyle name="Note 2 2 4 2" xfId="30733" xr:uid="{00000000-0005-0000-0000-00003C780000}"/>
    <cellStyle name="Note 2 2 4 2 2" xfId="30734" xr:uid="{00000000-0005-0000-0000-00003D780000}"/>
    <cellStyle name="Note 2 2 4 2 2 2" xfId="30735" xr:uid="{00000000-0005-0000-0000-00003E780000}"/>
    <cellStyle name="Note 2 2 4 2 2 2 2" xfId="30736" xr:uid="{00000000-0005-0000-0000-00003F780000}"/>
    <cellStyle name="Note 2 2 4 2 2 2 2 2" xfId="30737" xr:uid="{00000000-0005-0000-0000-000040780000}"/>
    <cellStyle name="Note 2 2 4 2 2 2 2 2 2" xfId="30738" xr:uid="{00000000-0005-0000-0000-000041780000}"/>
    <cellStyle name="Note 2 2 4 2 2 2 2 2 2 2" xfId="30739" xr:uid="{00000000-0005-0000-0000-000042780000}"/>
    <cellStyle name="Note 2 2 4 2 2 2 2 2 3" xfId="30740" xr:uid="{00000000-0005-0000-0000-000043780000}"/>
    <cellStyle name="Note 2 2 4 2 2 2 2 3" xfId="30741" xr:uid="{00000000-0005-0000-0000-000044780000}"/>
    <cellStyle name="Note 2 2 4 2 2 2 2 3 2" xfId="30742" xr:uid="{00000000-0005-0000-0000-000045780000}"/>
    <cellStyle name="Note 2 2 4 2 2 2 2 4" xfId="30743" xr:uid="{00000000-0005-0000-0000-000046780000}"/>
    <cellStyle name="Note 2 2 4 2 2 2 3" xfId="30744" xr:uid="{00000000-0005-0000-0000-000047780000}"/>
    <cellStyle name="Note 2 2 4 2 2 2 3 2" xfId="30745" xr:uid="{00000000-0005-0000-0000-000048780000}"/>
    <cellStyle name="Note 2 2 4 2 2 2 3 2 2" xfId="30746" xr:uid="{00000000-0005-0000-0000-000049780000}"/>
    <cellStyle name="Note 2 2 4 2 2 2 3 3" xfId="30747" xr:uid="{00000000-0005-0000-0000-00004A780000}"/>
    <cellStyle name="Note 2 2 4 2 2 2 4" xfId="30748" xr:uid="{00000000-0005-0000-0000-00004B780000}"/>
    <cellStyle name="Note 2 2 4 2 2 2 4 2" xfId="30749" xr:uid="{00000000-0005-0000-0000-00004C780000}"/>
    <cellStyle name="Note 2 2 4 2 2 2 5" xfId="30750" xr:uid="{00000000-0005-0000-0000-00004D780000}"/>
    <cellStyle name="Note 2 2 4 2 2 3" xfId="30751" xr:uid="{00000000-0005-0000-0000-00004E780000}"/>
    <cellStyle name="Note 2 2 4 2 2 3 2" xfId="30752" xr:uid="{00000000-0005-0000-0000-00004F780000}"/>
    <cellStyle name="Note 2 2 4 2 2 3 2 2" xfId="30753" xr:uid="{00000000-0005-0000-0000-000050780000}"/>
    <cellStyle name="Note 2 2 4 2 2 3 2 2 2" xfId="30754" xr:uid="{00000000-0005-0000-0000-000051780000}"/>
    <cellStyle name="Note 2 2 4 2 2 3 2 3" xfId="30755" xr:uid="{00000000-0005-0000-0000-000052780000}"/>
    <cellStyle name="Note 2 2 4 2 2 3 3" xfId="30756" xr:uid="{00000000-0005-0000-0000-000053780000}"/>
    <cellStyle name="Note 2 2 4 2 2 3 3 2" xfId="30757" xr:uid="{00000000-0005-0000-0000-000054780000}"/>
    <cellStyle name="Note 2 2 4 2 2 3 4" xfId="30758" xr:uid="{00000000-0005-0000-0000-000055780000}"/>
    <cellStyle name="Note 2 2 4 2 2 4" xfId="30759" xr:uid="{00000000-0005-0000-0000-000056780000}"/>
    <cellStyle name="Note 2 2 4 2 2 4 2" xfId="30760" xr:uid="{00000000-0005-0000-0000-000057780000}"/>
    <cellStyle name="Note 2 2 4 2 2 4 2 2" xfId="30761" xr:uid="{00000000-0005-0000-0000-000058780000}"/>
    <cellStyle name="Note 2 2 4 2 2 4 3" xfId="30762" xr:uid="{00000000-0005-0000-0000-000059780000}"/>
    <cellStyle name="Note 2 2 4 2 2 5" xfId="30763" xr:uid="{00000000-0005-0000-0000-00005A780000}"/>
    <cellStyle name="Note 2 2 4 2 2 5 2" xfId="30764" xr:uid="{00000000-0005-0000-0000-00005B780000}"/>
    <cellStyle name="Note 2 2 4 2 2 6" xfId="30765" xr:uid="{00000000-0005-0000-0000-00005C780000}"/>
    <cellStyle name="Note 2 2 4 2 3" xfId="30766" xr:uid="{00000000-0005-0000-0000-00005D780000}"/>
    <cellStyle name="Note 2 2 4 2 3 2" xfId="30767" xr:uid="{00000000-0005-0000-0000-00005E780000}"/>
    <cellStyle name="Note 2 2 4 2 3 2 2" xfId="30768" xr:uid="{00000000-0005-0000-0000-00005F780000}"/>
    <cellStyle name="Note 2 2 4 2 3 2 2 2" xfId="30769" xr:uid="{00000000-0005-0000-0000-000060780000}"/>
    <cellStyle name="Note 2 2 4 2 3 2 2 2 2" xfId="30770" xr:uid="{00000000-0005-0000-0000-000061780000}"/>
    <cellStyle name="Note 2 2 4 2 3 2 2 3" xfId="30771" xr:uid="{00000000-0005-0000-0000-000062780000}"/>
    <cellStyle name="Note 2 2 4 2 3 2 3" xfId="30772" xr:uid="{00000000-0005-0000-0000-000063780000}"/>
    <cellStyle name="Note 2 2 4 2 3 2 3 2" xfId="30773" xr:uid="{00000000-0005-0000-0000-000064780000}"/>
    <cellStyle name="Note 2 2 4 2 3 2 4" xfId="30774" xr:uid="{00000000-0005-0000-0000-000065780000}"/>
    <cellStyle name="Note 2 2 4 2 3 3" xfId="30775" xr:uid="{00000000-0005-0000-0000-000066780000}"/>
    <cellStyle name="Note 2 2 4 2 3 3 2" xfId="30776" xr:uid="{00000000-0005-0000-0000-000067780000}"/>
    <cellStyle name="Note 2 2 4 2 3 3 2 2" xfId="30777" xr:uid="{00000000-0005-0000-0000-000068780000}"/>
    <cellStyle name="Note 2 2 4 2 3 3 3" xfId="30778" xr:uid="{00000000-0005-0000-0000-000069780000}"/>
    <cellStyle name="Note 2 2 4 2 3 4" xfId="30779" xr:uid="{00000000-0005-0000-0000-00006A780000}"/>
    <cellStyle name="Note 2 2 4 2 3 4 2" xfId="30780" xr:uid="{00000000-0005-0000-0000-00006B780000}"/>
    <cellStyle name="Note 2 2 4 2 3 5" xfId="30781" xr:uid="{00000000-0005-0000-0000-00006C780000}"/>
    <cellStyle name="Note 2 2 4 2 4" xfId="30782" xr:uid="{00000000-0005-0000-0000-00006D780000}"/>
    <cellStyle name="Note 2 2 4 2 4 2" xfId="30783" xr:uid="{00000000-0005-0000-0000-00006E780000}"/>
    <cellStyle name="Note 2 2 4 2 4 2 2" xfId="30784" xr:uid="{00000000-0005-0000-0000-00006F780000}"/>
    <cellStyle name="Note 2 2 4 2 4 2 2 2" xfId="30785" xr:uid="{00000000-0005-0000-0000-000070780000}"/>
    <cellStyle name="Note 2 2 4 2 4 2 3" xfId="30786" xr:uid="{00000000-0005-0000-0000-000071780000}"/>
    <cellStyle name="Note 2 2 4 2 4 3" xfId="30787" xr:uid="{00000000-0005-0000-0000-000072780000}"/>
    <cellStyle name="Note 2 2 4 2 4 3 2" xfId="30788" xr:uid="{00000000-0005-0000-0000-000073780000}"/>
    <cellStyle name="Note 2 2 4 2 4 4" xfId="30789" xr:uid="{00000000-0005-0000-0000-000074780000}"/>
    <cellStyle name="Note 2 2 4 2 5" xfId="30790" xr:uid="{00000000-0005-0000-0000-000075780000}"/>
    <cellStyle name="Note 2 2 4 2 5 2" xfId="30791" xr:uid="{00000000-0005-0000-0000-000076780000}"/>
    <cellStyle name="Note 2 2 4 2 5 2 2" xfId="30792" xr:uid="{00000000-0005-0000-0000-000077780000}"/>
    <cellStyle name="Note 2 2 4 2 5 3" xfId="30793" xr:uid="{00000000-0005-0000-0000-000078780000}"/>
    <cellStyle name="Note 2 2 4 2 6" xfId="30794" xr:uid="{00000000-0005-0000-0000-000079780000}"/>
    <cellStyle name="Note 2 2 4 2 6 2" xfId="30795" xr:uid="{00000000-0005-0000-0000-00007A780000}"/>
    <cellStyle name="Note 2 2 4 2 7" xfId="30796" xr:uid="{00000000-0005-0000-0000-00007B780000}"/>
    <cellStyle name="Note 2 2 4 3" xfId="30797" xr:uid="{00000000-0005-0000-0000-00007C780000}"/>
    <cellStyle name="Note 2 2 4 3 2" xfId="30798" xr:uid="{00000000-0005-0000-0000-00007D780000}"/>
    <cellStyle name="Note 2 2 4 3 2 2" xfId="30799" xr:uid="{00000000-0005-0000-0000-00007E780000}"/>
    <cellStyle name="Note 2 2 4 3 2 2 2" xfId="30800" xr:uid="{00000000-0005-0000-0000-00007F780000}"/>
    <cellStyle name="Note 2 2 4 3 2 2 2 2" xfId="30801" xr:uid="{00000000-0005-0000-0000-000080780000}"/>
    <cellStyle name="Note 2 2 4 3 2 2 2 2 2" xfId="30802" xr:uid="{00000000-0005-0000-0000-000081780000}"/>
    <cellStyle name="Note 2 2 4 3 2 2 2 3" xfId="30803" xr:uid="{00000000-0005-0000-0000-000082780000}"/>
    <cellStyle name="Note 2 2 4 3 2 2 3" xfId="30804" xr:uid="{00000000-0005-0000-0000-000083780000}"/>
    <cellStyle name="Note 2 2 4 3 2 2 3 2" xfId="30805" xr:uid="{00000000-0005-0000-0000-000084780000}"/>
    <cellStyle name="Note 2 2 4 3 2 2 4" xfId="30806" xr:uid="{00000000-0005-0000-0000-000085780000}"/>
    <cellStyle name="Note 2 2 4 3 2 3" xfId="30807" xr:uid="{00000000-0005-0000-0000-000086780000}"/>
    <cellStyle name="Note 2 2 4 3 2 3 2" xfId="30808" xr:uid="{00000000-0005-0000-0000-000087780000}"/>
    <cellStyle name="Note 2 2 4 3 2 3 2 2" xfId="30809" xr:uid="{00000000-0005-0000-0000-000088780000}"/>
    <cellStyle name="Note 2 2 4 3 2 3 3" xfId="30810" xr:uid="{00000000-0005-0000-0000-000089780000}"/>
    <cellStyle name="Note 2 2 4 3 2 4" xfId="30811" xr:uid="{00000000-0005-0000-0000-00008A780000}"/>
    <cellStyle name="Note 2 2 4 3 2 4 2" xfId="30812" xr:uid="{00000000-0005-0000-0000-00008B780000}"/>
    <cellStyle name="Note 2 2 4 3 2 5" xfId="30813" xr:uid="{00000000-0005-0000-0000-00008C780000}"/>
    <cellStyle name="Note 2 2 4 3 3" xfId="30814" xr:uid="{00000000-0005-0000-0000-00008D780000}"/>
    <cellStyle name="Note 2 2 4 3 3 2" xfId="30815" xr:uid="{00000000-0005-0000-0000-00008E780000}"/>
    <cellStyle name="Note 2 2 4 3 3 2 2" xfId="30816" xr:uid="{00000000-0005-0000-0000-00008F780000}"/>
    <cellStyle name="Note 2 2 4 3 3 2 2 2" xfId="30817" xr:uid="{00000000-0005-0000-0000-000090780000}"/>
    <cellStyle name="Note 2 2 4 3 3 2 3" xfId="30818" xr:uid="{00000000-0005-0000-0000-000091780000}"/>
    <cellStyle name="Note 2 2 4 3 3 3" xfId="30819" xr:uid="{00000000-0005-0000-0000-000092780000}"/>
    <cellStyle name="Note 2 2 4 3 3 3 2" xfId="30820" xr:uid="{00000000-0005-0000-0000-000093780000}"/>
    <cellStyle name="Note 2 2 4 3 3 4" xfId="30821" xr:uid="{00000000-0005-0000-0000-000094780000}"/>
    <cellStyle name="Note 2 2 4 3 4" xfId="30822" xr:uid="{00000000-0005-0000-0000-000095780000}"/>
    <cellStyle name="Note 2 2 4 3 4 2" xfId="30823" xr:uid="{00000000-0005-0000-0000-000096780000}"/>
    <cellStyle name="Note 2 2 4 3 4 2 2" xfId="30824" xr:uid="{00000000-0005-0000-0000-000097780000}"/>
    <cellStyle name="Note 2 2 4 3 4 3" xfId="30825" xr:uid="{00000000-0005-0000-0000-000098780000}"/>
    <cellStyle name="Note 2 2 4 3 5" xfId="30826" xr:uid="{00000000-0005-0000-0000-000099780000}"/>
    <cellStyle name="Note 2 2 4 3 5 2" xfId="30827" xr:uid="{00000000-0005-0000-0000-00009A780000}"/>
    <cellStyle name="Note 2 2 4 3 6" xfId="30828" xr:uid="{00000000-0005-0000-0000-00009B780000}"/>
    <cellStyle name="Note 2 2 4 4" xfId="30829" xr:uid="{00000000-0005-0000-0000-00009C780000}"/>
    <cellStyle name="Note 2 2 4 4 2" xfId="30830" xr:uid="{00000000-0005-0000-0000-00009D780000}"/>
    <cellStyle name="Note 2 2 4 4 2 2" xfId="30831" xr:uid="{00000000-0005-0000-0000-00009E780000}"/>
    <cellStyle name="Note 2 2 4 4 2 2 2" xfId="30832" xr:uid="{00000000-0005-0000-0000-00009F780000}"/>
    <cellStyle name="Note 2 2 4 4 2 2 2 2" xfId="30833" xr:uid="{00000000-0005-0000-0000-0000A0780000}"/>
    <cellStyle name="Note 2 2 4 4 2 2 3" xfId="30834" xr:uid="{00000000-0005-0000-0000-0000A1780000}"/>
    <cellStyle name="Note 2 2 4 4 2 3" xfId="30835" xr:uid="{00000000-0005-0000-0000-0000A2780000}"/>
    <cellStyle name="Note 2 2 4 4 2 3 2" xfId="30836" xr:uid="{00000000-0005-0000-0000-0000A3780000}"/>
    <cellStyle name="Note 2 2 4 4 2 4" xfId="30837" xr:uid="{00000000-0005-0000-0000-0000A4780000}"/>
    <cellStyle name="Note 2 2 4 4 3" xfId="30838" xr:uid="{00000000-0005-0000-0000-0000A5780000}"/>
    <cellStyle name="Note 2 2 4 4 3 2" xfId="30839" xr:uid="{00000000-0005-0000-0000-0000A6780000}"/>
    <cellStyle name="Note 2 2 4 4 3 2 2" xfId="30840" xr:uid="{00000000-0005-0000-0000-0000A7780000}"/>
    <cellStyle name="Note 2 2 4 4 3 3" xfId="30841" xr:uid="{00000000-0005-0000-0000-0000A8780000}"/>
    <cellStyle name="Note 2 2 4 4 4" xfId="30842" xr:uid="{00000000-0005-0000-0000-0000A9780000}"/>
    <cellStyle name="Note 2 2 4 4 4 2" xfId="30843" xr:uid="{00000000-0005-0000-0000-0000AA780000}"/>
    <cellStyle name="Note 2 2 4 4 5" xfId="30844" xr:uid="{00000000-0005-0000-0000-0000AB780000}"/>
    <cellStyle name="Note 2 2 4 5" xfId="30845" xr:uid="{00000000-0005-0000-0000-0000AC780000}"/>
    <cellStyle name="Note 2 2 4 5 2" xfId="30846" xr:uid="{00000000-0005-0000-0000-0000AD780000}"/>
    <cellStyle name="Note 2 2 4 5 2 2" xfId="30847" xr:uid="{00000000-0005-0000-0000-0000AE780000}"/>
    <cellStyle name="Note 2 2 4 5 2 2 2" xfId="30848" xr:uid="{00000000-0005-0000-0000-0000AF780000}"/>
    <cellStyle name="Note 2 2 4 5 2 3" xfId="30849" xr:uid="{00000000-0005-0000-0000-0000B0780000}"/>
    <cellStyle name="Note 2 2 4 5 3" xfId="30850" xr:uid="{00000000-0005-0000-0000-0000B1780000}"/>
    <cellStyle name="Note 2 2 4 5 3 2" xfId="30851" xr:uid="{00000000-0005-0000-0000-0000B2780000}"/>
    <cellStyle name="Note 2 2 4 5 4" xfId="30852" xr:uid="{00000000-0005-0000-0000-0000B3780000}"/>
    <cellStyle name="Note 2 2 4 6" xfId="30853" xr:uid="{00000000-0005-0000-0000-0000B4780000}"/>
    <cellStyle name="Note 2 2 4 6 2" xfId="30854" xr:uid="{00000000-0005-0000-0000-0000B5780000}"/>
    <cellStyle name="Note 2 2 4 6 2 2" xfId="30855" xr:uid="{00000000-0005-0000-0000-0000B6780000}"/>
    <cellStyle name="Note 2 2 4 6 3" xfId="30856" xr:uid="{00000000-0005-0000-0000-0000B7780000}"/>
    <cellStyle name="Note 2 2 4 7" xfId="30857" xr:uid="{00000000-0005-0000-0000-0000B8780000}"/>
    <cellStyle name="Note 2 2 4 7 2" xfId="30858" xr:uid="{00000000-0005-0000-0000-0000B9780000}"/>
    <cellStyle name="Note 2 2 4 8" xfId="30859" xr:uid="{00000000-0005-0000-0000-0000BA780000}"/>
    <cellStyle name="Note 2 2 5" xfId="30860" xr:uid="{00000000-0005-0000-0000-0000BB780000}"/>
    <cellStyle name="Note 2 2 5 2" xfId="30861" xr:uid="{00000000-0005-0000-0000-0000BC780000}"/>
    <cellStyle name="Note 2 2 5 2 2" xfId="30862" xr:uid="{00000000-0005-0000-0000-0000BD780000}"/>
    <cellStyle name="Note 2 2 5 2 2 2" xfId="30863" xr:uid="{00000000-0005-0000-0000-0000BE780000}"/>
    <cellStyle name="Note 2 2 5 2 2 2 2" xfId="30864" xr:uid="{00000000-0005-0000-0000-0000BF780000}"/>
    <cellStyle name="Note 2 2 5 2 2 2 2 2" xfId="30865" xr:uid="{00000000-0005-0000-0000-0000C0780000}"/>
    <cellStyle name="Note 2 2 5 2 2 2 2 2 2" xfId="30866" xr:uid="{00000000-0005-0000-0000-0000C1780000}"/>
    <cellStyle name="Note 2 2 5 2 2 2 2 3" xfId="30867" xr:uid="{00000000-0005-0000-0000-0000C2780000}"/>
    <cellStyle name="Note 2 2 5 2 2 2 3" xfId="30868" xr:uid="{00000000-0005-0000-0000-0000C3780000}"/>
    <cellStyle name="Note 2 2 5 2 2 2 3 2" xfId="30869" xr:uid="{00000000-0005-0000-0000-0000C4780000}"/>
    <cellStyle name="Note 2 2 5 2 2 2 4" xfId="30870" xr:uid="{00000000-0005-0000-0000-0000C5780000}"/>
    <cellStyle name="Note 2 2 5 2 2 3" xfId="30871" xr:uid="{00000000-0005-0000-0000-0000C6780000}"/>
    <cellStyle name="Note 2 2 5 2 2 3 2" xfId="30872" xr:uid="{00000000-0005-0000-0000-0000C7780000}"/>
    <cellStyle name="Note 2 2 5 2 2 3 2 2" xfId="30873" xr:uid="{00000000-0005-0000-0000-0000C8780000}"/>
    <cellStyle name="Note 2 2 5 2 2 3 3" xfId="30874" xr:uid="{00000000-0005-0000-0000-0000C9780000}"/>
    <cellStyle name="Note 2 2 5 2 2 4" xfId="30875" xr:uid="{00000000-0005-0000-0000-0000CA780000}"/>
    <cellStyle name="Note 2 2 5 2 2 4 2" xfId="30876" xr:uid="{00000000-0005-0000-0000-0000CB780000}"/>
    <cellStyle name="Note 2 2 5 2 2 5" xfId="30877" xr:uid="{00000000-0005-0000-0000-0000CC780000}"/>
    <cellStyle name="Note 2 2 5 2 3" xfId="30878" xr:uid="{00000000-0005-0000-0000-0000CD780000}"/>
    <cellStyle name="Note 2 2 5 2 3 2" xfId="30879" xr:uid="{00000000-0005-0000-0000-0000CE780000}"/>
    <cellStyle name="Note 2 2 5 2 3 2 2" xfId="30880" xr:uid="{00000000-0005-0000-0000-0000CF780000}"/>
    <cellStyle name="Note 2 2 5 2 3 2 2 2" xfId="30881" xr:uid="{00000000-0005-0000-0000-0000D0780000}"/>
    <cellStyle name="Note 2 2 5 2 3 2 3" xfId="30882" xr:uid="{00000000-0005-0000-0000-0000D1780000}"/>
    <cellStyle name="Note 2 2 5 2 3 3" xfId="30883" xr:uid="{00000000-0005-0000-0000-0000D2780000}"/>
    <cellStyle name="Note 2 2 5 2 3 3 2" xfId="30884" xr:uid="{00000000-0005-0000-0000-0000D3780000}"/>
    <cellStyle name="Note 2 2 5 2 3 4" xfId="30885" xr:uid="{00000000-0005-0000-0000-0000D4780000}"/>
    <cellStyle name="Note 2 2 5 2 4" xfId="30886" xr:uid="{00000000-0005-0000-0000-0000D5780000}"/>
    <cellStyle name="Note 2 2 5 2 4 2" xfId="30887" xr:uid="{00000000-0005-0000-0000-0000D6780000}"/>
    <cellStyle name="Note 2 2 5 2 4 2 2" xfId="30888" xr:uid="{00000000-0005-0000-0000-0000D7780000}"/>
    <cellStyle name="Note 2 2 5 2 4 3" xfId="30889" xr:uid="{00000000-0005-0000-0000-0000D8780000}"/>
    <cellStyle name="Note 2 2 5 2 5" xfId="30890" xr:uid="{00000000-0005-0000-0000-0000D9780000}"/>
    <cellStyle name="Note 2 2 5 2 5 2" xfId="30891" xr:uid="{00000000-0005-0000-0000-0000DA780000}"/>
    <cellStyle name="Note 2 2 5 2 6" xfId="30892" xr:uid="{00000000-0005-0000-0000-0000DB780000}"/>
    <cellStyle name="Note 2 2 5 3" xfId="30893" xr:uid="{00000000-0005-0000-0000-0000DC780000}"/>
    <cellStyle name="Note 2 2 5 3 2" xfId="30894" xr:uid="{00000000-0005-0000-0000-0000DD780000}"/>
    <cellStyle name="Note 2 2 5 3 2 2" xfId="30895" xr:uid="{00000000-0005-0000-0000-0000DE780000}"/>
    <cellStyle name="Note 2 2 5 3 2 2 2" xfId="30896" xr:uid="{00000000-0005-0000-0000-0000DF780000}"/>
    <cellStyle name="Note 2 2 5 3 2 2 2 2" xfId="30897" xr:uid="{00000000-0005-0000-0000-0000E0780000}"/>
    <cellStyle name="Note 2 2 5 3 2 2 3" xfId="30898" xr:uid="{00000000-0005-0000-0000-0000E1780000}"/>
    <cellStyle name="Note 2 2 5 3 2 3" xfId="30899" xr:uid="{00000000-0005-0000-0000-0000E2780000}"/>
    <cellStyle name="Note 2 2 5 3 2 3 2" xfId="30900" xr:uid="{00000000-0005-0000-0000-0000E3780000}"/>
    <cellStyle name="Note 2 2 5 3 2 4" xfId="30901" xr:uid="{00000000-0005-0000-0000-0000E4780000}"/>
    <cellStyle name="Note 2 2 5 3 3" xfId="30902" xr:uid="{00000000-0005-0000-0000-0000E5780000}"/>
    <cellStyle name="Note 2 2 5 3 3 2" xfId="30903" xr:uid="{00000000-0005-0000-0000-0000E6780000}"/>
    <cellStyle name="Note 2 2 5 3 3 2 2" xfId="30904" xr:uid="{00000000-0005-0000-0000-0000E7780000}"/>
    <cellStyle name="Note 2 2 5 3 3 3" xfId="30905" xr:uid="{00000000-0005-0000-0000-0000E8780000}"/>
    <cellStyle name="Note 2 2 5 3 4" xfId="30906" xr:uid="{00000000-0005-0000-0000-0000E9780000}"/>
    <cellStyle name="Note 2 2 5 3 4 2" xfId="30907" xr:uid="{00000000-0005-0000-0000-0000EA780000}"/>
    <cellStyle name="Note 2 2 5 3 5" xfId="30908" xr:uid="{00000000-0005-0000-0000-0000EB780000}"/>
    <cellStyle name="Note 2 2 5 4" xfId="30909" xr:uid="{00000000-0005-0000-0000-0000EC780000}"/>
    <cellStyle name="Note 2 2 5 4 2" xfId="30910" xr:uid="{00000000-0005-0000-0000-0000ED780000}"/>
    <cellStyle name="Note 2 2 5 4 2 2" xfId="30911" xr:uid="{00000000-0005-0000-0000-0000EE780000}"/>
    <cellStyle name="Note 2 2 5 4 2 2 2" xfId="30912" xr:uid="{00000000-0005-0000-0000-0000EF780000}"/>
    <cellStyle name="Note 2 2 5 4 2 3" xfId="30913" xr:uid="{00000000-0005-0000-0000-0000F0780000}"/>
    <cellStyle name="Note 2 2 5 4 3" xfId="30914" xr:uid="{00000000-0005-0000-0000-0000F1780000}"/>
    <cellStyle name="Note 2 2 5 4 3 2" xfId="30915" xr:uid="{00000000-0005-0000-0000-0000F2780000}"/>
    <cellStyle name="Note 2 2 5 4 4" xfId="30916" xr:uid="{00000000-0005-0000-0000-0000F3780000}"/>
    <cellStyle name="Note 2 2 5 5" xfId="30917" xr:uid="{00000000-0005-0000-0000-0000F4780000}"/>
    <cellStyle name="Note 2 2 5 5 2" xfId="30918" xr:uid="{00000000-0005-0000-0000-0000F5780000}"/>
    <cellStyle name="Note 2 2 5 5 2 2" xfId="30919" xr:uid="{00000000-0005-0000-0000-0000F6780000}"/>
    <cellStyle name="Note 2 2 5 5 3" xfId="30920" xr:uid="{00000000-0005-0000-0000-0000F7780000}"/>
    <cellStyle name="Note 2 2 5 6" xfId="30921" xr:uid="{00000000-0005-0000-0000-0000F8780000}"/>
    <cellStyle name="Note 2 2 5 6 2" xfId="30922" xr:uid="{00000000-0005-0000-0000-0000F9780000}"/>
    <cellStyle name="Note 2 2 5 7" xfId="30923" xr:uid="{00000000-0005-0000-0000-0000FA780000}"/>
    <cellStyle name="Note 2 2 6" xfId="30924" xr:uid="{00000000-0005-0000-0000-0000FB780000}"/>
    <cellStyle name="Note 2 2 6 2" xfId="30925" xr:uid="{00000000-0005-0000-0000-0000FC780000}"/>
    <cellStyle name="Note 2 2 6 2 2" xfId="30926" xr:uid="{00000000-0005-0000-0000-0000FD780000}"/>
    <cellStyle name="Note 2 2 6 2 2 2" xfId="30927" xr:uid="{00000000-0005-0000-0000-0000FE780000}"/>
    <cellStyle name="Note 2 2 6 2 2 2 2" xfId="30928" xr:uid="{00000000-0005-0000-0000-0000FF780000}"/>
    <cellStyle name="Note 2 2 6 2 2 2 2 2" xfId="30929" xr:uid="{00000000-0005-0000-0000-000000790000}"/>
    <cellStyle name="Note 2 2 6 2 2 2 3" xfId="30930" xr:uid="{00000000-0005-0000-0000-000001790000}"/>
    <cellStyle name="Note 2 2 6 2 2 3" xfId="30931" xr:uid="{00000000-0005-0000-0000-000002790000}"/>
    <cellStyle name="Note 2 2 6 2 2 3 2" xfId="30932" xr:uid="{00000000-0005-0000-0000-000003790000}"/>
    <cellStyle name="Note 2 2 6 2 2 4" xfId="30933" xr:uid="{00000000-0005-0000-0000-000004790000}"/>
    <cellStyle name="Note 2 2 6 2 3" xfId="30934" xr:uid="{00000000-0005-0000-0000-000005790000}"/>
    <cellStyle name="Note 2 2 6 2 3 2" xfId="30935" xr:uid="{00000000-0005-0000-0000-000006790000}"/>
    <cellStyle name="Note 2 2 6 2 3 2 2" xfId="30936" xr:uid="{00000000-0005-0000-0000-000007790000}"/>
    <cellStyle name="Note 2 2 6 2 3 3" xfId="30937" xr:uid="{00000000-0005-0000-0000-000008790000}"/>
    <cellStyle name="Note 2 2 6 2 4" xfId="30938" xr:uid="{00000000-0005-0000-0000-000009790000}"/>
    <cellStyle name="Note 2 2 6 2 4 2" xfId="30939" xr:uid="{00000000-0005-0000-0000-00000A790000}"/>
    <cellStyle name="Note 2 2 6 2 5" xfId="30940" xr:uid="{00000000-0005-0000-0000-00000B790000}"/>
    <cellStyle name="Note 2 2 6 3" xfId="30941" xr:uid="{00000000-0005-0000-0000-00000C790000}"/>
    <cellStyle name="Note 2 2 6 3 2" xfId="30942" xr:uid="{00000000-0005-0000-0000-00000D790000}"/>
    <cellStyle name="Note 2 2 6 3 2 2" xfId="30943" xr:uid="{00000000-0005-0000-0000-00000E790000}"/>
    <cellStyle name="Note 2 2 6 3 2 2 2" xfId="30944" xr:uid="{00000000-0005-0000-0000-00000F790000}"/>
    <cellStyle name="Note 2 2 6 3 2 3" xfId="30945" xr:uid="{00000000-0005-0000-0000-000010790000}"/>
    <cellStyle name="Note 2 2 6 3 3" xfId="30946" xr:uid="{00000000-0005-0000-0000-000011790000}"/>
    <cellStyle name="Note 2 2 6 3 3 2" xfId="30947" xr:uid="{00000000-0005-0000-0000-000012790000}"/>
    <cellStyle name="Note 2 2 6 3 4" xfId="30948" xr:uid="{00000000-0005-0000-0000-000013790000}"/>
    <cellStyle name="Note 2 2 6 4" xfId="30949" xr:uid="{00000000-0005-0000-0000-000014790000}"/>
    <cellStyle name="Note 2 2 6 4 2" xfId="30950" xr:uid="{00000000-0005-0000-0000-000015790000}"/>
    <cellStyle name="Note 2 2 6 4 2 2" xfId="30951" xr:uid="{00000000-0005-0000-0000-000016790000}"/>
    <cellStyle name="Note 2 2 6 4 3" xfId="30952" xr:uid="{00000000-0005-0000-0000-000017790000}"/>
    <cellStyle name="Note 2 2 6 5" xfId="30953" xr:uid="{00000000-0005-0000-0000-000018790000}"/>
    <cellStyle name="Note 2 2 6 5 2" xfId="30954" xr:uid="{00000000-0005-0000-0000-000019790000}"/>
    <cellStyle name="Note 2 2 6 6" xfId="30955" xr:uid="{00000000-0005-0000-0000-00001A790000}"/>
    <cellStyle name="Note 2 2 7" xfId="30956" xr:uid="{00000000-0005-0000-0000-00001B790000}"/>
    <cellStyle name="Note 2 2 7 2" xfId="30957" xr:uid="{00000000-0005-0000-0000-00001C790000}"/>
    <cellStyle name="Note 2 2 7 2 2" xfId="30958" xr:uid="{00000000-0005-0000-0000-00001D790000}"/>
    <cellStyle name="Note 2 2 7 2 2 2" xfId="30959" xr:uid="{00000000-0005-0000-0000-00001E790000}"/>
    <cellStyle name="Note 2 2 7 2 2 2 2" xfId="30960" xr:uid="{00000000-0005-0000-0000-00001F790000}"/>
    <cellStyle name="Note 2 2 7 2 2 3" xfId="30961" xr:uid="{00000000-0005-0000-0000-000020790000}"/>
    <cellStyle name="Note 2 2 7 2 3" xfId="30962" xr:uid="{00000000-0005-0000-0000-000021790000}"/>
    <cellStyle name="Note 2 2 7 2 3 2" xfId="30963" xr:uid="{00000000-0005-0000-0000-000022790000}"/>
    <cellStyle name="Note 2 2 7 2 4" xfId="30964" xr:uid="{00000000-0005-0000-0000-000023790000}"/>
    <cellStyle name="Note 2 2 7 3" xfId="30965" xr:uid="{00000000-0005-0000-0000-000024790000}"/>
    <cellStyle name="Note 2 2 7 3 2" xfId="30966" xr:uid="{00000000-0005-0000-0000-000025790000}"/>
    <cellStyle name="Note 2 2 7 3 2 2" xfId="30967" xr:uid="{00000000-0005-0000-0000-000026790000}"/>
    <cellStyle name="Note 2 2 7 3 3" xfId="30968" xr:uid="{00000000-0005-0000-0000-000027790000}"/>
    <cellStyle name="Note 2 2 7 4" xfId="30969" xr:uid="{00000000-0005-0000-0000-000028790000}"/>
    <cellStyle name="Note 2 2 7 4 2" xfId="30970" xr:uid="{00000000-0005-0000-0000-000029790000}"/>
    <cellStyle name="Note 2 2 7 5" xfId="30971" xr:uid="{00000000-0005-0000-0000-00002A790000}"/>
    <cellStyle name="Note 2 2 8" xfId="30972" xr:uid="{00000000-0005-0000-0000-00002B790000}"/>
    <cellStyle name="Note 2 2 8 2" xfId="30973" xr:uid="{00000000-0005-0000-0000-00002C790000}"/>
    <cellStyle name="Note 2 2 8 2 2" xfId="30974" xr:uid="{00000000-0005-0000-0000-00002D790000}"/>
    <cellStyle name="Note 2 2 8 2 2 2" xfId="30975" xr:uid="{00000000-0005-0000-0000-00002E790000}"/>
    <cellStyle name="Note 2 2 8 2 3" xfId="30976" xr:uid="{00000000-0005-0000-0000-00002F790000}"/>
    <cellStyle name="Note 2 2 8 3" xfId="30977" xr:uid="{00000000-0005-0000-0000-000030790000}"/>
    <cellStyle name="Note 2 2 8 3 2" xfId="30978" xr:uid="{00000000-0005-0000-0000-000031790000}"/>
    <cellStyle name="Note 2 2 8 4" xfId="30979" xr:uid="{00000000-0005-0000-0000-000032790000}"/>
    <cellStyle name="Note 2 2 9" xfId="30980" xr:uid="{00000000-0005-0000-0000-000033790000}"/>
    <cellStyle name="Note 2 2 9 2" xfId="30981" xr:uid="{00000000-0005-0000-0000-000034790000}"/>
    <cellStyle name="Note 2 2 9 2 2" xfId="30982" xr:uid="{00000000-0005-0000-0000-000035790000}"/>
    <cellStyle name="Note 2 2 9 3" xfId="30983" xr:uid="{00000000-0005-0000-0000-000036790000}"/>
    <cellStyle name="Note 2 3" xfId="30984" xr:uid="{00000000-0005-0000-0000-000037790000}"/>
    <cellStyle name="Note 2 3 10" xfId="30985" xr:uid="{00000000-0005-0000-0000-000038790000}"/>
    <cellStyle name="Note 2 3 2" xfId="30986" xr:uid="{00000000-0005-0000-0000-000039790000}"/>
    <cellStyle name="Note 2 3 2 2" xfId="30987" xr:uid="{00000000-0005-0000-0000-00003A790000}"/>
    <cellStyle name="Note 2 3 2 2 2" xfId="30988" xr:uid="{00000000-0005-0000-0000-00003B790000}"/>
    <cellStyle name="Note 2 3 2 2 2 2" xfId="30989" xr:uid="{00000000-0005-0000-0000-00003C790000}"/>
    <cellStyle name="Note 2 3 2 2 2 2 2" xfId="30990" xr:uid="{00000000-0005-0000-0000-00003D790000}"/>
    <cellStyle name="Note 2 3 2 2 2 2 2 2" xfId="30991" xr:uid="{00000000-0005-0000-0000-00003E790000}"/>
    <cellStyle name="Note 2 3 2 2 2 2 2 2 2" xfId="30992" xr:uid="{00000000-0005-0000-0000-00003F790000}"/>
    <cellStyle name="Note 2 3 2 2 2 2 2 2 2 2" xfId="30993" xr:uid="{00000000-0005-0000-0000-000040790000}"/>
    <cellStyle name="Note 2 3 2 2 2 2 2 2 2 2 2" xfId="30994" xr:uid="{00000000-0005-0000-0000-000041790000}"/>
    <cellStyle name="Note 2 3 2 2 2 2 2 2 2 3" xfId="30995" xr:uid="{00000000-0005-0000-0000-000042790000}"/>
    <cellStyle name="Note 2 3 2 2 2 2 2 2 3" xfId="30996" xr:uid="{00000000-0005-0000-0000-000043790000}"/>
    <cellStyle name="Note 2 3 2 2 2 2 2 2 3 2" xfId="30997" xr:uid="{00000000-0005-0000-0000-000044790000}"/>
    <cellStyle name="Note 2 3 2 2 2 2 2 2 4" xfId="30998" xr:uid="{00000000-0005-0000-0000-000045790000}"/>
    <cellStyle name="Note 2 3 2 2 2 2 2 3" xfId="30999" xr:uid="{00000000-0005-0000-0000-000046790000}"/>
    <cellStyle name="Note 2 3 2 2 2 2 2 3 2" xfId="31000" xr:uid="{00000000-0005-0000-0000-000047790000}"/>
    <cellStyle name="Note 2 3 2 2 2 2 2 3 2 2" xfId="31001" xr:uid="{00000000-0005-0000-0000-000048790000}"/>
    <cellStyle name="Note 2 3 2 2 2 2 2 3 3" xfId="31002" xr:uid="{00000000-0005-0000-0000-000049790000}"/>
    <cellStyle name="Note 2 3 2 2 2 2 2 4" xfId="31003" xr:uid="{00000000-0005-0000-0000-00004A790000}"/>
    <cellStyle name="Note 2 3 2 2 2 2 2 4 2" xfId="31004" xr:uid="{00000000-0005-0000-0000-00004B790000}"/>
    <cellStyle name="Note 2 3 2 2 2 2 2 5" xfId="31005" xr:uid="{00000000-0005-0000-0000-00004C790000}"/>
    <cellStyle name="Note 2 3 2 2 2 2 3" xfId="31006" xr:uid="{00000000-0005-0000-0000-00004D790000}"/>
    <cellStyle name="Note 2 3 2 2 2 2 3 2" xfId="31007" xr:uid="{00000000-0005-0000-0000-00004E790000}"/>
    <cellStyle name="Note 2 3 2 2 2 2 3 2 2" xfId="31008" xr:uid="{00000000-0005-0000-0000-00004F790000}"/>
    <cellStyle name="Note 2 3 2 2 2 2 3 2 2 2" xfId="31009" xr:uid="{00000000-0005-0000-0000-000050790000}"/>
    <cellStyle name="Note 2 3 2 2 2 2 3 2 3" xfId="31010" xr:uid="{00000000-0005-0000-0000-000051790000}"/>
    <cellStyle name="Note 2 3 2 2 2 2 3 3" xfId="31011" xr:uid="{00000000-0005-0000-0000-000052790000}"/>
    <cellStyle name="Note 2 3 2 2 2 2 3 3 2" xfId="31012" xr:uid="{00000000-0005-0000-0000-000053790000}"/>
    <cellStyle name="Note 2 3 2 2 2 2 3 4" xfId="31013" xr:uid="{00000000-0005-0000-0000-000054790000}"/>
    <cellStyle name="Note 2 3 2 2 2 2 4" xfId="31014" xr:uid="{00000000-0005-0000-0000-000055790000}"/>
    <cellStyle name="Note 2 3 2 2 2 2 4 2" xfId="31015" xr:uid="{00000000-0005-0000-0000-000056790000}"/>
    <cellStyle name="Note 2 3 2 2 2 2 4 2 2" xfId="31016" xr:uid="{00000000-0005-0000-0000-000057790000}"/>
    <cellStyle name="Note 2 3 2 2 2 2 4 3" xfId="31017" xr:uid="{00000000-0005-0000-0000-000058790000}"/>
    <cellStyle name="Note 2 3 2 2 2 2 5" xfId="31018" xr:uid="{00000000-0005-0000-0000-000059790000}"/>
    <cellStyle name="Note 2 3 2 2 2 2 5 2" xfId="31019" xr:uid="{00000000-0005-0000-0000-00005A790000}"/>
    <cellStyle name="Note 2 3 2 2 2 2 6" xfId="31020" xr:uid="{00000000-0005-0000-0000-00005B790000}"/>
    <cellStyle name="Note 2 3 2 2 2 3" xfId="31021" xr:uid="{00000000-0005-0000-0000-00005C790000}"/>
    <cellStyle name="Note 2 3 2 2 2 3 2" xfId="31022" xr:uid="{00000000-0005-0000-0000-00005D790000}"/>
    <cellStyle name="Note 2 3 2 2 2 3 2 2" xfId="31023" xr:uid="{00000000-0005-0000-0000-00005E790000}"/>
    <cellStyle name="Note 2 3 2 2 2 3 2 2 2" xfId="31024" xr:uid="{00000000-0005-0000-0000-00005F790000}"/>
    <cellStyle name="Note 2 3 2 2 2 3 2 2 2 2" xfId="31025" xr:uid="{00000000-0005-0000-0000-000060790000}"/>
    <cellStyle name="Note 2 3 2 2 2 3 2 2 3" xfId="31026" xr:uid="{00000000-0005-0000-0000-000061790000}"/>
    <cellStyle name="Note 2 3 2 2 2 3 2 3" xfId="31027" xr:uid="{00000000-0005-0000-0000-000062790000}"/>
    <cellStyle name="Note 2 3 2 2 2 3 2 3 2" xfId="31028" xr:uid="{00000000-0005-0000-0000-000063790000}"/>
    <cellStyle name="Note 2 3 2 2 2 3 2 4" xfId="31029" xr:uid="{00000000-0005-0000-0000-000064790000}"/>
    <cellStyle name="Note 2 3 2 2 2 3 3" xfId="31030" xr:uid="{00000000-0005-0000-0000-000065790000}"/>
    <cellStyle name="Note 2 3 2 2 2 3 3 2" xfId="31031" xr:uid="{00000000-0005-0000-0000-000066790000}"/>
    <cellStyle name="Note 2 3 2 2 2 3 3 2 2" xfId="31032" xr:uid="{00000000-0005-0000-0000-000067790000}"/>
    <cellStyle name="Note 2 3 2 2 2 3 3 3" xfId="31033" xr:uid="{00000000-0005-0000-0000-000068790000}"/>
    <cellStyle name="Note 2 3 2 2 2 3 4" xfId="31034" xr:uid="{00000000-0005-0000-0000-000069790000}"/>
    <cellStyle name="Note 2 3 2 2 2 3 4 2" xfId="31035" xr:uid="{00000000-0005-0000-0000-00006A790000}"/>
    <cellStyle name="Note 2 3 2 2 2 3 5" xfId="31036" xr:uid="{00000000-0005-0000-0000-00006B790000}"/>
    <cellStyle name="Note 2 3 2 2 2 4" xfId="31037" xr:uid="{00000000-0005-0000-0000-00006C790000}"/>
    <cellStyle name="Note 2 3 2 2 2 4 2" xfId="31038" xr:uid="{00000000-0005-0000-0000-00006D790000}"/>
    <cellStyle name="Note 2 3 2 2 2 4 2 2" xfId="31039" xr:uid="{00000000-0005-0000-0000-00006E790000}"/>
    <cellStyle name="Note 2 3 2 2 2 4 2 2 2" xfId="31040" xr:uid="{00000000-0005-0000-0000-00006F790000}"/>
    <cellStyle name="Note 2 3 2 2 2 4 2 3" xfId="31041" xr:uid="{00000000-0005-0000-0000-000070790000}"/>
    <cellStyle name="Note 2 3 2 2 2 4 3" xfId="31042" xr:uid="{00000000-0005-0000-0000-000071790000}"/>
    <cellStyle name="Note 2 3 2 2 2 4 3 2" xfId="31043" xr:uid="{00000000-0005-0000-0000-000072790000}"/>
    <cellStyle name="Note 2 3 2 2 2 4 4" xfId="31044" xr:uid="{00000000-0005-0000-0000-000073790000}"/>
    <cellStyle name="Note 2 3 2 2 2 5" xfId="31045" xr:uid="{00000000-0005-0000-0000-000074790000}"/>
    <cellStyle name="Note 2 3 2 2 2 5 2" xfId="31046" xr:uid="{00000000-0005-0000-0000-000075790000}"/>
    <cellStyle name="Note 2 3 2 2 2 5 2 2" xfId="31047" xr:uid="{00000000-0005-0000-0000-000076790000}"/>
    <cellStyle name="Note 2 3 2 2 2 5 3" xfId="31048" xr:uid="{00000000-0005-0000-0000-000077790000}"/>
    <cellStyle name="Note 2 3 2 2 2 6" xfId="31049" xr:uid="{00000000-0005-0000-0000-000078790000}"/>
    <cellStyle name="Note 2 3 2 2 2 6 2" xfId="31050" xr:uid="{00000000-0005-0000-0000-000079790000}"/>
    <cellStyle name="Note 2 3 2 2 2 7" xfId="31051" xr:uid="{00000000-0005-0000-0000-00007A790000}"/>
    <cellStyle name="Note 2 3 2 2 3" xfId="31052" xr:uid="{00000000-0005-0000-0000-00007B790000}"/>
    <cellStyle name="Note 2 3 2 2 3 2" xfId="31053" xr:uid="{00000000-0005-0000-0000-00007C790000}"/>
    <cellStyle name="Note 2 3 2 2 3 2 2" xfId="31054" xr:uid="{00000000-0005-0000-0000-00007D790000}"/>
    <cellStyle name="Note 2 3 2 2 3 2 2 2" xfId="31055" xr:uid="{00000000-0005-0000-0000-00007E790000}"/>
    <cellStyle name="Note 2 3 2 2 3 2 2 2 2" xfId="31056" xr:uid="{00000000-0005-0000-0000-00007F790000}"/>
    <cellStyle name="Note 2 3 2 2 3 2 2 2 2 2" xfId="31057" xr:uid="{00000000-0005-0000-0000-000080790000}"/>
    <cellStyle name="Note 2 3 2 2 3 2 2 2 3" xfId="31058" xr:uid="{00000000-0005-0000-0000-000081790000}"/>
    <cellStyle name="Note 2 3 2 2 3 2 2 3" xfId="31059" xr:uid="{00000000-0005-0000-0000-000082790000}"/>
    <cellStyle name="Note 2 3 2 2 3 2 2 3 2" xfId="31060" xr:uid="{00000000-0005-0000-0000-000083790000}"/>
    <cellStyle name="Note 2 3 2 2 3 2 2 4" xfId="31061" xr:uid="{00000000-0005-0000-0000-000084790000}"/>
    <cellStyle name="Note 2 3 2 2 3 2 3" xfId="31062" xr:uid="{00000000-0005-0000-0000-000085790000}"/>
    <cellStyle name="Note 2 3 2 2 3 2 3 2" xfId="31063" xr:uid="{00000000-0005-0000-0000-000086790000}"/>
    <cellStyle name="Note 2 3 2 2 3 2 3 2 2" xfId="31064" xr:uid="{00000000-0005-0000-0000-000087790000}"/>
    <cellStyle name="Note 2 3 2 2 3 2 3 3" xfId="31065" xr:uid="{00000000-0005-0000-0000-000088790000}"/>
    <cellStyle name="Note 2 3 2 2 3 2 4" xfId="31066" xr:uid="{00000000-0005-0000-0000-000089790000}"/>
    <cellStyle name="Note 2 3 2 2 3 2 4 2" xfId="31067" xr:uid="{00000000-0005-0000-0000-00008A790000}"/>
    <cellStyle name="Note 2 3 2 2 3 2 5" xfId="31068" xr:uid="{00000000-0005-0000-0000-00008B790000}"/>
    <cellStyle name="Note 2 3 2 2 3 3" xfId="31069" xr:uid="{00000000-0005-0000-0000-00008C790000}"/>
    <cellStyle name="Note 2 3 2 2 3 3 2" xfId="31070" xr:uid="{00000000-0005-0000-0000-00008D790000}"/>
    <cellStyle name="Note 2 3 2 2 3 3 2 2" xfId="31071" xr:uid="{00000000-0005-0000-0000-00008E790000}"/>
    <cellStyle name="Note 2 3 2 2 3 3 2 2 2" xfId="31072" xr:uid="{00000000-0005-0000-0000-00008F790000}"/>
    <cellStyle name="Note 2 3 2 2 3 3 2 3" xfId="31073" xr:uid="{00000000-0005-0000-0000-000090790000}"/>
    <cellStyle name="Note 2 3 2 2 3 3 3" xfId="31074" xr:uid="{00000000-0005-0000-0000-000091790000}"/>
    <cellStyle name="Note 2 3 2 2 3 3 3 2" xfId="31075" xr:uid="{00000000-0005-0000-0000-000092790000}"/>
    <cellStyle name="Note 2 3 2 2 3 3 4" xfId="31076" xr:uid="{00000000-0005-0000-0000-000093790000}"/>
    <cellStyle name="Note 2 3 2 2 3 4" xfId="31077" xr:uid="{00000000-0005-0000-0000-000094790000}"/>
    <cellStyle name="Note 2 3 2 2 3 4 2" xfId="31078" xr:uid="{00000000-0005-0000-0000-000095790000}"/>
    <cellStyle name="Note 2 3 2 2 3 4 2 2" xfId="31079" xr:uid="{00000000-0005-0000-0000-000096790000}"/>
    <cellStyle name="Note 2 3 2 2 3 4 3" xfId="31080" xr:uid="{00000000-0005-0000-0000-000097790000}"/>
    <cellStyle name="Note 2 3 2 2 3 5" xfId="31081" xr:uid="{00000000-0005-0000-0000-000098790000}"/>
    <cellStyle name="Note 2 3 2 2 3 5 2" xfId="31082" xr:uid="{00000000-0005-0000-0000-000099790000}"/>
    <cellStyle name="Note 2 3 2 2 3 6" xfId="31083" xr:uid="{00000000-0005-0000-0000-00009A790000}"/>
    <cellStyle name="Note 2 3 2 2 4" xfId="31084" xr:uid="{00000000-0005-0000-0000-00009B790000}"/>
    <cellStyle name="Note 2 3 2 2 4 2" xfId="31085" xr:uid="{00000000-0005-0000-0000-00009C790000}"/>
    <cellStyle name="Note 2 3 2 2 4 2 2" xfId="31086" xr:uid="{00000000-0005-0000-0000-00009D790000}"/>
    <cellStyle name="Note 2 3 2 2 4 2 2 2" xfId="31087" xr:uid="{00000000-0005-0000-0000-00009E790000}"/>
    <cellStyle name="Note 2 3 2 2 4 2 2 2 2" xfId="31088" xr:uid="{00000000-0005-0000-0000-00009F790000}"/>
    <cellStyle name="Note 2 3 2 2 4 2 2 3" xfId="31089" xr:uid="{00000000-0005-0000-0000-0000A0790000}"/>
    <cellStyle name="Note 2 3 2 2 4 2 3" xfId="31090" xr:uid="{00000000-0005-0000-0000-0000A1790000}"/>
    <cellStyle name="Note 2 3 2 2 4 2 3 2" xfId="31091" xr:uid="{00000000-0005-0000-0000-0000A2790000}"/>
    <cellStyle name="Note 2 3 2 2 4 2 4" xfId="31092" xr:uid="{00000000-0005-0000-0000-0000A3790000}"/>
    <cellStyle name="Note 2 3 2 2 4 3" xfId="31093" xr:uid="{00000000-0005-0000-0000-0000A4790000}"/>
    <cellStyle name="Note 2 3 2 2 4 3 2" xfId="31094" xr:uid="{00000000-0005-0000-0000-0000A5790000}"/>
    <cellStyle name="Note 2 3 2 2 4 3 2 2" xfId="31095" xr:uid="{00000000-0005-0000-0000-0000A6790000}"/>
    <cellStyle name="Note 2 3 2 2 4 3 3" xfId="31096" xr:uid="{00000000-0005-0000-0000-0000A7790000}"/>
    <cellStyle name="Note 2 3 2 2 4 4" xfId="31097" xr:uid="{00000000-0005-0000-0000-0000A8790000}"/>
    <cellStyle name="Note 2 3 2 2 4 4 2" xfId="31098" xr:uid="{00000000-0005-0000-0000-0000A9790000}"/>
    <cellStyle name="Note 2 3 2 2 4 5" xfId="31099" xr:uid="{00000000-0005-0000-0000-0000AA790000}"/>
    <cellStyle name="Note 2 3 2 2 5" xfId="31100" xr:uid="{00000000-0005-0000-0000-0000AB790000}"/>
    <cellStyle name="Note 2 3 2 2 5 2" xfId="31101" xr:uid="{00000000-0005-0000-0000-0000AC790000}"/>
    <cellStyle name="Note 2 3 2 2 5 2 2" xfId="31102" xr:uid="{00000000-0005-0000-0000-0000AD790000}"/>
    <cellStyle name="Note 2 3 2 2 5 2 2 2" xfId="31103" xr:uid="{00000000-0005-0000-0000-0000AE790000}"/>
    <cellStyle name="Note 2 3 2 2 5 2 3" xfId="31104" xr:uid="{00000000-0005-0000-0000-0000AF790000}"/>
    <cellStyle name="Note 2 3 2 2 5 3" xfId="31105" xr:uid="{00000000-0005-0000-0000-0000B0790000}"/>
    <cellStyle name="Note 2 3 2 2 5 3 2" xfId="31106" xr:uid="{00000000-0005-0000-0000-0000B1790000}"/>
    <cellStyle name="Note 2 3 2 2 5 4" xfId="31107" xr:uid="{00000000-0005-0000-0000-0000B2790000}"/>
    <cellStyle name="Note 2 3 2 2 6" xfId="31108" xr:uid="{00000000-0005-0000-0000-0000B3790000}"/>
    <cellStyle name="Note 2 3 2 2 6 2" xfId="31109" xr:uid="{00000000-0005-0000-0000-0000B4790000}"/>
    <cellStyle name="Note 2 3 2 2 6 2 2" xfId="31110" xr:uid="{00000000-0005-0000-0000-0000B5790000}"/>
    <cellStyle name="Note 2 3 2 2 6 3" xfId="31111" xr:uid="{00000000-0005-0000-0000-0000B6790000}"/>
    <cellStyle name="Note 2 3 2 2 7" xfId="31112" xr:uid="{00000000-0005-0000-0000-0000B7790000}"/>
    <cellStyle name="Note 2 3 2 2 7 2" xfId="31113" xr:uid="{00000000-0005-0000-0000-0000B8790000}"/>
    <cellStyle name="Note 2 3 2 2 8" xfId="31114" xr:uid="{00000000-0005-0000-0000-0000B9790000}"/>
    <cellStyle name="Note 2 3 2 3" xfId="31115" xr:uid="{00000000-0005-0000-0000-0000BA790000}"/>
    <cellStyle name="Note 2 3 2 3 2" xfId="31116" xr:uid="{00000000-0005-0000-0000-0000BB790000}"/>
    <cellStyle name="Note 2 3 2 3 2 2" xfId="31117" xr:uid="{00000000-0005-0000-0000-0000BC790000}"/>
    <cellStyle name="Note 2 3 2 3 2 2 2" xfId="31118" xr:uid="{00000000-0005-0000-0000-0000BD790000}"/>
    <cellStyle name="Note 2 3 2 3 2 2 2 2" xfId="31119" xr:uid="{00000000-0005-0000-0000-0000BE790000}"/>
    <cellStyle name="Note 2 3 2 3 2 2 2 2 2" xfId="31120" xr:uid="{00000000-0005-0000-0000-0000BF790000}"/>
    <cellStyle name="Note 2 3 2 3 2 2 2 2 2 2" xfId="31121" xr:uid="{00000000-0005-0000-0000-0000C0790000}"/>
    <cellStyle name="Note 2 3 2 3 2 2 2 2 3" xfId="31122" xr:uid="{00000000-0005-0000-0000-0000C1790000}"/>
    <cellStyle name="Note 2 3 2 3 2 2 2 3" xfId="31123" xr:uid="{00000000-0005-0000-0000-0000C2790000}"/>
    <cellStyle name="Note 2 3 2 3 2 2 2 3 2" xfId="31124" xr:uid="{00000000-0005-0000-0000-0000C3790000}"/>
    <cellStyle name="Note 2 3 2 3 2 2 2 4" xfId="31125" xr:uid="{00000000-0005-0000-0000-0000C4790000}"/>
    <cellStyle name="Note 2 3 2 3 2 2 3" xfId="31126" xr:uid="{00000000-0005-0000-0000-0000C5790000}"/>
    <cellStyle name="Note 2 3 2 3 2 2 3 2" xfId="31127" xr:uid="{00000000-0005-0000-0000-0000C6790000}"/>
    <cellStyle name="Note 2 3 2 3 2 2 3 2 2" xfId="31128" xr:uid="{00000000-0005-0000-0000-0000C7790000}"/>
    <cellStyle name="Note 2 3 2 3 2 2 3 3" xfId="31129" xr:uid="{00000000-0005-0000-0000-0000C8790000}"/>
    <cellStyle name="Note 2 3 2 3 2 2 4" xfId="31130" xr:uid="{00000000-0005-0000-0000-0000C9790000}"/>
    <cellStyle name="Note 2 3 2 3 2 2 4 2" xfId="31131" xr:uid="{00000000-0005-0000-0000-0000CA790000}"/>
    <cellStyle name="Note 2 3 2 3 2 2 5" xfId="31132" xr:uid="{00000000-0005-0000-0000-0000CB790000}"/>
    <cellStyle name="Note 2 3 2 3 2 3" xfId="31133" xr:uid="{00000000-0005-0000-0000-0000CC790000}"/>
    <cellStyle name="Note 2 3 2 3 2 3 2" xfId="31134" xr:uid="{00000000-0005-0000-0000-0000CD790000}"/>
    <cellStyle name="Note 2 3 2 3 2 3 2 2" xfId="31135" xr:uid="{00000000-0005-0000-0000-0000CE790000}"/>
    <cellStyle name="Note 2 3 2 3 2 3 2 2 2" xfId="31136" xr:uid="{00000000-0005-0000-0000-0000CF790000}"/>
    <cellStyle name="Note 2 3 2 3 2 3 2 3" xfId="31137" xr:uid="{00000000-0005-0000-0000-0000D0790000}"/>
    <cellStyle name="Note 2 3 2 3 2 3 3" xfId="31138" xr:uid="{00000000-0005-0000-0000-0000D1790000}"/>
    <cellStyle name="Note 2 3 2 3 2 3 3 2" xfId="31139" xr:uid="{00000000-0005-0000-0000-0000D2790000}"/>
    <cellStyle name="Note 2 3 2 3 2 3 4" xfId="31140" xr:uid="{00000000-0005-0000-0000-0000D3790000}"/>
    <cellStyle name="Note 2 3 2 3 2 4" xfId="31141" xr:uid="{00000000-0005-0000-0000-0000D4790000}"/>
    <cellStyle name="Note 2 3 2 3 2 4 2" xfId="31142" xr:uid="{00000000-0005-0000-0000-0000D5790000}"/>
    <cellStyle name="Note 2 3 2 3 2 4 2 2" xfId="31143" xr:uid="{00000000-0005-0000-0000-0000D6790000}"/>
    <cellStyle name="Note 2 3 2 3 2 4 3" xfId="31144" xr:uid="{00000000-0005-0000-0000-0000D7790000}"/>
    <cellStyle name="Note 2 3 2 3 2 5" xfId="31145" xr:uid="{00000000-0005-0000-0000-0000D8790000}"/>
    <cellStyle name="Note 2 3 2 3 2 5 2" xfId="31146" xr:uid="{00000000-0005-0000-0000-0000D9790000}"/>
    <cellStyle name="Note 2 3 2 3 2 6" xfId="31147" xr:uid="{00000000-0005-0000-0000-0000DA790000}"/>
    <cellStyle name="Note 2 3 2 3 3" xfId="31148" xr:uid="{00000000-0005-0000-0000-0000DB790000}"/>
    <cellStyle name="Note 2 3 2 3 3 2" xfId="31149" xr:uid="{00000000-0005-0000-0000-0000DC790000}"/>
    <cellStyle name="Note 2 3 2 3 3 2 2" xfId="31150" xr:uid="{00000000-0005-0000-0000-0000DD790000}"/>
    <cellStyle name="Note 2 3 2 3 3 2 2 2" xfId="31151" xr:uid="{00000000-0005-0000-0000-0000DE790000}"/>
    <cellStyle name="Note 2 3 2 3 3 2 2 2 2" xfId="31152" xr:uid="{00000000-0005-0000-0000-0000DF790000}"/>
    <cellStyle name="Note 2 3 2 3 3 2 2 3" xfId="31153" xr:uid="{00000000-0005-0000-0000-0000E0790000}"/>
    <cellStyle name="Note 2 3 2 3 3 2 3" xfId="31154" xr:uid="{00000000-0005-0000-0000-0000E1790000}"/>
    <cellStyle name="Note 2 3 2 3 3 2 3 2" xfId="31155" xr:uid="{00000000-0005-0000-0000-0000E2790000}"/>
    <cellStyle name="Note 2 3 2 3 3 2 4" xfId="31156" xr:uid="{00000000-0005-0000-0000-0000E3790000}"/>
    <cellStyle name="Note 2 3 2 3 3 3" xfId="31157" xr:uid="{00000000-0005-0000-0000-0000E4790000}"/>
    <cellStyle name="Note 2 3 2 3 3 3 2" xfId="31158" xr:uid="{00000000-0005-0000-0000-0000E5790000}"/>
    <cellStyle name="Note 2 3 2 3 3 3 2 2" xfId="31159" xr:uid="{00000000-0005-0000-0000-0000E6790000}"/>
    <cellStyle name="Note 2 3 2 3 3 3 3" xfId="31160" xr:uid="{00000000-0005-0000-0000-0000E7790000}"/>
    <cellStyle name="Note 2 3 2 3 3 4" xfId="31161" xr:uid="{00000000-0005-0000-0000-0000E8790000}"/>
    <cellStyle name="Note 2 3 2 3 3 4 2" xfId="31162" xr:uid="{00000000-0005-0000-0000-0000E9790000}"/>
    <cellStyle name="Note 2 3 2 3 3 5" xfId="31163" xr:uid="{00000000-0005-0000-0000-0000EA790000}"/>
    <cellStyle name="Note 2 3 2 3 4" xfId="31164" xr:uid="{00000000-0005-0000-0000-0000EB790000}"/>
    <cellStyle name="Note 2 3 2 3 4 2" xfId="31165" xr:uid="{00000000-0005-0000-0000-0000EC790000}"/>
    <cellStyle name="Note 2 3 2 3 4 2 2" xfId="31166" xr:uid="{00000000-0005-0000-0000-0000ED790000}"/>
    <cellStyle name="Note 2 3 2 3 4 2 2 2" xfId="31167" xr:uid="{00000000-0005-0000-0000-0000EE790000}"/>
    <cellStyle name="Note 2 3 2 3 4 2 3" xfId="31168" xr:uid="{00000000-0005-0000-0000-0000EF790000}"/>
    <cellStyle name="Note 2 3 2 3 4 3" xfId="31169" xr:uid="{00000000-0005-0000-0000-0000F0790000}"/>
    <cellStyle name="Note 2 3 2 3 4 3 2" xfId="31170" xr:uid="{00000000-0005-0000-0000-0000F1790000}"/>
    <cellStyle name="Note 2 3 2 3 4 4" xfId="31171" xr:uid="{00000000-0005-0000-0000-0000F2790000}"/>
    <cellStyle name="Note 2 3 2 3 5" xfId="31172" xr:uid="{00000000-0005-0000-0000-0000F3790000}"/>
    <cellStyle name="Note 2 3 2 3 5 2" xfId="31173" xr:uid="{00000000-0005-0000-0000-0000F4790000}"/>
    <cellStyle name="Note 2 3 2 3 5 2 2" xfId="31174" xr:uid="{00000000-0005-0000-0000-0000F5790000}"/>
    <cellStyle name="Note 2 3 2 3 5 3" xfId="31175" xr:uid="{00000000-0005-0000-0000-0000F6790000}"/>
    <cellStyle name="Note 2 3 2 3 6" xfId="31176" xr:uid="{00000000-0005-0000-0000-0000F7790000}"/>
    <cellStyle name="Note 2 3 2 3 6 2" xfId="31177" xr:uid="{00000000-0005-0000-0000-0000F8790000}"/>
    <cellStyle name="Note 2 3 2 3 7" xfId="31178" xr:uid="{00000000-0005-0000-0000-0000F9790000}"/>
    <cellStyle name="Note 2 3 2 4" xfId="31179" xr:uid="{00000000-0005-0000-0000-0000FA790000}"/>
    <cellStyle name="Note 2 3 2 4 2" xfId="31180" xr:uid="{00000000-0005-0000-0000-0000FB790000}"/>
    <cellStyle name="Note 2 3 2 4 2 2" xfId="31181" xr:uid="{00000000-0005-0000-0000-0000FC790000}"/>
    <cellStyle name="Note 2 3 2 4 2 2 2" xfId="31182" xr:uid="{00000000-0005-0000-0000-0000FD790000}"/>
    <cellStyle name="Note 2 3 2 4 2 2 2 2" xfId="31183" xr:uid="{00000000-0005-0000-0000-0000FE790000}"/>
    <cellStyle name="Note 2 3 2 4 2 2 2 2 2" xfId="31184" xr:uid="{00000000-0005-0000-0000-0000FF790000}"/>
    <cellStyle name="Note 2 3 2 4 2 2 2 3" xfId="31185" xr:uid="{00000000-0005-0000-0000-0000007A0000}"/>
    <cellStyle name="Note 2 3 2 4 2 2 3" xfId="31186" xr:uid="{00000000-0005-0000-0000-0000017A0000}"/>
    <cellStyle name="Note 2 3 2 4 2 2 3 2" xfId="31187" xr:uid="{00000000-0005-0000-0000-0000027A0000}"/>
    <cellStyle name="Note 2 3 2 4 2 2 4" xfId="31188" xr:uid="{00000000-0005-0000-0000-0000037A0000}"/>
    <cellStyle name="Note 2 3 2 4 2 3" xfId="31189" xr:uid="{00000000-0005-0000-0000-0000047A0000}"/>
    <cellStyle name="Note 2 3 2 4 2 3 2" xfId="31190" xr:uid="{00000000-0005-0000-0000-0000057A0000}"/>
    <cellStyle name="Note 2 3 2 4 2 3 2 2" xfId="31191" xr:uid="{00000000-0005-0000-0000-0000067A0000}"/>
    <cellStyle name="Note 2 3 2 4 2 3 3" xfId="31192" xr:uid="{00000000-0005-0000-0000-0000077A0000}"/>
    <cellStyle name="Note 2 3 2 4 2 4" xfId="31193" xr:uid="{00000000-0005-0000-0000-0000087A0000}"/>
    <cellStyle name="Note 2 3 2 4 2 4 2" xfId="31194" xr:uid="{00000000-0005-0000-0000-0000097A0000}"/>
    <cellStyle name="Note 2 3 2 4 2 5" xfId="31195" xr:uid="{00000000-0005-0000-0000-00000A7A0000}"/>
    <cellStyle name="Note 2 3 2 4 3" xfId="31196" xr:uid="{00000000-0005-0000-0000-00000B7A0000}"/>
    <cellStyle name="Note 2 3 2 4 3 2" xfId="31197" xr:uid="{00000000-0005-0000-0000-00000C7A0000}"/>
    <cellStyle name="Note 2 3 2 4 3 2 2" xfId="31198" xr:uid="{00000000-0005-0000-0000-00000D7A0000}"/>
    <cellStyle name="Note 2 3 2 4 3 2 2 2" xfId="31199" xr:uid="{00000000-0005-0000-0000-00000E7A0000}"/>
    <cellStyle name="Note 2 3 2 4 3 2 3" xfId="31200" xr:uid="{00000000-0005-0000-0000-00000F7A0000}"/>
    <cellStyle name="Note 2 3 2 4 3 3" xfId="31201" xr:uid="{00000000-0005-0000-0000-0000107A0000}"/>
    <cellStyle name="Note 2 3 2 4 3 3 2" xfId="31202" xr:uid="{00000000-0005-0000-0000-0000117A0000}"/>
    <cellStyle name="Note 2 3 2 4 3 4" xfId="31203" xr:uid="{00000000-0005-0000-0000-0000127A0000}"/>
    <cellStyle name="Note 2 3 2 4 4" xfId="31204" xr:uid="{00000000-0005-0000-0000-0000137A0000}"/>
    <cellStyle name="Note 2 3 2 4 4 2" xfId="31205" xr:uid="{00000000-0005-0000-0000-0000147A0000}"/>
    <cellStyle name="Note 2 3 2 4 4 2 2" xfId="31206" xr:uid="{00000000-0005-0000-0000-0000157A0000}"/>
    <cellStyle name="Note 2 3 2 4 4 3" xfId="31207" xr:uid="{00000000-0005-0000-0000-0000167A0000}"/>
    <cellStyle name="Note 2 3 2 4 5" xfId="31208" xr:uid="{00000000-0005-0000-0000-0000177A0000}"/>
    <cellStyle name="Note 2 3 2 4 5 2" xfId="31209" xr:uid="{00000000-0005-0000-0000-0000187A0000}"/>
    <cellStyle name="Note 2 3 2 4 6" xfId="31210" xr:uid="{00000000-0005-0000-0000-0000197A0000}"/>
    <cellStyle name="Note 2 3 2 5" xfId="31211" xr:uid="{00000000-0005-0000-0000-00001A7A0000}"/>
    <cellStyle name="Note 2 3 2 5 2" xfId="31212" xr:uid="{00000000-0005-0000-0000-00001B7A0000}"/>
    <cellStyle name="Note 2 3 2 5 2 2" xfId="31213" xr:uid="{00000000-0005-0000-0000-00001C7A0000}"/>
    <cellStyle name="Note 2 3 2 5 2 2 2" xfId="31214" xr:uid="{00000000-0005-0000-0000-00001D7A0000}"/>
    <cellStyle name="Note 2 3 2 5 2 2 2 2" xfId="31215" xr:uid="{00000000-0005-0000-0000-00001E7A0000}"/>
    <cellStyle name="Note 2 3 2 5 2 2 3" xfId="31216" xr:uid="{00000000-0005-0000-0000-00001F7A0000}"/>
    <cellStyle name="Note 2 3 2 5 2 3" xfId="31217" xr:uid="{00000000-0005-0000-0000-0000207A0000}"/>
    <cellStyle name="Note 2 3 2 5 2 3 2" xfId="31218" xr:uid="{00000000-0005-0000-0000-0000217A0000}"/>
    <cellStyle name="Note 2 3 2 5 2 4" xfId="31219" xr:uid="{00000000-0005-0000-0000-0000227A0000}"/>
    <cellStyle name="Note 2 3 2 5 3" xfId="31220" xr:uid="{00000000-0005-0000-0000-0000237A0000}"/>
    <cellStyle name="Note 2 3 2 5 3 2" xfId="31221" xr:uid="{00000000-0005-0000-0000-0000247A0000}"/>
    <cellStyle name="Note 2 3 2 5 3 2 2" xfId="31222" xr:uid="{00000000-0005-0000-0000-0000257A0000}"/>
    <cellStyle name="Note 2 3 2 5 3 3" xfId="31223" xr:uid="{00000000-0005-0000-0000-0000267A0000}"/>
    <cellStyle name="Note 2 3 2 5 4" xfId="31224" xr:uid="{00000000-0005-0000-0000-0000277A0000}"/>
    <cellStyle name="Note 2 3 2 5 4 2" xfId="31225" xr:uid="{00000000-0005-0000-0000-0000287A0000}"/>
    <cellStyle name="Note 2 3 2 5 5" xfId="31226" xr:uid="{00000000-0005-0000-0000-0000297A0000}"/>
    <cellStyle name="Note 2 3 2 6" xfId="31227" xr:uid="{00000000-0005-0000-0000-00002A7A0000}"/>
    <cellStyle name="Note 2 3 2 6 2" xfId="31228" xr:uid="{00000000-0005-0000-0000-00002B7A0000}"/>
    <cellStyle name="Note 2 3 2 6 2 2" xfId="31229" xr:uid="{00000000-0005-0000-0000-00002C7A0000}"/>
    <cellStyle name="Note 2 3 2 6 2 2 2" xfId="31230" xr:uid="{00000000-0005-0000-0000-00002D7A0000}"/>
    <cellStyle name="Note 2 3 2 6 2 3" xfId="31231" xr:uid="{00000000-0005-0000-0000-00002E7A0000}"/>
    <cellStyle name="Note 2 3 2 6 3" xfId="31232" xr:uid="{00000000-0005-0000-0000-00002F7A0000}"/>
    <cellStyle name="Note 2 3 2 6 3 2" xfId="31233" xr:uid="{00000000-0005-0000-0000-0000307A0000}"/>
    <cellStyle name="Note 2 3 2 6 4" xfId="31234" xr:uid="{00000000-0005-0000-0000-0000317A0000}"/>
    <cellStyle name="Note 2 3 2 7" xfId="31235" xr:uid="{00000000-0005-0000-0000-0000327A0000}"/>
    <cellStyle name="Note 2 3 2 7 2" xfId="31236" xr:uid="{00000000-0005-0000-0000-0000337A0000}"/>
    <cellStyle name="Note 2 3 2 7 2 2" xfId="31237" xr:uid="{00000000-0005-0000-0000-0000347A0000}"/>
    <cellStyle name="Note 2 3 2 7 3" xfId="31238" xr:uid="{00000000-0005-0000-0000-0000357A0000}"/>
    <cellStyle name="Note 2 3 2 8" xfId="31239" xr:uid="{00000000-0005-0000-0000-0000367A0000}"/>
    <cellStyle name="Note 2 3 2 8 2" xfId="31240" xr:uid="{00000000-0005-0000-0000-0000377A0000}"/>
    <cellStyle name="Note 2 3 2 9" xfId="31241" xr:uid="{00000000-0005-0000-0000-0000387A0000}"/>
    <cellStyle name="Note 2 3 3" xfId="31242" xr:uid="{00000000-0005-0000-0000-0000397A0000}"/>
    <cellStyle name="Note 2 3 3 2" xfId="31243" xr:uid="{00000000-0005-0000-0000-00003A7A0000}"/>
    <cellStyle name="Note 2 3 3 2 2" xfId="31244" xr:uid="{00000000-0005-0000-0000-00003B7A0000}"/>
    <cellStyle name="Note 2 3 3 2 2 2" xfId="31245" xr:uid="{00000000-0005-0000-0000-00003C7A0000}"/>
    <cellStyle name="Note 2 3 3 2 2 2 2" xfId="31246" xr:uid="{00000000-0005-0000-0000-00003D7A0000}"/>
    <cellStyle name="Note 2 3 3 2 2 2 2 2" xfId="31247" xr:uid="{00000000-0005-0000-0000-00003E7A0000}"/>
    <cellStyle name="Note 2 3 3 2 2 2 2 2 2" xfId="31248" xr:uid="{00000000-0005-0000-0000-00003F7A0000}"/>
    <cellStyle name="Note 2 3 3 2 2 2 2 2 2 2" xfId="31249" xr:uid="{00000000-0005-0000-0000-0000407A0000}"/>
    <cellStyle name="Note 2 3 3 2 2 2 2 2 3" xfId="31250" xr:uid="{00000000-0005-0000-0000-0000417A0000}"/>
    <cellStyle name="Note 2 3 3 2 2 2 2 3" xfId="31251" xr:uid="{00000000-0005-0000-0000-0000427A0000}"/>
    <cellStyle name="Note 2 3 3 2 2 2 2 3 2" xfId="31252" xr:uid="{00000000-0005-0000-0000-0000437A0000}"/>
    <cellStyle name="Note 2 3 3 2 2 2 2 4" xfId="31253" xr:uid="{00000000-0005-0000-0000-0000447A0000}"/>
    <cellStyle name="Note 2 3 3 2 2 2 3" xfId="31254" xr:uid="{00000000-0005-0000-0000-0000457A0000}"/>
    <cellStyle name="Note 2 3 3 2 2 2 3 2" xfId="31255" xr:uid="{00000000-0005-0000-0000-0000467A0000}"/>
    <cellStyle name="Note 2 3 3 2 2 2 3 2 2" xfId="31256" xr:uid="{00000000-0005-0000-0000-0000477A0000}"/>
    <cellStyle name="Note 2 3 3 2 2 2 3 3" xfId="31257" xr:uid="{00000000-0005-0000-0000-0000487A0000}"/>
    <cellStyle name="Note 2 3 3 2 2 2 4" xfId="31258" xr:uid="{00000000-0005-0000-0000-0000497A0000}"/>
    <cellStyle name="Note 2 3 3 2 2 2 4 2" xfId="31259" xr:uid="{00000000-0005-0000-0000-00004A7A0000}"/>
    <cellStyle name="Note 2 3 3 2 2 2 5" xfId="31260" xr:uid="{00000000-0005-0000-0000-00004B7A0000}"/>
    <cellStyle name="Note 2 3 3 2 2 3" xfId="31261" xr:uid="{00000000-0005-0000-0000-00004C7A0000}"/>
    <cellStyle name="Note 2 3 3 2 2 3 2" xfId="31262" xr:uid="{00000000-0005-0000-0000-00004D7A0000}"/>
    <cellStyle name="Note 2 3 3 2 2 3 2 2" xfId="31263" xr:uid="{00000000-0005-0000-0000-00004E7A0000}"/>
    <cellStyle name="Note 2 3 3 2 2 3 2 2 2" xfId="31264" xr:uid="{00000000-0005-0000-0000-00004F7A0000}"/>
    <cellStyle name="Note 2 3 3 2 2 3 2 3" xfId="31265" xr:uid="{00000000-0005-0000-0000-0000507A0000}"/>
    <cellStyle name="Note 2 3 3 2 2 3 3" xfId="31266" xr:uid="{00000000-0005-0000-0000-0000517A0000}"/>
    <cellStyle name="Note 2 3 3 2 2 3 3 2" xfId="31267" xr:uid="{00000000-0005-0000-0000-0000527A0000}"/>
    <cellStyle name="Note 2 3 3 2 2 3 4" xfId="31268" xr:uid="{00000000-0005-0000-0000-0000537A0000}"/>
    <cellStyle name="Note 2 3 3 2 2 4" xfId="31269" xr:uid="{00000000-0005-0000-0000-0000547A0000}"/>
    <cellStyle name="Note 2 3 3 2 2 4 2" xfId="31270" xr:uid="{00000000-0005-0000-0000-0000557A0000}"/>
    <cellStyle name="Note 2 3 3 2 2 4 2 2" xfId="31271" xr:uid="{00000000-0005-0000-0000-0000567A0000}"/>
    <cellStyle name="Note 2 3 3 2 2 4 3" xfId="31272" xr:uid="{00000000-0005-0000-0000-0000577A0000}"/>
    <cellStyle name="Note 2 3 3 2 2 5" xfId="31273" xr:uid="{00000000-0005-0000-0000-0000587A0000}"/>
    <cellStyle name="Note 2 3 3 2 2 5 2" xfId="31274" xr:uid="{00000000-0005-0000-0000-0000597A0000}"/>
    <cellStyle name="Note 2 3 3 2 2 6" xfId="31275" xr:uid="{00000000-0005-0000-0000-00005A7A0000}"/>
    <cellStyle name="Note 2 3 3 2 3" xfId="31276" xr:uid="{00000000-0005-0000-0000-00005B7A0000}"/>
    <cellStyle name="Note 2 3 3 2 3 2" xfId="31277" xr:uid="{00000000-0005-0000-0000-00005C7A0000}"/>
    <cellStyle name="Note 2 3 3 2 3 2 2" xfId="31278" xr:uid="{00000000-0005-0000-0000-00005D7A0000}"/>
    <cellStyle name="Note 2 3 3 2 3 2 2 2" xfId="31279" xr:uid="{00000000-0005-0000-0000-00005E7A0000}"/>
    <cellStyle name="Note 2 3 3 2 3 2 2 2 2" xfId="31280" xr:uid="{00000000-0005-0000-0000-00005F7A0000}"/>
    <cellStyle name="Note 2 3 3 2 3 2 2 3" xfId="31281" xr:uid="{00000000-0005-0000-0000-0000607A0000}"/>
    <cellStyle name="Note 2 3 3 2 3 2 3" xfId="31282" xr:uid="{00000000-0005-0000-0000-0000617A0000}"/>
    <cellStyle name="Note 2 3 3 2 3 2 3 2" xfId="31283" xr:uid="{00000000-0005-0000-0000-0000627A0000}"/>
    <cellStyle name="Note 2 3 3 2 3 2 4" xfId="31284" xr:uid="{00000000-0005-0000-0000-0000637A0000}"/>
    <cellStyle name="Note 2 3 3 2 3 3" xfId="31285" xr:uid="{00000000-0005-0000-0000-0000647A0000}"/>
    <cellStyle name="Note 2 3 3 2 3 3 2" xfId="31286" xr:uid="{00000000-0005-0000-0000-0000657A0000}"/>
    <cellStyle name="Note 2 3 3 2 3 3 2 2" xfId="31287" xr:uid="{00000000-0005-0000-0000-0000667A0000}"/>
    <cellStyle name="Note 2 3 3 2 3 3 3" xfId="31288" xr:uid="{00000000-0005-0000-0000-0000677A0000}"/>
    <cellStyle name="Note 2 3 3 2 3 4" xfId="31289" xr:uid="{00000000-0005-0000-0000-0000687A0000}"/>
    <cellStyle name="Note 2 3 3 2 3 4 2" xfId="31290" xr:uid="{00000000-0005-0000-0000-0000697A0000}"/>
    <cellStyle name="Note 2 3 3 2 3 5" xfId="31291" xr:uid="{00000000-0005-0000-0000-00006A7A0000}"/>
    <cellStyle name="Note 2 3 3 2 4" xfId="31292" xr:uid="{00000000-0005-0000-0000-00006B7A0000}"/>
    <cellStyle name="Note 2 3 3 2 4 2" xfId="31293" xr:uid="{00000000-0005-0000-0000-00006C7A0000}"/>
    <cellStyle name="Note 2 3 3 2 4 2 2" xfId="31294" xr:uid="{00000000-0005-0000-0000-00006D7A0000}"/>
    <cellStyle name="Note 2 3 3 2 4 2 2 2" xfId="31295" xr:uid="{00000000-0005-0000-0000-00006E7A0000}"/>
    <cellStyle name="Note 2 3 3 2 4 2 3" xfId="31296" xr:uid="{00000000-0005-0000-0000-00006F7A0000}"/>
    <cellStyle name="Note 2 3 3 2 4 3" xfId="31297" xr:uid="{00000000-0005-0000-0000-0000707A0000}"/>
    <cellStyle name="Note 2 3 3 2 4 3 2" xfId="31298" xr:uid="{00000000-0005-0000-0000-0000717A0000}"/>
    <cellStyle name="Note 2 3 3 2 4 4" xfId="31299" xr:uid="{00000000-0005-0000-0000-0000727A0000}"/>
    <cellStyle name="Note 2 3 3 2 5" xfId="31300" xr:uid="{00000000-0005-0000-0000-0000737A0000}"/>
    <cellStyle name="Note 2 3 3 2 5 2" xfId="31301" xr:uid="{00000000-0005-0000-0000-0000747A0000}"/>
    <cellStyle name="Note 2 3 3 2 5 2 2" xfId="31302" xr:uid="{00000000-0005-0000-0000-0000757A0000}"/>
    <cellStyle name="Note 2 3 3 2 5 3" xfId="31303" xr:uid="{00000000-0005-0000-0000-0000767A0000}"/>
    <cellStyle name="Note 2 3 3 2 6" xfId="31304" xr:uid="{00000000-0005-0000-0000-0000777A0000}"/>
    <cellStyle name="Note 2 3 3 2 6 2" xfId="31305" xr:uid="{00000000-0005-0000-0000-0000787A0000}"/>
    <cellStyle name="Note 2 3 3 2 7" xfId="31306" xr:uid="{00000000-0005-0000-0000-0000797A0000}"/>
    <cellStyle name="Note 2 3 3 3" xfId="31307" xr:uid="{00000000-0005-0000-0000-00007A7A0000}"/>
    <cellStyle name="Note 2 3 3 3 2" xfId="31308" xr:uid="{00000000-0005-0000-0000-00007B7A0000}"/>
    <cellStyle name="Note 2 3 3 3 2 2" xfId="31309" xr:uid="{00000000-0005-0000-0000-00007C7A0000}"/>
    <cellStyle name="Note 2 3 3 3 2 2 2" xfId="31310" xr:uid="{00000000-0005-0000-0000-00007D7A0000}"/>
    <cellStyle name="Note 2 3 3 3 2 2 2 2" xfId="31311" xr:uid="{00000000-0005-0000-0000-00007E7A0000}"/>
    <cellStyle name="Note 2 3 3 3 2 2 2 2 2" xfId="31312" xr:uid="{00000000-0005-0000-0000-00007F7A0000}"/>
    <cellStyle name="Note 2 3 3 3 2 2 2 3" xfId="31313" xr:uid="{00000000-0005-0000-0000-0000807A0000}"/>
    <cellStyle name="Note 2 3 3 3 2 2 3" xfId="31314" xr:uid="{00000000-0005-0000-0000-0000817A0000}"/>
    <cellStyle name="Note 2 3 3 3 2 2 3 2" xfId="31315" xr:uid="{00000000-0005-0000-0000-0000827A0000}"/>
    <cellStyle name="Note 2 3 3 3 2 2 4" xfId="31316" xr:uid="{00000000-0005-0000-0000-0000837A0000}"/>
    <cellStyle name="Note 2 3 3 3 2 3" xfId="31317" xr:uid="{00000000-0005-0000-0000-0000847A0000}"/>
    <cellStyle name="Note 2 3 3 3 2 3 2" xfId="31318" xr:uid="{00000000-0005-0000-0000-0000857A0000}"/>
    <cellStyle name="Note 2 3 3 3 2 3 2 2" xfId="31319" xr:uid="{00000000-0005-0000-0000-0000867A0000}"/>
    <cellStyle name="Note 2 3 3 3 2 3 3" xfId="31320" xr:uid="{00000000-0005-0000-0000-0000877A0000}"/>
    <cellStyle name="Note 2 3 3 3 2 4" xfId="31321" xr:uid="{00000000-0005-0000-0000-0000887A0000}"/>
    <cellStyle name="Note 2 3 3 3 2 4 2" xfId="31322" xr:uid="{00000000-0005-0000-0000-0000897A0000}"/>
    <cellStyle name="Note 2 3 3 3 2 5" xfId="31323" xr:uid="{00000000-0005-0000-0000-00008A7A0000}"/>
    <cellStyle name="Note 2 3 3 3 3" xfId="31324" xr:uid="{00000000-0005-0000-0000-00008B7A0000}"/>
    <cellStyle name="Note 2 3 3 3 3 2" xfId="31325" xr:uid="{00000000-0005-0000-0000-00008C7A0000}"/>
    <cellStyle name="Note 2 3 3 3 3 2 2" xfId="31326" xr:uid="{00000000-0005-0000-0000-00008D7A0000}"/>
    <cellStyle name="Note 2 3 3 3 3 2 2 2" xfId="31327" xr:uid="{00000000-0005-0000-0000-00008E7A0000}"/>
    <cellStyle name="Note 2 3 3 3 3 2 3" xfId="31328" xr:uid="{00000000-0005-0000-0000-00008F7A0000}"/>
    <cellStyle name="Note 2 3 3 3 3 3" xfId="31329" xr:uid="{00000000-0005-0000-0000-0000907A0000}"/>
    <cellStyle name="Note 2 3 3 3 3 3 2" xfId="31330" xr:uid="{00000000-0005-0000-0000-0000917A0000}"/>
    <cellStyle name="Note 2 3 3 3 3 4" xfId="31331" xr:uid="{00000000-0005-0000-0000-0000927A0000}"/>
    <cellStyle name="Note 2 3 3 3 4" xfId="31332" xr:uid="{00000000-0005-0000-0000-0000937A0000}"/>
    <cellStyle name="Note 2 3 3 3 4 2" xfId="31333" xr:uid="{00000000-0005-0000-0000-0000947A0000}"/>
    <cellStyle name="Note 2 3 3 3 4 2 2" xfId="31334" xr:uid="{00000000-0005-0000-0000-0000957A0000}"/>
    <cellStyle name="Note 2 3 3 3 4 3" xfId="31335" xr:uid="{00000000-0005-0000-0000-0000967A0000}"/>
    <cellStyle name="Note 2 3 3 3 5" xfId="31336" xr:uid="{00000000-0005-0000-0000-0000977A0000}"/>
    <cellStyle name="Note 2 3 3 3 5 2" xfId="31337" xr:uid="{00000000-0005-0000-0000-0000987A0000}"/>
    <cellStyle name="Note 2 3 3 3 6" xfId="31338" xr:uid="{00000000-0005-0000-0000-0000997A0000}"/>
    <cellStyle name="Note 2 3 3 4" xfId="31339" xr:uid="{00000000-0005-0000-0000-00009A7A0000}"/>
    <cellStyle name="Note 2 3 3 4 2" xfId="31340" xr:uid="{00000000-0005-0000-0000-00009B7A0000}"/>
    <cellStyle name="Note 2 3 3 4 2 2" xfId="31341" xr:uid="{00000000-0005-0000-0000-00009C7A0000}"/>
    <cellStyle name="Note 2 3 3 4 2 2 2" xfId="31342" xr:uid="{00000000-0005-0000-0000-00009D7A0000}"/>
    <cellStyle name="Note 2 3 3 4 2 2 2 2" xfId="31343" xr:uid="{00000000-0005-0000-0000-00009E7A0000}"/>
    <cellStyle name="Note 2 3 3 4 2 2 3" xfId="31344" xr:uid="{00000000-0005-0000-0000-00009F7A0000}"/>
    <cellStyle name="Note 2 3 3 4 2 3" xfId="31345" xr:uid="{00000000-0005-0000-0000-0000A07A0000}"/>
    <cellStyle name="Note 2 3 3 4 2 3 2" xfId="31346" xr:uid="{00000000-0005-0000-0000-0000A17A0000}"/>
    <cellStyle name="Note 2 3 3 4 2 4" xfId="31347" xr:uid="{00000000-0005-0000-0000-0000A27A0000}"/>
    <cellStyle name="Note 2 3 3 4 3" xfId="31348" xr:uid="{00000000-0005-0000-0000-0000A37A0000}"/>
    <cellStyle name="Note 2 3 3 4 3 2" xfId="31349" xr:uid="{00000000-0005-0000-0000-0000A47A0000}"/>
    <cellStyle name="Note 2 3 3 4 3 2 2" xfId="31350" xr:uid="{00000000-0005-0000-0000-0000A57A0000}"/>
    <cellStyle name="Note 2 3 3 4 3 3" xfId="31351" xr:uid="{00000000-0005-0000-0000-0000A67A0000}"/>
    <cellStyle name="Note 2 3 3 4 4" xfId="31352" xr:uid="{00000000-0005-0000-0000-0000A77A0000}"/>
    <cellStyle name="Note 2 3 3 4 4 2" xfId="31353" xr:uid="{00000000-0005-0000-0000-0000A87A0000}"/>
    <cellStyle name="Note 2 3 3 4 5" xfId="31354" xr:uid="{00000000-0005-0000-0000-0000A97A0000}"/>
    <cellStyle name="Note 2 3 3 5" xfId="31355" xr:uid="{00000000-0005-0000-0000-0000AA7A0000}"/>
    <cellStyle name="Note 2 3 3 5 2" xfId="31356" xr:uid="{00000000-0005-0000-0000-0000AB7A0000}"/>
    <cellStyle name="Note 2 3 3 5 2 2" xfId="31357" xr:uid="{00000000-0005-0000-0000-0000AC7A0000}"/>
    <cellStyle name="Note 2 3 3 5 2 2 2" xfId="31358" xr:uid="{00000000-0005-0000-0000-0000AD7A0000}"/>
    <cellStyle name="Note 2 3 3 5 2 3" xfId="31359" xr:uid="{00000000-0005-0000-0000-0000AE7A0000}"/>
    <cellStyle name="Note 2 3 3 5 3" xfId="31360" xr:uid="{00000000-0005-0000-0000-0000AF7A0000}"/>
    <cellStyle name="Note 2 3 3 5 3 2" xfId="31361" xr:uid="{00000000-0005-0000-0000-0000B07A0000}"/>
    <cellStyle name="Note 2 3 3 5 4" xfId="31362" xr:uid="{00000000-0005-0000-0000-0000B17A0000}"/>
    <cellStyle name="Note 2 3 3 6" xfId="31363" xr:uid="{00000000-0005-0000-0000-0000B27A0000}"/>
    <cellStyle name="Note 2 3 3 6 2" xfId="31364" xr:uid="{00000000-0005-0000-0000-0000B37A0000}"/>
    <cellStyle name="Note 2 3 3 6 2 2" xfId="31365" xr:uid="{00000000-0005-0000-0000-0000B47A0000}"/>
    <cellStyle name="Note 2 3 3 6 3" xfId="31366" xr:uid="{00000000-0005-0000-0000-0000B57A0000}"/>
    <cellStyle name="Note 2 3 3 7" xfId="31367" xr:uid="{00000000-0005-0000-0000-0000B67A0000}"/>
    <cellStyle name="Note 2 3 3 7 2" xfId="31368" xr:uid="{00000000-0005-0000-0000-0000B77A0000}"/>
    <cellStyle name="Note 2 3 3 8" xfId="31369" xr:uid="{00000000-0005-0000-0000-0000B87A0000}"/>
    <cellStyle name="Note 2 3 4" xfId="31370" xr:uid="{00000000-0005-0000-0000-0000B97A0000}"/>
    <cellStyle name="Note 2 3 4 2" xfId="31371" xr:uid="{00000000-0005-0000-0000-0000BA7A0000}"/>
    <cellStyle name="Note 2 3 4 2 2" xfId="31372" xr:uid="{00000000-0005-0000-0000-0000BB7A0000}"/>
    <cellStyle name="Note 2 3 4 2 2 2" xfId="31373" xr:uid="{00000000-0005-0000-0000-0000BC7A0000}"/>
    <cellStyle name="Note 2 3 4 2 2 2 2" xfId="31374" xr:uid="{00000000-0005-0000-0000-0000BD7A0000}"/>
    <cellStyle name="Note 2 3 4 2 2 2 2 2" xfId="31375" xr:uid="{00000000-0005-0000-0000-0000BE7A0000}"/>
    <cellStyle name="Note 2 3 4 2 2 2 2 2 2" xfId="31376" xr:uid="{00000000-0005-0000-0000-0000BF7A0000}"/>
    <cellStyle name="Note 2 3 4 2 2 2 2 3" xfId="31377" xr:uid="{00000000-0005-0000-0000-0000C07A0000}"/>
    <cellStyle name="Note 2 3 4 2 2 2 3" xfId="31378" xr:uid="{00000000-0005-0000-0000-0000C17A0000}"/>
    <cellStyle name="Note 2 3 4 2 2 2 3 2" xfId="31379" xr:uid="{00000000-0005-0000-0000-0000C27A0000}"/>
    <cellStyle name="Note 2 3 4 2 2 2 4" xfId="31380" xr:uid="{00000000-0005-0000-0000-0000C37A0000}"/>
    <cellStyle name="Note 2 3 4 2 2 3" xfId="31381" xr:uid="{00000000-0005-0000-0000-0000C47A0000}"/>
    <cellStyle name="Note 2 3 4 2 2 3 2" xfId="31382" xr:uid="{00000000-0005-0000-0000-0000C57A0000}"/>
    <cellStyle name="Note 2 3 4 2 2 3 2 2" xfId="31383" xr:uid="{00000000-0005-0000-0000-0000C67A0000}"/>
    <cellStyle name="Note 2 3 4 2 2 3 3" xfId="31384" xr:uid="{00000000-0005-0000-0000-0000C77A0000}"/>
    <cellStyle name="Note 2 3 4 2 2 4" xfId="31385" xr:uid="{00000000-0005-0000-0000-0000C87A0000}"/>
    <cellStyle name="Note 2 3 4 2 2 4 2" xfId="31386" xr:uid="{00000000-0005-0000-0000-0000C97A0000}"/>
    <cellStyle name="Note 2 3 4 2 2 5" xfId="31387" xr:uid="{00000000-0005-0000-0000-0000CA7A0000}"/>
    <cellStyle name="Note 2 3 4 2 3" xfId="31388" xr:uid="{00000000-0005-0000-0000-0000CB7A0000}"/>
    <cellStyle name="Note 2 3 4 2 3 2" xfId="31389" xr:uid="{00000000-0005-0000-0000-0000CC7A0000}"/>
    <cellStyle name="Note 2 3 4 2 3 2 2" xfId="31390" xr:uid="{00000000-0005-0000-0000-0000CD7A0000}"/>
    <cellStyle name="Note 2 3 4 2 3 2 2 2" xfId="31391" xr:uid="{00000000-0005-0000-0000-0000CE7A0000}"/>
    <cellStyle name="Note 2 3 4 2 3 2 3" xfId="31392" xr:uid="{00000000-0005-0000-0000-0000CF7A0000}"/>
    <cellStyle name="Note 2 3 4 2 3 3" xfId="31393" xr:uid="{00000000-0005-0000-0000-0000D07A0000}"/>
    <cellStyle name="Note 2 3 4 2 3 3 2" xfId="31394" xr:uid="{00000000-0005-0000-0000-0000D17A0000}"/>
    <cellStyle name="Note 2 3 4 2 3 4" xfId="31395" xr:uid="{00000000-0005-0000-0000-0000D27A0000}"/>
    <cellStyle name="Note 2 3 4 2 4" xfId="31396" xr:uid="{00000000-0005-0000-0000-0000D37A0000}"/>
    <cellStyle name="Note 2 3 4 2 4 2" xfId="31397" xr:uid="{00000000-0005-0000-0000-0000D47A0000}"/>
    <cellStyle name="Note 2 3 4 2 4 2 2" xfId="31398" xr:uid="{00000000-0005-0000-0000-0000D57A0000}"/>
    <cellStyle name="Note 2 3 4 2 4 3" xfId="31399" xr:uid="{00000000-0005-0000-0000-0000D67A0000}"/>
    <cellStyle name="Note 2 3 4 2 5" xfId="31400" xr:uid="{00000000-0005-0000-0000-0000D77A0000}"/>
    <cellStyle name="Note 2 3 4 2 5 2" xfId="31401" xr:uid="{00000000-0005-0000-0000-0000D87A0000}"/>
    <cellStyle name="Note 2 3 4 2 6" xfId="31402" xr:uid="{00000000-0005-0000-0000-0000D97A0000}"/>
    <cellStyle name="Note 2 3 4 3" xfId="31403" xr:uid="{00000000-0005-0000-0000-0000DA7A0000}"/>
    <cellStyle name="Note 2 3 4 3 2" xfId="31404" xr:uid="{00000000-0005-0000-0000-0000DB7A0000}"/>
    <cellStyle name="Note 2 3 4 3 2 2" xfId="31405" xr:uid="{00000000-0005-0000-0000-0000DC7A0000}"/>
    <cellStyle name="Note 2 3 4 3 2 2 2" xfId="31406" xr:uid="{00000000-0005-0000-0000-0000DD7A0000}"/>
    <cellStyle name="Note 2 3 4 3 2 2 2 2" xfId="31407" xr:uid="{00000000-0005-0000-0000-0000DE7A0000}"/>
    <cellStyle name="Note 2 3 4 3 2 2 3" xfId="31408" xr:uid="{00000000-0005-0000-0000-0000DF7A0000}"/>
    <cellStyle name="Note 2 3 4 3 2 3" xfId="31409" xr:uid="{00000000-0005-0000-0000-0000E07A0000}"/>
    <cellStyle name="Note 2 3 4 3 2 3 2" xfId="31410" xr:uid="{00000000-0005-0000-0000-0000E17A0000}"/>
    <cellStyle name="Note 2 3 4 3 2 4" xfId="31411" xr:uid="{00000000-0005-0000-0000-0000E27A0000}"/>
    <cellStyle name="Note 2 3 4 3 3" xfId="31412" xr:uid="{00000000-0005-0000-0000-0000E37A0000}"/>
    <cellStyle name="Note 2 3 4 3 3 2" xfId="31413" xr:uid="{00000000-0005-0000-0000-0000E47A0000}"/>
    <cellStyle name="Note 2 3 4 3 3 2 2" xfId="31414" xr:uid="{00000000-0005-0000-0000-0000E57A0000}"/>
    <cellStyle name="Note 2 3 4 3 3 3" xfId="31415" xr:uid="{00000000-0005-0000-0000-0000E67A0000}"/>
    <cellStyle name="Note 2 3 4 3 4" xfId="31416" xr:uid="{00000000-0005-0000-0000-0000E77A0000}"/>
    <cellStyle name="Note 2 3 4 3 4 2" xfId="31417" xr:uid="{00000000-0005-0000-0000-0000E87A0000}"/>
    <cellStyle name="Note 2 3 4 3 5" xfId="31418" xr:uid="{00000000-0005-0000-0000-0000E97A0000}"/>
    <cellStyle name="Note 2 3 4 4" xfId="31419" xr:uid="{00000000-0005-0000-0000-0000EA7A0000}"/>
    <cellStyle name="Note 2 3 4 4 2" xfId="31420" xr:uid="{00000000-0005-0000-0000-0000EB7A0000}"/>
    <cellStyle name="Note 2 3 4 4 2 2" xfId="31421" xr:uid="{00000000-0005-0000-0000-0000EC7A0000}"/>
    <cellStyle name="Note 2 3 4 4 2 2 2" xfId="31422" xr:uid="{00000000-0005-0000-0000-0000ED7A0000}"/>
    <cellStyle name="Note 2 3 4 4 2 3" xfId="31423" xr:uid="{00000000-0005-0000-0000-0000EE7A0000}"/>
    <cellStyle name="Note 2 3 4 4 3" xfId="31424" xr:uid="{00000000-0005-0000-0000-0000EF7A0000}"/>
    <cellStyle name="Note 2 3 4 4 3 2" xfId="31425" xr:uid="{00000000-0005-0000-0000-0000F07A0000}"/>
    <cellStyle name="Note 2 3 4 4 4" xfId="31426" xr:uid="{00000000-0005-0000-0000-0000F17A0000}"/>
    <cellStyle name="Note 2 3 4 5" xfId="31427" xr:uid="{00000000-0005-0000-0000-0000F27A0000}"/>
    <cellStyle name="Note 2 3 4 5 2" xfId="31428" xr:uid="{00000000-0005-0000-0000-0000F37A0000}"/>
    <cellStyle name="Note 2 3 4 5 2 2" xfId="31429" xr:uid="{00000000-0005-0000-0000-0000F47A0000}"/>
    <cellStyle name="Note 2 3 4 5 3" xfId="31430" xr:uid="{00000000-0005-0000-0000-0000F57A0000}"/>
    <cellStyle name="Note 2 3 4 6" xfId="31431" xr:uid="{00000000-0005-0000-0000-0000F67A0000}"/>
    <cellStyle name="Note 2 3 4 6 2" xfId="31432" xr:uid="{00000000-0005-0000-0000-0000F77A0000}"/>
    <cellStyle name="Note 2 3 4 7" xfId="31433" xr:uid="{00000000-0005-0000-0000-0000F87A0000}"/>
    <cellStyle name="Note 2 3 5" xfId="31434" xr:uid="{00000000-0005-0000-0000-0000F97A0000}"/>
    <cellStyle name="Note 2 3 5 2" xfId="31435" xr:uid="{00000000-0005-0000-0000-0000FA7A0000}"/>
    <cellStyle name="Note 2 3 5 2 2" xfId="31436" xr:uid="{00000000-0005-0000-0000-0000FB7A0000}"/>
    <cellStyle name="Note 2 3 5 2 2 2" xfId="31437" xr:uid="{00000000-0005-0000-0000-0000FC7A0000}"/>
    <cellStyle name="Note 2 3 5 2 2 2 2" xfId="31438" xr:uid="{00000000-0005-0000-0000-0000FD7A0000}"/>
    <cellStyle name="Note 2 3 5 2 2 2 2 2" xfId="31439" xr:uid="{00000000-0005-0000-0000-0000FE7A0000}"/>
    <cellStyle name="Note 2 3 5 2 2 2 3" xfId="31440" xr:uid="{00000000-0005-0000-0000-0000FF7A0000}"/>
    <cellStyle name="Note 2 3 5 2 2 3" xfId="31441" xr:uid="{00000000-0005-0000-0000-0000007B0000}"/>
    <cellStyle name="Note 2 3 5 2 2 3 2" xfId="31442" xr:uid="{00000000-0005-0000-0000-0000017B0000}"/>
    <cellStyle name="Note 2 3 5 2 2 4" xfId="31443" xr:uid="{00000000-0005-0000-0000-0000027B0000}"/>
    <cellStyle name="Note 2 3 5 2 3" xfId="31444" xr:uid="{00000000-0005-0000-0000-0000037B0000}"/>
    <cellStyle name="Note 2 3 5 2 3 2" xfId="31445" xr:uid="{00000000-0005-0000-0000-0000047B0000}"/>
    <cellStyle name="Note 2 3 5 2 3 2 2" xfId="31446" xr:uid="{00000000-0005-0000-0000-0000057B0000}"/>
    <cellStyle name="Note 2 3 5 2 3 3" xfId="31447" xr:uid="{00000000-0005-0000-0000-0000067B0000}"/>
    <cellStyle name="Note 2 3 5 2 4" xfId="31448" xr:uid="{00000000-0005-0000-0000-0000077B0000}"/>
    <cellStyle name="Note 2 3 5 2 4 2" xfId="31449" xr:uid="{00000000-0005-0000-0000-0000087B0000}"/>
    <cellStyle name="Note 2 3 5 2 5" xfId="31450" xr:uid="{00000000-0005-0000-0000-0000097B0000}"/>
    <cellStyle name="Note 2 3 5 3" xfId="31451" xr:uid="{00000000-0005-0000-0000-00000A7B0000}"/>
    <cellStyle name="Note 2 3 5 3 2" xfId="31452" xr:uid="{00000000-0005-0000-0000-00000B7B0000}"/>
    <cellStyle name="Note 2 3 5 3 2 2" xfId="31453" xr:uid="{00000000-0005-0000-0000-00000C7B0000}"/>
    <cellStyle name="Note 2 3 5 3 2 2 2" xfId="31454" xr:uid="{00000000-0005-0000-0000-00000D7B0000}"/>
    <cellStyle name="Note 2 3 5 3 2 3" xfId="31455" xr:uid="{00000000-0005-0000-0000-00000E7B0000}"/>
    <cellStyle name="Note 2 3 5 3 3" xfId="31456" xr:uid="{00000000-0005-0000-0000-00000F7B0000}"/>
    <cellStyle name="Note 2 3 5 3 3 2" xfId="31457" xr:uid="{00000000-0005-0000-0000-0000107B0000}"/>
    <cellStyle name="Note 2 3 5 3 4" xfId="31458" xr:uid="{00000000-0005-0000-0000-0000117B0000}"/>
    <cellStyle name="Note 2 3 5 4" xfId="31459" xr:uid="{00000000-0005-0000-0000-0000127B0000}"/>
    <cellStyle name="Note 2 3 5 4 2" xfId="31460" xr:uid="{00000000-0005-0000-0000-0000137B0000}"/>
    <cellStyle name="Note 2 3 5 4 2 2" xfId="31461" xr:uid="{00000000-0005-0000-0000-0000147B0000}"/>
    <cellStyle name="Note 2 3 5 4 3" xfId="31462" xr:uid="{00000000-0005-0000-0000-0000157B0000}"/>
    <cellStyle name="Note 2 3 5 5" xfId="31463" xr:uid="{00000000-0005-0000-0000-0000167B0000}"/>
    <cellStyle name="Note 2 3 5 5 2" xfId="31464" xr:uid="{00000000-0005-0000-0000-0000177B0000}"/>
    <cellStyle name="Note 2 3 5 6" xfId="31465" xr:uid="{00000000-0005-0000-0000-0000187B0000}"/>
    <cellStyle name="Note 2 3 6" xfId="31466" xr:uid="{00000000-0005-0000-0000-0000197B0000}"/>
    <cellStyle name="Note 2 3 6 2" xfId="31467" xr:uid="{00000000-0005-0000-0000-00001A7B0000}"/>
    <cellStyle name="Note 2 3 6 2 2" xfId="31468" xr:uid="{00000000-0005-0000-0000-00001B7B0000}"/>
    <cellStyle name="Note 2 3 6 2 2 2" xfId="31469" xr:uid="{00000000-0005-0000-0000-00001C7B0000}"/>
    <cellStyle name="Note 2 3 6 2 2 2 2" xfId="31470" xr:uid="{00000000-0005-0000-0000-00001D7B0000}"/>
    <cellStyle name="Note 2 3 6 2 2 3" xfId="31471" xr:uid="{00000000-0005-0000-0000-00001E7B0000}"/>
    <cellStyle name="Note 2 3 6 2 3" xfId="31472" xr:uid="{00000000-0005-0000-0000-00001F7B0000}"/>
    <cellStyle name="Note 2 3 6 2 3 2" xfId="31473" xr:uid="{00000000-0005-0000-0000-0000207B0000}"/>
    <cellStyle name="Note 2 3 6 2 4" xfId="31474" xr:uid="{00000000-0005-0000-0000-0000217B0000}"/>
    <cellStyle name="Note 2 3 6 3" xfId="31475" xr:uid="{00000000-0005-0000-0000-0000227B0000}"/>
    <cellStyle name="Note 2 3 6 3 2" xfId="31476" xr:uid="{00000000-0005-0000-0000-0000237B0000}"/>
    <cellStyle name="Note 2 3 6 3 2 2" xfId="31477" xr:uid="{00000000-0005-0000-0000-0000247B0000}"/>
    <cellStyle name="Note 2 3 6 3 3" xfId="31478" xr:uid="{00000000-0005-0000-0000-0000257B0000}"/>
    <cellStyle name="Note 2 3 6 4" xfId="31479" xr:uid="{00000000-0005-0000-0000-0000267B0000}"/>
    <cellStyle name="Note 2 3 6 4 2" xfId="31480" xr:uid="{00000000-0005-0000-0000-0000277B0000}"/>
    <cellStyle name="Note 2 3 6 5" xfId="31481" xr:uid="{00000000-0005-0000-0000-0000287B0000}"/>
    <cellStyle name="Note 2 3 7" xfId="31482" xr:uid="{00000000-0005-0000-0000-0000297B0000}"/>
    <cellStyle name="Note 2 3 7 2" xfId="31483" xr:uid="{00000000-0005-0000-0000-00002A7B0000}"/>
    <cellStyle name="Note 2 3 7 2 2" xfId="31484" xr:uid="{00000000-0005-0000-0000-00002B7B0000}"/>
    <cellStyle name="Note 2 3 7 2 2 2" xfId="31485" xr:uid="{00000000-0005-0000-0000-00002C7B0000}"/>
    <cellStyle name="Note 2 3 7 2 3" xfId="31486" xr:uid="{00000000-0005-0000-0000-00002D7B0000}"/>
    <cellStyle name="Note 2 3 7 3" xfId="31487" xr:uid="{00000000-0005-0000-0000-00002E7B0000}"/>
    <cellStyle name="Note 2 3 7 3 2" xfId="31488" xr:uid="{00000000-0005-0000-0000-00002F7B0000}"/>
    <cellStyle name="Note 2 3 7 4" xfId="31489" xr:uid="{00000000-0005-0000-0000-0000307B0000}"/>
    <cellStyle name="Note 2 3 8" xfId="31490" xr:uid="{00000000-0005-0000-0000-0000317B0000}"/>
    <cellStyle name="Note 2 3 8 2" xfId="31491" xr:uid="{00000000-0005-0000-0000-0000327B0000}"/>
    <cellStyle name="Note 2 3 8 2 2" xfId="31492" xr:uid="{00000000-0005-0000-0000-0000337B0000}"/>
    <cellStyle name="Note 2 3 8 3" xfId="31493" xr:uid="{00000000-0005-0000-0000-0000347B0000}"/>
    <cellStyle name="Note 2 3 9" xfId="31494" xr:uid="{00000000-0005-0000-0000-0000357B0000}"/>
    <cellStyle name="Note 2 3 9 2" xfId="31495" xr:uid="{00000000-0005-0000-0000-0000367B0000}"/>
    <cellStyle name="Note 2 4" xfId="31496" xr:uid="{00000000-0005-0000-0000-0000377B0000}"/>
    <cellStyle name="Note 2 4 2" xfId="31497" xr:uid="{00000000-0005-0000-0000-0000387B0000}"/>
    <cellStyle name="Note 2 4 2 2" xfId="31498" xr:uid="{00000000-0005-0000-0000-0000397B0000}"/>
    <cellStyle name="Note 2 4 2 2 2" xfId="31499" xr:uid="{00000000-0005-0000-0000-00003A7B0000}"/>
    <cellStyle name="Note 2 4 2 2 2 2" xfId="31500" xr:uid="{00000000-0005-0000-0000-00003B7B0000}"/>
    <cellStyle name="Note 2 4 2 2 2 2 2" xfId="31501" xr:uid="{00000000-0005-0000-0000-00003C7B0000}"/>
    <cellStyle name="Note 2 4 2 2 2 2 2 2" xfId="31502" xr:uid="{00000000-0005-0000-0000-00003D7B0000}"/>
    <cellStyle name="Note 2 4 2 2 2 2 2 2 2" xfId="31503" xr:uid="{00000000-0005-0000-0000-00003E7B0000}"/>
    <cellStyle name="Note 2 4 2 2 2 2 2 2 2 2" xfId="31504" xr:uid="{00000000-0005-0000-0000-00003F7B0000}"/>
    <cellStyle name="Note 2 4 2 2 2 2 2 2 3" xfId="31505" xr:uid="{00000000-0005-0000-0000-0000407B0000}"/>
    <cellStyle name="Note 2 4 2 2 2 2 2 3" xfId="31506" xr:uid="{00000000-0005-0000-0000-0000417B0000}"/>
    <cellStyle name="Note 2 4 2 2 2 2 2 3 2" xfId="31507" xr:uid="{00000000-0005-0000-0000-0000427B0000}"/>
    <cellStyle name="Note 2 4 2 2 2 2 2 4" xfId="31508" xr:uid="{00000000-0005-0000-0000-0000437B0000}"/>
    <cellStyle name="Note 2 4 2 2 2 2 3" xfId="31509" xr:uid="{00000000-0005-0000-0000-0000447B0000}"/>
    <cellStyle name="Note 2 4 2 2 2 2 3 2" xfId="31510" xr:uid="{00000000-0005-0000-0000-0000457B0000}"/>
    <cellStyle name="Note 2 4 2 2 2 2 3 2 2" xfId="31511" xr:uid="{00000000-0005-0000-0000-0000467B0000}"/>
    <cellStyle name="Note 2 4 2 2 2 2 3 3" xfId="31512" xr:uid="{00000000-0005-0000-0000-0000477B0000}"/>
    <cellStyle name="Note 2 4 2 2 2 2 4" xfId="31513" xr:uid="{00000000-0005-0000-0000-0000487B0000}"/>
    <cellStyle name="Note 2 4 2 2 2 2 4 2" xfId="31514" xr:uid="{00000000-0005-0000-0000-0000497B0000}"/>
    <cellStyle name="Note 2 4 2 2 2 2 5" xfId="31515" xr:uid="{00000000-0005-0000-0000-00004A7B0000}"/>
    <cellStyle name="Note 2 4 2 2 2 3" xfId="31516" xr:uid="{00000000-0005-0000-0000-00004B7B0000}"/>
    <cellStyle name="Note 2 4 2 2 2 3 2" xfId="31517" xr:uid="{00000000-0005-0000-0000-00004C7B0000}"/>
    <cellStyle name="Note 2 4 2 2 2 3 2 2" xfId="31518" xr:uid="{00000000-0005-0000-0000-00004D7B0000}"/>
    <cellStyle name="Note 2 4 2 2 2 3 2 2 2" xfId="31519" xr:uid="{00000000-0005-0000-0000-00004E7B0000}"/>
    <cellStyle name="Note 2 4 2 2 2 3 2 3" xfId="31520" xr:uid="{00000000-0005-0000-0000-00004F7B0000}"/>
    <cellStyle name="Note 2 4 2 2 2 3 3" xfId="31521" xr:uid="{00000000-0005-0000-0000-0000507B0000}"/>
    <cellStyle name="Note 2 4 2 2 2 3 3 2" xfId="31522" xr:uid="{00000000-0005-0000-0000-0000517B0000}"/>
    <cellStyle name="Note 2 4 2 2 2 3 4" xfId="31523" xr:uid="{00000000-0005-0000-0000-0000527B0000}"/>
    <cellStyle name="Note 2 4 2 2 2 4" xfId="31524" xr:uid="{00000000-0005-0000-0000-0000537B0000}"/>
    <cellStyle name="Note 2 4 2 2 2 4 2" xfId="31525" xr:uid="{00000000-0005-0000-0000-0000547B0000}"/>
    <cellStyle name="Note 2 4 2 2 2 4 2 2" xfId="31526" xr:uid="{00000000-0005-0000-0000-0000557B0000}"/>
    <cellStyle name="Note 2 4 2 2 2 4 3" xfId="31527" xr:uid="{00000000-0005-0000-0000-0000567B0000}"/>
    <cellStyle name="Note 2 4 2 2 2 5" xfId="31528" xr:uid="{00000000-0005-0000-0000-0000577B0000}"/>
    <cellStyle name="Note 2 4 2 2 2 5 2" xfId="31529" xr:uid="{00000000-0005-0000-0000-0000587B0000}"/>
    <cellStyle name="Note 2 4 2 2 2 6" xfId="31530" xr:uid="{00000000-0005-0000-0000-0000597B0000}"/>
    <cellStyle name="Note 2 4 2 2 3" xfId="31531" xr:uid="{00000000-0005-0000-0000-00005A7B0000}"/>
    <cellStyle name="Note 2 4 2 2 3 2" xfId="31532" xr:uid="{00000000-0005-0000-0000-00005B7B0000}"/>
    <cellStyle name="Note 2 4 2 2 3 2 2" xfId="31533" xr:uid="{00000000-0005-0000-0000-00005C7B0000}"/>
    <cellStyle name="Note 2 4 2 2 3 2 2 2" xfId="31534" xr:uid="{00000000-0005-0000-0000-00005D7B0000}"/>
    <cellStyle name="Note 2 4 2 2 3 2 2 2 2" xfId="31535" xr:uid="{00000000-0005-0000-0000-00005E7B0000}"/>
    <cellStyle name="Note 2 4 2 2 3 2 2 3" xfId="31536" xr:uid="{00000000-0005-0000-0000-00005F7B0000}"/>
    <cellStyle name="Note 2 4 2 2 3 2 3" xfId="31537" xr:uid="{00000000-0005-0000-0000-0000607B0000}"/>
    <cellStyle name="Note 2 4 2 2 3 2 3 2" xfId="31538" xr:uid="{00000000-0005-0000-0000-0000617B0000}"/>
    <cellStyle name="Note 2 4 2 2 3 2 4" xfId="31539" xr:uid="{00000000-0005-0000-0000-0000627B0000}"/>
    <cellStyle name="Note 2 4 2 2 3 3" xfId="31540" xr:uid="{00000000-0005-0000-0000-0000637B0000}"/>
    <cellStyle name="Note 2 4 2 2 3 3 2" xfId="31541" xr:uid="{00000000-0005-0000-0000-0000647B0000}"/>
    <cellStyle name="Note 2 4 2 2 3 3 2 2" xfId="31542" xr:uid="{00000000-0005-0000-0000-0000657B0000}"/>
    <cellStyle name="Note 2 4 2 2 3 3 3" xfId="31543" xr:uid="{00000000-0005-0000-0000-0000667B0000}"/>
    <cellStyle name="Note 2 4 2 2 3 4" xfId="31544" xr:uid="{00000000-0005-0000-0000-0000677B0000}"/>
    <cellStyle name="Note 2 4 2 2 3 4 2" xfId="31545" xr:uid="{00000000-0005-0000-0000-0000687B0000}"/>
    <cellStyle name="Note 2 4 2 2 3 5" xfId="31546" xr:uid="{00000000-0005-0000-0000-0000697B0000}"/>
    <cellStyle name="Note 2 4 2 2 4" xfId="31547" xr:uid="{00000000-0005-0000-0000-00006A7B0000}"/>
    <cellStyle name="Note 2 4 2 2 4 2" xfId="31548" xr:uid="{00000000-0005-0000-0000-00006B7B0000}"/>
    <cellStyle name="Note 2 4 2 2 4 2 2" xfId="31549" xr:uid="{00000000-0005-0000-0000-00006C7B0000}"/>
    <cellStyle name="Note 2 4 2 2 4 2 2 2" xfId="31550" xr:uid="{00000000-0005-0000-0000-00006D7B0000}"/>
    <cellStyle name="Note 2 4 2 2 4 2 3" xfId="31551" xr:uid="{00000000-0005-0000-0000-00006E7B0000}"/>
    <cellStyle name="Note 2 4 2 2 4 3" xfId="31552" xr:uid="{00000000-0005-0000-0000-00006F7B0000}"/>
    <cellStyle name="Note 2 4 2 2 4 3 2" xfId="31553" xr:uid="{00000000-0005-0000-0000-0000707B0000}"/>
    <cellStyle name="Note 2 4 2 2 4 4" xfId="31554" xr:uid="{00000000-0005-0000-0000-0000717B0000}"/>
    <cellStyle name="Note 2 4 2 2 5" xfId="31555" xr:uid="{00000000-0005-0000-0000-0000727B0000}"/>
    <cellStyle name="Note 2 4 2 2 5 2" xfId="31556" xr:uid="{00000000-0005-0000-0000-0000737B0000}"/>
    <cellStyle name="Note 2 4 2 2 5 2 2" xfId="31557" xr:uid="{00000000-0005-0000-0000-0000747B0000}"/>
    <cellStyle name="Note 2 4 2 2 5 3" xfId="31558" xr:uid="{00000000-0005-0000-0000-0000757B0000}"/>
    <cellStyle name="Note 2 4 2 2 6" xfId="31559" xr:uid="{00000000-0005-0000-0000-0000767B0000}"/>
    <cellStyle name="Note 2 4 2 2 6 2" xfId="31560" xr:uid="{00000000-0005-0000-0000-0000777B0000}"/>
    <cellStyle name="Note 2 4 2 2 7" xfId="31561" xr:uid="{00000000-0005-0000-0000-0000787B0000}"/>
    <cellStyle name="Note 2 4 2 3" xfId="31562" xr:uid="{00000000-0005-0000-0000-0000797B0000}"/>
    <cellStyle name="Note 2 4 2 3 2" xfId="31563" xr:uid="{00000000-0005-0000-0000-00007A7B0000}"/>
    <cellStyle name="Note 2 4 2 3 2 2" xfId="31564" xr:uid="{00000000-0005-0000-0000-00007B7B0000}"/>
    <cellStyle name="Note 2 4 2 3 2 2 2" xfId="31565" xr:uid="{00000000-0005-0000-0000-00007C7B0000}"/>
    <cellStyle name="Note 2 4 2 3 2 2 2 2" xfId="31566" xr:uid="{00000000-0005-0000-0000-00007D7B0000}"/>
    <cellStyle name="Note 2 4 2 3 2 2 2 2 2" xfId="31567" xr:uid="{00000000-0005-0000-0000-00007E7B0000}"/>
    <cellStyle name="Note 2 4 2 3 2 2 2 3" xfId="31568" xr:uid="{00000000-0005-0000-0000-00007F7B0000}"/>
    <cellStyle name="Note 2 4 2 3 2 2 3" xfId="31569" xr:uid="{00000000-0005-0000-0000-0000807B0000}"/>
    <cellStyle name="Note 2 4 2 3 2 2 3 2" xfId="31570" xr:uid="{00000000-0005-0000-0000-0000817B0000}"/>
    <cellStyle name="Note 2 4 2 3 2 2 4" xfId="31571" xr:uid="{00000000-0005-0000-0000-0000827B0000}"/>
    <cellStyle name="Note 2 4 2 3 2 3" xfId="31572" xr:uid="{00000000-0005-0000-0000-0000837B0000}"/>
    <cellStyle name="Note 2 4 2 3 2 3 2" xfId="31573" xr:uid="{00000000-0005-0000-0000-0000847B0000}"/>
    <cellStyle name="Note 2 4 2 3 2 3 2 2" xfId="31574" xr:uid="{00000000-0005-0000-0000-0000857B0000}"/>
    <cellStyle name="Note 2 4 2 3 2 3 3" xfId="31575" xr:uid="{00000000-0005-0000-0000-0000867B0000}"/>
    <cellStyle name="Note 2 4 2 3 2 4" xfId="31576" xr:uid="{00000000-0005-0000-0000-0000877B0000}"/>
    <cellStyle name="Note 2 4 2 3 2 4 2" xfId="31577" xr:uid="{00000000-0005-0000-0000-0000887B0000}"/>
    <cellStyle name="Note 2 4 2 3 2 5" xfId="31578" xr:uid="{00000000-0005-0000-0000-0000897B0000}"/>
    <cellStyle name="Note 2 4 2 3 3" xfId="31579" xr:uid="{00000000-0005-0000-0000-00008A7B0000}"/>
    <cellStyle name="Note 2 4 2 3 3 2" xfId="31580" xr:uid="{00000000-0005-0000-0000-00008B7B0000}"/>
    <cellStyle name="Note 2 4 2 3 3 2 2" xfId="31581" xr:uid="{00000000-0005-0000-0000-00008C7B0000}"/>
    <cellStyle name="Note 2 4 2 3 3 2 2 2" xfId="31582" xr:uid="{00000000-0005-0000-0000-00008D7B0000}"/>
    <cellStyle name="Note 2 4 2 3 3 2 3" xfId="31583" xr:uid="{00000000-0005-0000-0000-00008E7B0000}"/>
    <cellStyle name="Note 2 4 2 3 3 3" xfId="31584" xr:uid="{00000000-0005-0000-0000-00008F7B0000}"/>
    <cellStyle name="Note 2 4 2 3 3 3 2" xfId="31585" xr:uid="{00000000-0005-0000-0000-0000907B0000}"/>
    <cellStyle name="Note 2 4 2 3 3 4" xfId="31586" xr:uid="{00000000-0005-0000-0000-0000917B0000}"/>
    <cellStyle name="Note 2 4 2 3 4" xfId="31587" xr:uid="{00000000-0005-0000-0000-0000927B0000}"/>
    <cellStyle name="Note 2 4 2 3 4 2" xfId="31588" xr:uid="{00000000-0005-0000-0000-0000937B0000}"/>
    <cellStyle name="Note 2 4 2 3 4 2 2" xfId="31589" xr:uid="{00000000-0005-0000-0000-0000947B0000}"/>
    <cellStyle name="Note 2 4 2 3 4 3" xfId="31590" xr:uid="{00000000-0005-0000-0000-0000957B0000}"/>
    <cellStyle name="Note 2 4 2 3 5" xfId="31591" xr:uid="{00000000-0005-0000-0000-0000967B0000}"/>
    <cellStyle name="Note 2 4 2 3 5 2" xfId="31592" xr:uid="{00000000-0005-0000-0000-0000977B0000}"/>
    <cellStyle name="Note 2 4 2 3 6" xfId="31593" xr:uid="{00000000-0005-0000-0000-0000987B0000}"/>
    <cellStyle name="Note 2 4 2 4" xfId="31594" xr:uid="{00000000-0005-0000-0000-0000997B0000}"/>
    <cellStyle name="Note 2 4 2 4 2" xfId="31595" xr:uid="{00000000-0005-0000-0000-00009A7B0000}"/>
    <cellStyle name="Note 2 4 2 4 2 2" xfId="31596" xr:uid="{00000000-0005-0000-0000-00009B7B0000}"/>
    <cellStyle name="Note 2 4 2 4 2 2 2" xfId="31597" xr:uid="{00000000-0005-0000-0000-00009C7B0000}"/>
    <cellStyle name="Note 2 4 2 4 2 2 2 2" xfId="31598" xr:uid="{00000000-0005-0000-0000-00009D7B0000}"/>
    <cellStyle name="Note 2 4 2 4 2 2 3" xfId="31599" xr:uid="{00000000-0005-0000-0000-00009E7B0000}"/>
    <cellStyle name="Note 2 4 2 4 2 3" xfId="31600" xr:uid="{00000000-0005-0000-0000-00009F7B0000}"/>
    <cellStyle name="Note 2 4 2 4 2 3 2" xfId="31601" xr:uid="{00000000-0005-0000-0000-0000A07B0000}"/>
    <cellStyle name="Note 2 4 2 4 2 4" xfId="31602" xr:uid="{00000000-0005-0000-0000-0000A17B0000}"/>
    <cellStyle name="Note 2 4 2 4 3" xfId="31603" xr:uid="{00000000-0005-0000-0000-0000A27B0000}"/>
    <cellStyle name="Note 2 4 2 4 3 2" xfId="31604" xr:uid="{00000000-0005-0000-0000-0000A37B0000}"/>
    <cellStyle name="Note 2 4 2 4 3 2 2" xfId="31605" xr:uid="{00000000-0005-0000-0000-0000A47B0000}"/>
    <cellStyle name="Note 2 4 2 4 3 3" xfId="31606" xr:uid="{00000000-0005-0000-0000-0000A57B0000}"/>
    <cellStyle name="Note 2 4 2 4 4" xfId="31607" xr:uid="{00000000-0005-0000-0000-0000A67B0000}"/>
    <cellStyle name="Note 2 4 2 4 4 2" xfId="31608" xr:uid="{00000000-0005-0000-0000-0000A77B0000}"/>
    <cellStyle name="Note 2 4 2 4 5" xfId="31609" xr:uid="{00000000-0005-0000-0000-0000A87B0000}"/>
    <cellStyle name="Note 2 4 2 5" xfId="31610" xr:uid="{00000000-0005-0000-0000-0000A97B0000}"/>
    <cellStyle name="Note 2 4 2 5 2" xfId="31611" xr:uid="{00000000-0005-0000-0000-0000AA7B0000}"/>
    <cellStyle name="Note 2 4 2 5 2 2" xfId="31612" xr:uid="{00000000-0005-0000-0000-0000AB7B0000}"/>
    <cellStyle name="Note 2 4 2 5 2 2 2" xfId="31613" xr:uid="{00000000-0005-0000-0000-0000AC7B0000}"/>
    <cellStyle name="Note 2 4 2 5 2 3" xfId="31614" xr:uid="{00000000-0005-0000-0000-0000AD7B0000}"/>
    <cellStyle name="Note 2 4 2 5 3" xfId="31615" xr:uid="{00000000-0005-0000-0000-0000AE7B0000}"/>
    <cellStyle name="Note 2 4 2 5 3 2" xfId="31616" xr:uid="{00000000-0005-0000-0000-0000AF7B0000}"/>
    <cellStyle name="Note 2 4 2 5 4" xfId="31617" xr:uid="{00000000-0005-0000-0000-0000B07B0000}"/>
    <cellStyle name="Note 2 4 2 6" xfId="31618" xr:uid="{00000000-0005-0000-0000-0000B17B0000}"/>
    <cellStyle name="Note 2 4 2 6 2" xfId="31619" xr:uid="{00000000-0005-0000-0000-0000B27B0000}"/>
    <cellStyle name="Note 2 4 2 6 2 2" xfId="31620" xr:uid="{00000000-0005-0000-0000-0000B37B0000}"/>
    <cellStyle name="Note 2 4 2 6 3" xfId="31621" xr:uid="{00000000-0005-0000-0000-0000B47B0000}"/>
    <cellStyle name="Note 2 4 2 7" xfId="31622" xr:uid="{00000000-0005-0000-0000-0000B57B0000}"/>
    <cellStyle name="Note 2 4 2 7 2" xfId="31623" xr:uid="{00000000-0005-0000-0000-0000B67B0000}"/>
    <cellStyle name="Note 2 4 2 8" xfId="31624" xr:uid="{00000000-0005-0000-0000-0000B77B0000}"/>
    <cellStyle name="Note 2 4 3" xfId="31625" xr:uid="{00000000-0005-0000-0000-0000B87B0000}"/>
    <cellStyle name="Note 2 4 3 2" xfId="31626" xr:uid="{00000000-0005-0000-0000-0000B97B0000}"/>
    <cellStyle name="Note 2 4 3 2 2" xfId="31627" xr:uid="{00000000-0005-0000-0000-0000BA7B0000}"/>
    <cellStyle name="Note 2 4 3 2 2 2" xfId="31628" xr:uid="{00000000-0005-0000-0000-0000BB7B0000}"/>
    <cellStyle name="Note 2 4 3 2 2 2 2" xfId="31629" xr:uid="{00000000-0005-0000-0000-0000BC7B0000}"/>
    <cellStyle name="Note 2 4 3 2 2 2 2 2" xfId="31630" xr:uid="{00000000-0005-0000-0000-0000BD7B0000}"/>
    <cellStyle name="Note 2 4 3 2 2 2 2 2 2" xfId="31631" xr:uid="{00000000-0005-0000-0000-0000BE7B0000}"/>
    <cellStyle name="Note 2 4 3 2 2 2 2 3" xfId="31632" xr:uid="{00000000-0005-0000-0000-0000BF7B0000}"/>
    <cellStyle name="Note 2 4 3 2 2 2 3" xfId="31633" xr:uid="{00000000-0005-0000-0000-0000C07B0000}"/>
    <cellStyle name="Note 2 4 3 2 2 2 3 2" xfId="31634" xr:uid="{00000000-0005-0000-0000-0000C17B0000}"/>
    <cellStyle name="Note 2 4 3 2 2 2 4" xfId="31635" xr:uid="{00000000-0005-0000-0000-0000C27B0000}"/>
    <cellStyle name="Note 2 4 3 2 2 3" xfId="31636" xr:uid="{00000000-0005-0000-0000-0000C37B0000}"/>
    <cellStyle name="Note 2 4 3 2 2 3 2" xfId="31637" xr:uid="{00000000-0005-0000-0000-0000C47B0000}"/>
    <cellStyle name="Note 2 4 3 2 2 3 2 2" xfId="31638" xr:uid="{00000000-0005-0000-0000-0000C57B0000}"/>
    <cellStyle name="Note 2 4 3 2 2 3 3" xfId="31639" xr:uid="{00000000-0005-0000-0000-0000C67B0000}"/>
    <cellStyle name="Note 2 4 3 2 2 4" xfId="31640" xr:uid="{00000000-0005-0000-0000-0000C77B0000}"/>
    <cellStyle name="Note 2 4 3 2 2 4 2" xfId="31641" xr:uid="{00000000-0005-0000-0000-0000C87B0000}"/>
    <cellStyle name="Note 2 4 3 2 2 5" xfId="31642" xr:uid="{00000000-0005-0000-0000-0000C97B0000}"/>
    <cellStyle name="Note 2 4 3 2 3" xfId="31643" xr:uid="{00000000-0005-0000-0000-0000CA7B0000}"/>
    <cellStyle name="Note 2 4 3 2 3 2" xfId="31644" xr:uid="{00000000-0005-0000-0000-0000CB7B0000}"/>
    <cellStyle name="Note 2 4 3 2 3 2 2" xfId="31645" xr:uid="{00000000-0005-0000-0000-0000CC7B0000}"/>
    <cellStyle name="Note 2 4 3 2 3 2 2 2" xfId="31646" xr:uid="{00000000-0005-0000-0000-0000CD7B0000}"/>
    <cellStyle name="Note 2 4 3 2 3 2 3" xfId="31647" xr:uid="{00000000-0005-0000-0000-0000CE7B0000}"/>
    <cellStyle name="Note 2 4 3 2 3 3" xfId="31648" xr:uid="{00000000-0005-0000-0000-0000CF7B0000}"/>
    <cellStyle name="Note 2 4 3 2 3 3 2" xfId="31649" xr:uid="{00000000-0005-0000-0000-0000D07B0000}"/>
    <cellStyle name="Note 2 4 3 2 3 4" xfId="31650" xr:uid="{00000000-0005-0000-0000-0000D17B0000}"/>
    <cellStyle name="Note 2 4 3 2 4" xfId="31651" xr:uid="{00000000-0005-0000-0000-0000D27B0000}"/>
    <cellStyle name="Note 2 4 3 2 4 2" xfId="31652" xr:uid="{00000000-0005-0000-0000-0000D37B0000}"/>
    <cellStyle name="Note 2 4 3 2 4 2 2" xfId="31653" xr:uid="{00000000-0005-0000-0000-0000D47B0000}"/>
    <cellStyle name="Note 2 4 3 2 4 3" xfId="31654" xr:uid="{00000000-0005-0000-0000-0000D57B0000}"/>
    <cellStyle name="Note 2 4 3 2 5" xfId="31655" xr:uid="{00000000-0005-0000-0000-0000D67B0000}"/>
    <cellStyle name="Note 2 4 3 2 5 2" xfId="31656" xr:uid="{00000000-0005-0000-0000-0000D77B0000}"/>
    <cellStyle name="Note 2 4 3 2 6" xfId="31657" xr:uid="{00000000-0005-0000-0000-0000D87B0000}"/>
    <cellStyle name="Note 2 4 3 3" xfId="31658" xr:uid="{00000000-0005-0000-0000-0000D97B0000}"/>
    <cellStyle name="Note 2 4 3 3 2" xfId="31659" xr:uid="{00000000-0005-0000-0000-0000DA7B0000}"/>
    <cellStyle name="Note 2 4 3 3 2 2" xfId="31660" xr:uid="{00000000-0005-0000-0000-0000DB7B0000}"/>
    <cellStyle name="Note 2 4 3 3 2 2 2" xfId="31661" xr:uid="{00000000-0005-0000-0000-0000DC7B0000}"/>
    <cellStyle name="Note 2 4 3 3 2 2 2 2" xfId="31662" xr:uid="{00000000-0005-0000-0000-0000DD7B0000}"/>
    <cellStyle name="Note 2 4 3 3 2 2 3" xfId="31663" xr:uid="{00000000-0005-0000-0000-0000DE7B0000}"/>
    <cellStyle name="Note 2 4 3 3 2 3" xfId="31664" xr:uid="{00000000-0005-0000-0000-0000DF7B0000}"/>
    <cellStyle name="Note 2 4 3 3 2 3 2" xfId="31665" xr:uid="{00000000-0005-0000-0000-0000E07B0000}"/>
    <cellStyle name="Note 2 4 3 3 2 4" xfId="31666" xr:uid="{00000000-0005-0000-0000-0000E17B0000}"/>
    <cellStyle name="Note 2 4 3 3 3" xfId="31667" xr:uid="{00000000-0005-0000-0000-0000E27B0000}"/>
    <cellStyle name="Note 2 4 3 3 3 2" xfId="31668" xr:uid="{00000000-0005-0000-0000-0000E37B0000}"/>
    <cellStyle name="Note 2 4 3 3 3 2 2" xfId="31669" xr:uid="{00000000-0005-0000-0000-0000E47B0000}"/>
    <cellStyle name="Note 2 4 3 3 3 3" xfId="31670" xr:uid="{00000000-0005-0000-0000-0000E57B0000}"/>
    <cellStyle name="Note 2 4 3 3 4" xfId="31671" xr:uid="{00000000-0005-0000-0000-0000E67B0000}"/>
    <cellStyle name="Note 2 4 3 3 4 2" xfId="31672" xr:uid="{00000000-0005-0000-0000-0000E77B0000}"/>
    <cellStyle name="Note 2 4 3 3 5" xfId="31673" xr:uid="{00000000-0005-0000-0000-0000E87B0000}"/>
    <cellStyle name="Note 2 4 3 4" xfId="31674" xr:uid="{00000000-0005-0000-0000-0000E97B0000}"/>
    <cellStyle name="Note 2 4 3 4 2" xfId="31675" xr:uid="{00000000-0005-0000-0000-0000EA7B0000}"/>
    <cellStyle name="Note 2 4 3 4 2 2" xfId="31676" xr:uid="{00000000-0005-0000-0000-0000EB7B0000}"/>
    <cellStyle name="Note 2 4 3 4 2 2 2" xfId="31677" xr:uid="{00000000-0005-0000-0000-0000EC7B0000}"/>
    <cellStyle name="Note 2 4 3 4 2 3" xfId="31678" xr:uid="{00000000-0005-0000-0000-0000ED7B0000}"/>
    <cellStyle name="Note 2 4 3 4 3" xfId="31679" xr:uid="{00000000-0005-0000-0000-0000EE7B0000}"/>
    <cellStyle name="Note 2 4 3 4 3 2" xfId="31680" xr:uid="{00000000-0005-0000-0000-0000EF7B0000}"/>
    <cellStyle name="Note 2 4 3 4 4" xfId="31681" xr:uid="{00000000-0005-0000-0000-0000F07B0000}"/>
    <cellStyle name="Note 2 4 3 5" xfId="31682" xr:uid="{00000000-0005-0000-0000-0000F17B0000}"/>
    <cellStyle name="Note 2 4 3 5 2" xfId="31683" xr:uid="{00000000-0005-0000-0000-0000F27B0000}"/>
    <cellStyle name="Note 2 4 3 5 2 2" xfId="31684" xr:uid="{00000000-0005-0000-0000-0000F37B0000}"/>
    <cellStyle name="Note 2 4 3 5 3" xfId="31685" xr:uid="{00000000-0005-0000-0000-0000F47B0000}"/>
    <cellStyle name="Note 2 4 3 6" xfId="31686" xr:uid="{00000000-0005-0000-0000-0000F57B0000}"/>
    <cellStyle name="Note 2 4 3 6 2" xfId="31687" xr:uid="{00000000-0005-0000-0000-0000F67B0000}"/>
    <cellStyle name="Note 2 4 3 7" xfId="31688" xr:uid="{00000000-0005-0000-0000-0000F77B0000}"/>
    <cellStyle name="Note 2 4 4" xfId="31689" xr:uid="{00000000-0005-0000-0000-0000F87B0000}"/>
    <cellStyle name="Note 2 4 4 2" xfId="31690" xr:uid="{00000000-0005-0000-0000-0000F97B0000}"/>
    <cellStyle name="Note 2 4 4 2 2" xfId="31691" xr:uid="{00000000-0005-0000-0000-0000FA7B0000}"/>
    <cellStyle name="Note 2 4 4 2 2 2" xfId="31692" xr:uid="{00000000-0005-0000-0000-0000FB7B0000}"/>
    <cellStyle name="Note 2 4 4 2 2 2 2" xfId="31693" xr:uid="{00000000-0005-0000-0000-0000FC7B0000}"/>
    <cellStyle name="Note 2 4 4 2 2 2 2 2" xfId="31694" xr:uid="{00000000-0005-0000-0000-0000FD7B0000}"/>
    <cellStyle name="Note 2 4 4 2 2 2 3" xfId="31695" xr:uid="{00000000-0005-0000-0000-0000FE7B0000}"/>
    <cellStyle name="Note 2 4 4 2 2 3" xfId="31696" xr:uid="{00000000-0005-0000-0000-0000FF7B0000}"/>
    <cellStyle name="Note 2 4 4 2 2 3 2" xfId="31697" xr:uid="{00000000-0005-0000-0000-0000007C0000}"/>
    <cellStyle name="Note 2 4 4 2 2 4" xfId="31698" xr:uid="{00000000-0005-0000-0000-0000017C0000}"/>
    <cellStyle name="Note 2 4 4 2 3" xfId="31699" xr:uid="{00000000-0005-0000-0000-0000027C0000}"/>
    <cellStyle name="Note 2 4 4 2 3 2" xfId="31700" xr:uid="{00000000-0005-0000-0000-0000037C0000}"/>
    <cellStyle name="Note 2 4 4 2 3 2 2" xfId="31701" xr:uid="{00000000-0005-0000-0000-0000047C0000}"/>
    <cellStyle name="Note 2 4 4 2 3 3" xfId="31702" xr:uid="{00000000-0005-0000-0000-0000057C0000}"/>
    <cellStyle name="Note 2 4 4 2 4" xfId="31703" xr:uid="{00000000-0005-0000-0000-0000067C0000}"/>
    <cellStyle name="Note 2 4 4 2 4 2" xfId="31704" xr:uid="{00000000-0005-0000-0000-0000077C0000}"/>
    <cellStyle name="Note 2 4 4 2 5" xfId="31705" xr:uid="{00000000-0005-0000-0000-0000087C0000}"/>
    <cellStyle name="Note 2 4 4 3" xfId="31706" xr:uid="{00000000-0005-0000-0000-0000097C0000}"/>
    <cellStyle name="Note 2 4 4 3 2" xfId="31707" xr:uid="{00000000-0005-0000-0000-00000A7C0000}"/>
    <cellStyle name="Note 2 4 4 3 2 2" xfId="31708" xr:uid="{00000000-0005-0000-0000-00000B7C0000}"/>
    <cellStyle name="Note 2 4 4 3 2 2 2" xfId="31709" xr:uid="{00000000-0005-0000-0000-00000C7C0000}"/>
    <cellStyle name="Note 2 4 4 3 2 3" xfId="31710" xr:uid="{00000000-0005-0000-0000-00000D7C0000}"/>
    <cellStyle name="Note 2 4 4 3 3" xfId="31711" xr:uid="{00000000-0005-0000-0000-00000E7C0000}"/>
    <cellStyle name="Note 2 4 4 3 3 2" xfId="31712" xr:uid="{00000000-0005-0000-0000-00000F7C0000}"/>
    <cellStyle name="Note 2 4 4 3 4" xfId="31713" xr:uid="{00000000-0005-0000-0000-0000107C0000}"/>
    <cellStyle name="Note 2 4 4 4" xfId="31714" xr:uid="{00000000-0005-0000-0000-0000117C0000}"/>
    <cellStyle name="Note 2 4 4 4 2" xfId="31715" xr:uid="{00000000-0005-0000-0000-0000127C0000}"/>
    <cellStyle name="Note 2 4 4 4 2 2" xfId="31716" xr:uid="{00000000-0005-0000-0000-0000137C0000}"/>
    <cellStyle name="Note 2 4 4 4 3" xfId="31717" xr:uid="{00000000-0005-0000-0000-0000147C0000}"/>
    <cellStyle name="Note 2 4 4 5" xfId="31718" xr:uid="{00000000-0005-0000-0000-0000157C0000}"/>
    <cellStyle name="Note 2 4 4 5 2" xfId="31719" xr:uid="{00000000-0005-0000-0000-0000167C0000}"/>
    <cellStyle name="Note 2 4 4 6" xfId="31720" xr:uid="{00000000-0005-0000-0000-0000177C0000}"/>
    <cellStyle name="Note 2 4 5" xfId="31721" xr:uid="{00000000-0005-0000-0000-0000187C0000}"/>
    <cellStyle name="Note 2 4 5 2" xfId="31722" xr:uid="{00000000-0005-0000-0000-0000197C0000}"/>
    <cellStyle name="Note 2 4 5 2 2" xfId="31723" xr:uid="{00000000-0005-0000-0000-00001A7C0000}"/>
    <cellStyle name="Note 2 4 5 2 2 2" xfId="31724" xr:uid="{00000000-0005-0000-0000-00001B7C0000}"/>
    <cellStyle name="Note 2 4 5 2 2 2 2" xfId="31725" xr:uid="{00000000-0005-0000-0000-00001C7C0000}"/>
    <cellStyle name="Note 2 4 5 2 2 3" xfId="31726" xr:uid="{00000000-0005-0000-0000-00001D7C0000}"/>
    <cellStyle name="Note 2 4 5 2 3" xfId="31727" xr:uid="{00000000-0005-0000-0000-00001E7C0000}"/>
    <cellStyle name="Note 2 4 5 2 3 2" xfId="31728" xr:uid="{00000000-0005-0000-0000-00001F7C0000}"/>
    <cellStyle name="Note 2 4 5 2 4" xfId="31729" xr:uid="{00000000-0005-0000-0000-0000207C0000}"/>
    <cellStyle name="Note 2 4 5 3" xfId="31730" xr:uid="{00000000-0005-0000-0000-0000217C0000}"/>
    <cellStyle name="Note 2 4 5 3 2" xfId="31731" xr:uid="{00000000-0005-0000-0000-0000227C0000}"/>
    <cellStyle name="Note 2 4 5 3 2 2" xfId="31732" xr:uid="{00000000-0005-0000-0000-0000237C0000}"/>
    <cellStyle name="Note 2 4 5 3 3" xfId="31733" xr:uid="{00000000-0005-0000-0000-0000247C0000}"/>
    <cellStyle name="Note 2 4 5 4" xfId="31734" xr:uid="{00000000-0005-0000-0000-0000257C0000}"/>
    <cellStyle name="Note 2 4 5 4 2" xfId="31735" xr:uid="{00000000-0005-0000-0000-0000267C0000}"/>
    <cellStyle name="Note 2 4 5 5" xfId="31736" xr:uid="{00000000-0005-0000-0000-0000277C0000}"/>
    <cellStyle name="Note 2 4 6" xfId="31737" xr:uid="{00000000-0005-0000-0000-0000287C0000}"/>
    <cellStyle name="Note 2 4 6 2" xfId="31738" xr:uid="{00000000-0005-0000-0000-0000297C0000}"/>
    <cellStyle name="Note 2 4 6 2 2" xfId="31739" xr:uid="{00000000-0005-0000-0000-00002A7C0000}"/>
    <cellStyle name="Note 2 4 6 2 2 2" xfId="31740" xr:uid="{00000000-0005-0000-0000-00002B7C0000}"/>
    <cellStyle name="Note 2 4 6 2 3" xfId="31741" xr:uid="{00000000-0005-0000-0000-00002C7C0000}"/>
    <cellStyle name="Note 2 4 6 3" xfId="31742" xr:uid="{00000000-0005-0000-0000-00002D7C0000}"/>
    <cellStyle name="Note 2 4 6 3 2" xfId="31743" xr:uid="{00000000-0005-0000-0000-00002E7C0000}"/>
    <cellStyle name="Note 2 4 6 4" xfId="31744" xr:uid="{00000000-0005-0000-0000-00002F7C0000}"/>
    <cellStyle name="Note 2 4 7" xfId="31745" xr:uid="{00000000-0005-0000-0000-0000307C0000}"/>
    <cellStyle name="Note 2 4 7 2" xfId="31746" xr:uid="{00000000-0005-0000-0000-0000317C0000}"/>
    <cellStyle name="Note 2 4 7 2 2" xfId="31747" xr:uid="{00000000-0005-0000-0000-0000327C0000}"/>
    <cellStyle name="Note 2 4 7 3" xfId="31748" xr:uid="{00000000-0005-0000-0000-0000337C0000}"/>
    <cellStyle name="Note 2 4 8" xfId="31749" xr:uid="{00000000-0005-0000-0000-0000347C0000}"/>
    <cellStyle name="Note 2 4 8 2" xfId="31750" xr:uid="{00000000-0005-0000-0000-0000357C0000}"/>
    <cellStyle name="Note 2 4 9" xfId="31751" xr:uid="{00000000-0005-0000-0000-0000367C0000}"/>
    <cellStyle name="Note 2 5" xfId="31752" xr:uid="{00000000-0005-0000-0000-0000377C0000}"/>
    <cellStyle name="Note 2 5 2" xfId="31753" xr:uid="{00000000-0005-0000-0000-0000387C0000}"/>
    <cellStyle name="Note 2 5 2 2" xfId="31754" xr:uid="{00000000-0005-0000-0000-0000397C0000}"/>
    <cellStyle name="Note 2 5 2 2 2" xfId="31755" xr:uid="{00000000-0005-0000-0000-00003A7C0000}"/>
    <cellStyle name="Note 2 5 2 2 2 2" xfId="31756" xr:uid="{00000000-0005-0000-0000-00003B7C0000}"/>
    <cellStyle name="Note 2 5 2 2 2 2 2" xfId="31757" xr:uid="{00000000-0005-0000-0000-00003C7C0000}"/>
    <cellStyle name="Note 2 5 2 2 2 2 2 2" xfId="31758" xr:uid="{00000000-0005-0000-0000-00003D7C0000}"/>
    <cellStyle name="Note 2 5 2 2 2 2 2 2 2" xfId="31759" xr:uid="{00000000-0005-0000-0000-00003E7C0000}"/>
    <cellStyle name="Note 2 5 2 2 2 2 2 3" xfId="31760" xr:uid="{00000000-0005-0000-0000-00003F7C0000}"/>
    <cellStyle name="Note 2 5 2 2 2 2 3" xfId="31761" xr:uid="{00000000-0005-0000-0000-0000407C0000}"/>
    <cellStyle name="Note 2 5 2 2 2 2 3 2" xfId="31762" xr:uid="{00000000-0005-0000-0000-0000417C0000}"/>
    <cellStyle name="Note 2 5 2 2 2 2 4" xfId="31763" xr:uid="{00000000-0005-0000-0000-0000427C0000}"/>
    <cellStyle name="Note 2 5 2 2 2 3" xfId="31764" xr:uid="{00000000-0005-0000-0000-0000437C0000}"/>
    <cellStyle name="Note 2 5 2 2 2 3 2" xfId="31765" xr:uid="{00000000-0005-0000-0000-0000447C0000}"/>
    <cellStyle name="Note 2 5 2 2 2 3 2 2" xfId="31766" xr:uid="{00000000-0005-0000-0000-0000457C0000}"/>
    <cellStyle name="Note 2 5 2 2 2 3 3" xfId="31767" xr:uid="{00000000-0005-0000-0000-0000467C0000}"/>
    <cellStyle name="Note 2 5 2 2 2 4" xfId="31768" xr:uid="{00000000-0005-0000-0000-0000477C0000}"/>
    <cellStyle name="Note 2 5 2 2 2 4 2" xfId="31769" xr:uid="{00000000-0005-0000-0000-0000487C0000}"/>
    <cellStyle name="Note 2 5 2 2 2 5" xfId="31770" xr:uid="{00000000-0005-0000-0000-0000497C0000}"/>
    <cellStyle name="Note 2 5 2 2 3" xfId="31771" xr:uid="{00000000-0005-0000-0000-00004A7C0000}"/>
    <cellStyle name="Note 2 5 2 2 3 2" xfId="31772" xr:uid="{00000000-0005-0000-0000-00004B7C0000}"/>
    <cellStyle name="Note 2 5 2 2 3 2 2" xfId="31773" xr:uid="{00000000-0005-0000-0000-00004C7C0000}"/>
    <cellStyle name="Note 2 5 2 2 3 2 2 2" xfId="31774" xr:uid="{00000000-0005-0000-0000-00004D7C0000}"/>
    <cellStyle name="Note 2 5 2 2 3 2 3" xfId="31775" xr:uid="{00000000-0005-0000-0000-00004E7C0000}"/>
    <cellStyle name="Note 2 5 2 2 3 3" xfId="31776" xr:uid="{00000000-0005-0000-0000-00004F7C0000}"/>
    <cellStyle name="Note 2 5 2 2 3 3 2" xfId="31777" xr:uid="{00000000-0005-0000-0000-0000507C0000}"/>
    <cellStyle name="Note 2 5 2 2 3 4" xfId="31778" xr:uid="{00000000-0005-0000-0000-0000517C0000}"/>
    <cellStyle name="Note 2 5 2 2 4" xfId="31779" xr:uid="{00000000-0005-0000-0000-0000527C0000}"/>
    <cellStyle name="Note 2 5 2 2 4 2" xfId="31780" xr:uid="{00000000-0005-0000-0000-0000537C0000}"/>
    <cellStyle name="Note 2 5 2 2 4 2 2" xfId="31781" xr:uid="{00000000-0005-0000-0000-0000547C0000}"/>
    <cellStyle name="Note 2 5 2 2 4 3" xfId="31782" xr:uid="{00000000-0005-0000-0000-0000557C0000}"/>
    <cellStyle name="Note 2 5 2 2 5" xfId="31783" xr:uid="{00000000-0005-0000-0000-0000567C0000}"/>
    <cellStyle name="Note 2 5 2 2 5 2" xfId="31784" xr:uid="{00000000-0005-0000-0000-0000577C0000}"/>
    <cellStyle name="Note 2 5 2 2 6" xfId="31785" xr:uid="{00000000-0005-0000-0000-0000587C0000}"/>
    <cellStyle name="Note 2 5 2 3" xfId="31786" xr:uid="{00000000-0005-0000-0000-0000597C0000}"/>
    <cellStyle name="Note 2 5 2 3 2" xfId="31787" xr:uid="{00000000-0005-0000-0000-00005A7C0000}"/>
    <cellStyle name="Note 2 5 2 3 2 2" xfId="31788" xr:uid="{00000000-0005-0000-0000-00005B7C0000}"/>
    <cellStyle name="Note 2 5 2 3 2 2 2" xfId="31789" xr:uid="{00000000-0005-0000-0000-00005C7C0000}"/>
    <cellStyle name="Note 2 5 2 3 2 2 2 2" xfId="31790" xr:uid="{00000000-0005-0000-0000-00005D7C0000}"/>
    <cellStyle name="Note 2 5 2 3 2 2 3" xfId="31791" xr:uid="{00000000-0005-0000-0000-00005E7C0000}"/>
    <cellStyle name="Note 2 5 2 3 2 3" xfId="31792" xr:uid="{00000000-0005-0000-0000-00005F7C0000}"/>
    <cellStyle name="Note 2 5 2 3 2 3 2" xfId="31793" xr:uid="{00000000-0005-0000-0000-0000607C0000}"/>
    <cellStyle name="Note 2 5 2 3 2 4" xfId="31794" xr:uid="{00000000-0005-0000-0000-0000617C0000}"/>
    <cellStyle name="Note 2 5 2 3 3" xfId="31795" xr:uid="{00000000-0005-0000-0000-0000627C0000}"/>
    <cellStyle name="Note 2 5 2 3 3 2" xfId="31796" xr:uid="{00000000-0005-0000-0000-0000637C0000}"/>
    <cellStyle name="Note 2 5 2 3 3 2 2" xfId="31797" xr:uid="{00000000-0005-0000-0000-0000647C0000}"/>
    <cellStyle name="Note 2 5 2 3 3 3" xfId="31798" xr:uid="{00000000-0005-0000-0000-0000657C0000}"/>
    <cellStyle name="Note 2 5 2 3 4" xfId="31799" xr:uid="{00000000-0005-0000-0000-0000667C0000}"/>
    <cellStyle name="Note 2 5 2 3 4 2" xfId="31800" xr:uid="{00000000-0005-0000-0000-0000677C0000}"/>
    <cellStyle name="Note 2 5 2 3 5" xfId="31801" xr:uid="{00000000-0005-0000-0000-0000687C0000}"/>
    <cellStyle name="Note 2 5 2 4" xfId="31802" xr:uid="{00000000-0005-0000-0000-0000697C0000}"/>
    <cellStyle name="Note 2 5 2 4 2" xfId="31803" xr:uid="{00000000-0005-0000-0000-00006A7C0000}"/>
    <cellStyle name="Note 2 5 2 4 2 2" xfId="31804" xr:uid="{00000000-0005-0000-0000-00006B7C0000}"/>
    <cellStyle name="Note 2 5 2 4 2 2 2" xfId="31805" xr:uid="{00000000-0005-0000-0000-00006C7C0000}"/>
    <cellStyle name="Note 2 5 2 4 2 3" xfId="31806" xr:uid="{00000000-0005-0000-0000-00006D7C0000}"/>
    <cellStyle name="Note 2 5 2 4 3" xfId="31807" xr:uid="{00000000-0005-0000-0000-00006E7C0000}"/>
    <cellStyle name="Note 2 5 2 4 3 2" xfId="31808" xr:uid="{00000000-0005-0000-0000-00006F7C0000}"/>
    <cellStyle name="Note 2 5 2 4 4" xfId="31809" xr:uid="{00000000-0005-0000-0000-0000707C0000}"/>
    <cellStyle name="Note 2 5 2 5" xfId="31810" xr:uid="{00000000-0005-0000-0000-0000717C0000}"/>
    <cellStyle name="Note 2 5 2 5 2" xfId="31811" xr:uid="{00000000-0005-0000-0000-0000727C0000}"/>
    <cellStyle name="Note 2 5 2 5 2 2" xfId="31812" xr:uid="{00000000-0005-0000-0000-0000737C0000}"/>
    <cellStyle name="Note 2 5 2 5 3" xfId="31813" xr:uid="{00000000-0005-0000-0000-0000747C0000}"/>
    <cellStyle name="Note 2 5 2 6" xfId="31814" xr:uid="{00000000-0005-0000-0000-0000757C0000}"/>
    <cellStyle name="Note 2 5 2 6 2" xfId="31815" xr:uid="{00000000-0005-0000-0000-0000767C0000}"/>
    <cellStyle name="Note 2 5 2 7" xfId="31816" xr:uid="{00000000-0005-0000-0000-0000777C0000}"/>
    <cellStyle name="Note 2 5 3" xfId="31817" xr:uid="{00000000-0005-0000-0000-0000787C0000}"/>
    <cellStyle name="Note 2 5 3 2" xfId="31818" xr:uid="{00000000-0005-0000-0000-0000797C0000}"/>
    <cellStyle name="Note 2 5 3 2 2" xfId="31819" xr:uid="{00000000-0005-0000-0000-00007A7C0000}"/>
    <cellStyle name="Note 2 5 3 2 2 2" xfId="31820" xr:uid="{00000000-0005-0000-0000-00007B7C0000}"/>
    <cellStyle name="Note 2 5 3 2 2 2 2" xfId="31821" xr:uid="{00000000-0005-0000-0000-00007C7C0000}"/>
    <cellStyle name="Note 2 5 3 2 2 2 2 2" xfId="31822" xr:uid="{00000000-0005-0000-0000-00007D7C0000}"/>
    <cellStyle name="Note 2 5 3 2 2 2 3" xfId="31823" xr:uid="{00000000-0005-0000-0000-00007E7C0000}"/>
    <cellStyle name="Note 2 5 3 2 2 3" xfId="31824" xr:uid="{00000000-0005-0000-0000-00007F7C0000}"/>
    <cellStyle name="Note 2 5 3 2 2 3 2" xfId="31825" xr:uid="{00000000-0005-0000-0000-0000807C0000}"/>
    <cellStyle name="Note 2 5 3 2 2 4" xfId="31826" xr:uid="{00000000-0005-0000-0000-0000817C0000}"/>
    <cellStyle name="Note 2 5 3 2 3" xfId="31827" xr:uid="{00000000-0005-0000-0000-0000827C0000}"/>
    <cellStyle name="Note 2 5 3 2 3 2" xfId="31828" xr:uid="{00000000-0005-0000-0000-0000837C0000}"/>
    <cellStyle name="Note 2 5 3 2 3 2 2" xfId="31829" xr:uid="{00000000-0005-0000-0000-0000847C0000}"/>
    <cellStyle name="Note 2 5 3 2 3 3" xfId="31830" xr:uid="{00000000-0005-0000-0000-0000857C0000}"/>
    <cellStyle name="Note 2 5 3 2 4" xfId="31831" xr:uid="{00000000-0005-0000-0000-0000867C0000}"/>
    <cellStyle name="Note 2 5 3 2 4 2" xfId="31832" xr:uid="{00000000-0005-0000-0000-0000877C0000}"/>
    <cellStyle name="Note 2 5 3 2 5" xfId="31833" xr:uid="{00000000-0005-0000-0000-0000887C0000}"/>
    <cellStyle name="Note 2 5 3 3" xfId="31834" xr:uid="{00000000-0005-0000-0000-0000897C0000}"/>
    <cellStyle name="Note 2 5 3 3 2" xfId="31835" xr:uid="{00000000-0005-0000-0000-00008A7C0000}"/>
    <cellStyle name="Note 2 5 3 3 2 2" xfId="31836" xr:uid="{00000000-0005-0000-0000-00008B7C0000}"/>
    <cellStyle name="Note 2 5 3 3 2 2 2" xfId="31837" xr:uid="{00000000-0005-0000-0000-00008C7C0000}"/>
    <cellStyle name="Note 2 5 3 3 2 3" xfId="31838" xr:uid="{00000000-0005-0000-0000-00008D7C0000}"/>
    <cellStyle name="Note 2 5 3 3 3" xfId="31839" xr:uid="{00000000-0005-0000-0000-00008E7C0000}"/>
    <cellStyle name="Note 2 5 3 3 3 2" xfId="31840" xr:uid="{00000000-0005-0000-0000-00008F7C0000}"/>
    <cellStyle name="Note 2 5 3 3 4" xfId="31841" xr:uid="{00000000-0005-0000-0000-0000907C0000}"/>
    <cellStyle name="Note 2 5 3 4" xfId="31842" xr:uid="{00000000-0005-0000-0000-0000917C0000}"/>
    <cellStyle name="Note 2 5 3 4 2" xfId="31843" xr:uid="{00000000-0005-0000-0000-0000927C0000}"/>
    <cellStyle name="Note 2 5 3 4 2 2" xfId="31844" xr:uid="{00000000-0005-0000-0000-0000937C0000}"/>
    <cellStyle name="Note 2 5 3 4 3" xfId="31845" xr:uid="{00000000-0005-0000-0000-0000947C0000}"/>
    <cellStyle name="Note 2 5 3 5" xfId="31846" xr:uid="{00000000-0005-0000-0000-0000957C0000}"/>
    <cellStyle name="Note 2 5 3 5 2" xfId="31847" xr:uid="{00000000-0005-0000-0000-0000967C0000}"/>
    <cellStyle name="Note 2 5 3 6" xfId="31848" xr:uid="{00000000-0005-0000-0000-0000977C0000}"/>
    <cellStyle name="Note 2 5 4" xfId="31849" xr:uid="{00000000-0005-0000-0000-0000987C0000}"/>
    <cellStyle name="Note 2 5 4 2" xfId="31850" xr:uid="{00000000-0005-0000-0000-0000997C0000}"/>
    <cellStyle name="Note 2 5 4 2 2" xfId="31851" xr:uid="{00000000-0005-0000-0000-00009A7C0000}"/>
    <cellStyle name="Note 2 5 4 2 2 2" xfId="31852" xr:uid="{00000000-0005-0000-0000-00009B7C0000}"/>
    <cellStyle name="Note 2 5 4 2 2 2 2" xfId="31853" xr:uid="{00000000-0005-0000-0000-00009C7C0000}"/>
    <cellStyle name="Note 2 5 4 2 2 3" xfId="31854" xr:uid="{00000000-0005-0000-0000-00009D7C0000}"/>
    <cellStyle name="Note 2 5 4 2 3" xfId="31855" xr:uid="{00000000-0005-0000-0000-00009E7C0000}"/>
    <cellStyle name="Note 2 5 4 2 3 2" xfId="31856" xr:uid="{00000000-0005-0000-0000-00009F7C0000}"/>
    <cellStyle name="Note 2 5 4 2 4" xfId="31857" xr:uid="{00000000-0005-0000-0000-0000A07C0000}"/>
    <cellStyle name="Note 2 5 4 3" xfId="31858" xr:uid="{00000000-0005-0000-0000-0000A17C0000}"/>
    <cellStyle name="Note 2 5 4 3 2" xfId="31859" xr:uid="{00000000-0005-0000-0000-0000A27C0000}"/>
    <cellStyle name="Note 2 5 4 3 2 2" xfId="31860" xr:uid="{00000000-0005-0000-0000-0000A37C0000}"/>
    <cellStyle name="Note 2 5 4 3 3" xfId="31861" xr:uid="{00000000-0005-0000-0000-0000A47C0000}"/>
    <cellStyle name="Note 2 5 4 4" xfId="31862" xr:uid="{00000000-0005-0000-0000-0000A57C0000}"/>
    <cellStyle name="Note 2 5 4 4 2" xfId="31863" xr:uid="{00000000-0005-0000-0000-0000A67C0000}"/>
    <cellStyle name="Note 2 5 4 5" xfId="31864" xr:uid="{00000000-0005-0000-0000-0000A77C0000}"/>
    <cellStyle name="Note 2 5 5" xfId="31865" xr:uid="{00000000-0005-0000-0000-0000A87C0000}"/>
    <cellStyle name="Note 2 5 5 2" xfId="31866" xr:uid="{00000000-0005-0000-0000-0000A97C0000}"/>
    <cellStyle name="Note 2 5 5 2 2" xfId="31867" xr:uid="{00000000-0005-0000-0000-0000AA7C0000}"/>
    <cellStyle name="Note 2 5 5 2 2 2" xfId="31868" xr:uid="{00000000-0005-0000-0000-0000AB7C0000}"/>
    <cellStyle name="Note 2 5 5 2 3" xfId="31869" xr:uid="{00000000-0005-0000-0000-0000AC7C0000}"/>
    <cellStyle name="Note 2 5 5 3" xfId="31870" xr:uid="{00000000-0005-0000-0000-0000AD7C0000}"/>
    <cellStyle name="Note 2 5 5 3 2" xfId="31871" xr:uid="{00000000-0005-0000-0000-0000AE7C0000}"/>
    <cellStyle name="Note 2 5 5 4" xfId="31872" xr:uid="{00000000-0005-0000-0000-0000AF7C0000}"/>
    <cellStyle name="Note 2 5 6" xfId="31873" xr:uid="{00000000-0005-0000-0000-0000B07C0000}"/>
    <cellStyle name="Note 2 5 6 2" xfId="31874" xr:uid="{00000000-0005-0000-0000-0000B17C0000}"/>
    <cellStyle name="Note 2 5 6 2 2" xfId="31875" xr:uid="{00000000-0005-0000-0000-0000B27C0000}"/>
    <cellStyle name="Note 2 5 6 3" xfId="31876" xr:uid="{00000000-0005-0000-0000-0000B37C0000}"/>
    <cellStyle name="Note 2 5 7" xfId="31877" xr:uid="{00000000-0005-0000-0000-0000B47C0000}"/>
    <cellStyle name="Note 2 5 7 2" xfId="31878" xr:uid="{00000000-0005-0000-0000-0000B57C0000}"/>
    <cellStyle name="Note 2 5 8" xfId="31879" xr:uid="{00000000-0005-0000-0000-0000B67C0000}"/>
    <cellStyle name="Note 2 6" xfId="31880" xr:uid="{00000000-0005-0000-0000-0000B77C0000}"/>
    <cellStyle name="Note 2 6 2" xfId="31881" xr:uid="{00000000-0005-0000-0000-0000B87C0000}"/>
    <cellStyle name="Note 2 6 2 2" xfId="31882" xr:uid="{00000000-0005-0000-0000-0000B97C0000}"/>
    <cellStyle name="Note 2 6 2 2 2" xfId="31883" xr:uid="{00000000-0005-0000-0000-0000BA7C0000}"/>
    <cellStyle name="Note 2 6 2 2 2 2" xfId="31884" xr:uid="{00000000-0005-0000-0000-0000BB7C0000}"/>
    <cellStyle name="Note 2 6 2 2 2 2 2" xfId="31885" xr:uid="{00000000-0005-0000-0000-0000BC7C0000}"/>
    <cellStyle name="Note 2 6 2 2 2 2 2 2" xfId="31886" xr:uid="{00000000-0005-0000-0000-0000BD7C0000}"/>
    <cellStyle name="Note 2 6 2 2 2 2 3" xfId="31887" xr:uid="{00000000-0005-0000-0000-0000BE7C0000}"/>
    <cellStyle name="Note 2 6 2 2 2 3" xfId="31888" xr:uid="{00000000-0005-0000-0000-0000BF7C0000}"/>
    <cellStyle name="Note 2 6 2 2 2 3 2" xfId="31889" xr:uid="{00000000-0005-0000-0000-0000C07C0000}"/>
    <cellStyle name="Note 2 6 2 2 2 4" xfId="31890" xr:uid="{00000000-0005-0000-0000-0000C17C0000}"/>
    <cellStyle name="Note 2 6 2 2 3" xfId="31891" xr:uid="{00000000-0005-0000-0000-0000C27C0000}"/>
    <cellStyle name="Note 2 6 2 2 3 2" xfId="31892" xr:uid="{00000000-0005-0000-0000-0000C37C0000}"/>
    <cellStyle name="Note 2 6 2 2 3 2 2" xfId="31893" xr:uid="{00000000-0005-0000-0000-0000C47C0000}"/>
    <cellStyle name="Note 2 6 2 2 3 3" xfId="31894" xr:uid="{00000000-0005-0000-0000-0000C57C0000}"/>
    <cellStyle name="Note 2 6 2 2 4" xfId="31895" xr:uid="{00000000-0005-0000-0000-0000C67C0000}"/>
    <cellStyle name="Note 2 6 2 2 4 2" xfId="31896" xr:uid="{00000000-0005-0000-0000-0000C77C0000}"/>
    <cellStyle name="Note 2 6 2 2 5" xfId="31897" xr:uid="{00000000-0005-0000-0000-0000C87C0000}"/>
    <cellStyle name="Note 2 6 2 3" xfId="31898" xr:uid="{00000000-0005-0000-0000-0000C97C0000}"/>
    <cellStyle name="Note 2 6 2 3 2" xfId="31899" xr:uid="{00000000-0005-0000-0000-0000CA7C0000}"/>
    <cellStyle name="Note 2 6 2 3 2 2" xfId="31900" xr:uid="{00000000-0005-0000-0000-0000CB7C0000}"/>
    <cellStyle name="Note 2 6 2 3 2 2 2" xfId="31901" xr:uid="{00000000-0005-0000-0000-0000CC7C0000}"/>
    <cellStyle name="Note 2 6 2 3 2 3" xfId="31902" xr:uid="{00000000-0005-0000-0000-0000CD7C0000}"/>
    <cellStyle name="Note 2 6 2 3 3" xfId="31903" xr:uid="{00000000-0005-0000-0000-0000CE7C0000}"/>
    <cellStyle name="Note 2 6 2 3 3 2" xfId="31904" xr:uid="{00000000-0005-0000-0000-0000CF7C0000}"/>
    <cellStyle name="Note 2 6 2 3 4" xfId="31905" xr:uid="{00000000-0005-0000-0000-0000D07C0000}"/>
    <cellStyle name="Note 2 6 2 4" xfId="31906" xr:uid="{00000000-0005-0000-0000-0000D17C0000}"/>
    <cellStyle name="Note 2 6 2 4 2" xfId="31907" xr:uid="{00000000-0005-0000-0000-0000D27C0000}"/>
    <cellStyle name="Note 2 6 2 4 2 2" xfId="31908" xr:uid="{00000000-0005-0000-0000-0000D37C0000}"/>
    <cellStyle name="Note 2 6 2 4 3" xfId="31909" xr:uid="{00000000-0005-0000-0000-0000D47C0000}"/>
    <cellStyle name="Note 2 6 2 5" xfId="31910" xr:uid="{00000000-0005-0000-0000-0000D57C0000}"/>
    <cellStyle name="Note 2 6 2 5 2" xfId="31911" xr:uid="{00000000-0005-0000-0000-0000D67C0000}"/>
    <cellStyle name="Note 2 6 2 6" xfId="31912" xr:uid="{00000000-0005-0000-0000-0000D77C0000}"/>
    <cellStyle name="Note 2 6 3" xfId="31913" xr:uid="{00000000-0005-0000-0000-0000D87C0000}"/>
    <cellStyle name="Note 2 6 3 2" xfId="31914" xr:uid="{00000000-0005-0000-0000-0000D97C0000}"/>
    <cellStyle name="Note 2 6 3 2 2" xfId="31915" xr:uid="{00000000-0005-0000-0000-0000DA7C0000}"/>
    <cellStyle name="Note 2 6 3 2 2 2" xfId="31916" xr:uid="{00000000-0005-0000-0000-0000DB7C0000}"/>
    <cellStyle name="Note 2 6 3 2 2 2 2" xfId="31917" xr:uid="{00000000-0005-0000-0000-0000DC7C0000}"/>
    <cellStyle name="Note 2 6 3 2 2 3" xfId="31918" xr:uid="{00000000-0005-0000-0000-0000DD7C0000}"/>
    <cellStyle name="Note 2 6 3 2 3" xfId="31919" xr:uid="{00000000-0005-0000-0000-0000DE7C0000}"/>
    <cellStyle name="Note 2 6 3 2 3 2" xfId="31920" xr:uid="{00000000-0005-0000-0000-0000DF7C0000}"/>
    <cellStyle name="Note 2 6 3 2 4" xfId="31921" xr:uid="{00000000-0005-0000-0000-0000E07C0000}"/>
    <cellStyle name="Note 2 6 3 3" xfId="31922" xr:uid="{00000000-0005-0000-0000-0000E17C0000}"/>
    <cellStyle name="Note 2 6 3 3 2" xfId="31923" xr:uid="{00000000-0005-0000-0000-0000E27C0000}"/>
    <cellStyle name="Note 2 6 3 3 2 2" xfId="31924" xr:uid="{00000000-0005-0000-0000-0000E37C0000}"/>
    <cellStyle name="Note 2 6 3 3 3" xfId="31925" xr:uid="{00000000-0005-0000-0000-0000E47C0000}"/>
    <cellStyle name="Note 2 6 3 4" xfId="31926" xr:uid="{00000000-0005-0000-0000-0000E57C0000}"/>
    <cellStyle name="Note 2 6 3 4 2" xfId="31927" xr:uid="{00000000-0005-0000-0000-0000E67C0000}"/>
    <cellStyle name="Note 2 6 3 5" xfId="31928" xr:uid="{00000000-0005-0000-0000-0000E77C0000}"/>
    <cellStyle name="Note 2 6 4" xfId="31929" xr:uid="{00000000-0005-0000-0000-0000E87C0000}"/>
    <cellStyle name="Note 2 6 4 2" xfId="31930" xr:uid="{00000000-0005-0000-0000-0000E97C0000}"/>
    <cellStyle name="Note 2 6 4 2 2" xfId="31931" xr:uid="{00000000-0005-0000-0000-0000EA7C0000}"/>
    <cellStyle name="Note 2 6 4 2 2 2" xfId="31932" xr:uid="{00000000-0005-0000-0000-0000EB7C0000}"/>
    <cellStyle name="Note 2 6 4 2 3" xfId="31933" xr:uid="{00000000-0005-0000-0000-0000EC7C0000}"/>
    <cellStyle name="Note 2 6 4 3" xfId="31934" xr:uid="{00000000-0005-0000-0000-0000ED7C0000}"/>
    <cellStyle name="Note 2 6 4 3 2" xfId="31935" xr:uid="{00000000-0005-0000-0000-0000EE7C0000}"/>
    <cellStyle name="Note 2 6 4 4" xfId="31936" xr:uid="{00000000-0005-0000-0000-0000EF7C0000}"/>
    <cellStyle name="Note 2 6 5" xfId="31937" xr:uid="{00000000-0005-0000-0000-0000F07C0000}"/>
    <cellStyle name="Note 2 6 5 2" xfId="31938" xr:uid="{00000000-0005-0000-0000-0000F17C0000}"/>
    <cellStyle name="Note 2 6 5 2 2" xfId="31939" xr:uid="{00000000-0005-0000-0000-0000F27C0000}"/>
    <cellStyle name="Note 2 6 5 3" xfId="31940" xr:uid="{00000000-0005-0000-0000-0000F37C0000}"/>
    <cellStyle name="Note 2 6 6" xfId="31941" xr:uid="{00000000-0005-0000-0000-0000F47C0000}"/>
    <cellStyle name="Note 2 6 6 2" xfId="31942" xr:uid="{00000000-0005-0000-0000-0000F57C0000}"/>
    <cellStyle name="Note 2 6 7" xfId="31943" xr:uid="{00000000-0005-0000-0000-0000F67C0000}"/>
    <cellStyle name="Note 2 7" xfId="31944" xr:uid="{00000000-0005-0000-0000-0000F77C0000}"/>
    <cellStyle name="Note 2 7 2" xfId="31945" xr:uid="{00000000-0005-0000-0000-0000F87C0000}"/>
    <cellStyle name="Note 2 7 2 2" xfId="31946" xr:uid="{00000000-0005-0000-0000-0000F97C0000}"/>
    <cellStyle name="Note 2 7 2 2 2" xfId="31947" xr:uid="{00000000-0005-0000-0000-0000FA7C0000}"/>
    <cellStyle name="Note 2 7 2 2 2 2" xfId="31948" xr:uid="{00000000-0005-0000-0000-0000FB7C0000}"/>
    <cellStyle name="Note 2 7 2 2 2 2 2" xfId="31949" xr:uid="{00000000-0005-0000-0000-0000FC7C0000}"/>
    <cellStyle name="Note 2 7 2 2 2 3" xfId="31950" xr:uid="{00000000-0005-0000-0000-0000FD7C0000}"/>
    <cellStyle name="Note 2 7 2 2 3" xfId="31951" xr:uid="{00000000-0005-0000-0000-0000FE7C0000}"/>
    <cellStyle name="Note 2 7 2 2 3 2" xfId="31952" xr:uid="{00000000-0005-0000-0000-0000FF7C0000}"/>
    <cellStyle name="Note 2 7 2 2 4" xfId="31953" xr:uid="{00000000-0005-0000-0000-0000007D0000}"/>
    <cellStyle name="Note 2 7 2 3" xfId="31954" xr:uid="{00000000-0005-0000-0000-0000017D0000}"/>
    <cellStyle name="Note 2 7 2 3 2" xfId="31955" xr:uid="{00000000-0005-0000-0000-0000027D0000}"/>
    <cellStyle name="Note 2 7 2 3 2 2" xfId="31956" xr:uid="{00000000-0005-0000-0000-0000037D0000}"/>
    <cellStyle name="Note 2 7 2 3 3" xfId="31957" xr:uid="{00000000-0005-0000-0000-0000047D0000}"/>
    <cellStyle name="Note 2 7 2 4" xfId="31958" xr:uid="{00000000-0005-0000-0000-0000057D0000}"/>
    <cellStyle name="Note 2 7 2 4 2" xfId="31959" xr:uid="{00000000-0005-0000-0000-0000067D0000}"/>
    <cellStyle name="Note 2 7 2 5" xfId="31960" xr:uid="{00000000-0005-0000-0000-0000077D0000}"/>
    <cellStyle name="Note 2 7 3" xfId="31961" xr:uid="{00000000-0005-0000-0000-0000087D0000}"/>
    <cellStyle name="Note 2 7 3 2" xfId="31962" xr:uid="{00000000-0005-0000-0000-0000097D0000}"/>
    <cellStyle name="Note 2 7 3 2 2" xfId="31963" xr:uid="{00000000-0005-0000-0000-00000A7D0000}"/>
    <cellStyle name="Note 2 7 3 2 2 2" xfId="31964" xr:uid="{00000000-0005-0000-0000-00000B7D0000}"/>
    <cellStyle name="Note 2 7 3 2 3" xfId="31965" xr:uid="{00000000-0005-0000-0000-00000C7D0000}"/>
    <cellStyle name="Note 2 7 3 3" xfId="31966" xr:uid="{00000000-0005-0000-0000-00000D7D0000}"/>
    <cellStyle name="Note 2 7 3 3 2" xfId="31967" xr:uid="{00000000-0005-0000-0000-00000E7D0000}"/>
    <cellStyle name="Note 2 7 3 4" xfId="31968" xr:uid="{00000000-0005-0000-0000-00000F7D0000}"/>
    <cellStyle name="Note 2 7 4" xfId="31969" xr:uid="{00000000-0005-0000-0000-0000107D0000}"/>
    <cellStyle name="Note 2 7 4 2" xfId="31970" xr:uid="{00000000-0005-0000-0000-0000117D0000}"/>
    <cellStyle name="Note 2 7 4 2 2" xfId="31971" xr:uid="{00000000-0005-0000-0000-0000127D0000}"/>
    <cellStyle name="Note 2 7 4 3" xfId="31972" xr:uid="{00000000-0005-0000-0000-0000137D0000}"/>
    <cellStyle name="Note 2 7 5" xfId="31973" xr:uid="{00000000-0005-0000-0000-0000147D0000}"/>
    <cellStyle name="Note 2 7 5 2" xfId="31974" xr:uid="{00000000-0005-0000-0000-0000157D0000}"/>
    <cellStyle name="Note 2 7 6" xfId="31975" xr:uid="{00000000-0005-0000-0000-0000167D0000}"/>
    <cellStyle name="Note 2 8" xfId="31976" xr:uid="{00000000-0005-0000-0000-0000177D0000}"/>
    <cellStyle name="Note 2 8 2" xfId="31977" xr:uid="{00000000-0005-0000-0000-0000187D0000}"/>
    <cellStyle name="Note 2 8 2 2" xfId="31978" xr:uid="{00000000-0005-0000-0000-0000197D0000}"/>
    <cellStyle name="Note 2 8 2 2 2" xfId="31979" xr:uid="{00000000-0005-0000-0000-00001A7D0000}"/>
    <cellStyle name="Note 2 8 2 2 2 2" xfId="31980" xr:uid="{00000000-0005-0000-0000-00001B7D0000}"/>
    <cellStyle name="Note 2 8 2 2 3" xfId="31981" xr:uid="{00000000-0005-0000-0000-00001C7D0000}"/>
    <cellStyle name="Note 2 8 2 3" xfId="31982" xr:uid="{00000000-0005-0000-0000-00001D7D0000}"/>
    <cellStyle name="Note 2 8 2 3 2" xfId="31983" xr:uid="{00000000-0005-0000-0000-00001E7D0000}"/>
    <cellStyle name="Note 2 8 2 4" xfId="31984" xr:uid="{00000000-0005-0000-0000-00001F7D0000}"/>
    <cellStyle name="Note 2 8 3" xfId="31985" xr:uid="{00000000-0005-0000-0000-0000207D0000}"/>
    <cellStyle name="Note 2 8 3 2" xfId="31986" xr:uid="{00000000-0005-0000-0000-0000217D0000}"/>
    <cellStyle name="Note 2 8 3 2 2" xfId="31987" xr:uid="{00000000-0005-0000-0000-0000227D0000}"/>
    <cellStyle name="Note 2 8 3 3" xfId="31988" xr:uid="{00000000-0005-0000-0000-0000237D0000}"/>
    <cellStyle name="Note 2 8 4" xfId="31989" xr:uid="{00000000-0005-0000-0000-0000247D0000}"/>
    <cellStyle name="Note 2 8 4 2" xfId="31990" xr:uid="{00000000-0005-0000-0000-0000257D0000}"/>
    <cellStyle name="Note 2 8 5" xfId="31991" xr:uid="{00000000-0005-0000-0000-0000267D0000}"/>
    <cellStyle name="Note 2 9" xfId="31992" xr:uid="{00000000-0005-0000-0000-0000277D0000}"/>
    <cellStyle name="Note 2 9 2" xfId="31993" xr:uid="{00000000-0005-0000-0000-0000287D0000}"/>
    <cellStyle name="Note 2 9 2 2" xfId="31994" xr:uid="{00000000-0005-0000-0000-0000297D0000}"/>
    <cellStyle name="Note 2 9 2 2 2" xfId="31995" xr:uid="{00000000-0005-0000-0000-00002A7D0000}"/>
    <cellStyle name="Note 2 9 2 3" xfId="31996" xr:uid="{00000000-0005-0000-0000-00002B7D0000}"/>
    <cellStyle name="Note 2 9 3" xfId="31997" xr:uid="{00000000-0005-0000-0000-00002C7D0000}"/>
    <cellStyle name="Note 2 9 3 2" xfId="31998" xr:uid="{00000000-0005-0000-0000-00002D7D0000}"/>
    <cellStyle name="Note 2 9 4" xfId="31999" xr:uid="{00000000-0005-0000-0000-00002E7D0000}"/>
    <cellStyle name="Note 3" xfId="32000" xr:uid="{00000000-0005-0000-0000-00002F7D0000}"/>
    <cellStyle name="Note 3 10" xfId="32001" xr:uid="{00000000-0005-0000-0000-0000307D0000}"/>
    <cellStyle name="Note 3 10 2" xfId="32002" xr:uid="{00000000-0005-0000-0000-0000317D0000}"/>
    <cellStyle name="Note 3 11" xfId="32003" xr:uid="{00000000-0005-0000-0000-0000327D0000}"/>
    <cellStyle name="Note 3 2" xfId="32004" xr:uid="{00000000-0005-0000-0000-0000337D0000}"/>
    <cellStyle name="Note 3 2 10" xfId="32005" xr:uid="{00000000-0005-0000-0000-0000347D0000}"/>
    <cellStyle name="Note 3 2 2" xfId="32006" xr:uid="{00000000-0005-0000-0000-0000357D0000}"/>
    <cellStyle name="Note 3 2 2 2" xfId="32007" xr:uid="{00000000-0005-0000-0000-0000367D0000}"/>
    <cellStyle name="Note 3 2 2 2 2" xfId="32008" xr:uid="{00000000-0005-0000-0000-0000377D0000}"/>
    <cellStyle name="Note 3 2 2 2 2 2" xfId="32009" xr:uid="{00000000-0005-0000-0000-0000387D0000}"/>
    <cellStyle name="Note 3 2 2 2 2 2 2" xfId="32010" xr:uid="{00000000-0005-0000-0000-0000397D0000}"/>
    <cellStyle name="Note 3 2 2 2 2 2 2 2" xfId="32011" xr:uid="{00000000-0005-0000-0000-00003A7D0000}"/>
    <cellStyle name="Note 3 2 2 2 2 2 2 2 2" xfId="32012" xr:uid="{00000000-0005-0000-0000-00003B7D0000}"/>
    <cellStyle name="Note 3 2 2 2 2 2 2 2 2 2" xfId="32013" xr:uid="{00000000-0005-0000-0000-00003C7D0000}"/>
    <cellStyle name="Note 3 2 2 2 2 2 2 2 2 2 2" xfId="32014" xr:uid="{00000000-0005-0000-0000-00003D7D0000}"/>
    <cellStyle name="Note 3 2 2 2 2 2 2 2 2 3" xfId="32015" xr:uid="{00000000-0005-0000-0000-00003E7D0000}"/>
    <cellStyle name="Note 3 2 2 2 2 2 2 2 3" xfId="32016" xr:uid="{00000000-0005-0000-0000-00003F7D0000}"/>
    <cellStyle name="Note 3 2 2 2 2 2 2 2 3 2" xfId="32017" xr:uid="{00000000-0005-0000-0000-0000407D0000}"/>
    <cellStyle name="Note 3 2 2 2 2 2 2 2 4" xfId="32018" xr:uid="{00000000-0005-0000-0000-0000417D0000}"/>
    <cellStyle name="Note 3 2 2 2 2 2 2 3" xfId="32019" xr:uid="{00000000-0005-0000-0000-0000427D0000}"/>
    <cellStyle name="Note 3 2 2 2 2 2 2 3 2" xfId="32020" xr:uid="{00000000-0005-0000-0000-0000437D0000}"/>
    <cellStyle name="Note 3 2 2 2 2 2 2 3 2 2" xfId="32021" xr:uid="{00000000-0005-0000-0000-0000447D0000}"/>
    <cellStyle name="Note 3 2 2 2 2 2 2 3 3" xfId="32022" xr:uid="{00000000-0005-0000-0000-0000457D0000}"/>
    <cellStyle name="Note 3 2 2 2 2 2 2 4" xfId="32023" xr:uid="{00000000-0005-0000-0000-0000467D0000}"/>
    <cellStyle name="Note 3 2 2 2 2 2 2 4 2" xfId="32024" xr:uid="{00000000-0005-0000-0000-0000477D0000}"/>
    <cellStyle name="Note 3 2 2 2 2 2 2 5" xfId="32025" xr:uid="{00000000-0005-0000-0000-0000487D0000}"/>
    <cellStyle name="Note 3 2 2 2 2 2 3" xfId="32026" xr:uid="{00000000-0005-0000-0000-0000497D0000}"/>
    <cellStyle name="Note 3 2 2 2 2 2 3 2" xfId="32027" xr:uid="{00000000-0005-0000-0000-00004A7D0000}"/>
    <cellStyle name="Note 3 2 2 2 2 2 3 2 2" xfId="32028" xr:uid="{00000000-0005-0000-0000-00004B7D0000}"/>
    <cellStyle name="Note 3 2 2 2 2 2 3 2 2 2" xfId="32029" xr:uid="{00000000-0005-0000-0000-00004C7D0000}"/>
    <cellStyle name="Note 3 2 2 2 2 2 3 2 3" xfId="32030" xr:uid="{00000000-0005-0000-0000-00004D7D0000}"/>
    <cellStyle name="Note 3 2 2 2 2 2 3 3" xfId="32031" xr:uid="{00000000-0005-0000-0000-00004E7D0000}"/>
    <cellStyle name="Note 3 2 2 2 2 2 3 3 2" xfId="32032" xr:uid="{00000000-0005-0000-0000-00004F7D0000}"/>
    <cellStyle name="Note 3 2 2 2 2 2 3 4" xfId="32033" xr:uid="{00000000-0005-0000-0000-0000507D0000}"/>
    <cellStyle name="Note 3 2 2 2 2 2 4" xfId="32034" xr:uid="{00000000-0005-0000-0000-0000517D0000}"/>
    <cellStyle name="Note 3 2 2 2 2 2 4 2" xfId="32035" xr:uid="{00000000-0005-0000-0000-0000527D0000}"/>
    <cellStyle name="Note 3 2 2 2 2 2 4 2 2" xfId="32036" xr:uid="{00000000-0005-0000-0000-0000537D0000}"/>
    <cellStyle name="Note 3 2 2 2 2 2 4 3" xfId="32037" xr:uid="{00000000-0005-0000-0000-0000547D0000}"/>
    <cellStyle name="Note 3 2 2 2 2 2 5" xfId="32038" xr:uid="{00000000-0005-0000-0000-0000557D0000}"/>
    <cellStyle name="Note 3 2 2 2 2 2 5 2" xfId="32039" xr:uid="{00000000-0005-0000-0000-0000567D0000}"/>
    <cellStyle name="Note 3 2 2 2 2 2 6" xfId="32040" xr:uid="{00000000-0005-0000-0000-0000577D0000}"/>
    <cellStyle name="Note 3 2 2 2 2 3" xfId="32041" xr:uid="{00000000-0005-0000-0000-0000587D0000}"/>
    <cellStyle name="Note 3 2 2 2 2 3 2" xfId="32042" xr:uid="{00000000-0005-0000-0000-0000597D0000}"/>
    <cellStyle name="Note 3 2 2 2 2 3 2 2" xfId="32043" xr:uid="{00000000-0005-0000-0000-00005A7D0000}"/>
    <cellStyle name="Note 3 2 2 2 2 3 2 2 2" xfId="32044" xr:uid="{00000000-0005-0000-0000-00005B7D0000}"/>
    <cellStyle name="Note 3 2 2 2 2 3 2 2 2 2" xfId="32045" xr:uid="{00000000-0005-0000-0000-00005C7D0000}"/>
    <cellStyle name="Note 3 2 2 2 2 3 2 2 3" xfId="32046" xr:uid="{00000000-0005-0000-0000-00005D7D0000}"/>
    <cellStyle name="Note 3 2 2 2 2 3 2 3" xfId="32047" xr:uid="{00000000-0005-0000-0000-00005E7D0000}"/>
    <cellStyle name="Note 3 2 2 2 2 3 2 3 2" xfId="32048" xr:uid="{00000000-0005-0000-0000-00005F7D0000}"/>
    <cellStyle name="Note 3 2 2 2 2 3 2 4" xfId="32049" xr:uid="{00000000-0005-0000-0000-0000607D0000}"/>
    <cellStyle name="Note 3 2 2 2 2 3 3" xfId="32050" xr:uid="{00000000-0005-0000-0000-0000617D0000}"/>
    <cellStyle name="Note 3 2 2 2 2 3 3 2" xfId="32051" xr:uid="{00000000-0005-0000-0000-0000627D0000}"/>
    <cellStyle name="Note 3 2 2 2 2 3 3 2 2" xfId="32052" xr:uid="{00000000-0005-0000-0000-0000637D0000}"/>
    <cellStyle name="Note 3 2 2 2 2 3 3 3" xfId="32053" xr:uid="{00000000-0005-0000-0000-0000647D0000}"/>
    <cellStyle name="Note 3 2 2 2 2 3 4" xfId="32054" xr:uid="{00000000-0005-0000-0000-0000657D0000}"/>
    <cellStyle name="Note 3 2 2 2 2 3 4 2" xfId="32055" xr:uid="{00000000-0005-0000-0000-0000667D0000}"/>
    <cellStyle name="Note 3 2 2 2 2 3 5" xfId="32056" xr:uid="{00000000-0005-0000-0000-0000677D0000}"/>
    <cellStyle name="Note 3 2 2 2 2 4" xfId="32057" xr:uid="{00000000-0005-0000-0000-0000687D0000}"/>
    <cellStyle name="Note 3 2 2 2 2 4 2" xfId="32058" xr:uid="{00000000-0005-0000-0000-0000697D0000}"/>
    <cellStyle name="Note 3 2 2 2 2 4 2 2" xfId="32059" xr:uid="{00000000-0005-0000-0000-00006A7D0000}"/>
    <cellStyle name="Note 3 2 2 2 2 4 2 2 2" xfId="32060" xr:uid="{00000000-0005-0000-0000-00006B7D0000}"/>
    <cellStyle name="Note 3 2 2 2 2 4 2 3" xfId="32061" xr:uid="{00000000-0005-0000-0000-00006C7D0000}"/>
    <cellStyle name="Note 3 2 2 2 2 4 3" xfId="32062" xr:uid="{00000000-0005-0000-0000-00006D7D0000}"/>
    <cellStyle name="Note 3 2 2 2 2 4 3 2" xfId="32063" xr:uid="{00000000-0005-0000-0000-00006E7D0000}"/>
    <cellStyle name="Note 3 2 2 2 2 4 4" xfId="32064" xr:uid="{00000000-0005-0000-0000-00006F7D0000}"/>
    <cellStyle name="Note 3 2 2 2 2 5" xfId="32065" xr:uid="{00000000-0005-0000-0000-0000707D0000}"/>
    <cellStyle name="Note 3 2 2 2 2 5 2" xfId="32066" xr:uid="{00000000-0005-0000-0000-0000717D0000}"/>
    <cellStyle name="Note 3 2 2 2 2 5 2 2" xfId="32067" xr:uid="{00000000-0005-0000-0000-0000727D0000}"/>
    <cellStyle name="Note 3 2 2 2 2 5 3" xfId="32068" xr:uid="{00000000-0005-0000-0000-0000737D0000}"/>
    <cellStyle name="Note 3 2 2 2 2 6" xfId="32069" xr:uid="{00000000-0005-0000-0000-0000747D0000}"/>
    <cellStyle name="Note 3 2 2 2 2 6 2" xfId="32070" xr:uid="{00000000-0005-0000-0000-0000757D0000}"/>
    <cellStyle name="Note 3 2 2 2 2 7" xfId="32071" xr:uid="{00000000-0005-0000-0000-0000767D0000}"/>
    <cellStyle name="Note 3 2 2 2 3" xfId="32072" xr:uid="{00000000-0005-0000-0000-0000777D0000}"/>
    <cellStyle name="Note 3 2 2 2 3 2" xfId="32073" xr:uid="{00000000-0005-0000-0000-0000787D0000}"/>
    <cellStyle name="Note 3 2 2 2 3 2 2" xfId="32074" xr:uid="{00000000-0005-0000-0000-0000797D0000}"/>
    <cellStyle name="Note 3 2 2 2 3 2 2 2" xfId="32075" xr:uid="{00000000-0005-0000-0000-00007A7D0000}"/>
    <cellStyle name="Note 3 2 2 2 3 2 2 2 2" xfId="32076" xr:uid="{00000000-0005-0000-0000-00007B7D0000}"/>
    <cellStyle name="Note 3 2 2 2 3 2 2 2 2 2" xfId="32077" xr:uid="{00000000-0005-0000-0000-00007C7D0000}"/>
    <cellStyle name="Note 3 2 2 2 3 2 2 2 3" xfId="32078" xr:uid="{00000000-0005-0000-0000-00007D7D0000}"/>
    <cellStyle name="Note 3 2 2 2 3 2 2 3" xfId="32079" xr:uid="{00000000-0005-0000-0000-00007E7D0000}"/>
    <cellStyle name="Note 3 2 2 2 3 2 2 3 2" xfId="32080" xr:uid="{00000000-0005-0000-0000-00007F7D0000}"/>
    <cellStyle name="Note 3 2 2 2 3 2 2 4" xfId="32081" xr:uid="{00000000-0005-0000-0000-0000807D0000}"/>
    <cellStyle name="Note 3 2 2 2 3 2 3" xfId="32082" xr:uid="{00000000-0005-0000-0000-0000817D0000}"/>
    <cellStyle name="Note 3 2 2 2 3 2 3 2" xfId="32083" xr:uid="{00000000-0005-0000-0000-0000827D0000}"/>
    <cellStyle name="Note 3 2 2 2 3 2 3 2 2" xfId="32084" xr:uid="{00000000-0005-0000-0000-0000837D0000}"/>
    <cellStyle name="Note 3 2 2 2 3 2 3 3" xfId="32085" xr:uid="{00000000-0005-0000-0000-0000847D0000}"/>
    <cellStyle name="Note 3 2 2 2 3 2 4" xfId="32086" xr:uid="{00000000-0005-0000-0000-0000857D0000}"/>
    <cellStyle name="Note 3 2 2 2 3 2 4 2" xfId="32087" xr:uid="{00000000-0005-0000-0000-0000867D0000}"/>
    <cellStyle name="Note 3 2 2 2 3 2 5" xfId="32088" xr:uid="{00000000-0005-0000-0000-0000877D0000}"/>
    <cellStyle name="Note 3 2 2 2 3 3" xfId="32089" xr:uid="{00000000-0005-0000-0000-0000887D0000}"/>
    <cellStyle name="Note 3 2 2 2 3 3 2" xfId="32090" xr:uid="{00000000-0005-0000-0000-0000897D0000}"/>
    <cellStyle name="Note 3 2 2 2 3 3 2 2" xfId="32091" xr:uid="{00000000-0005-0000-0000-00008A7D0000}"/>
    <cellStyle name="Note 3 2 2 2 3 3 2 2 2" xfId="32092" xr:uid="{00000000-0005-0000-0000-00008B7D0000}"/>
    <cellStyle name="Note 3 2 2 2 3 3 2 3" xfId="32093" xr:uid="{00000000-0005-0000-0000-00008C7D0000}"/>
    <cellStyle name="Note 3 2 2 2 3 3 3" xfId="32094" xr:uid="{00000000-0005-0000-0000-00008D7D0000}"/>
    <cellStyle name="Note 3 2 2 2 3 3 3 2" xfId="32095" xr:uid="{00000000-0005-0000-0000-00008E7D0000}"/>
    <cellStyle name="Note 3 2 2 2 3 3 4" xfId="32096" xr:uid="{00000000-0005-0000-0000-00008F7D0000}"/>
    <cellStyle name="Note 3 2 2 2 3 4" xfId="32097" xr:uid="{00000000-0005-0000-0000-0000907D0000}"/>
    <cellStyle name="Note 3 2 2 2 3 4 2" xfId="32098" xr:uid="{00000000-0005-0000-0000-0000917D0000}"/>
    <cellStyle name="Note 3 2 2 2 3 4 2 2" xfId="32099" xr:uid="{00000000-0005-0000-0000-0000927D0000}"/>
    <cellStyle name="Note 3 2 2 2 3 4 3" xfId="32100" xr:uid="{00000000-0005-0000-0000-0000937D0000}"/>
    <cellStyle name="Note 3 2 2 2 3 5" xfId="32101" xr:uid="{00000000-0005-0000-0000-0000947D0000}"/>
    <cellStyle name="Note 3 2 2 2 3 5 2" xfId="32102" xr:uid="{00000000-0005-0000-0000-0000957D0000}"/>
    <cellStyle name="Note 3 2 2 2 3 6" xfId="32103" xr:uid="{00000000-0005-0000-0000-0000967D0000}"/>
    <cellStyle name="Note 3 2 2 2 4" xfId="32104" xr:uid="{00000000-0005-0000-0000-0000977D0000}"/>
    <cellStyle name="Note 3 2 2 2 4 2" xfId="32105" xr:uid="{00000000-0005-0000-0000-0000987D0000}"/>
    <cellStyle name="Note 3 2 2 2 4 2 2" xfId="32106" xr:uid="{00000000-0005-0000-0000-0000997D0000}"/>
    <cellStyle name="Note 3 2 2 2 4 2 2 2" xfId="32107" xr:uid="{00000000-0005-0000-0000-00009A7D0000}"/>
    <cellStyle name="Note 3 2 2 2 4 2 2 2 2" xfId="32108" xr:uid="{00000000-0005-0000-0000-00009B7D0000}"/>
    <cellStyle name="Note 3 2 2 2 4 2 2 3" xfId="32109" xr:uid="{00000000-0005-0000-0000-00009C7D0000}"/>
    <cellStyle name="Note 3 2 2 2 4 2 3" xfId="32110" xr:uid="{00000000-0005-0000-0000-00009D7D0000}"/>
    <cellStyle name="Note 3 2 2 2 4 2 3 2" xfId="32111" xr:uid="{00000000-0005-0000-0000-00009E7D0000}"/>
    <cellStyle name="Note 3 2 2 2 4 2 4" xfId="32112" xr:uid="{00000000-0005-0000-0000-00009F7D0000}"/>
    <cellStyle name="Note 3 2 2 2 4 3" xfId="32113" xr:uid="{00000000-0005-0000-0000-0000A07D0000}"/>
    <cellStyle name="Note 3 2 2 2 4 3 2" xfId="32114" xr:uid="{00000000-0005-0000-0000-0000A17D0000}"/>
    <cellStyle name="Note 3 2 2 2 4 3 2 2" xfId="32115" xr:uid="{00000000-0005-0000-0000-0000A27D0000}"/>
    <cellStyle name="Note 3 2 2 2 4 3 3" xfId="32116" xr:uid="{00000000-0005-0000-0000-0000A37D0000}"/>
    <cellStyle name="Note 3 2 2 2 4 4" xfId="32117" xr:uid="{00000000-0005-0000-0000-0000A47D0000}"/>
    <cellStyle name="Note 3 2 2 2 4 4 2" xfId="32118" xr:uid="{00000000-0005-0000-0000-0000A57D0000}"/>
    <cellStyle name="Note 3 2 2 2 4 5" xfId="32119" xr:uid="{00000000-0005-0000-0000-0000A67D0000}"/>
    <cellStyle name="Note 3 2 2 2 5" xfId="32120" xr:uid="{00000000-0005-0000-0000-0000A77D0000}"/>
    <cellStyle name="Note 3 2 2 2 5 2" xfId="32121" xr:uid="{00000000-0005-0000-0000-0000A87D0000}"/>
    <cellStyle name="Note 3 2 2 2 5 2 2" xfId="32122" xr:uid="{00000000-0005-0000-0000-0000A97D0000}"/>
    <cellStyle name="Note 3 2 2 2 5 2 2 2" xfId="32123" xr:uid="{00000000-0005-0000-0000-0000AA7D0000}"/>
    <cellStyle name="Note 3 2 2 2 5 2 3" xfId="32124" xr:uid="{00000000-0005-0000-0000-0000AB7D0000}"/>
    <cellStyle name="Note 3 2 2 2 5 3" xfId="32125" xr:uid="{00000000-0005-0000-0000-0000AC7D0000}"/>
    <cellStyle name="Note 3 2 2 2 5 3 2" xfId="32126" xr:uid="{00000000-0005-0000-0000-0000AD7D0000}"/>
    <cellStyle name="Note 3 2 2 2 5 4" xfId="32127" xr:uid="{00000000-0005-0000-0000-0000AE7D0000}"/>
    <cellStyle name="Note 3 2 2 2 6" xfId="32128" xr:uid="{00000000-0005-0000-0000-0000AF7D0000}"/>
    <cellStyle name="Note 3 2 2 2 6 2" xfId="32129" xr:uid="{00000000-0005-0000-0000-0000B07D0000}"/>
    <cellStyle name="Note 3 2 2 2 6 2 2" xfId="32130" xr:uid="{00000000-0005-0000-0000-0000B17D0000}"/>
    <cellStyle name="Note 3 2 2 2 6 3" xfId="32131" xr:uid="{00000000-0005-0000-0000-0000B27D0000}"/>
    <cellStyle name="Note 3 2 2 2 7" xfId="32132" xr:uid="{00000000-0005-0000-0000-0000B37D0000}"/>
    <cellStyle name="Note 3 2 2 2 7 2" xfId="32133" xr:uid="{00000000-0005-0000-0000-0000B47D0000}"/>
    <cellStyle name="Note 3 2 2 2 8" xfId="32134" xr:uid="{00000000-0005-0000-0000-0000B57D0000}"/>
    <cellStyle name="Note 3 2 2 3" xfId="32135" xr:uid="{00000000-0005-0000-0000-0000B67D0000}"/>
    <cellStyle name="Note 3 2 2 3 2" xfId="32136" xr:uid="{00000000-0005-0000-0000-0000B77D0000}"/>
    <cellStyle name="Note 3 2 2 3 2 2" xfId="32137" xr:uid="{00000000-0005-0000-0000-0000B87D0000}"/>
    <cellStyle name="Note 3 2 2 3 2 2 2" xfId="32138" xr:uid="{00000000-0005-0000-0000-0000B97D0000}"/>
    <cellStyle name="Note 3 2 2 3 2 2 2 2" xfId="32139" xr:uid="{00000000-0005-0000-0000-0000BA7D0000}"/>
    <cellStyle name="Note 3 2 2 3 2 2 2 2 2" xfId="32140" xr:uid="{00000000-0005-0000-0000-0000BB7D0000}"/>
    <cellStyle name="Note 3 2 2 3 2 2 2 2 2 2" xfId="32141" xr:uid="{00000000-0005-0000-0000-0000BC7D0000}"/>
    <cellStyle name="Note 3 2 2 3 2 2 2 2 3" xfId="32142" xr:uid="{00000000-0005-0000-0000-0000BD7D0000}"/>
    <cellStyle name="Note 3 2 2 3 2 2 2 3" xfId="32143" xr:uid="{00000000-0005-0000-0000-0000BE7D0000}"/>
    <cellStyle name="Note 3 2 2 3 2 2 2 3 2" xfId="32144" xr:uid="{00000000-0005-0000-0000-0000BF7D0000}"/>
    <cellStyle name="Note 3 2 2 3 2 2 2 4" xfId="32145" xr:uid="{00000000-0005-0000-0000-0000C07D0000}"/>
    <cellStyle name="Note 3 2 2 3 2 2 3" xfId="32146" xr:uid="{00000000-0005-0000-0000-0000C17D0000}"/>
    <cellStyle name="Note 3 2 2 3 2 2 3 2" xfId="32147" xr:uid="{00000000-0005-0000-0000-0000C27D0000}"/>
    <cellStyle name="Note 3 2 2 3 2 2 3 2 2" xfId="32148" xr:uid="{00000000-0005-0000-0000-0000C37D0000}"/>
    <cellStyle name="Note 3 2 2 3 2 2 3 3" xfId="32149" xr:uid="{00000000-0005-0000-0000-0000C47D0000}"/>
    <cellStyle name="Note 3 2 2 3 2 2 4" xfId="32150" xr:uid="{00000000-0005-0000-0000-0000C57D0000}"/>
    <cellStyle name="Note 3 2 2 3 2 2 4 2" xfId="32151" xr:uid="{00000000-0005-0000-0000-0000C67D0000}"/>
    <cellStyle name="Note 3 2 2 3 2 2 5" xfId="32152" xr:uid="{00000000-0005-0000-0000-0000C77D0000}"/>
    <cellStyle name="Note 3 2 2 3 2 3" xfId="32153" xr:uid="{00000000-0005-0000-0000-0000C87D0000}"/>
    <cellStyle name="Note 3 2 2 3 2 3 2" xfId="32154" xr:uid="{00000000-0005-0000-0000-0000C97D0000}"/>
    <cellStyle name="Note 3 2 2 3 2 3 2 2" xfId="32155" xr:uid="{00000000-0005-0000-0000-0000CA7D0000}"/>
    <cellStyle name="Note 3 2 2 3 2 3 2 2 2" xfId="32156" xr:uid="{00000000-0005-0000-0000-0000CB7D0000}"/>
    <cellStyle name="Note 3 2 2 3 2 3 2 3" xfId="32157" xr:uid="{00000000-0005-0000-0000-0000CC7D0000}"/>
    <cellStyle name="Note 3 2 2 3 2 3 3" xfId="32158" xr:uid="{00000000-0005-0000-0000-0000CD7D0000}"/>
    <cellStyle name="Note 3 2 2 3 2 3 3 2" xfId="32159" xr:uid="{00000000-0005-0000-0000-0000CE7D0000}"/>
    <cellStyle name="Note 3 2 2 3 2 3 4" xfId="32160" xr:uid="{00000000-0005-0000-0000-0000CF7D0000}"/>
    <cellStyle name="Note 3 2 2 3 2 4" xfId="32161" xr:uid="{00000000-0005-0000-0000-0000D07D0000}"/>
    <cellStyle name="Note 3 2 2 3 2 4 2" xfId="32162" xr:uid="{00000000-0005-0000-0000-0000D17D0000}"/>
    <cellStyle name="Note 3 2 2 3 2 4 2 2" xfId="32163" xr:uid="{00000000-0005-0000-0000-0000D27D0000}"/>
    <cellStyle name="Note 3 2 2 3 2 4 3" xfId="32164" xr:uid="{00000000-0005-0000-0000-0000D37D0000}"/>
    <cellStyle name="Note 3 2 2 3 2 5" xfId="32165" xr:uid="{00000000-0005-0000-0000-0000D47D0000}"/>
    <cellStyle name="Note 3 2 2 3 2 5 2" xfId="32166" xr:uid="{00000000-0005-0000-0000-0000D57D0000}"/>
    <cellStyle name="Note 3 2 2 3 2 6" xfId="32167" xr:uid="{00000000-0005-0000-0000-0000D67D0000}"/>
    <cellStyle name="Note 3 2 2 3 3" xfId="32168" xr:uid="{00000000-0005-0000-0000-0000D77D0000}"/>
    <cellStyle name="Note 3 2 2 3 3 2" xfId="32169" xr:uid="{00000000-0005-0000-0000-0000D87D0000}"/>
    <cellStyle name="Note 3 2 2 3 3 2 2" xfId="32170" xr:uid="{00000000-0005-0000-0000-0000D97D0000}"/>
    <cellStyle name="Note 3 2 2 3 3 2 2 2" xfId="32171" xr:uid="{00000000-0005-0000-0000-0000DA7D0000}"/>
    <cellStyle name="Note 3 2 2 3 3 2 2 2 2" xfId="32172" xr:uid="{00000000-0005-0000-0000-0000DB7D0000}"/>
    <cellStyle name="Note 3 2 2 3 3 2 2 3" xfId="32173" xr:uid="{00000000-0005-0000-0000-0000DC7D0000}"/>
    <cellStyle name="Note 3 2 2 3 3 2 3" xfId="32174" xr:uid="{00000000-0005-0000-0000-0000DD7D0000}"/>
    <cellStyle name="Note 3 2 2 3 3 2 3 2" xfId="32175" xr:uid="{00000000-0005-0000-0000-0000DE7D0000}"/>
    <cellStyle name="Note 3 2 2 3 3 2 4" xfId="32176" xr:uid="{00000000-0005-0000-0000-0000DF7D0000}"/>
    <cellStyle name="Note 3 2 2 3 3 3" xfId="32177" xr:uid="{00000000-0005-0000-0000-0000E07D0000}"/>
    <cellStyle name="Note 3 2 2 3 3 3 2" xfId="32178" xr:uid="{00000000-0005-0000-0000-0000E17D0000}"/>
    <cellStyle name="Note 3 2 2 3 3 3 2 2" xfId="32179" xr:uid="{00000000-0005-0000-0000-0000E27D0000}"/>
    <cellStyle name="Note 3 2 2 3 3 3 3" xfId="32180" xr:uid="{00000000-0005-0000-0000-0000E37D0000}"/>
    <cellStyle name="Note 3 2 2 3 3 4" xfId="32181" xr:uid="{00000000-0005-0000-0000-0000E47D0000}"/>
    <cellStyle name="Note 3 2 2 3 3 4 2" xfId="32182" xr:uid="{00000000-0005-0000-0000-0000E57D0000}"/>
    <cellStyle name="Note 3 2 2 3 3 5" xfId="32183" xr:uid="{00000000-0005-0000-0000-0000E67D0000}"/>
    <cellStyle name="Note 3 2 2 3 4" xfId="32184" xr:uid="{00000000-0005-0000-0000-0000E77D0000}"/>
    <cellStyle name="Note 3 2 2 3 4 2" xfId="32185" xr:uid="{00000000-0005-0000-0000-0000E87D0000}"/>
    <cellStyle name="Note 3 2 2 3 4 2 2" xfId="32186" xr:uid="{00000000-0005-0000-0000-0000E97D0000}"/>
    <cellStyle name="Note 3 2 2 3 4 2 2 2" xfId="32187" xr:uid="{00000000-0005-0000-0000-0000EA7D0000}"/>
    <cellStyle name="Note 3 2 2 3 4 2 3" xfId="32188" xr:uid="{00000000-0005-0000-0000-0000EB7D0000}"/>
    <cellStyle name="Note 3 2 2 3 4 3" xfId="32189" xr:uid="{00000000-0005-0000-0000-0000EC7D0000}"/>
    <cellStyle name="Note 3 2 2 3 4 3 2" xfId="32190" xr:uid="{00000000-0005-0000-0000-0000ED7D0000}"/>
    <cellStyle name="Note 3 2 2 3 4 4" xfId="32191" xr:uid="{00000000-0005-0000-0000-0000EE7D0000}"/>
    <cellStyle name="Note 3 2 2 3 5" xfId="32192" xr:uid="{00000000-0005-0000-0000-0000EF7D0000}"/>
    <cellStyle name="Note 3 2 2 3 5 2" xfId="32193" xr:uid="{00000000-0005-0000-0000-0000F07D0000}"/>
    <cellStyle name="Note 3 2 2 3 5 2 2" xfId="32194" xr:uid="{00000000-0005-0000-0000-0000F17D0000}"/>
    <cellStyle name="Note 3 2 2 3 5 3" xfId="32195" xr:uid="{00000000-0005-0000-0000-0000F27D0000}"/>
    <cellStyle name="Note 3 2 2 3 6" xfId="32196" xr:uid="{00000000-0005-0000-0000-0000F37D0000}"/>
    <cellStyle name="Note 3 2 2 3 6 2" xfId="32197" xr:uid="{00000000-0005-0000-0000-0000F47D0000}"/>
    <cellStyle name="Note 3 2 2 3 7" xfId="32198" xr:uid="{00000000-0005-0000-0000-0000F57D0000}"/>
    <cellStyle name="Note 3 2 2 4" xfId="32199" xr:uid="{00000000-0005-0000-0000-0000F67D0000}"/>
    <cellStyle name="Note 3 2 2 4 2" xfId="32200" xr:uid="{00000000-0005-0000-0000-0000F77D0000}"/>
    <cellStyle name="Note 3 2 2 4 2 2" xfId="32201" xr:uid="{00000000-0005-0000-0000-0000F87D0000}"/>
    <cellStyle name="Note 3 2 2 4 2 2 2" xfId="32202" xr:uid="{00000000-0005-0000-0000-0000F97D0000}"/>
    <cellStyle name="Note 3 2 2 4 2 2 2 2" xfId="32203" xr:uid="{00000000-0005-0000-0000-0000FA7D0000}"/>
    <cellStyle name="Note 3 2 2 4 2 2 2 2 2" xfId="32204" xr:uid="{00000000-0005-0000-0000-0000FB7D0000}"/>
    <cellStyle name="Note 3 2 2 4 2 2 2 3" xfId="32205" xr:uid="{00000000-0005-0000-0000-0000FC7D0000}"/>
    <cellStyle name="Note 3 2 2 4 2 2 3" xfId="32206" xr:uid="{00000000-0005-0000-0000-0000FD7D0000}"/>
    <cellStyle name="Note 3 2 2 4 2 2 3 2" xfId="32207" xr:uid="{00000000-0005-0000-0000-0000FE7D0000}"/>
    <cellStyle name="Note 3 2 2 4 2 2 4" xfId="32208" xr:uid="{00000000-0005-0000-0000-0000FF7D0000}"/>
    <cellStyle name="Note 3 2 2 4 2 3" xfId="32209" xr:uid="{00000000-0005-0000-0000-0000007E0000}"/>
    <cellStyle name="Note 3 2 2 4 2 3 2" xfId="32210" xr:uid="{00000000-0005-0000-0000-0000017E0000}"/>
    <cellStyle name="Note 3 2 2 4 2 3 2 2" xfId="32211" xr:uid="{00000000-0005-0000-0000-0000027E0000}"/>
    <cellStyle name="Note 3 2 2 4 2 3 3" xfId="32212" xr:uid="{00000000-0005-0000-0000-0000037E0000}"/>
    <cellStyle name="Note 3 2 2 4 2 4" xfId="32213" xr:uid="{00000000-0005-0000-0000-0000047E0000}"/>
    <cellStyle name="Note 3 2 2 4 2 4 2" xfId="32214" xr:uid="{00000000-0005-0000-0000-0000057E0000}"/>
    <cellStyle name="Note 3 2 2 4 2 5" xfId="32215" xr:uid="{00000000-0005-0000-0000-0000067E0000}"/>
    <cellStyle name="Note 3 2 2 4 3" xfId="32216" xr:uid="{00000000-0005-0000-0000-0000077E0000}"/>
    <cellStyle name="Note 3 2 2 4 3 2" xfId="32217" xr:uid="{00000000-0005-0000-0000-0000087E0000}"/>
    <cellStyle name="Note 3 2 2 4 3 2 2" xfId="32218" xr:uid="{00000000-0005-0000-0000-0000097E0000}"/>
    <cellStyle name="Note 3 2 2 4 3 2 2 2" xfId="32219" xr:uid="{00000000-0005-0000-0000-00000A7E0000}"/>
    <cellStyle name="Note 3 2 2 4 3 2 3" xfId="32220" xr:uid="{00000000-0005-0000-0000-00000B7E0000}"/>
    <cellStyle name="Note 3 2 2 4 3 3" xfId="32221" xr:uid="{00000000-0005-0000-0000-00000C7E0000}"/>
    <cellStyle name="Note 3 2 2 4 3 3 2" xfId="32222" xr:uid="{00000000-0005-0000-0000-00000D7E0000}"/>
    <cellStyle name="Note 3 2 2 4 3 4" xfId="32223" xr:uid="{00000000-0005-0000-0000-00000E7E0000}"/>
    <cellStyle name="Note 3 2 2 4 4" xfId="32224" xr:uid="{00000000-0005-0000-0000-00000F7E0000}"/>
    <cellStyle name="Note 3 2 2 4 4 2" xfId="32225" xr:uid="{00000000-0005-0000-0000-0000107E0000}"/>
    <cellStyle name="Note 3 2 2 4 4 2 2" xfId="32226" xr:uid="{00000000-0005-0000-0000-0000117E0000}"/>
    <cellStyle name="Note 3 2 2 4 4 3" xfId="32227" xr:uid="{00000000-0005-0000-0000-0000127E0000}"/>
    <cellStyle name="Note 3 2 2 4 5" xfId="32228" xr:uid="{00000000-0005-0000-0000-0000137E0000}"/>
    <cellStyle name="Note 3 2 2 4 5 2" xfId="32229" xr:uid="{00000000-0005-0000-0000-0000147E0000}"/>
    <cellStyle name="Note 3 2 2 4 6" xfId="32230" xr:uid="{00000000-0005-0000-0000-0000157E0000}"/>
    <cellStyle name="Note 3 2 2 5" xfId="32231" xr:uid="{00000000-0005-0000-0000-0000167E0000}"/>
    <cellStyle name="Note 3 2 2 5 2" xfId="32232" xr:uid="{00000000-0005-0000-0000-0000177E0000}"/>
    <cellStyle name="Note 3 2 2 5 2 2" xfId="32233" xr:uid="{00000000-0005-0000-0000-0000187E0000}"/>
    <cellStyle name="Note 3 2 2 5 2 2 2" xfId="32234" xr:uid="{00000000-0005-0000-0000-0000197E0000}"/>
    <cellStyle name="Note 3 2 2 5 2 2 2 2" xfId="32235" xr:uid="{00000000-0005-0000-0000-00001A7E0000}"/>
    <cellStyle name="Note 3 2 2 5 2 2 3" xfId="32236" xr:uid="{00000000-0005-0000-0000-00001B7E0000}"/>
    <cellStyle name="Note 3 2 2 5 2 3" xfId="32237" xr:uid="{00000000-0005-0000-0000-00001C7E0000}"/>
    <cellStyle name="Note 3 2 2 5 2 3 2" xfId="32238" xr:uid="{00000000-0005-0000-0000-00001D7E0000}"/>
    <cellStyle name="Note 3 2 2 5 2 4" xfId="32239" xr:uid="{00000000-0005-0000-0000-00001E7E0000}"/>
    <cellStyle name="Note 3 2 2 5 3" xfId="32240" xr:uid="{00000000-0005-0000-0000-00001F7E0000}"/>
    <cellStyle name="Note 3 2 2 5 3 2" xfId="32241" xr:uid="{00000000-0005-0000-0000-0000207E0000}"/>
    <cellStyle name="Note 3 2 2 5 3 2 2" xfId="32242" xr:uid="{00000000-0005-0000-0000-0000217E0000}"/>
    <cellStyle name="Note 3 2 2 5 3 3" xfId="32243" xr:uid="{00000000-0005-0000-0000-0000227E0000}"/>
    <cellStyle name="Note 3 2 2 5 4" xfId="32244" xr:uid="{00000000-0005-0000-0000-0000237E0000}"/>
    <cellStyle name="Note 3 2 2 5 4 2" xfId="32245" xr:uid="{00000000-0005-0000-0000-0000247E0000}"/>
    <cellStyle name="Note 3 2 2 5 5" xfId="32246" xr:uid="{00000000-0005-0000-0000-0000257E0000}"/>
    <cellStyle name="Note 3 2 2 6" xfId="32247" xr:uid="{00000000-0005-0000-0000-0000267E0000}"/>
    <cellStyle name="Note 3 2 2 6 2" xfId="32248" xr:uid="{00000000-0005-0000-0000-0000277E0000}"/>
    <cellStyle name="Note 3 2 2 6 2 2" xfId="32249" xr:uid="{00000000-0005-0000-0000-0000287E0000}"/>
    <cellStyle name="Note 3 2 2 6 2 2 2" xfId="32250" xr:uid="{00000000-0005-0000-0000-0000297E0000}"/>
    <cellStyle name="Note 3 2 2 6 2 3" xfId="32251" xr:uid="{00000000-0005-0000-0000-00002A7E0000}"/>
    <cellStyle name="Note 3 2 2 6 3" xfId="32252" xr:uid="{00000000-0005-0000-0000-00002B7E0000}"/>
    <cellStyle name="Note 3 2 2 6 3 2" xfId="32253" xr:uid="{00000000-0005-0000-0000-00002C7E0000}"/>
    <cellStyle name="Note 3 2 2 6 4" xfId="32254" xr:uid="{00000000-0005-0000-0000-00002D7E0000}"/>
    <cellStyle name="Note 3 2 2 7" xfId="32255" xr:uid="{00000000-0005-0000-0000-00002E7E0000}"/>
    <cellStyle name="Note 3 2 2 7 2" xfId="32256" xr:uid="{00000000-0005-0000-0000-00002F7E0000}"/>
    <cellStyle name="Note 3 2 2 7 2 2" xfId="32257" xr:uid="{00000000-0005-0000-0000-0000307E0000}"/>
    <cellStyle name="Note 3 2 2 7 3" xfId="32258" xr:uid="{00000000-0005-0000-0000-0000317E0000}"/>
    <cellStyle name="Note 3 2 2 8" xfId="32259" xr:uid="{00000000-0005-0000-0000-0000327E0000}"/>
    <cellStyle name="Note 3 2 2 8 2" xfId="32260" xr:uid="{00000000-0005-0000-0000-0000337E0000}"/>
    <cellStyle name="Note 3 2 2 9" xfId="32261" xr:uid="{00000000-0005-0000-0000-0000347E0000}"/>
    <cellStyle name="Note 3 2 3" xfId="32262" xr:uid="{00000000-0005-0000-0000-0000357E0000}"/>
    <cellStyle name="Note 3 2 3 2" xfId="32263" xr:uid="{00000000-0005-0000-0000-0000367E0000}"/>
    <cellStyle name="Note 3 2 3 2 2" xfId="32264" xr:uid="{00000000-0005-0000-0000-0000377E0000}"/>
    <cellStyle name="Note 3 2 3 2 2 2" xfId="32265" xr:uid="{00000000-0005-0000-0000-0000387E0000}"/>
    <cellStyle name="Note 3 2 3 2 2 2 2" xfId="32266" xr:uid="{00000000-0005-0000-0000-0000397E0000}"/>
    <cellStyle name="Note 3 2 3 2 2 2 2 2" xfId="32267" xr:uid="{00000000-0005-0000-0000-00003A7E0000}"/>
    <cellStyle name="Note 3 2 3 2 2 2 2 2 2" xfId="32268" xr:uid="{00000000-0005-0000-0000-00003B7E0000}"/>
    <cellStyle name="Note 3 2 3 2 2 2 2 2 2 2" xfId="32269" xr:uid="{00000000-0005-0000-0000-00003C7E0000}"/>
    <cellStyle name="Note 3 2 3 2 2 2 2 2 3" xfId="32270" xr:uid="{00000000-0005-0000-0000-00003D7E0000}"/>
    <cellStyle name="Note 3 2 3 2 2 2 2 3" xfId="32271" xr:uid="{00000000-0005-0000-0000-00003E7E0000}"/>
    <cellStyle name="Note 3 2 3 2 2 2 2 3 2" xfId="32272" xr:uid="{00000000-0005-0000-0000-00003F7E0000}"/>
    <cellStyle name="Note 3 2 3 2 2 2 2 4" xfId="32273" xr:uid="{00000000-0005-0000-0000-0000407E0000}"/>
    <cellStyle name="Note 3 2 3 2 2 2 3" xfId="32274" xr:uid="{00000000-0005-0000-0000-0000417E0000}"/>
    <cellStyle name="Note 3 2 3 2 2 2 3 2" xfId="32275" xr:uid="{00000000-0005-0000-0000-0000427E0000}"/>
    <cellStyle name="Note 3 2 3 2 2 2 3 2 2" xfId="32276" xr:uid="{00000000-0005-0000-0000-0000437E0000}"/>
    <cellStyle name="Note 3 2 3 2 2 2 3 3" xfId="32277" xr:uid="{00000000-0005-0000-0000-0000447E0000}"/>
    <cellStyle name="Note 3 2 3 2 2 2 4" xfId="32278" xr:uid="{00000000-0005-0000-0000-0000457E0000}"/>
    <cellStyle name="Note 3 2 3 2 2 2 4 2" xfId="32279" xr:uid="{00000000-0005-0000-0000-0000467E0000}"/>
    <cellStyle name="Note 3 2 3 2 2 2 5" xfId="32280" xr:uid="{00000000-0005-0000-0000-0000477E0000}"/>
    <cellStyle name="Note 3 2 3 2 2 3" xfId="32281" xr:uid="{00000000-0005-0000-0000-0000487E0000}"/>
    <cellStyle name="Note 3 2 3 2 2 3 2" xfId="32282" xr:uid="{00000000-0005-0000-0000-0000497E0000}"/>
    <cellStyle name="Note 3 2 3 2 2 3 2 2" xfId="32283" xr:uid="{00000000-0005-0000-0000-00004A7E0000}"/>
    <cellStyle name="Note 3 2 3 2 2 3 2 2 2" xfId="32284" xr:uid="{00000000-0005-0000-0000-00004B7E0000}"/>
    <cellStyle name="Note 3 2 3 2 2 3 2 3" xfId="32285" xr:uid="{00000000-0005-0000-0000-00004C7E0000}"/>
    <cellStyle name="Note 3 2 3 2 2 3 3" xfId="32286" xr:uid="{00000000-0005-0000-0000-00004D7E0000}"/>
    <cellStyle name="Note 3 2 3 2 2 3 3 2" xfId="32287" xr:uid="{00000000-0005-0000-0000-00004E7E0000}"/>
    <cellStyle name="Note 3 2 3 2 2 3 4" xfId="32288" xr:uid="{00000000-0005-0000-0000-00004F7E0000}"/>
    <cellStyle name="Note 3 2 3 2 2 4" xfId="32289" xr:uid="{00000000-0005-0000-0000-0000507E0000}"/>
    <cellStyle name="Note 3 2 3 2 2 4 2" xfId="32290" xr:uid="{00000000-0005-0000-0000-0000517E0000}"/>
    <cellStyle name="Note 3 2 3 2 2 4 2 2" xfId="32291" xr:uid="{00000000-0005-0000-0000-0000527E0000}"/>
    <cellStyle name="Note 3 2 3 2 2 4 3" xfId="32292" xr:uid="{00000000-0005-0000-0000-0000537E0000}"/>
    <cellStyle name="Note 3 2 3 2 2 5" xfId="32293" xr:uid="{00000000-0005-0000-0000-0000547E0000}"/>
    <cellStyle name="Note 3 2 3 2 2 5 2" xfId="32294" xr:uid="{00000000-0005-0000-0000-0000557E0000}"/>
    <cellStyle name="Note 3 2 3 2 2 6" xfId="32295" xr:uid="{00000000-0005-0000-0000-0000567E0000}"/>
    <cellStyle name="Note 3 2 3 2 3" xfId="32296" xr:uid="{00000000-0005-0000-0000-0000577E0000}"/>
    <cellStyle name="Note 3 2 3 2 3 2" xfId="32297" xr:uid="{00000000-0005-0000-0000-0000587E0000}"/>
    <cellStyle name="Note 3 2 3 2 3 2 2" xfId="32298" xr:uid="{00000000-0005-0000-0000-0000597E0000}"/>
    <cellStyle name="Note 3 2 3 2 3 2 2 2" xfId="32299" xr:uid="{00000000-0005-0000-0000-00005A7E0000}"/>
    <cellStyle name="Note 3 2 3 2 3 2 2 2 2" xfId="32300" xr:uid="{00000000-0005-0000-0000-00005B7E0000}"/>
    <cellStyle name="Note 3 2 3 2 3 2 2 3" xfId="32301" xr:uid="{00000000-0005-0000-0000-00005C7E0000}"/>
    <cellStyle name="Note 3 2 3 2 3 2 3" xfId="32302" xr:uid="{00000000-0005-0000-0000-00005D7E0000}"/>
    <cellStyle name="Note 3 2 3 2 3 2 3 2" xfId="32303" xr:uid="{00000000-0005-0000-0000-00005E7E0000}"/>
    <cellStyle name="Note 3 2 3 2 3 2 4" xfId="32304" xr:uid="{00000000-0005-0000-0000-00005F7E0000}"/>
    <cellStyle name="Note 3 2 3 2 3 3" xfId="32305" xr:uid="{00000000-0005-0000-0000-0000607E0000}"/>
    <cellStyle name="Note 3 2 3 2 3 3 2" xfId="32306" xr:uid="{00000000-0005-0000-0000-0000617E0000}"/>
    <cellStyle name="Note 3 2 3 2 3 3 2 2" xfId="32307" xr:uid="{00000000-0005-0000-0000-0000627E0000}"/>
    <cellStyle name="Note 3 2 3 2 3 3 3" xfId="32308" xr:uid="{00000000-0005-0000-0000-0000637E0000}"/>
    <cellStyle name="Note 3 2 3 2 3 4" xfId="32309" xr:uid="{00000000-0005-0000-0000-0000647E0000}"/>
    <cellStyle name="Note 3 2 3 2 3 4 2" xfId="32310" xr:uid="{00000000-0005-0000-0000-0000657E0000}"/>
    <cellStyle name="Note 3 2 3 2 3 5" xfId="32311" xr:uid="{00000000-0005-0000-0000-0000667E0000}"/>
    <cellStyle name="Note 3 2 3 2 4" xfId="32312" xr:uid="{00000000-0005-0000-0000-0000677E0000}"/>
    <cellStyle name="Note 3 2 3 2 4 2" xfId="32313" xr:uid="{00000000-0005-0000-0000-0000687E0000}"/>
    <cellStyle name="Note 3 2 3 2 4 2 2" xfId="32314" xr:uid="{00000000-0005-0000-0000-0000697E0000}"/>
    <cellStyle name="Note 3 2 3 2 4 2 2 2" xfId="32315" xr:uid="{00000000-0005-0000-0000-00006A7E0000}"/>
    <cellStyle name="Note 3 2 3 2 4 2 3" xfId="32316" xr:uid="{00000000-0005-0000-0000-00006B7E0000}"/>
    <cellStyle name="Note 3 2 3 2 4 3" xfId="32317" xr:uid="{00000000-0005-0000-0000-00006C7E0000}"/>
    <cellStyle name="Note 3 2 3 2 4 3 2" xfId="32318" xr:uid="{00000000-0005-0000-0000-00006D7E0000}"/>
    <cellStyle name="Note 3 2 3 2 4 4" xfId="32319" xr:uid="{00000000-0005-0000-0000-00006E7E0000}"/>
    <cellStyle name="Note 3 2 3 2 5" xfId="32320" xr:uid="{00000000-0005-0000-0000-00006F7E0000}"/>
    <cellStyle name="Note 3 2 3 2 5 2" xfId="32321" xr:uid="{00000000-0005-0000-0000-0000707E0000}"/>
    <cellStyle name="Note 3 2 3 2 5 2 2" xfId="32322" xr:uid="{00000000-0005-0000-0000-0000717E0000}"/>
    <cellStyle name="Note 3 2 3 2 5 3" xfId="32323" xr:uid="{00000000-0005-0000-0000-0000727E0000}"/>
    <cellStyle name="Note 3 2 3 2 6" xfId="32324" xr:uid="{00000000-0005-0000-0000-0000737E0000}"/>
    <cellStyle name="Note 3 2 3 2 6 2" xfId="32325" xr:uid="{00000000-0005-0000-0000-0000747E0000}"/>
    <cellStyle name="Note 3 2 3 2 7" xfId="32326" xr:uid="{00000000-0005-0000-0000-0000757E0000}"/>
    <cellStyle name="Note 3 2 3 3" xfId="32327" xr:uid="{00000000-0005-0000-0000-0000767E0000}"/>
    <cellStyle name="Note 3 2 3 3 2" xfId="32328" xr:uid="{00000000-0005-0000-0000-0000777E0000}"/>
    <cellStyle name="Note 3 2 3 3 2 2" xfId="32329" xr:uid="{00000000-0005-0000-0000-0000787E0000}"/>
    <cellStyle name="Note 3 2 3 3 2 2 2" xfId="32330" xr:uid="{00000000-0005-0000-0000-0000797E0000}"/>
    <cellStyle name="Note 3 2 3 3 2 2 2 2" xfId="32331" xr:uid="{00000000-0005-0000-0000-00007A7E0000}"/>
    <cellStyle name="Note 3 2 3 3 2 2 2 2 2" xfId="32332" xr:uid="{00000000-0005-0000-0000-00007B7E0000}"/>
    <cellStyle name="Note 3 2 3 3 2 2 2 3" xfId="32333" xr:uid="{00000000-0005-0000-0000-00007C7E0000}"/>
    <cellStyle name="Note 3 2 3 3 2 2 3" xfId="32334" xr:uid="{00000000-0005-0000-0000-00007D7E0000}"/>
    <cellStyle name="Note 3 2 3 3 2 2 3 2" xfId="32335" xr:uid="{00000000-0005-0000-0000-00007E7E0000}"/>
    <cellStyle name="Note 3 2 3 3 2 2 4" xfId="32336" xr:uid="{00000000-0005-0000-0000-00007F7E0000}"/>
    <cellStyle name="Note 3 2 3 3 2 3" xfId="32337" xr:uid="{00000000-0005-0000-0000-0000807E0000}"/>
    <cellStyle name="Note 3 2 3 3 2 3 2" xfId="32338" xr:uid="{00000000-0005-0000-0000-0000817E0000}"/>
    <cellStyle name="Note 3 2 3 3 2 3 2 2" xfId="32339" xr:uid="{00000000-0005-0000-0000-0000827E0000}"/>
    <cellStyle name="Note 3 2 3 3 2 3 3" xfId="32340" xr:uid="{00000000-0005-0000-0000-0000837E0000}"/>
    <cellStyle name="Note 3 2 3 3 2 4" xfId="32341" xr:uid="{00000000-0005-0000-0000-0000847E0000}"/>
    <cellStyle name="Note 3 2 3 3 2 4 2" xfId="32342" xr:uid="{00000000-0005-0000-0000-0000857E0000}"/>
    <cellStyle name="Note 3 2 3 3 2 5" xfId="32343" xr:uid="{00000000-0005-0000-0000-0000867E0000}"/>
    <cellStyle name="Note 3 2 3 3 3" xfId="32344" xr:uid="{00000000-0005-0000-0000-0000877E0000}"/>
    <cellStyle name="Note 3 2 3 3 3 2" xfId="32345" xr:uid="{00000000-0005-0000-0000-0000887E0000}"/>
    <cellStyle name="Note 3 2 3 3 3 2 2" xfId="32346" xr:uid="{00000000-0005-0000-0000-0000897E0000}"/>
    <cellStyle name="Note 3 2 3 3 3 2 2 2" xfId="32347" xr:uid="{00000000-0005-0000-0000-00008A7E0000}"/>
    <cellStyle name="Note 3 2 3 3 3 2 3" xfId="32348" xr:uid="{00000000-0005-0000-0000-00008B7E0000}"/>
    <cellStyle name="Note 3 2 3 3 3 3" xfId="32349" xr:uid="{00000000-0005-0000-0000-00008C7E0000}"/>
    <cellStyle name="Note 3 2 3 3 3 3 2" xfId="32350" xr:uid="{00000000-0005-0000-0000-00008D7E0000}"/>
    <cellStyle name="Note 3 2 3 3 3 4" xfId="32351" xr:uid="{00000000-0005-0000-0000-00008E7E0000}"/>
    <cellStyle name="Note 3 2 3 3 4" xfId="32352" xr:uid="{00000000-0005-0000-0000-00008F7E0000}"/>
    <cellStyle name="Note 3 2 3 3 4 2" xfId="32353" xr:uid="{00000000-0005-0000-0000-0000907E0000}"/>
    <cellStyle name="Note 3 2 3 3 4 2 2" xfId="32354" xr:uid="{00000000-0005-0000-0000-0000917E0000}"/>
    <cellStyle name="Note 3 2 3 3 4 3" xfId="32355" xr:uid="{00000000-0005-0000-0000-0000927E0000}"/>
    <cellStyle name="Note 3 2 3 3 5" xfId="32356" xr:uid="{00000000-0005-0000-0000-0000937E0000}"/>
    <cellStyle name="Note 3 2 3 3 5 2" xfId="32357" xr:uid="{00000000-0005-0000-0000-0000947E0000}"/>
    <cellStyle name="Note 3 2 3 3 6" xfId="32358" xr:uid="{00000000-0005-0000-0000-0000957E0000}"/>
    <cellStyle name="Note 3 2 3 4" xfId="32359" xr:uid="{00000000-0005-0000-0000-0000967E0000}"/>
    <cellStyle name="Note 3 2 3 4 2" xfId="32360" xr:uid="{00000000-0005-0000-0000-0000977E0000}"/>
    <cellStyle name="Note 3 2 3 4 2 2" xfId="32361" xr:uid="{00000000-0005-0000-0000-0000987E0000}"/>
    <cellStyle name="Note 3 2 3 4 2 2 2" xfId="32362" xr:uid="{00000000-0005-0000-0000-0000997E0000}"/>
    <cellStyle name="Note 3 2 3 4 2 2 2 2" xfId="32363" xr:uid="{00000000-0005-0000-0000-00009A7E0000}"/>
    <cellStyle name="Note 3 2 3 4 2 2 3" xfId="32364" xr:uid="{00000000-0005-0000-0000-00009B7E0000}"/>
    <cellStyle name="Note 3 2 3 4 2 3" xfId="32365" xr:uid="{00000000-0005-0000-0000-00009C7E0000}"/>
    <cellStyle name="Note 3 2 3 4 2 3 2" xfId="32366" xr:uid="{00000000-0005-0000-0000-00009D7E0000}"/>
    <cellStyle name="Note 3 2 3 4 2 4" xfId="32367" xr:uid="{00000000-0005-0000-0000-00009E7E0000}"/>
    <cellStyle name="Note 3 2 3 4 3" xfId="32368" xr:uid="{00000000-0005-0000-0000-00009F7E0000}"/>
    <cellStyle name="Note 3 2 3 4 3 2" xfId="32369" xr:uid="{00000000-0005-0000-0000-0000A07E0000}"/>
    <cellStyle name="Note 3 2 3 4 3 2 2" xfId="32370" xr:uid="{00000000-0005-0000-0000-0000A17E0000}"/>
    <cellStyle name="Note 3 2 3 4 3 3" xfId="32371" xr:uid="{00000000-0005-0000-0000-0000A27E0000}"/>
    <cellStyle name="Note 3 2 3 4 4" xfId="32372" xr:uid="{00000000-0005-0000-0000-0000A37E0000}"/>
    <cellStyle name="Note 3 2 3 4 4 2" xfId="32373" xr:uid="{00000000-0005-0000-0000-0000A47E0000}"/>
    <cellStyle name="Note 3 2 3 4 5" xfId="32374" xr:uid="{00000000-0005-0000-0000-0000A57E0000}"/>
    <cellStyle name="Note 3 2 3 5" xfId="32375" xr:uid="{00000000-0005-0000-0000-0000A67E0000}"/>
    <cellStyle name="Note 3 2 3 5 2" xfId="32376" xr:uid="{00000000-0005-0000-0000-0000A77E0000}"/>
    <cellStyle name="Note 3 2 3 5 2 2" xfId="32377" xr:uid="{00000000-0005-0000-0000-0000A87E0000}"/>
    <cellStyle name="Note 3 2 3 5 2 2 2" xfId="32378" xr:uid="{00000000-0005-0000-0000-0000A97E0000}"/>
    <cellStyle name="Note 3 2 3 5 2 3" xfId="32379" xr:uid="{00000000-0005-0000-0000-0000AA7E0000}"/>
    <cellStyle name="Note 3 2 3 5 3" xfId="32380" xr:uid="{00000000-0005-0000-0000-0000AB7E0000}"/>
    <cellStyle name="Note 3 2 3 5 3 2" xfId="32381" xr:uid="{00000000-0005-0000-0000-0000AC7E0000}"/>
    <cellStyle name="Note 3 2 3 5 4" xfId="32382" xr:uid="{00000000-0005-0000-0000-0000AD7E0000}"/>
    <cellStyle name="Note 3 2 3 6" xfId="32383" xr:uid="{00000000-0005-0000-0000-0000AE7E0000}"/>
    <cellStyle name="Note 3 2 3 6 2" xfId="32384" xr:uid="{00000000-0005-0000-0000-0000AF7E0000}"/>
    <cellStyle name="Note 3 2 3 6 2 2" xfId="32385" xr:uid="{00000000-0005-0000-0000-0000B07E0000}"/>
    <cellStyle name="Note 3 2 3 6 3" xfId="32386" xr:uid="{00000000-0005-0000-0000-0000B17E0000}"/>
    <cellStyle name="Note 3 2 3 7" xfId="32387" xr:uid="{00000000-0005-0000-0000-0000B27E0000}"/>
    <cellStyle name="Note 3 2 3 7 2" xfId="32388" xr:uid="{00000000-0005-0000-0000-0000B37E0000}"/>
    <cellStyle name="Note 3 2 3 8" xfId="32389" xr:uid="{00000000-0005-0000-0000-0000B47E0000}"/>
    <cellStyle name="Note 3 2 4" xfId="32390" xr:uid="{00000000-0005-0000-0000-0000B57E0000}"/>
    <cellStyle name="Note 3 2 4 2" xfId="32391" xr:uid="{00000000-0005-0000-0000-0000B67E0000}"/>
    <cellStyle name="Note 3 2 4 2 2" xfId="32392" xr:uid="{00000000-0005-0000-0000-0000B77E0000}"/>
    <cellStyle name="Note 3 2 4 2 2 2" xfId="32393" xr:uid="{00000000-0005-0000-0000-0000B87E0000}"/>
    <cellStyle name="Note 3 2 4 2 2 2 2" xfId="32394" xr:uid="{00000000-0005-0000-0000-0000B97E0000}"/>
    <cellStyle name="Note 3 2 4 2 2 2 2 2" xfId="32395" xr:uid="{00000000-0005-0000-0000-0000BA7E0000}"/>
    <cellStyle name="Note 3 2 4 2 2 2 2 2 2" xfId="32396" xr:uid="{00000000-0005-0000-0000-0000BB7E0000}"/>
    <cellStyle name="Note 3 2 4 2 2 2 2 3" xfId="32397" xr:uid="{00000000-0005-0000-0000-0000BC7E0000}"/>
    <cellStyle name="Note 3 2 4 2 2 2 3" xfId="32398" xr:uid="{00000000-0005-0000-0000-0000BD7E0000}"/>
    <cellStyle name="Note 3 2 4 2 2 2 3 2" xfId="32399" xr:uid="{00000000-0005-0000-0000-0000BE7E0000}"/>
    <cellStyle name="Note 3 2 4 2 2 2 4" xfId="32400" xr:uid="{00000000-0005-0000-0000-0000BF7E0000}"/>
    <cellStyle name="Note 3 2 4 2 2 3" xfId="32401" xr:uid="{00000000-0005-0000-0000-0000C07E0000}"/>
    <cellStyle name="Note 3 2 4 2 2 3 2" xfId="32402" xr:uid="{00000000-0005-0000-0000-0000C17E0000}"/>
    <cellStyle name="Note 3 2 4 2 2 3 2 2" xfId="32403" xr:uid="{00000000-0005-0000-0000-0000C27E0000}"/>
    <cellStyle name="Note 3 2 4 2 2 3 3" xfId="32404" xr:uid="{00000000-0005-0000-0000-0000C37E0000}"/>
    <cellStyle name="Note 3 2 4 2 2 4" xfId="32405" xr:uid="{00000000-0005-0000-0000-0000C47E0000}"/>
    <cellStyle name="Note 3 2 4 2 2 4 2" xfId="32406" xr:uid="{00000000-0005-0000-0000-0000C57E0000}"/>
    <cellStyle name="Note 3 2 4 2 2 5" xfId="32407" xr:uid="{00000000-0005-0000-0000-0000C67E0000}"/>
    <cellStyle name="Note 3 2 4 2 3" xfId="32408" xr:uid="{00000000-0005-0000-0000-0000C77E0000}"/>
    <cellStyle name="Note 3 2 4 2 3 2" xfId="32409" xr:uid="{00000000-0005-0000-0000-0000C87E0000}"/>
    <cellStyle name="Note 3 2 4 2 3 2 2" xfId="32410" xr:uid="{00000000-0005-0000-0000-0000C97E0000}"/>
    <cellStyle name="Note 3 2 4 2 3 2 2 2" xfId="32411" xr:uid="{00000000-0005-0000-0000-0000CA7E0000}"/>
    <cellStyle name="Note 3 2 4 2 3 2 3" xfId="32412" xr:uid="{00000000-0005-0000-0000-0000CB7E0000}"/>
    <cellStyle name="Note 3 2 4 2 3 3" xfId="32413" xr:uid="{00000000-0005-0000-0000-0000CC7E0000}"/>
    <cellStyle name="Note 3 2 4 2 3 3 2" xfId="32414" xr:uid="{00000000-0005-0000-0000-0000CD7E0000}"/>
    <cellStyle name="Note 3 2 4 2 3 4" xfId="32415" xr:uid="{00000000-0005-0000-0000-0000CE7E0000}"/>
    <cellStyle name="Note 3 2 4 2 4" xfId="32416" xr:uid="{00000000-0005-0000-0000-0000CF7E0000}"/>
    <cellStyle name="Note 3 2 4 2 4 2" xfId="32417" xr:uid="{00000000-0005-0000-0000-0000D07E0000}"/>
    <cellStyle name="Note 3 2 4 2 4 2 2" xfId="32418" xr:uid="{00000000-0005-0000-0000-0000D17E0000}"/>
    <cellStyle name="Note 3 2 4 2 4 3" xfId="32419" xr:uid="{00000000-0005-0000-0000-0000D27E0000}"/>
    <cellStyle name="Note 3 2 4 2 5" xfId="32420" xr:uid="{00000000-0005-0000-0000-0000D37E0000}"/>
    <cellStyle name="Note 3 2 4 2 5 2" xfId="32421" xr:uid="{00000000-0005-0000-0000-0000D47E0000}"/>
    <cellStyle name="Note 3 2 4 2 6" xfId="32422" xr:uid="{00000000-0005-0000-0000-0000D57E0000}"/>
    <cellStyle name="Note 3 2 4 3" xfId="32423" xr:uid="{00000000-0005-0000-0000-0000D67E0000}"/>
    <cellStyle name="Note 3 2 4 3 2" xfId="32424" xr:uid="{00000000-0005-0000-0000-0000D77E0000}"/>
    <cellStyle name="Note 3 2 4 3 2 2" xfId="32425" xr:uid="{00000000-0005-0000-0000-0000D87E0000}"/>
    <cellStyle name="Note 3 2 4 3 2 2 2" xfId="32426" xr:uid="{00000000-0005-0000-0000-0000D97E0000}"/>
    <cellStyle name="Note 3 2 4 3 2 2 2 2" xfId="32427" xr:uid="{00000000-0005-0000-0000-0000DA7E0000}"/>
    <cellStyle name="Note 3 2 4 3 2 2 3" xfId="32428" xr:uid="{00000000-0005-0000-0000-0000DB7E0000}"/>
    <cellStyle name="Note 3 2 4 3 2 3" xfId="32429" xr:uid="{00000000-0005-0000-0000-0000DC7E0000}"/>
    <cellStyle name="Note 3 2 4 3 2 3 2" xfId="32430" xr:uid="{00000000-0005-0000-0000-0000DD7E0000}"/>
    <cellStyle name="Note 3 2 4 3 2 4" xfId="32431" xr:uid="{00000000-0005-0000-0000-0000DE7E0000}"/>
    <cellStyle name="Note 3 2 4 3 3" xfId="32432" xr:uid="{00000000-0005-0000-0000-0000DF7E0000}"/>
    <cellStyle name="Note 3 2 4 3 3 2" xfId="32433" xr:uid="{00000000-0005-0000-0000-0000E07E0000}"/>
    <cellStyle name="Note 3 2 4 3 3 2 2" xfId="32434" xr:uid="{00000000-0005-0000-0000-0000E17E0000}"/>
    <cellStyle name="Note 3 2 4 3 3 3" xfId="32435" xr:uid="{00000000-0005-0000-0000-0000E27E0000}"/>
    <cellStyle name="Note 3 2 4 3 4" xfId="32436" xr:uid="{00000000-0005-0000-0000-0000E37E0000}"/>
    <cellStyle name="Note 3 2 4 3 4 2" xfId="32437" xr:uid="{00000000-0005-0000-0000-0000E47E0000}"/>
    <cellStyle name="Note 3 2 4 3 5" xfId="32438" xr:uid="{00000000-0005-0000-0000-0000E57E0000}"/>
    <cellStyle name="Note 3 2 4 4" xfId="32439" xr:uid="{00000000-0005-0000-0000-0000E67E0000}"/>
    <cellStyle name="Note 3 2 4 4 2" xfId="32440" xr:uid="{00000000-0005-0000-0000-0000E77E0000}"/>
    <cellStyle name="Note 3 2 4 4 2 2" xfId="32441" xr:uid="{00000000-0005-0000-0000-0000E87E0000}"/>
    <cellStyle name="Note 3 2 4 4 2 2 2" xfId="32442" xr:uid="{00000000-0005-0000-0000-0000E97E0000}"/>
    <cellStyle name="Note 3 2 4 4 2 3" xfId="32443" xr:uid="{00000000-0005-0000-0000-0000EA7E0000}"/>
    <cellStyle name="Note 3 2 4 4 3" xfId="32444" xr:uid="{00000000-0005-0000-0000-0000EB7E0000}"/>
    <cellStyle name="Note 3 2 4 4 3 2" xfId="32445" xr:uid="{00000000-0005-0000-0000-0000EC7E0000}"/>
    <cellStyle name="Note 3 2 4 4 4" xfId="32446" xr:uid="{00000000-0005-0000-0000-0000ED7E0000}"/>
    <cellStyle name="Note 3 2 4 5" xfId="32447" xr:uid="{00000000-0005-0000-0000-0000EE7E0000}"/>
    <cellStyle name="Note 3 2 4 5 2" xfId="32448" xr:uid="{00000000-0005-0000-0000-0000EF7E0000}"/>
    <cellStyle name="Note 3 2 4 5 2 2" xfId="32449" xr:uid="{00000000-0005-0000-0000-0000F07E0000}"/>
    <cellStyle name="Note 3 2 4 5 3" xfId="32450" xr:uid="{00000000-0005-0000-0000-0000F17E0000}"/>
    <cellStyle name="Note 3 2 4 6" xfId="32451" xr:uid="{00000000-0005-0000-0000-0000F27E0000}"/>
    <cellStyle name="Note 3 2 4 6 2" xfId="32452" xr:uid="{00000000-0005-0000-0000-0000F37E0000}"/>
    <cellStyle name="Note 3 2 4 7" xfId="32453" xr:uid="{00000000-0005-0000-0000-0000F47E0000}"/>
    <cellStyle name="Note 3 2 5" xfId="32454" xr:uid="{00000000-0005-0000-0000-0000F57E0000}"/>
    <cellStyle name="Note 3 2 5 2" xfId="32455" xr:uid="{00000000-0005-0000-0000-0000F67E0000}"/>
    <cellStyle name="Note 3 2 5 2 2" xfId="32456" xr:uid="{00000000-0005-0000-0000-0000F77E0000}"/>
    <cellStyle name="Note 3 2 5 2 2 2" xfId="32457" xr:uid="{00000000-0005-0000-0000-0000F87E0000}"/>
    <cellStyle name="Note 3 2 5 2 2 2 2" xfId="32458" xr:uid="{00000000-0005-0000-0000-0000F97E0000}"/>
    <cellStyle name="Note 3 2 5 2 2 2 2 2" xfId="32459" xr:uid="{00000000-0005-0000-0000-0000FA7E0000}"/>
    <cellStyle name="Note 3 2 5 2 2 2 3" xfId="32460" xr:uid="{00000000-0005-0000-0000-0000FB7E0000}"/>
    <cellStyle name="Note 3 2 5 2 2 3" xfId="32461" xr:uid="{00000000-0005-0000-0000-0000FC7E0000}"/>
    <cellStyle name="Note 3 2 5 2 2 3 2" xfId="32462" xr:uid="{00000000-0005-0000-0000-0000FD7E0000}"/>
    <cellStyle name="Note 3 2 5 2 2 4" xfId="32463" xr:uid="{00000000-0005-0000-0000-0000FE7E0000}"/>
    <cellStyle name="Note 3 2 5 2 3" xfId="32464" xr:uid="{00000000-0005-0000-0000-0000FF7E0000}"/>
    <cellStyle name="Note 3 2 5 2 3 2" xfId="32465" xr:uid="{00000000-0005-0000-0000-0000007F0000}"/>
    <cellStyle name="Note 3 2 5 2 3 2 2" xfId="32466" xr:uid="{00000000-0005-0000-0000-0000017F0000}"/>
    <cellStyle name="Note 3 2 5 2 3 3" xfId="32467" xr:uid="{00000000-0005-0000-0000-0000027F0000}"/>
    <cellStyle name="Note 3 2 5 2 4" xfId="32468" xr:uid="{00000000-0005-0000-0000-0000037F0000}"/>
    <cellStyle name="Note 3 2 5 2 4 2" xfId="32469" xr:uid="{00000000-0005-0000-0000-0000047F0000}"/>
    <cellStyle name="Note 3 2 5 2 5" xfId="32470" xr:uid="{00000000-0005-0000-0000-0000057F0000}"/>
    <cellStyle name="Note 3 2 5 3" xfId="32471" xr:uid="{00000000-0005-0000-0000-0000067F0000}"/>
    <cellStyle name="Note 3 2 5 3 2" xfId="32472" xr:uid="{00000000-0005-0000-0000-0000077F0000}"/>
    <cellStyle name="Note 3 2 5 3 2 2" xfId="32473" xr:uid="{00000000-0005-0000-0000-0000087F0000}"/>
    <cellStyle name="Note 3 2 5 3 2 2 2" xfId="32474" xr:uid="{00000000-0005-0000-0000-0000097F0000}"/>
    <cellStyle name="Note 3 2 5 3 2 3" xfId="32475" xr:uid="{00000000-0005-0000-0000-00000A7F0000}"/>
    <cellStyle name="Note 3 2 5 3 3" xfId="32476" xr:uid="{00000000-0005-0000-0000-00000B7F0000}"/>
    <cellStyle name="Note 3 2 5 3 3 2" xfId="32477" xr:uid="{00000000-0005-0000-0000-00000C7F0000}"/>
    <cellStyle name="Note 3 2 5 3 4" xfId="32478" xr:uid="{00000000-0005-0000-0000-00000D7F0000}"/>
    <cellStyle name="Note 3 2 5 4" xfId="32479" xr:uid="{00000000-0005-0000-0000-00000E7F0000}"/>
    <cellStyle name="Note 3 2 5 4 2" xfId="32480" xr:uid="{00000000-0005-0000-0000-00000F7F0000}"/>
    <cellStyle name="Note 3 2 5 4 2 2" xfId="32481" xr:uid="{00000000-0005-0000-0000-0000107F0000}"/>
    <cellStyle name="Note 3 2 5 4 3" xfId="32482" xr:uid="{00000000-0005-0000-0000-0000117F0000}"/>
    <cellStyle name="Note 3 2 5 5" xfId="32483" xr:uid="{00000000-0005-0000-0000-0000127F0000}"/>
    <cellStyle name="Note 3 2 5 5 2" xfId="32484" xr:uid="{00000000-0005-0000-0000-0000137F0000}"/>
    <cellStyle name="Note 3 2 5 6" xfId="32485" xr:uid="{00000000-0005-0000-0000-0000147F0000}"/>
    <cellStyle name="Note 3 2 6" xfId="32486" xr:uid="{00000000-0005-0000-0000-0000157F0000}"/>
    <cellStyle name="Note 3 2 6 2" xfId="32487" xr:uid="{00000000-0005-0000-0000-0000167F0000}"/>
    <cellStyle name="Note 3 2 6 2 2" xfId="32488" xr:uid="{00000000-0005-0000-0000-0000177F0000}"/>
    <cellStyle name="Note 3 2 6 2 2 2" xfId="32489" xr:uid="{00000000-0005-0000-0000-0000187F0000}"/>
    <cellStyle name="Note 3 2 6 2 2 2 2" xfId="32490" xr:uid="{00000000-0005-0000-0000-0000197F0000}"/>
    <cellStyle name="Note 3 2 6 2 2 3" xfId="32491" xr:uid="{00000000-0005-0000-0000-00001A7F0000}"/>
    <cellStyle name="Note 3 2 6 2 3" xfId="32492" xr:uid="{00000000-0005-0000-0000-00001B7F0000}"/>
    <cellStyle name="Note 3 2 6 2 3 2" xfId="32493" xr:uid="{00000000-0005-0000-0000-00001C7F0000}"/>
    <cellStyle name="Note 3 2 6 2 4" xfId="32494" xr:uid="{00000000-0005-0000-0000-00001D7F0000}"/>
    <cellStyle name="Note 3 2 6 3" xfId="32495" xr:uid="{00000000-0005-0000-0000-00001E7F0000}"/>
    <cellStyle name="Note 3 2 6 3 2" xfId="32496" xr:uid="{00000000-0005-0000-0000-00001F7F0000}"/>
    <cellStyle name="Note 3 2 6 3 2 2" xfId="32497" xr:uid="{00000000-0005-0000-0000-0000207F0000}"/>
    <cellStyle name="Note 3 2 6 3 3" xfId="32498" xr:uid="{00000000-0005-0000-0000-0000217F0000}"/>
    <cellStyle name="Note 3 2 6 4" xfId="32499" xr:uid="{00000000-0005-0000-0000-0000227F0000}"/>
    <cellStyle name="Note 3 2 6 4 2" xfId="32500" xr:uid="{00000000-0005-0000-0000-0000237F0000}"/>
    <cellStyle name="Note 3 2 6 5" xfId="32501" xr:uid="{00000000-0005-0000-0000-0000247F0000}"/>
    <cellStyle name="Note 3 2 7" xfId="32502" xr:uid="{00000000-0005-0000-0000-0000257F0000}"/>
    <cellStyle name="Note 3 2 7 2" xfId="32503" xr:uid="{00000000-0005-0000-0000-0000267F0000}"/>
    <cellStyle name="Note 3 2 7 2 2" xfId="32504" xr:uid="{00000000-0005-0000-0000-0000277F0000}"/>
    <cellStyle name="Note 3 2 7 2 2 2" xfId="32505" xr:uid="{00000000-0005-0000-0000-0000287F0000}"/>
    <cellStyle name="Note 3 2 7 2 3" xfId="32506" xr:uid="{00000000-0005-0000-0000-0000297F0000}"/>
    <cellStyle name="Note 3 2 7 3" xfId="32507" xr:uid="{00000000-0005-0000-0000-00002A7F0000}"/>
    <cellStyle name="Note 3 2 7 3 2" xfId="32508" xr:uid="{00000000-0005-0000-0000-00002B7F0000}"/>
    <cellStyle name="Note 3 2 7 4" xfId="32509" xr:uid="{00000000-0005-0000-0000-00002C7F0000}"/>
    <cellStyle name="Note 3 2 8" xfId="32510" xr:uid="{00000000-0005-0000-0000-00002D7F0000}"/>
    <cellStyle name="Note 3 2 8 2" xfId="32511" xr:uid="{00000000-0005-0000-0000-00002E7F0000}"/>
    <cellStyle name="Note 3 2 8 2 2" xfId="32512" xr:uid="{00000000-0005-0000-0000-00002F7F0000}"/>
    <cellStyle name="Note 3 2 8 3" xfId="32513" xr:uid="{00000000-0005-0000-0000-0000307F0000}"/>
    <cellStyle name="Note 3 2 9" xfId="32514" xr:uid="{00000000-0005-0000-0000-0000317F0000}"/>
    <cellStyle name="Note 3 2 9 2" xfId="32515" xr:uid="{00000000-0005-0000-0000-0000327F0000}"/>
    <cellStyle name="Note 3 3" xfId="32516" xr:uid="{00000000-0005-0000-0000-0000337F0000}"/>
    <cellStyle name="Note 3 3 2" xfId="32517" xr:uid="{00000000-0005-0000-0000-0000347F0000}"/>
    <cellStyle name="Note 3 3 2 2" xfId="32518" xr:uid="{00000000-0005-0000-0000-0000357F0000}"/>
    <cellStyle name="Note 3 3 2 2 2" xfId="32519" xr:uid="{00000000-0005-0000-0000-0000367F0000}"/>
    <cellStyle name="Note 3 3 2 2 2 2" xfId="32520" xr:uid="{00000000-0005-0000-0000-0000377F0000}"/>
    <cellStyle name="Note 3 3 2 2 2 2 2" xfId="32521" xr:uid="{00000000-0005-0000-0000-0000387F0000}"/>
    <cellStyle name="Note 3 3 2 2 2 2 2 2" xfId="32522" xr:uid="{00000000-0005-0000-0000-0000397F0000}"/>
    <cellStyle name="Note 3 3 2 2 2 2 2 2 2" xfId="32523" xr:uid="{00000000-0005-0000-0000-00003A7F0000}"/>
    <cellStyle name="Note 3 3 2 2 2 2 2 2 2 2" xfId="32524" xr:uid="{00000000-0005-0000-0000-00003B7F0000}"/>
    <cellStyle name="Note 3 3 2 2 2 2 2 2 3" xfId="32525" xr:uid="{00000000-0005-0000-0000-00003C7F0000}"/>
    <cellStyle name="Note 3 3 2 2 2 2 2 3" xfId="32526" xr:uid="{00000000-0005-0000-0000-00003D7F0000}"/>
    <cellStyle name="Note 3 3 2 2 2 2 2 3 2" xfId="32527" xr:uid="{00000000-0005-0000-0000-00003E7F0000}"/>
    <cellStyle name="Note 3 3 2 2 2 2 2 4" xfId="32528" xr:uid="{00000000-0005-0000-0000-00003F7F0000}"/>
    <cellStyle name="Note 3 3 2 2 2 2 3" xfId="32529" xr:uid="{00000000-0005-0000-0000-0000407F0000}"/>
    <cellStyle name="Note 3 3 2 2 2 2 3 2" xfId="32530" xr:uid="{00000000-0005-0000-0000-0000417F0000}"/>
    <cellStyle name="Note 3 3 2 2 2 2 3 2 2" xfId="32531" xr:uid="{00000000-0005-0000-0000-0000427F0000}"/>
    <cellStyle name="Note 3 3 2 2 2 2 3 3" xfId="32532" xr:uid="{00000000-0005-0000-0000-0000437F0000}"/>
    <cellStyle name="Note 3 3 2 2 2 2 4" xfId="32533" xr:uid="{00000000-0005-0000-0000-0000447F0000}"/>
    <cellStyle name="Note 3 3 2 2 2 2 4 2" xfId="32534" xr:uid="{00000000-0005-0000-0000-0000457F0000}"/>
    <cellStyle name="Note 3 3 2 2 2 2 5" xfId="32535" xr:uid="{00000000-0005-0000-0000-0000467F0000}"/>
    <cellStyle name="Note 3 3 2 2 2 3" xfId="32536" xr:uid="{00000000-0005-0000-0000-0000477F0000}"/>
    <cellStyle name="Note 3 3 2 2 2 3 2" xfId="32537" xr:uid="{00000000-0005-0000-0000-0000487F0000}"/>
    <cellStyle name="Note 3 3 2 2 2 3 2 2" xfId="32538" xr:uid="{00000000-0005-0000-0000-0000497F0000}"/>
    <cellStyle name="Note 3 3 2 2 2 3 2 2 2" xfId="32539" xr:uid="{00000000-0005-0000-0000-00004A7F0000}"/>
    <cellStyle name="Note 3 3 2 2 2 3 2 3" xfId="32540" xr:uid="{00000000-0005-0000-0000-00004B7F0000}"/>
    <cellStyle name="Note 3 3 2 2 2 3 3" xfId="32541" xr:uid="{00000000-0005-0000-0000-00004C7F0000}"/>
    <cellStyle name="Note 3 3 2 2 2 3 3 2" xfId="32542" xr:uid="{00000000-0005-0000-0000-00004D7F0000}"/>
    <cellStyle name="Note 3 3 2 2 2 3 4" xfId="32543" xr:uid="{00000000-0005-0000-0000-00004E7F0000}"/>
    <cellStyle name="Note 3 3 2 2 2 4" xfId="32544" xr:uid="{00000000-0005-0000-0000-00004F7F0000}"/>
    <cellStyle name="Note 3 3 2 2 2 4 2" xfId="32545" xr:uid="{00000000-0005-0000-0000-0000507F0000}"/>
    <cellStyle name="Note 3 3 2 2 2 4 2 2" xfId="32546" xr:uid="{00000000-0005-0000-0000-0000517F0000}"/>
    <cellStyle name="Note 3 3 2 2 2 4 3" xfId="32547" xr:uid="{00000000-0005-0000-0000-0000527F0000}"/>
    <cellStyle name="Note 3 3 2 2 2 5" xfId="32548" xr:uid="{00000000-0005-0000-0000-0000537F0000}"/>
    <cellStyle name="Note 3 3 2 2 2 5 2" xfId="32549" xr:uid="{00000000-0005-0000-0000-0000547F0000}"/>
    <cellStyle name="Note 3 3 2 2 2 6" xfId="32550" xr:uid="{00000000-0005-0000-0000-0000557F0000}"/>
    <cellStyle name="Note 3 3 2 2 3" xfId="32551" xr:uid="{00000000-0005-0000-0000-0000567F0000}"/>
    <cellStyle name="Note 3 3 2 2 3 2" xfId="32552" xr:uid="{00000000-0005-0000-0000-0000577F0000}"/>
    <cellStyle name="Note 3 3 2 2 3 2 2" xfId="32553" xr:uid="{00000000-0005-0000-0000-0000587F0000}"/>
    <cellStyle name="Note 3 3 2 2 3 2 2 2" xfId="32554" xr:uid="{00000000-0005-0000-0000-0000597F0000}"/>
    <cellStyle name="Note 3 3 2 2 3 2 2 2 2" xfId="32555" xr:uid="{00000000-0005-0000-0000-00005A7F0000}"/>
    <cellStyle name="Note 3 3 2 2 3 2 2 3" xfId="32556" xr:uid="{00000000-0005-0000-0000-00005B7F0000}"/>
    <cellStyle name="Note 3 3 2 2 3 2 3" xfId="32557" xr:uid="{00000000-0005-0000-0000-00005C7F0000}"/>
    <cellStyle name="Note 3 3 2 2 3 2 3 2" xfId="32558" xr:uid="{00000000-0005-0000-0000-00005D7F0000}"/>
    <cellStyle name="Note 3 3 2 2 3 2 4" xfId="32559" xr:uid="{00000000-0005-0000-0000-00005E7F0000}"/>
    <cellStyle name="Note 3 3 2 2 3 3" xfId="32560" xr:uid="{00000000-0005-0000-0000-00005F7F0000}"/>
    <cellStyle name="Note 3 3 2 2 3 3 2" xfId="32561" xr:uid="{00000000-0005-0000-0000-0000607F0000}"/>
    <cellStyle name="Note 3 3 2 2 3 3 2 2" xfId="32562" xr:uid="{00000000-0005-0000-0000-0000617F0000}"/>
    <cellStyle name="Note 3 3 2 2 3 3 3" xfId="32563" xr:uid="{00000000-0005-0000-0000-0000627F0000}"/>
    <cellStyle name="Note 3 3 2 2 3 4" xfId="32564" xr:uid="{00000000-0005-0000-0000-0000637F0000}"/>
    <cellStyle name="Note 3 3 2 2 3 4 2" xfId="32565" xr:uid="{00000000-0005-0000-0000-0000647F0000}"/>
    <cellStyle name="Note 3 3 2 2 3 5" xfId="32566" xr:uid="{00000000-0005-0000-0000-0000657F0000}"/>
    <cellStyle name="Note 3 3 2 2 4" xfId="32567" xr:uid="{00000000-0005-0000-0000-0000667F0000}"/>
    <cellStyle name="Note 3 3 2 2 4 2" xfId="32568" xr:uid="{00000000-0005-0000-0000-0000677F0000}"/>
    <cellStyle name="Note 3 3 2 2 4 2 2" xfId="32569" xr:uid="{00000000-0005-0000-0000-0000687F0000}"/>
    <cellStyle name="Note 3 3 2 2 4 2 2 2" xfId="32570" xr:uid="{00000000-0005-0000-0000-0000697F0000}"/>
    <cellStyle name="Note 3 3 2 2 4 2 3" xfId="32571" xr:uid="{00000000-0005-0000-0000-00006A7F0000}"/>
    <cellStyle name="Note 3 3 2 2 4 3" xfId="32572" xr:uid="{00000000-0005-0000-0000-00006B7F0000}"/>
    <cellStyle name="Note 3 3 2 2 4 3 2" xfId="32573" xr:uid="{00000000-0005-0000-0000-00006C7F0000}"/>
    <cellStyle name="Note 3 3 2 2 4 4" xfId="32574" xr:uid="{00000000-0005-0000-0000-00006D7F0000}"/>
    <cellStyle name="Note 3 3 2 2 5" xfId="32575" xr:uid="{00000000-0005-0000-0000-00006E7F0000}"/>
    <cellStyle name="Note 3 3 2 2 5 2" xfId="32576" xr:uid="{00000000-0005-0000-0000-00006F7F0000}"/>
    <cellStyle name="Note 3 3 2 2 5 2 2" xfId="32577" xr:uid="{00000000-0005-0000-0000-0000707F0000}"/>
    <cellStyle name="Note 3 3 2 2 5 3" xfId="32578" xr:uid="{00000000-0005-0000-0000-0000717F0000}"/>
    <cellStyle name="Note 3 3 2 2 6" xfId="32579" xr:uid="{00000000-0005-0000-0000-0000727F0000}"/>
    <cellStyle name="Note 3 3 2 2 6 2" xfId="32580" xr:uid="{00000000-0005-0000-0000-0000737F0000}"/>
    <cellStyle name="Note 3 3 2 2 7" xfId="32581" xr:uid="{00000000-0005-0000-0000-0000747F0000}"/>
    <cellStyle name="Note 3 3 2 3" xfId="32582" xr:uid="{00000000-0005-0000-0000-0000757F0000}"/>
    <cellStyle name="Note 3 3 2 3 2" xfId="32583" xr:uid="{00000000-0005-0000-0000-0000767F0000}"/>
    <cellStyle name="Note 3 3 2 3 2 2" xfId="32584" xr:uid="{00000000-0005-0000-0000-0000777F0000}"/>
    <cellStyle name="Note 3 3 2 3 2 2 2" xfId="32585" xr:uid="{00000000-0005-0000-0000-0000787F0000}"/>
    <cellStyle name="Note 3 3 2 3 2 2 2 2" xfId="32586" xr:uid="{00000000-0005-0000-0000-0000797F0000}"/>
    <cellStyle name="Note 3 3 2 3 2 2 2 2 2" xfId="32587" xr:uid="{00000000-0005-0000-0000-00007A7F0000}"/>
    <cellStyle name="Note 3 3 2 3 2 2 2 3" xfId="32588" xr:uid="{00000000-0005-0000-0000-00007B7F0000}"/>
    <cellStyle name="Note 3 3 2 3 2 2 3" xfId="32589" xr:uid="{00000000-0005-0000-0000-00007C7F0000}"/>
    <cellStyle name="Note 3 3 2 3 2 2 3 2" xfId="32590" xr:uid="{00000000-0005-0000-0000-00007D7F0000}"/>
    <cellStyle name="Note 3 3 2 3 2 2 4" xfId="32591" xr:uid="{00000000-0005-0000-0000-00007E7F0000}"/>
    <cellStyle name="Note 3 3 2 3 2 3" xfId="32592" xr:uid="{00000000-0005-0000-0000-00007F7F0000}"/>
    <cellStyle name="Note 3 3 2 3 2 3 2" xfId="32593" xr:uid="{00000000-0005-0000-0000-0000807F0000}"/>
    <cellStyle name="Note 3 3 2 3 2 3 2 2" xfId="32594" xr:uid="{00000000-0005-0000-0000-0000817F0000}"/>
    <cellStyle name="Note 3 3 2 3 2 3 3" xfId="32595" xr:uid="{00000000-0005-0000-0000-0000827F0000}"/>
    <cellStyle name="Note 3 3 2 3 2 4" xfId="32596" xr:uid="{00000000-0005-0000-0000-0000837F0000}"/>
    <cellStyle name="Note 3 3 2 3 2 4 2" xfId="32597" xr:uid="{00000000-0005-0000-0000-0000847F0000}"/>
    <cellStyle name="Note 3 3 2 3 2 5" xfId="32598" xr:uid="{00000000-0005-0000-0000-0000857F0000}"/>
    <cellStyle name="Note 3 3 2 3 3" xfId="32599" xr:uid="{00000000-0005-0000-0000-0000867F0000}"/>
    <cellStyle name="Note 3 3 2 3 3 2" xfId="32600" xr:uid="{00000000-0005-0000-0000-0000877F0000}"/>
    <cellStyle name="Note 3 3 2 3 3 2 2" xfId="32601" xr:uid="{00000000-0005-0000-0000-0000887F0000}"/>
    <cellStyle name="Note 3 3 2 3 3 2 2 2" xfId="32602" xr:uid="{00000000-0005-0000-0000-0000897F0000}"/>
    <cellStyle name="Note 3 3 2 3 3 2 3" xfId="32603" xr:uid="{00000000-0005-0000-0000-00008A7F0000}"/>
    <cellStyle name="Note 3 3 2 3 3 3" xfId="32604" xr:uid="{00000000-0005-0000-0000-00008B7F0000}"/>
    <cellStyle name="Note 3 3 2 3 3 3 2" xfId="32605" xr:uid="{00000000-0005-0000-0000-00008C7F0000}"/>
    <cellStyle name="Note 3 3 2 3 3 4" xfId="32606" xr:uid="{00000000-0005-0000-0000-00008D7F0000}"/>
    <cellStyle name="Note 3 3 2 3 4" xfId="32607" xr:uid="{00000000-0005-0000-0000-00008E7F0000}"/>
    <cellStyle name="Note 3 3 2 3 4 2" xfId="32608" xr:uid="{00000000-0005-0000-0000-00008F7F0000}"/>
    <cellStyle name="Note 3 3 2 3 4 2 2" xfId="32609" xr:uid="{00000000-0005-0000-0000-0000907F0000}"/>
    <cellStyle name="Note 3 3 2 3 4 3" xfId="32610" xr:uid="{00000000-0005-0000-0000-0000917F0000}"/>
    <cellStyle name="Note 3 3 2 3 5" xfId="32611" xr:uid="{00000000-0005-0000-0000-0000927F0000}"/>
    <cellStyle name="Note 3 3 2 3 5 2" xfId="32612" xr:uid="{00000000-0005-0000-0000-0000937F0000}"/>
    <cellStyle name="Note 3 3 2 3 6" xfId="32613" xr:uid="{00000000-0005-0000-0000-0000947F0000}"/>
    <cellStyle name="Note 3 3 2 4" xfId="32614" xr:uid="{00000000-0005-0000-0000-0000957F0000}"/>
    <cellStyle name="Note 3 3 2 4 2" xfId="32615" xr:uid="{00000000-0005-0000-0000-0000967F0000}"/>
    <cellStyle name="Note 3 3 2 4 2 2" xfId="32616" xr:uid="{00000000-0005-0000-0000-0000977F0000}"/>
    <cellStyle name="Note 3 3 2 4 2 2 2" xfId="32617" xr:uid="{00000000-0005-0000-0000-0000987F0000}"/>
    <cellStyle name="Note 3 3 2 4 2 2 2 2" xfId="32618" xr:uid="{00000000-0005-0000-0000-0000997F0000}"/>
    <cellStyle name="Note 3 3 2 4 2 2 3" xfId="32619" xr:uid="{00000000-0005-0000-0000-00009A7F0000}"/>
    <cellStyle name="Note 3 3 2 4 2 3" xfId="32620" xr:uid="{00000000-0005-0000-0000-00009B7F0000}"/>
    <cellStyle name="Note 3 3 2 4 2 3 2" xfId="32621" xr:uid="{00000000-0005-0000-0000-00009C7F0000}"/>
    <cellStyle name="Note 3 3 2 4 2 4" xfId="32622" xr:uid="{00000000-0005-0000-0000-00009D7F0000}"/>
    <cellStyle name="Note 3 3 2 4 3" xfId="32623" xr:uid="{00000000-0005-0000-0000-00009E7F0000}"/>
    <cellStyle name="Note 3 3 2 4 3 2" xfId="32624" xr:uid="{00000000-0005-0000-0000-00009F7F0000}"/>
    <cellStyle name="Note 3 3 2 4 3 2 2" xfId="32625" xr:uid="{00000000-0005-0000-0000-0000A07F0000}"/>
    <cellStyle name="Note 3 3 2 4 3 3" xfId="32626" xr:uid="{00000000-0005-0000-0000-0000A17F0000}"/>
    <cellStyle name="Note 3 3 2 4 4" xfId="32627" xr:uid="{00000000-0005-0000-0000-0000A27F0000}"/>
    <cellStyle name="Note 3 3 2 4 4 2" xfId="32628" xr:uid="{00000000-0005-0000-0000-0000A37F0000}"/>
    <cellStyle name="Note 3 3 2 4 5" xfId="32629" xr:uid="{00000000-0005-0000-0000-0000A47F0000}"/>
    <cellStyle name="Note 3 3 2 5" xfId="32630" xr:uid="{00000000-0005-0000-0000-0000A57F0000}"/>
    <cellStyle name="Note 3 3 2 5 2" xfId="32631" xr:uid="{00000000-0005-0000-0000-0000A67F0000}"/>
    <cellStyle name="Note 3 3 2 5 2 2" xfId="32632" xr:uid="{00000000-0005-0000-0000-0000A77F0000}"/>
    <cellStyle name="Note 3 3 2 5 2 2 2" xfId="32633" xr:uid="{00000000-0005-0000-0000-0000A87F0000}"/>
    <cellStyle name="Note 3 3 2 5 2 3" xfId="32634" xr:uid="{00000000-0005-0000-0000-0000A97F0000}"/>
    <cellStyle name="Note 3 3 2 5 3" xfId="32635" xr:uid="{00000000-0005-0000-0000-0000AA7F0000}"/>
    <cellStyle name="Note 3 3 2 5 3 2" xfId="32636" xr:uid="{00000000-0005-0000-0000-0000AB7F0000}"/>
    <cellStyle name="Note 3 3 2 5 4" xfId="32637" xr:uid="{00000000-0005-0000-0000-0000AC7F0000}"/>
    <cellStyle name="Note 3 3 2 6" xfId="32638" xr:uid="{00000000-0005-0000-0000-0000AD7F0000}"/>
    <cellStyle name="Note 3 3 2 6 2" xfId="32639" xr:uid="{00000000-0005-0000-0000-0000AE7F0000}"/>
    <cellStyle name="Note 3 3 2 6 2 2" xfId="32640" xr:uid="{00000000-0005-0000-0000-0000AF7F0000}"/>
    <cellStyle name="Note 3 3 2 6 3" xfId="32641" xr:uid="{00000000-0005-0000-0000-0000B07F0000}"/>
    <cellStyle name="Note 3 3 2 7" xfId="32642" xr:uid="{00000000-0005-0000-0000-0000B17F0000}"/>
    <cellStyle name="Note 3 3 2 7 2" xfId="32643" xr:uid="{00000000-0005-0000-0000-0000B27F0000}"/>
    <cellStyle name="Note 3 3 2 8" xfId="32644" xr:uid="{00000000-0005-0000-0000-0000B37F0000}"/>
    <cellStyle name="Note 3 3 3" xfId="32645" xr:uid="{00000000-0005-0000-0000-0000B47F0000}"/>
    <cellStyle name="Note 3 3 3 2" xfId="32646" xr:uid="{00000000-0005-0000-0000-0000B57F0000}"/>
    <cellStyle name="Note 3 3 3 2 2" xfId="32647" xr:uid="{00000000-0005-0000-0000-0000B67F0000}"/>
    <cellStyle name="Note 3 3 3 2 2 2" xfId="32648" xr:uid="{00000000-0005-0000-0000-0000B77F0000}"/>
    <cellStyle name="Note 3 3 3 2 2 2 2" xfId="32649" xr:uid="{00000000-0005-0000-0000-0000B87F0000}"/>
    <cellStyle name="Note 3 3 3 2 2 2 2 2" xfId="32650" xr:uid="{00000000-0005-0000-0000-0000B97F0000}"/>
    <cellStyle name="Note 3 3 3 2 2 2 2 2 2" xfId="32651" xr:uid="{00000000-0005-0000-0000-0000BA7F0000}"/>
    <cellStyle name="Note 3 3 3 2 2 2 2 3" xfId="32652" xr:uid="{00000000-0005-0000-0000-0000BB7F0000}"/>
    <cellStyle name="Note 3 3 3 2 2 2 3" xfId="32653" xr:uid="{00000000-0005-0000-0000-0000BC7F0000}"/>
    <cellStyle name="Note 3 3 3 2 2 2 3 2" xfId="32654" xr:uid="{00000000-0005-0000-0000-0000BD7F0000}"/>
    <cellStyle name="Note 3 3 3 2 2 2 4" xfId="32655" xr:uid="{00000000-0005-0000-0000-0000BE7F0000}"/>
    <cellStyle name="Note 3 3 3 2 2 3" xfId="32656" xr:uid="{00000000-0005-0000-0000-0000BF7F0000}"/>
    <cellStyle name="Note 3 3 3 2 2 3 2" xfId="32657" xr:uid="{00000000-0005-0000-0000-0000C07F0000}"/>
    <cellStyle name="Note 3 3 3 2 2 3 2 2" xfId="32658" xr:uid="{00000000-0005-0000-0000-0000C17F0000}"/>
    <cellStyle name="Note 3 3 3 2 2 3 3" xfId="32659" xr:uid="{00000000-0005-0000-0000-0000C27F0000}"/>
    <cellStyle name="Note 3 3 3 2 2 4" xfId="32660" xr:uid="{00000000-0005-0000-0000-0000C37F0000}"/>
    <cellStyle name="Note 3 3 3 2 2 4 2" xfId="32661" xr:uid="{00000000-0005-0000-0000-0000C47F0000}"/>
    <cellStyle name="Note 3 3 3 2 2 5" xfId="32662" xr:uid="{00000000-0005-0000-0000-0000C57F0000}"/>
    <cellStyle name="Note 3 3 3 2 3" xfId="32663" xr:uid="{00000000-0005-0000-0000-0000C67F0000}"/>
    <cellStyle name="Note 3 3 3 2 3 2" xfId="32664" xr:uid="{00000000-0005-0000-0000-0000C77F0000}"/>
    <cellStyle name="Note 3 3 3 2 3 2 2" xfId="32665" xr:uid="{00000000-0005-0000-0000-0000C87F0000}"/>
    <cellStyle name="Note 3 3 3 2 3 2 2 2" xfId="32666" xr:uid="{00000000-0005-0000-0000-0000C97F0000}"/>
    <cellStyle name="Note 3 3 3 2 3 2 3" xfId="32667" xr:uid="{00000000-0005-0000-0000-0000CA7F0000}"/>
    <cellStyle name="Note 3 3 3 2 3 3" xfId="32668" xr:uid="{00000000-0005-0000-0000-0000CB7F0000}"/>
    <cellStyle name="Note 3 3 3 2 3 3 2" xfId="32669" xr:uid="{00000000-0005-0000-0000-0000CC7F0000}"/>
    <cellStyle name="Note 3 3 3 2 3 4" xfId="32670" xr:uid="{00000000-0005-0000-0000-0000CD7F0000}"/>
    <cellStyle name="Note 3 3 3 2 4" xfId="32671" xr:uid="{00000000-0005-0000-0000-0000CE7F0000}"/>
    <cellStyle name="Note 3 3 3 2 4 2" xfId="32672" xr:uid="{00000000-0005-0000-0000-0000CF7F0000}"/>
    <cellStyle name="Note 3 3 3 2 4 2 2" xfId="32673" xr:uid="{00000000-0005-0000-0000-0000D07F0000}"/>
    <cellStyle name="Note 3 3 3 2 4 3" xfId="32674" xr:uid="{00000000-0005-0000-0000-0000D17F0000}"/>
    <cellStyle name="Note 3 3 3 2 5" xfId="32675" xr:uid="{00000000-0005-0000-0000-0000D27F0000}"/>
    <cellStyle name="Note 3 3 3 2 5 2" xfId="32676" xr:uid="{00000000-0005-0000-0000-0000D37F0000}"/>
    <cellStyle name="Note 3 3 3 2 6" xfId="32677" xr:uid="{00000000-0005-0000-0000-0000D47F0000}"/>
    <cellStyle name="Note 3 3 3 3" xfId="32678" xr:uid="{00000000-0005-0000-0000-0000D57F0000}"/>
    <cellStyle name="Note 3 3 3 3 2" xfId="32679" xr:uid="{00000000-0005-0000-0000-0000D67F0000}"/>
    <cellStyle name="Note 3 3 3 3 2 2" xfId="32680" xr:uid="{00000000-0005-0000-0000-0000D77F0000}"/>
    <cellStyle name="Note 3 3 3 3 2 2 2" xfId="32681" xr:uid="{00000000-0005-0000-0000-0000D87F0000}"/>
    <cellStyle name="Note 3 3 3 3 2 2 2 2" xfId="32682" xr:uid="{00000000-0005-0000-0000-0000D97F0000}"/>
    <cellStyle name="Note 3 3 3 3 2 2 3" xfId="32683" xr:uid="{00000000-0005-0000-0000-0000DA7F0000}"/>
    <cellStyle name="Note 3 3 3 3 2 3" xfId="32684" xr:uid="{00000000-0005-0000-0000-0000DB7F0000}"/>
    <cellStyle name="Note 3 3 3 3 2 3 2" xfId="32685" xr:uid="{00000000-0005-0000-0000-0000DC7F0000}"/>
    <cellStyle name="Note 3 3 3 3 2 4" xfId="32686" xr:uid="{00000000-0005-0000-0000-0000DD7F0000}"/>
    <cellStyle name="Note 3 3 3 3 3" xfId="32687" xr:uid="{00000000-0005-0000-0000-0000DE7F0000}"/>
    <cellStyle name="Note 3 3 3 3 3 2" xfId="32688" xr:uid="{00000000-0005-0000-0000-0000DF7F0000}"/>
    <cellStyle name="Note 3 3 3 3 3 2 2" xfId="32689" xr:uid="{00000000-0005-0000-0000-0000E07F0000}"/>
    <cellStyle name="Note 3 3 3 3 3 3" xfId="32690" xr:uid="{00000000-0005-0000-0000-0000E17F0000}"/>
    <cellStyle name="Note 3 3 3 3 4" xfId="32691" xr:uid="{00000000-0005-0000-0000-0000E27F0000}"/>
    <cellStyle name="Note 3 3 3 3 4 2" xfId="32692" xr:uid="{00000000-0005-0000-0000-0000E37F0000}"/>
    <cellStyle name="Note 3 3 3 3 5" xfId="32693" xr:uid="{00000000-0005-0000-0000-0000E47F0000}"/>
    <cellStyle name="Note 3 3 3 4" xfId="32694" xr:uid="{00000000-0005-0000-0000-0000E57F0000}"/>
    <cellStyle name="Note 3 3 3 4 2" xfId="32695" xr:uid="{00000000-0005-0000-0000-0000E67F0000}"/>
    <cellStyle name="Note 3 3 3 4 2 2" xfId="32696" xr:uid="{00000000-0005-0000-0000-0000E77F0000}"/>
    <cellStyle name="Note 3 3 3 4 2 2 2" xfId="32697" xr:uid="{00000000-0005-0000-0000-0000E87F0000}"/>
    <cellStyle name="Note 3 3 3 4 2 3" xfId="32698" xr:uid="{00000000-0005-0000-0000-0000E97F0000}"/>
    <cellStyle name="Note 3 3 3 4 3" xfId="32699" xr:uid="{00000000-0005-0000-0000-0000EA7F0000}"/>
    <cellStyle name="Note 3 3 3 4 3 2" xfId="32700" xr:uid="{00000000-0005-0000-0000-0000EB7F0000}"/>
    <cellStyle name="Note 3 3 3 4 4" xfId="32701" xr:uid="{00000000-0005-0000-0000-0000EC7F0000}"/>
    <cellStyle name="Note 3 3 3 5" xfId="32702" xr:uid="{00000000-0005-0000-0000-0000ED7F0000}"/>
    <cellStyle name="Note 3 3 3 5 2" xfId="32703" xr:uid="{00000000-0005-0000-0000-0000EE7F0000}"/>
    <cellStyle name="Note 3 3 3 5 2 2" xfId="32704" xr:uid="{00000000-0005-0000-0000-0000EF7F0000}"/>
    <cellStyle name="Note 3 3 3 5 3" xfId="32705" xr:uid="{00000000-0005-0000-0000-0000F07F0000}"/>
    <cellStyle name="Note 3 3 3 6" xfId="32706" xr:uid="{00000000-0005-0000-0000-0000F17F0000}"/>
    <cellStyle name="Note 3 3 3 6 2" xfId="32707" xr:uid="{00000000-0005-0000-0000-0000F27F0000}"/>
    <cellStyle name="Note 3 3 3 7" xfId="32708" xr:uid="{00000000-0005-0000-0000-0000F37F0000}"/>
    <cellStyle name="Note 3 3 4" xfId="32709" xr:uid="{00000000-0005-0000-0000-0000F47F0000}"/>
    <cellStyle name="Note 3 3 4 2" xfId="32710" xr:uid="{00000000-0005-0000-0000-0000F57F0000}"/>
    <cellStyle name="Note 3 3 4 2 2" xfId="32711" xr:uid="{00000000-0005-0000-0000-0000F67F0000}"/>
    <cellStyle name="Note 3 3 4 2 2 2" xfId="32712" xr:uid="{00000000-0005-0000-0000-0000F77F0000}"/>
    <cellStyle name="Note 3 3 4 2 2 2 2" xfId="32713" xr:uid="{00000000-0005-0000-0000-0000F87F0000}"/>
    <cellStyle name="Note 3 3 4 2 2 2 2 2" xfId="32714" xr:uid="{00000000-0005-0000-0000-0000F97F0000}"/>
    <cellStyle name="Note 3 3 4 2 2 2 3" xfId="32715" xr:uid="{00000000-0005-0000-0000-0000FA7F0000}"/>
    <cellStyle name="Note 3 3 4 2 2 3" xfId="32716" xr:uid="{00000000-0005-0000-0000-0000FB7F0000}"/>
    <cellStyle name="Note 3 3 4 2 2 3 2" xfId="32717" xr:uid="{00000000-0005-0000-0000-0000FC7F0000}"/>
    <cellStyle name="Note 3 3 4 2 2 4" xfId="32718" xr:uid="{00000000-0005-0000-0000-0000FD7F0000}"/>
    <cellStyle name="Note 3 3 4 2 3" xfId="32719" xr:uid="{00000000-0005-0000-0000-0000FE7F0000}"/>
    <cellStyle name="Note 3 3 4 2 3 2" xfId="32720" xr:uid="{00000000-0005-0000-0000-0000FF7F0000}"/>
    <cellStyle name="Note 3 3 4 2 3 2 2" xfId="32721" xr:uid="{00000000-0005-0000-0000-000000800000}"/>
    <cellStyle name="Note 3 3 4 2 3 3" xfId="32722" xr:uid="{00000000-0005-0000-0000-000001800000}"/>
    <cellStyle name="Note 3 3 4 2 4" xfId="32723" xr:uid="{00000000-0005-0000-0000-000002800000}"/>
    <cellStyle name="Note 3 3 4 2 4 2" xfId="32724" xr:uid="{00000000-0005-0000-0000-000003800000}"/>
    <cellStyle name="Note 3 3 4 2 5" xfId="32725" xr:uid="{00000000-0005-0000-0000-000004800000}"/>
    <cellStyle name="Note 3 3 4 3" xfId="32726" xr:uid="{00000000-0005-0000-0000-000005800000}"/>
    <cellStyle name="Note 3 3 4 3 2" xfId="32727" xr:uid="{00000000-0005-0000-0000-000006800000}"/>
    <cellStyle name="Note 3 3 4 3 2 2" xfId="32728" xr:uid="{00000000-0005-0000-0000-000007800000}"/>
    <cellStyle name="Note 3 3 4 3 2 2 2" xfId="32729" xr:uid="{00000000-0005-0000-0000-000008800000}"/>
    <cellStyle name="Note 3 3 4 3 2 3" xfId="32730" xr:uid="{00000000-0005-0000-0000-000009800000}"/>
    <cellStyle name="Note 3 3 4 3 3" xfId="32731" xr:uid="{00000000-0005-0000-0000-00000A800000}"/>
    <cellStyle name="Note 3 3 4 3 3 2" xfId="32732" xr:uid="{00000000-0005-0000-0000-00000B800000}"/>
    <cellStyle name="Note 3 3 4 3 4" xfId="32733" xr:uid="{00000000-0005-0000-0000-00000C800000}"/>
    <cellStyle name="Note 3 3 4 4" xfId="32734" xr:uid="{00000000-0005-0000-0000-00000D800000}"/>
    <cellStyle name="Note 3 3 4 4 2" xfId="32735" xr:uid="{00000000-0005-0000-0000-00000E800000}"/>
    <cellStyle name="Note 3 3 4 4 2 2" xfId="32736" xr:uid="{00000000-0005-0000-0000-00000F800000}"/>
    <cellStyle name="Note 3 3 4 4 3" xfId="32737" xr:uid="{00000000-0005-0000-0000-000010800000}"/>
    <cellStyle name="Note 3 3 4 5" xfId="32738" xr:uid="{00000000-0005-0000-0000-000011800000}"/>
    <cellStyle name="Note 3 3 4 5 2" xfId="32739" xr:uid="{00000000-0005-0000-0000-000012800000}"/>
    <cellStyle name="Note 3 3 4 6" xfId="32740" xr:uid="{00000000-0005-0000-0000-000013800000}"/>
    <cellStyle name="Note 3 3 5" xfId="32741" xr:uid="{00000000-0005-0000-0000-000014800000}"/>
    <cellStyle name="Note 3 3 5 2" xfId="32742" xr:uid="{00000000-0005-0000-0000-000015800000}"/>
    <cellStyle name="Note 3 3 5 2 2" xfId="32743" xr:uid="{00000000-0005-0000-0000-000016800000}"/>
    <cellStyle name="Note 3 3 5 2 2 2" xfId="32744" xr:uid="{00000000-0005-0000-0000-000017800000}"/>
    <cellStyle name="Note 3 3 5 2 2 2 2" xfId="32745" xr:uid="{00000000-0005-0000-0000-000018800000}"/>
    <cellStyle name="Note 3 3 5 2 2 3" xfId="32746" xr:uid="{00000000-0005-0000-0000-000019800000}"/>
    <cellStyle name="Note 3 3 5 2 3" xfId="32747" xr:uid="{00000000-0005-0000-0000-00001A800000}"/>
    <cellStyle name="Note 3 3 5 2 3 2" xfId="32748" xr:uid="{00000000-0005-0000-0000-00001B800000}"/>
    <cellStyle name="Note 3 3 5 2 4" xfId="32749" xr:uid="{00000000-0005-0000-0000-00001C800000}"/>
    <cellStyle name="Note 3 3 5 3" xfId="32750" xr:uid="{00000000-0005-0000-0000-00001D800000}"/>
    <cellStyle name="Note 3 3 5 3 2" xfId="32751" xr:uid="{00000000-0005-0000-0000-00001E800000}"/>
    <cellStyle name="Note 3 3 5 3 2 2" xfId="32752" xr:uid="{00000000-0005-0000-0000-00001F800000}"/>
    <cellStyle name="Note 3 3 5 3 3" xfId="32753" xr:uid="{00000000-0005-0000-0000-000020800000}"/>
    <cellStyle name="Note 3 3 5 4" xfId="32754" xr:uid="{00000000-0005-0000-0000-000021800000}"/>
    <cellStyle name="Note 3 3 5 4 2" xfId="32755" xr:uid="{00000000-0005-0000-0000-000022800000}"/>
    <cellStyle name="Note 3 3 5 5" xfId="32756" xr:uid="{00000000-0005-0000-0000-000023800000}"/>
    <cellStyle name="Note 3 3 6" xfId="32757" xr:uid="{00000000-0005-0000-0000-000024800000}"/>
    <cellStyle name="Note 3 3 6 2" xfId="32758" xr:uid="{00000000-0005-0000-0000-000025800000}"/>
    <cellStyle name="Note 3 3 6 2 2" xfId="32759" xr:uid="{00000000-0005-0000-0000-000026800000}"/>
    <cellStyle name="Note 3 3 6 2 2 2" xfId="32760" xr:uid="{00000000-0005-0000-0000-000027800000}"/>
    <cellStyle name="Note 3 3 6 2 3" xfId="32761" xr:uid="{00000000-0005-0000-0000-000028800000}"/>
    <cellStyle name="Note 3 3 6 3" xfId="32762" xr:uid="{00000000-0005-0000-0000-000029800000}"/>
    <cellStyle name="Note 3 3 6 3 2" xfId="32763" xr:uid="{00000000-0005-0000-0000-00002A800000}"/>
    <cellStyle name="Note 3 3 6 4" xfId="32764" xr:uid="{00000000-0005-0000-0000-00002B800000}"/>
    <cellStyle name="Note 3 3 7" xfId="32765" xr:uid="{00000000-0005-0000-0000-00002C800000}"/>
    <cellStyle name="Note 3 3 7 2" xfId="32766" xr:uid="{00000000-0005-0000-0000-00002D800000}"/>
    <cellStyle name="Note 3 3 7 2 2" xfId="32767" xr:uid="{00000000-0005-0000-0000-00002E800000}"/>
    <cellStyle name="Note 3 3 7 3" xfId="32768" xr:uid="{00000000-0005-0000-0000-00002F800000}"/>
    <cellStyle name="Note 3 3 8" xfId="32769" xr:uid="{00000000-0005-0000-0000-000030800000}"/>
    <cellStyle name="Note 3 3 8 2" xfId="32770" xr:uid="{00000000-0005-0000-0000-000031800000}"/>
    <cellStyle name="Note 3 3 9" xfId="32771" xr:uid="{00000000-0005-0000-0000-000032800000}"/>
    <cellStyle name="Note 3 4" xfId="32772" xr:uid="{00000000-0005-0000-0000-000033800000}"/>
    <cellStyle name="Note 3 4 2" xfId="32773" xr:uid="{00000000-0005-0000-0000-000034800000}"/>
    <cellStyle name="Note 3 4 2 2" xfId="32774" xr:uid="{00000000-0005-0000-0000-000035800000}"/>
    <cellStyle name="Note 3 4 2 2 2" xfId="32775" xr:uid="{00000000-0005-0000-0000-000036800000}"/>
    <cellStyle name="Note 3 4 2 2 2 2" xfId="32776" xr:uid="{00000000-0005-0000-0000-000037800000}"/>
    <cellStyle name="Note 3 4 2 2 2 2 2" xfId="32777" xr:uid="{00000000-0005-0000-0000-000038800000}"/>
    <cellStyle name="Note 3 4 2 2 2 2 2 2" xfId="32778" xr:uid="{00000000-0005-0000-0000-000039800000}"/>
    <cellStyle name="Note 3 4 2 2 2 2 2 2 2" xfId="32779" xr:uid="{00000000-0005-0000-0000-00003A800000}"/>
    <cellStyle name="Note 3 4 2 2 2 2 2 3" xfId="32780" xr:uid="{00000000-0005-0000-0000-00003B800000}"/>
    <cellStyle name="Note 3 4 2 2 2 2 3" xfId="32781" xr:uid="{00000000-0005-0000-0000-00003C800000}"/>
    <cellStyle name="Note 3 4 2 2 2 2 3 2" xfId="32782" xr:uid="{00000000-0005-0000-0000-00003D800000}"/>
    <cellStyle name="Note 3 4 2 2 2 2 4" xfId="32783" xr:uid="{00000000-0005-0000-0000-00003E800000}"/>
    <cellStyle name="Note 3 4 2 2 2 3" xfId="32784" xr:uid="{00000000-0005-0000-0000-00003F800000}"/>
    <cellStyle name="Note 3 4 2 2 2 3 2" xfId="32785" xr:uid="{00000000-0005-0000-0000-000040800000}"/>
    <cellStyle name="Note 3 4 2 2 2 3 2 2" xfId="32786" xr:uid="{00000000-0005-0000-0000-000041800000}"/>
    <cellStyle name="Note 3 4 2 2 2 3 3" xfId="32787" xr:uid="{00000000-0005-0000-0000-000042800000}"/>
    <cellStyle name="Note 3 4 2 2 2 4" xfId="32788" xr:uid="{00000000-0005-0000-0000-000043800000}"/>
    <cellStyle name="Note 3 4 2 2 2 4 2" xfId="32789" xr:uid="{00000000-0005-0000-0000-000044800000}"/>
    <cellStyle name="Note 3 4 2 2 2 5" xfId="32790" xr:uid="{00000000-0005-0000-0000-000045800000}"/>
    <cellStyle name="Note 3 4 2 2 3" xfId="32791" xr:uid="{00000000-0005-0000-0000-000046800000}"/>
    <cellStyle name="Note 3 4 2 2 3 2" xfId="32792" xr:uid="{00000000-0005-0000-0000-000047800000}"/>
    <cellStyle name="Note 3 4 2 2 3 2 2" xfId="32793" xr:uid="{00000000-0005-0000-0000-000048800000}"/>
    <cellStyle name="Note 3 4 2 2 3 2 2 2" xfId="32794" xr:uid="{00000000-0005-0000-0000-000049800000}"/>
    <cellStyle name="Note 3 4 2 2 3 2 3" xfId="32795" xr:uid="{00000000-0005-0000-0000-00004A800000}"/>
    <cellStyle name="Note 3 4 2 2 3 3" xfId="32796" xr:uid="{00000000-0005-0000-0000-00004B800000}"/>
    <cellStyle name="Note 3 4 2 2 3 3 2" xfId="32797" xr:uid="{00000000-0005-0000-0000-00004C800000}"/>
    <cellStyle name="Note 3 4 2 2 3 4" xfId="32798" xr:uid="{00000000-0005-0000-0000-00004D800000}"/>
    <cellStyle name="Note 3 4 2 2 4" xfId="32799" xr:uid="{00000000-0005-0000-0000-00004E800000}"/>
    <cellStyle name="Note 3 4 2 2 4 2" xfId="32800" xr:uid="{00000000-0005-0000-0000-00004F800000}"/>
    <cellStyle name="Note 3 4 2 2 4 2 2" xfId="32801" xr:uid="{00000000-0005-0000-0000-000050800000}"/>
    <cellStyle name="Note 3 4 2 2 4 3" xfId="32802" xr:uid="{00000000-0005-0000-0000-000051800000}"/>
    <cellStyle name="Note 3 4 2 2 5" xfId="32803" xr:uid="{00000000-0005-0000-0000-000052800000}"/>
    <cellStyle name="Note 3 4 2 2 5 2" xfId="32804" xr:uid="{00000000-0005-0000-0000-000053800000}"/>
    <cellStyle name="Note 3 4 2 2 6" xfId="32805" xr:uid="{00000000-0005-0000-0000-000054800000}"/>
    <cellStyle name="Note 3 4 2 3" xfId="32806" xr:uid="{00000000-0005-0000-0000-000055800000}"/>
    <cellStyle name="Note 3 4 2 3 2" xfId="32807" xr:uid="{00000000-0005-0000-0000-000056800000}"/>
    <cellStyle name="Note 3 4 2 3 2 2" xfId="32808" xr:uid="{00000000-0005-0000-0000-000057800000}"/>
    <cellStyle name="Note 3 4 2 3 2 2 2" xfId="32809" xr:uid="{00000000-0005-0000-0000-000058800000}"/>
    <cellStyle name="Note 3 4 2 3 2 2 2 2" xfId="32810" xr:uid="{00000000-0005-0000-0000-000059800000}"/>
    <cellStyle name="Note 3 4 2 3 2 2 3" xfId="32811" xr:uid="{00000000-0005-0000-0000-00005A800000}"/>
    <cellStyle name="Note 3 4 2 3 2 3" xfId="32812" xr:uid="{00000000-0005-0000-0000-00005B800000}"/>
    <cellStyle name="Note 3 4 2 3 2 3 2" xfId="32813" xr:uid="{00000000-0005-0000-0000-00005C800000}"/>
    <cellStyle name="Note 3 4 2 3 2 4" xfId="32814" xr:uid="{00000000-0005-0000-0000-00005D800000}"/>
    <cellStyle name="Note 3 4 2 3 3" xfId="32815" xr:uid="{00000000-0005-0000-0000-00005E800000}"/>
    <cellStyle name="Note 3 4 2 3 3 2" xfId="32816" xr:uid="{00000000-0005-0000-0000-00005F800000}"/>
    <cellStyle name="Note 3 4 2 3 3 2 2" xfId="32817" xr:uid="{00000000-0005-0000-0000-000060800000}"/>
    <cellStyle name="Note 3 4 2 3 3 3" xfId="32818" xr:uid="{00000000-0005-0000-0000-000061800000}"/>
    <cellStyle name="Note 3 4 2 3 4" xfId="32819" xr:uid="{00000000-0005-0000-0000-000062800000}"/>
    <cellStyle name="Note 3 4 2 3 4 2" xfId="32820" xr:uid="{00000000-0005-0000-0000-000063800000}"/>
    <cellStyle name="Note 3 4 2 3 5" xfId="32821" xr:uid="{00000000-0005-0000-0000-000064800000}"/>
    <cellStyle name="Note 3 4 2 4" xfId="32822" xr:uid="{00000000-0005-0000-0000-000065800000}"/>
    <cellStyle name="Note 3 4 2 4 2" xfId="32823" xr:uid="{00000000-0005-0000-0000-000066800000}"/>
    <cellStyle name="Note 3 4 2 4 2 2" xfId="32824" xr:uid="{00000000-0005-0000-0000-000067800000}"/>
    <cellStyle name="Note 3 4 2 4 2 2 2" xfId="32825" xr:uid="{00000000-0005-0000-0000-000068800000}"/>
    <cellStyle name="Note 3 4 2 4 2 3" xfId="32826" xr:uid="{00000000-0005-0000-0000-000069800000}"/>
    <cellStyle name="Note 3 4 2 4 3" xfId="32827" xr:uid="{00000000-0005-0000-0000-00006A800000}"/>
    <cellStyle name="Note 3 4 2 4 3 2" xfId="32828" xr:uid="{00000000-0005-0000-0000-00006B800000}"/>
    <cellStyle name="Note 3 4 2 4 4" xfId="32829" xr:uid="{00000000-0005-0000-0000-00006C800000}"/>
    <cellStyle name="Note 3 4 2 5" xfId="32830" xr:uid="{00000000-0005-0000-0000-00006D800000}"/>
    <cellStyle name="Note 3 4 2 5 2" xfId="32831" xr:uid="{00000000-0005-0000-0000-00006E800000}"/>
    <cellStyle name="Note 3 4 2 5 2 2" xfId="32832" xr:uid="{00000000-0005-0000-0000-00006F800000}"/>
    <cellStyle name="Note 3 4 2 5 3" xfId="32833" xr:uid="{00000000-0005-0000-0000-000070800000}"/>
    <cellStyle name="Note 3 4 2 6" xfId="32834" xr:uid="{00000000-0005-0000-0000-000071800000}"/>
    <cellStyle name="Note 3 4 2 6 2" xfId="32835" xr:uid="{00000000-0005-0000-0000-000072800000}"/>
    <cellStyle name="Note 3 4 2 7" xfId="32836" xr:uid="{00000000-0005-0000-0000-000073800000}"/>
    <cellStyle name="Note 3 4 3" xfId="32837" xr:uid="{00000000-0005-0000-0000-000074800000}"/>
    <cellStyle name="Note 3 4 3 2" xfId="32838" xr:uid="{00000000-0005-0000-0000-000075800000}"/>
    <cellStyle name="Note 3 4 3 2 2" xfId="32839" xr:uid="{00000000-0005-0000-0000-000076800000}"/>
    <cellStyle name="Note 3 4 3 2 2 2" xfId="32840" xr:uid="{00000000-0005-0000-0000-000077800000}"/>
    <cellStyle name="Note 3 4 3 2 2 2 2" xfId="32841" xr:uid="{00000000-0005-0000-0000-000078800000}"/>
    <cellStyle name="Note 3 4 3 2 2 2 2 2" xfId="32842" xr:uid="{00000000-0005-0000-0000-000079800000}"/>
    <cellStyle name="Note 3 4 3 2 2 2 3" xfId="32843" xr:uid="{00000000-0005-0000-0000-00007A800000}"/>
    <cellStyle name="Note 3 4 3 2 2 3" xfId="32844" xr:uid="{00000000-0005-0000-0000-00007B800000}"/>
    <cellStyle name="Note 3 4 3 2 2 3 2" xfId="32845" xr:uid="{00000000-0005-0000-0000-00007C800000}"/>
    <cellStyle name="Note 3 4 3 2 2 4" xfId="32846" xr:uid="{00000000-0005-0000-0000-00007D800000}"/>
    <cellStyle name="Note 3 4 3 2 3" xfId="32847" xr:uid="{00000000-0005-0000-0000-00007E800000}"/>
    <cellStyle name="Note 3 4 3 2 3 2" xfId="32848" xr:uid="{00000000-0005-0000-0000-00007F800000}"/>
    <cellStyle name="Note 3 4 3 2 3 2 2" xfId="32849" xr:uid="{00000000-0005-0000-0000-000080800000}"/>
    <cellStyle name="Note 3 4 3 2 3 3" xfId="32850" xr:uid="{00000000-0005-0000-0000-000081800000}"/>
    <cellStyle name="Note 3 4 3 2 4" xfId="32851" xr:uid="{00000000-0005-0000-0000-000082800000}"/>
    <cellStyle name="Note 3 4 3 2 4 2" xfId="32852" xr:uid="{00000000-0005-0000-0000-000083800000}"/>
    <cellStyle name="Note 3 4 3 2 5" xfId="32853" xr:uid="{00000000-0005-0000-0000-000084800000}"/>
    <cellStyle name="Note 3 4 3 3" xfId="32854" xr:uid="{00000000-0005-0000-0000-000085800000}"/>
    <cellStyle name="Note 3 4 3 3 2" xfId="32855" xr:uid="{00000000-0005-0000-0000-000086800000}"/>
    <cellStyle name="Note 3 4 3 3 2 2" xfId="32856" xr:uid="{00000000-0005-0000-0000-000087800000}"/>
    <cellStyle name="Note 3 4 3 3 2 2 2" xfId="32857" xr:uid="{00000000-0005-0000-0000-000088800000}"/>
    <cellStyle name="Note 3 4 3 3 2 3" xfId="32858" xr:uid="{00000000-0005-0000-0000-000089800000}"/>
    <cellStyle name="Note 3 4 3 3 3" xfId="32859" xr:uid="{00000000-0005-0000-0000-00008A800000}"/>
    <cellStyle name="Note 3 4 3 3 3 2" xfId="32860" xr:uid="{00000000-0005-0000-0000-00008B800000}"/>
    <cellStyle name="Note 3 4 3 3 4" xfId="32861" xr:uid="{00000000-0005-0000-0000-00008C800000}"/>
    <cellStyle name="Note 3 4 3 4" xfId="32862" xr:uid="{00000000-0005-0000-0000-00008D800000}"/>
    <cellStyle name="Note 3 4 3 4 2" xfId="32863" xr:uid="{00000000-0005-0000-0000-00008E800000}"/>
    <cellStyle name="Note 3 4 3 4 2 2" xfId="32864" xr:uid="{00000000-0005-0000-0000-00008F800000}"/>
    <cellStyle name="Note 3 4 3 4 3" xfId="32865" xr:uid="{00000000-0005-0000-0000-000090800000}"/>
    <cellStyle name="Note 3 4 3 5" xfId="32866" xr:uid="{00000000-0005-0000-0000-000091800000}"/>
    <cellStyle name="Note 3 4 3 5 2" xfId="32867" xr:uid="{00000000-0005-0000-0000-000092800000}"/>
    <cellStyle name="Note 3 4 3 6" xfId="32868" xr:uid="{00000000-0005-0000-0000-000093800000}"/>
    <cellStyle name="Note 3 4 4" xfId="32869" xr:uid="{00000000-0005-0000-0000-000094800000}"/>
    <cellStyle name="Note 3 4 4 2" xfId="32870" xr:uid="{00000000-0005-0000-0000-000095800000}"/>
    <cellStyle name="Note 3 4 4 2 2" xfId="32871" xr:uid="{00000000-0005-0000-0000-000096800000}"/>
    <cellStyle name="Note 3 4 4 2 2 2" xfId="32872" xr:uid="{00000000-0005-0000-0000-000097800000}"/>
    <cellStyle name="Note 3 4 4 2 2 2 2" xfId="32873" xr:uid="{00000000-0005-0000-0000-000098800000}"/>
    <cellStyle name="Note 3 4 4 2 2 3" xfId="32874" xr:uid="{00000000-0005-0000-0000-000099800000}"/>
    <cellStyle name="Note 3 4 4 2 3" xfId="32875" xr:uid="{00000000-0005-0000-0000-00009A800000}"/>
    <cellStyle name="Note 3 4 4 2 3 2" xfId="32876" xr:uid="{00000000-0005-0000-0000-00009B800000}"/>
    <cellStyle name="Note 3 4 4 2 4" xfId="32877" xr:uid="{00000000-0005-0000-0000-00009C800000}"/>
    <cellStyle name="Note 3 4 4 3" xfId="32878" xr:uid="{00000000-0005-0000-0000-00009D800000}"/>
    <cellStyle name="Note 3 4 4 3 2" xfId="32879" xr:uid="{00000000-0005-0000-0000-00009E800000}"/>
    <cellStyle name="Note 3 4 4 3 2 2" xfId="32880" xr:uid="{00000000-0005-0000-0000-00009F800000}"/>
    <cellStyle name="Note 3 4 4 3 3" xfId="32881" xr:uid="{00000000-0005-0000-0000-0000A0800000}"/>
    <cellStyle name="Note 3 4 4 4" xfId="32882" xr:uid="{00000000-0005-0000-0000-0000A1800000}"/>
    <cellStyle name="Note 3 4 4 4 2" xfId="32883" xr:uid="{00000000-0005-0000-0000-0000A2800000}"/>
    <cellStyle name="Note 3 4 4 5" xfId="32884" xr:uid="{00000000-0005-0000-0000-0000A3800000}"/>
    <cellStyle name="Note 3 4 5" xfId="32885" xr:uid="{00000000-0005-0000-0000-0000A4800000}"/>
    <cellStyle name="Note 3 4 5 2" xfId="32886" xr:uid="{00000000-0005-0000-0000-0000A5800000}"/>
    <cellStyle name="Note 3 4 5 2 2" xfId="32887" xr:uid="{00000000-0005-0000-0000-0000A6800000}"/>
    <cellStyle name="Note 3 4 5 2 2 2" xfId="32888" xr:uid="{00000000-0005-0000-0000-0000A7800000}"/>
    <cellStyle name="Note 3 4 5 2 3" xfId="32889" xr:uid="{00000000-0005-0000-0000-0000A8800000}"/>
    <cellStyle name="Note 3 4 5 3" xfId="32890" xr:uid="{00000000-0005-0000-0000-0000A9800000}"/>
    <cellStyle name="Note 3 4 5 3 2" xfId="32891" xr:uid="{00000000-0005-0000-0000-0000AA800000}"/>
    <cellStyle name="Note 3 4 5 4" xfId="32892" xr:uid="{00000000-0005-0000-0000-0000AB800000}"/>
    <cellStyle name="Note 3 4 6" xfId="32893" xr:uid="{00000000-0005-0000-0000-0000AC800000}"/>
    <cellStyle name="Note 3 4 6 2" xfId="32894" xr:uid="{00000000-0005-0000-0000-0000AD800000}"/>
    <cellStyle name="Note 3 4 6 2 2" xfId="32895" xr:uid="{00000000-0005-0000-0000-0000AE800000}"/>
    <cellStyle name="Note 3 4 6 3" xfId="32896" xr:uid="{00000000-0005-0000-0000-0000AF800000}"/>
    <cellStyle name="Note 3 4 7" xfId="32897" xr:uid="{00000000-0005-0000-0000-0000B0800000}"/>
    <cellStyle name="Note 3 4 7 2" xfId="32898" xr:uid="{00000000-0005-0000-0000-0000B1800000}"/>
    <cellStyle name="Note 3 4 8" xfId="32899" xr:uid="{00000000-0005-0000-0000-0000B2800000}"/>
    <cellStyle name="Note 3 5" xfId="32900" xr:uid="{00000000-0005-0000-0000-0000B3800000}"/>
    <cellStyle name="Note 3 5 2" xfId="32901" xr:uid="{00000000-0005-0000-0000-0000B4800000}"/>
    <cellStyle name="Note 3 5 2 2" xfId="32902" xr:uid="{00000000-0005-0000-0000-0000B5800000}"/>
    <cellStyle name="Note 3 5 2 2 2" xfId="32903" xr:uid="{00000000-0005-0000-0000-0000B6800000}"/>
    <cellStyle name="Note 3 5 2 2 2 2" xfId="32904" xr:uid="{00000000-0005-0000-0000-0000B7800000}"/>
    <cellStyle name="Note 3 5 2 2 2 2 2" xfId="32905" xr:uid="{00000000-0005-0000-0000-0000B8800000}"/>
    <cellStyle name="Note 3 5 2 2 2 2 2 2" xfId="32906" xr:uid="{00000000-0005-0000-0000-0000B9800000}"/>
    <cellStyle name="Note 3 5 2 2 2 2 3" xfId="32907" xr:uid="{00000000-0005-0000-0000-0000BA800000}"/>
    <cellStyle name="Note 3 5 2 2 2 3" xfId="32908" xr:uid="{00000000-0005-0000-0000-0000BB800000}"/>
    <cellStyle name="Note 3 5 2 2 2 3 2" xfId="32909" xr:uid="{00000000-0005-0000-0000-0000BC800000}"/>
    <cellStyle name="Note 3 5 2 2 2 4" xfId="32910" xr:uid="{00000000-0005-0000-0000-0000BD800000}"/>
    <cellStyle name="Note 3 5 2 2 3" xfId="32911" xr:uid="{00000000-0005-0000-0000-0000BE800000}"/>
    <cellStyle name="Note 3 5 2 2 3 2" xfId="32912" xr:uid="{00000000-0005-0000-0000-0000BF800000}"/>
    <cellStyle name="Note 3 5 2 2 3 2 2" xfId="32913" xr:uid="{00000000-0005-0000-0000-0000C0800000}"/>
    <cellStyle name="Note 3 5 2 2 3 3" xfId="32914" xr:uid="{00000000-0005-0000-0000-0000C1800000}"/>
    <cellStyle name="Note 3 5 2 2 4" xfId="32915" xr:uid="{00000000-0005-0000-0000-0000C2800000}"/>
    <cellStyle name="Note 3 5 2 2 4 2" xfId="32916" xr:uid="{00000000-0005-0000-0000-0000C3800000}"/>
    <cellStyle name="Note 3 5 2 2 5" xfId="32917" xr:uid="{00000000-0005-0000-0000-0000C4800000}"/>
    <cellStyle name="Note 3 5 2 3" xfId="32918" xr:uid="{00000000-0005-0000-0000-0000C5800000}"/>
    <cellStyle name="Note 3 5 2 3 2" xfId="32919" xr:uid="{00000000-0005-0000-0000-0000C6800000}"/>
    <cellStyle name="Note 3 5 2 3 2 2" xfId="32920" xr:uid="{00000000-0005-0000-0000-0000C7800000}"/>
    <cellStyle name="Note 3 5 2 3 2 2 2" xfId="32921" xr:uid="{00000000-0005-0000-0000-0000C8800000}"/>
    <cellStyle name="Note 3 5 2 3 2 3" xfId="32922" xr:uid="{00000000-0005-0000-0000-0000C9800000}"/>
    <cellStyle name="Note 3 5 2 3 3" xfId="32923" xr:uid="{00000000-0005-0000-0000-0000CA800000}"/>
    <cellStyle name="Note 3 5 2 3 3 2" xfId="32924" xr:uid="{00000000-0005-0000-0000-0000CB800000}"/>
    <cellStyle name="Note 3 5 2 3 4" xfId="32925" xr:uid="{00000000-0005-0000-0000-0000CC800000}"/>
    <cellStyle name="Note 3 5 2 4" xfId="32926" xr:uid="{00000000-0005-0000-0000-0000CD800000}"/>
    <cellStyle name="Note 3 5 2 4 2" xfId="32927" xr:uid="{00000000-0005-0000-0000-0000CE800000}"/>
    <cellStyle name="Note 3 5 2 4 2 2" xfId="32928" xr:uid="{00000000-0005-0000-0000-0000CF800000}"/>
    <cellStyle name="Note 3 5 2 4 3" xfId="32929" xr:uid="{00000000-0005-0000-0000-0000D0800000}"/>
    <cellStyle name="Note 3 5 2 5" xfId="32930" xr:uid="{00000000-0005-0000-0000-0000D1800000}"/>
    <cellStyle name="Note 3 5 2 5 2" xfId="32931" xr:uid="{00000000-0005-0000-0000-0000D2800000}"/>
    <cellStyle name="Note 3 5 2 6" xfId="32932" xr:uid="{00000000-0005-0000-0000-0000D3800000}"/>
    <cellStyle name="Note 3 5 3" xfId="32933" xr:uid="{00000000-0005-0000-0000-0000D4800000}"/>
    <cellStyle name="Note 3 5 3 2" xfId="32934" xr:uid="{00000000-0005-0000-0000-0000D5800000}"/>
    <cellStyle name="Note 3 5 3 2 2" xfId="32935" xr:uid="{00000000-0005-0000-0000-0000D6800000}"/>
    <cellStyle name="Note 3 5 3 2 2 2" xfId="32936" xr:uid="{00000000-0005-0000-0000-0000D7800000}"/>
    <cellStyle name="Note 3 5 3 2 2 2 2" xfId="32937" xr:uid="{00000000-0005-0000-0000-0000D8800000}"/>
    <cellStyle name="Note 3 5 3 2 2 3" xfId="32938" xr:uid="{00000000-0005-0000-0000-0000D9800000}"/>
    <cellStyle name="Note 3 5 3 2 3" xfId="32939" xr:uid="{00000000-0005-0000-0000-0000DA800000}"/>
    <cellStyle name="Note 3 5 3 2 3 2" xfId="32940" xr:uid="{00000000-0005-0000-0000-0000DB800000}"/>
    <cellStyle name="Note 3 5 3 2 4" xfId="32941" xr:uid="{00000000-0005-0000-0000-0000DC800000}"/>
    <cellStyle name="Note 3 5 3 3" xfId="32942" xr:uid="{00000000-0005-0000-0000-0000DD800000}"/>
    <cellStyle name="Note 3 5 3 3 2" xfId="32943" xr:uid="{00000000-0005-0000-0000-0000DE800000}"/>
    <cellStyle name="Note 3 5 3 3 2 2" xfId="32944" xr:uid="{00000000-0005-0000-0000-0000DF800000}"/>
    <cellStyle name="Note 3 5 3 3 3" xfId="32945" xr:uid="{00000000-0005-0000-0000-0000E0800000}"/>
    <cellStyle name="Note 3 5 3 4" xfId="32946" xr:uid="{00000000-0005-0000-0000-0000E1800000}"/>
    <cellStyle name="Note 3 5 3 4 2" xfId="32947" xr:uid="{00000000-0005-0000-0000-0000E2800000}"/>
    <cellStyle name="Note 3 5 3 5" xfId="32948" xr:uid="{00000000-0005-0000-0000-0000E3800000}"/>
    <cellStyle name="Note 3 5 4" xfId="32949" xr:uid="{00000000-0005-0000-0000-0000E4800000}"/>
    <cellStyle name="Note 3 5 4 2" xfId="32950" xr:uid="{00000000-0005-0000-0000-0000E5800000}"/>
    <cellStyle name="Note 3 5 4 2 2" xfId="32951" xr:uid="{00000000-0005-0000-0000-0000E6800000}"/>
    <cellStyle name="Note 3 5 4 2 2 2" xfId="32952" xr:uid="{00000000-0005-0000-0000-0000E7800000}"/>
    <cellStyle name="Note 3 5 4 2 3" xfId="32953" xr:uid="{00000000-0005-0000-0000-0000E8800000}"/>
    <cellStyle name="Note 3 5 4 3" xfId="32954" xr:uid="{00000000-0005-0000-0000-0000E9800000}"/>
    <cellStyle name="Note 3 5 4 3 2" xfId="32955" xr:uid="{00000000-0005-0000-0000-0000EA800000}"/>
    <cellStyle name="Note 3 5 4 4" xfId="32956" xr:uid="{00000000-0005-0000-0000-0000EB800000}"/>
    <cellStyle name="Note 3 5 5" xfId="32957" xr:uid="{00000000-0005-0000-0000-0000EC800000}"/>
    <cellStyle name="Note 3 5 5 2" xfId="32958" xr:uid="{00000000-0005-0000-0000-0000ED800000}"/>
    <cellStyle name="Note 3 5 5 2 2" xfId="32959" xr:uid="{00000000-0005-0000-0000-0000EE800000}"/>
    <cellStyle name="Note 3 5 5 3" xfId="32960" xr:uid="{00000000-0005-0000-0000-0000EF800000}"/>
    <cellStyle name="Note 3 5 6" xfId="32961" xr:uid="{00000000-0005-0000-0000-0000F0800000}"/>
    <cellStyle name="Note 3 5 6 2" xfId="32962" xr:uid="{00000000-0005-0000-0000-0000F1800000}"/>
    <cellStyle name="Note 3 5 7" xfId="32963" xr:uid="{00000000-0005-0000-0000-0000F2800000}"/>
    <cellStyle name="Note 3 6" xfId="32964" xr:uid="{00000000-0005-0000-0000-0000F3800000}"/>
    <cellStyle name="Note 3 6 2" xfId="32965" xr:uid="{00000000-0005-0000-0000-0000F4800000}"/>
    <cellStyle name="Note 3 6 2 2" xfId="32966" xr:uid="{00000000-0005-0000-0000-0000F5800000}"/>
    <cellStyle name="Note 3 6 2 2 2" xfId="32967" xr:uid="{00000000-0005-0000-0000-0000F6800000}"/>
    <cellStyle name="Note 3 6 2 2 2 2" xfId="32968" xr:uid="{00000000-0005-0000-0000-0000F7800000}"/>
    <cellStyle name="Note 3 6 2 2 2 2 2" xfId="32969" xr:uid="{00000000-0005-0000-0000-0000F8800000}"/>
    <cellStyle name="Note 3 6 2 2 2 3" xfId="32970" xr:uid="{00000000-0005-0000-0000-0000F9800000}"/>
    <cellStyle name="Note 3 6 2 2 3" xfId="32971" xr:uid="{00000000-0005-0000-0000-0000FA800000}"/>
    <cellStyle name="Note 3 6 2 2 3 2" xfId="32972" xr:uid="{00000000-0005-0000-0000-0000FB800000}"/>
    <cellStyle name="Note 3 6 2 2 4" xfId="32973" xr:uid="{00000000-0005-0000-0000-0000FC800000}"/>
    <cellStyle name="Note 3 6 2 3" xfId="32974" xr:uid="{00000000-0005-0000-0000-0000FD800000}"/>
    <cellStyle name="Note 3 6 2 3 2" xfId="32975" xr:uid="{00000000-0005-0000-0000-0000FE800000}"/>
    <cellStyle name="Note 3 6 2 3 2 2" xfId="32976" xr:uid="{00000000-0005-0000-0000-0000FF800000}"/>
    <cellStyle name="Note 3 6 2 3 3" xfId="32977" xr:uid="{00000000-0005-0000-0000-000000810000}"/>
    <cellStyle name="Note 3 6 2 4" xfId="32978" xr:uid="{00000000-0005-0000-0000-000001810000}"/>
    <cellStyle name="Note 3 6 2 4 2" xfId="32979" xr:uid="{00000000-0005-0000-0000-000002810000}"/>
    <cellStyle name="Note 3 6 2 5" xfId="32980" xr:uid="{00000000-0005-0000-0000-000003810000}"/>
    <cellStyle name="Note 3 6 3" xfId="32981" xr:uid="{00000000-0005-0000-0000-000004810000}"/>
    <cellStyle name="Note 3 6 3 2" xfId="32982" xr:uid="{00000000-0005-0000-0000-000005810000}"/>
    <cellStyle name="Note 3 6 3 2 2" xfId="32983" xr:uid="{00000000-0005-0000-0000-000006810000}"/>
    <cellStyle name="Note 3 6 3 2 2 2" xfId="32984" xr:uid="{00000000-0005-0000-0000-000007810000}"/>
    <cellStyle name="Note 3 6 3 2 3" xfId="32985" xr:uid="{00000000-0005-0000-0000-000008810000}"/>
    <cellStyle name="Note 3 6 3 3" xfId="32986" xr:uid="{00000000-0005-0000-0000-000009810000}"/>
    <cellStyle name="Note 3 6 3 3 2" xfId="32987" xr:uid="{00000000-0005-0000-0000-00000A810000}"/>
    <cellStyle name="Note 3 6 3 4" xfId="32988" xr:uid="{00000000-0005-0000-0000-00000B810000}"/>
    <cellStyle name="Note 3 6 4" xfId="32989" xr:uid="{00000000-0005-0000-0000-00000C810000}"/>
    <cellStyle name="Note 3 6 4 2" xfId="32990" xr:uid="{00000000-0005-0000-0000-00000D810000}"/>
    <cellStyle name="Note 3 6 4 2 2" xfId="32991" xr:uid="{00000000-0005-0000-0000-00000E810000}"/>
    <cellStyle name="Note 3 6 4 3" xfId="32992" xr:uid="{00000000-0005-0000-0000-00000F810000}"/>
    <cellStyle name="Note 3 6 5" xfId="32993" xr:uid="{00000000-0005-0000-0000-000010810000}"/>
    <cellStyle name="Note 3 6 5 2" xfId="32994" xr:uid="{00000000-0005-0000-0000-000011810000}"/>
    <cellStyle name="Note 3 6 6" xfId="32995" xr:uid="{00000000-0005-0000-0000-000012810000}"/>
    <cellStyle name="Note 3 7" xfId="32996" xr:uid="{00000000-0005-0000-0000-000013810000}"/>
    <cellStyle name="Note 3 7 2" xfId="32997" xr:uid="{00000000-0005-0000-0000-000014810000}"/>
    <cellStyle name="Note 3 7 2 2" xfId="32998" xr:uid="{00000000-0005-0000-0000-000015810000}"/>
    <cellStyle name="Note 3 7 2 2 2" xfId="32999" xr:uid="{00000000-0005-0000-0000-000016810000}"/>
    <cellStyle name="Note 3 7 2 2 2 2" xfId="33000" xr:uid="{00000000-0005-0000-0000-000017810000}"/>
    <cellStyle name="Note 3 7 2 2 3" xfId="33001" xr:uid="{00000000-0005-0000-0000-000018810000}"/>
    <cellStyle name="Note 3 7 2 3" xfId="33002" xr:uid="{00000000-0005-0000-0000-000019810000}"/>
    <cellStyle name="Note 3 7 2 3 2" xfId="33003" xr:uid="{00000000-0005-0000-0000-00001A810000}"/>
    <cellStyle name="Note 3 7 2 4" xfId="33004" xr:uid="{00000000-0005-0000-0000-00001B810000}"/>
    <cellStyle name="Note 3 7 3" xfId="33005" xr:uid="{00000000-0005-0000-0000-00001C810000}"/>
    <cellStyle name="Note 3 7 3 2" xfId="33006" xr:uid="{00000000-0005-0000-0000-00001D810000}"/>
    <cellStyle name="Note 3 7 3 2 2" xfId="33007" xr:uid="{00000000-0005-0000-0000-00001E810000}"/>
    <cellStyle name="Note 3 7 3 3" xfId="33008" xr:uid="{00000000-0005-0000-0000-00001F810000}"/>
    <cellStyle name="Note 3 7 4" xfId="33009" xr:uid="{00000000-0005-0000-0000-000020810000}"/>
    <cellStyle name="Note 3 7 4 2" xfId="33010" xr:uid="{00000000-0005-0000-0000-000021810000}"/>
    <cellStyle name="Note 3 7 5" xfId="33011" xr:uid="{00000000-0005-0000-0000-000022810000}"/>
    <cellStyle name="Note 3 8" xfId="33012" xr:uid="{00000000-0005-0000-0000-000023810000}"/>
    <cellStyle name="Note 3 8 2" xfId="33013" xr:uid="{00000000-0005-0000-0000-000024810000}"/>
    <cellStyle name="Note 3 8 2 2" xfId="33014" xr:uid="{00000000-0005-0000-0000-000025810000}"/>
    <cellStyle name="Note 3 8 2 2 2" xfId="33015" xr:uid="{00000000-0005-0000-0000-000026810000}"/>
    <cellStyle name="Note 3 8 2 3" xfId="33016" xr:uid="{00000000-0005-0000-0000-000027810000}"/>
    <cellStyle name="Note 3 8 3" xfId="33017" xr:uid="{00000000-0005-0000-0000-000028810000}"/>
    <cellStyle name="Note 3 8 3 2" xfId="33018" xr:uid="{00000000-0005-0000-0000-000029810000}"/>
    <cellStyle name="Note 3 8 4" xfId="33019" xr:uid="{00000000-0005-0000-0000-00002A810000}"/>
    <cellStyle name="Note 3 9" xfId="33020" xr:uid="{00000000-0005-0000-0000-00002B810000}"/>
    <cellStyle name="Note 3 9 2" xfId="33021" xr:uid="{00000000-0005-0000-0000-00002C810000}"/>
    <cellStyle name="Note 3 9 2 2" xfId="33022" xr:uid="{00000000-0005-0000-0000-00002D810000}"/>
    <cellStyle name="Note 3 9 3" xfId="33023" xr:uid="{00000000-0005-0000-0000-00002E810000}"/>
    <cellStyle name="Note 4" xfId="33024" xr:uid="{00000000-0005-0000-0000-00002F810000}"/>
    <cellStyle name="Note 4 10" xfId="33025" xr:uid="{00000000-0005-0000-0000-000030810000}"/>
    <cellStyle name="Note 4 2" xfId="33026" xr:uid="{00000000-0005-0000-0000-000031810000}"/>
    <cellStyle name="Note 4 2 2" xfId="33027" xr:uid="{00000000-0005-0000-0000-000032810000}"/>
    <cellStyle name="Note 4 2 2 2" xfId="33028" xr:uid="{00000000-0005-0000-0000-000033810000}"/>
    <cellStyle name="Note 4 2 2 2 2" xfId="33029" xr:uid="{00000000-0005-0000-0000-000034810000}"/>
    <cellStyle name="Note 4 2 2 2 2 2" xfId="33030" xr:uid="{00000000-0005-0000-0000-000035810000}"/>
    <cellStyle name="Note 4 2 2 2 2 2 2" xfId="33031" xr:uid="{00000000-0005-0000-0000-000036810000}"/>
    <cellStyle name="Note 4 2 2 2 2 2 2 2" xfId="33032" xr:uid="{00000000-0005-0000-0000-000037810000}"/>
    <cellStyle name="Note 4 2 2 2 2 2 2 2 2" xfId="33033" xr:uid="{00000000-0005-0000-0000-000038810000}"/>
    <cellStyle name="Note 4 2 2 2 2 2 2 2 2 2" xfId="33034" xr:uid="{00000000-0005-0000-0000-000039810000}"/>
    <cellStyle name="Note 4 2 2 2 2 2 2 2 3" xfId="33035" xr:uid="{00000000-0005-0000-0000-00003A810000}"/>
    <cellStyle name="Note 4 2 2 2 2 2 2 3" xfId="33036" xr:uid="{00000000-0005-0000-0000-00003B810000}"/>
    <cellStyle name="Note 4 2 2 2 2 2 2 3 2" xfId="33037" xr:uid="{00000000-0005-0000-0000-00003C810000}"/>
    <cellStyle name="Note 4 2 2 2 2 2 2 4" xfId="33038" xr:uid="{00000000-0005-0000-0000-00003D810000}"/>
    <cellStyle name="Note 4 2 2 2 2 2 3" xfId="33039" xr:uid="{00000000-0005-0000-0000-00003E810000}"/>
    <cellStyle name="Note 4 2 2 2 2 2 3 2" xfId="33040" xr:uid="{00000000-0005-0000-0000-00003F810000}"/>
    <cellStyle name="Note 4 2 2 2 2 2 3 2 2" xfId="33041" xr:uid="{00000000-0005-0000-0000-000040810000}"/>
    <cellStyle name="Note 4 2 2 2 2 2 3 3" xfId="33042" xr:uid="{00000000-0005-0000-0000-000041810000}"/>
    <cellStyle name="Note 4 2 2 2 2 2 4" xfId="33043" xr:uid="{00000000-0005-0000-0000-000042810000}"/>
    <cellStyle name="Note 4 2 2 2 2 2 4 2" xfId="33044" xr:uid="{00000000-0005-0000-0000-000043810000}"/>
    <cellStyle name="Note 4 2 2 2 2 2 5" xfId="33045" xr:uid="{00000000-0005-0000-0000-000044810000}"/>
    <cellStyle name="Note 4 2 2 2 2 3" xfId="33046" xr:uid="{00000000-0005-0000-0000-000045810000}"/>
    <cellStyle name="Note 4 2 2 2 2 3 2" xfId="33047" xr:uid="{00000000-0005-0000-0000-000046810000}"/>
    <cellStyle name="Note 4 2 2 2 2 3 2 2" xfId="33048" xr:uid="{00000000-0005-0000-0000-000047810000}"/>
    <cellStyle name="Note 4 2 2 2 2 3 2 2 2" xfId="33049" xr:uid="{00000000-0005-0000-0000-000048810000}"/>
    <cellStyle name="Note 4 2 2 2 2 3 2 3" xfId="33050" xr:uid="{00000000-0005-0000-0000-000049810000}"/>
    <cellStyle name="Note 4 2 2 2 2 3 3" xfId="33051" xr:uid="{00000000-0005-0000-0000-00004A810000}"/>
    <cellStyle name="Note 4 2 2 2 2 3 3 2" xfId="33052" xr:uid="{00000000-0005-0000-0000-00004B810000}"/>
    <cellStyle name="Note 4 2 2 2 2 3 4" xfId="33053" xr:uid="{00000000-0005-0000-0000-00004C810000}"/>
    <cellStyle name="Note 4 2 2 2 2 4" xfId="33054" xr:uid="{00000000-0005-0000-0000-00004D810000}"/>
    <cellStyle name="Note 4 2 2 2 2 4 2" xfId="33055" xr:uid="{00000000-0005-0000-0000-00004E810000}"/>
    <cellStyle name="Note 4 2 2 2 2 4 2 2" xfId="33056" xr:uid="{00000000-0005-0000-0000-00004F810000}"/>
    <cellStyle name="Note 4 2 2 2 2 4 3" xfId="33057" xr:uid="{00000000-0005-0000-0000-000050810000}"/>
    <cellStyle name="Note 4 2 2 2 2 5" xfId="33058" xr:uid="{00000000-0005-0000-0000-000051810000}"/>
    <cellStyle name="Note 4 2 2 2 2 5 2" xfId="33059" xr:uid="{00000000-0005-0000-0000-000052810000}"/>
    <cellStyle name="Note 4 2 2 2 2 6" xfId="33060" xr:uid="{00000000-0005-0000-0000-000053810000}"/>
    <cellStyle name="Note 4 2 2 2 3" xfId="33061" xr:uid="{00000000-0005-0000-0000-000054810000}"/>
    <cellStyle name="Note 4 2 2 2 3 2" xfId="33062" xr:uid="{00000000-0005-0000-0000-000055810000}"/>
    <cellStyle name="Note 4 2 2 2 3 2 2" xfId="33063" xr:uid="{00000000-0005-0000-0000-000056810000}"/>
    <cellStyle name="Note 4 2 2 2 3 2 2 2" xfId="33064" xr:uid="{00000000-0005-0000-0000-000057810000}"/>
    <cellStyle name="Note 4 2 2 2 3 2 2 2 2" xfId="33065" xr:uid="{00000000-0005-0000-0000-000058810000}"/>
    <cellStyle name="Note 4 2 2 2 3 2 2 3" xfId="33066" xr:uid="{00000000-0005-0000-0000-000059810000}"/>
    <cellStyle name="Note 4 2 2 2 3 2 3" xfId="33067" xr:uid="{00000000-0005-0000-0000-00005A810000}"/>
    <cellStyle name="Note 4 2 2 2 3 2 3 2" xfId="33068" xr:uid="{00000000-0005-0000-0000-00005B810000}"/>
    <cellStyle name="Note 4 2 2 2 3 2 4" xfId="33069" xr:uid="{00000000-0005-0000-0000-00005C810000}"/>
    <cellStyle name="Note 4 2 2 2 3 3" xfId="33070" xr:uid="{00000000-0005-0000-0000-00005D810000}"/>
    <cellStyle name="Note 4 2 2 2 3 3 2" xfId="33071" xr:uid="{00000000-0005-0000-0000-00005E810000}"/>
    <cellStyle name="Note 4 2 2 2 3 3 2 2" xfId="33072" xr:uid="{00000000-0005-0000-0000-00005F810000}"/>
    <cellStyle name="Note 4 2 2 2 3 3 3" xfId="33073" xr:uid="{00000000-0005-0000-0000-000060810000}"/>
    <cellStyle name="Note 4 2 2 2 3 4" xfId="33074" xr:uid="{00000000-0005-0000-0000-000061810000}"/>
    <cellStyle name="Note 4 2 2 2 3 4 2" xfId="33075" xr:uid="{00000000-0005-0000-0000-000062810000}"/>
    <cellStyle name="Note 4 2 2 2 3 5" xfId="33076" xr:uid="{00000000-0005-0000-0000-000063810000}"/>
    <cellStyle name="Note 4 2 2 2 4" xfId="33077" xr:uid="{00000000-0005-0000-0000-000064810000}"/>
    <cellStyle name="Note 4 2 2 2 4 2" xfId="33078" xr:uid="{00000000-0005-0000-0000-000065810000}"/>
    <cellStyle name="Note 4 2 2 2 4 2 2" xfId="33079" xr:uid="{00000000-0005-0000-0000-000066810000}"/>
    <cellStyle name="Note 4 2 2 2 4 2 2 2" xfId="33080" xr:uid="{00000000-0005-0000-0000-000067810000}"/>
    <cellStyle name="Note 4 2 2 2 4 2 3" xfId="33081" xr:uid="{00000000-0005-0000-0000-000068810000}"/>
    <cellStyle name="Note 4 2 2 2 4 3" xfId="33082" xr:uid="{00000000-0005-0000-0000-000069810000}"/>
    <cellStyle name="Note 4 2 2 2 4 3 2" xfId="33083" xr:uid="{00000000-0005-0000-0000-00006A810000}"/>
    <cellStyle name="Note 4 2 2 2 4 4" xfId="33084" xr:uid="{00000000-0005-0000-0000-00006B810000}"/>
    <cellStyle name="Note 4 2 2 2 5" xfId="33085" xr:uid="{00000000-0005-0000-0000-00006C810000}"/>
    <cellStyle name="Note 4 2 2 2 5 2" xfId="33086" xr:uid="{00000000-0005-0000-0000-00006D810000}"/>
    <cellStyle name="Note 4 2 2 2 5 2 2" xfId="33087" xr:uid="{00000000-0005-0000-0000-00006E810000}"/>
    <cellStyle name="Note 4 2 2 2 5 3" xfId="33088" xr:uid="{00000000-0005-0000-0000-00006F810000}"/>
    <cellStyle name="Note 4 2 2 2 6" xfId="33089" xr:uid="{00000000-0005-0000-0000-000070810000}"/>
    <cellStyle name="Note 4 2 2 2 6 2" xfId="33090" xr:uid="{00000000-0005-0000-0000-000071810000}"/>
    <cellStyle name="Note 4 2 2 2 7" xfId="33091" xr:uid="{00000000-0005-0000-0000-000072810000}"/>
    <cellStyle name="Note 4 2 2 3" xfId="33092" xr:uid="{00000000-0005-0000-0000-000073810000}"/>
    <cellStyle name="Note 4 2 2 3 2" xfId="33093" xr:uid="{00000000-0005-0000-0000-000074810000}"/>
    <cellStyle name="Note 4 2 2 3 2 2" xfId="33094" xr:uid="{00000000-0005-0000-0000-000075810000}"/>
    <cellStyle name="Note 4 2 2 3 2 2 2" xfId="33095" xr:uid="{00000000-0005-0000-0000-000076810000}"/>
    <cellStyle name="Note 4 2 2 3 2 2 2 2" xfId="33096" xr:uid="{00000000-0005-0000-0000-000077810000}"/>
    <cellStyle name="Note 4 2 2 3 2 2 2 2 2" xfId="33097" xr:uid="{00000000-0005-0000-0000-000078810000}"/>
    <cellStyle name="Note 4 2 2 3 2 2 2 3" xfId="33098" xr:uid="{00000000-0005-0000-0000-000079810000}"/>
    <cellStyle name="Note 4 2 2 3 2 2 3" xfId="33099" xr:uid="{00000000-0005-0000-0000-00007A810000}"/>
    <cellStyle name="Note 4 2 2 3 2 2 3 2" xfId="33100" xr:uid="{00000000-0005-0000-0000-00007B810000}"/>
    <cellStyle name="Note 4 2 2 3 2 2 4" xfId="33101" xr:uid="{00000000-0005-0000-0000-00007C810000}"/>
    <cellStyle name="Note 4 2 2 3 2 3" xfId="33102" xr:uid="{00000000-0005-0000-0000-00007D810000}"/>
    <cellStyle name="Note 4 2 2 3 2 3 2" xfId="33103" xr:uid="{00000000-0005-0000-0000-00007E810000}"/>
    <cellStyle name="Note 4 2 2 3 2 3 2 2" xfId="33104" xr:uid="{00000000-0005-0000-0000-00007F810000}"/>
    <cellStyle name="Note 4 2 2 3 2 3 3" xfId="33105" xr:uid="{00000000-0005-0000-0000-000080810000}"/>
    <cellStyle name="Note 4 2 2 3 2 4" xfId="33106" xr:uid="{00000000-0005-0000-0000-000081810000}"/>
    <cellStyle name="Note 4 2 2 3 2 4 2" xfId="33107" xr:uid="{00000000-0005-0000-0000-000082810000}"/>
    <cellStyle name="Note 4 2 2 3 2 5" xfId="33108" xr:uid="{00000000-0005-0000-0000-000083810000}"/>
    <cellStyle name="Note 4 2 2 3 3" xfId="33109" xr:uid="{00000000-0005-0000-0000-000084810000}"/>
    <cellStyle name="Note 4 2 2 3 3 2" xfId="33110" xr:uid="{00000000-0005-0000-0000-000085810000}"/>
    <cellStyle name="Note 4 2 2 3 3 2 2" xfId="33111" xr:uid="{00000000-0005-0000-0000-000086810000}"/>
    <cellStyle name="Note 4 2 2 3 3 2 2 2" xfId="33112" xr:uid="{00000000-0005-0000-0000-000087810000}"/>
    <cellStyle name="Note 4 2 2 3 3 2 3" xfId="33113" xr:uid="{00000000-0005-0000-0000-000088810000}"/>
    <cellStyle name="Note 4 2 2 3 3 3" xfId="33114" xr:uid="{00000000-0005-0000-0000-000089810000}"/>
    <cellStyle name="Note 4 2 2 3 3 3 2" xfId="33115" xr:uid="{00000000-0005-0000-0000-00008A810000}"/>
    <cellStyle name="Note 4 2 2 3 3 4" xfId="33116" xr:uid="{00000000-0005-0000-0000-00008B810000}"/>
    <cellStyle name="Note 4 2 2 3 4" xfId="33117" xr:uid="{00000000-0005-0000-0000-00008C810000}"/>
    <cellStyle name="Note 4 2 2 3 4 2" xfId="33118" xr:uid="{00000000-0005-0000-0000-00008D810000}"/>
    <cellStyle name="Note 4 2 2 3 4 2 2" xfId="33119" xr:uid="{00000000-0005-0000-0000-00008E810000}"/>
    <cellStyle name="Note 4 2 2 3 4 3" xfId="33120" xr:uid="{00000000-0005-0000-0000-00008F810000}"/>
    <cellStyle name="Note 4 2 2 3 5" xfId="33121" xr:uid="{00000000-0005-0000-0000-000090810000}"/>
    <cellStyle name="Note 4 2 2 3 5 2" xfId="33122" xr:uid="{00000000-0005-0000-0000-000091810000}"/>
    <cellStyle name="Note 4 2 2 3 6" xfId="33123" xr:uid="{00000000-0005-0000-0000-000092810000}"/>
    <cellStyle name="Note 4 2 2 4" xfId="33124" xr:uid="{00000000-0005-0000-0000-000093810000}"/>
    <cellStyle name="Note 4 2 2 4 2" xfId="33125" xr:uid="{00000000-0005-0000-0000-000094810000}"/>
    <cellStyle name="Note 4 2 2 4 2 2" xfId="33126" xr:uid="{00000000-0005-0000-0000-000095810000}"/>
    <cellStyle name="Note 4 2 2 4 2 2 2" xfId="33127" xr:uid="{00000000-0005-0000-0000-000096810000}"/>
    <cellStyle name="Note 4 2 2 4 2 2 2 2" xfId="33128" xr:uid="{00000000-0005-0000-0000-000097810000}"/>
    <cellStyle name="Note 4 2 2 4 2 2 3" xfId="33129" xr:uid="{00000000-0005-0000-0000-000098810000}"/>
    <cellStyle name="Note 4 2 2 4 2 3" xfId="33130" xr:uid="{00000000-0005-0000-0000-000099810000}"/>
    <cellStyle name="Note 4 2 2 4 2 3 2" xfId="33131" xr:uid="{00000000-0005-0000-0000-00009A810000}"/>
    <cellStyle name="Note 4 2 2 4 2 4" xfId="33132" xr:uid="{00000000-0005-0000-0000-00009B810000}"/>
    <cellStyle name="Note 4 2 2 4 3" xfId="33133" xr:uid="{00000000-0005-0000-0000-00009C810000}"/>
    <cellStyle name="Note 4 2 2 4 3 2" xfId="33134" xr:uid="{00000000-0005-0000-0000-00009D810000}"/>
    <cellStyle name="Note 4 2 2 4 3 2 2" xfId="33135" xr:uid="{00000000-0005-0000-0000-00009E810000}"/>
    <cellStyle name="Note 4 2 2 4 3 3" xfId="33136" xr:uid="{00000000-0005-0000-0000-00009F810000}"/>
    <cellStyle name="Note 4 2 2 4 4" xfId="33137" xr:uid="{00000000-0005-0000-0000-0000A0810000}"/>
    <cellStyle name="Note 4 2 2 4 4 2" xfId="33138" xr:uid="{00000000-0005-0000-0000-0000A1810000}"/>
    <cellStyle name="Note 4 2 2 4 5" xfId="33139" xr:uid="{00000000-0005-0000-0000-0000A2810000}"/>
    <cellStyle name="Note 4 2 2 5" xfId="33140" xr:uid="{00000000-0005-0000-0000-0000A3810000}"/>
    <cellStyle name="Note 4 2 2 5 2" xfId="33141" xr:uid="{00000000-0005-0000-0000-0000A4810000}"/>
    <cellStyle name="Note 4 2 2 5 2 2" xfId="33142" xr:uid="{00000000-0005-0000-0000-0000A5810000}"/>
    <cellStyle name="Note 4 2 2 5 2 2 2" xfId="33143" xr:uid="{00000000-0005-0000-0000-0000A6810000}"/>
    <cellStyle name="Note 4 2 2 5 2 3" xfId="33144" xr:uid="{00000000-0005-0000-0000-0000A7810000}"/>
    <cellStyle name="Note 4 2 2 5 3" xfId="33145" xr:uid="{00000000-0005-0000-0000-0000A8810000}"/>
    <cellStyle name="Note 4 2 2 5 3 2" xfId="33146" xr:uid="{00000000-0005-0000-0000-0000A9810000}"/>
    <cellStyle name="Note 4 2 2 5 4" xfId="33147" xr:uid="{00000000-0005-0000-0000-0000AA810000}"/>
    <cellStyle name="Note 4 2 2 6" xfId="33148" xr:uid="{00000000-0005-0000-0000-0000AB810000}"/>
    <cellStyle name="Note 4 2 2 6 2" xfId="33149" xr:uid="{00000000-0005-0000-0000-0000AC810000}"/>
    <cellStyle name="Note 4 2 2 6 2 2" xfId="33150" xr:uid="{00000000-0005-0000-0000-0000AD810000}"/>
    <cellStyle name="Note 4 2 2 6 3" xfId="33151" xr:uid="{00000000-0005-0000-0000-0000AE810000}"/>
    <cellStyle name="Note 4 2 2 7" xfId="33152" xr:uid="{00000000-0005-0000-0000-0000AF810000}"/>
    <cellStyle name="Note 4 2 2 7 2" xfId="33153" xr:uid="{00000000-0005-0000-0000-0000B0810000}"/>
    <cellStyle name="Note 4 2 2 8" xfId="33154" xr:uid="{00000000-0005-0000-0000-0000B1810000}"/>
    <cellStyle name="Note 4 2 3" xfId="33155" xr:uid="{00000000-0005-0000-0000-0000B2810000}"/>
    <cellStyle name="Note 4 2 3 2" xfId="33156" xr:uid="{00000000-0005-0000-0000-0000B3810000}"/>
    <cellStyle name="Note 4 2 3 2 2" xfId="33157" xr:uid="{00000000-0005-0000-0000-0000B4810000}"/>
    <cellStyle name="Note 4 2 3 2 2 2" xfId="33158" xr:uid="{00000000-0005-0000-0000-0000B5810000}"/>
    <cellStyle name="Note 4 2 3 2 2 2 2" xfId="33159" xr:uid="{00000000-0005-0000-0000-0000B6810000}"/>
    <cellStyle name="Note 4 2 3 2 2 2 2 2" xfId="33160" xr:uid="{00000000-0005-0000-0000-0000B7810000}"/>
    <cellStyle name="Note 4 2 3 2 2 2 2 2 2" xfId="33161" xr:uid="{00000000-0005-0000-0000-0000B8810000}"/>
    <cellStyle name="Note 4 2 3 2 2 2 2 3" xfId="33162" xr:uid="{00000000-0005-0000-0000-0000B9810000}"/>
    <cellStyle name="Note 4 2 3 2 2 2 3" xfId="33163" xr:uid="{00000000-0005-0000-0000-0000BA810000}"/>
    <cellStyle name="Note 4 2 3 2 2 2 3 2" xfId="33164" xr:uid="{00000000-0005-0000-0000-0000BB810000}"/>
    <cellStyle name="Note 4 2 3 2 2 2 4" xfId="33165" xr:uid="{00000000-0005-0000-0000-0000BC810000}"/>
    <cellStyle name="Note 4 2 3 2 2 3" xfId="33166" xr:uid="{00000000-0005-0000-0000-0000BD810000}"/>
    <cellStyle name="Note 4 2 3 2 2 3 2" xfId="33167" xr:uid="{00000000-0005-0000-0000-0000BE810000}"/>
    <cellStyle name="Note 4 2 3 2 2 3 2 2" xfId="33168" xr:uid="{00000000-0005-0000-0000-0000BF810000}"/>
    <cellStyle name="Note 4 2 3 2 2 3 3" xfId="33169" xr:uid="{00000000-0005-0000-0000-0000C0810000}"/>
    <cellStyle name="Note 4 2 3 2 2 4" xfId="33170" xr:uid="{00000000-0005-0000-0000-0000C1810000}"/>
    <cellStyle name="Note 4 2 3 2 2 4 2" xfId="33171" xr:uid="{00000000-0005-0000-0000-0000C2810000}"/>
    <cellStyle name="Note 4 2 3 2 2 5" xfId="33172" xr:uid="{00000000-0005-0000-0000-0000C3810000}"/>
    <cellStyle name="Note 4 2 3 2 3" xfId="33173" xr:uid="{00000000-0005-0000-0000-0000C4810000}"/>
    <cellStyle name="Note 4 2 3 2 3 2" xfId="33174" xr:uid="{00000000-0005-0000-0000-0000C5810000}"/>
    <cellStyle name="Note 4 2 3 2 3 2 2" xfId="33175" xr:uid="{00000000-0005-0000-0000-0000C6810000}"/>
    <cellStyle name="Note 4 2 3 2 3 2 2 2" xfId="33176" xr:uid="{00000000-0005-0000-0000-0000C7810000}"/>
    <cellStyle name="Note 4 2 3 2 3 2 3" xfId="33177" xr:uid="{00000000-0005-0000-0000-0000C8810000}"/>
    <cellStyle name="Note 4 2 3 2 3 3" xfId="33178" xr:uid="{00000000-0005-0000-0000-0000C9810000}"/>
    <cellStyle name="Note 4 2 3 2 3 3 2" xfId="33179" xr:uid="{00000000-0005-0000-0000-0000CA810000}"/>
    <cellStyle name="Note 4 2 3 2 3 4" xfId="33180" xr:uid="{00000000-0005-0000-0000-0000CB810000}"/>
    <cellStyle name="Note 4 2 3 2 4" xfId="33181" xr:uid="{00000000-0005-0000-0000-0000CC810000}"/>
    <cellStyle name="Note 4 2 3 2 4 2" xfId="33182" xr:uid="{00000000-0005-0000-0000-0000CD810000}"/>
    <cellStyle name="Note 4 2 3 2 4 2 2" xfId="33183" xr:uid="{00000000-0005-0000-0000-0000CE810000}"/>
    <cellStyle name="Note 4 2 3 2 4 3" xfId="33184" xr:uid="{00000000-0005-0000-0000-0000CF810000}"/>
    <cellStyle name="Note 4 2 3 2 5" xfId="33185" xr:uid="{00000000-0005-0000-0000-0000D0810000}"/>
    <cellStyle name="Note 4 2 3 2 5 2" xfId="33186" xr:uid="{00000000-0005-0000-0000-0000D1810000}"/>
    <cellStyle name="Note 4 2 3 2 6" xfId="33187" xr:uid="{00000000-0005-0000-0000-0000D2810000}"/>
    <cellStyle name="Note 4 2 3 3" xfId="33188" xr:uid="{00000000-0005-0000-0000-0000D3810000}"/>
    <cellStyle name="Note 4 2 3 3 2" xfId="33189" xr:uid="{00000000-0005-0000-0000-0000D4810000}"/>
    <cellStyle name="Note 4 2 3 3 2 2" xfId="33190" xr:uid="{00000000-0005-0000-0000-0000D5810000}"/>
    <cellStyle name="Note 4 2 3 3 2 2 2" xfId="33191" xr:uid="{00000000-0005-0000-0000-0000D6810000}"/>
    <cellStyle name="Note 4 2 3 3 2 2 2 2" xfId="33192" xr:uid="{00000000-0005-0000-0000-0000D7810000}"/>
    <cellStyle name="Note 4 2 3 3 2 2 3" xfId="33193" xr:uid="{00000000-0005-0000-0000-0000D8810000}"/>
    <cellStyle name="Note 4 2 3 3 2 3" xfId="33194" xr:uid="{00000000-0005-0000-0000-0000D9810000}"/>
    <cellStyle name="Note 4 2 3 3 2 3 2" xfId="33195" xr:uid="{00000000-0005-0000-0000-0000DA810000}"/>
    <cellStyle name="Note 4 2 3 3 2 4" xfId="33196" xr:uid="{00000000-0005-0000-0000-0000DB810000}"/>
    <cellStyle name="Note 4 2 3 3 3" xfId="33197" xr:uid="{00000000-0005-0000-0000-0000DC810000}"/>
    <cellStyle name="Note 4 2 3 3 3 2" xfId="33198" xr:uid="{00000000-0005-0000-0000-0000DD810000}"/>
    <cellStyle name="Note 4 2 3 3 3 2 2" xfId="33199" xr:uid="{00000000-0005-0000-0000-0000DE810000}"/>
    <cellStyle name="Note 4 2 3 3 3 3" xfId="33200" xr:uid="{00000000-0005-0000-0000-0000DF810000}"/>
    <cellStyle name="Note 4 2 3 3 4" xfId="33201" xr:uid="{00000000-0005-0000-0000-0000E0810000}"/>
    <cellStyle name="Note 4 2 3 3 4 2" xfId="33202" xr:uid="{00000000-0005-0000-0000-0000E1810000}"/>
    <cellStyle name="Note 4 2 3 3 5" xfId="33203" xr:uid="{00000000-0005-0000-0000-0000E2810000}"/>
    <cellStyle name="Note 4 2 3 4" xfId="33204" xr:uid="{00000000-0005-0000-0000-0000E3810000}"/>
    <cellStyle name="Note 4 2 3 4 2" xfId="33205" xr:uid="{00000000-0005-0000-0000-0000E4810000}"/>
    <cellStyle name="Note 4 2 3 4 2 2" xfId="33206" xr:uid="{00000000-0005-0000-0000-0000E5810000}"/>
    <cellStyle name="Note 4 2 3 4 2 2 2" xfId="33207" xr:uid="{00000000-0005-0000-0000-0000E6810000}"/>
    <cellStyle name="Note 4 2 3 4 2 3" xfId="33208" xr:uid="{00000000-0005-0000-0000-0000E7810000}"/>
    <cellStyle name="Note 4 2 3 4 3" xfId="33209" xr:uid="{00000000-0005-0000-0000-0000E8810000}"/>
    <cellStyle name="Note 4 2 3 4 3 2" xfId="33210" xr:uid="{00000000-0005-0000-0000-0000E9810000}"/>
    <cellStyle name="Note 4 2 3 4 4" xfId="33211" xr:uid="{00000000-0005-0000-0000-0000EA810000}"/>
    <cellStyle name="Note 4 2 3 5" xfId="33212" xr:uid="{00000000-0005-0000-0000-0000EB810000}"/>
    <cellStyle name="Note 4 2 3 5 2" xfId="33213" xr:uid="{00000000-0005-0000-0000-0000EC810000}"/>
    <cellStyle name="Note 4 2 3 5 2 2" xfId="33214" xr:uid="{00000000-0005-0000-0000-0000ED810000}"/>
    <cellStyle name="Note 4 2 3 5 3" xfId="33215" xr:uid="{00000000-0005-0000-0000-0000EE810000}"/>
    <cellStyle name="Note 4 2 3 6" xfId="33216" xr:uid="{00000000-0005-0000-0000-0000EF810000}"/>
    <cellStyle name="Note 4 2 3 6 2" xfId="33217" xr:uid="{00000000-0005-0000-0000-0000F0810000}"/>
    <cellStyle name="Note 4 2 3 7" xfId="33218" xr:uid="{00000000-0005-0000-0000-0000F1810000}"/>
    <cellStyle name="Note 4 2 4" xfId="33219" xr:uid="{00000000-0005-0000-0000-0000F2810000}"/>
    <cellStyle name="Note 4 2 4 2" xfId="33220" xr:uid="{00000000-0005-0000-0000-0000F3810000}"/>
    <cellStyle name="Note 4 2 4 2 2" xfId="33221" xr:uid="{00000000-0005-0000-0000-0000F4810000}"/>
    <cellStyle name="Note 4 2 4 2 2 2" xfId="33222" xr:uid="{00000000-0005-0000-0000-0000F5810000}"/>
    <cellStyle name="Note 4 2 4 2 2 2 2" xfId="33223" xr:uid="{00000000-0005-0000-0000-0000F6810000}"/>
    <cellStyle name="Note 4 2 4 2 2 2 2 2" xfId="33224" xr:uid="{00000000-0005-0000-0000-0000F7810000}"/>
    <cellStyle name="Note 4 2 4 2 2 2 3" xfId="33225" xr:uid="{00000000-0005-0000-0000-0000F8810000}"/>
    <cellStyle name="Note 4 2 4 2 2 3" xfId="33226" xr:uid="{00000000-0005-0000-0000-0000F9810000}"/>
    <cellStyle name="Note 4 2 4 2 2 3 2" xfId="33227" xr:uid="{00000000-0005-0000-0000-0000FA810000}"/>
    <cellStyle name="Note 4 2 4 2 2 4" xfId="33228" xr:uid="{00000000-0005-0000-0000-0000FB810000}"/>
    <cellStyle name="Note 4 2 4 2 3" xfId="33229" xr:uid="{00000000-0005-0000-0000-0000FC810000}"/>
    <cellStyle name="Note 4 2 4 2 3 2" xfId="33230" xr:uid="{00000000-0005-0000-0000-0000FD810000}"/>
    <cellStyle name="Note 4 2 4 2 3 2 2" xfId="33231" xr:uid="{00000000-0005-0000-0000-0000FE810000}"/>
    <cellStyle name="Note 4 2 4 2 3 3" xfId="33232" xr:uid="{00000000-0005-0000-0000-0000FF810000}"/>
    <cellStyle name="Note 4 2 4 2 4" xfId="33233" xr:uid="{00000000-0005-0000-0000-000000820000}"/>
    <cellStyle name="Note 4 2 4 2 4 2" xfId="33234" xr:uid="{00000000-0005-0000-0000-000001820000}"/>
    <cellStyle name="Note 4 2 4 2 5" xfId="33235" xr:uid="{00000000-0005-0000-0000-000002820000}"/>
    <cellStyle name="Note 4 2 4 3" xfId="33236" xr:uid="{00000000-0005-0000-0000-000003820000}"/>
    <cellStyle name="Note 4 2 4 3 2" xfId="33237" xr:uid="{00000000-0005-0000-0000-000004820000}"/>
    <cellStyle name="Note 4 2 4 3 2 2" xfId="33238" xr:uid="{00000000-0005-0000-0000-000005820000}"/>
    <cellStyle name="Note 4 2 4 3 2 2 2" xfId="33239" xr:uid="{00000000-0005-0000-0000-000006820000}"/>
    <cellStyle name="Note 4 2 4 3 2 3" xfId="33240" xr:uid="{00000000-0005-0000-0000-000007820000}"/>
    <cellStyle name="Note 4 2 4 3 3" xfId="33241" xr:uid="{00000000-0005-0000-0000-000008820000}"/>
    <cellStyle name="Note 4 2 4 3 3 2" xfId="33242" xr:uid="{00000000-0005-0000-0000-000009820000}"/>
    <cellStyle name="Note 4 2 4 3 4" xfId="33243" xr:uid="{00000000-0005-0000-0000-00000A820000}"/>
    <cellStyle name="Note 4 2 4 4" xfId="33244" xr:uid="{00000000-0005-0000-0000-00000B820000}"/>
    <cellStyle name="Note 4 2 4 4 2" xfId="33245" xr:uid="{00000000-0005-0000-0000-00000C820000}"/>
    <cellStyle name="Note 4 2 4 4 2 2" xfId="33246" xr:uid="{00000000-0005-0000-0000-00000D820000}"/>
    <cellStyle name="Note 4 2 4 4 3" xfId="33247" xr:uid="{00000000-0005-0000-0000-00000E820000}"/>
    <cellStyle name="Note 4 2 4 5" xfId="33248" xr:uid="{00000000-0005-0000-0000-00000F820000}"/>
    <cellStyle name="Note 4 2 4 5 2" xfId="33249" xr:uid="{00000000-0005-0000-0000-000010820000}"/>
    <cellStyle name="Note 4 2 4 6" xfId="33250" xr:uid="{00000000-0005-0000-0000-000011820000}"/>
    <cellStyle name="Note 4 2 5" xfId="33251" xr:uid="{00000000-0005-0000-0000-000012820000}"/>
    <cellStyle name="Note 4 2 5 2" xfId="33252" xr:uid="{00000000-0005-0000-0000-000013820000}"/>
    <cellStyle name="Note 4 2 5 2 2" xfId="33253" xr:uid="{00000000-0005-0000-0000-000014820000}"/>
    <cellStyle name="Note 4 2 5 2 2 2" xfId="33254" xr:uid="{00000000-0005-0000-0000-000015820000}"/>
    <cellStyle name="Note 4 2 5 2 2 2 2" xfId="33255" xr:uid="{00000000-0005-0000-0000-000016820000}"/>
    <cellStyle name="Note 4 2 5 2 2 3" xfId="33256" xr:uid="{00000000-0005-0000-0000-000017820000}"/>
    <cellStyle name="Note 4 2 5 2 3" xfId="33257" xr:uid="{00000000-0005-0000-0000-000018820000}"/>
    <cellStyle name="Note 4 2 5 2 3 2" xfId="33258" xr:uid="{00000000-0005-0000-0000-000019820000}"/>
    <cellStyle name="Note 4 2 5 2 4" xfId="33259" xr:uid="{00000000-0005-0000-0000-00001A820000}"/>
    <cellStyle name="Note 4 2 5 3" xfId="33260" xr:uid="{00000000-0005-0000-0000-00001B820000}"/>
    <cellStyle name="Note 4 2 5 3 2" xfId="33261" xr:uid="{00000000-0005-0000-0000-00001C820000}"/>
    <cellStyle name="Note 4 2 5 3 2 2" xfId="33262" xr:uid="{00000000-0005-0000-0000-00001D820000}"/>
    <cellStyle name="Note 4 2 5 3 3" xfId="33263" xr:uid="{00000000-0005-0000-0000-00001E820000}"/>
    <cellStyle name="Note 4 2 5 4" xfId="33264" xr:uid="{00000000-0005-0000-0000-00001F820000}"/>
    <cellStyle name="Note 4 2 5 4 2" xfId="33265" xr:uid="{00000000-0005-0000-0000-000020820000}"/>
    <cellStyle name="Note 4 2 5 5" xfId="33266" xr:uid="{00000000-0005-0000-0000-000021820000}"/>
    <cellStyle name="Note 4 2 6" xfId="33267" xr:uid="{00000000-0005-0000-0000-000022820000}"/>
    <cellStyle name="Note 4 2 6 2" xfId="33268" xr:uid="{00000000-0005-0000-0000-000023820000}"/>
    <cellStyle name="Note 4 2 6 2 2" xfId="33269" xr:uid="{00000000-0005-0000-0000-000024820000}"/>
    <cellStyle name="Note 4 2 6 2 2 2" xfId="33270" xr:uid="{00000000-0005-0000-0000-000025820000}"/>
    <cellStyle name="Note 4 2 6 2 3" xfId="33271" xr:uid="{00000000-0005-0000-0000-000026820000}"/>
    <cellStyle name="Note 4 2 6 3" xfId="33272" xr:uid="{00000000-0005-0000-0000-000027820000}"/>
    <cellStyle name="Note 4 2 6 3 2" xfId="33273" xr:uid="{00000000-0005-0000-0000-000028820000}"/>
    <cellStyle name="Note 4 2 6 4" xfId="33274" xr:uid="{00000000-0005-0000-0000-000029820000}"/>
    <cellStyle name="Note 4 2 7" xfId="33275" xr:uid="{00000000-0005-0000-0000-00002A820000}"/>
    <cellStyle name="Note 4 2 7 2" xfId="33276" xr:uid="{00000000-0005-0000-0000-00002B820000}"/>
    <cellStyle name="Note 4 2 7 2 2" xfId="33277" xr:uid="{00000000-0005-0000-0000-00002C820000}"/>
    <cellStyle name="Note 4 2 7 3" xfId="33278" xr:uid="{00000000-0005-0000-0000-00002D820000}"/>
    <cellStyle name="Note 4 2 8" xfId="33279" xr:uid="{00000000-0005-0000-0000-00002E820000}"/>
    <cellStyle name="Note 4 2 8 2" xfId="33280" xr:uid="{00000000-0005-0000-0000-00002F820000}"/>
    <cellStyle name="Note 4 2 9" xfId="33281" xr:uid="{00000000-0005-0000-0000-000030820000}"/>
    <cellStyle name="Note 4 3" xfId="33282" xr:uid="{00000000-0005-0000-0000-000031820000}"/>
    <cellStyle name="Note 4 3 2" xfId="33283" xr:uid="{00000000-0005-0000-0000-000032820000}"/>
    <cellStyle name="Note 4 3 2 2" xfId="33284" xr:uid="{00000000-0005-0000-0000-000033820000}"/>
    <cellStyle name="Note 4 3 2 2 2" xfId="33285" xr:uid="{00000000-0005-0000-0000-000034820000}"/>
    <cellStyle name="Note 4 3 2 2 2 2" xfId="33286" xr:uid="{00000000-0005-0000-0000-000035820000}"/>
    <cellStyle name="Note 4 3 2 2 2 2 2" xfId="33287" xr:uid="{00000000-0005-0000-0000-000036820000}"/>
    <cellStyle name="Note 4 3 2 2 2 2 2 2" xfId="33288" xr:uid="{00000000-0005-0000-0000-000037820000}"/>
    <cellStyle name="Note 4 3 2 2 2 2 2 2 2" xfId="33289" xr:uid="{00000000-0005-0000-0000-000038820000}"/>
    <cellStyle name="Note 4 3 2 2 2 2 2 3" xfId="33290" xr:uid="{00000000-0005-0000-0000-000039820000}"/>
    <cellStyle name="Note 4 3 2 2 2 2 3" xfId="33291" xr:uid="{00000000-0005-0000-0000-00003A820000}"/>
    <cellStyle name="Note 4 3 2 2 2 2 3 2" xfId="33292" xr:uid="{00000000-0005-0000-0000-00003B820000}"/>
    <cellStyle name="Note 4 3 2 2 2 2 4" xfId="33293" xr:uid="{00000000-0005-0000-0000-00003C820000}"/>
    <cellStyle name="Note 4 3 2 2 2 3" xfId="33294" xr:uid="{00000000-0005-0000-0000-00003D820000}"/>
    <cellStyle name="Note 4 3 2 2 2 3 2" xfId="33295" xr:uid="{00000000-0005-0000-0000-00003E820000}"/>
    <cellStyle name="Note 4 3 2 2 2 3 2 2" xfId="33296" xr:uid="{00000000-0005-0000-0000-00003F820000}"/>
    <cellStyle name="Note 4 3 2 2 2 3 3" xfId="33297" xr:uid="{00000000-0005-0000-0000-000040820000}"/>
    <cellStyle name="Note 4 3 2 2 2 4" xfId="33298" xr:uid="{00000000-0005-0000-0000-000041820000}"/>
    <cellStyle name="Note 4 3 2 2 2 4 2" xfId="33299" xr:uid="{00000000-0005-0000-0000-000042820000}"/>
    <cellStyle name="Note 4 3 2 2 2 5" xfId="33300" xr:uid="{00000000-0005-0000-0000-000043820000}"/>
    <cellStyle name="Note 4 3 2 2 3" xfId="33301" xr:uid="{00000000-0005-0000-0000-000044820000}"/>
    <cellStyle name="Note 4 3 2 2 3 2" xfId="33302" xr:uid="{00000000-0005-0000-0000-000045820000}"/>
    <cellStyle name="Note 4 3 2 2 3 2 2" xfId="33303" xr:uid="{00000000-0005-0000-0000-000046820000}"/>
    <cellStyle name="Note 4 3 2 2 3 2 2 2" xfId="33304" xr:uid="{00000000-0005-0000-0000-000047820000}"/>
    <cellStyle name="Note 4 3 2 2 3 2 3" xfId="33305" xr:uid="{00000000-0005-0000-0000-000048820000}"/>
    <cellStyle name="Note 4 3 2 2 3 3" xfId="33306" xr:uid="{00000000-0005-0000-0000-000049820000}"/>
    <cellStyle name="Note 4 3 2 2 3 3 2" xfId="33307" xr:uid="{00000000-0005-0000-0000-00004A820000}"/>
    <cellStyle name="Note 4 3 2 2 3 4" xfId="33308" xr:uid="{00000000-0005-0000-0000-00004B820000}"/>
    <cellStyle name="Note 4 3 2 2 4" xfId="33309" xr:uid="{00000000-0005-0000-0000-00004C820000}"/>
    <cellStyle name="Note 4 3 2 2 4 2" xfId="33310" xr:uid="{00000000-0005-0000-0000-00004D820000}"/>
    <cellStyle name="Note 4 3 2 2 4 2 2" xfId="33311" xr:uid="{00000000-0005-0000-0000-00004E820000}"/>
    <cellStyle name="Note 4 3 2 2 4 3" xfId="33312" xr:uid="{00000000-0005-0000-0000-00004F820000}"/>
    <cellStyle name="Note 4 3 2 2 5" xfId="33313" xr:uid="{00000000-0005-0000-0000-000050820000}"/>
    <cellStyle name="Note 4 3 2 2 5 2" xfId="33314" xr:uid="{00000000-0005-0000-0000-000051820000}"/>
    <cellStyle name="Note 4 3 2 2 6" xfId="33315" xr:uid="{00000000-0005-0000-0000-000052820000}"/>
    <cellStyle name="Note 4 3 2 3" xfId="33316" xr:uid="{00000000-0005-0000-0000-000053820000}"/>
    <cellStyle name="Note 4 3 2 3 2" xfId="33317" xr:uid="{00000000-0005-0000-0000-000054820000}"/>
    <cellStyle name="Note 4 3 2 3 2 2" xfId="33318" xr:uid="{00000000-0005-0000-0000-000055820000}"/>
    <cellStyle name="Note 4 3 2 3 2 2 2" xfId="33319" xr:uid="{00000000-0005-0000-0000-000056820000}"/>
    <cellStyle name="Note 4 3 2 3 2 2 2 2" xfId="33320" xr:uid="{00000000-0005-0000-0000-000057820000}"/>
    <cellStyle name="Note 4 3 2 3 2 2 3" xfId="33321" xr:uid="{00000000-0005-0000-0000-000058820000}"/>
    <cellStyle name="Note 4 3 2 3 2 3" xfId="33322" xr:uid="{00000000-0005-0000-0000-000059820000}"/>
    <cellStyle name="Note 4 3 2 3 2 3 2" xfId="33323" xr:uid="{00000000-0005-0000-0000-00005A820000}"/>
    <cellStyle name="Note 4 3 2 3 2 4" xfId="33324" xr:uid="{00000000-0005-0000-0000-00005B820000}"/>
    <cellStyle name="Note 4 3 2 3 3" xfId="33325" xr:uid="{00000000-0005-0000-0000-00005C820000}"/>
    <cellStyle name="Note 4 3 2 3 3 2" xfId="33326" xr:uid="{00000000-0005-0000-0000-00005D820000}"/>
    <cellStyle name="Note 4 3 2 3 3 2 2" xfId="33327" xr:uid="{00000000-0005-0000-0000-00005E820000}"/>
    <cellStyle name="Note 4 3 2 3 3 3" xfId="33328" xr:uid="{00000000-0005-0000-0000-00005F820000}"/>
    <cellStyle name="Note 4 3 2 3 4" xfId="33329" xr:uid="{00000000-0005-0000-0000-000060820000}"/>
    <cellStyle name="Note 4 3 2 3 4 2" xfId="33330" xr:uid="{00000000-0005-0000-0000-000061820000}"/>
    <cellStyle name="Note 4 3 2 3 5" xfId="33331" xr:uid="{00000000-0005-0000-0000-000062820000}"/>
    <cellStyle name="Note 4 3 2 4" xfId="33332" xr:uid="{00000000-0005-0000-0000-000063820000}"/>
    <cellStyle name="Note 4 3 2 4 2" xfId="33333" xr:uid="{00000000-0005-0000-0000-000064820000}"/>
    <cellStyle name="Note 4 3 2 4 2 2" xfId="33334" xr:uid="{00000000-0005-0000-0000-000065820000}"/>
    <cellStyle name="Note 4 3 2 4 2 2 2" xfId="33335" xr:uid="{00000000-0005-0000-0000-000066820000}"/>
    <cellStyle name="Note 4 3 2 4 2 3" xfId="33336" xr:uid="{00000000-0005-0000-0000-000067820000}"/>
    <cellStyle name="Note 4 3 2 4 3" xfId="33337" xr:uid="{00000000-0005-0000-0000-000068820000}"/>
    <cellStyle name="Note 4 3 2 4 3 2" xfId="33338" xr:uid="{00000000-0005-0000-0000-000069820000}"/>
    <cellStyle name="Note 4 3 2 4 4" xfId="33339" xr:uid="{00000000-0005-0000-0000-00006A820000}"/>
    <cellStyle name="Note 4 3 2 5" xfId="33340" xr:uid="{00000000-0005-0000-0000-00006B820000}"/>
    <cellStyle name="Note 4 3 2 5 2" xfId="33341" xr:uid="{00000000-0005-0000-0000-00006C820000}"/>
    <cellStyle name="Note 4 3 2 5 2 2" xfId="33342" xr:uid="{00000000-0005-0000-0000-00006D820000}"/>
    <cellStyle name="Note 4 3 2 5 3" xfId="33343" xr:uid="{00000000-0005-0000-0000-00006E820000}"/>
    <cellStyle name="Note 4 3 2 6" xfId="33344" xr:uid="{00000000-0005-0000-0000-00006F820000}"/>
    <cellStyle name="Note 4 3 2 6 2" xfId="33345" xr:uid="{00000000-0005-0000-0000-000070820000}"/>
    <cellStyle name="Note 4 3 2 7" xfId="33346" xr:uid="{00000000-0005-0000-0000-000071820000}"/>
    <cellStyle name="Note 4 3 3" xfId="33347" xr:uid="{00000000-0005-0000-0000-000072820000}"/>
    <cellStyle name="Note 4 3 3 2" xfId="33348" xr:uid="{00000000-0005-0000-0000-000073820000}"/>
    <cellStyle name="Note 4 3 3 2 2" xfId="33349" xr:uid="{00000000-0005-0000-0000-000074820000}"/>
    <cellStyle name="Note 4 3 3 2 2 2" xfId="33350" xr:uid="{00000000-0005-0000-0000-000075820000}"/>
    <cellStyle name="Note 4 3 3 2 2 2 2" xfId="33351" xr:uid="{00000000-0005-0000-0000-000076820000}"/>
    <cellStyle name="Note 4 3 3 2 2 2 2 2" xfId="33352" xr:uid="{00000000-0005-0000-0000-000077820000}"/>
    <cellStyle name="Note 4 3 3 2 2 2 3" xfId="33353" xr:uid="{00000000-0005-0000-0000-000078820000}"/>
    <cellStyle name="Note 4 3 3 2 2 3" xfId="33354" xr:uid="{00000000-0005-0000-0000-000079820000}"/>
    <cellStyle name="Note 4 3 3 2 2 3 2" xfId="33355" xr:uid="{00000000-0005-0000-0000-00007A820000}"/>
    <cellStyle name="Note 4 3 3 2 2 4" xfId="33356" xr:uid="{00000000-0005-0000-0000-00007B820000}"/>
    <cellStyle name="Note 4 3 3 2 3" xfId="33357" xr:uid="{00000000-0005-0000-0000-00007C820000}"/>
    <cellStyle name="Note 4 3 3 2 3 2" xfId="33358" xr:uid="{00000000-0005-0000-0000-00007D820000}"/>
    <cellStyle name="Note 4 3 3 2 3 2 2" xfId="33359" xr:uid="{00000000-0005-0000-0000-00007E820000}"/>
    <cellStyle name="Note 4 3 3 2 3 3" xfId="33360" xr:uid="{00000000-0005-0000-0000-00007F820000}"/>
    <cellStyle name="Note 4 3 3 2 4" xfId="33361" xr:uid="{00000000-0005-0000-0000-000080820000}"/>
    <cellStyle name="Note 4 3 3 2 4 2" xfId="33362" xr:uid="{00000000-0005-0000-0000-000081820000}"/>
    <cellStyle name="Note 4 3 3 2 5" xfId="33363" xr:uid="{00000000-0005-0000-0000-000082820000}"/>
    <cellStyle name="Note 4 3 3 3" xfId="33364" xr:uid="{00000000-0005-0000-0000-000083820000}"/>
    <cellStyle name="Note 4 3 3 3 2" xfId="33365" xr:uid="{00000000-0005-0000-0000-000084820000}"/>
    <cellStyle name="Note 4 3 3 3 2 2" xfId="33366" xr:uid="{00000000-0005-0000-0000-000085820000}"/>
    <cellStyle name="Note 4 3 3 3 2 2 2" xfId="33367" xr:uid="{00000000-0005-0000-0000-000086820000}"/>
    <cellStyle name="Note 4 3 3 3 2 3" xfId="33368" xr:uid="{00000000-0005-0000-0000-000087820000}"/>
    <cellStyle name="Note 4 3 3 3 3" xfId="33369" xr:uid="{00000000-0005-0000-0000-000088820000}"/>
    <cellStyle name="Note 4 3 3 3 3 2" xfId="33370" xr:uid="{00000000-0005-0000-0000-000089820000}"/>
    <cellStyle name="Note 4 3 3 3 4" xfId="33371" xr:uid="{00000000-0005-0000-0000-00008A820000}"/>
    <cellStyle name="Note 4 3 3 4" xfId="33372" xr:uid="{00000000-0005-0000-0000-00008B820000}"/>
    <cellStyle name="Note 4 3 3 4 2" xfId="33373" xr:uid="{00000000-0005-0000-0000-00008C820000}"/>
    <cellStyle name="Note 4 3 3 4 2 2" xfId="33374" xr:uid="{00000000-0005-0000-0000-00008D820000}"/>
    <cellStyle name="Note 4 3 3 4 3" xfId="33375" xr:uid="{00000000-0005-0000-0000-00008E820000}"/>
    <cellStyle name="Note 4 3 3 5" xfId="33376" xr:uid="{00000000-0005-0000-0000-00008F820000}"/>
    <cellStyle name="Note 4 3 3 5 2" xfId="33377" xr:uid="{00000000-0005-0000-0000-000090820000}"/>
    <cellStyle name="Note 4 3 3 6" xfId="33378" xr:uid="{00000000-0005-0000-0000-000091820000}"/>
    <cellStyle name="Note 4 3 4" xfId="33379" xr:uid="{00000000-0005-0000-0000-000092820000}"/>
    <cellStyle name="Note 4 3 4 2" xfId="33380" xr:uid="{00000000-0005-0000-0000-000093820000}"/>
    <cellStyle name="Note 4 3 4 2 2" xfId="33381" xr:uid="{00000000-0005-0000-0000-000094820000}"/>
    <cellStyle name="Note 4 3 4 2 2 2" xfId="33382" xr:uid="{00000000-0005-0000-0000-000095820000}"/>
    <cellStyle name="Note 4 3 4 2 2 2 2" xfId="33383" xr:uid="{00000000-0005-0000-0000-000096820000}"/>
    <cellStyle name="Note 4 3 4 2 2 3" xfId="33384" xr:uid="{00000000-0005-0000-0000-000097820000}"/>
    <cellStyle name="Note 4 3 4 2 3" xfId="33385" xr:uid="{00000000-0005-0000-0000-000098820000}"/>
    <cellStyle name="Note 4 3 4 2 3 2" xfId="33386" xr:uid="{00000000-0005-0000-0000-000099820000}"/>
    <cellStyle name="Note 4 3 4 2 4" xfId="33387" xr:uid="{00000000-0005-0000-0000-00009A820000}"/>
    <cellStyle name="Note 4 3 4 3" xfId="33388" xr:uid="{00000000-0005-0000-0000-00009B820000}"/>
    <cellStyle name="Note 4 3 4 3 2" xfId="33389" xr:uid="{00000000-0005-0000-0000-00009C820000}"/>
    <cellStyle name="Note 4 3 4 3 2 2" xfId="33390" xr:uid="{00000000-0005-0000-0000-00009D820000}"/>
    <cellStyle name="Note 4 3 4 3 3" xfId="33391" xr:uid="{00000000-0005-0000-0000-00009E820000}"/>
    <cellStyle name="Note 4 3 4 4" xfId="33392" xr:uid="{00000000-0005-0000-0000-00009F820000}"/>
    <cellStyle name="Note 4 3 4 4 2" xfId="33393" xr:uid="{00000000-0005-0000-0000-0000A0820000}"/>
    <cellStyle name="Note 4 3 4 5" xfId="33394" xr:uid="{00000000-0005-0000-0000-0000A1820000}"/>
    <cellStyle name="Note 4 3 5" xfId="33395" xr:uid="{00000000-0005-0000-0000-0000A2820000}"/>
    <cellStyle name="Note 4 3 5 2" xfId="33396" xr:uid="{00000000-0005-0000-0000-0000A3820000}"/>
    <cellStyle name="Note 4 3 5 2 2" xfId="33397" xr:uid="{00000000-0005-0000-0000-0000A4820000}"/>
    <cellStyle name="Note 4 3 5 2 2 2" xfId="33398" xr:uid="{00000000-0005-0000-0000-0000A5820000}"/>
    <cellStyle name="Note 4 3 5 2 3" xfId="33399" xr:uid="{00000000-0005-0000-0000-0000A6820000}"/>
    <cellStyle name="Note 4 3 5 3" xfId="33400" xr:uid="{00000000-0005-0000-0000-0000A7820000}"/>
    <cellStyle name="Note 4 3 5 3 2" xfId="33401" xr:uid="{00000000-0005-0000-0000-0000A8820000}"/>
    <cellStyle name="Note 4 3 5 4" xfId="33402" xr:uid="{00000000-0005-0000-0000-0000A9820000}"/>
    <cellStyle name="Note 4 3 6" xfId="33403" xr:uid="{00000000-0005-0000-0000-0000AA820000}"/>
    <cellStyle name="Note 4 3 6 2" xfId="33404" xr:uid="{00000000-0005-0000-0000-0000AB820000}"/>
    <cellStyle name="Note 4 3 6 2 2" xfId="33405" xr:uid="{00000000-0005-0000-0000-0000AC820000}"/>
    <cellStyle name="Note 4 3 6 3" xfId="33406" xr:uid="{00000000-0005-0000-0000-0000AD820000}"/>
    <cellStyle name="Note 4 3 7" xfId="33407" xr:uid="{00000000-0005-0000-0000-0000AE820000}"/>
    <cellStyle name="Note 4 3 7 2" xfId="33408" xr:uid="{00000000-0005-0000-0000-0000AF820000}"/>
    <cellStyle name="Note 4 3 8" xfId="33409" xr:uid="{00000000-0005-0000-0000-0000B0820000}"/>
    <cellStyle name="Note 4 4" xfId="33410" xr:uid="{00000000-0005-0000-0000-0000B1820000}"/>
    <cellStyle name="Note 4 4 2" xfId="33411" xr:uid="{00000000-0005-0000-0000-0000B2820000}"/>
    <cellStyle name="Note 4 4 2 2" xfId="33412" xr:uid="{00000000-0005-0000-0000-0000B3820000}"/>
    <cellStyle name="Note 4 4 2 2 2" xfId="33413" xr:uid="{00000000-0005-0000-0000-0000B4820000}"/>
    <cellStyle name="Note 4 4 2 2 2 2" xfId="33414" xr:uid="{00000000-0005-0000-0000-0000B5820000}"/>
    <cellStyle name="Note 4 4 2 2 2 2 2" xfId="33415" xr:uid="{00000000-0005-0000-0000-0000B6820000}"/>
    <cellStyle name="Note 4 4 2 2 2 2 2 2" xfId="33416" xr:uid="{00000000-0005-0000-0000-0000B7820000}"/>
    <cellStyle name="Note 4 4 2 2 2 2 3" xfId="33417" xr:uid="{00000000-0005-0000-0000-0000B8820000}"/>
    <cellStyle name="Note 4 4 2 2 2 3" xfId="33418" xr:uid="{00000000-0005-0000-0000-0000B9820000}"/>
    <cellStyle name="Note 4 4 2 2 2 3 2" xfId="33419" xr:uid="{00000000-0005-0000-0000-0000BA820000}"/>
    <cellStyle name="Note 4 4 2 2 2 4" xfId="33420" xr:uid="{00000000-0005-0000-0000-0000BB820000}"/>
    <cellStyle name="Note 4 4 2 2 3" xfId="33421" xr:uid="{00000000-0005-0000-0000-0000BC820000}"/>
    <cellStyle name="Note 4 4 2 2 3 2" xfId="33422" xr:uid="{00000000-0005-0000-0000-0000BD820000}"/>
    <cellStyle name="Note 4 4 2 2 3 2 2" xfId="33423" xr:uid="{00000000-0005-0000-0000-0000BE820000}"/>
    <cellStyle name="Note 4 4 2 2 3 3" xfId="33424" xr:uid="{00000000-0005-0000-0000-0000BF820000}"/>
    <cellStyle name="Note 4 4 2 2 4" xfId="33425" xr:uid="{00000000-0005-0000-0000-0000C0820000}"/>
    <cellStyle name="Note 4 4 2 2 4 2" xfId="33426" xr:uid="{00000000-0005-0000-0000-0000C1820000}"/>
    <cellStyle name="Note 4 4 2 2 5" xfId="33427" xr:uid="{00000000-0005-0000-0000-0000C2820000}"/>
    <cellStyle name="Note 4 4 2 3" xfId="33428" xr:uid="{00000000-0005-0000-0000-0000C3820000}"/>
    <cellStyle name="Note 4 4 2 3 2" xfId="33429" xr:uid="{00000000-0005-0000-0000-0000C4820000}"/>
    <cellStyle name="Note 4 4 2 3 2 2" xfId="33430" xr:uid="{00000000-0005-0000-0000-0000C5820000}"/>
    <cellStyle name="Note 4 4 2 3 2 2 2" xfId="33431" xr:uid="{00000000-0005-0000-0000-0000C6820000}"/>
    <cellStyle name="Note 4 4 2 3 2 3" xfId="33432" xr:uid="{00000000-0005-0000-0000-0000C7820000}"/>
    <cellStyle name="Note 4 4 2 3 3" xfId="33433" xr:uid="{00000000-0005-0000-0000-0000C8820000}"/>
    <cellStyle name="Note 4 4 2 3 3 2" xfId="33434" xr:uid="{00000000-0005-0000-0000-0000C9820000}"/>
    <cellStyle name="Note 4 4 2 3 4" xfId="33435" xr:uid="{00000000-0005-0000-0000-0000CA820000}"/>
    <cellStyle name="Note 4 4 2 4" xfId="33436" xr:uid="{00000000-0005-0000-0000-0000CB820000}"/>
    <cellStyle name="Note 4 4 2 4 2" xfId="33437" xr:uid="{00000000-0005-0000-0000-0000CC820000}"/>
    <cellStyle name="Note 4 4 2 4 2 2" xfId="33438" xr:uid="{00000000-0005-0000-0000-0000CD820000}"/>
    <cellStyle name="Note 4 4 2 4 3" xfId="33439" xr:uid="{00000000-0005-0000-0000-0000CE820000}"/>
    <cellStyle name="Note 4 4 2 5" xfId="33440" xr:uid="{00000000-0005-0000-0000-0000CF820000}"/>
    <cellStyle name="Note 4 4 2 5 2" xfId="33441" xr:uid="{00000000-0005-0000-0000-0000D0820000}"/>
    <cellStyle name="Note 4 4 2 6" xfId="33442" xr:uid="{00000000-0005-0000-0000-0000D1820000}"/>
    <cellStyle name="Note 4 4 3" xfId="33443" xr:uid="{00000000-0005-0000-0000-0000D2820000}"/>
    <cellStyle name="Note 4 4 3 2" xfId="33444" xr:uid="{00000000-0005-0000-0000-0000D3820000}"/>
    <cellStyle name="Note 4 4 3 2 2" xfId="33445" xr:uid="{00000000-0005-0000-0000-0000D4820000}"/>
    <cellStyle name="Note 4 4 3 2 2 2" xfId="33446" xr:uid="{00000000-0005-0000-0000-0000D5820000}"/>
    <cellStyle name="Note 4 4 3 2 2 2 2" xfId="33447" xr:uid="{00000000-0005-0000-0000-0000D6820000}"/>
    <cellStyle name="Note 4 4 3 2 2 3" xfId="33448" xr:uid="{00000000-0005-0000-0000-0000D7820000}"/>
    <cellStyle name="Note 4 4 3 2 3" xfId="33449" xr:uid="{00000000-0005-0000-0000-0000D8820000}"/>
    <cellStyle name="Note 4 4 3 2 3 2" xfId="33450" xr:uid="{00000000-0005-0000-0000-0000D9820000}"/>
    <cellStyle name="Note 4 4 3 2 4" xfId="33451" xr:uid="{00000000-0005-0000-0000-0000DA820000}"/>
    <cellStyle name="Note 4 4 3 3" xfId="33452" xr:uid="{00000000-0005-0000-0000-0000DB820000}"/>
    <cellStyle name="Note 4 4 3 3 2" xfId="33453" xr:uid="{00000000-0005-0000-0000-0000DC820000}"/>
    <cellStyle name="Note 4 4 3 3 2 2" xfId="33454" xr:uid="{00000000-0005-0000-0000-0000DD820000}"/>
    <cellStyle name="Note 4 4 3 3 3" xfId="33455" xr:uid="{00000000-0005-0000-0000-0000DE820000}"/>
    <cellStyle name="Note 4 4 3 4" xfId="33456" xr:uid="{00000000-0005-0000-0000-0000DF820000}"/>
    <cellStyle name="Note 4 4 3 4 2" xfId="33457" xr:uid="{00000000-0005-0000-0000-0000E0820000}"/>
    <cellStyle name="Note 4 4 3 5" xfId="33458" xr:uid="{00000000-0005-0000-0000-0000E1820000}"/>
    <cellStyle name="Note 4 4 4" xfId="33459" xr:uid="{00000000-0005-0000-0000-0000E2820000}"/>
    <cellStyle name="Note 4 4 4 2" xfId="33460" xr:uid="{00000000-0005-0000-0000-0000E3820000}"/>
    <cellStyle name="Note 4 4 4 2 2" xfId="33461" xr:uid="{00000000-0005-0000-0000-0000E4820000}"/>
    <cellStyle name="Note 4 4 4 2 2 2" xfId="33462" xr:uid="{00000000-0005-0000-0000-0000E5820000}"/>
    <cellStyle name="Note 4 4 4 2 3" xfId="33463" xr:uid="{00000000-0005-0000-0000-0000E6820000}"/>
    <cellStyle name="Note 4 4 4 3" xfId="33464" xr:uid="{00000000-0005-0000-0000-0000E7820000}"/>
    <cellStyle name="Note 4 4 4 3 2" xfId="33465" xr:uid="{00000000-0005-0000-0000-0000E8820000}"/>
    <cellStyle name="Note 4 4 4 4" xfId="33466" xr:uid="{00000000-0005-0000-0000-0000E9820000}"/>
    <cellStyle name="Note 4 4 5" xfId="33467" xr:uid="{00000000-0005-0000-0000-0000EA820000}"/>
    <cellStyle name="Note 4 4 5 2" xfId="33468" xr:uid="{00000000-0005-0000-0000-0000EB820000}"/>
    <cellStyle name="Note 4 4 5 2 2" xfId="33469" xr:uid="{00000000-0005-0000-0000-0000EC820000}"/>
    <cellStyle name="Note 4 4 5 3" xfId="33470" xr:uid="{00000000-0005-0000-0000-0000ED820000}"/>
    <cellStyle name="Note 4 4 6" xfId="33471" xr:uid="{00000000-0005-0000-0000-0000EE820000}"/>
    <cellStyle name="Note 4 4 6 2" xfId="33472" xr:uid="{00000000-0005-0000-0000-0000EF820000}"/>
    <cellStyle name="Note 4 4 7" xfId="33473" xr:uid="{00000000-0005-0000-0000-0000F0820000}"/>
    <cellStyle name="Note 4 5" xfId="33474" xr:uid="{00000000-0005-0000-0000-0000F1820000}"/>
    <cellStyle name="Note 4 5 2" xfId="33475" xr:uid="{00000000-0005-0000-0000-0000F2820000}"/>
    <cellStyle name="Note 4 5 2 2" xfId="33476" xr:uid="{00000000-0005-0000-0000-0000F3820000}"/>
    <cellStyle name="Note 4 5 2 2 2" xfId="33477" xr:uid="{00000000-0005-0000-0000-0000F4820000}"/>
    <cellStyle name="Note 4 5 2 2 2 2" xfId="33478" xr:uid="{00000000-0005-0000-0000-0000F5820000}"/>
    <cellStyle name="Note 4 5 2 2 2 2 2" xfId="33479" xr:uid="{00000000-0005-0000-0000-0000F6820000}"/>
    <cellStyle name="Note 4 5 2 2 2 3" xfId="33480" xr:uid="{00000000-0005-0000-0000-0000F7820000}"/>
    <cellStyle name="Note 4 5 2 2 3" xfId="33481" xr:uid="{00000000-0005-0000-0000-0000F8820000}"/>
    <cellStyle name="Note 4 5 2 2 3 2" xfId="33482" xr:uid="{00000000-0005-0000-0000-0000F9820000}"/>
    <cellStyle name="Note 4 5 2 2 4" xfId="33483" xr:uid="{00000000-0005-0000-0000-0000FA820000}"/>
    <cellStyle name="Note 4 5 2 3" xfId="33484" xr:uid="{00000000-0005-0000-0000-0000FB820000}"/>
    <cellStyle name="Note 4 5 2 3 2" xfId="33485" xr:uid="{00000000-0005-0000-0000-0000FC820000}"/>
    <cellStyle name="Note 4 5 2 3 2 2" xfId="33486" xr:uid="{00000000-0005-0000-0000-0000FD820000}"/>
    <cellStyle name="Note 4 5 2 3 3" xfId="33487" xr:uid="{00000000-0005-0000-0000-0000FE820000}"/>
    <cellStyle name="Note 4 5 2 4" xfId="33488" xr:uid="{00000000-0005-0000-0000-0000FF820000}"/>
    <cellStyle name="Note 4 5 2 4 2" xfId="33489" xr:uid="{00000000-0005-0000-0000-000000830000}"/>
    <cellStyle name="Note 4 5 2 5" xfId="33490" xr:uid="{00000000-0005-0000-0000-000001830000}"/>
    <cellStyle name="Note 4 5 3" xfId="33491" xr:uid="{00000000-0005-0000-0000-000002830000}"/>
    <cellStyle name="Note 4 5 3 2" xfId="33492" xr:uid="{00000000-0005-0000-0000-000003830000}"/>
    <cellStyle name="Note 4 5 3 2 2" xfId="33493" xr:uid="{00000000-0005-0000-0000-000004830000}"/>
    <cellStyle name="Note 4 5 3 2 2 2" xfId="33494" xr:uid="{00000000-0005-0000-0000-000005830000}"/>
    <cellStyle name="Note 4 5 3 2 3" xfId="33495" xr:uid="{00000000-0005-0000-0000-000006830000}"/>
    <cellStyle name="Note 4 5 3 3" xfId="33496" xr:uid="{00000000-0005-0000-0000-000007830000}"/>
    <cellStyle name="Note 4 5 3 3 2" xfId="33497" xr:uid="{00000000-0005-0000-0000-000008830000}"/>
    <cellStyle name="Note 4 5 3 4" xfId="33498" xr:uid="{00000000-0005-0000-0000-000009830000}"/>
    <cellStyle name="Note 4 5 4" xfId="33499" xr:uid="{00000000-0005-0000-0000-00000A830000}"/>
    <cellStyle name="Note 4 5 4 2" xfId="33500" xr:uid="{00000000-0005-0000-0000-00000B830000}"/>
    <cellStyle name="Note 4 5 4 2 2" xfId="33501" xr:uid="{00000000-0005-0000-0000-00000C830000}"/>
    <cellStyle name="Note 4 5 4 3" xfId="33502" xr:uid="{00000000-0005-0000-0000-00000D830000}"/>
    <cellStyle name="Note 4 5 5" xfId="33503" xr:uid="{00000000-0005-0000-0000-00000E830000}"/>
    <cellStyle name="Note 4 5 5 2" xfId="33504" xr:uid="{00000000-0005-0000-0000-00000F830000}"/>
    <cellStyle name="Note 4 5 6" xfId="33505" xr:uid="{00000000-0005-0000-0000-000010830000}"/>
    <cellStyle name="Note 4 6" xfId="33506" xr:uid="{00000000-0005-0000-0000-000011830000}"/>
    <cellStyle name="Note 4 6 2" xfId="33507" xr:uid="{00000000-0005-0000-0000-000012830000}"/>
    <cellStyle name="Note 4 6 2 2" xfId="33508" xr:uid="{00000000-0005-0000-0000-000013830000}"/>
    <cellStyle name="Note 4 6 2 2 2" xfId="33509" xr:uid="{00000000-0005-0000-0000-000014830000}"/>
    <cellStyle name="Note 4 6 2 2 2 2" xfId="33510" xr:uid="{00000000-0005-0000-0000-000015830000}"/>
    <cellStyle name="Note 4 6 2 2 3" xfId="33511" xr:uid="{00000000-0005-0000-0000-000016830000}"/>
    <cellStyle name="Note 4 6 2 3" xfId="33512" xr:uid="{00000000-0005-0000-0000-000017830000}"/>
    <cellStyle name="Note 4 6 2 3 2" xfId="33513" xr:uid="{00000000-0005-0000-0000-000018830000}"/>
    <cellStyle name="Note 4 6 2 4" xfId="33514" xr:uid="{00000000-0005-0000-0000-000019830000}"/>
    <cellStyle name="Note 4 6 3" xfId="33515" xr:uid="{00000000-0005-0000-0000-00001A830000}"/>
    <cellStyle name="Note 4 6 3 2" xfId="33516" xr:uid="{00000000-0005-0000-0000-00001B830000}"/>
    <cellStyle name="Note 4 6 3 2 2" xfId="33517" xr:uid="{00000000-0005-0000-0000-00001C830000}"/>
    <cellStyle name="Note 4 6 3 3" xfId="33518" xr:uid="{00000000-0005-0000-0000-00001D830000}"/>
    <cellStyle name="Note 4 6 4" xfId="33519" xr:uid="{00000000-0005-0000-0000-00001E830000}"/>
    <cellStyle name="Note 4 6 4 2" xfId="33520" xr:uid="{00000000-0005-0000-0000-00001F830000}"/>
    <cellStyle name="Note 4 6 5" xfId="33521" xr:uid="{00000000-0005-0000-0000-000020830000}"/>
    <cellStyle name="Note 4 7" xfId="33522" xr:uid="{00000000-0005-0000-0000-000021830000}"/>
    <cellStyle name="Note 4 7 2" xfId="33523" xr:uid="{00000000-0005-0000-0000-000022830000}"/>
    <cellStyle name="Note 4 7 2 2" xfId="33524" xr:uid="{00000000-0005-0000-0000-000023830000}"/>
    <cellStyle name="Note 4 7 2 2 2" xfId="33525" xr:uid="{00000000-0005-0000-0000-000024830000}"/>
    <cellStyle name="Note 4 7 2 3" xfId="33526" xr:uid="{00000000-0005-0000-0000-000025830000}"/>
    <cellStyle name="Note 4 7 3" xfId="33527" xr:uid="{00000000-0005-0000-0000-000026830000}"/>
    <cellStyle name="Note 4 7 3 2" xfId="33528" xr:uid="{00000000-0005-0000-0000-000027830000}"/>
    <cellStyle name="Note 4 7 4" xfId="33529" xr:uid="{00000000-0005-0000-0000-000028830000}"/>
    <cellStyle name="Note 4 8" xfId="33530" xr:uid="{00000000-0005-0000-0000-000029830000}"/>
    <cellStyle name="Note 4 8 2" xfId="33531" xr:uid="{00000000-0005-0000-0000-00002A830000}"/>
    <cellStyle name="Note 4 8 2 2" xfId="33532" xr:uid="{00000000-0005-0000-0000-00002B830000}"/>
    <cellStyle name="Note 4 8 3" xfId="33533" xr:uid="{00000000-0005-0000-0000-00002C830000}"/>
    <cellStyle name="Note 4 9" xfId="33534" xr:uid="{00000000-0005-0000-0000-00002D830000}"/>
    <cellStyle name="Note 4 9 2" xfId="33535" xr:uid="{00000000-0005-0000-0000-00002E830000}"/>
    <cellStyle name="Note 5" xfId="33536" xr:uid="{00000000-0005-0000-0000-00002F830000}"/>
    <cellStyle name="Note 5 2" xfId="33537" xr:uid="{00000000-0005-0000-0000-000030830000}"/>
    <cellStyle name="Note 5 2 2" xfId="33538" xr:uid="{00000000-0005-0000-0000-000031830000}"/>
    <cellStyle name="Note 5 2 2 2" xfId="33539" xr:uid="{00000000-0005-0000-0000-000032830000}"/>
    <cellStyle name="Note 5 2 2 2 2" xfId="33540" xr:uid="{00000000-0005-0000-0000-000033830000}"/>
    <cellStyle name="Note 5 2 2 2 2 2" xfId="33541" xr:uid="{00000000-0005-0000-0000-000034830000}"/>
    <cellStyle name="Note 5 2 2 2 2 2 2" xfId="33542" xr:uid="{00000000-0005-0000-0000-000035830000}"/>
    <cellStyle name="Note 5 2 2 2 2 2 2 2" xfId="33543" xr:uid="{00000000-0005-0000-0000-000036830000}"/>
    <cellStyle name="Note 5 2 2 2 2 2 2 2 2" xfId="33544" xr:uid="{00000000-0005-0000-0000-000037830000}"/>
    <cellStyle name="Note 5 2 2 2 2 2 2 3" xfId="33545" xr:uid="{00000000-0005-0000-0000-000038830000}"/>
    <cellStyle name="Note 5 2 2 2 2 2 3" xfId="33546" xr:uid="{00000000-0005-0000-0000-000039830000}"/>
    <cellStyle name="Note 5 2 2 2 2 2 3 2" xfId="33547" xr:uid="{00000000-0005-0000-0000-00003A830000}"/>
    <cellStyle name="Note 5 2 2 2 2 2 4" xfId="33548" xr:uid="{00000000-0005-0000-0000-00003B830000}"/>
    <cellStyle name="Note 5 2 2 2 2 3" xfId="33549" xr:uid="{00000000-0005-0000-0000-00003C830000}"/>
    <cellStyle name="Note 5 2 2 2 2 3 2" xfId="33550" xr:uid="{00000000-0005-0000-0000-00003D830000}"/>
    <cellStyle name="Note 5 2 2 2 2 3 2 2" xfId="33551" xr:uid="{00000000-0005-0000-0000-00003E830000}"/>
    <cellStyle name="Note 5 2 2 2 2 3 3" xfId="33552" xr:uid="{00000000-0005-0000-0000-00003F830000}"/>
    <cellStyle name="Note 5 2 2 2 2 4" xfId="33553" xr:uid="{00000000-0005-0000-0000-000040830000}"/>
    <cellStyle name="Note 5 2 2 2 2 4 2" xfId="33554" xr:uid="{00000000-0005-0000-0000-000041830000}"/>
    <cellStyle name="Note 5 2 2 2 2 5" xfId="33555" xr:uid="{00000000-0005-0000-0000-000042830000}"/>
    <cellStyle name="Note 5 2 2 2 3" xfId="33556" xr:uid="{00000000-0005-0000-0000-000043830000}"/>
    <cellStyle name="Note 5 2 2 2 3 2" xfId="33557" xr:uid="{00000000-0005-0000-0000-000044830000}"/>
    <cellStyle name="Note 5 2 2 2 3 2 2" xfId="33558" xr:uid="{00000000-0005-0000-0000-000045830000}"/>
    <cellStyle name="Note 5 2 2 2 3 2 2 2" xfId="33559" xr:uid="{00000000-0005-0000-0000-000046830000}"/>
    <cellStyle name="Note 5 2 2 2 3 2 3" xfId="33560" xr:uid="{00000000-0005-0000-0000-000047830000}"/>
    <cellStyle name="Note 5 2 2 2 3 3" xfId="33561" xr:uid="{00000000-0005-0000-0000-000048830000}"/>
    <cellStyle name="Note 5 2 2 2 3 3 2" xfId="33562" xr:uid="{00000000-0005-0000-0000-000049830000}"/>
    <cellStyle name="Note 5 2 2 2 3 4" xfId="33563" xr:uid="{00000000-0005-0000-0000-00004A830000}"/>
    <cellStyle name="Note 5 2 2 2 4" xfId="33564" xr:uid="{00000000-0005-0000-0000-00004B830000}"/>
    <cellStyle name="Note 5 2 2 2 4 2" xfId="33565" xr:uid="{00000000-0005-0000-0000-00004C830000}"/>
    <cellStyle name="Note 5 2 2 2 4 2 2" xfId="33566" xr:uid="{00000000-0005-0000-0000-00004D830000}"/>
    <cellStyle name="Note 5 2 2 2 4 3" xfId="33567" xr:uid="{00000000-0005-0000-0000-00004E830000}"/>
    <cellStyle name="Note 5 2 2 2 5" xfId="33568" xr:uid="{00000000-0005-0000-0000-00004F830000}"/>
    <cellStyle name="Note 5 2 2 2 5 2" xfId="33569" xr:uid="{00000000-0005-0000-0000-000050830000}"/>
    <cellStyle name="Note 5 2 2 2 6" xfId="33570" xr:uid="{00000000-0005-0000-0000-000051830000}"/>
    <cellStyle name="Note 5 2 2 3" xfId="33571" xr:uid="{00000000-0005-0000-0000-000052830000}"/>
    <cellStyle name="Note 5 2 2 3 2" xfId="33572" xr:uid="{00000000-0005-0000-0000-000053830000}"/>
    <cellStyle name="Note 5 2 2 3 2 2" xfId="33573" xr:uid="{00000000-0005-0000-0000-000054830000}"/>
    <cellStyle name="Note 5 2 2 3 2 2 2" xfId="33574" xr:uid="{00000000-0005-0000-0000-000055830000}"/>
    <cellStyle name="Note 5 2 2 3 2 2 2 2" xfId="33575" xr:uid="{00000000-0005-0000-0000-000056830000}"/>
    <cellStyle name="Note 5 2 2 3 2 2 3" xfId="33576" xr:uid="{00000000-0005-0000-0000-000057830000}"/>
    <cellStyle name="Note 5 2 2 3 2 3" xfId="33577" xr:uid="{00000000-0005-0000-0000-000058830000}"/>
    <cellStyle name="Note 5 2 2 3 2 3 2" xfId="33578" xr:uid="{00000000-0005-0000-0000-000059830000}"/>
    <cellStyle name="Note 5 2 2 3 2 4" xfId="33579" xr:uid="{00000000-0005-0000-0000-00005A830000}"/>
    <cellStyle name="Note 5 2 2 3 3" xfId="33580" xr:uid="{00000000-0005-0000-0000-00005B830000}"/>
    <cellStyle name="Note 5 2 2 3 3 2" xfId="33581" xr:uid="{00000000-0005-0000-0000-00005C830000}"/>
    <cellStyle name="Note 5 2 2 3 3 2 2" xfId="33582" xr:uid="{00000000-0005-0000-0000-00005D830000}"/>
    <cellStyle name="Note 5 2 2 3 3 3" xfId="33583" xr:uid="{00000000-0005-0000-0000-00005E830000}"/>
    <cellStyle name="Note 5 2 2 3 4" xfId="33584" xr:uid="{00000000-0005-0000-0000-00005F830000}"/>
    <cellStyle name="Note 5 2 2 3 4 2" xfId="33585" xr:uid="{00000000-0005-0000-0000-000060830000}"/>
    <cellStyle name="Note 5 2 2 3 5" xfId="33586" xr:uid="{00000000-0005-0000-0000-000061830000}"/>
    <cellStyle name="Note 5 2 2 4" xfId="33587" xr:uid="{00000000-0005-0000-0000-000062830000}"/>
    <cellStyle name="Note 5 2 2 4 2" xfId="33588" xr:uid="{00000000-0005-0000-0000-000063830000}"/>
    <cellStyle name="Note 5 2 2 4 2 2" xfId="33589" xr:uid="{00000000-0005-0000-0000-000064830000}"/>
    <cellStyle name="Note 5 2 2 4 2 2 2" xfId="33590" xr:uid="{00000000-0005-0000-0000-000065830000}"/>
    <cellStyle name="Note 5 2 2 4 2 3" xfId="33591" xr:uid="{00000000-0005-0000-0000-000066830000}"/>
    <cellStyle name="Note 5 2 2 4 3" xfId="33592" xr:uid="{00000000-0005-0000-0000-000067830000}"/>
    <cellStyle name="Note 5 2 2 4 3 2" xfId="33593" xr:uid="{00000000-0005-0000-0000-000068830000}"/>
    <cellStyle name="Note 5 2 2 4 4" xfId="33594" xr:uid="{00000000-0005-0000-0000-000069830000}"/>
    <cellStyle name="Note 5 2 2 5" xfId="33595" xr:uid="{00000000-0005-0000-0000-00006A830000}"/>
    <cellStyle name="Note 5 2 2 5 2" xfId="33596" xr:uid="{00000000-0005-0000-0000-00006B830000}"/>
    <cellStyle name="Note 5 2 2 5 2 2" xfId="33597" xr:uid="{00000000-0005-0000-0000-00006C830000}"/>
    <cellStyle name="Note 5 2 2 5 3" xfId="33598" xr:uid="{00000000-0005-0000-0000-00006D830000}"/>
    <cellStyle name="Note 5 2 2 6" xfId="33599" xr:uid="{00000000-0005-0000-0000-00006E830000}"/>
    <cellStyle name="Note 5 2 2 6 2" xfId="33600" xr:uid="{00000000-0005-0000-0000-00006F830000}"/>
    <cellStyle name="Note 5 2 2 7" xfId="33601" xr:uid="{00000000-0005-0000-0000-000070830000}"/>
    <cellStyle name="Note 5 2 3" xfId="33602" xr:uid="{00000000-0005-0000-0000-000071830000}"/>
    <cellStyle name="Note 5 2 3 2" xfId="33603" xr:uid="{00000000-0005-0000-0000-000072830000}"/>
    <cellStyle name="Note 5 2 3 2 2" xfId="33604" xr:uid="{00000000-0005-0000-0000-000073830000}"/>
    <cellStyle name="Note 5 2 3 2 2 2" xfId="33605" xr:uid="{00000000-0005-0000-0000-000074830000}"/>
    <cellStyle name="Note 5 2 3 2 2 2 2" xfId="33606" xr:uid="{00000000-0005-0000-0000-000075830000}"/>
    <cellStyle name="Note 5 2 3 2 2 2 2 2" xfId="33607" xr:uid="{00000000-0005-0000-0000-000076830000}"/>
    <cellStyle name="Note 5 2 3 2 2 2 3" xfId="33608" xr:uid="{00000000-0005-0000-0000-000077830000}"/>
    <cellStyle name="Note 5 2 3 2 2 3" xfId="33609" xr:uid="{00000000-0005-0000-0000-000078830000}"/>
    <cellStyle name="Note 5 2 3 2 2 3 2" xfId="33610" xr:uid="{00000000-0005-0000-0000-000079830000}"/>
    <cellStyle name="Note 5 2 3 2 2 4" xfId="33611" xr:uid="{00000000-0005-0000-0000-00007A830000}"/>
    <cellStyle name="Note 5 2 3 2 3" xfId="33612" xr:uid="{00000000-0005-0000-0000-00007B830000}"/>
    <cellStyle name="Note 5 2 3 2 3 2" xfId="33613" xr:uid="{00000000-0005-0000-0000-00007C830000}"/>
    <cellStyle name="Note 5 2 3 2 3 2 2" xfId="33614" xr:uid="{00000000-0005-0000-0000-00007D830000}"/>
    <cellStyle name="Note 5 2 3 2 3 3" xfId="33615" xr:uid="{00000000-0005-0000-0000-00007E830000}"/>
    <cellStyle name="Note 5 2 3 2 4" xfId="33616" xr:uid="{00000000-0005-0000-0000-00007F830000}"/>
    <cellStyle name="Note 5 2 3 2 4 2" xfId="33617" xr:uid="{00000000-0005-0000-0000-000080830000}"/>
    <cellStyle name="Note 5 2 3 2 5" xfId="33618" xr:uid="{00000000-0005-0000-0000-000081830000}"/>
    <cellStyle name="Note 5 2 3 3" xfId="33619" xr:uid="{00000000-0005-0000-0000-000082830000}"/>
    <cellStyle name="Note 5 2 3 3 2" xfId="33620" xr:uid="{00000000-0005-0000-0000-000083830000}"/>
    <cellStyle name="Note 5 2 3 3 2 2" xfId="33621" xr:uid="{00000000-0005-0000-0000-000084830000}"/>
    <cellStyle name="Note 5 2 3 3 2 2 2" xfId="33622" xr:uid="{00000000-0005-0000-0000-000085830000}"/>
    <cellStyle name="Note 5 2 3 3 2 3" xfId="33623" xr:uid="{00000000-0005-0000-0000-000086830000}"/>
    <cellStyle name="Note 5 2 3 3 3" xfId="33624" xr:uid="{00000000-0005-0000-0000-000087830000}"/>
    <cellStyle name="Note 5 2 3 3 3 2" xfId="33625" xr:uid="{00000000-0005-0000-0000-000088830000}"/>
    <cellStyle name="Note 5 2 3 3 4" xfId="33626" xr:uid="{00000000-0005-0000-0000-000089830000}"/>
    <cellStyle name="Note 5 2 3 4" xfId="33627" xr:uid="{00000000-0005-0000-0000-00008A830000}"/>
    <cellStyle name="Note 5 2 3 4 2" xfId="33628" xr:uid="{00000000-0005-0000-0000-00008B830000}"/>
    <cellStyle name="Note 5 2 3 4 2 2" xfId="33629" xr:uid="{00000000-0005-0000-0000-00008C830000}"/>
    <cellStyle name="Note 5 2 3 4 3" xfId="33630" xr:uid="{00000000-0005-0000-0000-00008D830000}"/>
    <cellStyle name="Note 5 2 3 5" xfId="33631" xr:uid="{00000000-0005-0000-0000-00008E830000}"/>
    <cellStyle name="Note 5 2 3 5 2" xfId="33632" xr:uid="{00000000-0005-0000-0000-00008F830000}"/>
    <cellStyle name="Note 5 2 3 6" xfId="33633" xr:uid="{00000000-0005-0000-0000-000090830000}"/>
    <cellStyle name="Note 5 2 4" xfId="33634" xr:uid="{00000000-0005-0000-0000-000091830000}"/>
    <cellStyle name="Note 5 2 4 2" xfId="33635" xr:uid="{00000000-0005-0000-0000-000092830000}"/>
    <cellStyle name="Note 5 2 4 2 2" xfId="33636" xr:uid="{00000000-0005-0000-0000-000093830000}"/>
    <cellStyle name="Note 5 2 4 2 2 2" xfId="33637" xr:uid="{00000000-0005-0000-0000-000094830000}"/>
    <cellStyle name="Note 5 2 4 2 2 2 2" xfId="33638" xr:uid="{00000000-0005-0000-0000-000095830000}"/>
    <cellStyle name="Note 5 2 4 2 2 3" xfId="33639" xr:uid="{00000000-0005-0000-0000-000096830000}"/>
    <cellStyle name="Note 5 2 4 2 3" xfId="33640" xr:uid="{00000000-0005-0000-0000-000097830000}"/>
    <cellStyle name="Note 5 2 4 2 3 2" xfId="33641" xr:uid="{00000000-0005-0000-0000-000098830000}"/>
    <cellStyle name="Note 5 2 4 2 4" xfId="33642" xr:uid="{00000000-0005-0000-0000-000099830000}"/>
    <cellStyle name="Note 5 2 4 3" xfId="33643" xr:uid="{00000000-0005-0000-0000-00009A830000}"/>
    <cellStyle name="Note 5 2 4 3 2" xfId="33644" xr:uid="{00000000-0005-0000-0000-00009B830000}"/>
    <cellStyle name="Note 5 2 4 3 2 2" xfId="33645" xr:uid="{00000000-0005-0000-0000-00009C830000}"/>
    <cellStyle name="Note 5 2 4 3 3" xfId="33646" xr:uid="{00000000-0005-0000-0000-00009D830000}"/>
    <cellStyle name="Note 5 2 4 4" xfId="33647" xr:uid="{00000000-0005-0000-0000-00009E830000}"/>
    <cellStyle name="Note 5 2 4 4 2" xfId="33648" xr:uid="{00000000-0005-0000-0000-00009F830000}"/>
    <cellStyle name="Note 5 2 4 5" xfId="33649" xr:uid="{00000000-0005-0000-0000-0000A0830000}"/>
    <cellStyle name="Note 5 2 5" xfId="33650" xr:uid="{00000000-0005-0000-0000-0000A1830000}"/>
    <cellStyle name="Note 5 2 5 2" xfId="33651" xr:uid="{00000000-0005-0000-0000-0000A2830000}"/>
    <cellStyle name="Note 5 2 5 2 2" xfId="33652" xr:uid="{00000000-0005-0000-0000-0000A3830000}"/>
    <cellStyle name="Note 5 2 5 2 2 2" xfId="33653" xr:uid="{00000000-0005-0000-0000-0000A4830000}"/>
    <cellStyle name="Note 5 2 5 2 3" xfId="33654" xr:uid="{00000000-0005-0000-0000-0000A5830000}"/>
    <cellStyle name="Note 5 2 5 3" xfId="33655" xr:uid="{00000000-0005-0000-0000-0000A6830000}"/>
    <cellStyle name="Note 5 2 5 3 2" xfId="33656" xr:uid="{00000000-0005-0000-0000-0000A7830000}"/>
    <cellStyle name="Note 5 2 5 4" xfId="33657" xr:uid="{00000000-0005-0000-0000-0000A8830000}"/>
    <cellStyle name="Note 5 2 6" xfId="33658" xr:uid="{00000000-0005-0000-0000-0000A9830000}"/>
    <cellStyle name="Note 5 2 6 2" xfId="33659" xr:uid="{00000000-0005-0000-0000-0000AA830000}"/>
    <cellStyle name="Note 5 2 6 2 2" xfId="33660" xr:uid="{00000000-0005-0000-0000-0000AB830000}"/>
    <cellStyle name="Note 5 2 6 3" xfId="33661" xr:uid="{00000000-0005-0000-0000-0000AC830000}"/>
    <cellStyle name="Note 5 2 7" xfId="33662" xr:uid="{00000000-0005-0000-0000-0000AD830000}"/>
    <cellStyle name="Note 5 2 7 2" xfId="33663" xr:uid="{00000000-0005-0000-0000-0000AE830000}"/>
    <cellStyle name="Note 5 2 8" xfId="33664" xr:uid="{00000000-0005-0000-0000-0000AF830000}"/>
    <cellStyle name="Note 5 3" xfId="33665" xr:uid="{00000000-0005-0000-0000-0000B0830000}"/>
    <cellStyle name="Note 5 3 2" xfId="33666" xr:uid="{00000000-0005-0000-0000-0000B1830000}"/>
    <cellStyle name="Note 5 3 2 2" xfId="33667" xr:uid="{00000000-0005-0000-0000-0000B2830000}"/>
    <cellStyle name="Note 5 3 2 2 2" xfId="33668" xr:uid="{00000000-0005-0000-0000-0000B3830000}"/>
    <cellStyle name="Note 5 3 2 2 2 2" xfId="33669" xr:uid="{00000000-0005-0000-0000-0000B4830000}"/>
    <cellStyle name="Note 5 3 2 2 2 2 2" xfId="33670" xr:uid="{00000000-0005-0000-0000-0000B5830000}"/>
    <cellStyle name="Note 5 3 2 2 2 2 2 2" xfId="33671" xr:uid="{00000000-0005-0000-0000-0000B6830000}"/>
    <cellStyle name="Note 5 3 2 2 2 2 3" xfId="33672" xr:uid="{00000000-0005-0000-0000-0000B7830000}"/>
    <cellStyle name="Note 5 3 2 2 2 3" xfId="33673" xr:uid="{00000000-0005-0000-0000-0000B8830000}"/>
    <cellStyle name="Note 5 3 2 2 2 3 2" xfId="33674" xr:uid="{00000000-0005-0000-0000-0000B9830000}"/>
    <cellStyle name="Note 5 3 2 2 2 4" xfId="33675" xr:uid="{00000000-0005-0000-0000-0000BA830000}"/>
    <cellStyle name="Note 5 3 2 2 3" xfId="33676" xr:uid="{00000000-0005-0000-0000-0000BB830000}"/>
    <cellStyle name="Note 5 3 2 2 3 2" xfId="33677" xr:uid="{00000000-0005-0000-0000-0000BC830000}"/>
    <cellStyle name="Note 5 3 2 2 3 2 2" xfId="33678" xr:uid="{00000000-0005-0000-0000-0000BD830000}"/>
    <cellStyle name="Note 5 3 2 2 3 3" xfId="33679" xr:uid="{00000000-0005-0000-0000-0000BE830000}"/>
    <cellStyle name="Note 5 3 2 2 4" xfId="33680" xr:uid="{00000000-0005-0000-0000-0000BF830000}"/>
    <cellStyle name="Note 5 3 2 2 4 2" xfId="33681" xr:uid="{00000000-0005-0000-0000-0000C0830000}"/>
    <cellStyle name="Note 5 3 2 2 5" xfId="33682" xr:uid="{00000000-0005-0000-0000-0000C1830000}"/>
    <cellStyle name="Note 5 3 2 3" xfId="33683" xr:uid="{00000000-0005-0000-0000-0000C2830000}"/>
    <cellStyle name="Note 5 3 2 3 2" xfId="33684" xr:uid="{00000000-0005-0000-0000-0000C3830000}"/>
    <cellStyle name="Note 5 3 2 3 2 2" xfId="33685" xr:uid="{00000000-0005-0000-0000-0000C4830000}"/>
    <cellStyle name="Note 5 3 2 3 2 2 2" xfId="33686" xr:uid="{00000000-0005-0000-0000-0000C5830000}"/>
    <cellStyle name="Note 5 3 2 3 2 3" xfId="33687" xr:uid="{00000000-0005-0000-0000-0000C6830000}"/>
    <cellStyle name="Note 5 3 2 3 3" xfId="33688" xr:uid="{00000000-0005-0000-0000-0000C7830000}"/>
    <cellStyle name="Note 5 3 2 3 3 2" xfId="33689" xr:uid="{00000000-0005-0000-0000-0000C8830000}"/>
    <cellStyle name="Note 5 3 2 3 4" xfId="33690" xr:uid="{00000000-0005-0000-0000-0000C9830000}"/>
    <cellStyle name="Note 5 3 2 4" xfId="33691" xr:uid="{00000000-0005-0000-0000-0000CA830000}"/>
    <cellStyle name="Note 5 3 2 4 2" xfId="33692" xr:uid="{00000000-0005-0000-0000-0000CB830000}"/>
    <cellStyle name="Note 5 3 2 4 2 2" xfId="33693" xr:uid="{00000000-0005-0000-0000-0000CC830000}"/>
    <cellStyle name="Note 5 3 2 4 3" xfId="33694" xr:uid="{00000000-0005-0000-0000-0000CD830000}"/>
    <cellStyle name="Note 5 3 2 5" xfId="33695" xr:uid="{00000000-0005-0000-0000-0000CE830000}"/>
    <cellStyle name="Note 5 3 2 5 2" xfId="33696" xr:uid="{00000000-0005-0000-0000-0000CF830000}"/>
    <cellStyle name="Note 5 3 2 6" xfId="33697" xr:uid="{00000000-0005-0000-0000-0000D0830000}"/>
    <cellStyle name="Note 5 3 3" xfId="33698" xr:uid="{00000000-0005-0000-0000-0000D1830000}"/>
    <cellStyle name="Note 5 3 3 2" xfId="33699" xr:uid="{00000000-0005-0000-0000-0000D2830000}"/>
    <cellStyle name="Note 5 3 3 2 2" xfId="33700" xr:uid="{00000000-0005-0000-0000-0000D3830000}"/>
    <cellStyle name="Note 5 3 3 2 2 2" xfId="33701" xr:uid="{00000000-0005-0000-0000-0000D4830000}"/>
    <cellStyle name="Note 5 3 3 2 2 2 2" xfId="33702" xr:uid="{00000000-0005-0000-0000-0000D5830000}"/>
    <cellStyle name="Note 5 3 3 2 2 3" xfId="33703" xr:uid="{00000000-0005-0000-0000-0000D6830000}"/>
    <cellStyle name="Note 5 3 3 2 3" xfId="33704" xr:uid="{00000000-0005-0000-0000-0000D7830000}"/>
    <cellStyle name="Note 5 3 3 2 3 2" xfId="33705" xr:uid="{00000000-0005-0000-0000-0000D8830000}"/>
    <cellStyle name="Note 5 3 3 2 4" xfId="33706" xr:uid="{00000000-0005-0000-0000-0000D9830000}"/>
    <cellStyle name="Note 5 3 3 3" xfId="33707" xr:uid="{00000000-0005-0000-0000-0000DA830000}"/>
    <cellStyle name="Note 5 3 3 3 2" xfId="33708" xr:uid="{00000000-0005-0000-0000-0000DB830000}"/>
    <cellStyle name="Note 5 3 3 3 2 2" xfId="33709" xr:uid="{00000000-0005-0000-0000-0000DC830000}"/>
    <cellStyle name="Note 5 3 3 3 3" xfId="33710" xr:uid="{00000000-0005-0000-0000-0000DD830000}"/>
    <cellStyle name="Note 5 3 3 4" xfId="33711" xr:uid="{00000000-0005-0000-0000-0000DE830000}"/>
    <cellStyle name="Note 5 3 3 4 2" xfId="33712" xr:uid="{00000000-0005-0000-0000-0000DF830000}"/>
    <cellStyle name="Note 5 3 3 5" xfId="33713" xr:uid="{00000000-0005-0000-0000-0000E0830000}"/>
    <cellStyle name="Note 5 3 4" xfId="33714" xr:uid="{00000000-0005-0000-0000-0000E1830000}"/>
    <cellStyle name="Note 5 3 4 2" xfId="33715" xr:uid="{00000000-0005-0000-0000-0000E2830000}"/>
    <cellStyle name="Note 5 3 4 2 2" xfId="33716" xr:uid="{00000000-0005-0000-0000-0000E3830000}"/>
    <cellStyle name="Note 5 3 4 2 2 2" xfId="33717" xr:uid="{00000000-0005-0000-0000-0000E4830000}"/>
    <cellStyle name="Note 5 3 4 2 3" xfId="33718" xr:uid="{00000000-0005-0000-0000-0000E5830000}"/>
    <cellStyle name="Note 5 3 4 3" xfId="33719" xr:uid="{00000000-0005-0000-0000-0000E6830000}"/>
    <cellStyle name="Note 5 3 4 3 2" xfId="33720" xr:uid="{00000000-0005-0000-0000-0000E7830000}"/>
    <cellStyle name="Note 5 3 4 4" xfId="33721" xr:uid="{00000000-0005-0000-0000-0000E8830000}"/>
    <cellStyle name="Note 5 3 5" xfId="33722" xr:uid="{00000000-0005-0000-0000-0000E9830000}"/>
    <cellStyle name="Note 5 3 5 2" xfId="33723" xr:uid="{00000000-0005-0000-0000-0000EA830000}"/>
    <cellStyle name="Note 5 3 5 2 2" xfId="33724" xr:uid="{00000000-0005-0000-0000-0000EB830000}"/>
    <cellStyle name="Note 5 3 5 3" xfId="33725" xr:uid="{00000000-0005-0000-0000-0000EC830000}"/>
    <cellStyle name="Note 5 3 6" xfId="33726" xr:uid="{00000000-0005-0000-0000-0000ED830000}"/>
    <cellStyle name="Note 5 3 6 2" xfId="33727" xr:uid="{00000000-0005-0000-0000-0000EE830000}"/>
    <cellStyle name="Note 5 3 7" xfId="33728" xr:uid="{00000000-0005-0000-0000-0000EF830000}"/>
    <cellStyle name="Note 5 4" xfId="33729" xr:uid="{00000000-0005-0000-0000-0000F0830000}"/>
    <cellStyle name="Note 5 4 2" xfId="33730" xr:uid="{00000000-0005-0000-0000-0000F1830000}"/>
    <cellStyle name="Note 5 4 2 2" xfId="33731" xr:uid="{00000000-0005-0000-0000-0000F2830000}"/>
    <cellStyle name="Note 5 4 2 2 2" xfId="33732" xr:uid="{00000000-0005-0000-0000-0000F3830000}"/>
    <cellStyle name="Note 5 4 2 2 2 2" xfId="33733" xr:uid="{00000000-0005-0000-0000-0000F4830000}"/>
    <cellStyle name="Note 5 4 2 2 2 2 2" xfId="33734" xr:uid="{00000000-0005-0000-0000-0000F5830000}"/>
    <cellStyle name="Note 5 4 2 2 2 3" xfId="33735" xr:uid="{00000000-0005-0000-0000-0000F6830000}"/>
    <cellStyle name="Note 5 4 2 2 3" xfId="33736" xr:uid="{00000000-0005-0000-0000-0000F7830000}"/>
    <cellStyle name="Note 5 4 2 2 3 2" xfId="33737" xr:uid="{00000000-0005-0000-0000-0000F8830000}"/>
    <cellStyle name="Note 5 4 2 2 4" xfId="33738" xr:uid="{00000000-0005-0000-0000-0000F9830000}"/>
    <cellStyle name="Note 5 4 2 3" xfId="33739" xr:uid="{00000000-0005-0000-0000-0000FA830000}"/>
    <cellStyle name="Note 5 4 2 3 2" xfId="33740" xr:uid="{00000000-0005-0000-0000-0000FB830000}"/>
    <cellStyle name="Note 5 4 2 3 2 2" xfId="33741" xr:uid="{00000000-0005-0000-0000-0000FC830000}"/>
    <cellStyle name="Note 5 4 2 3 3" xfId="33742" xr:uid="{00000000-0005-0000-0000-0000FD830000}"/>
    <cellStyle name="Note 5 4 2 4" xfId="33743" xr:uid="{00000000-0005-0000-0000-0000FE830000}"/>
    <cellStyle name="Note 5 4 2 4 2" xfId="33744" xr:uid="{00000000-0005-0000-0000-0000FF830000}"/>
    <cellStyle name="Note 5 4 2 5" xfId="33745" xr:uid="{00000000-0005-0000-0000-000000840000}"/>
    <cellStyle name="Note 5 4 3" xfId="33746" xr:uid="{00000000-0005-0000-0000-000001840000}"/>
    <cellStyle name="Note 5 4 3 2" xfId="33747" xr:uid="{00000000-0005-0000-0000-000002840000}"/>
    <cellStyle name="Note 5 4 3 2 2" xfId="33748" xr:uid="{00000000-0005-0000-0000-000003840000}"/>
    <cellStyle name="Note 5 4 3 2 2 2" xfId="33749" xr:uid="{00000000-0005-0000-0000-000004840000}"/>
    <cellStyle name="Note 5 4 3 2 3" xfId="33750" xr:uid="{00000000-0005-0000-0000-000005840000}"/>
    <cellStyle name="Note 5 4 3 3" xfId="33751" xr:uid="{00000000-0005-0000-0000-000006840000}"/>
    <cellStyle name="Note 5 4 3 3 2" xfId="33752" xr:uid="{00000000-0005-0000-0000-000007840000}"/>
    <cellStyle name="Note 5 4 3 4" xfId="33753" xr:uid="{00000000-0005-0000-0000-000008840000}"/>
    <cellStyle name="Note 5 4 4" xfId="33754" xr:uid="{00000000-0005-0000-0000-000009840000}"/>
    <cellStyle name="Note 5 4 4 2" xfId="33755" xr:uid="{00000000-0005-0000-0000-00000A840000}"/>
    <cellStyle name="Note 5 4 4 2 2" xfId="33756" xr:uid="{00000000-0005-0000-0000-00000B840000}"/>
    <cellStyle name="Note 5 4 4 3" xfId="33757" xr:uid="{00000000-0005-0000-0000-00000C840000}"/>
    <cellStyle name="Note 5 4 5" xfId="33758" xr:uid="{00000000-0005-0000-0000-00000D840000}"/>
    <cellStyle name="Note 5 4 5 2" xfId="33759" xr:uid="{00000000-0005-0000-0000-00000E840000}"/>
    <cellStyle name="Note 5 4 6" xfId="33760" xr:uid="{00000000-0005-0000-0000-00000F840000}"/>
    <cellStyle name="Note 5 5" xfId="33761" xr:uid="{00000000-0005-0000-0000-000010840000}"/>
    <cellStyle name="Note 5 5 2" xfId="33762" xr:uid="{00000000-0005-0000-0000-000011840000}"/>
    <cellStyle name="Note 5 5 2 2" xfId="33763" xr:uid="{00000000-0005-0000-0000-000012840000}"/>
    <cellStyle name="Note 5 5 2 2 2" xfId="33764" xr:uid="{00000000-0005-0000-0000-000013840000}"/>
    <cellStyle name="Note 5 5 2 2 2 2" xfId="33765" xr:uid="{00000000-0005-0000-0000-000014840000}"/>
    <cellStyle name="Note 5 5 2 2 3" xfId="33766" xr:uid="{00000000-0005-0000-0000-000015840000}"/>
    <cellStyle name="Note 5 5 2 3" xfId="33767" xr:uid="{00000000-0005-0000-0000-000016840000}"/>
    <cellStyle name="Note 5 5 2 3 2" xfId="33768" xr:uid="{00000000-0005-0000-0000-000017840000}"/>
    <cellStyle name="Note 5 5 2 4" xfId="33769" xr:uid="{00000000-0005-0000-0000-000018840000}"/>
    <cellStyle name="Note 5 5 3" xfId="33770" xr:uid="{00000000-0005-0000-0000-000019840000}"/>
    <cellStyle name="Note 5 5 3 2" xfId="33771" xr:uid="{00000000-0005-0000-0000-00001A840000}"/>
    <cellStyle name="Note 5 5 3 2 2" xfId="33772" xr:uid="{00000000-0005-0000-0000-00001B840000}"/>
    <cellStyle name="Note 5 5 3 3" xfId="33773" xr:uid="{00000000-0005-0000-0000-00001C840000}"/>
    <cellStyle name="Note 5 5 4" xfId="33774" xr:uid="{00000000-0005-0000-0000-00001D840000}"/>
    <cellStyle name="Note 5 5 4 2" xfId="33775" xr:uid="{00000000-0005-0000-0000-00001E840000}"/>
    <cellStyle name="Note 5 5 5" xfId="33776" xr:uid="{00000000-0005-0000-0000-00001F840000}"/>
    <cellStyle name="Note 5 6" xfId="33777" xr:uid="{00000000-0005-0000-0000-000020840000}"/>
    <cellStyle name="Note 5 6 2" xfId="33778" xr:uid="{00000000-0005-0000-0000-000021840000}"/>
    <cellStyle name="Note 5 6 2 2" xfId="33779" xr:uid="{00000000-0005-0000-0000-000022840000}"/>
    <cellStyle name="Note 5 6 2 2 2" xfId="33780" xr:uid="{00000000-0005-0000-0000-000023840000}"/>
    <cellStyle name="Note 5 6 2 3" xfId="33781" xr:uid="{00000000-0005-0000-0000-000024840000}"/>
    <cellStyle name="Note 5 6 3" xfId="33782" xr:uid="{00000000-0005-0000-0000-000025840000}"/>
    <cellStyle name="Note 5 6 3 2" xfId="33783" xr:uid="{00000000-0005-0000-0000-000026840000}"/>
    <cellStyle name="Note 5 6 4" xfId="33784" xr:uid="{00000000-0005-0000-0000-000027840000}"/>
    <cellStyle name="Note 5 7" xfId="33785" xr:uid="{00000000-0005-0000-0000-000028840000}"/>
    <cellStyle name="Note 5 7 2" xfId="33786" xr:uid="{00000000-0005-0000-0000-000029840000}"/>
    <cellStyle name="Note 5 7 2 2" xfId="33787" xr:uid="{00000000-0005-0000-0000-00002A840000}"/>
    <cellStyle name="Note 5 7 3" xfId="33788" xr:uid="{00000000-0005-0000-0000-00002B840000}"/>
    <cellStyle name="Note 5 8" xfId="33789" xr:uid="{00000000-0005-0000-0000-00002C840000}"/>
    <cellStyle name="Note 5 8 2" xfId="33790" xr:uid="{00000000-0005-0000-0000-00002D840000}"/>
    <cellStyle name="Note 5 9" xfId="33791" xr:uid="{00000000-0005-0000-0000-00002E840000}"/>
    <cellStyle name="Note 6" xfId="33792" xr:uid="{00000000-0005-0000-0000-00002F840000}"/>
    <cellStyle name="Note 6 2" xfId="33793" xr:uid="{00000000-0005-0000-0000-000030840000}"/>
    <cellStyle name="Note 6 2 2" xfId="33794" xr:uid="{00000000-0005-0000-0000-000031840000}"/>
    <cellStyle name="Note 6 2 2 2" xfId="33795" xr:uid="{00000000-0005-0000-0000-000032840000}"/>
    <cellStyle name="Note 6 2 2 2 2" xfId="33796" xr:uid="{00000000-0005-0000-0000-000033840000}"/>
    <cellStyle name="Note 6 2 2 2 2 2" xfId="33797" xr:uid="{00000000-0005-0000-0000-000034840000}"/>
    <cellStyle name="Note 6 2 2 2 2 2 2" xfId="33798" xr:uid="{00000000-0005-0000-0000-000035840000}"/>
    <cellStyle name="Note 6 2 2 2 2 2 2 2" xfId="33799" xr:uid="{00000000-0005-0000-0000-000036840000}"/>
    <cellStyle name="Note 6 2 2 2 2 2 3" xfId="33800" xr:uid="{00000000-0005-0000-0000-000037840000}"/>
    <cellStyle name="Note 6 2 2 2 2 3" xfId="33801" xr:uid="{00000000-0005-0000-0000-000038840000}"/>
    <cellStyle name="Note 6 2 2 2 2 3 2" xfId="33802" xr:uid="{00000000-0005-0000-0000-000039840000}"/>
    <cellStyle name="Note 6 2 2 2 2 4" xfId="33803" xr:uid="{00000000-0005-0000-0000-00003A840000}"/>
    <cellStyle name="Note 6 2 2 2 3" xfId="33804" xr:uid="{00000000-0005-0000-0000-00003B840000}"/>
    <cellStyle name="Note 6 2 2 2 3 2" xfId="33805" xr:uid="{00000000-0005-0000-0000-00003C840000}"/>
    <cellStyle name="Note 6 2 2 2 3 2 2" xfId="33806" xr:uid="{00000000-0005-0000-0000-00003D840000}"/>
    <cellStyle name="Note 6 2 2 2 3 3" xfId="33807" xr:uid="{00000000-0005-0000-0000-00003E840000}"/>
    <cellStyle name="Note 6 2 2 2 4" xfId="33808" xr:uid="{00000000-0005-0000-0000-00003F840000}"/>
    <cellStyle name="Note 6 2 2 2 4 2" xfId="33809" xr:uid="{00000000-0005-0000-0000-000040840000}"/>
    <cellStyle name="Note 6 2 2 2 5" xfId="33810" xr:uid="{00000000-0005-0000-0000-000041840000}"/>
    <cellStyle name="Note 6 2 2 3" xfId="33811" xr:uid="{00000000-0005-0000-0000-000042840000}"/>
    <cellStyle name="Note 6 2 2 3 2" xfId="33812" xr:uid="{00000000-0005-0000-0000-000043840000}"/>
    <cellStyle name="Note 6 2 2 3 2 2" xfId="33813" xr:uid="{00000000-0005-0000-0000-000044840000}"/>
    <cellStyle name="Note 6 2 2 3 2 2 2" xfId="33814" xr:uid="{00000000-0005-0000-0000-000045840000}"/>
    <cellStyle name="Note 6 2 2 3 2 3" xfId="33815" xr:uid="{00000000-0005-0000-0000-000046840000}"/>
    <cellStyle name="Note 6 2 2 3 3" xfId="33816" xr:uid="{00000000-0005-0000-0000-000047840000}"/>
    <cellStyle name="Note 6 2 2 3 3 2" xfId="33817" xr:uid="{00000000-0005-0000-0000-000048840000}"/>
    <cellStyle name="Note 6 2 2 3 4" xfId="33818" xr:uid="{00000000-0005-0000-0000-000049840000}"/>
    <cellStyle name="Note 6 2 2 4" xfId="33819" xr:uid="{00000000-0005-0000-0000-00004A840000}"/>
    <cellStyle name="Note 6 2 2 4 2" xfId="33820" xr:uid="{00000000-0005-0000-0000-00004B840000}"/>
    <cellStyle name="Note 6 2 2 4 2 2" xfId="33821" xr:uid="{00000000-0005-0000-0000-00004C840000}"/>
    <cellStyle name="Note 6 2 2 4 3" xfId="33822" xr:uid="{00000000-0005-0000-0000-00004D840000}"/>
    <cellStyle name="Note 6 2 2 5" xfId="33823" xr:uid="{00000000-0005-0000-0000-00004E840000}"/>
    <cellStyle name="Note 6 2 2 5 2" xfId="33824" xr:uid="{00000000-0005-0000-0000-00004F840000}"/>
    <cellStyle name="Note 6 2 2 6" xfId="33825" xr:uid="{00000000-0005-0000-0000-000050840000}"/>
    <cellStyle name="Note 6 2 3" xfId="33826" xr:uid="{00000000-0005-0000-0000-000051840000}"/>
    <cellStyle name="Note 6 2 3 2" xfId="33827" xr:uid="{00000000-0005-0000-0000-000052840000}"/>
    <cellStyle name="Note 6 2 3 2 2" xfId="33828" xr:uid="{00000000-0005-0000-0000-000053840000}"/>
    <cellStyle name="Note 6 2 3 2 2 2" xfId="33829" xr:uid="{00000000-0005-0000-0000-000054840000}"/>
    <cellStyle name="Note 6 2 3 2 2 2 2" xfId="33830" xr:uid="{00000000-0005-0000-0000-000055840000}"/>
    <cellStyle name="Note 6 2 3 2 2 3" xfId="33831" xr:uid="{00000000-0005-0000-0000-000056840000}"/>
    <cellStyle name="Note 6 2 3 2 3" xfId="33832" xr:uid="{00000000-0005-0000-0000-000057840000}"/>
    <cellStyle name="Note 6 2 3 2 3 2" xfId="33833" xr:uid="{00000000-0005-0000-0000-000058840000}"/>
    <cellStyle name="Note 6 2 3 2 4" xfId="33834" xr:uid="{00000000-0005-0000-0000-000059840000}"/>
    <cellStyle name="Note 6 2 3 3" xfId="33835" xr:uid="{00000000-0005-0000-0000-00005A840000}"/>
    <cellStyle name="Note 6 2 3 3 2" xfId="33836" xr:uid="{00000000-0005-0000-0000-00005B840000}"/>
    <cellStyle name="Note 6 2 3 3 2 2" xfId="33837" xr:uid="{00000000-0005-0000-0000-00005C840000}"/>
    <cellStyle name="Note 6 2 3 3 3" xfId="33838" xr:uid="{00000000-0005-0000-0000-00005D840000}"/>
    <cellStyle name="Note 6 2 3 4" xfId="33839" xr:uid="{00000000-0005-0000-0000-00005E840000}"/>
    <cellStyle name="Note 6 2 3 4 2" xfId="33840" xr:uid="{00000000-0005-0000-0000-00005F840000}"/>
    <cellStyle name="Note 6 2 3 5" xfId="33841" xr:uid="{00000000-0005-0000-0000-000060840000}"/>
    <cellStyle name="Note 6 2 4" xfId="33842" xr:uid="{00000000-0005-0000-0000-000061840000}"/>
    <cellStyle name="Note 6 2 4 2" xfId="33843" xr:uid="{00000000-0005-0000-0000-000062840000}"/>
    <cellStyle name="Note 6 2 4 2 2" xfId="33844" xr:uid="{00000000-0005-0000-0000-000063840000}"/>
    <cellStyle name="Note 6 2 4 2 2 2" xfId="33845" xr:uid="{00000000-0005-0000-0000-000064840000}"/>
    <cellStyle name="Note 6 2 4 2 3" xfId="33846" xr:uid="{00000000-0005-0000-0000-000065840000}"/>
    <cellStyle name="Note 6 2 4 3" xfId="33847" xr:uid="{00000000-0005-0000-0000-000066840000}"/>
    <cellStyle name="Note 6 2 4 3 2" xfId="33848" xr:uid="{00000000-0005-0000-0000-000067840000}"/>
    <cellStyle name="Note 6 2 4 4" xfId="33849" xr:uid="{00000000-0005-0000-0000-000068840000}"/>
    <cellStyle name="Note 6 2 5" xfId="33850" xr:uid="{00000000-0005-0000-0000-000069840000}"/>
    <cellStyle name="Note 6 2 5 2" xfId="33851" xr:uid="{00000000-0005-0000-0000-00006A840000}"/>
    <cellStyle name="Note 6 2 5 2 2" xfId="33852" xr:uid="{00000000-0005-0000-0000-00006B840000}"/>
    <cellStyle name="Note 6 2 5 3" xfId="33853" xr:uid="{00000000-0005-0000-0000-00006C840000}"/>
    <cellStyle name="Note 6 2 6" xfId="33854" xr:uid="{00000000-0005-0000-0000-00006D840000}"/>
    <cellStyle name="Note 6 2 6 2" xfId="33855" xr:uid="{00000000-0005-0000-0000-00006E840000}"/>
    <cellStyle name="Note 6 2 7" xfId="33856" xr:uid="{00000000-0005-0000-0000-00006F840000}"/>
    <cellStyle name="Note 6 3" xfId="33857" xr:uid="{00000000-0005-0000-0000-000070840000}"/>
    <cellStyle name="Note 6 3 2" xfId="33858" xr:uid="{00000000-0005-0000-0000-000071840000}"/>
    <cellStyle name="Note 6 3 2 2" xfId="33859" xr:uid="{00000000-0005-0000-0000-000072840000}"/>
    <cellStyle name="Note 6 3 2 2 2" xfId="33860" xr:uid="{00000000-0005-0000-0000-000073840000}"/>
    <cellStyle name="Note 6 3 2 2 2 2" xfId="33861" xr:uid="{00000000-0005-0000-0000-000074840000}"/>
    <cellStyle name="Note 6 3 2 2 2 2 2" xfId="33862" xr:uid="{00000000-0005-0000-0000-000075840000}"/>
    <cellStyle name="Note 6 3 2 2 2 3" xfId="33863" xr:uid="{00000000-0005-0000-0000-000076840000}"/>
    <cellStyle name="Note 6 3 2 2 3" xfId="33864" xr:uid="{00000000-0005-0000-0000-000077840000}"/>
    <cellStyle name="Note 6 3 2 2 3 2" xfId="33865" xr:uid="{00000000-0005-0000-0000-000078840000}"/>
    <cellStyle name="Note 6 3 2 2 4" xfId="33866" xr:uid="{00000000-0005-0000-0000-000079840000}"/>
    <cellStyle name="Note 6 3 2 3" xfId="33867" xr:uid="{00000000-0005-0000-0000-00007A840000}"/>
    <cellStyle name="Note 6 3 2 3 2" xfId="33868" xr:uid="{00000000-0005-0000-0000-00007B840000}"/>
    <cellStyle name="Note 6 3 2 3 2 2" xfId="33869" xr:uid="{00000000-0005-0000-0000-00007C840000}"/>
    <cellStyle name="Note 6 3 2 3 3" xfId="33870" xr:uid="{00000000-0005-0000-0000-00007D840000}"/>
    <cellStyle name="Note 6 3 2 4" xfId="33871" xr:uid="{00000000-0005-0000-0000-00007E840000}"/>
    <cellStyle name="Note 6 3 2 4 2" xfId="33872" xr:uid="{00000000-0005-0000-0000-00007F840000}"/>
    <cellStyle name="Note 6 3 2 5" xfId="33873" xr:uid="{00000000-0005-0000-0000-000080840000}"/>
    <cellStyle name="Note 6 3 3" xfId="33874" xr:uid="{00000000-0005-0000-0000-000081840000}"/>
    <cellStyle name="Note 6 3 3 2" xfId="33875" xr:uid="{00000000-0005-0000-0000-000082840000}"/>
    <cellStyle name="Note 6 3 3 2 2" xfId="33876" xr:uid="{00000000-0005-0000-0000-000083840000}"/>
    <cellStyle name="Note 6 3 3 2 2 2" xfId="33877" xr:uid="{00000000-0005-0000-0000-000084840000}"/>
    <cellStyle name="Note 6 3 3 2 3" xfId="33878" xr:uid="{00000000-0005-0000-0000-000085840000}"/>
    <cellStyle name="Note 6 3 3 3" xfId="33879" xr:uid="{00000000-0005-0000-0000-000086840000}"/>
    <cellStyle name="Note 6 3 3 3 2" xfId="33880" xr:uid="{00000000-0005-0000-0000-000087840000}"/>
    <cellStyle name="Note 6 3 3 4" xfId="33881" xr:uid="{00000000-0005-0000-0000-000088840000}"/>
    <cellStyle name="Note 6 3 4" xfId="33882" xr:uid="{00000000-0005-0000-0000-000089840000}"/>
    <cellStyle name="Note 6 3 4 2" xfId="33883" xr:uid="{00000000-0005-0000-0000-00008A840000}"/>
    <cellStyle name="Note 6 3 4 2 2" xfId="33884" xr:uid="{00000000-0005-0000-0000-00008B840000}"/>
    <cellStyle name="Note 6 3 4 3" xfId="33885" xr:uid="{00000000-0005-0000-0000-00008C840000}"/>
    <cellStyle name="Note 6 3 5" xfId="33886" xr:uid="{00000000-0005-0000-0000-00008D840000}"/>
    <cellStyle name="Note 6 3 5 2" xfId="33887" xr:uid="{00000000-0005-0000-0000-00008E840000}"/>
    <cellStyle name="Note 6 3 6" xfId="33888" xr:uid="{00000000-0005-0000-0000-00008F840000}"/>
    <cellStyle name="Note 6 4" xfId="33889" xr:uid="{00000000-0005-0000-0000-000090840000}"/>
    <cellStyle name="Note 6 4 2" xfId="33890" xr:uid="{00000000-0005-0000-0000-000091840000}"/>
    <cellStyle name="Note 6 4 2 2" xfId="33891" xr:uid="{00000000-0005-0000-0000-000092840000}"/>
    <cellStyle name="Note 6 4 2 2 2" xfId="33892" xr:uid="{00000000-0005-0000-0000-000093840000}"/>
    <cellStyle name="Note 6 4 2 2 2 2" xfId="33893" xr:uid="{00000000-0005-0000-0000-000094840000}"/>
    <cellStyle name="Note 6 4 2 2 3" xfId="33894" xr:uid="{00000000-0005-0000-0000-000095840000}"/>
    <cellStyle name="Note 6 4 2 3" xfId="33895" xr:uid="{00000000-0005-0000-0000-000096840000}"/>
    <cellStyle name="Note 6 4 2 3 2" xfId="33896" xr:uid="{00000000-0005-0000-0000-000097840000}"/>
    <cellStyle name="Note 6 4 2 4" xfId="33897" xr:uid="{00000000-0005-0000-0000-000098840000}"/>
    <cellStyle name="Note 6 4 3" xfId="33898" xr:uid="{00000000-0005-0000-0000-000099840000}"/>
    <cellStyle name="Note 6 4 3 2" xfId="33899" xr:uid="{00000000-0005-0000-0000-00009A840000}"/>
    <cellStyle name="Note 6 4 3 2 2" xfId="33900" xr:uid="{00000000-0005-0000-0000-00009B840000}"/>
    <cellStyle name="Note 6 4 3 3" xfId="33901" xr:uid="{00000000-0005-0000-0000-00009C840000}"/>
    <cellStyle name="Note 6 4 4" xfId="33902" xr:uid="{00000000-0005-0000-0000-00009D840000}"/>
    <cellStyle name="Note 6 4 4 2" xfId="33903" xr:uid="{00000000-0005-0000-0000-00009E840000}"/>
    <cellStyle name="Note 6 4 5" xfId="33904" xr:uid="{00000000-0005-0000-0000-00009F840000}"/>
    <cellStyle name="Note 6 5" xfId="33905" xr:uid="{00000000-0005-0000-0000-0000A0840000}"/>
    <cellStyle name="Note 6 5 2" xfId="33906" xr:uid="{00000000-0005-0000-0000-0000A1840000}"/>
    <cellStyle name="Note 6 5 2 2" xfId="33907" xr:uid="{00000000-0005-0000-0000-0000A2840000}"/>
    <cellStyle name="Note 6 5 2 2 2" xfId="33908" xr:uid="{00000000-0005-0000-0000-0000A3840000}"/>
    <cellStyle name="Note 6 5 2 3" xfId="33909" xr:uid="{00000000-0005-0000-0000-0000A4840000}"/>
    <cellStyle name="Note 6 5 3" xfId="33910" xr:uid="{00000000-0005-0000-0000-0000A5840000}"/>
    <cellStyle name="Note 6 5 3 2" xfId="33911" xr:uid="{00000000-0005-0000-0000-0000A6840000}"/>
    <cellStyle name="Note 6 5 4" xfId="33912" xr:uid="{00000000-0005-0000-0000-0000A7840000}"/>
    <cellStyle name="Note 6 6" xfId="33913" xr:uid="{00000000-0005-0000-0000-0000A8840000}"/>
    <cellStyle name="Note 6 6 2" xfId="33914" xr:uid="{00000000-0005-0000-0000-0000A9840000}"/>
    <cellStyle name="Note 6 6 2 2" xfId="33915" xr:uid="{00000000-0005-0000-0000-0000AA840000}"/>
    <cellStyle name="Note 6 6 3" xfId="33916" xr:uid="{00000000-0005-0000-0000-0000AB840000}"/>
    <cellStyle name="Note 6 7" xfId="33917" xr:uid="{00000000-0005-0000-0000-0000AC840000}"/>
    <cellStyle name="Note 6 7 2" xfId="33918" xr:uid="{00000000-0005-0000-0000-0000AD840000}"/>
    <cellStyle name="Note 6 8" xfId="33919" xr:uid="{00000000-0005-0000-0000-0000AE840000}"/>
    <cellStyle name="Note 7" xfId="33920" xr:uid="{00000000-0005-0000-0000-0000AF840000}"/>
    <cellStyle name="Note 7 2" xfId="33921" xr:uid="{00000000-0005-0000-0000-0000B0840000}"/>
    <cellStyle name="Note 7 2 2" xfId="33922" xr:uid="{00000000-0005-0000-0000-0000B1840000}"/>
    <cellStyle name="Note 7 2 2 2" xfId="33923" xr:uid="{00000000-0005-0000-0000-0000B2840000}"/>
    <cellStyle name="Note 7 2 2 2 2" xfId="33924" xr:uid="{00000000-0005-0000-0000-0000B3840000}"/>
    <cellStyle name="Note 7 2 2 2 2 2" xfId="33925" xr:uid="{00000000-0005-0000-0000-0000B4840000}"/>
    <cellStyle name="Note 7 2 2 2 2 2 2" xfId="33926" xr:uid="{00000000-0005-0000-0000-0000B5840000}"/>
    <cellStyle name="Note 7 2 2 2 2 3" xfId="33927" xr:uid="{00000000-0005-0000-0000-0000B6840000}"/>
    <cellStyle name="Note 7 2 2 2 3" xfId="33928" xr:uid="{00000000-0005-0000-0000-0000B7840000}"/>
    <cellStyle name="Note 7 2 2 2 3 2" xfId="33929" xr:uid="{00000000-0005-0000-0000-0000B8840000}"/>
    <cellStyle name="Note 7 2 2 2 4" xfId="33930" xr:uid="{00000000-0005-0000-0000-0000B9840000}"/>
    <cellStyle name="Note 7 2 2 3" xfId="33931" xr:uid="{00000000-0005-0000-0000-0000BA840000}"/>
    <cellStyle name="Note 7 2 2 3 2" xfId="33932" xr:uid="{00000000-0005-0000-0000-0000BB840000}"/>
    <cellStyle name="Note 7 2 2 3 2 2" xfId="33933" xr:uid="{00000000-0005-0000-0000-0000BC840000}"/>
    <cellStyle name="Note 7 2 2 3 3" xfId="33934" xr:uid="{00000000-0005-0000-0000-0000BD840000}"/>
    <cellStyle name="Note 7 2 2 4" xfId="33935" xr:uid="{00000000-0005-0000-0000-0000BE840000}"/>
    <cellStyle name="Note 7 2 2 4 2" xfId="33936" xr:uid="{00000000-0005-0000-0000-0000BF840000}"/>
    <cellStyle name="Note 7 2 2 5" xfId="33937" xr:uid="{00000000-0005-0000-0000-0000C0840000}"/>
    <cellStyle name="Note 7 2 3" xfId="33938" xr:uid="{00000000-0005-0000-0000-0000C1840000}"/>
    <cellStyle name="Note 7 2 3 2" xfId="33939" xr:uid="{00000000-0005-0000-0000-0000C2840000}"/>
    <cellStyle name="Note 7 2 3 2 2" xfId="33940" xr:uid="{00000000-0005-0000-0000-0000C3840000}"/>
    <cellStyle name="Note 7 2 3 2 2 2" xfId="33941" xr:uid="{00000000-0005-0000-0000-0000C4840000}"/>
    <cellStyle name="Note 7 2 3 2 3" xfId="33942" xr:uid="{00000000-0005-0000-0000-0000C5840000}"/>
    <cellStyle name="Note 7 2 3 3" xfId="33943" xr:uid="{00000000-0005-0000-0000-0000C6840000}"/>
    <cellStyle name="Note 7 2 3 3 2" xfId="33944" xr:uid="{00000000-0005-0000-0000-0000C7840000}"/>
    <cellStyle name="Note 7 2 3 4" xfId="33945" xr:uid="{00000000-0005-0000-0000-0000C8840000}"/>
    <cellStyle name="Note 7 2 4" xfId="33946" xr:uid="{00000000-0005-0000-0000-0000C9840000}"/>
    <cellStyle name="Note 7 2 4 2" xfId="33947" xr:uid="{00000000-0005-0000-0000-0000CA840000}"/>
    <cellStyle name="Note 7 2 4 2 2" xfId="33948" xr:uid="{00000000-0005-0000-0000-0000CB840000}"/>
    <cellStyle name="Note 7 2 4 3" xfId="33949" xr:uid="{00000000-0005-0000-0000-0000CC840000}"/>
    <cellStyle name="Note 7 2 5" xfId="33950" xr:uid="{00000000-0005-0000-0000-0000CD840000}"/>
    <cellStyle name="Note 7 2 5 2" xfId="33951" xr:uid="{00000000-0005-0000-0000-0000CE840000}"/>
    <cellStyle name="Note 7 2 6" xfId="33952" xr:uid="{00000000-0005-0000-0000-0000CF840000}"/>
    <cellStyle name="Note 7 3" xfId="33953" xr:uid="{00000000-0005-0000-0000-0000D0840000}"/>
    <cellStyle name="Note 7 3 2" xfId="33954" xr:uid="{00000000-0005-0000-0000-0000D1840000}"/>
    <cellStyle name="Note 7 3 2 2" xfId="33955" xr:uid="{00000000-0005-0000-0000-0000D2840000}"/>
    <cellStyle name="Note 7 3 2 2 2" xfId="33956" xr:uid="{00000000-0005-0000-0000-0000D3840000}"/>
    <cellStyle name="Note 7 3 2 2 2 2" xfId="33957" xr:uid="{00000000-0005-0000-0000-0000D4840000}"/>
    <cellStyle name="Note 7 3 2 2 3" xfId="33958" xr:uid="{00000000-0005-0000-0000-0000D5840000}"/>
    <cellStyle name="Note 7 3 2 3" xfId="33959" xr:uid="{00000000-0005-0000-0000-0000D6840000}"/>
    <cellStyle name="Note 7 3 2 3 2" xfId="33960" xr:uid="{00000000-0005-0000-0000-0000D7840000}"/>
    <cellStyle name="Note 7 3 2 4" xfId="33961" xr:uid="{00000000-0005-0000-0000-0000D8840000}"/>
    <cellStyle name="Note 7 3 3" xfId="33962" xr:uid="{00000000-0005-0000-0000-0000D9840000}"/>
    <cellStyle name="Note 7 3 3 2" xfId="33963" xr:uid="{00000000-0005-0000-0000-0000DA840000}"/>
    <cellStyle name="Note 7 3 3 2 2" xfId="33964" xr:uid="{00000000-0005-0000-0000-0000DB840000}"/>
    <cellStyle name="Note 7 3 3 3" xfId="33965" xr:uid="{00000000-0005-0000-0000-0000DC840000}"/>
    <cellStyle name="Note 7 3 4" xfId="33966" xr:uid="{00000000-0005-0000-0000-0000DD840000}"/>
    <cellStyle name="Note 7 3 4 2" xfId="33967" xr:uid="{00000000-0005-0000-0000-0000DE840000}"/>
    <cellStyle name="Note 7 3 5" xfId="33968" xr:uid="{00000000-0005-0000-0000-0000DF840000}"/>
    <cellStyle name="Note 7 4" xfId="33969" xr:uid="{00000000-0005-0000-0000-0000E0840000}"/>
    <cellStyle name="Note 7 4 2" xfId="33970" xr:uid="{00000000-0005-0000-0000-0000E1840000}"/>
    <cellStyle name="Note 7 4 2 2" xfId="33971" xr:uid="{00000000-0005-0000-0000-0000E2840000}"/>
    <cellStyle name="Note 7 4 2 2 2" xfId="33972" xr:uid="{00000000-0005-0000-0000-0000E3840000}"/>
    <cellStyle name="Note 7 4 2 3" xfId="33973" xr:uid="{00000000-0005-0000-0000-0000E4840000}"/>
    <cellStyle name="Note 7 4 3" xfId="33974" xr:uid="{00000000-0005-0000-0000-0000E5840000}"/>
    <cellStyle name="Note 7 4 3 2" xfId="33975" xr:uid="{00000000-0005-0000-0000-0000E6840000}"/>
    <cellStyle name="Note 7 4 4" xfId="33976" xr:uid="{00000000-0005-0000-0000-0000E7840000}"/>
    <cellStyle name="Note 7 5" xfId="33977" xr:uid="{00000000-0005-0000-0000-0000E8840000}"/>
    <cellStyle name="Note 7 5 2" xfId="33978" xr:uid="{00000000-0005-0000-0000-0000E9840000}"/>
    <cellStyle name="Note 7 5 2 2" xfId="33979" xr:uid="{00000000-0005-0000-0000-0000EA840000}"/>
    <cellStyle name="Note 7 5 3" xfId="33980" xr:uid="{00000000-0005-0000-0000-0000EB840000}"/>
    <cellStyle name="Note 7 6" xfId="33981" xr:uid="{00000000-0005-0000-0000-0000EC840000}"/>
    <cellStyle name="Note 7 6 2" xfId="33982" xr:uid="{00000000-0005-0000-0000-0000ED840000}"/>
    <cellStyle name="Note 7 7" xfId="33983" xr:uid="{00000000-0005-0000-0000-0000EE840000}"/>
    <cellStyle name="Note 8" xfId="33984" xr:uid="{00000000-0005-0000-0000-0000EF840000}"/>
    <cellStyle name="Note 8 2" xfId="33985" xr:uid="{00000000-0005-0000-0000-0000F0840000}"/>
    <cellStyle name="Note 8 2 2" xfId="33986" xr:uid="{00000000-0005-0000-0000-0000F1840000}"/>
    <cellStyle name="Note 8 2 2 2" xfId="33987" xr:uid="{00000000-0005-0000-0000-0000F2840000}"/>
    <cellStyle name="Note 8 2 2 2 2" xfId="33988" xr:uid="{00000000-0005-0000-0000-0000F3840000}"/>
    <cellStyle name="Note 8 2 2 2 2 2" xfId="33989" xr:uid="{00000000-0005-0000-0000-0000F4840000}"/>
    <cellStyle name="Note 8 2 2 2 3" xfId="33990" xr:uid="{00000000-0005-0000-0000-0000F5840000}"/>
    <cellStyle name="Note 8 2 2 3" xfId="33991" xr:uid="{00000000-0005-0000-0000-0000F6840000}"/>
    <cellStyle name="Note 8 2 2 3 2" xfId="33992" xr:uid="{00000000-0005-0000-0000-0000F7840000}"/>
    <cellStyle name="Note 8 2 2 4" xfId="33993" xr:uid="{00000000-0005-0000-0000-0000F8840000}"/>
    <cellStyle name="Note 8 2 3" xfId="33994" xr:uid="{00000000-0005-0000-0000-0000F9840000}"/>
    <cellStyle name="Note 8 2 3 2" xfId="33995" xr:uid="{00000000-0005-0000-0000-0000FA840000}"/>
    <cellStyle name="Note 8 2 3 2 2" xfId="33996" xr:uid="{00000000-0005-0000-0000-0000FB840000}"/>
    <cellStyle name="Note 8 2 3 3" xfId="33997" xr:uid="{00000000-0005-0000-0000-0000FC840000}"/>
    <cellStyle name="Note 8 2 4" xfId="33998" xr:uid="{00000000-0005-0000-0000-0000FD840000}"/>
    <cellStyle name="Note 8 2 4 2" xfId="33999" xr:uid="{00000000-0005-0000-0000-0000FE840000}"/>
    <cellStyle name="Note 8 2 5" xfId="34000" xr:uid="{00000000-0005-0000-0000-0000FF840000}"/>
    <cellStyle name="Note 8 3" xfId="34001" xr:uid="{00000000-0005-0000-0000-000000850000}"/>
    <cellStyle name="Note 8 3 2" xfId="34002" xr:uid="{00000000-0005-0000-0000-000001850000}"/>
    <cellStyle name="Note 8 3 2 2" xfId="34003" xr:uid="{00000000-0005-0000-0000-000002850000}"/>
    <cellStyle name="Note 8 3 2 2 2" xfId="34004" xr:uid="{00000000-0005-0000-0000-000003850000}"/>
    <cellStyle name="Note 8 3 2 3" xfId="34005" xr:uid="{00000000-0005-0000-0000-000004850000}"/>
    <cellStyle name="Note 8 3 3" xfId="34006" xr:uid="{00000000-0005-0000-0000-000005850000}"/>
    <cellStyle name="Note 8 3 3 2" xfId="34007" xr:uid="{00000000-0005-0000-0000-000006850000}"/>
    <cellStyle name="Note 8 3 4" xfId="34008" xr:uid="{00000000-0005-0000-0000-000007850000}"/>
    <cellStyle name="Note 8 4" xfId="34009" xr:uid="{00000000-0005-0000-0000-000008850000}"/>
    <cellStyle name="Note 8 4 2" xfId="34010" xr:uid="{00000000-0005-0000-0000-000009850000}"/>
    <cellStyle name="Note 8 4 2 2" xfId="34011" xr:uid="{00000000-0005-0000-0000-00000A850000}"/>
    <cellStyle name="Note 8 4 3" xfId="34012" xr:uid="{00000000-0005-0000-0000-00000B850000}"/>
    <cellStyle name="Note 8 5" xfId="34013" xr:uid="{00000000-0005-0000-0000-00000C850000}"/>
    <cellStyle name="Note 8 5 2" xfId="34014" xr:uid="{00000000-0005-0000-0000-00000D850000}"/>
    <cellStyle name="Note 8 6" xfId="34015" xr:uid="{00000000-0005-0000-0000-00000E850000}"/>
    <cellStyle name="Note 9" xfId="34016" xr:uid="{00000000-0005-0000-0000-00000F850000}"/>
    <cellStyle name="Note 9 2" xfId="34017" xr:uid="{00000000-0005-0000-0000-000010850000}"/>
    <cellStyle name="Note 9 2 2" xfId="34018" xr:uid="{00000000-0005-0000-0000-000011850000}"/>
    <cellStyle name="Note 9 2 2 2" xfId="34019" xr:uid="{00000000-0005-0000-0000-000012850000}"/>
    <cellStyle name="Note 9 2 2 2 2" xfId="34020" xr:uid="{00000000-0005-0000-0000-000013850000}"/>
    <cellStyle name="Note 9 2 2 3" xfId="34021" xr:uid="{00000000-0005-0000-0000-000014850000}"/>
    <cellStyle name="Note 9 2 3" xfId="34022" xr:uid="{00000000-0005-0000-0000-000015850000}"/>
    <cellStyle name="Note 9 2 3 2" xfId="34023" xr:uid="{00000000-0005-0000-0000-000016850000}"/>
    <cellStyle name="Note 9 2 4" xfId="34024" xr:uid="{00000000-0005-0000-0000-000017850000}"/>
    <cellStyle name="Note 9 3" xfId="34025" xr:uid="{00000000-0005-0000-0000-000018850000}"/>
    <cellStyle name="Note 9 3 2" xfId="34026" xr:uid="{00000000-0005-0000-0000-000019850000}"/>
    <cellStyle name="Note 9 3 2 2" xfId="34027" xr:uid="{00000000-0005-0000-0000-00001A850000}"/>
    <cellStyle name="Note 9 3 3" xfId="34028" xr:uid="{00000000-0005-0000-0000-00001B850000}"/>
    <cellStyle name="Note 9 4" xfId="34029" xr:uid="{00000000-0005-0000-0000-00001C850000}"/>
    <cellStyle name="Note 9 4 2" xfId="34030" xr:uid="{00000000-0005-0000-0000-00001D850000}"/>
    <cellStyle name="Note 9 5" xfId="34031" xr:uid="{00000000-0005-0000-0000-00001E850000}"/>
    <cellStyle name="Output 2" xfId="34032" xr:uid="{00000000-0005-0000-0000-00001F850000}"/>
    <cellStyle name="Percent" xfId="1" builtinId="5"/>
    <cellStyle name="Percent 2" xfId="34033" xr:uid="{00000000-0005-0000-0000-000020850000}"/>
    <cellStyle name="Percent 3" xfId="34034" xr:uid="{00000000-0005-0000-0000-000021850000}"/>
    <cellStyle name="Percent 35" xfId="34041" xr:uid="{C0DB5AC3-AD12-456E-B99A-9DE8B98BC7FE}"/>
    <cellStyle name="Percent 4" xfId="34035" xr:uid="{00000000-0005-0000-0000-000022850000}"/>
    <cellStyle name="Percent 43" xfId="34042" xr:uid="{0BA88753-5043-4B7A-A2C9-710BDB1BB306}"/>
    <cellStyle name="Style 1" xfId="34036" xr:uid="{00000000-0005-0000-0000-000023850000}"/>
    <cellStyle name="Total 2" xfId="34037" xr:uid="{00000000-0005-0000-0000-000024850000}"/>
    <cellStyle name="Warning Text 2" xfId="34038" xr:uid="{00000000-0005-0000-0000-000025850000}"/>
  </cellStyles>
  <dxfs count="299">
    <dxf>
      <alignment horizontal="center"/>
    </dxf>
    <dxf>
      <alignment horizontal="center"/>
    </dxf>
    <dxf>
      <alignment horizontal="center"/>
    </dxf>
    <dxf>
      <numFmt numFmtId="168" formatCode="[$-409]d/mmm/yy;@"/>
      <alignment horizontal="center"/>
    </dxf>
    <dxf>
      <alignment horizontal="center"/>
    </dxf>
    <dxf>
      <numFmt numFmtId="167" formatCode="[$-409]mmm/yy;@"/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numFmt numFmtId="168" formatCode="[$-409]d/mmm/yy;@"/>
      <alignment horizontal="center"/>
    </dxf>
    <dxf>
      <alignment horizontal="center"/>
    </dxf>
    <dxf>
      <numFmt numFmtId="167" formatCode="[$-409]mmm/yy;@"/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numFmt numFmtId="168" formatCode="[$-409]d/mmm/yy;@"/>
      <alignment horizontal="center"/>
    </dxf>
    <dxf>
      <alignment horizontal="center"/>
    </dxf>
    <dxf>
      <numFmt numFmtId="167" formatCode="[$-409]mmm/yy;@"/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  <alignment horizontal="center"/>
    </dxf>
    <dxf>
      <alignment horizontal="center"/>
    </dxf>
    <dxf>
      <numFmt numFmtId="0" formatCode="General"/>
      <alignment horizontal="center"/>
    </dxf>
    <dxf>
      <alignment horizontal="center"/>
    </dxf>
    <dxf>
      <alignment horizontal="center"/>
    </dxf>
    <dxf>
      <numFmt numFmtId="2" formatCode="0.00"/>
      <alignment horizontal="center"/>
    </dxf>
    <dxf>
      <numFmt numFmtId="2" formatCode="0.00"/>
      <alignment horizontal="center"/>
    </dxf>
    <dxf>
      <numFmt numFmtId="25" formatCode="hh:mm"/>
      <alignment horizontal="center"/>
    </dxf>
    <dxf>
      <alignment horizontal="center"/>
    </dxf>
    <dxf>
      <numFmt numFmtId="165" formatCode="0.0%"/>
      <alignment horizontal="center"/>
    </dxf>
    <dxf>
      <numFmt numFmtId="0" formatCode="General"/>
      <alignment horizontal="center" vertical="center"/>
    </dxf>
    <dxf>
      <numFmt numFmtId="166" formatCode="0.0"/>
      <alignment horizontal="center"/>
    </dxf>
    <dxf>
      <numFmt numFmtId="169" formatCode="h:mm;@"/>
    </dxf>
    <dxf>
      <numFmt numFmtId="169" formatCode="h:mm;@"/>
    </dxf>
    <dxf>
      <numFmt numFmtId="0" formatCode="General"/>
      <alignment horizontal="center"/>
    </dxf>
    <dxf>
      <alignment horizontal="center"/>
    </dxf>
    <dxf>
      <alignment horizontal="center"/>
    </dxf>
    <dxf>
      <numFmt numFmtId="2" formatCode="0.00"/>
      <alignment horizontal="center"/>
    </dxf>
    <dxf>
      <numFmt numFmtId="165" formatCode="0.0%"/>
      <alignment horizontal="center"/>
    </dxf>
    <dxf>
      <alignment horizontal="center"/>
    </dxf>
    <dxf>
      <numFmt numFmtId="2" formatCode="0.00"/>
      <alignment horizontal="center"/>
    </dxf>
    <dxf>
      <numFmt numFmtId="25" formatCode="hh:mm"/>
      <alignment horizontal="center"/>
    </dxf>
    <dxf>
      <numFmt numFmtId="2" formatCode="0.00"/>
      <alignment horizontal="center"/>
    </dxf>
    <dxf>
      <numFmt numFmtId="2" formatCode="0.00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numFmt numFmtId="14" formatCode="0.00%"/>
      <alignment horizontal="center"/>
    </dxf>
    <dxf>
      <alignment horizontal="center"/>
    </dxf>
    <dxf>
      <numFmt numFmtId="2" formatCode="0.00"/>
      <alignment horizontal="center"/>
    </dxf>
    <dxf>
      <numFmt numFmtId="169" formatCode="h:mm;@"/>
      <alignment horizontal="center"/>
    </dxf>
    <dxf>
      <numFmt numFmtId="169" formatCode="h:mm;@"/>
      <alignment horizontal="center"/>
    </dxf>
    <dxf>
      <alignment horizontal="center"/>
    </dxf>
    <dxf>
      <numFmt numFmtId="0" formatCode="General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  <alignment horizontal="center"/>
    </dxf>
    <dxf>
      <numFmt numFmtId="2" formatCode="0.00"/>
      <alignment horizontal="center"/>
    </dxf>
    <dxf>
      <alignment horizontal="center"/>
    </dxf>
    <dxf>
      <numFmt numFmtId="170" formatCode="0.000"/>
      <alignment horizontal="center"/>
    </dxf>
    <dxf>
      <alignment horizontal="center"/>
    </dxf>
    <dxf>
      <alignment horizontal="center"/>
    </dxf>
    <dxf>
      <numFmt numFmtId="2" formatCode="0.00"/>
      <alignment horizontal="center"/>
    </dxf>
    <dxf>
      <numFmt numFmtId="2" formatCode="0.00"/>
      <alignment horizontal="center"/>
    </dxf>
    <dxf>
      <numFmt numFmtId="2" formatCode="0.00"/>
      <alignment horizontal="center"/>
    </dxf>
    <dxf>
      <numFmt numFmtId="2" formatCode="0.00"/>
      <alignment horizontal="center"/>
    </dxf>
    <dxf>
      <numFmt numFmtId="0" formatCode="General"/>
    </dxf>
    <dxf>
      <numFmt numFmtId="1" formatCode="0"/>
      <alignment horizontal="center"/>
    </dxf>
    <dxf>
      <alignment horizontal="left"/>
    </dxf>
    <dxf>
      <numFmt numFmtId="166" formatCode="0.0"/>
    </dxf>
    <dxf>
      <numFmt numFmtId="169" formatCode="h:mm;@"/>
    </dxf>
    <dxf>
      <numFmt numFmtId="169" formatCode="h:mm;@"/>
    </dxf>
    <dxf>
      <numFmt numFmtId="0" formatCode="General"/>
    </dxf>
    <dxf>
      <alignment horizontal="center"/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5" formatCode="0.0%"/>
      <fill>
        <patternFill patternType="none"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none">
          <fgColor theme="9" tint="0.59999389629810485"/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0" formatCode="dd/mmm/yy"/>
      <fill>
        <patternFill patternType="none">
          <fgColor theme="9" tint="0.59999389629810485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none">
          <fgColor theme="9" tint="0.59999389629810485"/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2" formatCode="mmm/yy"/>
      <fill>
        <patternFill patternType="none">
          <fgColor theme="9" tint="0.59999389629810485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none">
          <fgColor theme="9" tint="0.59999389629810485"/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none">
          <fgColor theme="9" tint="0.59999389629810485"/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none">
          <fgColor theme="9" tint="0.59999389629810485"/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none">
          <fgColor theme="9" tint="0.59999389629810485"/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none">
          <fgColor theme="9" tint="0.59999389629810485"/>
          <bgColor auto="1"/>
        </patternFill>
      </fill>
      <alignment horizont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0.0"/>
      <alignment horizontal="center"/>
    </dxf>
    <dxf>
      <numFmt numFmtId="166" formatCode="0.0"/>
      <alignment horizontal="center"/>
    </dxf>
    <dxf>
      <numFmt numFmtId="166" formatCode="0.0"/>
      <alignment horizontal="center"/>
    </dxf>
    <dxf>
      <numFmt numFmtId="166" formatCode="0.0"/>
      <alignment horizontal="center"/>
    </dxf>
    <dxf>
      <numFmt numFmtId="166" formatCode="0.0"/>
      <alignment horizontal="center"/>
    </dxf>
    <dxf>
      <numFmt numFmtId="166" formatCode="0.0"/>
      <alignment horizontal="center"/>
    </dxf>
    <dxf>
      <numFmt numFmtId="166" formatCode="0.0"/>
      <alignment horizontal="center"/>
    </dxf>
    <dxf>
      <numFmt numFmtId="166" formatCode="0.0"/>
      <alignment horizontal="center"/>
    </dxf>
    <dxf>
      <font>
        <b val="0"/>
        <i val="0"/>
        <strike val="0"/>
        <u val="none"/>
        <sz val="11"/>
        <color theme="1"/>
        <name val="Calibri"/>
        <scheme val="none"/>
      </font>
      <numFmt numFmtId="166" formatCode="0.0"/>
      <fill>
        <patternFill patternType="solid">
          <fgColor theme="9" tint="0.59999389629810485"/>
          <bgColor theme="9" tint="0.59999389629810485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0" formatCode="dd/mmm/yy"/>
      <fill>
        <patternFill patternType="solid">
          <fgColor theme="9" tint="0.59999389629810485"/>
          <bgColor theme="9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fgColor theme="9" tint="0.59999389629810485"/>
          <bgColor theme="9" tint="0.59999389629810485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22" formatCode="mmm/yy"/>
      <fill>
        <patternFill patternType="solid">
          <fgColor theme="9" tint="0.59999389629810485"/>
          <bgColor theme="9" tint="0.59999389629810485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fgColor theme="9" tint="0.59999389629810485"/>
          <bgColor theme="9" tint="0.59999389629810485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fgColor theme="9" tint="0.59999389629810485"/>
          <bgColor theme="9" tint="0.59999389629810485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fgColor theme="9" tint="0.59999389629810485"/>
          <bgColor theme="9" tint="0.59999389629810485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fgColor theme="9" tint="0.59999389629810485"/>
          <bgColor theme="9" tint="0.59999389629810485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fill>
        <patternFill patternType="solid">
          <fgColor theme="9" tint="0.59999389629810485"/>
          <bgColor theme="9" tint="0.59999389629810485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6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/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68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0" formatCode="dd/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alignment horizontal="center" vertical="center" textRotation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F17C13-51A6-41D6-B46F-6655491C766F}" name="Table13" displayName="Table13" ref="A1:AS369" totalsRowShown="0" headerRowDxfId="298" dataDxfId="296" totalsRowDxfId="294" headerRowBorderDxfId="297" tableBorderDxfId="295" totalsRowBorderDxfId="293">
  <autoFilter ref="A1:AS369" xr:uid="{3B203726-2095-49D8-A694-A659B4A14C0A}"/>
  <tableColumns count="45">
    <tableColumn id="1" xr3:uid="{26AB39A9-6FA0-4E46-A270-B694E74A19FF}" name="Date" dataDxfId="292" totalsRowDxfId="291" dataCellStyle="Normal 53"/>
    <tableColumn id="2" xr3:uid="{D4C8FF07-BAF0-40AC-A89E-4479DD0FC0C2}" name="Financial Year" dataDxfId="290" totalsRowDxfId="289" dataCellStyle="Normal 53">
      <calculatedColumnFormula>YEAR(Table13[[#This Row],[Date]])+IF(MONTH(Table13[[#This Row],[Date]])&gt;=4,1,0)</calculatedColumnFormula>
    </tableColumn>
    <tableColumn id="3" xr3:uid="{CF73B2F6-5CA8-42F0-A40A-2442DE3C7664}" name="Calendar Year" dataDxfId="288" totalsRowDxfId="287" dataCellStyle="Normal 53">
      <calculatedColumnFormula>YEAR(Table13[[#This Row],[Date]])</calculatedColumnFormula>
    </tableColumn>
    <tableColumn id="4" xr3:uid="{F54D7BBD-9C3A-45E2-9E4F-0E1B3AC44E72}" name="Month Year" dataDxfId="286" totalsRowDxfId="285" dataCellStyle="Normal 53">
      <calculatedColumnFormula>Table13[[#This Row],[Date]]-DAY(Table13[[#This Row],[Date]])+1</calculatedColumnFormula>
    </tableColumn>
    <tableColumn id="5" xr3:uid="{E768E1B6-625C-4FCE-BE1F-9F11A269CD1F}" name="Days" dataDxfId="284" totalsRowDxfId="283" dataCellStyle="Normal 53">
      <calculatedColumnFormula>DAY(EOMONTH(A2,0))</calculatedColumnFormula>
    </tableColumn>
    <tableColumn id="6" xr3:uid="{E8C019BF-2124-4555-B52A-159D00D3006E}" name="Operating Hours" dataDxfId="282" dataCellStyle="Percent 43">
      <calculatedColumnFormula>IFERROR(_xlfn.XLOOKUP($A2,'Raw Data'!$G:$G,'Raw Data'!$AH:$AH),"")</calculatedColumnFormula>
    </tableColumn>
    <tableColumn id="7" xr3:uid="{EFB17AD2-E398-4886-AD6E-AC7C7F215F81}" name="GHI-UP (KWh/m2)" dataDxfId="281" totalsRowDxfId="280" dataCellStyle="Percent 43">
      <calculatedColumnFormula>IFERROR(_xlfn.XLOOKUP($A2,'Raw Data'!$G:$G,'Raw Data'!$S:$S)/1000,"")</calculatedColumnFormula>
    </tableColumn>
    <tableColumn id="8" xr3:uid="{EFBBD902-3DED-43FB-A688-BBA9B31CFB74}" name="GHI-Down(KWh/m2)" dataDxfId="279" totalsRowDxfId="278" dataCellStyle="Percent 43"/>
    <tableColumn id="9" xr3:uid="{0F147AA7-0C22-47D3-B05D-69A5DB019AA9}" name="POA-UP(KWh/m2)" dataDxfId="277" totalsRowDxfId="276" dataCellStyle="Percent 43">
      <calculatedColumnFormula>IFERROR(_xlfn.XLOOKUP($A2,'Raw Data'!$G:$G,'Raw Data'!$AF:$AF)/1000,"")</calculatedColumnFormula>
    </tableColumn>
    <tableColumn id="10" xr3:uid="{42A93A4A-5C10-4459-96D7-8FEB78EF3454}" name="POA-Down(KWh/m2)" dataDxfId="275" dataCellStyle="Percent 43"/>
    <tableColumn id="11" xr3:uid="{5062848D-6543-4592-8BB2-B598DFE0D32F}" name="Amb_Temp(°C)" dataDxfId="274" totalsRowDxfId="273" dataCellStyle="Percent 43">
      <calculatedColumnFormula>IFERROR(_xlfn.XLOOKUP($A2,'Raw Data'!$G:$G,'Raw Data'!W:W),"")</calculatedColumnFormula>
    </tableColumn>
    <tableColumn id="12" xr3:uid="{8104E562-8280-4234-9BC4-5A586B447FA2}" name="Mod_Temp(°C)" dataDxfId="272" totalsRowDxfId="271" dataCellStyle="Percent 43">
      <calculatedColumnFormula>IFERROR(_xlfn.XLOOKUP($A2,'Raw Data'!$G:$G,'Raw Data'!X:X),"")</calculatedColumnFormula>
    </tableColumn>
    <tableColumn id="13" xr3:uid="{8AA08D02-1895-4CAB-8268-A0B63D3DD5E6}" name="WS_Avg(m/s)" dataDxfId="270" totalsRowDxfId="269" dataCellStyle="Percent 43">
      <calculatedColumnFormula>IFERROR(_xlfn.XLOOKUP($A2,'Raw Data'!$G:$G,'Raw Data'!Y:Y),"")</calculatedColumnFormula>
    </tableColumn>
    <tableColumn id="14" xr3:uid="{7B908E74-855C-402B-B951-BA4A15E2DF48}" name="WS_Max(m/s)" dataDxfId="268" totalsRowDxfId="267" dataCellStyle="Percent 43">
      <calculatedColumnFormula>IFERROR(_xlfn.XLOOKUP($A2,'Raw Data'!$G:$G,'Raw Data'!Z:Z),"")</calculatedColumnFormula>
    </tableColumn>
    <tableColumn id="15" xr3:uid="{0672DDEF-F90F-414D-9460-DE55C9B5B2F7}" name="PA(%)" dataDxfId="266" totalsRowDxfId="265" dataCellStyle="Percent 43">
      <calculatedColumnFormula>IFERROR(1-SUMIF('Plant BD'!$H:$H,$A2,'Plant BD'!AC:AC)/$F2,"")</calculatedColumnFormula>
    </tableColumn>
    <tableColumn id="16" xr3:uid="{377C02C5-B0A8-4596-B174-C8683B0B9BD8}" name="MA (%)" dataDxfId="264" totalsRowDxfId="263" dataCellStyle="Percent 43"/>
    <tableColumn id="17" xr3:uid="{4752AC44-E165-49D1-AEBB-D2022F9FBA2A}" name="IGA (%)" dataDxfId="262" totalsRowDxfId="261" dataCellStyle="Percent 43"/>
    <tableColumn id="18" xr3:uid="{99FD3D0E-43C2-4F62-ADCF-B17666388609}" name="EGA(%)" dataDxfId="260" totalsRowDxfId="259" dataCellStyle="Percent 43">
      <calculatedColumnFormula>IFERROR(1-SUMIF('Grid BD'!$H:$H,$A2,'Grid BD'!AB:AB)/$F2,"")</calculatedColumnFormula>
    </tableColumn>
    <tableColumn id="19" xr3:uid="{B2F00E34-EF39-490C-893A-2FEFDDD14A85}" name="EMA (%)" dataDxfId="258" totalsRowDxfId="257" dataCellStyle="Normal 53"/>
    <tableColumn id="20" xr3:uid="{F4003E12-1300-4DAE-8220-DE8125ED1184}" name="TA (%)" dataDxfId="256" totalsRowDxfId="255" dataCellStyle="Percent 43">
      <calculatedColumnFormula>IFERROR(1-SUMIF(Tracker_BD!$H:$H,$A2,Tracker_BD!AI:AI)/$F2,"")</calculatedColumnFormula>
    </tableColumn>
    <tableColumn id="21" xr3:uid="{27F8D4FB-019A-4BCB-9F97-9513AF3CA89A}" name="PR(%)" dataDxfId="254" totalsRowDxfId="253" dataCellStyle="Percent 43">
      <calculatedColumnFormula>IFERROR(AA2/I2/AB2/1000,"")</calculatedColumnFormula>
    </tableColumn>
    <tableColumn id="22" xr3:uid="{4F977F56-EEF6-40DE-A51D-375AE3DD01CE}" name="WPR(%)" dataDxfId="252" totalsRowDxfId="251" dataCellStyle="Percent 43"/>
    <tableColumn id="23" xr3:uid="{DA4E0EEE-59FD-4F29-8522-9C9012398923}" name="CUF(%)" dataDxfId="250" totalsRowDxfId="249" dataCellStyle="Percent 43">
      <calculatedColumnFormula>IFERROR(AA2/(24*AR2*1000),"")</calculatedColumnFormula>
    </tableColumn>
    <tableColumn id="24" xr3:uid="{F97F754C-76B7-4458-9F60-678E3156682E}" name="Gen_Exp (kWh)" dataDxfId="248" totalsRowDxfId="247" dataCellStyle="Normal 53">
      <calculatedColumnFormula>IFERROR(_xlfn.XLOOKUP($A2,'Raw Data'!$G:$G,'Raw Data'!$AB:$AB),"")</calculatedColumnFormula>
    </tableColumn>
    <tableColumn id="25" xr3:uid="{A4E3618D-150E-4703-B05A-4AFC9DDD36A7}" name="Mtr_Export (kWh)" dataDxfId="246" totalsRowDxfId="245" dataCellStyle="Normal 53">
      <calculatedColumnFormula>IFERROR(_xlfn.XLOOKUP($A2,'Raw Data'!$G:$G,'Raw Data'!AC:AC),"")</calculatedColumnFormula>
    </tableColumn>
    <tableColumn id="26" xr3:uid="{85366E50-6499-423E-B16A-F37C85FDE207}" name="Mtr_Import (kWh)" dataDxfId="244" totalsRowDxfId="243" dataCellStyle="Normal 53">
      <calculatedColumnFormula>IFERROR(_xlfn.XLOOKUP($A2,'Raw Data'!$G:$G,'Raw Data'!AD:AD),"")</calculatedColumnFormula>
    </tableColumn>
    <tableColumn id="27" xr3:uid="{6BC18492-1F9B-4814-BD59-B3D700FEADA5}" name="Mtr_Net_Exp (KWh)" dataDxfId="242" dataCellStyle="Normal 53">
      <calculatedColumnFormula>IFERROR(_xlfn.XLOOKUP($A2,'Raw Data'!$G:$G,'Raw Data'!AE:AE),"")</calculatedColumnFormula>
    </tableColumn>
    <tableColumn id="28" xr3:uid="{835AD72B-2D42-43B1-A3DC-DAF3AE90CFB6}" name="Operational Capacity (MW)" dataDxfId="241" totalsRowDxfId="240" dataCellStyle="Normal 53">
      <calculatedColumnFormula>IFERROR(_xlfn.XLOOKUP($A2,'Raw Data'!$G:$G,'Raw Data'!$H:$H),"")</calculatedColumnFormula>
    </tableColumn>
    <tableColumn id="29" xr3:uid="{184E5155-F071-449B-9CA5-DA46CDF28C8D}" name="Bugt_Resource" dataDxfId="239" totalsRowDxfId="238" dataCellStyle="Normal 53">
      <calculatedColumnFormula>IFERROR(_xlfn.XLOOKUP($D2,'Modelling New'!$D:$D,'Modelling New'!$P:$P),"")</calculatedColumnFormula>
    </tableColumn>
    <tableColumn id="30" xr3:uid="{49DDE3CD-DFDE-47B3-810D-1AF7C56D8417}" name="Bugt_Energy" dataDxfId="237" totalsRowDxfId="236" dataCellStyle="Normal 53">
      <calculatedColumnFormula>IFERROR(_xlfn.XLOOKUP($D2,'Modelling New'!$D:$D,'Modelling New'!$T:$T)*1000,"")</calculatedColumnFormula>
    </tableColumn>
    <tableColumn id="43" xr3:uid="{9B7FC504-06A3-4CE9-923C-58D39DD1E520}" name="Bugt PR" dataDxfId="235" dataCellStyle="Percent 35">
      <calculatedColumnFormula>IFERROR(_xlfn.XLOOKUP($D2,'Modelling New'!$D:$D,'Modelling New'!$O:$O),"")</calculatedColumnFormula>
    </tableColumn>
    <tableColumn id="42" xr3:uid="{8EDA8DF3-4754-4E0C-8804-377D4DF13CC3}" name="Bugt CUF" dataDxfId="234" totalsRowDxfId="233" dataCellStyle="Percent 35">
      <calculatedColumnFormula>IFERROR(_xlfn.XLOOKUP($D2,'Modelling New'!$D:$D,'Modelling New'!$W:$W),"")</calculatedColumnFormula>
    </tableColumn>
    <tableColumn id="31" xr3:uid="{64DC189C-EF9E-4360-8AD1-B331109650EC}" name="Bugt_PA" dataDxfId="232" totalsRowDxfId="231" dataCellStyle="Percent 35">
      <calculatedColumnFormula>IFERROR(_xlfn.XLOOKUP($D2,'Modelling New'!$D:$D,'Modelling New'!AE:AE),"")</calculatedColumnFormula>
    </tableColumn>
    <tableColumn id="32" xr3:uid="{46BF3F0F-C3EA-420A-95AC-B17C687A1393}" name="Bugt_EGA" dataDxfId="230" totalsRowDxfId="229" dataCellStyle="Percent 35">
      <calculatedColumnFormula>IFERROR(_xlfn.XLOOKUP($D2,'Modelling New'!$D:$D,'Modelling New'!AF:AF),"")</calculatedColumnFormula>
    </tableColumn>
    <tableColumn id="33" xr3:uid="{7B1606F3-1015-4C7C-AC68-508C45BB45E6}" name="Expected Energy" dataDxfId="228" totalsRowDxfId="227" dataCellStyle="Normal 53"/>
    <tableColumn id="34" xr3:uid="{8E44A1DC-1D01-4848-A5D3-9157F0296D40}" name="Actual Energy WPR" dataDxfId="226" totalsRowDxfId="225" dataCellStyle="Normal 53"/>
    <tableColumn id="35" xr3:uid="{481CA67A-F6DC-4400-87D8-01154C638CA9}" name="RA (%)" dataDxfId="224" totalsRowDxfId="223" dataCellStyle="Normal 53"/>
    <tableColumn id="36" xr3:uid="{C7D9D539-0A75-452B-AE81-A8182C9B11E8}" name="Mod Clean Dry (Num)" dataDxfId="222" totalsRowDxfId="221" dataCellStyle="Normal 53"/>
    <tableColumn id="37" xr3:uid="{B330ED2F-6115-4470-A3BF-7667BD9ECEAC}" name="Mod Clean Wet (Num)" dataDxfId="220" totalsRowDxfId="219" dataCellStyle="Normal 53"/>
    <tableColumn id="38" xr3:uid="{1E45EED0-F12A-470C-B308-E65E6E330ED3}" name="Line Loss(%)" dataDxfId="218" totalsRowDxfId="217" dataCellStyle="Percent 35"/>
    <tableColumn id="39" xr3:uid="{E12A9DF4-9360-4398-AFED-C2953C9C0498}" name="Reactive Power (%)" dataDxfId="216" dataCellStyle="Percent 43"/>
    <tableColumn id="40" xr3:uid="{818B66EE-5DD8-43E1-9FA0-84F95CCCCD8F}" name="Bugt Line loss (%) (Wind)" dataDxfId="215" totalsRowDxfId="214" dataCellStyle="Percent 43"/>
    <tableColumn id="41" xr3:uid="{597D893D-4CF4-431E-A230-8DD580D96151}" name="Bugt Reactive Power (%) (Wind)" dataDxfId="213" totalsRowDxfId="212" dataCellStyle="Percent 43"/>
    <tableColumn id="44" xr3:uid="{5756F7CA-5059-48DF-A212-A1B921D586FA}" name="Bugt Capacity" dataDxfId="211" totalsRowDxfId="210" dataCellStyle="Normal 53">
      <calculatedColumnFormula>IFERROR(_xlfn.XLOOKUP($D2,'Modelling New'!$D:$D,'Modelling New'!$N:$N),"")</calculatedColumnFormula>
    </tableColumn>
    <tableColumn id="45" xr3:uid="{E5642E65-F664-4825-9BE2-61A821054696}" name="CC*Bugt" dataDxfId="209" totalsRowDxfId="208" dataCellStyle="Normal 53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GC" displayName="GC" ref="A2:S152" totalsRowShown="0">
  <tableColumns count="19">
    <tableColumn id="1" xr3:uid="{00000000-0010-0000-0A00-000001000000}" name="Sr. No." dataDxfId="19"/>
    <tableColumn id="2" xr3:uid="{00000000-0010-0000-0A00-000002000000}" name="Finacial Year" dataDxfId="18">
      <calculatedColumnFormula>YEAR(H3)+IF(MONTH(H3)&gt;=4,1,0)</calculatedColumnFormula>
    </tableColumn>
    <tableColumn id="3" xr3:uid="{00000000-0010-0000-0A00-000003000000}" name="Calendor Year" dataDxfId="17">
      <calculatedColumnFormula>YEAR(H3)</calculatedColumnFormula>
    </tableColumn>
    <tableColumn id="4" xr3:uid="{00000000-0010-0000-0A00-000004000000}" name="Contrcatual Year" dataDxfId="16"/>
    <tableColumn id="5" xr3:uid="{00000000-0010-0000-0A00-000005000000}" name="Operating Year" dataDxfId="15"/>
    <tableColumn id="6" xr3:uid="{00000000-0010-0000-0A00-000006000000}" name="Month Year" dataDxfId="14"/>
    <tableColumn id="7" xr3:uid="{00000000-0010-0000-0A00-000007000000}" name="Days" dataDxfId="13"/>
    <tableColumn id="8" xr3:uid="{00000000-0010-0000-0A00-000008000000}" name="Date" dataDxfId="12">
      <calculatedColumnFormula>H2+1</calculatedColumnFormula>
    </tableColumn>
    <tableColumn id="9" xr3:uid="{00000000-0010-0000-0A00-000009000000}" name="Cycle Number"/>
    <tableColumn id="10" xr3:uid="{00000000-0010-0000-0A00-00000A000000}" name="Resources"/>
    <tableColumn id="11" xr3:uid="{00000000-0010-0000-0A00-00000B000000}" name="IC1_Inv1_GC"/>
    <tableColumn id="12" xr3:uid="{00000000-0010-0000-0A00-00000C000000}" name="IC1_Inv2_GC"/>
    <tableColumn id="13" xr3:uid="{00000000-0010-0000-0A00-00000D000000}" name="IC1_Inv3_GC"/>
    <tableColumn id="14" xr3:uid="{00000000-0010-0000-0A00-00000E000000}" name="IC1_Inv4_GC"/>
    <tableColumn id="15" xr3:uid="{00000000-0010-0000-0A00-00000F000000}" name="IC2_Inv1_GC"/>
    <tableColumn id="16" xr3:uid="{00000000-0010-0000-0A00-000010000000}" name="IC2_Inv2_GC"/>
    <tableColumn id="17" xr3:uid="{00000000-0010-0000-0A00-000011000000}" name="Total Number of Table cut" dataDxfId="11">
      <calculatedColumnFormula>SUM(GC[[#This Row],[IC1_Inv1_GC]:[IC2_Inv2_GC]])</calculatedColumnFormula>
    </tableColumn>
    <tableColumn id="23" xr3:uid="{00000000-0010-0000-0A00-000017000000}" name="Remarks for the day"/>
    <tableColumn id="18" xr3:uid="{00000000-0010-0000-0A00-000012000000}" name="Column1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SC" displayName="SC" ref="A1:N131" totalsRowShown="0">
  <autoFilter ref="A1:N131" xr:uid="{00000000-0009-0000-0100-00000B000000}"/>
  <tableColumns count="14">
    <tableColumn id="1" xr3:uid="{00000000-0010-0000-0B00-000001000000}" name="Sr. No." dataDxfId="10"/>
    <tableColumn id="2" xr3:uid="{00000000-0010-0000-0B00-000002000000}" name="Finacial Year" dataDxfId="9">
      <calculatedColumnFormula>YEAR(H2)+IF(MONTH(H2)&gt;=4,1,0)</calculatedColumnFormula>
    </tableColumn>
    <tableColumn id="3" xr3:uid="{00000000-0010-0000-0B00-000003000000}" name="Calendor Year" dataDxfId="8">
      <calculatedColumnFormula>YEAR(H2)</calculatedColumnFormula>
    </tableColumn>
    <tableColumn id="4" xr3:uid="{00000000-0010-0000-0B00-000004000000}" name="Contrcatual Year" dataDxfId="7"/>
    <tableColumn id="5" xr3:uid="{00000000-0010-0000-0B00-000005000000}" name="Operating Year" dataDxfId="6"/>
    <tableColumn id="6" xr3:uid="{00000000-0010-0000-0B00-000006000000}" name="Month Year" dataDxfId="5"/>
    <tableColumn id="7" xr3:uid="{00000000-0010-0000-0B00-000007000000}" name="Days" dataDxfId="4">
      <calculatedColumnFormula>DAY(EOMONTH(F2,0))</calculatedColumnFormula>
    </tableColumn>
    <tableColumn id="8" xr3:uid="{00000000-0010-0000-0B00-000008000000}" name="Date" dataDxfId="3"/>
    <tableColumn id="9" xr3:uid="{00000000-0010-0000-0B00-000009000000}" name="Item Consumed"/>
    <tableColumn id="10" xr3:uid="{00000000-0010-0000-0B00-00000A000000}" name="Qty Consumed" dataDxfId="2"/>
    <tableColumn id="25" xr3:uid="{00000000-0010-0000-0B00-000019000000}" name="Place of Consumption" dataDxfId="1"/>
    <tableColumn id="26" xr3:uid="{00000000-0010-0000-0B00-00001A000000}" name="Ownership of Spare/Consumable" dataDxfId="0"/>
    <tableColumn id="23" xr3:uid="{00000000-0010-0000-0B00-000017000000}" name="Remarks for the day"/>
    <tableColumn id="11" xr3:uid="{00000000-0010-0000-0B00-00000B000000}" name="Column1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Raw_Data" displayName="Raw_Data" ref="A3:AI114" totalsRowShown="0">
  <tableColumns count="35">
    <tableColumn id="1" xr3:uid="{00000000-0010-0000-0100-000001000000}" name="Finacial Year" dataDxfId="207">
      <calculatedColumnFormula>YEAR(Raw_Data[[#This Row],[Date]])+IF(MONTH(Raw_Data[[#This Row],[Date]])&gt;=4,1,0)</calculatedColumnFormula>
    </tableColumn>
    <tableColumn id="2" xr3:uid="{00000000-0010-0000-0100-000002000000}" name="Calendor Year" dataDxfId="206">
      <calculatedColumnFormula>YEAR(Raw_Data[[#This Row],[Date]])</calculatedColumnFormula>
    </tableColumn>
    <tableColumn id="3" xr3:uid="{00000000-0010-0000-0100-000003000000}" name="Contrcatual Year" dataDxfId="205"/>
    <tableColumn id="4" xr3:uid="{00000000-0010-0000-0100-000004000000}" name="Operating Year" dataDxfId="204"/>
    <tableColumn id="5" xr3:uid="{00000000-0010-0000-0100-000005000000}" name="Month Year" dataDxfId="203"/>
    <tableColumn id="6" xr3:uid="{00000000-0010-0000-0100-000006000000}" name="Days" dataDxfId="202">
      <calculatedColumnFormula>DAY(EOMONTH(Raw_Data[[#This Row],[Month Year]],0))</calculatedColumnFormula>
    </tableColumn>
    <tableColumn id="7" xr3:uid="{00000000-0010-0000-0100-000007000000}" name="Date"/>
    <tableColumn id="8" xr3:uid="{00000000-0010-0000-0100-000008000000}" name="Plant DC Capcity (MW)" dataDxfId="201"/>
    <tableColumn id="9" xr3:uid="{00000000-0010-0000-0100-000009000000}" name="Sunrise Time (POA&gt;20 W/m2)"/>
    <tableColumn id="10" xr3:uid="{00000000-0010-0000-0100-00000A000000}" name="Sunset Time (POA&lt;20 W/m2)"/>
    <tableColumn id="11" xr3:uid="{00000000-0010-0000-0100-00000B000000}" name="IC1_Inv1" dataDxfId="200"/>
    <tableColumn id="12" xr3:uid="{00000000-0010-0000-0100-00000C000000}" name="IC1_Inv2" dataDxfId="199"/>
    <tableColumn id="13" xr3:uid="{00000000-0010-0000-0100-00000D000000}" name="IC1_Inv3" dataDxfId="198"/>
    <tableColumn id="14" xr3:uid="{00000000-0010-0000-0100-00000E000000}" name="IC1_Inv4" dataDxfId="197"/>
    <tableColumn id="15" xr3:uid="{00000000-0010-0000-0100-00000F000000}" name="IC2_Inv1" dataDxfId="196"/>
    <tableColumn id="16" xr3:uid="{00000000-0010-0000-0100-000010000000}" name="IC2_Inv2" dataDxfId="195"/>
    <tableColumn id="17" xr3:uid="{00000000-0010-0000-0100-000011000000}" name="33 kV Outgoinng Export Reading" dataDxfId="194"/>
    <tableColumn id="18" xr3:uid="{00000000-0010-0000-0100-000012000000}" name="33 kV Outgoinng Import Reading" dataDxfId="193"/>
    <tableColumn id="19" xr3:uid="{00000000-0010-0000-0100-000013000000}" name="GHI(Wh/m2)" dataDxfId="192"/>
    <tableColumn id="20" xr3:uid="{00000000-0010-0000-0100-000014000000}" name="POA1(Wh/m2)" dataDxfId="191"/>
    <tableColumn id="21" xr3:uid="{00000000-0010-0000-0100-000015000000}" name="POA2(Wh/m2)" dataDxfId="190"/>
    <tableColumn id="34" xr3:uid="{00000000-0010-0000-0100-000022000000}" name="Avg. POA Lost (W/m2)" dataDxfId="189"/>
    <tableColumn id="25" xr3:uid="{00000000-0010-0000-0100-000019000000}" name="Avg. Ambient Temp (POA&gt;20W/m2)" dataDxfId="188"/>
    <tableColumn id="26" xr3:uid="{00000000-0010-0000-0100-00001A000000}" name="Avg. Module Temp (POA&gt;20W/m2)" dataDxfId="187"/>
    <tableColumn id="27" xr3:uid="{00000000-0010-0000-0100-00001B000000}" name="Avg. Wind Speed (m/s)" dataDxfId="186"/>
    <tableColumn id="28" xr3:uid="{00000000-0010-0000-0100-00001C000000}" name="Max. Wind Speed (m/s)" dataDxfId="185"/>
    <tableColumn id="29" xr3:uid="{00000000-0010-0000-0100-00001D000000}" name="Rain Fall (mm)" dataDxfId="184"/>
    <tableColumn id="37" xr3:uid="{00000000-0010-0000-0100-000025000000}" name="Inverters Generation ( kWh)" dataDxfId="183">
      <calculatedColumnFormula>SUM(Raw_Data[[#This Row],[IC1_Inv1]:[IC2_Inv2]])</calculatedColumnFormula>
    </tableColumn>
    <tableColumn id="30" xr3:uid="{00000000-0010-0000-0100-00001E000000}" name="Export  (kWh)" dataDxfId="182">
      <calculatedColumnFormula>IF(Raw_Data[[#This Row],[33 kV Outgoinng Export Reading]]-Q3&gt;0,Raw_Data[[#This Row],[33 kV Outgoinng Export Reading]]-Q3,0)</calculatedColumnFormula>
    </tableColumn>
    <tableColumn id="35" xr3:uid="{00000000-0010-0000-0100-000023000000}" name="Import (kWh)" dataDxfId="181">
      <calculatedColumnFormula>IF(Raw_Data[[#This Row],[33 kV Outgoinng Import Reading]]-R3&gt;0,Raw_Data[[#This Row],[33 kV Outgoinng Import Reading]]-R3,0)</calculatedColumnFormula>
    </tableColumn>
    <tableColumn id="36" xr3:uid="{00000000-0010-0000-0100-000024000000}" name="Net Export (kWh)" dataDxfId="180">
      <calculatedColumnFormula>Raw_Data[[#This Row],[Export  (kWh)]]-Raw_Data[[#This Row],[Import (kWh)]]</calculatedColumnFormula>
    </tableColumn>
    <tableColumn id="31" xr3:uid="{00000000-0010-0000-0100-00001F000000}" name="Avg. POA without Exclusion (W/m2)2" dataDxfId="179">
      <calculatedColumnFormula>IFERROR(AVERAGE(Raw_Data[[#This Row],[POA1(Wh/m2)]:[POA2(Wh/m2)]]),"")</calculatedColumnFormula>
    </tableColumn>
    <tableColumn id="32" xr3:uid="{00000000-0010-0000-0100-000020000000}" name="Net Avg. POA with Exclusion (W/m2)" dataDxfId="178">
      <calculatedColumnFormula>IFERROR(Raw_Data[[#This Row],[Avg. POA without Exclusion (W/m2)2]]-Raw_Data[[#This Row],[Avg. POA Lost (W/m2)]],"")</calculatedColumnFormula>
    </tableColumn>
    <tableColumn id="23" xr3:uid="{33A1CC22-562B-4042-9EB8-0E336EE7377B}" name="Operating Hours" dataDxfId="177">
      <calculatedColumnFormula>IFERROR((J4-I4)*24,"")</calculatedColumnFormula>
    </tableColumn>
    <tableColumn id="22" xr3:uid="{00000000-0010-0000-0100-000016000000}" name="Remarks" dataDxfId="17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86DFF4A-D6D8-4AE7-A69D-5467973CDD9F}" name="Table14" displayName="Table14" ref="A1:AN49" totalsRowShown="0" headerRowDxfId="175" dataDxfId="173" headerRowBorderDxfId="174" tableBorderDxfId="172" totalsRowBorderDxfId="171">
  <tableColumns count="40">
    <tableColumn id="1" xr3:uid="{519601F4-0817-4850-B3DE-427D69D523E2}" name="Sr. No." dataDxfId="170" dataCellStyle="Comma 42"/>
    <tableColumn id="2" xr3:uid="{771B9661-4C9D-40B6-8E06-AD08CD7E759C}" name="Month Name" dataDxfId="169" dataCellStyle="Comma 42"/>
    <tableColumn id="3" xr3:uid="{48D61BD0-C2AB-4AC1-AC25-D30DBB0463F3}" name="Month Number" dataDxfId="168" dataCellStyle="Comma 42"/>
    <tableColumn id="4" xr3:uid="{A9C2BB71-B06D-41B5-8B26-B5E11B812F62}" name="Month" dataDxfId="167" dataCellStyle="Comma 42"/>
    <tableColumn id="5" xr3:uid="{78B77572-99E8-4206-8F9D-7EBDA8CB7B5D}" name="CY" dataDxfId="166">
      <calculatedColumnFormula>YEAR(D2)</calculatedColumnFormula>
    </tableColumn>
    <tableColumn id="6" xr3:uid="{17E8F228-05E1-4902-87E6-C0B979BADC9B}" name="FY" dataDxfId="165"/>
    <tableColumn id="7" xr3:uid="{30D9482F-DBB2-4947-A32A-78CA54775D0E}" name="No. of Days in Month" dataDxfId="164">
      <calculatedColumnFormula>DAY(EOMONTH(D2,0))</calculatedColumnFormula>
    </tableColumn>
    <tableColumn id="8" xr3:uid="{6209AB6C-36D0-4062-A53B-400D21BB5EA4}" name="GHI" dataDxfId="163"/>
    <tableColumn id="9" xr3:uid="{3938B8E6-9EBA-4F38-A34D-E7176413222C}" name="POA" dataDxfId="162"/>
    <tableColumn id="10" xr3:uid="{5A9BD555-1206-4F6E-97A6-C5706067BA4B}" name="WS" dataDxfId="161"/>
    <tableColumn id="11" xr3:uid="{A54B8C24-3E67-4634-9371-B68E0F6A0EB0}" name="Tamb" dataDxfId="160"/>
    <tableColumn id="12" xr3:uid="{B2976571-E887-4BDB-9F07-90ACE78E974D}" name="Tmod" dataDxfId="159"/>
    <tableColumn id="13" xr3:uid="{27F0C410-148B-4480-B5FD-5EC21B38E64B}" name="Egrid (MWh)" dataDxfId="158"/>
    <tableColumn id="14" xr3:uid="{815B0438-D2D0-43F2-93B3-1C2BBD15FE0F}" name="Bugt_Capacity" dataDxfId="157"/>
    <tableColumn id="15" xr3:uid="{507F2B89-3A13-42DE-BCD2-21BA8191EA04}" name="PR" dataDxfId="156">
      <calculatedColumnFormula>IFERROR(M2/I2/N2,"")</calculatedColumnFormula>
    </tableColumn>
    <tableColumn id="16" xr3:uid="{898FD5BD-AE72-47E8-AD95-FD5ADAC128CB}" name="Daily POA" dataDxfId="155">
      <calculatedColumnFormula>IFERROR(I2/G2,"")</calculatedColumnFormula>
    </tableColumn>
    <tableColumn id="17" xr3:uid="{FAACDD32-721B-4DEB-8192-4B81EBDA6155}" name="Days Operated" dataDxfId="154">
      <calculatedColumnFormula>COUNTIFS('Daily KPI'!$D:$D,D2,'Daily KPI'!$K:$K,"&gt;0")</calculatedColumnFormula>
    </tableColumn>
    <tableColumn id="18" xr3:uid="{13523791-F3D6-4F86-9E55-D00E291BB085}" name="MTD POA" dataDxfId="153">
      <calculatedColumnFormula>I2/G2*Q2</calculatedColumnFormula>
    </tableColumn>
    <tableColumn id="27" xr3:uid="{10F8789D-36B2-4223-B24E-3658956B9BC1}" name="YTD POA" dataDxfId="152">
      <calculatedColumnFormula>SUMIF($F$2:F2,F2,$R$2:R2)</calculatedColumnFormula>
    </tableColumn>
    <tableColumn id="19" xr3:uid="{33C5EDA0-C2D6-4748-AD41-3B32A9BDCCBA}" name="Daily Energy (MWh)" dataDxfId="151">
      <calculatedColumnFormula>M2/G2</calculatedColumnFormula>
    </tableColumn>
    <tableColumn id="20" xr3:uid="{504035A8-EFAA-4D15-B267-C372BE532500}" name="MTD Energy (MWh)" dataDxfId="150">
      <calculatedColumnFormula>M2/G2*Q2</calculatedColumnFormula>
    </tableColumn>
    <tableColumn id="28" xr3:uid="{CCBA381E-0515-4C6A-A6BF-A5FA535BB06D}" name="YTD Energy (MWh)" dataDxfId="149">
      <calculatedColumnFormula>SUMIF($F$2:F2,F2,$U$2:U2)</calculatedColumnFormula>
    </tableColumn>
    <tableColumn id="38" xr3:uid="{3E360F66-53FE-4348-9C87-D6EDD604800F}" name="Bugt CUF (%)" dataDxfId="148" dataCellStyle="Percent">
      <calculatedColumnFormula>IFERROR(T2/(24*N2),"")</calculatedColumnFormula>
    </tableColumn>
    <tableColumn id="37" xr3:uid="{C20DC1FC-4587-4483-A6C5-7491CBE3C5DB}" name="Bugt CUF (%) MTD" dataDxfId="147" dataCellStyle="Percent">
      <calculatedColumnFormula>IFERROR(U2/(24*N2*Q2),"")</calculatedColumnFormula>
    </tableColumn>
    <tableColumn id="36" xr3:uid="{BCDCF07C-D284-4F45-8D87-F9AC3E03A6AE}" name="Bugt CUF (%)YTD" dataDxfId="146" dataCellStyle="Percent">
      <calculatedColumnFormula>IFERROR(V2/(24*N2*SUMIFS($Q:$Q,$F:$F,$F2,$D:$D,"&lt;="&amp;D2)),"")</calculatedColumnFormula>
    </tableColumn>
    <tableColumn id="21" xr3:uid="{889338DC-1524-4F19-9E73-FB6AB56BA8CB}" name="Ave. Cap MTD" dataDxfId="145">
      <calculatedColumnFormula>IFERROR(AVERAGEIF('Daily KPI'!D:D,Table14[[#This Row],[Month]],'Daily KPI'!AB:AB),"")</calculatedColumnFormula>
    </tableColumn>
    <tableColumn id="29" xr3:uid="{0FADE8CD-69CA-4980-A78A-E940E80BFABC}" name="Ave. Cap YTD" dataDxfId="144">
      <calculatedColumnFormula>IFERROR(AVERAGEIF($F$2:F2,F2,$Z$2:Z2),"")</calculatedColumnFormula>
    </tableColumn>
    <tableColumn id="22" xr3:uid="{3A3FD197-2840-4152-8E33-24FEAFE3B0E4}" name="CC Energy MTD" dataDxfId="143"/>
    <tableColumn id="31" xr3:uid="{D524AF58-90B3-4838-8578-A7AEF34CFE31}" name="WS MTD" dataDxfId="142"/>
    <tableColumn id="23" xr3:uid="{F3CEE7DA-8F63-40A3-A3E8-A57AEBB3BD8B}" name="WS YTD" dataDxfId="141"/>
    <tableColumn id="24" xr3:uid="{420D2DAB-8BC8-4512-ACD5-31C09F1B34FB}" name="Bugt PA" dataDxfId="140" dataCellStyle="Percent 43"/>
    <tableColumn id="25" xr3:uid="{AE50C7DF-DF95-4F9D-9FE8-B5F3F4B89EB2}" name="Bugt EGA" dataDxfId="139" dataCellStyle="Percent 43"/>
    <tableColumn id="35" xr3:uid="{3AF8A556-9EE1-4541-BFF4-A5C27E89C4EB}" name="Bugt TA" dataDxfId="138" dataCellStyle="Percent"/>
    <tableColumn id="26" xr3:uid="{4CEFA49B-5E49-4D31-97FC-FB781C400584}" name="Bugt MA" dataDxfId="137" dataCellStyle="Percent"/>
    <tableColumn id="30" xr3:uid="{F85216B0-9212-40B1-8EAB-E266A112EFD8}" name="Bugt IGA" dataDxfId="136" dataCellStyle="Percent"/>
    <tableColumn id="32" xr3:uid="{F730B51D-175D-4156-B1E7-19A02ED8313E}" name="Corelation" dataDxfId="135" dataCellStyle="Percent"/>
    <tableColumn id="33" xr3:uid="{7168F626-14C3-4E07-B033-D9AF59BCCFF2}" name="Bugt Line loss" dataDxfId="134" dataCellStyle="Percent"/>
    <tableColumn id="34" xr3:uid="{B46C9A7A-60D5-410C-B261-68A3278BBC57}" name="Bugt Reactive Power" dataDxfId="133" dataCellStyle="Percent"/>
    <tableColumn id="39" xr3:uid="{97687879-2D49-4F1D-88CA-3B2A27C33239}" name="Bugt Capacity" dataDxfId="132" dataCellStyle="Percent"/>
    <tableColumn id="40" xr3:uid="{63A7CA10-91F3-4301-8435-66B0545AB84A}" name="CC*Bugt" dataDxfId="131" dataCellStyle="Perce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le12" displayName="Table12" ref="A2:Q113" totalsRowShown="0">
  <autoFilter ref="A2:Q113" xr:uid="{00000000-0009-0000-0100-00000C000000}"/>
  <tableColumns count="17">
    <tableColumn id="1" xr3:uid="{00000000-0010-0000-0200-000001000000}" name="Finacial Year" dataDxfId="130">
      <calculatedColumnFormula>YEAR(H3)+IF(MONTH(H3)&gt;=4,1,0)</calculatedColumnFormula>
    </tableColumn>
    <tableColumn id="2" xr3:uid="{00000000-0010-0000-0200-000002000000}" name="Start Month" dataDxfId="129">
      <calculatedColumnFormula>YEAR(H3)</calculatedColumnFormula>
    </tableColumn>
    <tableColumn id="3" xr3:uid="{00000000-0010-0000-0200-000003000000}" name="Calendor Year" dataDxfId="128">
      <calculatedColumnFormula>YEAR(Table12[[#This Row],[Date]])</calculatedColumnFormula>
    </tableColumn>
    <tableColumn id="4" xr3:uid="{00000000-0010-0000-0200-000004000000}" name="Contrcatual Year" dataDxfId="127"/>
    <tableColumn id="5" xr3:uid="{00000000-0010-0000-0200-000005000000}" name="Operating Year" dataDxfId="126"/>
    <tableColumn id="6" xr3:uid="{00000000-0010-0000-0200-000006000000}" name="Month Year" dataDxfId="125"/>
    <tableColumn id="7" xr3:uid="{00000000-0010-0000-0200-000007000000}" name="Days" dataDxfId="124">
      <calculatedColumnFormula>DAY(EOMONTH(F3,0))</calculatedColumnFormula>
    </tableColumn>
    <tableColumn id="8" xr3:uid="{00000000-0010-0000-0200-000008000000}" name="Date" dataDxfId="123">
      <calculatedColumnFormula>H2+1</calculatedColumnFormula>
    </tableColumn>
    <tableColumn id="9" xr3:uid="{00000000-0010-0000-0200-000009000000}" name="Plant DC Capcity (MW)" dataDxfId="122">
      <calculatedColumnFormula>'Modelling New'!$AQ$1</calculatedColumnFormula>
    </tableColumn>
    <tableColumn id="10" xr3:uid="{00000000-0010-0000-0200-00000A000000}" name="IC1_Inv1" dataDxfId="121">
      <calculatedColumnFormula>'Raw Data'!#REF!/J$1</calculatedColumnFormula>
    </tableColumn>
    <tableColumn id="11" xr3:uid="{00000000-0010-0000-0200-00000B000000}" name="IC1_Inv2" dataDxfId="120">
      <calculatedColumnFormula>'Raw Data'!#REF!/K$1</calculatedColumnFormula>
    </tableColumn>
    <tableColumn id="12" xr3:uid="{00000000-0010-0000-0200-00000C000000}" name="IC1_Inv3" dataDxfId="119">
      <calculatedColumnFormula>'Raw Data'!#REF!/L$1</calculatedColumnFormula>
    </tableColumn>
    <tableColumn id="13" xr3:uid="{00000000-0010-0000-0200-00000D000000}" name="IC1_Inv4" dataDxfId="118">
      <calculatedColumnFormula>'Raw Data'!#REF!/M$1</calculatedColumnFormula>
    </tableColumn>
    <tableColumn id="14" xr3:uid="{00000000-0010-0000-0200-00000E000000}" name="IC2_Inv1" dataDxfId="117">
      <calculatedColumnFormula>'Raw Data'!#REF!/N$1</calculatedColumnFormula>
    </tableColumn>
    <tableColumn id="15" xr3:uid="{00000000-0010-0000-0200-00000F000000}" name="IC2_Inv2" dataDxfId="116">
      <calculatedColumnFormula>'Raw Data'!#REF!/O$1</calculatedColumnFormula>
    </tableColumn>
    <tableColumn id="16" xr3:uid="{00000000-0010-0000-0200-000010000000}" name="Avg. SY" dataDxfId="115">
      <calculatedColumnFormula>IFERROR(AVERAGEIF(J3:O3,"&gt;"&amp;0,J3:O3),"")</calculatedColumnFormula>
    </tableColumn>
    <tableColumn id="17" xr3:uid="{00000000-0010-0000-0200-000011000000}" name="Max. SY" dataDxfId="114">
      <calculatedColumnFormula>MAXA(J3:O3)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U112" totalsRowShown="0" headerRowDxfId="113" dataDxfId="112">
  <tableColumns count="21">
    <tableColumn id="1" xr3:uid="{00000000-0010-0000-0500-000001000000}" name="Finacial Year" dataDxfId="111"/>
    <tableColumn id="2" xr3:uid="{00000000-0010-0000-0500-000002000000}" name="Start Month" dataDxfId="110"/>
    <tableColumn id="3" xr3:uid="{00000000-0010-0000-0500-000003000000}" name="Calendor Year" dataDxfId="109">
      <calculatedColumnFormula>TEXT(Table5[[#This Row],[Date]],"yyyy")</calculatedColumnFormula>
    </tableColumn>
    <tableColumn id="4" xr3:uid="{00000000-0010-0000-0500-000004000000}" name="Contrcatual Year" dataDxfId="108"/>
    <tableColumn id="5" xr3:uid="{00000000-0010-0000-0500-000005000000}" name="Operating Year" dataDxfId="107"/>
    <tableColumn id="6" xr3:uid="{00000000-0010-0000-0500-000006000000}" name="Month Year" dataDxfId="106">
      <calculatedColumnFormula>TEXT(Table5[[#This Row],[Date]],"mmm-yy")</calculatedColumnFormula>
    </tableColumn>
    <tableColumn id="7" xr3:uid="{00000000-0010-0000-0500-000007000000}" name="Days" dataDxfId="105">
      <calculatedColumnFormula>DAY(EOMONTH(F2,0))</calculatedColumnFormula>
    </tableColumn>
    <tableColumn id="8" xr3:uid="{00000000-0010-0000-0500-000008000000}" name="Date" dataDxfId="104">
      <calculatedColumnFormula>H1+1</calculatedColumnFormula>
    </tableColumn>
    <tableColumn id="9" xr3:uid="{00000000-0010-0000-0500-000009000000}" name="Plant DC Capcity (MW)" dataDxfId="103"/>
    <tableColumn id="10" xr3:uid="{00000000-0010-0000-0500-00000A000000}" name="IC1_Inv1 WRT Avg." dataDxfId="102">
      <calculatedColumnFormula>IFERROR(Inv_SY!#REF!/Inv_SY!#REF!-1,"")</calculatedColumnFormula>
    </tableColumn>
    <tableColumn id="11" xr3:uid="{00000000-0010-0000-0500-00000B000000}" name="IC1_Inv2 wrt Avg." dataDxfId="101">
      <calculatedColumnFormula>IFERROR(Inv_SY!#REF!/Inv_SY!#REF!-1,"")</calculatedColumnFormula>
    </tableColumn>
    <tableColumn id="12" xr3:uid="{00000000-0010-0000-0500-00000C000000}" name="IC1_Inv3 wrt Avg." dataDxfId="100">
      <calculatedColumnFormula>IFERROR(Inv_SY!#REF!/Inv_SY!#REF!-1,"")</calculatedColumnFormula>
    </tableColumn>
    <tableColumn id="13" xr3:uid="{00000000-0010-0000-0500-00000D000000}" name="IC1_Inv4 wrt Avg." dataDxfId="99">
      <calculatedColumnFormula>IFERROR(Inv_SY!#REF!/Inv_SY!#REF!-1,"")</calculatedColumnFormula>
    </tableColumn>
    <tableColumn id="14" xr3:uid="{00000000-0010-0000-0500-00000E000000}" name="IC2_Inv1 wrt Avg." dataDxfId="98">
      <calculatedColumnFormula>IFERROR(Inv_SY!#REF!/Inv_SY!#REF!-1,"")</calculatedColumnFormula>
    </tableColumn>
    <tableColumn id="15" xr3:uid="{00000000-0010-0000-0500-00000F000000}" name="IC2_Inv2 wrt Avg." dataDxfId="97">
      <calculatedColumnFormula>IFERROR(Inv_SY!#REF!/Inv_SY!#REF!-1,"")</calculatedColumnFormula>
    </tableColumn>
    <tableColumn id="16" xr3:uid="{00000000-0010-0000-0500-000010000000}" name="IC1_Inv1 wrt Max." dataDxfId="96">
      <calculatedColumnFormula>IFERROR(Inv_SY!#REF!/Inv_SY!#REF!-1,"")</calculatedColumnFormula>
    </tableColumn>
    <tableColumn id="17" xr3:uid="{00000000-0010-0000-0500-000011000000}" name="IC1_Inv2 wrt Max." dataDxfId="95">
      <calculatedColumnFormula>IFERROR(Inv_SY!#REF!/Inv_SY!#REF!-1,"")</calculatedColumnFormula>
    </tableColumn>
    <tableColumn id="18" xr3:uid="{00000000-0010-0000-0500-000012000000}" name="IC1_Inv3 wrt Max." dataDxfId="94">
      <calculatedColumnFormula>IFERROR(Inv_SY!#REF!/Inv_SY!#REF!-1,"")</calculatedColumnFormula>
    </tableColumn>
    <tableColumn id="19" xr3:uid="{00000000-0010-0000-0500-000013000000}" name="IC1_Inv4 wrt Max." dataDxfId="93">
      <calculatedColumnFormula>IFERROR(Inv_SY!#REF!/Inv_SY!#REF!-1,"")</calculatedColumnFormula>
    </tableColumn>
    <tableColumn id="20" xr3:uid="{00000000-0010-0000-0500-000014000000}" name="IC2_Inv1 wrt Max." dataDxfId="92">
      <calculatedColumnFormula>IFERROR(Inv_SY!#REF!/Inv_SY!#REF!-1,"")</calculatedColumnFormula>
    </tableColumn>
    <tableColumn id="21" xr3:uid="{00000000-0010-0000-0500-000015000000}" name="IC2_Inv2 wrt Max." dataDxfId="91">
      <calculatedColumnFormula>IFERROR(Inv_SY!#REF!/Inv_SY!#REF!-1,"")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PA" displayName="PA" ref="A3:AG557" totalsRowShown="0">
  <autoFilter ref="A3:AG557" xr:uid="{00000000-0009-0000-0100-000001000000}"/>
  <tableColumns count="33">
    <tableColumn id="1" xr3:uid="{00000000-0010-0000-0600-000001000000}" name="Sr. No." dataDxfId="90">
      <calculatedColumnFormula>A3+1</calculatedColumnFormula>
    </tableColumn>
    <tableColumn id="2" xr3:uid="{00000000-0010-0000-0600-000002000000}" name="Finacial Year">
      <calculatedColumnFormula>YEAR(H4)+IF(MONTH(H4)&gt;=4,1,0)</calculatedColumnFormula>
    </tableColumn>
    <tableColumn id="3" xr3:uid="{00000000-0010-0000-0600-000003000000}" name="Calendor Year">
      <calculatedColumnFormula>YEAR(H4)</calculatedColumnFormula>
    </tableColumn>
    <tableColumn id="4" xr3:uid="{00000000-0010-0000-0600-000004000000}" name="Contrcatual Year"/>
    <tableColumn id="5" xr3:uid="{00000000-0010-0000-0600-000005000000}" name="Operating Year"/>
    <tableColumn id="6" xr3:uid="{00000000-0010-0000-0600-000006000000}" name="Month Year"/>
    <tableColumn id="7" xr3:uid="{00000000-0010-0000-0600-000007000000}" name="Days" dataDxfId="89"/>
    <tableColumn id="8" xr3:uid="{00000000-0010-0000-0600-000008000000}" name="Date"/>
    <tableColumn id="26" xr3:uid="{00000000-0010-0000-0600-00001A000000}" name="Sunrise Time (POA&gt;20 W/m2)" dataDxfId="88">
      <calculatedColumnFormula>IFERROR(VLOOKUP(PA[[#This Row],[Date]],Raw_Data[[Date]:[Sunset Time (POA&lt;20 W/m2)]],3,0),"")</calculatedColumnFormula>
    </tableColumn>
    <tableColumn id="27" xr3:uid="{00000000-0010-0000-0600-00001B000000}" name="Sunset Time (POA&lt;20 W/m2)" dataDxfId="87">
      <calculatedColumnFormula>IFERROR(VLOOKUP(PA[[#This Row],[Date]],Raw_Data[[Date]:[Sunset Time (POA&lt;20 W/m2)]],4,0),"")</calculatedColumnFormula>
    </tableColumn>
    <tableColumn id="28" xr3:uid="{00000000-0010-0000-0600-00001C000000}" name="Total Generation Time" dataDxfId="86">
      <calculatedColumnFormula>IFERROR((PA[[#This Row],[Sunset Time (POA&lt;20 W/m2)]]-PA[[#This Row],[Sunrise Time (POA&gt;20 W/m2)]])*24,"")</calculatedColumnFormula>
    </tableColumn>
    <tableColumn id="9" xr3:uid="{00000000-0010-0000-0600-000009000000}" name="Affceted Equipment" dataDxfId="85"/>
    <tableColumn id="10" xr3:uid="{00000000-0010-0000-0600-00000A000000}" name="DC Capacity Affceted (kW)" dataDxfId="84">
      <calculatedColumnFormula>IFERROR(VLOOKUP(PA[[#This Row],[Affceted Equipment]],'Basic Data'!$A$2:$B$114,2,0),"")</calculatedColumnFormula>
    </tableColumn>
    <tableColumn id="29" xr3:uid="{00000000-0010-0000-0600-00001D000000}" name="Plant Equivalent Weightage" dataDxfId="83">
      <calculatedColumnFormula>IFERROR(VLOOKUP(PA[[#This Row],[Affceted Equipment]],'Basic Data'!$A$1:$C$118,3,0),"")</calculatedColumnFormula>
    </tableColumn>
    <tableColumn id="11" xr3:uid="{00000000-0010-0000-0600-00000B000000}" name="Affected Equipmenet Location"/>
    <tableColumn id="12" xr3:uid="{00000000-0010-0000-0600-00000C000000}" name="Fault Catrgory"/>
    <tableColumn id="13" xr3:uid="{00000000-0010-0000-0600-00000D000000}" name="Fault Code (As per HMI)"/>
    <tableColumn id="14" xr3:uid="{00000000-0010-0000-0600-00000E000000}" name="Breakdown Description"/>
    <tableColumn id="15" xr3:uid="{00000000-0010-0000-0600-00000F000000}" name="Fault Time"/>
    <tableColumn id="16" xr3:uid="{00000000-0010-0000-0600-000010000000}" name="Acknowledgemnet Time "/>
    <tableColumn id="17" xr3:uid="{00000000-0010-0000-0600-000011000000}" name="Work Start time on Fault"/>
    <tableColumn id="18" xr3:uid="{00000000-0010-0000-0600-000012000000}" name="Work Completiuon time on fualt"/>
    <tableColumn id="19" xr3:uid="{00000000-0010-0000-0600-000013000000}" name="Acknowdlegemnet time " dataDxfId="82">
      <calculatedColumnFormula>IF(PA[[#This Row],[Acknowledgemnet Time ]]="NA","",(PA[[#This Row],[Acknowledgemnet Time ]]-PA[[#This Row],[Fault Time]])*24)</calculatedColumnFormula>
    </tableColumn>
    <tableColumn id="20" xr3:uid="{00000000-0010-0000-0600-000014000000}" name="Response Time" dataDxfId="81">
      <calculatedColumnFormula>IF(PA[[#This Row],[Work Start time on Fault]]="NA","",(PA[[#This Row],[Work Start time on Fault]]-PA[[#This Row],[Fault Time]])*24)</calculatedColumnFormula>
    </tableColumn>
    <tableColumn id="21" xr3:uid="{00000000-0010-0000-0600-000015000000}" name="Resolution Time" dataDxfId="80">
      <calculatedColumnFormula>(PA[[#This Row],[Work Completiuon time on fualt]]-PA[[#This Row],[Fault Time]])*24</calculatedColumnFormula>
    </tableColumn>
    <tableColumn id="30" xr3:uid="{00000000-0010-0000-0600-00001E000000}" name="Breakdown Time" dataDxfId="79">
      <calculatedColumnFormula>IFERROR((PA[[#This Row],[Work Completiuon time on fualt]]-PA[[#This Row],[Fault Time]])*24,"")</calculatedColumnFormula>
    </tableColumn>
    <tableColumn id="22" xr3:uid="{00000000-0010-0000-0600-000016000000}" name="Action taken" dataDxfId="78"/>
    <tableColumn id="23" xr3:uid="{00000000-0010-0000-0600-000017000000}" name="Status" dataDxfId="77"/>
    <tableColumn id="31" xr3:uid="{00000000-0010-0000-0600-00001F000000}" name="Plant Equivalent breakdown" dataDxfId="76">
      <calculatedColumnFormula>IFERROR(PA[[#This Row],[Breakdown Time]]*PA[[#This Row],[Plant Equivalent Weightage]],"")</calculatedColumnFormula>
    </tableColumn>
    <tableColumn id="25" xr3:uid="{00000000-0010-0000-0600-000019000000}" name="Lost PoA(Wh/m2)" dataDxfId="75"/>
    <tableColumn id="24" xr3:uid="{00000000-0010-0000-0600-000018000000}" name="Approxuimate Energy Loss (KWh)" dataDxfId="74">
      <calculatedColumnFormula>IFERROR((_xlfn.XLOOKUP(PA[[#This Row],[Month Year]],'Modelling New'!D:D,'Modelling New'!$O:$O)*PA[[#This Row],[Lost PoA(Wh/m2)]]*PA[[#This Row],[DC Capacity Affceted (kW)]])/1000,"")</calculatedColumnFormula>
    </tableColumn>
    <tableColumn id="32" xr3:uid="{00000000-0010-0000-0600-000020000000}" name="PTW No." dataDxfId="73"/>
    <tableColumn id="33" xr3:uid="{E29A49DA-16BF-4983-A0C2-A95282AE66F8}" name="Job Card No.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" displayName="TA" ref="A3:AK1550" totalsRowShown="0">
  <autoFilter ref="A3:AK1550" xr:uid="{00000000-0009-0000-0100-000002000000}"/>
  <tableColumns count="37">
    <tableColumn id="1" xr3:uid="{00000000-0010-0000-0700-000001000000}" name="Sr. No." dataDxfId="72">
      <calculatedColumnFormula>A3+1</calculatedColumnFormula>
    </tableColumn>
    <tableColumn id="2" xr3:uid="{00000000-0010-0000-0700-000002000000}" name="Financial Year" dataDxfId="71">
      <calculatedColumnFormula>YEAR(H4)+IF(MONTH(H4)&gt;=4,1,0)</calculatedColumnFormula>
    </tableColumn>
    <tableColumn id="3" xr3:uid="{00000000-0010-0000-0700-000003000000}" name="Calendar Year" dataDxfId="70">
      <calculatedColumnFormula>YEAR(H4)</calculatedColumnFormula>
    </tableColumn>
    <tableColumn id="4" xr3:uid="{00000000-0010-0000-0700-000004000000}" name="Contractual Year" dataDxfId="69"/>
    <tableColumn id="5" xr3:uid="{00000000-0010-0000-0700-000005000000}" name="Operating Year" dataDxfId="68"/>
    <tableColumn id="6" xr3:uid="{00000000-0010-0000-0700-000006000000}" name="Month Year" dataDxfId="67"/>
    <tableColumn id="7" xr3:uid="{00000000-0010-0000-0700-000007000000}" name="Days" dataDxfId="66">
      <calculatedColumnFormula>DAY(EOMONTH(TA[[#This Row],[Month Year]],0))</calculatedColumnFormula>
    </tableColumn>
    <tableColumn id="8" xr3:uid="{00000000-0010-0000-0700-000008000000}" name="Date" dataDxfId="65"/>
    <tableColumn id="36" xr3:uid="{00000000-0010-0000-0700-000024000000}" name="Sunrise Time (POA&gt;20 W/m2)" dataDxfId="64">
      <calculatedColumnFormula>IFERROR(VLOOKUP(TA[[#This Row],[Date]],Raw_Data[[Date]:[Sunset Time (POA&lt;20 W/m2)]],3,0),"")</calculatedColumnFormula>
    </tableColumn>
    <tableColumn id="37" xr3:uid="{00000000-0010-0000-0700-000025000000}" name="Sunset Time (POA&lt;20 W/m2)" dataDxfId="63">
      <calculatedColumnFormula>IFERROR(VLOOKUP(TA[[#This Row],[Date]],Raw_Data[[Date]:[Sunset Time (POA&lt;20 W/m2)]],4,0),"")</calculatedColumnFormula>
    </tableColumn>
    <tableColumn id="38" xr3:uid="{00000000-0010-0000-0700-000026000000}" name="Total Generation Time" dataDxfId="62">
      <calculatedColumnFormula>IFERROR((TA[[#This Row],[Sunset Time (POA&lt;20 W/m2)]]-TA[[#This Row],[Sunrise Time (POA&gt;20 W/m2)]])*24,"")</calculatedColumnFormula>
    </tableColumn>
    <tableColumn id="9" xr3:uid="{00000000-0010-0000-0700-000009000000}" name="Affected Equipment" dataDxfId="61"/>
    <tableColumn id="10" xr3:uid="{00000000-0010-0000-0700-00000A000000}" name="Plant Equivalent Weightage" dataDxfId="60">
      <calculatedColumnFormula>IFERROR(VLOOKUP(TA[[#This Row],[Affected Equipment]],'Basic Data'!$I$2:$K$40,3,0),"")</calculatedColumnFormula>
    </tableColumn>
    <tableColumn id="31" xr3:uid="{00000000-0010-0000-0700-00001F000000}" name="Angle of affected equipment "/>
    <tableColumn id="11" xr3:uid="{00000000-0010-0000-0700-00000B000000}" name="Inv Number"/>
    <tableColumn id="25" xr3:uid="{00000000-0010-0000-0700-000019000000}" name="Gateway Number" dataDxfId="59"/>
    <tableColumn id="26" xr3:uid="{00000000-0010-0000-0700-00001A000000}" name="Grid Number" dataDxfId="58"/>
    <tableColumn id="27" xr3:uid="{00000000-0010-0000-0700-00001B000000}" name="MSAT Number"/>
    <tableColumn id="28" xr3:uid="{00000000-0010-0000-0700-00001C000000}" name="Table Number" dataDxfId="57"/>
    <tableColumn id="12" xr3:uid="{00000000-0010-0000-0700-00000C000000}" name="Fault Category"/>
    <tableColumn id="13" xr3:uid="{00000000-0010-0000-0700-00000D000000}" name="Fault Code (As per HMI)"/>
    <tableColumn id="14" xr3:uid="{00000000-0010-0000-0700-00000E000000}" name="Breakdown Description"/>
    <tableColumn id="15" xr3:uid="{00000000-0010-0000-0700-00000F000000}" name="Fault Time">
      <calculatedColumnFormula>IFERROR(VLOOKUP(TA[[#This Row],[Date]],Raw_Data[[Date]:[Sunset Time (POA&lt;20 W/m2)]],3,0),"")</calculatedColumnFormula>
    </tableColumn>
    <tableColumn id="16" xr3:uid="{00000000-0010-0000-0700-000010000000}" name="Fault Acknowledgement Time " dataDxfId="56">
      <calculatedColumnFormula>IFERROR(VLOOKUP(TA[[#This Row],[Date]],Raw_Data[[Date]:[Sunset Time (POA&lt;20 W/m2)]],3,0),"")</calculatedColumnFormula>
    </tableColumn>
    <tableColumn id="17" xr3:uid="{00000000-0010-0000-0700-000011000000}" name="Work Start time on Fault" dataDxfId="55"/>
    <tableColumn id="18" xr3:uid="{00000000-0010-0000-0700-000012000000}" name="Work Completion time on fault" dataDxfId="54"/>
    <tableColumn id="19" xr3:uid="{00000000-0010-0000-0700-000013000000}" name="Acknowledgement time" dataDxfId="53">
      <calculatedColumnFormula>IF(TA[[#This Row],[Work Start time on Fault]]="NA","",(TA[[#This Row],[Fault Acknowledgement Time ]]-TA[[#This Row],[Fault Time]])*24)</calculatedColumnFormula>
    </tableColumn>
    <tableColumn id="20" xr3:uid="{00000000-0010-0000-0700-000014000000}" name="Response Time" dataDxfId="52">
      <calculatedColumnFormula>(TA[[#This Row],[Work Start time on Fault]]-TA[[#This Row],[Fault Time]])*24</calculatedColumnFormula>
    </tableColumn>
    <tableColumn id="21" xr3:uid="{00000000-0010-0000-0700-000015000000}" name="Resolution Time" dataDxfId="51">
      <calculatedColumnFormula>(TA[[#This Row],[Work Completion time on fault]]-TA[[#This Row],[Fault Time]])*24</calculatedColumnFormula>
    </tableColumn>
    <tableColumn id="35" xr3:uid="{00000000-0010-0000-0700-000023000000}" name="Breakdown Time" dataDxfId="50">
      <calculatedColumnFormula>IFERROR((TA[[#This Row],[Work Completion time on fault]]-TA[[#This Row],[Fault Time]])*24,"")</calculatedColumnFormula>
    </tableColumn>
    <tableColumn id="22" xr3:uid="{00000000-0010-0000-0700-000016000000}" name="Action taken"/>
    <tableColumn id="23" xr3:uid="{00000000-0010-0000-0700-000017000000}" name="Status"/>
    <tableColumn id="30" xr3:uid="{00000000-0010-0000-0700-00001E000000}" name="Avg. Target Angle during Fault Time (Radians)" dataDxfId="49"/>
    <tableColumn id="24" xr3:uid="{00000000-0010-0000-0700-000018000000}" name="Approximate Energy Loss Factor (%)" dataDxfId="48">
      <calculatedColumnFormula>1-COS(RADIANS(TA[[#This Row],[Avg. Target Angle during Fault Time (Radians)]]-TA[[#This Row],[Angle of affected equipment ]]))</calculatedColumnFormula>
    </tableColumn>
    <tableColumn id="34" xr3:uid="{00000000-0010-0000-0700-000022000000}" name="Plant Equivalent breakdown" dataDxfId="47">
      <calculatedColumnFormula>IFERROR(TA[[#This Row],[Breakdown Time]]*TA[[#This Row],[Plant Equivalent Weightage]],"")</calculatedColumnFormula>
    </tableColumn>
    <tableColumn id="32" xr3:uid="{00000000-0010-0000-0700-000020000000}" name="Old equipment Serial Number"/>
    <tableColumn id="33" xr3:uid="{00000000-0010-0000-0700-000021000000}" name="New Equipment Serial Number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GA" displayName="GA" ref="A2:AE513" totalsRowShown="0">
  <tableColumns count="31">
    <tableColumn id="1" xr3:uid="{00000000-0010-0000-0800-000001000000}" name="Sr. No." dataDxfId="46">
      <calculatedColumnFormula>A2+1</calculatedColumnFormula>
    </tableColumn>
    <tableColumn id="2" xr3:uid="{00000000-0010-0000-0800-000002000000}" name="Finacial Year">
      <calculatedColumnFormula>YEAR(H3)+IF(MONTH(H3)&gt;=4,1,0)</calculatedColumnFormula>
    </tableColumn>
    <tableColumn id="3" xr3:uid="{00000000-0010-0000-0800-000003000000}" name="Calendor Year" dataDxfId="45">
      <calculatedColumnFormula>YEAR(H3)</calculatedColumnFormula>
    </tableColumn>
    <tableColumn id="4" xr3:uid="{00000000-0010-0000-0800-000004000000}" name="Contrcatual Year"/>
    <tableColumn id="5" xr3:uid="{00000000-0010-0000-0800-000005000000}" name="Operating Year"/>
    <tableColumn id="6" xr3:uid="{00000000-0010-0000-0800-000006000000}" name="Month Year"/>
    <tableColumn id="7" xr3:uid="{00000000-0010-0000-0800-000007000000}" name="Days" dataDxfId="44"/>
    <tableColumn id="8" xr3:uid="{00000000-0010-0000-0800-000008000000}" name="Date"/>
    <tableColumn id="26" xr3:uid="{00000000-0010-0000-0800-00001A000000}" name="Sunrise Time (POA&gt;20 W/m2)" dataDxfId="43">
      <calculatedColumnFormula>IFERROR(VLOOKUP(GA[[#This Row],[Date]],Raw_Data[[#All],[Date]:[Sunset Time (POA&lt;20 W/m2)]],3,0),"")</calculatedColumnFormula>
    </tableColumn>
    <tableColumn id="27" xr3:uid="{00000000-0010-0000-0800-00001B000000}" name="Sunset Time (POA&lt;20 W/m2)" dataDxfId="42">
      <calculatedColumnFormula>IFERROR(VLOOKUP(GA[[#This Row],[Date]],Raw_Data[[#All],[Date]:[Sunset Time (POA&lt;20 W/m2)]],4,0),"")</calculatedColumnFormula>
    </tableColumn>
    <tableColumn id="28" xr3:uid="{00000000-0010-0000-0800-00001C000000}" name="Total Generation Time" dataDxfId="41">
      <calculatedColumnFormula>IFERROR((GA[[#This Row],[Sunset Time (POA&lt;20 W/m2)]]-GA[[#This Row],[Sunrise Time (POA&gt;20 W/m2)]])*24,"")</calculatedColumnFormula>
    </tableColumn>
    <tableColumn id="9" xr3:uid="{00000000-0010-0000-0800-000009000000}" name="Affceted Equipment"/>
    <tableColumn id="10" xr3:uid="{00000000-0010-0000-0800-00000A000000}" name="DC Capacity Affceted (kW)" dataDxfId="40">
      <calculatedColumnFormula>IFERROR(VLOOKUP(GA[[#This Row],[Affceted Equipment]],'Basic Data'!$A$1:$B$113,2,0),"")</calculatedColumnFormula>
    </tableColumn>
    <tableColumn id="11" xr3:uid="{00000000-0010-0000-0800-00000B000000}" name="Affected Equipmenet Location"/>
    <tableColumn id="12" xr3:uid="{00000000-0010-0000-0800-00000C000000}" name="Fault Catergory"/>
    <tableColumn id="30" xr3:uid="{00000000-0010-0000-0800-00001E000000}" name="Plant Equivalent Weightage" dataDxfId="39">
      <calculatedColumnFormula>IFERROR(VLOOKUP(GA[[#This Row],[Affceted Equipment]],'Basic Data'!$A$2:$C$118,3,0),"")</calculatedColumnFormula>
    </tableColumn>
    <tableColumn id="13" xr3:uid="{00000000-0010-0000-0800-00000D000000}" name="Fault Code (As per HMI)" dataDxfId="38"/>
    <tableColumn id="14" xr3:uid="{00000000-0010-0000-0800-00000E000000}" name="Breakdown Description"/>
    <tableColumn id="15" xr3:uid="{00000000-0010-0000-0800-00000F000000}" name="Fault Time"/>
    <tableColumn id="16" xr3:uid="{00000000-0010-0000-0800-000010000000}" name="Acknowledgemnet Time "/>
    <tableColumn id="17" xr3:uid="{00000000-0010-0000-0800-000011000000}" name="Work Start time on Fault"/>
    <tableColumn id="18" xr3:uid="{00000000-0010-0000-0800-000012000000}" name="Work Completiuon time on fualt"/>
    <tableColumn id="19" xr3:uid="{00000000-0010-0000-0800-000013000000}" name="Acknowdlegemnet time " dataDxfId="37"/>
    <tableColumn id="20" xr3:uid="{00000000-0010-0000-0800-000014000000}" name="Response Time" dataDxfId="36"/>
    <tableColumn id="21" xr3:uid="{00000000-0010-0000-0800-000015000000}" name="Resolution Time" dataDxfId="35"/>
    <tableColumn id="22" xr3:uid="{00000000-0010-0000-0800-000016000000}" name="Action taken" dataDxfId="34"/>
    <tableColumn id="23" xr3:uid="{00000000-0010-0000-0800-000017000000}" name="Status" dataDxfId="33"/>
    <tableColumn id="29" xr3:uid="{00000000-0010-0000-0800-00001D000000}" name="Plant Equivalent breakdown" dataDxfId="32">
      <calculatedColumnFormula>IFERROR(GA[[#This Row],[Plant Equivalent Weightage]]*GA[[#This Row],[Resolution Time]],"")</calculatedColumnFormula>
    </tableColumn>
    <tableColumn id="25" xr3:uid="{00000000-0010-0000-0800-000019000000}" name="Lost POA (Wh/m2)" dataDxfId="31"/>
    <tableColumn id="24" xr3:uid="{00000000-0010-0000-0800-000018000000}" name="Approxuimate Energy Loss (KWh)" dataDxfId="30">
      <calculatedColumnFormula>IFERROR((_xlfn.XLOOKUP(GA[[#This Row],[Month Year]],'Modelling New'!D:D,'Modelling New'!$O:$O)*GA[[#This Row],[Lost POA (Wh/m2)]]*GA[[#This Row],[DC Capacity Affceted (kW)]])/1000,"")</calculatedColumnFormula>
    </tableColumn>
    <tableColumn id="31" xr3:uid="{00000000-0010-0000-0800-00001F000000}" name="Column1" dataDxfId="29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MC" displayName="MC" ref="A2:Z127" totalsRowShown="0">
  <tableColumns count="26">
    <tableColumn id="1" xr3:uid="{00000000-0010-0000-0900-000001000000}" name="Sr. No." dataDxfId="28"/>
    <tableColumn id="2" xr3:uid="{00000000-0010-0000-0900-000002000000}" name="Finacial Year" dataDxfId="27">
      <calculatedColumnFormula>YEAR(H3)+IF(MONTH(H3)&gt;=4,1,0)</calculatedColumnFormula>
    </tableColumn>
    <tableColumn id="3" xr3:uid="{00000000-0010-0000-0900-000003000000}" name="Calendor Year" dataDxfId="26">
      <calculatedColumnFormula>YEAR(H3)</calculatedColumnFormula>
    </tableColumn>
    <tableColumn id="4" xr3:uid="{00000000-0010-0000-0900-000004000000}" name="Contrcatual Year" dataDxfId="25"/>
    <tableColumn id="5" xr3:uid="{00000000-0010-0000-0900-000005000000}" name="Operating Year" dataDxfId="24"/>
    <tableColumn id="6" xr3:uid="{00000000-0010-0000-0900-000006000000}" name="Month Year" dataDxfId="23"/>
    <tableColumn id="7" xr3:uid="{00000000-0010-0000-0900-000007000000}" name="Days" dataDxfId="22">
      <calculatedColumnFormula>DAY(EOMONTH(F3,0))</calculatedColumnFormula>
    </tableColumn>
    <tableColumn id="8" xr3:uid="{00000000-0010-0000-0900-000008000000}" name="Date" dataDxfId="21">
      <calculatedColumnFormula>H2+1</calculatedColumnFormula>
    </tableColumn>
    <tableColumn id="9" xr3:uid="{00000000-0010-0000-0900-000009000000}" name="Cycle Number"/>
    <tableColumn id="10" xr3:uid="{00000000-0010-0000-0900-00000A000000}" name="Resources"/>
    <tableColumn id="11" xr3:uid="{00000000-0010-0000-0900-00000B000000}" name="IC1_Inv1_MC"/>
    <tableColumn id="12" xr3:uid="{00000000-0010-0000-0900-00000C000000}" name="IC1_Inv2_MC"/>
    <tableColumn id="13" xr3:uid="{00000000-0010-0000-0900-00000D000000}" name="IC1_Inv3_MC"/>
    <tableColumn id="14" xr3:uid="{00000000-0010-0000-0900-00000E000000}" name="IC1_Inv4_MC"/>
    <tableColumn id="15" xr3:uid="{00000000-0010-0000-0900-00000F000000}" name="IC2_Inv1_MC"/>
    <tableColumn id="16" xr3:uid="{00000000-0010-0000-0900-000010000000}" name="IC2_Inv2_MC"/>
    <tableColumn id="17" xr3:uid="{00000000-0010-0000-0900-000011000000}" name="Total Module cleaned" dataDxfId="20">
      <calculatedColumnFormula>SUM(MC[[#This Row],[IC1_Inv1_MC]:[IC2_Inv2_MC]])</calculatedColumnFormula>
    </tableColumn>
    <tableColumn id="18" xr3:uid="{00000000-0010-0000-0900-000012000000}" name="Morning Start Time"/>
    <tableColumn id="19" xr3:uid="{00000000-0010-0000-0900-000013000000}" name="Morning End Time"/>
    <tableColumn id="20" xr3:uid="{00000000-0010-0000-0900-000014000000}" name="Evening Start Time"/>
    <tableColumn id="21" xr3:uid="{00000000-0010-0000-0900-000015000000}" name="Evening End time"/>
    <tableColumn id="22" xr3:uid="{00000000-0010-0000-0900-000016000000}" name="Brush/MOP Replcemnet"/>
    <tableColumn id="24" xr3:uid="{00000000-0010-0000-0900-000018000000}" name="Water Test Report"/>
    <tableColumn id="23" xr3:uid="{00000000-0010-0000-0900-000017000000}" name="Remarks for the day"/>
    <tableColumn id="25" xr3:uid="{00000000-0010-0000-0900-000019000000}" name="Column1"/>
    <tableColumn id="26" xr3:uid="{00000000-0010-0000-0900-00001A000000}" name="Column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sqref="A1:F1"/>
    </sheetView>
  </sheetViews>
  <sheetFormatPr defaultColWidth="8.7109375" defaultRowHeight="15"/>
  <cols>
    <col min="1" max="1" width="14.28515625" style="90" customWidth="1"/>
    <col min="2" max="2" width="17.7109375" style="90" customWidth="1"/>
    <col min="3" max="3" width="13.7109375" style="90" customWidth="1"/>
    <col min="4" max="4" width="13.7109375" style="91" customWidth="1"/>
    <col min="5" max="5" width="13.140625" style="90" customWidth="1"/>
    <col min="6" max="6" width="46" style="90" customWidth="1"/>
    <col min="7" max="7" width="9.5703125" style="90" bestFit="1" customWidth="1"/>
    <col min="8" max="8" width="5.7109375" style="90" customWidth="1"/>
    <col min="9" max="16384" width="8.7109375" style="90"/>
  </cols>
  <sheetData>
    <row r="1" spans="1:7" ht="15.75">
      <c r="A1" s="225" t="s">
        <v>520</v>
      </c>
      <c r="B1" s="226"/>
      <c r="C1" s="226"/>
      <c r="D1" s="226"/>
      <c r="E1" s="226"/>
      <c r="F1" s="227"/>
    </row>
    <row r="2" spans="1:7">
      <c r="A2" s="92" t="s">
        <v>0</v>
      </c>
      <c r="B2" s="185">
        <v>45839</v>
      </c>
      <c r="C2" s="167"/>
      <c r="D2" s="167"/>
      <c r="E2" s="167"/>
      <c r="F2" s="168"/>
    </row>
    <row r="3" spans="1:7">
      <c r="A3" s="92" t="s">
        <v>1</v>
      </c>
      <c r="B3" s="186">
        <v>45855</v>
      </c>
      <c r="C3" s="169"/>
      <c r="D3" s="169"/>
      <c r="E3" s="169"/>
      <c r="F3" s="170"/>
    </row>
    <row r="4" spans="1:7">
      <c r="A4" s="92" t="s">
        <v>2</v>
      </c>
      <c r="B4" s="173">
        <f>YEAR(B3)+IF(MONTH(B3)&gt;=4,1,0)</f>
        <v>2026</v>
      </c>
      <c r="C4" s="171"/>
      <c r="D4" s="171"/>
      <c r="E4" s="171"/>
      <c r="F4" s="172"/>
      <c r="G4" s="176"/>
    </row>
    <row r="5" spans="1:7">
      <c r="A5" s="92" t="s">
        <v>3</v>
      </c>
      <c r="B5" s="128">
        <v>45748</v>
      </c>
      <c r="C5" s="165"/>
      <c r="D5" s="165"/>
      <c r="E5" s="165"/>
      <c r="F5" s="166"/>
    </row>
    <row r="6" spans="1:7" ht="15" customHeight="1" thickBot="1">
      <c r="A6" s="93" t="s">
        <v>4</v>
      </c>
      <c r="B6" s="128">
        <v>46112</v>
      </c>
      <c r="C6" s="174"/>
      <c r="D6" s="174"/>
      <c r="E6" s="174"/>
      <c r="F6" s="175"/>
    </row>
    <row r="7" spans="1:7" ht="2.25" hidden="1" customHeight="1" thickBot="1">
      <c r="A7" s="94"/>
      <c r="B7" s="95"/>
      <c r="C7" s="95"/>
      <c r="D7" s="96"/>
      <c r="E7" s="95"/>
      <c r="F7" s="125">
        <v>45747</v>
      </c>
    </row>
    <row r="8" spans="1:7" ht="15.75" thickBot="1">
      <c r="A8" s="97" t="s">
        <v>5</v>
      </c>
      <c r="B8" s="98" t="s">
        <v>6</v>
      </c>
      <c r="C8" s="98" t="s">
        <v>7</v>
      </c>
      <c r="D8" s="99" t="s">
        <v>8</v>
      </c>
      <c r="E8" s="98" t="s">
        <v>9</v>
      </c>
      <c r="F8" s="100" t="s">
        <v>10</v>
      </c>
    </row>
    <row r="9" spans="1:7">
      <c r="A9" s="228">
        <v>1</v>
      </c>
      <c r="B9" s="101" t="s">
        <v>11</v>
      </c>
      <c r="C9" s="102">
        <f>_xlfn.XLOOKUP($B$3,'Daily KPI'!$A:$A,'Daily KPI'!AD:AD)/1000</f>
        <v>40.702654142805535</v>
      </c>
      <c r="D9" s="103">
        <f>_xlfn.XLOOKUP($B$3,'Daily KPI'!$A:$A,'Daily KPI'!AA:AA)/1000</f>
        <v>43.903800000019828</v>
      </c>
      <c r="E9" s="104">
        <f>-(C9-D9)/C9</f>
        <v>7.8647103601230797E-2</v>
      </c>
      <c r="F9" s="187"/>
    </row>
    <row r="10" spans="1:7">
      <c r="A10" s="229"/>
      <c r="B10" s="105" t="s">
        <v>12</v>
      </c>
      <c r="C10" s="106">
        <f>_xlfn.XLOOKUP($B$2,'Modelling New'!$D:$D,'Modelling New'!U:U)</f>
        <v>691.94512042769406</v>
      </c>
      <c r="D10" s="107">
        <f>'Monthly KPI'!$F$4</f>
        <v>700.64340000001846</v>
      </c>
      <c r="E10" s="108">
        <f t="shared" ref="E10:E29" si="0">-(C10-D10)/C10</f>
        <v>1.2570765101931716E-2</v>
      </c>
      <c r="F10" s="188"/>
    </row>
    <row r="11" spans="1:7" ht="15.75" thickBot="1">
      <c r="A11" s="230"/>
      <c r="B11" s="109" t="s">
        <v>13</v>
      </c>
      <c r="C11" s="106">
        <f>_xlfn.XLOOKUP($B$2,'Modelling New'!$D:$D,'Modelling New'!V:V)</f>
        <v>6049.706025312782</v>
      </c>
      <c r="D11" s="110">
        <f>'Annual KPI'!$F$4</f>
        <v>5007.0262999999968</v>
      </c>
      <c r="E11" s="111">
        <f t="shared" si="0"/>
        <v>-0.17235213098786509</v>
      </c>
      <c r="F11" s="189"/>
    </row>
    <row r="12" spans="1:7">
      <c r="A12" s="228">
        <v>2</v>
      </c>
      <c r="B12" s="101" t="s">
        <v>14</v>
      </c>
      <c r="C12" s="112">
        <f>_xlfn.XLOOKUP($B$3,'Daily KPI'!$A:$A,'Daily KPI'!AF:AF)</f>
        <v>0.14470511285127108</v>
      </c>
      <c r="D12" s="113">
        <f>_xlfn.XLOOKUP($B$3,'Daily KPI'!$A:$A,'Daily KPI'!$W:$W)</f>
        <v>0.15608575085331278</v>
      </c>
      <c r="E12" s="104">
        <f t="shared" si="0"/>
        <v>7.8647103601230714E-2</v>
      </c>
      <c r="F12" s="190"/>
    </row>
    <row r="13" spans="1:7">
      <c r="A13" s="229"/>
      <c r="B13" s="105" t="s">
        <v>15</v>
      </c>
      <c r="C13" s="114">
        <f>'Monthly KPI'!$I$4</f>
        <v>0.14470511285127108</v>
      </c>
      <c r="D13" s="115">
        <f>'Monthly KPI'!$J$4</f>
        <v>0.14652416683397293</v>
      </c>
      <c r="E13" s="108">
        <f t="shared" si="0"/>
        <v>1.2570765101931732E-2</v>
      </c>
      <c r="F13" s="188"/>
    </row>
    <row r="14" spans="1:7" ht="15.75" thickBot="1">
      <c r="A14" s="230"/>
      <c r="B14" s="109" t="s">
        <v>16</v>
      </c>
      <c r="C14" s="114">
        <f>'Annual KPI'!$I$4</f>
        <v>0.19914603430984751</v>
      </c>
      <c r="D14" s="117">
        <f>'Annual KPI'!$J$4</f>
        <v>0.16482279091876278</v>
      </c>
      <c r="E14" s="111">
        <f t="shared" si="0"/>
        <v>-0.17235213098786514</v>
      </c>
      <c r="F14" s="189"/>
    </row>
    <row r="15" spans="1:7">
      <c r="A15" s="228">
        <v>3</v>
      </c>
      <c r="B15" s="101" t="s">
        <v>17</v>
      </c>
      <c r="C15" s="112">
        <f>_xlfn.XLOOKUP($B$3,'Daily KPI'!$A:$A,'Daily KPI'!AE:AE)</f>
        <v>0.75058845994317613</v>
      </c>
      <c r="D15" s="113">
        <f>_xlfn.XLOOKUP($B$3,'Daily KPI'!$A:$A,'Daily KPI'!U:U)</f>
        <v>0.7655953444675061</v>
      </c>
      <c r="E15" s="104">
        <f t="shared" si="0"/>
        <v>1.9993492206722807E-2</v>
      </c>
      <c r="F15" s="187"/>
    </row>
    <row r="16" spans="1:7">
      <c r="A16" s="229"/>
      <c r="B16" s="105" t="s">
        <v>18</v>
      </c>
      <c r="C16" s="114">
        <f>AVERAGEIF('Daily KPI'!$D:$D,$B$2,'Daily KPI'!AE:AE)</f>
        <v>0.75058845994317636</v>
      </c>
      <c r="D16" s="115">
        <f>'Monthly KPI'!$H$4</f>
        <v>0.74988848695150512</v>
      </c>
      <c r="E16" s="108">
        <f t="shared" si="0"/>
        <v>-9.3256561888019178E-4</v>
      </c>
      <c r="F16" s="188"/>
    </row>
    <row r="17" spans="1:6">
      <c r="A17" s="230"/>
      <c r="B17" s="109" t="s">
        <v>19</v>
      </c>
      <c r="C17" s="116">
        <f>AVERAGEIFS('Daily KPI'!$AE:$AE,'Daily KPI'!$A:$A,"&gt;="&amp;$B$5,'Daily KPI'!$A:$A,"&lt;="&amp;$B$3)</f>
        <v>0.7255996136568551</v>
      </c>
      <c r="D17" s="117">
        <f>'Annual KPI'!$H$4</f>
        <v>0.68679088544865219</v>
      </c>
      <c r="E17" s="111">
        <f t="shared" si="0"/>
        <v>-5.3485045302899006E-2</v>
      </c>
      <c r="F17" s="189"/>
    </row>
    <row r="18" spans="1:6">
      <c r="A18" s="228">
        <v>4</v>
      </c>
      <c r="B18" s="101" t="s">
        <v>20</v>
      </c>
      <c r="C18" s="177">
        <f>_xlfn.XLOOKUP($B$3,'Daily KPI'!$A:$A,'Daily KPI'!AC:AC)</f>
        <v>4.6269332580645148</v>
      </c>
      <c r="D18" s="118">
        <f>_xlfn.XLOOKUP($B$3,'Daily KPI'!$A:$A,'Daily KPI'!I:I)</f>
        <v>4.8929999999999998</v>
      </c>
      <c r="E18" s="104">
        <f t="shared" si="0"/>
        <v>5.7503907468676764E-2</v>
      </c>
      <c r="F18" s="187"/>
    </row>
    <row r="19" spans="1:6">
      <c r="A19" s="229"/>
      <c r="B19" s="105" t="s">
        <v>21</v>
      </c>
      <c r="C19" s="178">
        <f>_xlfn.XLOOKUP($B$2,'Modelling New'!$D:$D,'Modelling New'!R:R)</f>
        <v>78.657865387096749</v>
      </c>
      <c r="D19" s="179">
        <f>'Monthly KPI'!$D$4</f>
        <v>79.721000000000018</v>
      </c>
      <c r="E19" s="108">
        <f t="shared" si="0"/>
        <v>1.3515935217302105E-2</v>
      </c>
      <c r="F19" s="191"/>
    </row>
    <row r="20" spans="1:6">
      <c r="A20" s="230"/>
      <c r="B20" s="109" t="s">
        <v>22</v>
      </c>
      <c r="C20" s="180">
        <f>_xlfn.XLOOKUP($B$2,'Modelling New'!$D:$D,'Modelling New'!S:S)</f>
        <v>712.69087138709676</v>
      </c>
      <c r="D20" s="181">
        <f>'Annual KPI'!$D$4</f>
        <v>622.05349999999999</v>
      </c>
      <c r="E20" s="111">
        <f t="shared" si="0"/>
        <v>-0.12717627659617833</v>
      </c>
      <c r="F20" s="192"/>
    </row>
    <row r="21" spans="1:6">
      <c r="A21" s="228">
        <v>5</v>
      </c>
      <c r="B21" s="101" t="s">
        <v>23</v>
      </c>
      <c r="C21" s="119">
        <f>_xlfn.XLOOKUP($B$3,'Daily KPI'!$A:$A,'Daily KPI'!AG:AG)</f>
        <v>0.995</v>
      </c>
      <c r="D21" s="113">
        <f>_xlfn.XLOOKUP($B$3,'Daily KPI'!$A:$A,'Daily KPI'!O:O)</f>
        <v>1</v>
      </c>
      <c r="E21" s="104">
        <f t="shared" si="0"/>
        <v>5.0251256281407079E-3</v>
      </c>
      <c r="F21" s="193"/>
    </row>
    <row r="22" spans="1:6">
      <c r="A22" s="229"/>
      <c r="B22" s="105" t="s">
        <v>24</v>
      </c>
      <c r="C22" s="120">
        <f>_xlfn.XLOOKUP($B$2,'Modelling New'!$D:$D,'Modelling New'!AE:AE)</f>
        <v>0.995</v>
      </c>
      <c r="D22" s="115">
        <f>'Monthly KPI'!$N$4</f>
        <v>0.99991663146479315</v>
      </c>
      <c r="E22" s="108">
        <f t="shared" si="0"/>
        <v>4.9413381555710083E-3</v>
      </c>
      <c r="F22" s="191"/>
    </row>
    <row r="23" spans="1:6" ht="15.75" thickBot="1">
      <c r="A23" s="230"/>
      <c r="B23" s="109" t="s">
        <v>25</v>
      </c>
      <c r="C23" s="121">
        <f>_xlfn.XLOOKUP($B$2,'Modelling New'!$D:$D,'Modelling New'!AE:AE)</f>
        <v>0.995</v>
      </c>
      <c r="D23" s="117">
        <f>'Annual KPI'!$N$4</f>
        <v>0.98849414773680833</v>
      </c>
      <c r="E23" s="111">
        <f t="shared" si="0"/>
        <v>-6.5385449881323306E-3</v>
      </c>
      <c r="F23" s="189"/>
    </row>
    <row r="24" spans="1:6">
      <c r="A24" s="228">
        <v>6</v>
      </c>
      <c r="B24" s="101" t="s">
        <v>26</v>
      </c>
      <c r="C24" s="113">
        <f>_xlfn.XLOOKUP($B$3,'Daily KPI'!$A:$A,'Daily KPI'!AH:AH)</f>
        <v>0.98550000000000004</v>
      </c>
      <c r="D24" s="113">
        <f>_xlfn.XLOOKUP($B$3,'Daily KPI'!$A:$A,'Daily KPI'!R:R)</f>
        <v>1</v>
      </c>
      <c r="E24" s="104">
        <f t="shared" si="0"/>
        <v>1.4713343480466724E-2</v>
      </c>
      <c r="F24" s="193"/>
    </row>
    <row r="25" spans="1:6">
      <c r="A25" s="229"/>
      <c r="B25" s="105" t="s">
        <v>27</v>
      </c>
      <c r="C25" s="115">
        <f>_xlfn.XLOOKUP($B$2,'Modelling New'!$D:$D,'Modelling New'!AF:AF)</f>
        <v>0.98550000000000004</v>
      </c>
      <c r="D25" s="115">
        <f>'Monthly KPI'!$L$4</f>
        <v>0.99214481260143761</v>
      </c>
      <c r="E25" s="108">
        <f t="shared" si="0"/>
        <v>6.7425800116058506E-3</v>
      </c>
      <c r="F25" s="188"/>
    </row>
    <row r="26" spans="1:6" ht="15.75" thickBot="1">
      <c r="A26" s="230"/>
      <c r="B26" s="109" t="s">
        <v>28</v>
      </c>
      <c r="C26" s="117">
        <f>_xlfn.XLOOKUP($B$2,'Modelling New'!$D:$D,'Modelling New'!AF:AF)</f>
        <v>0.98550000000000004</v>
      </c>
      <c r="D26" s="117">
        <f>'Annual KPI'!$L$4</f>
        <v>0.95763410995017872</v>
      </c>
      <c r="E26" s="111">
        <f t="shared" si="0"/>
        <v>-2.827589046151326E-2</v>
      </c>
      <c r="F26" s="189"/>
    </row>
    <row r="27" spans="1:6">
      <c r="A27" s="231">
        <v>7</v>
      </c>
      <c r="B27" s="122" t="s">
        <v>29</v>
      </c>
      <c r="C27" s="123">
        <f>_xlfn.XLOOKUP($B$2,'Modelling New'!$D:$D,'Modelling New'!AG:AG)</f>
        <v>0.995</v>
      </c>
      <c r="D27" s="113">
        <f>_xlfn.XLOOKUP($B$3,'Daily KPI'!$A:$A,'Daily KPI'!T:T)</f>
        <v>0.98614942528735627</v>
      </c>
      <c r="E27" s="124">
        <f t="shared" si="0"/>
        <v>-8.8950499624560024E-3</v>
      </c>
      <c r="F27" s="194"/>
    </row>
    <row r="28" spans="1:6">
      <c r="A28" s="229"/>
      <c r="B28" s="105" t="s">
        <v>30</v>
      </c>
      <c r="C28" s="115">
        <f>_xlfn.XLOOKUP($B$2,'Modelling New'!$D:$D,'Modelling New'!AG:AG)</f>
        <v>0.995</v>
      </c>
      <c r="D28" s="115">
        <f>'Monthly KPI'!$P$4</f>
        <v>0.98763709166303282</v>
      </c>
      <c r="E28" s="108">
        <f t="shared" si="0"/>
        <v>-7.3999078763489221E-3</v>
      </c>
      <c r="F28" s="188"/>
    </row>
    <row r="29" spans="1:6" ht="15.75" thickBot="1">
      <c r="A29" s="230"/>
      <c r="B29" s="109" t="s">
        <v>31</v>
      </c>
      <c r="C29" s="117">
        <f>_xlfn.XLOOKUP($B$2,'Modelling New'!$D:$D,'Modelling New'!AG:AG)</f>
        <v>0.995</v>
      </c>
      <c r="D29" s="117">
        <f>'Annual KPI'!$P$4</f>
        <v>0.97966642824369243</v>
      </c>
      <c r="E29" s="111">
        <f t="shared" si="0"/>
        <v>-1.5410624880711118E-2</v>
      </c>
      <c r="F29" s="189"/>
    </row>
  </sheetData>
  <sheetProtection algorithmName="SHA-512" hashValue="E3zo6VdesMTSUvM3eboXQFbR8l+OiGC6wOiC1btVxfpnVku7hjUo8XCwoZnjvtPJTiT8+lDXDRKdOx9am/GfWA==" saltValue="Aclwg5feUwJ0xBYg6I0QAg==" spinCount="100000" sheet="1" objects="1" scenarios="1"/>
  <protectedRanges>
    <protectedRange sqref="A5:B5" name="Range1"/>
    <protectedRange sqref="B2:B3" name="Range1_1"/>
  </protectedRanges>
  <mergeCells count="8">
    <mergeCell ref="A1:F1"/>
    <mergeCell ref="A21:A23"/>
    <mergeCell ref="A24:A26"/>
    <mergeCell ref="A27:A29"/>
    <mergeCell ref="A9:A11"/>
    <mergeCell ref="A12:A14"/>
    <mergeCell ref="A15:A17"/>
    <mergeCell ref="A18:A20"/>
  </mergeCells>
  <phoneticPr fontId="34" type="noConversion"/>
  <conditionalFormatting sqref="E9:E29">
    <cfRule type="dataBar" priority="1">
      <dataBar>
        <cfvo type="min"/>
        <cfvo type="max"/>
        <color theme="9" tint="0.79992065187536243"/>
      </dataBar>
      <extLst>
        <ext xmlns:x14="http://schemas.microsoft.com/office/spreadsheetml/2009/9/main" uri="{B025F937-C7B1-47D3-B67F-A62EFF666E3E}">
          <x14:id>{E491A545-899A-4E5D-81B5-B1EE2FB08EC9}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91A545-899A-4E5D-81B5-B1EE2FB08EC9}">
            <x14:dataBar minLength="0" maxLength="100" gradient="0">
              <x14:cfvo type="autoMin"/>
              <x14:cfvo type="autoMax"/>
              <x14:negativeFillColor rgb="FFFFCCCC"/>
              <x14:axisColor rgb="FF000000"/>
            </x14:dataBar>
          </x14:cfRule>
          <x14:cfRule type="iconSet" priority="2" id="{4836CD36-65BD-4072-8778-B2681DE9B45D}">
            <x14:iconSet iconSet="3Arrows" custom="1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  <x14:cfIcon iconSet="NoIcons" iconId="0"/>
              <x14:cfIcon iconSet="3Arrows" iconId="0"/>
              <x14:cfIcon iconSet="3Arrows" iconId="2"/>
            </x14:iconSet>
          </x14:cfRule>
          <xm:sqref>E9:E29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AG557"/>
  <sheetViews>
    <sheetView zoomScale="85" zoomScaleNormal="85" workbookViewId="0">
      <pane xSplit="8" ySplit="3" topLeftCell="V12" activePane="bottomRight" state="frozen"/>
      <selection pane="topRight" activeCell="I1" sqref="I1"/>
      <selection pane="bottomLeft" activeCell="A4" sqref="A4"/>
      <selection pane="bottomRight" activeCell="Z30" sqref="Z30"/>
    </sheetView>
  </sheetViews>
  <sheetFormatPr defaultColWidth="9" defaultRowHeight="15"/>
  <cols>
    <col min="1" max="1" width="9" style="2" customWidth="1"/>
    <col min="2" max="2" width="9.7109375" customWidth="1"/>
    <col min="3" max="7" width="9" customWidth="1"/>
    <col min="8" max="11" width="10.28515625" customWidth="1"/>
    <col min="12" max="12" width="12.7109375" style="3" customWidth="1"/>
    <col min="13" max="13" width="11.28515625" style="2" customWidth="1"/>
    <col min="14" max="14" width="11.28515625" customWidth="1"/>
    <col min="15" max="15" width="24.42578125" customWidth="1"/>
    <col min="16" max="16" width="9.7109375" customWidth="1"/>
    <col min="17" max="17" width="23.7109375" customWidth="1"/>
    <col min="18" max="18" width="24" customWidth="1"/>
    <col min="19" max="19" width="9.7109375" customWidth="1"/>
    <col min="20" max="20" width="11.28515625" customWidth="1"/>
    <col min="21" max="21" width="9.7109375" customWidth="1"/>
    <col min="22" max="22" width="12" customWidth="1"/>
    <col min="23" max="23" width="10" style="2" customWidth="1"/>
    <col min="24" max="26" width="10.28515625" style="2" customWidth="1"/>
    <col min="27" max="27" width="29.7109375" style="2" customWidth="1"/>
    <col min="28" max="29" width="9.7109375" style="2" customWidth="1"/>
    <col min="30" max="30" width="14.7109375" style="2" customWidth="1"/>
    <col min="31" max="31" width="13.28515625" style="2" customWidth="1"/>
  </cols>
  <sheetData>
    <row r="3" spans="1:33" ht="36">
      <c r="A3" s="37" t="s">
        <v>5</v>
      </c>
      <c r="B3" s="37" t="s">
        <v>125</v>
      </c>
      <c r="C3" s="37" t="s">
        <v>126</v>
      </c>
      <c r="D3" s="37" t="s">
        <v>127</v>
      </c>
      <c r="E3" s="37" t="s">
        <v>128</v>
      </c>
      <c r="F3" s="37" t="s">
        <v>84</v>
      </c>
      <c r="G3" s="37" t="s">
        <v>63</v>
      </c>
      <c r="H3" s="38" t="s">
        <v>34</v>
      </c>
      <c r="I3" s="40" t="s">
        <v>130</v>
      </c>
      <c r="J3" s="40" t="s">
        <v>131</v>
      </c>
      <c r="K3" s="37" t="s">
        <v>225</v>
      </c>
      <c r="L3" s="45" t="s">
        <v>226</v>
      </c>
      <c r="M3" s="37" t="s">
        <v>227</v>
      </c>
      <c r="N3" s="37" t="s">
        <v>228</v>
      </c>
      <c r="O3" s="37" t="s">
        <v>229</v>
      </c>
      <c r="P3" s="37" t="s">
        <v>230</v>
      </c>
      <c r="Q3" s="37" t="s">
        <v>231</v>
      </c>
      <c r="R3" s="37" t="s">
        <v>232</v>
      </c>
      <c r="S3" s="37" t="s">
        <v>233</v>
      </c>
      <c r="T3" s="37" t="s">
        <v>234</v>
      </c>
      <c r="U3" s="37" t="s">
        <v>235</v>
      </c>
      <c r="V3" s="37" t="s">
        <v>236</v>
      </c>
      <c r="W3" s="37" t="s">
        <v>237</v>
      </c>
      <c r="X3" s="37" t="s">
        <v>238</v>
      </c>
      <c r="Y3" s="37" t="s">
        <v>239</v>
      </c>
      <c r="Z3" s="37" t="s">
        <v>240</v>
      </c>
      <c r="AA3" s="37" t="s">
        <v>241</v>
      </c>
      <c r="AB3" s="37" t="s">
        <v>242</v>
      </c>
      <c r="AC3" s="37" t="s">
        <v>243</v>
      </c>
      <c r="AD3" s="37" t="s">
        <v>244</v>
      </c>
      <c r="AE3" s="37" t="s">
        <v>245</v>
      </c>
      <c r="AF3" t="s">
        <v>246</v>
      </c>
      <c r="AG3" t="s">
        <v>247</v>
      </c>
    </row>
    <row r="4" spans="1:33">
      <c r="A4" s="2">
        <v>1</v>
      </c>
      <c r="B4" s="156">
        <f>YEAR(H4)+IF(MONTH(H4)&gt;=4,1,0)</f>
        <v>2025</v>
      </c>
      <c r="C4" s="129">
        <f>YEAR(H4)</f>
        <v>2025</v>
      </c>
      <c r="D4" s="17" t="s">
        <v>155</v>
      </c>
      <c r="E4" s="17" t="s">
        <v>155</v>
      </c>
      <c r="F4" s="25">
        <v>45717</v>
      </c>
      <c r="G4">
        <f>DAY(EOMONTH(PA[[#This Row],[Month Year]],0))</f>
        <v>31</v>
      </c>
      <c r="H4" s="26">
        <v>45735</v>
      </c>
      <c r="I4" s="29" t="str">
        <f>IFERROR(VLOOKUP(PA[[#This Row],[Date]],Raw_Data[[Date]:[Sunset Time (POA&lt;20 W/m2)]],3,0),"")</f>
        <v/>
      </c>
      <c r="J4" s="29" t="str">
        <f>IFERROR(VLOOKUP(PA[[#This Row],[Date]],Raw_Data[[Date]:[Sunset Time (POA&lt;20 W/m2)]],4,0),"")</f>
        <v/>
      </c>
      <c r="K4" s="27" t="str">
        <f>IFERROR((PA[[#This Row],[Sunset Time (POA&lt;20 W/m2)]]-PA[[#This Row],[Sunrise Time (POA&gt;20 W/m2)]])*24,"")</f>
        <v/>
      </c>
      <c r="L4" s="3" t="s">
        <v>137</v>
      </c>
      <c r="M4" s="46">
        <f>IFERROR(VLOOKUP(PA[[#This Row],[Affceted Equipment]],'Basic Data'!$A$2:$B$114,2,0),"")</f>
        <v>2020</v>
      </c>
      <c r="N4" s="48">
        <f>IFERROR(VLOOKUP(PA[[#This Row],[Affceted Equipment]],'Basic Data'!$A$1:$C$118,3,0),"")</f>
        <v>0.17249565345110901</v>
      </c>
      <c r="O4" s="3" t="s">
        <v>137</v>
      </c>
      <c r="P4" t="s">
        <v>248</v>
      </c>
      <c r="Q4" t="s">
        <v>261</v>
      </c>
      <c r="S4" s="24">
        <v>0.29930555555555555</v>
      </c>
      <c r="T4" s="24">
        <v>0.30416666666666664</v>
      </c>
      <c r="U4" s="24">
        <v>0.30486111111111114</v>
      </c>
      <c r="V4" s="24">
        <v>0.32013888888888886</v>
      </c>
      <c r="W4" s="33">
        <f>IF(PA[[#This Row],[Acknowledgemnet Time ]]="NA","",(PA[[#This Row],[Acknowledgemnet Time ]]-PA[[#This Row],[Fault Time]])*24)</f>
        <v>0.11666666666666625</v>
      </c>
      <c r="X4" s="33">
        <f>IF(PA[[#This Row],[Work Start time on Fault]]="NA","",(PA[[#This Row],[Work Start time on Fault]]-PA[[#This Row],[Fault Time]])*24)</f>
        <v>0.13333333333333419</v>
      </c>
      <c r="Y4" s="35">
        <f>(PA[[#This Row],[Work Completiuon time on fualt]]-PA[[#This Row],[Fault Time]])*24</f>
        <v>0.49999999999999956</v>
      </c>
      <c r="Z4" s="35">
        <f>IFERROR((PA[[#This Row],[Work Completiuon time on fualt]]-PA[[#This Row],[Fault Time]])*24,"")</f>
        <v>0.49999999999999956</v>
      </c>
      <c r="AA4" s="2" t="s">
        <v>264</v>
      </c>
      <c r="AB4" s="2" t="s">
        <v>249</v>
      </c>
      <c r="AC4" s="47">
        <f>IFERROR(PA[[#This Row],[Breakdown Time]]*PA[[#This Row],[Plant Equivalent Weightage]],"")</f>
        <v>8.6247826725554422E-2</v>
      </c>
      <c r="AD4" s="2">
        <v>89</v>
      </c>
      <c r="AE4" s="33">
        <f>IFERROR((_xlfn.XLOOKUP(PA[[#This Row],[Month Year]],'Modelling New'!D:D,'Modelling New'!$O:$O)*PA[[#This Row],[Lost PoA(Wh/m2)]]*PA[[#This Row],[DC Capacity Affceted (kW)]])/1000,"")</f>
        <v>147.37793866079329</v>
      </c>
      <c r="AF4" s="35"/>
    </row>
    <row r="5" spans="1:33">
      <c r="A5" s="2">
        <f t="shared" ref="A5:A9" si="0">A4+1</f>
        <v>2</v>
      </c>
      <c r="B5" s="156">
        <f t="shared" ref="B5:B68" si="1">YEAR(H5)+IF(MONTH(H5)&gt;=4,1,0)</f>
        <v>2026</v>
      </c>
      <c r="C5" s="129">
        <f t="shared" ref="C5:C68" si="2">YEAR(H5)</f>
        <v>2025</v>
      </c>
      <c r="D5" s="17" t="s">
        <v>155</v>
      </c>
      <c r="E5" s="17" t="s">
        <v>155</v>
      </c>
      <c r="F5" s="25">
        <v>45778</v>
      </c>
      <c r="G5">
        <f>DAY(EOMONTH(PA[[#This Row],[Month Year]],0))</f>
        <v>31</v>
      </c>
      <c r="H5" s="26">
        <v>45783</v>
      </c>
      <c r="I5" s="29">
        <f>IFERROR(VLOOKUP(PA[[#This Row],[Date]],Raw_Data[[Date]:[Sunset Time (POA&lt;20 W/m2)]],3,0),"")</f>
        <v>0.2638888888888889</v>
      </c>
      <c r="J5" s="29">
        <f>IFERROR(VLOOKUP(PA[[#This Row],[Date]],Raw_Data[[Date]:[Sunset Time (POA&lt;20 W/m2)]],4,0),"")</f>
        <v>0.76944444444444449</v>
      </c>
      <c r="K5" s="27">
        <f>IFERROR((PA[[#This Row],[Sunset Time (POA&lt;20 W/m2)]]-PA[[#This Row],[Sunrise Time (POA&gt;20 W/m2)]])*24,"")</f>
        <v>12.133333333333333</v>
      </c>
      <c r="L5" s="3" t="s">
        <v>137</v>
      </c>
      <c r="M5" s="46">
        <f>IFERROR(VLOOKUP(PA[[#This Row],[Affceted Equipment]],'Basic Data'!$A$2:$B$114,2,0),"")</f>
        <v>2020</v>
      </c>
      <c r="N5" s="48">
        <f>IFERROR(VLOOKUP(PA[[#This Row],[Affceted Equipment]],'Basic Data'!$A$1:$C$118,3,0),"")</f>
        <v>0.17249565345110901</v>
      </c>
      <c r="O5" s="3" t="s">
        <v>137</v>
      </c>
      <c r="P5" t="s">
        <v>248</v>
      </c>
      <c r="Q5" t="s">
        <v>261</v>
      </c>
      <c r="S5" s="24">
        <v>0.2638888888888889</v>
      </c>
      <c r="T5" s="24">
        <v>0.27430555555555558</v>
      </c>
      <c r="U5" s="24">
        <v>0.27638888888888891</v>
      </c>
      <c r="V5" s="24">
        <v>0.29375000000000001</v>
      </c>
      <c r="W5" s="33">
        <f>IF(PA[[#This Row],[Acknowledgemnet Time ]]="NA","",(PA[[#This Row],[Acknowledgemnet Time ]]-PA[[#This Row],[Fault Time]])*24)</f>
        <v>0.25000000000000044</v>
      </c>
      <c r="X5" s="33">
        <f>IF(PA[[#This Row],[Work Start time on Fault]]="NA","",(PA[[#This Row],[Work Start time on Fault]]-PA[[#This Row],[Fault Time]])*24)</f>
        <v>0.30000000000000027</v>
      </c>
      <c r="Y5" s="35">
        <f>(PA[[#This Row],[Work Completiuon time on fualt]]-PA[[#This Row],[Fault Time]])*24</f>
        <v>0.71666666666666679</v>
      </c>
      <c r="Z5" s="35">
        <f>IFERROR((PA[[#This Row],[Work Completiuon time on fualt]]-PA[[#This Row],[Fault Time]])*24,"")</f>
        <v>0.71666666666666679</v>
      </c>
      <c r="AA5" s="2" t="s">
        <v>264</v>
      </c>
      <c r="AB5" s="2" t="s">
        <v>249</v>
      </c>
      <c r="AC5" s="47">
        <f>IFERROR(PA[[#This Row],[Breakdown Time]]*PA[[#This Row],[Plant Equivalent Weightage]],"")</f>
        <v>0.12362188497329481</v>
      </c>
      <c r="AD5" s="2">
        <v>50</v>
      </c>
      <c r="AE5" s="33">
        <f>IFERROR((_xlfn.XLOOKUP(PA[[#This Row],[Month Year]],'Modelling New'!D:D,'Modelling New'!$O:$O)*PA[[#This Row],[Lost PoA(Wh/m2)]]*PA[[#This Row],[DC Capacity Affceted (kW)]])/1000,"")</f>
        <v>73.889774099077599</v>
      </c>
      <c r="AF5" s="35"/>
    </row>
    <row r="6" spans="1:33">
      <c r="A6" s="2">
        <f t="shared" si="0"/>
        <v>3</v>
      </c>
      <c r="B6" s="156">
        <f t="shared" ref="B6" si="3">YEAR(H6)+IF(MONTH(H6)&gt;=4,1,0)</f>
        <v>2026</v>
      </c>
      <c r="C6" s="129">
        <f t="shared" ref="C6" si="4">YEAR(H6)</f>
        <v>2025</v>
      </c>
      <c r="D6" s="17" t="s">
        <v>155</v>
      </c>
      <c r="E6" s="17" t="s">
        <v>155</v>
      </c>
      <c r="F6" s="25">
        <v>45778</v>
      </c>
      <c r="G6">
        <f>DAY(EOMONTH(PA[[#This Row],[Month Year]],0))</f>
        <v>31</v>
      </c>
      <c r="H6" s="26">
        <v>45799</v>
      </c>
      <c r="I6" s="29">
        <f>IFERROR(VLOOKUP(PA[[#This Row],[Date]],Raw_Data[[Date]:[Sunset Time (POA&lt;20 W/m2)]],3,0),"")</f>
        <v>0.27986111111111112</v>
      </c>
      <c r="J6" s="29">
        <f>IFERROR(VLOOKUP(PA[[#This Row],[Date]],Raw_Data[[Date]:[Sunset Time (POA&lt;20 W/m2)]],4,0),"")</f>
        <v>0.72569444444444442</v>
      </c>
      <c r="K6" s="27">
        <f>IFERROR((PA[[#This Row],[Sunset Time (POA&lt;20 W/m2)]]-PA[[#This Row],[Sunrise Time (POA&gt;20 W/m2)]])*24,"")</f>
        <v>10.7</v>
      </c>
      <c r="L6" s="3" t="s">
        <v>134</v>
      </c>
      <c r="M6" s="46">
        <f>IFERROR(VLOOKUP(PA[[#This Row],[Affceted Equipment]],'Basic Data'!$A$2:$B$114,2,0),"")</f>
        <v>1806.68</v>
      </c>
      <c r="N6" s="48">
        <f>IFERROR(VLOOKUP(PA[[#This Row],[Affceted Equipment]],'Basic Data'!$A$1:$C$118,3,0),"")</f>
        <v>0.15427942929556901</v>
      </c>
      <c r="O6" s="3" t="s">
        <v>134</v>
      </c>
      <c r="P6" t="s">
        <v>248</v>
      </c>
      <c r="Q6" t="s">
        <v>493</v>
      </c>
      <c r="S6" s="24">
        <v>0.53263888888888888</v>
      </c>
      <c r="T6" s="24">
        <v>0.53819444444444442</v>
      </c>
      <c r="U6" s="24">
        <v>0.53888888888888886</v>
      </c>
      <c r="V6" s="24">
        <v>0.55208333333333337</v>
      </c>
      <c r="W6" s="33">
        <f>IF(PA[[#This Row],[Acknowledgemnet Time ]]="NA","",(PA[[#This Row],[Acknowledgemnet Time ]]-PA[[#This Row],[Fault Time]])*24)</f>
        <v>0.13333333333333286</v>
      </c>
      <c r="X6" s="33">
        <f>IF(PA[[#This Row],[Work Start time on Fault]]="NA","",(PA[[#This Row],[Work Start time on Fault]]-PA[[#This Row],[Fault Time]])*24)</f>
        <v>0.14999999999999947</v>
      </c>
      <c r="Y6" s="35">
        <f>(PA[[#This Row],[Work Completiuon time on fualt]]-PA[[#This Row],[Fault Time]])*24</f>
        <v>0.46666666666666767</v>
      </c>
      <c r="Z6" s="35">
        <f>IFERROR((PA[[#This Row],[Work Completiuon time on fualt]]-PA[[#This Row],[Fault Time]])*24,"")</f>
        <v>0.46666666666666767</v>
      </c>
      <c r="AA6" s="2" t="s">
        <v>494</v>
      </c>
      <c r="AB6" s="2" t="s">
        <v>249</v>
      </c>
      <c r="AC6" s="47">
        <f>IFERROR(PA[[#This Row],[Breakdown Time]]*PA[[#This Row],[Plant Equivalent Weightage]],"")</f>
        <v>7.1997067004599027E-2</v>
      </c>
      <c r="AD6" s="2">
        <v>281</v>
      </c>
      <c r="AE6" s="33">
        <f>IFERROR((_xlfn.XLOOKUP(PA[[#This Row],[Month Year]],'Modelling New'!D:D,'Modelling New'!$O:$O)*PA[[#This Row],[Lost PoA(Wh/m2)]]*PA[[#This Row],[DC Capacity Affceted (kW)]])/1000,"")</f>
        <v>371.40737382652816</v>
      </c>
      <c r="AF6" s="35"/>
    </row>
    <row r="7" spans="1:33">
      <c r="A7" s="2">
        <f t="shared" si="0"/>
        <v>4</v>
      </c>
      <c r="B7" s="156">
        <f t="shared" ref="B7" si="5">YEAR(H7)+IF(MONTH(H7)&gt;=4,1,0)</f>
        <v>2026</v>
      </c>
      <c r="C7" s="129">
        <f t="shared" ref="C7" si="6">YEAR(H7)</f>
        <v>2025</v>
      </c>
      <c r="D7" s="17" t="s">
        <v>155</v>
      </c>
      <c r="E7" s="17" t="s">
        <v>155</v>
      </c>
      <c r="F7" s="25">
        <v>45778</v>
      </c>
      <c r="G7">
        <f>DAY(EOMONTH(PA[[#This Row],[Month Year]],0))</f>
        <v>31</v>
      </c>
      <c r="H7" s="26">
        <v>45799</v>
      </c>
      <c r="I7" s="29">
        <f>IFERROR(VLOOKUP(PA[[#This Row],[Date]],Raw_Data[[Date]:[Sunset Time (POA&lt;20 W/m2)]],3,0),"")</f>
        <v>0.27986111111111112</v>
      </c>
      <c r="J7" s="29">
        <f>IFERROR(VLOOKUP(PA[[#This Row],[Date]],Raw_Data[[Date]:[Sunset Time (POA&lt;20 W/m2)]],4,0),"")</f>
        <v>0.72569444444444442</v>
      </c>
      <c r="K7" s="27">
        <f>IFERROR((PA[[#This Row],[Sunset Time (POA&lt;20 W/m2)]]-PA[[#This Row],[Sunrise Time (POA&gt;20 W/m2)]])*24,"")</f>
        <v>10.7</v>
      </c>
      <c r="L7" s="3" t="s">
        <v>134</v>
      </c>
      <c r="M7" s="46">
        <f>IFERROR(VLOOKUP(PA[[#This Row],[Affceted Equipment]],'Basic Data'!$A$2:$B$114,2,0),"")</f>
        <v>1806.68</v>
      </c>
      <c r="N7" s="48">
        <f>IFERROR(VLOOKUP(PA[[#This Row],[Affceted Equipment]],'Basic Data'!$A$1:$C$118,3,0),"")</f>
        <v>0.15427942929556901</v>
      </c>
      <c r="O7" s="3" t="s">
        <v>134</v>
      </c>
      <c r="P7" t="s">
        <v>248</v>
      </c>
      <c r="Q7" t="s">
        <v>493</v>
      </c>
      <c r="S7" s="24">
        <v>0.55208333333333337</v>
      </c>
      <c r="T7" s="24">
        <v>0.55208333333333337</v>
      </c>
      <c r="U7" s="24">
        <v>0.55277777777777781</v>
      </c>
      <c r="V7" s="24">
        <v>0.625</v>
      </c>
      <c r="W7" s="33">
        <f>IF(PA[[#This Row],[Acknowledgemnet Time ]]="NA","",(PA[[#This Row],[Acknowledgemnet Time ]]-PA[[#This Row],[Fault Time]])*24)</f>
        <v>0</v>
      </c>
      <c r="X7" s="33">
        <f>IF(PA[[#This Row],[Work Start time on Fault]]="NA","",(PA[[#This Row],[Work Start time on Fault]]-PA[[#This Row],[Fault Time]])*24)</f>
        <v>1.6666666666666607E-2</v>
      </c>
      <c r="Y7" s="35">
        <f>(PA[[#This Row],[Work Completiuon time on fualt]]-PA[[#This Row],[Fault Time]])*24</f>
        <v>1.7499999999999991</v>
      </c>
      <c r="Z7" s="35">
        <f>IFERROR((PA[[#This Row],[Work Completiuon time on fualt]]-PA[[#This Row],[Fault Time]])*24,"")</f>
        <v>1.7499999999999991</v>
      </c>
      <c r="AA7" s="2" t="s">
        <v>495</v>
      </c>
      <c r="AB7" s="2" t="s">
        <v>249</v>
      </c>
      <c r="AC7" s="47">
        <f>IFERROR(PA[[#This Row],[Breakdown Time]]*PA[[#This Row],[Plant Equivalent Weightage]],"")</f>
        <v>0.26998900126724562</v>
      </c>
      <c r="AD7" s="2">
        <v>1472</v>
      </c>
      <c r="AE7" s="33">
        <f>IFERROR((_xlfn.XLOOKUP(PA[[#This Row],[Month Year]],'Modelling New'!D:D,'Modelling New'!$O:$O)*PA[[#This Row],[Lost PoA(Wh/m2)]]*PA[[#This Row],[DC Capacity Affceted (kW)]])/1000,"")</f>
        <v>1945.5930757033791</v>
      </c>
      <c r="AF7" s="35"/>
    </row>
    <row r="8" spans="1:33">
      <c r="A8" s="2">
        <f t="shared" si="0"/>
        <v>5</v>
      </c>
      <c r="B8" s="156">
        <f t="shared" si="1"/>
        <v>2026</v>
      </c>
      <c r="C8" s="129">
        <f t="shared" si="2"/>
        <v>2025</v>
      </c>
      <c r="D8" s="17" t="s">
        <v>155</v>
      </c>
      <c r="E8" s="17" t="s">
        <v>155</v>
      </c>
      <c r="F8" s="25">
        <v>45778</v>
      </c>
      <c r="G8">
        <f>DAY(EOMONTH(PA[[#This Row],[Month Year]],0))</f>
        <v>31</v>
      </c>
      <c r="H8" s="26">
        <v>45799</v>
      </c>
      <c r="I8" s="29">
        <f>IFERROR(VLOOKUP(PA[[#This Row],[Date]],Raw_Data[[Date]:[Sunset Time (POA&lt;20 W/m2)]],3,0),"")</f>
        <v>0.27986111111111112</v>
      </c>
      <c r="J8" s="29">
        <f>IFERROR(VLOOKUP(PA[[#This Row],[Date]],Raw_Data[[Date]:[Sunset Time (POA&lt;20 W/m2)]],4,0),"")</f>
        <v>0.72569444444444442</v>
      </c>
      <c r="K8" s="27">
        <f>IFERROR((PA[[#This Row],[Sunset Time (POA&lt;20 W/m2)]]-PA[[#This Row],[Sunrise Time (POA&gt;20 W/m2)]])*24,"")</f>
        <v>10.7</v>
      </c>
      <c r="L8" s="3" t="s">
        <v>132</v>
      </c>
      <c r="M8" s="46">
        <f>IFERROR(VLOOKUP(PA[[#This Row],[Affceted Equipment]],'Basic Data'!$A$2:$B$114,2,0),"")</f>
        <v>1987.7249999999999</v>
      </c>
      <c r="N8" s="48">
        <f>IFERROR(VLOOKUP(PA[[#This Row],[Affceted Equipment]],'Basic Data'!$A$1:$C$118,3,0),"")</f>
        <v>0.169739565720844</v>
      </c>
      <c r="O8" s="3" t="s">
        <v>132</v>
      </c>
      <c r="P8" t="s">
        <v>248</v>
      </c>
      <c r="Q8" t="s">
        <v>497</v>
      </c>
      <c r="S8" s="24">
        <v>0.44097222222222221</v>
      </c>
      <c r="T8" s="24">
        <v>0.44166666666666665</v>
      </c>
      <c r="U8" s="24">
        <v>0.44444444444444442</v>
      </c>
      <c r="V8" s="24">
        <v>0.44583333333333336</v>
      </c>
      <c r="W8" s="33">
        <f>IF(PA[[#This Row],[Acknowledgemnet Time ]]="NA","",(PA[[#This Row],[Acknowledgemnet Time ]]-PA[[#This Row],[Fault Time]])*24)</f>
        <v>1.6666666666666607E-2</v>
      </c>
      <c r="X8" s="33">
        <f>IF(PA[[#This Row],[Work Start time on Fault]]="NA","",(PA[[#This Row],[Work Start time on Fault]]-PA[[#This Row],[Fault Time]])*24)</f>
        <v>8.3333333333333037E-2</v>
      </c>
      <c r="Y8" s="35">
        <f>(PA[[#This Row],[Work Completiuon time on fualt]]-PA[[#This Row],[Fault Time]])*24</f>
        <v>0.11666666666666758</v>
      </c>
      <c r="Z8" s="35">
        <f>IFERROR((PA[[#This Row],[Work Completiuon time on fualt]]-PA[[#This Row],[Fault Time]])*24,"")</f>
        <v>0.11666666666666758</v>
      </c>
      <c r="AA8" s="2" t="s">
        <v>496</v>
      </c>
      <c r="AB8" s="2" t="s">
        <v>249</v>
      </c>
      <c r="AC8" s="47">
        <f>IFERROR(PA[[#This Row],[Breakdown Time]]*PA[[#This Row],[Plant Equivalent Weightage]],"")</f>
        <v>1.9802949334098624E-2</v>
      </c>
      <c r="AD8" s="2">
        <v>102</v>
      </c>
      <c r="AE8" s="33">
        <f>IFERROR((_xlfn.XLOOKUP(PA[[#This Row],[Month Year]],'Modelling New'!D:D,'Modelling New'!$O:$O)*PA[[#This Row],[Lost PoA(Wh/m2)]]*PA[[#This Row],[DC Capacity Affceted (kW)]])/1000,"")</f>
        <v>148.32673489654533</v>
      </c>
      <c r="AF8" s="35"/>
    </row>
    <row r="9" spans="1:33">
      <c r="A9" s="2">
        <f t="shared" si="0"/>
        <v>6</v>
      </c>
      <c r="B9" s="156">
        <f t="shared" si="1"/>
        <v>2026</v>
      </c>
      <c r="C9" s="129">
        <f t="shared" si="2"/>
        <v>2025</v>
      </c>
      <c r="D9" s="17" t="s">
        <v>155</v>
      </c>
      <c r="E9" s="17" t="s">
        <v>155</v>
      </c>
      <c r="F9" s="25">
        <v>45778</v>
      </c>
      <c r="G9">
        <f>DAY(EOMONTH(PA[[#This Row],[Month Year]],0))</f>
        <v>31</v>
      </c>
      <c r="H9" s="26">
        <v>45800</v>
      </c>
      <c r="I9" s="29">
        <f>IFERROR(VLOOKUP(PA[[#This Row],[Date]],Raw_Data[[Date]:[Sunset Time (POA&lt;20 W/m2)]],3,0),"")</f>
        <v>0.25208333333333333</v>
      </c>
      <c r="J9" s="29">
        <f>IFERROR(VLOOKUP(PA[[#This Row],[Date]],Raw_Data[[Date]:[Sunset Time (POA&lt;20 W/m2)]],4,0),"")</f>
        <v>0.77777777777777779</v>
      </c>
      <c r="K9" s="27">
        <f>IFERROR((PA[[#This Row],[Sunset Time (POA&lt;20 W/m2)]]-PA[[#This Row],[Sunrise Time (POA&gt;20 W/m2)]])*24,"")</f>
        <v>12.616666666666667</v>
      </c>
      <c r="L9" s="3" t="s">
        <v>134</v>
      </c>
      <c r="M9" s="46">
        <f>IFERROR(VLOOKUP(PA[[#This Row],[Affceted Equipment]],'Basic Data'!$A$2:$B$114,2,0),"")</f>
        <v>1806.68</v>
      </c>
      <c r="N9" s="48">
        <f>IFERROR(VLOOKUP(PA[[#This Row],[Affceted Equipment]],'Basic Data'!$A$1:$C$118,3,0),"")</f>
        <v>0.15427942929556901</v>
      </c>
      <c r="O9" s="3" t="s">
        <v>134</v>
      </c>
      <c r="P9" t="s">
        <v>248</v>
      </c>
      <c r="Q9" t="s">
        <v>497</v>
      </c>
      <c r="S9" s="24">
        <v>0.57361111111111107</v>
      </c>
      <c r="T9" s="24">
        <v>0.58333333333333337</v>
      </c>
      <c r="U9" s="24">
        <v>0.5854166666666667</v>
      </c>
      <c r="V9" s="24">
        <v>0.58750000000000002</v>
      </c>
      <c r="W9" s="33">
        <f>IF(PA[[#This Row],[Acknowledgemnet Time ]]="NA","",(PA[[#This Row],[Acknowledgemnet Time ]]-PA[[#This Row],[Fault Time]])*24)</f>
        <v>0.23333333333333517</v>
      </c>
      <c r="X9" s="33">
        <f>IF(PA[[#This Row],[Work Start time on Fault]]="NA","",(PA[[#This Row],[Work Start time on Fault]]-PA[[#This Row],[Fault Time]])*24)</f>
        <v>0.28333333333333499</v>
      </c>
      <c r="Y9" s="35">
        <f>(PA[[#This Row],[Work Completiuon time on fualt]]-PA[[#This Row],[Fault Time]])*24</f>
        <v>0.33333333333333481</v>
      </c>
      <c r="Z9" s="35">
        <f>IFERROR((PA[[#This Row],[Work Completiuon time on fualt]]-PA[[#This Row],[Fault Time]])*24,"")</f>
        <v>0.33333333333333481</v>
      </c>
      <c r="AA9" s="2" t="s">
        <v>496</v>
      </c>
      <c r="AB9" s="2" t="s">
        <v>249</v>
      </c>
      <c r="AC9" s="47">
        <f>IFERROR(PA[[#This Row],[Breakdown Time]]*PA[[#This Row],[Plant Equivalent Weightage]],"")</f>
        <v>5.1426476431856563E-2</v>
      </c>
      <c r="AD9" s="2">
        <v>253</v>
      </c>
      <c r="AE9" s="33">
        <f>IFERROR((_xlfn.XLOOKUP(PA[[#This Row],[Month Year]],'Modelling New'!D:D,'Modelling New'!$O:$O)*PA[[#This Row],[Lost PoA(Wh/m2)]]*PA[[#This Row],[DC Capacity Affceted (kW)]])/1000,"")</f>
        <v>334.39880988651822</v>
      </c>
      <c r="AF9" s="35"/>
    </row>
    <row r="10" spans="1:33">
      <c r="A10" s="2">
        <f t="shared" ref="A10:A73" si="7">A9+1</f>
        <v>7</v>
      </c>
      <c r="B10" s="156">
        <f t="shared" si="1"/>
        <v>2026</v>
      </c>
      <c r="C10" s="129">
        <f t="shared" si="2"/>
        <v>2025</v>
      </c>
      <c r="D10" s="17" t="s">
        <v>155</v>
      </c>
      <c r="E10" s="17" t="s">
        <v>155</v>
      </c>
      <c r="F10" s="25">
        <v>45778</v>
      </c>
      <c r="G10">
        <f>DAY(EOMONTH(PA[[#This Row],[Month Year]],0))</f>
        <v>31</v>
      </c>
      <c r="H10" s="26">
        <v>45806</v>
      </c>
      <c r="I10" s="29">
        <f>IFERROR(VLOOKUP(PA[[#This Row],[Date]],Raw_Data[[Date]:[Sunset Time (POA&lt;20 W/m2)]],3,0),"")</f>
        <v>0.2638888888888889</v>
      </c>
      <c r="J10" s="29">
        <f>IFERROR(VLOOKUP(PA[[#This Row],[Date]],Raw_Data[[Date]:[Sunset Time (POA&lt;20 W/m2)]],4,0),"")</f>
        <v>0.77430555555555558</v>
      </c>
      <c r="K10" s="27">
        <f>IFERROR((PA[[#This Row],[Sunset Time (POA&lt;20 W/m2)]]-PA[[#This Row],[Sunrise Time (POA&gt;20 W/m2)]])*24,"")</f>
        <v>12.250000000000002</v>
      </c>
      <c r="L10" s="3" t="s">
        <v>132</v>
      </c>
      <c r="M10" s="46">
        <f>IFERROR(VLOOKUP(PA[[#This Row],[Affceted Equipment]],'Basic Data'!$A$2:$B$114,2,0),"")</f>
        <v>1987.7249999999999</v>
      </c>
      <c r="N10" s="48">
        <f>IFERROR(VLOOKUP(PA[[#This Row],[Affceted Equipment]],'Basic Data'!$A$1:$C$118,3,0),"")</f>
        <v>0.169739565720844</v>
      </c>
      <c r="O10" s="3" t="s">
        <v>132</v>
      </c>
      <c r="P10" t="s">
        <v>248</v>
      </c>
      <c r="Q10" t="s">
        <v>501</v>
      </c>
      <c r="S10" s="24">
        <v>0.43472222222222223</v>
      </c>
      <c r="T10" s="24">
        <v>0.43472222222222223</v>
      </c>
      <c r="U10" s="24">
        <v>0.43541666666666667</v>
      </c>
      <c r="V10" s="24">
        <v>0.77430555555555558</v>
      </c>
      <c r="W10" s="33">
        <f>IF(PA[[#This Row],[Acknowledgemnet Time ]]="NA","",(PA[[#This Row],[Acknowledgemnet Time ]]-PA[[#This Row],[Fault Time]])*24)</f>
        <v>0</v>
      </c>
      <c r="X10" s="33">
        <f>IF(PA[[#This Row],[Work Start time on Fault]]="NA","",(PA[[#This Row],[Work Start time on Fault]]-PA[[#This Row],[Fault Time]])*24)</f>
        <v>1.6666666666666607E-2</v>
      </c>
      <c r="Y10" s="35">
        <f>(PA[[#This Row],[Work Completiuon time on fualt]]-PA[[#This Row],[Fault Time]])*24</f>
        <v>8.15</v>
      </c>
      <c r="Z10" s="35">
        <f>IFERROR((PA[[#This Row],[Work Completiuon time on fualt]]-PA[[#This Row],[Fault Time]])*24,"")</f>
        <v>8.15</v>
      </c>
      <c r="AA10" s="2" t="s">
        <v>499</v>
      </c>
      <c r="AB10" s="2" t="s">
        <v>500</v>
      </c>
      <c r="AC10" s="47">
        <f>IFERROR(PA[[#This Row],[Breakdown Time]]*PA[[#This Row],[Plant Equivalent Weightage]],"")</f>
        <v>1.3833774606248788</v>
      </c>
      <c r="AD10" s="2">
        <v>3230</v>
      </c>
      <c r="AE10" s="33">
        <f>IFERROR((_xlfn.XLOOKUP(PA[[#This Row],[Month Year]],'Modelling New'!D:D,'Modelling New'!$O:$O)*PA[[#This Row],[Lost PoA(Wh/m2)]]*PA[[#This Row],[DC Capacity Affceted (kW)]])/1000,"")</f>
        <v>4697.0132717239358</v>
      </c>
      <c r="AF10" s="35"/>
    </row>
    <row r="11" spans="1:33">
      <c r="A11" s="2">
        <f t="shared" si="7"/>
        <v>8</v>
      </c>
      <c r="B11" s="156">
        <f t="shared" si="1"/>
        <v>2026</v>
      </c>
      <c r="C11" s="129">
        <f t="shared" si="2"/>
        <v>2025</v>
      </c>
      <c r="D11" s="17" t="s">
        <v>155</v>
      </c>
      <c r="E11" s="17" t="s">
        <v>155</v>
      </c>
      <c r="F11" s="25">
        <v>45778</v>
      </c>
      <c r="G11">
        <f>DAY(EOMONTH(PA[[#This Row],[Month Year]],0))</f>
        <v>31</v>
      </c>
      <c r="H11" s="26">
        <v>45806</v>
      </c>
      <c r="I11" s="29">
        <f>IFERROR(VLOOKUP(PA[[#This Row],[Date]],Raw_Data[[Date]:[Sunset Time (POA&lt;20 W/m2)]],3,0),"")</f>
        <v>0.2638888888888889</v>
      </c>
      <c r="J11" s="29">
        <f>IFERROR(VLOOKUP(PA[[#This Row],[Date]],Raw_Data[[Date]:[Sunset Time (POA&lt;20 W/m2)]],4,0),"")</f>
        <v>0.77430555555555558</v>
      </c>
      <c r="K11" s="27">
        <f>IFERROR((PA[[#This Row],[Sunset Time (POA&lt;20 W/m2)]]-PA[[#This Row],[Sunrise Time (POA&gt;20 W/m2)]])*24,"")</f>
        <v>12.250000000000002</v>
      </c>
      <c r="L11" s="3" t="s">
        <v>133</v>
      </c>
      <c r="M11" s="46">
        <f>IFERROR(VLOOKUP(PA[[#This Row],[Affceted Equipment]],'Basic Data'!$A$2:$B$114,2,0),"")</f>
        <v>2031.2049999999999</v>
      </c>
      <c r="N11" s="48">
        <f>IFERROR(VLOOKUP(PA[[#This Row],[Affceted Equipment]],'Basic Data'!$A$1:$C$118,3,0),"")</f>
        <v>0.17345249196443499</v>
      </c>
      <c r="O11" s="3" t="s">
        <v>133</v>
      </c>
      <c r="P11" t="s">
        <v>248</v>
      </c>
      <c r="Q11" t="s">
        <v>501</v>
      </c>
      <c r="S11" s="24">
        <v>0.43472222222222223</v>
      </c>
      <c r="T11" s="24">
        <v>0.43472222222222223</v>
      </c>
      <c r="U11" s="24">
        <v>0.43541666666666667</v>
      </c>
      <c r="V11" s="24">
        <v>0.77430555555555558</v>
      </c>
      <c r="W11" s="33">
        <f>IF(PA[[#This Row],[Acknowledgemnet Time ]]="NA","",(PA[[#This Row],[Acknowledgemnet Time ]]-PA[[#This Row],[Fault Time]])*24)</f>
        <v>0</v>
      </c>
      <c r="X11" s="33">
        <f>IF(PA[[#This Row],[Work Start time on Fault]]="NA","",(PA[[#This Row],[Work Start time on Fault]]-PA[[#This Row],[Fault Time]])*24)</f>
        <v>1.6666666666666607E-2</v>
      </c>
      <c r="Y11" s="35">
        <f>(PA[[#This Row],[Work Completiuon time on fualt]]-PA[[#This Row],[Fault Time]])*24</f>
        <v>8.15</v>
      </c>
      <c r="Z11" s="35">
        <f>IFERROR((PA[[#This Row],[Work Completiuon time on fualt]]-PA[[#This Row],[Fault Time]])*24,"")</f>
        <v>8.15</v>
      </c>
      <c r="AA11" s="2" t="s">
        <v>499</v>
      </c>
      <c r="AB11" s="2" t="s">
        <v>500</v>
      </c>
      <c r="AC11" s="47">
        <f>IFERROR(PA[[#This Row],[Breakdown Time]]*PA[[#This Row],[Plant Equivalent Weightage]],"")</f>
        <v>1.4136378095101452</v>
      </c>
      <c r="AD11" s="2">
        <v>3230</v>
      </c>
      <c r="AE11" s="33">
        <f>IFERROR((_xlfn.XLOOKUP(PA[[#This Row],[Month Year]],'Modelling New'!D:D,'Modelling New'!$O:$O)*PA[[#This Row],[Lost PoA(Wh/m2)]]*PA[[#This Row],[DC Capacity Affceted (kW)]])/1000,"")</f>
        <v>4799.7569294505111</v>
      </c>
      <c r="AF11" s="35"/>
    </row>
    <row r="12" spans="1:33">
      <c r="A12" s="2">
        <f t="shared" si="7"/>
        <v>9</v>
      </c>
      <c r="B12" s="156">
        <f t="shared" si="1"/>
        <v>2026</v>
      </c>
      <c r="C12" s="129">
        <f t="shared" si="2"/>
        <v>2025</v>
      </c>
      <c r="D12" s="17" t="s">
        <v>155</v>
      </c>
      <c r="E12" s="17" t="s">
        <v>155</v>
      </c>
      <c r="F12" s="25">
        <v>45778</v>
      </c>
      <c r="G12">
        <f>DAY(EOMONTH(PA[[#This Row],[Month Year]],0))</f>
        <v>31</v>
      </c>
      <c r="H12" s="26">
        <v>45806</v>
      </c>
      <c r="I12" s="29">
        <f>IFERROR(VLOOKUP(PA[[#This Row],[Date]],Raw_Data[[Date]:[Sunset Time (POA&lt;20 W/m2)]],3,0),"")</f>
        <v>0.2638888888888889</v>
      </c>
      <c r="J12" s="29">
        <f>IFERROR(VLOOKUP(PA[[#This Row],[Date]],Raw_Data[[Date]:[Sunset Time (POA&lt;20 W/m2)]],4,0),"")</f>
        <v>0.77430555555555558</v>
      </c>
      <c r="K12" s="27">
        <f>IFERROR((PA[[#This Row],[Sunset Time (POA&lt;20 W/m2)]]-PA[[#This Row],[Sunrise Time (POA&gt;20 W/m2)]])*24,"")</f>
        <v>12.250000000000002</v>
      </c>
      <c r="L12" s="3" t="s">
        <v>134</v>
      </c>
      <c r="M12" s="46">
        <f>IFERROR(VLOOKUP(PA[[#This Row],[Affceted Equipment]],'Basic Data'!$A$2:$B$114,2,0),"")</f>
        <v>1806.68</v>
      </c>
      <c r="N12" s="48">
        <f>IFERROR(VLOOKUP(PA[[#This Row],[Affceted Equipment]],'Basic Data'!$A$1:$C$118,3,0),"")</f>
        <v>0.15427942929556901</v>
      </c>
      <c r="O12" s="3" t="s">
        <v>134</v>
      </c>
      <c r="P12" t="s">
        <v>248</v>
      </c>
      <c r="Q12" t="s">
        <v>501</v>
      </c>
      <c r="S12" s="24">
        <v>0.43472222222222223</v>
      </c>
      <c r="T12" s="24">
        <v>0.43472222222222223</v>
      </c>
      <c r="U12" s="24">
        <v>0.43541666666666667</v>
      </c>
      <c r="V12" s="24">
        <v>0.77430555555555558</v>
      </c>
      <c r="W12" s="33">
        <f>IF(PA[[#This Row],[Acknowledgemnet Time ]]="NA","",(PA[[#This Row],[Acknowledgemnet Time ]]-PA[[#This Row],[Fault Time]])*24)</f>
        <v>0</v>
      </c>
      <c r="X12" s="33">
        <f>IF(PA[[#This Row],[Work Start time on Fault]]="NA","",(PA[[#This Row],[Work Start time on Fault]]-PA[[#This Row],[Fault Time]])*24)</f>
        <v>1.6666666666666607E-2</v>
      </c>
      <c r="Y12" s="35">
        <f>(PA[[#This Row],[Work Completiuon time on fualt]]-PA[[#This Row],[Fault Time]])*24</f>
        <v>8.15</v>
      </c>
      <c r="Z12" s="35">
        <f>IFERROR((PA[[#This Row],[Work Completiuon time on fualt]]-PA[[#This Row],[Fault Time]])*24,"")</f>
        <v>8.15</v>
      </c>
      <c r="AA12" s="2" t="s">
        <v>499</v>
      </c>
      <c r="AB12" s="2" t="s">
        <v>500</v>
      </c>
      <c r="AC12" s="47">
        <f>IFERROR(PA[[#This Row],[Breakdown Time]]*PA[[#This Row],[Plant Equivalent Weightage]],"")</f>
        <v>1.2573773487588875</v>
      </c>
      <c r="AD12" s="2">
        <v>3230</v>
      </c>
      <c r="AE12" s="33">
        <f>IFERROR((_xlfn.XLOOKUP(PA[[#This Row],[Month Year]],'Modelling New'!D:D,'Modelling New'!$O:$O)*PA[[#This Row],[Lost PoA(Wh/m2)]]*PA[[#This Row],[DC Capacity Affceted (kW)]])/1000,"")</f>
        <v>4269.20219736543</v>
      </c>
      <c r="AF12" s="35"/>
    </row>
    <row r="13" spans="1:33">
      <c r="A13" s="2">
        <f t="shared" si="7"/>
        <v>10</v>
      </c>
      <c r="B13" s="156">
        <f t="shared" si="1"/>
        <v>2026</v>
      </c>
      <c r="C13" s="129">
        <f t="shared" si="2"/>
        <v>2025</v>
      </c>
      <c r="D13" s="17" t="s">
        <v>155</v>
      </c>
      <c r="E13" s="17" t="s">
        <v>155</v>
      </c>
      <c r="F13" s="25">
        <v>45778</v>
      </c>
      <c r="G13">
        <f>DAY(EOMONTH(PA[[#This Row],[Month Year]],0))</f>
        <v>31</v>
      </c>
      <c r="H13" s="26">
        <v>45806</v>
      </c>
      <c r="I13" s="29">
        <f>IFERROR(VLOOKUP(PA[[#This Row],[Date]],Raw_Data[[Date]:[Sunset Time (POA&lt;20 W/m2)]],3,0),"")</f>
        <v>0.2638888888888889</v>
      </c>
      <c r="J13" s="29">
        <f>IFERROR(VLOOKUP(PA[[#This Row],[Date]],Raw_Data[[Date]:[Sunset Time (POA&lt;20 W/m2)]],4,0),"")</f>
        <v>0.77430555555555558</v>
      </c>
      <c r="K13" s="27">
        <f>IFERROR((PA[[#This Row],[Sunset Time (POA&lt;20 W/m2)]]-PA[[#This Row],[Sunrise Time (POA&gt;20 W/m2)]])*24,"")</f>
        <v>12.250000000000002</v>
      </c>
      <c r="L13" s="3" t="s">
        <v>135</v>
      </c>
      <c r="M13" s="46">
        <f>IFERROR(VLOOKUP(PA[[#This Row],[Affceted Equipment]],'Basic Data'!$A$2:$B$114,2,0),"")</f>
        <v>1844.7249999999999</v>
      </c>
      <c r="N13" s="48">
        <f>IFERROR(VLOOKUP(PA[[#This Row],[Affceted Equipment]],'Basic Data'!$A$1:$C$118,3,0),"")</f>
        <v>0.157528239758711</v>
      </c>
      <c r="O13" s="3" t="s">
        <v>135</v>
      </c>
      <c r="P13" t="s">
        <v>248</v>
      </c>
      <c r="Q13" t="s">
        <v>501</v>
      </c>
      <c r="S13" s="24">
        <v>0.43472222222222223</v>
      </c>
      <c r="T13" s="24">
        <v>0.43472222222222223</v>
      </c>
      <c r="U13" s="24">
        <v>0.43541666666666667</v>
      </c>
      <c r="V13" s="24">
        <v>0.77430555555555558</v>
      </c>
      <c r="W13" s="33">
        <f>IF(PA[[#This Row],[Acknowledgemnet Time ]]="NA","",(PA[[#This Row],[Acknowledgemnet Time ]]-PA[[#This Row],[Fault Time]])*24)</f>
        <v>0</v>
      </c>
      <c r="X13" s="33">
        <f>IF(PA[[#This Row],[Work Start time on Fault]]="NA","",(PA[[#This Row],[Work Start time on Fault]]-PA[[#This Row],[Fault Time]])*24)</f>
        <v>1.6666666666666607E-2</v>
      </c>
      <c r="Y13" s="35">
        <f>(PA[[#This Row],[Work Completiuon time on fualt]]-PA[[#This Row],[Fault Time]])*24</f>
        <v>8.15</v>
      </c>
      <c r="Z13" s="35">
        <f>IFERROR((PA[[#This Row],[Work Completiuon time on fualt]]-PA[[#This Row],[Fault Time]])*24,"")</f>
        <v>8.15</v>
      </c>
      <c r="AA13" s="2" t="s">
        <v>499</v>
      </c>
      <c r="AB13" s="2" t="s">
        <v>500</v>
      </c>
      <c r="AC13" s="47">
        <f>IFERROR(PA[[#This Row],[Breakdown Time]]*PA[[#This Row],[Plant Equivalent Weightage]],"")</f>
        <v>1.2838551540334946</v>
      </c>
      <c r="AD13" s="2">
        <v>3230</v>
      </c>
      <c r="AE13" s="33">
        <f>IFERROR((_xlfn.XLOOKUP(PA[[#This Row],[Month Year]],'Modelling New'!D:D,'Modelling New'!$O:$O)*PA[[#This Row],[Lost PoA(Wh/m2)]]*PA[[#This Row],[DC Capacity Affceted (kW)]])/1000,"")</f>
        <v>4359.1028978761833</v>
      </c>
      <c r="AF13" s="35"/>
    </row>
    <row r="14" spans="1:33">
      <c r="A14" s="2">
        <f t="shared" si="7"/>
        <v>11</v>
      </c>
      <c r="B14" s="156">
        <f t="shared" si="1"/>
        <v>2026</v>
      </c>
      <c r="C14" s="129">
        <f t="shared" ref="C14:C17" si="8">YEAR(H14)</f>
        <v>2025</v>
      </c>
      <c r="D14" s="17" t="s">
        <v>155</v>
      </c>
      <c r="E14" s="17" t="s">
        <v>155</v>
      </c>
      <c r="F14" s="25">
        <v>45778</v>
      </c>
      <c r="G14">
        <f>DAY(EOMONTH(PA[[#This Row],[Month Year]],0))</f>
        <v>31</v>
      </c>
      <c r="H14" s="26">
        <v>45807</v>
      </c>
      <c r="I14" s="29">
        <f>IFERROR(VLOOKUP(PA[[#This Row],[Date]],Raw_Data[[Date]:[Sunset Time (POA&lt;20 W/m2)]],3,0),"")</f>
        <v>0.25833333333333336</v>
      </c>
      <c r="J14" s="29">
        <f>IFERROR(VLOOKUP(PA[[#This Row],[Date]],Raw_Data[[Date]:[Sunset Time (POA&lt;20 W/m2)]],4,0),"")</f>
        <v>0.77638888888888891</v>
      </c>
      <c r="K14" s="27">
        <f>IFERROR((PA[[#This Row],[Sunset Time (POA&lt;20 W/m2)]]-PA[[#This Row],[Sunrise Time (POA&gt;20 W/m2)]])*24,"")</f>
        <v>12.433333333333332</v>
      </c>
      <c r="L14" s="3" t="s">
        <v>132</v>
      </c>
      <c r="M14" s="46">
        <f>IFERROR(VLOOKUP(PA[[#This Row],[Affceted Equipment]],'Basic Data'!$A$2:$B$114,2,0),"")</f>
        <v>1987.7249999999999</v>
      </c>
      <c r="N14" s="48">
        <f>IFERROR(VLOOKUP(PA[[#This Row],[Affceted Equipment]],'Basic Data'!$A$1:$C$118,3,0),"")</f>
        <v>0.169739565720844</v>
      </c>
      <c r="O14" s="3" t="s">
        <v>132</v>
      </c>
      <c r="P14" t="s">
        <v>248</v>
      </c>
      <c r="Q14" t="s">
        <v>501</v>
      </c>
      <c r="S14" s="24">
        <v>0.25833333333333336</v>
      </c>
      <c r="T14" s="24">
        <v>0.25833333333333336</v>
      </c>
      <c r="U14" s="24">
        <v>0.2590277777777778</v>
      </c>
      <c r="V14" s="24">
        <v>0.77638888888888891</v>
      </c>
      <c r="W14" s="33">
        <f>IF(PA[[#This Row],[Acknowledgemnet Time ]]="NA","",(PA[[#This Row],[Acknowledgemnet Time ]]-PA[[#This Row],[Fault Time]])*24)</f>
        <v>0</v>
      </c>
      <c r="X14" s="33">
        <f>IF(PA[[#This Row],[Work Start time on Fault]]="NA","",(PA[[#This Row],[Work Start time on Fault]]-PA[[#This Row],[Fault Time]])*24)</f>
        <v>1.6666666666666607E-2</v>
      </c>
      <c r="Y14" s="35">
        <f>(PA[[#This Row],[Work Completiuon time on fualt]]-PA[[#This Row],[Fault Time]])*24</f>
        <v>12.433333333333332</v>
      </c>
      <c r="Z14" s="35">
        <f>IFERROR((PA[[#This Row],[Work Completiuon time on fualt]]-PA[[#This Row],[Fault Time]])*24,"")</f>
        <v>12.433333333333332</v>
      </c>
      <c r="AA14" s="2" t="s">
        <v>499</v>
      </c>
      <c r="AB14" s="2" t="s">
        <v>500</v>
      </c>
      <c r="AC14" s="47">
        <f>IFERROR(PA[[#This Row],[Breakdown Time]]*PA[[#This Row],[Plant Equivalent Weightage]],"")</f>
        <v>2.1104286004624937</v>
      </c>
      <c r="AD14" s="2">
        <v>3230</v>
      </c>
      <c r="AE14" s="33">
        <f>IFERROR((_xlfn.XLOOKUP(PA[[#This Row],[Month Year]],'Modelling New'!D:D,'Modelling New'!$O:$O)*PA[[#This Row],[Lost PoA(Wh/m2)]]*PA[[#This Row],[DC Capacity Affceted (kW)]])/1000,"")</f>
        <v>4697.0132717239358</v>
      </c>
      <c r="AF14" s="35"/>
    </row>
    <row r="15" spans="1:33">
      <c r="A15" s="2">
        <f t="shared" si="7"/>
        <v>12</v>
      </c>
      <c r="B15" s="156">
        <f t="shared" si="1"/>
        <v>2026</v>
      </c>
      <c r="C15" s="129">
        <f t="shared" si="8"/>
        <v>2025</v>
      </c>
      <c r="D15" s="17" t="s">
        <v>155</v>
      </c>
      <c r="E15" s="17" t="s">
        <v>155</v>
      </c>
      <c r="F15" s="25">
        <v>45778</v>
      </c>
      <c r="G15">
        <f>DAY(EOMONTH(PA[[#This Row],[Month Year]],0))</f>
        <v>31</v>
      </c>
      <c r="H15" s="26">
        <v>45807</v>
      </c>
      <c r="I15" s="29">
        <f>IFERROR(VLOOKUP(PA[[#This Row],[Date]],Raw_Data[[Date]:[Sunset Time (POA&lt;20 W/m2)]],3,0),"")</f>
        <v>0.25833333333333336</v>
      </c>
      <c r="J15" s="29">
        <f>IFERROR(VLOOKUP(PA[[#This Row],[Date]],Raw_Data[[Date]:[Sunset Time (POA&lt;20 W/m2)]],4,0),"")</f>
        <v>0.77638888888888891</v>
      </c>
      <c r="K15" s="27">
        <f>IFERROR((PA[[#This Row],[Sunset Time (POA&lt;20 W/m2)]]-PA[[#This Row],[Sunrise Time (POA&gt;20 W/m2)]])*24,"")</f>
        <v>12.433333333333332</v>
      </c>
      <c r="L15" s="3" t="s">
        <v>133</v>
      </c>
      <c r="M15" s="46">
        <f>IFERROR(VLOOKUP(PA[[#This Row],[Affceted Equipment]],'Basic Data'!$A$2:$B$114,2,0),"")</f>
        <v>2031.2049999999999</v>
      </c>
      <c r="N15" s="48">
        <f>IFERROR(VLOOKUP(PA[[#This Row],[Affceted Equipment]],'Basic Data'!$A$1:$C$118,3,0),"")</f>
        <v>0.17345249196443499</v>
      </c>
      <c r="O15" s="3" t="s">
        <v>133</v>
      </c>
      <c r="P15" t="s">
        <v>248</v>
      </c>
      <c r="Q15" t="s">
        <v>501</v>
      </c>
      <c r="S15" s="24">
        <v>0.25833333333333336</v>
      </c>
      <c r="T15" s="24">
        <v>0.25833333333333336</v>
      </c>
      <c r="U15" s="24">
        <v>0.2590277777777778</v>
      </c>
      <c r="V15" s="24">
        <v>0.77638888888888891</v>
      </c>
      <c r="W15" s="33">
        <f>IF(PA[[#This Row],[Acknowledgemnet Time ]]="NA","",(PA[[#This Row],[Acknowledgemnet Time ]]-PA[[#This Row],[Fault Time]])*24)</f>
        <v>0</v>
      </c>
      <c r="X15" s="33">
        <f>IF(PA[[#This Row],[Work Start time on Fault]]="NA","",(PA[[#This Row],[Work Start time on Fault]]-PA[[#This Row],[Fault Time]])*24)</f>
        <v>1.6666666666666607E-2</v>
      </c>
      <c r="Y15" s="35">
        <f>(PA[[#This Row],[Work Completiuon time on fualt]]-PA[[#This Row],[Fault Time]])*24</f>
        <v>12.433333333333332</v>
      </c>
      <c r="Z15" s="35">
        <f>IFERROR((PA[[#This Row],[Work Completiuon time on fualt]]-PA[[#This Row],[Fault Time]])*24,"")</f>
        <v>12.433333333333332</v>
      </c>
      <c r="AA15" s="2" t="s">
        <v>499</v>
      </c>
      <c r="AB15" s="2" t="s">
        <v>500</v>
      </c>
      <c r="AC15" s="47">
        <f>IFERROR(PA[[#This Row],[Breakdown Time]]*PA[[#This Row],[Plant Equivalent Weightage]],"")</f>
        <v>2.1565926500911416</v>
      </c>
      <c r="AD15" s="2">
        <v>3230</v>
      </c>
      <c r="AE15" s="33">
        <f>IFERROR((_xlfn.XLOOKUP(PA[[#This Row],[Month Year]],'Modelling New'!D:D,'Modelling New'!$O:$O)*PA[[#This Row],[Lost PoA(Wh/m2)]]*PA[[#This Row],[DC Capacity Affceted (kW)]])/1000,"")</f>
        <v>4799.7569294505111</v>
      </c>
      <c r="AF15" s="35"/>
    </row>
    <row r="16" spans="1:33">
      <c r="A16" s="2">
        <f t="shared" si="7"/>
        <v>13</v>
      </c>
      <c r="B16" s="156">
        <f t="shared" si="1"/>
        <v>2026</v>
      </c>
      <c r="C16" s="129">
        <f t="shared" si="8"/>
        <v>2025</v>
      </c>
      <c r="D16" s="17" t="s">
        <v>155</v>
      </c>
      <c r="E16" s="17" t="s">
        <v>155</v>
      </c>
      <c r="F16" s="25">
        <v>45778</v>
      </c>
      <c r="G16">
        <f>DAY(EOMONTH(PA[[#This Row],[Month Year]],0))</f>
        <v>31</v>
      </c>
      <c r="H16" s="26">
        <v>45807</v>
      </c>
      <c r="I16" s="29">
        <f>IFERROR(VLOOKUP(PA[[#This Row],[Date]],Raw_Data[[Date]:[Sunset Time (POA&lt;20 W/m2)]],3,0),"")</f>
        <v>0.25833333333333336</v>
      </c>
      <c r="J16" s="29">
        <f>IFERROR(VLOOKUP(PA[[#This Row],[Date]],Raw_Data[[Date]:[Sunset Time (POA&lt;20 W/m2)]],4,0),"")</f>
        <v>0.77638888888888891</v>
      </c>
      <c r="K16" s="27">
        <f>IFERROR((PA[[#This Row],[Sunset Time (POA&lt;20 W/m2)]]-PA[[#This Row],[Sunrise Time (POA&gt;20 W/m2)]])*24,"")</f>
        <v>12.433333333333332</v>
      </c>
      <c r="L16" s="3" t="s">
        <v>134</v>
      </c>
      <c r="M16" s="46">
        <f>IFERROR(VLOOKUP(PA[[#This Row],[Affceted Equipment]],'Basic Data'!$A$2:$B$114,2,0),"")</f>
        <v>1806.68</v>
      </c>
      <c r="N16" s="48">
        <f>IFERROR(VLOOKUP(PA[[#This Row],[Affceted Equipment]],'Basic Data'!$A$1:$C$118,3,0),"")</f>
        <v>0.15427942929556901</v>
      </c>
      <c r="O16" s="3" t="s">
        <v>134</v>
      </c>
      <c r="P16" t="s">
        <v>248</v>
      </c>
      <c r="Q16" t="s">
        <v>501</v>
      </c>
      <c r="S16" s="24">
        <v>0.25833333333333336</v>
      </c>
      <c r="T16" s="24">
        <v>0.25833333333333336</v>
      </c>
      <c r="U16" s="24">
        <v>0.2590277777777778</v>
      </c>
      <c r="V16" s="24">
        <v>0.77638888888888891</v>
      </c>
      <c r="W16" s="33">
        <f>IF(PA[[#This Row],[Acknowledgemnet Time ]]="NA","",(PA[[#This Row],[Acknowledgemnet Time ]]-PA[[#This Row],[Fault Time]])*24)</f>
        <v>0</v>
      </c>
      <c r="X16" s="33">
        <f>IF(PA[[#This Row],[Work Start time on Fault]]="NA","",(PA[[#This Row],[Work Start time on Fault]]-PA[[#This Row],[Fault Time]])*24)</f>
        <v>1.6666666666666607E-2</v>
      </c>
      <c r="Y16" s="35">
        <f>(PA[[#This Row],[Work Completiuon time on fualt]]-PA[[#This Row],[Fault Time]])*24</f>
        <v>12.433333333333332</v>
      </c>
      <c r="Z16" s="35">
        <f>IFERROR((PA[[#This Row],[Work Completiuon time on fualt]]-PA[[#This Row],[Fault Time]])*24,"")</f>
        <v>12.433333333333332</v>
      </c>
      <c r="AA16" s="2" t="s">
        <v>499</v>
      </c>
      <c r="AB16" s="2" t="s">
        <v>500</v>
      </c>
      <c r="AC16" s="47">
        <f>IFERROR(PA[[#This Row],[Breakdown Time]]*PA[[#This Row],[Plant Equivalent Weightage]],"")</f>
        <v>1.9182075709082411</v>
      </c>
      <c r="AD16" s="2">
        <v>3230</v>
      </c>
      <c r="AE16" s="33">
        <f>IFERROR((_xlfn.XLOOKUP(PA[[#This Row],[Month Year]],'Modelling New'!D:D,'Modelling New'!$O:$O)*PA[[#This Row],[Lost PoA(Wh/m2)]]*PA[[#This Row],[DC Capacity Affceted (kW)]])/1000,"")</f>
        <v>4269.20219736543</v>
      </c>
      <c r="AF16" s="35"/>
    </row>
    <row r="17" spans="1:32">
      <c r="A17" s="2">
        <f t="shared" si="7"/>
        <v>14</v>
      </c>
      <c r="B17" s="156">
        <f t="shared" si="1"/>
        <v>2026</v>
      </c>
      <c r="C17" s="129">
        <f t="shared" si="8"/>
        <v>2025</v>
      </c>
      <c r="D17" s="17" t="s">
        <v>155</v>
      </c>
      <c r="E17" s="17" t="s">
        <v>155</v>
      </c>
      <c r="F17" s="25">
        <v>45778</v>
      </c>
      <c r="G17">
        <f>DAY(EOMONTH(PA[[#This Row],[Month Year]],0))</f>
        <v>31</v>
      </c>
      <c r="H17" s="26">
        <v>45807</v>
      </c>
      <c r="I17" s="29">
        <f>IFERROR(VLOOKUP(PA[[#This Row],[Date]],Raw_Data[[Date]:[Sunset Time (POA&lt;20 W/m2)]],3,0),"")</f>
        <v>0.25833333333333336</v>
      </c>
      <c r="J17" s="29">
        <f>IFERROR(VLOOKUP(PA[[#This Row],[Date]],Raw_Data[[Date]:[Sunset Time (POA&lt;20 W/m2)]],4,0),"")</f>
        <v>0.77638888888888891</v>
      </c>
      <c r="K17" s="27">
        <f>IFERROR((PA[[#This Row],[Sunset Time (POA&lt;20 W/m2)]]-PA[[#This Row],[Sunrise Time (POA&gt;20 W/m2)]])*24,"")</f>
        <v>12.433333333333332</v>
      </c>
      <c r="L17" s="3" t="s">
        <v>135</v>
      </c>
      <c r="M17" s="46">
        <f>IFERROR(VLOOKUP(PA[[#This Row],[Affceted Equipment]],'Basic Data'!$A$2:$B$114,2,0),"")</f>
        <v>1844.7249999999999</v>
      </c>
      <c r="N17" s="48">
        <f>IFERROR(VLOOKUP(PA[[#This Row],[Affceted Equipment]],'Basic Data'!$A$1:$C$118,3,0),"")</f>
        <v>0.157528239758711</v>
      </c>
      <c r="O17" s="3" t="s">
        <v>135</v>
      </c>
      <c r="P17" t="s">
        <v>248</v>
      </c>
      <c r="Q17" t="s">
        <v>501</v>
      </c>
      <c r="S17" s="24">
        <v>0.25833333333333336</v>
      </c>
      <c r="T17" s="24">
        <v>0.25833333333333336</v>
      </c>
      <c r="U17" s="24">
        <v>0.2590277777777778</v>
      </c>
      <c r="V17" s="24">
        <v>0.77638888888888891</v>
      </c>
      <c r="W17" s="33">
        <f>IF(PA[[#This Row],[Acknowledgemnet Time ]]="NA","",(PA[[#This Row],[Acknowledgemnet Time ]]-PA[[#This Row],[Fault Time]])*24)</f>
        <v>0</v>
      </c>
      <c r="X17" s="33">
        <f>IF(PA[[#This Row],[Work Start time on Fault]]="NA","",(PA[[#This Row],[Work Start time on Fault]]-PA[[#This Row],[Fault Time]])*24)</f>
        <v>1.6666666666666607E-2</v>
      </c>
      <c r="Y17" s="35">
        <f>(PA[[#This Row],[Work Completiuon time on fualt]]-PA[[#This Row],[Fault Time]])*24</f>
        <v>12.433333333333332</v>
      </c>
      <c r="Z17" s="35">
        <f>IFERROR((PA[[#This Row],[Work Completiuon time on fualt]]-PA[[#This Row],[Fault Time]])*24,"")</f>
        <v>12.433333333333332</v>
      </c>
      <c r="AA17" s="2" t="s">
        <v>499</v>
      </c>
      <c r="AB17" s="2" t="s">
        <v>500</v>
      </c>
      <c r="AC17" s="47">
        <f>IFERROR(PA[[#This Row],[Breakdown Time]]*PA[[#This Row],[Plant Equivalent Weightage]],"")</f>
        <v>1.9586011143333064</v>
      </c>
      <c r="AD17" s="2">
        <v>3230</v>
      </c>
      <c r="AE17" s="33">
        <f>IFERROR((_xlfn.XLOOKUP(PA[[#This Row],[Month Year]],'Modelling New'!D:D,'Modelling New'!$O:$O)*PA[[#This Row],[Lost PoA(Wh/m2)]]*PA[[#This Row],[DC Capacity Affceted (kW)]])/1000,"")</f>
        <v>4359.1028978761833</v>
      </c>
      <c r="AF17" s="35"/>
    </row>
    <row r="18" spans="1:32">
      <c r="A18" s="2">
        <f t="shared" si="7"/>
        <v>15</v>
      </c>
      <c r="B18" s="156">
        <f t="shared" ref="B18:B21" si="9">YEAR(H18)+IF(MONTH(H18)&gt;=4,1,0)</f>
        <v>2026</v>
      </c>
      <c r="C18" s="129">
        <f t="shared" ref="C18:C21" si="10">YEAR(H18)</f>
        <v>2025</v>
      </c>
      <c r="D18" s="17" t="s">
        <v>155</v>
      </c>
      <c r="E18" s="17" t="s">
        <v>155</v>
      </c>
      <c r="F18" s="25">
        <v>45778</v>
      </c>
      <c r="G18">
        <f>DAY(EOMONTH(PA[[#This Row],[Month Year]],0))</f>
        <v>31</v>
      </c>
      <c r="H18" s="26">
        <v>45808</v>
      </c>
      <c r="I18" s="29">
        <f>IFERROR(VLOOKUP(PA[[#This Row],[Date]],Raw_Data[[Date]:[Sunset Time (POA&lt;20 W/m2)]],3,0),"")</f>
        <v>0.24444444444444444</v>
      </c>
      <c r="J18" s="29">
        <f>IFERROR(VLOOKUP(PA[[#This Row],[Date]],Raw_Data[[Date]:[Sunset Time (POA&lt;20 W/m2)]],4,0),"")</f>
        <v>0.77569444444444446</v>
      </c>
      <c r="K18" s="27">
        <f>IFERROR((PA[[#This Row],[Sunset Time (POA&lt;20 W/m2)]]-PA[[#This Row],[Sunrise Time (POA&gt;20 W/m2)]])*24,"")</f>
        <v>12.75</v>
      </c>
      <c r="L18" s="3" t="s">
        <v>132</v>
      </c>
      <c r="M18" s="46">
        <f>IFERROR(VLOOKUP(PA[[#This Row],[Affceted Equipment]],'Basic Data'!$A$2:$B$114,2,0),"")</f>
        <v>1987.7249999999999</v>
      </c>
      <c r="N18" s="48">
        <f>IFERROR(VLOOKUP(PA[[#This Row],[Affceted Equipment]],'Basic Data'!$A$1:$C$118,3,0),"")</f>
        <v>0.169739565720844</v>
      </c>
      <c r="O18" s="3" t="s">
        <v>132</v>
      </c>
      <c r="P18" t="s">
        <v>248</v>
      </c>
      <c r="Q18" t="s">
        <v>501</v>
      </c>
      <c r="S18" s="24">
        <v>0.24444444444444444</v>
      </c>
      <c r="T18" s="24">
        <v>0.24444444444444444</v>
      </c>
      <c r="U18" s="24">
        <v>0.25</v>
      </c>
      <c r="V18" s="24">
        <v>0.3125</v>
      </c>
      <c r="W18" s="33">
        <f>IF(PA[[#This Row],[Acknowledgemnet Time ]]="NA","",(PA[[#This Row],[Acknowledgemnet Time ]]-PA[[#This Row],[Fault Time]])*24)</f>
        <v>0</v>
      </c>
      <c r="X18" s="33">
        <f>IF(PA[[#This Row],[Work Start time on Fault]]="NA","",(PA[[#This Row],[Work Start time on Fault]]-PA[[#This Row],[Fault Time]])*24)</f>
        <v>0.13333333333333353</v>
      </c>
      <c r="Y18" s="35">
        <f>(PA[[#This Row],[Work Completiuon time on fualt]]-PA[[#This Row],[Fault Time]])*24</f>
        <v>1.6333333333333335</v>
      </c>
      <c r="Z18" s="35">
        <f>IFERROR((PA[[#This Row],[Work Completiuon time on fualt]]-PA[[#This Row],[Fault Time]])*24,"")</f>
        <v>1.6333333333333335</v>
      </c>
      <c r="AA18" s="2" t="s">
        <v>499</v>
      </c>
      <c r="AB18" s="2" t="s">
        <v>502</v>
      </c>
      <c r="AC18" s="47">
        <f>IFERROR(PA[[#This Row],[Breakdown Time]]*PA[[#This Row],[Plant Equivalent Weightage]],"")</f>
        <v>0.27724129067737857</v>
      </c>
      <c r="AD18" s="2">
        <v>245</v>
      </c>
      <c r="AE18" s="33">
        <f>IFERROR((_xlfn.XLOOKUP(PA[[#This Row],[Month Year]],'Modelling New'!D:D,'Modelling New'!$O:$O)*PA[[#This Row],[Lost PoA(Wh/m2)]]*PA[[#This Row],[DC Capacity Affceted (kW)]])/1000,"")</f>
        <v>356.27500048680002</v>
      </c>
      <c r="AF18" s="35"/>
    </row>
    <row r="19" spans="1:32">
      <c r="A19" s="2">
        <f t="shared" si="7"/>
        <v>16</v>
      </c>
      <c r="B19" s="156">
        <f t="shared" si="9"/>
        <v>2026</v>
      </c>
      <c r="C19" s="129">
        <f t="shared" si="10"/>
        <v>2025</v>
      </c>
      <c r="D19" s="17" t="s">
        <v>155</v>
      </c>
      <c r="E19" s="17" t="s">
        <v>155</v>
      </c>
      <c r="F19" s="25">
        <v>45778</v>
      </c>
      <c r="G19">
        <f>DAY(EOMONTH(PA[[#This Row],[Month Year]],0))</f>
        <v>31</v>
      </c>
      <c r="H19" s="26">
        <v>45808</v>
      </c>
      <c r="I19" s="29">
        <f>IFERROR(VLOOKUP(PA[[#This Row],[Date]],Raw_Data[[Date]:[Sunset Time (POA&lt;20 W/m2)]],3,0),"")</f>
        <v>0.24444444444444444</v>
      </c>
      <c r="J19" s="29">
        <f>IFERROR(VLOOKUP(PA[[#This Row],[Date]],Raw_Data[[Date]:[Sunset Time (POA&lt;20 W/m2)]],4,0),"")</f>
        <v>0.77569444444444446</v>
      </c>
      <c r="K19" s="27">
        <f>IFERROR((PA[[#This Row],[Sunset Time (POA&lt;20 W/m2)]]-PA[[#This Row],[Sunrise Time (POA&gt;20 W/m2)]])*24,"")</f>
        <v>12.75</v>
      </c>
      <c r="L19" s="3" t="s">
        <v>133</v>
      </c>
      <c r="M19" s="46">
        <f>IFERROR(VLOOKUP(PA[[#This Row],[Affceted Equipment]],'Basic Data'!$A$2:$B$114,2,0),"")</f>
        <v>2031.2049999999999</v>
      </c>
      <c r="N19" s="48">
        <f>IFERROR(VLOOKUP(PA[[#This Row],[Affceted Equipment]],'Basic Data'!$A$1:$C$118,3,0),"")</f>
        <v>0.17345249196443499</v>
      </c>
      <c r="O19" s="3" t="s">
        <v>133</v>
      </c>
      <c r="P19" t="s">
        <v>248</v>
      </c>
      <c r="Q19" t="s">
        <v>501</v>
      </c>
      <c r="S19" s="24">
        <v>0.24444444444444444</v>
      </c>
      <c r="T19" s="24">
        <v>0.24444444444444444</v>
      </c>
      <c r="U19" s="24">
        <v>0.28125</v>
      </c>
      <c r="V19" s="24">
        <v>0.3125</v>
      </c>
      <c r="W19" s="33">
        <f>IF(PA[[#This Row],[Acknowledgemnet Time ]]="NA","",(PA[[#This Row],[Acknowledgemnet Time ]]-PA[[#This Row],[Fault Time]])*24)</f>
        <v>0</v>
      </c>
      <c r="X19" s="33">
        <f>IF(PA[[#This Row],[Work Start time on Fault]]="NA","",(PA[[#This Row],[Work Start time on Fault]]-PA[[#This Row],[Fault Time]])*24)</f>
        <v>0.88333333333333353</v>
      </c>
      <c r="Y19" s="35">
        <f>(PA[[#This Row],[Work Completiuon time on fualt]]-PA[[#This Row],[Fault Time]])*24</f>
        <v>1.6333333333333335</v>
      </c>
      <c r="Z19" s="35">
        <f>IFERROR((PA[[#This Row],[Work Completiuon time on fualt]]-PA[[#This Row],[Fault Time]])*24,"")</f>
        <v>1.6333333333333335</v>
      </c>
      <c r="AA19" s="2" t="s">
        <v>499</v>
      </c>
      <c r="AB19" s="2" t="s">
        <v>502</v>
      </c>
      <c r="AC19" s="47">
        <f>IFERROR(PA[[#This Row],[Breakdown Time]]*PA[[#This Row],[Plant Equivalent Weightage]],"")</f>
        <v>0.28330573687524385</v>
      </c>
      <c r="AD19" s="2">
        <v>245</v>
      </c>
      <c r="AE19" s="33">
        <f>IFERROR((_xlfn.XLOOKUP(PA[[#This Row],[Month Year]],'Modelling New'!D:D,'Modelling New'!$O:$O)*PA[[#This Row],[Lost PoA(Wh/m2)]]*PA[[#This Row],[DC Capacity Affceted (kW)]])/1000,"")</f>
        <v>364.06825006667964</v>
      </c>
      <c r="AF19" s="35"/>
    </row>
    <row r="20" spans="1:32">
      <c r="A20" s="2">
        <f t="shared" si="7"/>
        <v>17</v>
      </c>
      <c r="B20" s="156">
        <f t="shared" si="9"/>
        <v>2026</v>
      </c>
      <c r="C20" s="129">
        <f t="shared" si="10"/>
        <v>2025</v>
      </c>
      <c r="D20" s="17" t="s">
        <v>155</v>
      </c>
      <c r="E20" s="17" t="s">
        <v>155</v>
      </c>
      <c r="F20" s="25">
        <v>45778</v>
      </c>
      <c r="G20">
        <f>DAY(EOMONTH(PA[[#This Row],[Month Year]],0))</f>
        <v>31</v>
      </c>
      <c r="H20" s="26">
        <v>45808</v>
      </c>
      <c r="I20" s="29">
        <f>IFERROR(VLOOKUP(PA[[#This Row],[Date]],Raw_Data[[Date]:[Sunset Time (POA&lt;20 W/m2)]],3,0),"")</f>
        <v>0.24444444444444444</v>
      </c>
      <c r="J20" s="29">
        <f>IFERROR(VLOOKUP(PA[[#This Row],[Date]],Raw_Data[[Date]:[Sunset Time (POA&lt;20 W/m2)]],4,0),"")</f>
        <v>0.77569444444444446</v>
      </c>
      <c r="K20" s="27">
        <f>IFERROR((PA[[#This Row],[Sunset Time (POA&lt;20 W/m2)]]-PA[[#This Row],[Sunrise Time (POA&gt;20 W/m2)]])*24,"")</f>
        <v>12.75</v>
      </c>
      <c r="L20" s="3" t="s">
        <v>134</v>
      </c>
      <c r="M20" s="46">
        <f>IFERROR(VLOOKUP(PA[[#This Row],[Affceted Equipment]],'Basic Data'!$A$2:$B$114,2,0),"")</f>
        <v>1806.68</v>
      </c>
      <c r="N20" s="48">
        <f>IFERROR(VLOOKUP(PA[[#This Row],[Affceted Equipment]],'Basic Data'!$A$1:$C$118,3,0),"")</f>
        <v>0.15427942929556901</v>
      </c>
      <c r="O20" s="3" t="s">
        <v>134</v>
      </c>
      <c r="P20" t="s">
        <v>248</v>
      </c>
      <c r="Q20" t="s">
        <v>501</v>
      </c>
      <c r="S20" s="24">
        <v>0.24444444444444444</v>
      </c>
      <c r="T20" s="24">
        <v>0.24444444444444444</v>
      </c>
      <c r="U20" s="24">
        <v>0.29166666666666669</v>
      </c>
      <c r="V20" s="24">
        <v>0.3125</v>
      </c>
      <c r="W20" s="33">
        <f>IF(PA[[#This Row],[Acknowledgemnet Time ]]="NA","",(PA[[#This Row],[Acknowledgemnet Time ]]-PA[[#This Row],[Fault Time]])*24)</f>
        <v>0</v>
      </c>
      <c r="X20" s="33">
        <f>IF(PA[[#This Row],[Work Start time on Fault]]="NA","",(PA[[#This Row],[Work Start time on Fault]]-PA[[#This Row],[Fault Time]])*24)</f>
        <v>1.133333333333334</v>
      </c>
      <c r="Y20" s="35">
        <f>(PA[[#This Row],[Work Completiuon time on fualt]]-PA[[#This Row],[Fault Time]])*24</f>
        <v>1.6333333333333335</v>
      </c>
      <c r="Z20" s="35">
        <f>IFERROR((PA[[#This Row],[Work Completiuon time on fualt]]-PA[[#This Row],[Fault Time]])*24,"")</f>
        <v>1.6333333333333335</v>
      </c>
      <c r="AA20" s="2" t="s">
        <v>499</v>
      </c>
      <c r="AB20" s="2" t="s">
        <v>502</v>
      </c>
      <c r="AC20" s="47">
        <f>IFERROR(PA[[#This Row],[Breakdown Time]]*PA[[#This Row],[Plant Equivalent Weightage]],"")</f>
        <v>0.25198973451609608</v>
      </c>
      <c r="AD20" s="2">
        <v>245</v>
      </c>
      <c r="AE20" s="33">
        <f>IFERROR((_xlfn.XLOOKUP(PA[[#This Row],[Month Year]],'Modelling New'!D:D,'Modelling New'!$O:$O)*PA[[#This Row],[Lost PoA(Wh/m2)]]*PA[[#This Row],[DC Capacity Affceted (kW)]])/1000,"")</f>
        <v>323.82493447508682</v>
      </c>
      <c r="AF20" s="35"/>
    </row>
    <row r="21" spans="1:32">
      <c r="A21" s="2">
        <f t="shared" si="7"/>
        <v>18</v>
      </c>
      <c r="B21" s="156">
        <f t="shared" si="9"/>
        <v>2026</v>
      </c>
      <c r="C21" s="129">
        <f t="shared" si="10"/>
        <v>2025</v>
      </c>
      <c r="D21" s="17" t="s">
        <v>155</v>
      </c>
      <c r="E21" s="17" t="s">
        <v>155</v>
      </c>
      <c r="F21" s="25">
        <v>45778</v>
      </c>
      <c r="G21">
        <f>DAY(EOMONTH(PA[[#This Row],[Month Year]],0))</f>
        <v>31</v>
      </c>
      <c r="H21" s="26">
        <v>45808</v>
      </c>
      <c r="I21" s="29">
        <f>IFERROR(VLOOKUP(PA[[#This Row],[Date]],Raw_Data[[Date]:[Sunset Time (POA&lt;20 W/m2)]],3,0),"")</f>
        <v>0.24444444444444444</v>
      </c>
      <c r="J21" s="29">
        <f>IFERROR(VLOOKUP(PA[[#This Row],[Date]],Raw_Data[[Date]:[Sunset Time (POA&lt;20 W/m2)]],4,0),"")</f>
        <v>0.77569444444444446</v>
      </c>
      <c r="K21" s="27">
        <f>IFERROR((PA[[#This Row],[Sunset Time (POA&lt;20 W/m2)]]-PA[[#This Row],[Sunrise Time (POA&gt;20 W/m2)]])*24,"")</f>
        <v>12.75</v>
      </c>
      <c r="L21" s="3" t="s">
        <v>135</v>
      </c>
      <c r="M21" s="46">
        <f>IFERROR(VLOOKUP(PA[[#This Row],[Affceted Equipment]],'Basic Data'!$A$2:$B$114,2,0),"")</f>
        <v>1844.7249999999999</v>
      </c>
      <c r="N21" s="48">
        <f>IFERROR(VLOOKUP(PA[[#This Row],[Affceted Equipment]],'Basic Data'!$A$1:$C$118,3,0),"")</f>
        <v>0.157528239758711</v>
      </c>
      <c r="O21" s="3" t="s">
        <v>135</v>
      </c>
      <c r="P21" t="s">
        <v>248</v>
      </c>
      <c r="Q21" t="s">
        <v>501</v>
      </c>
      <c r="S21" s="24">
        <v>0.24444444444444444</v>
      </c>
      <c r="T21" s="24">
        <v>0.24444444444444444</v>
      </c>
      <c r="U21" s="24">
        <v>0.30208333333333331</v>
      </c>
      <c r="V21" s="24">
        <v>0.3125</v>
      </c>
      <c r="W21" s="33">
        <f>IF(PA[[#This Row],[Acknowledgemnet Time ]]="NA","",(PA[[#This Row],[Acknowledgemnet Time ]]-PA[[#This Row],[Fault Time]])*24)</f>
        <v>0</v>
      </c>
      <c r="X21" s="33">
        <f>IF(PA[[#This Row],[Work Start time on Fault]]="NA","",(PA[[#This Row],[Work Start time on Fault]]-PA[[#This Row],[Fault Time]])*24)</f>
        <v>1.3833333333333331</v>
      </c>
      <c r="Y21" s="35">
        <f>(PA[[#This Row],[Work Completiuon time on fualt]]-PA[[#This Row],[Fault Time]])*24</f>
        <v>1.6333333333333335</v>
      </c>
      <c r="Z21" s="35">
        <f>IFERROR((PA[[#This Row],[Work Completiuon time on fualt]]-PA[[#This Row],[Fault Time]])*24,"")</f>
        <v>1.6333333333333335</v>
      </c>
      <c r="AA21" s="2" t="s">
        <v>499</v>
      </c>
      <c r="AB21" s="2" t="s">
        <v>502</v>
      </c>
      <c r="AC21" s="47">
        <f>IFERROR(PA[[#This Row],[Breakdown Time]]*PA[[#This Row],[Plant Equivalent Weightage]],"")</f>
        <v>0.25729612493922799</v>
      </c>
      <c r="AD21" s="2">
        <v>245</v>
      </c>
      <c r="AE21" s="33">
        <f>IFERROR((_xlfn.XLOOKUP(PA[[#This Row],[Month Year]],'Modelling New'!D:D,'Modelling New'!$O:$O)*PA[[#This Row],[Lost PoA(Wh/m2)]]*PA[[#This Row],[DC Capacity Affceted (kW)]])/1000,"")</f>
        <v>330.64402785748138</v>
      </c>
      <c r="AF21" s="35"/>
    </row>
    <row r="22" spans="1:32">
      <c r="A22" s="2">
        <f t="shared" si="7"/>
        <v>19</v>
      </c>
      <c r="B22" s="156">
        <f t="shared" si="1"/>
        <v>2026</v>
      </c>
      <c r="C22" s="129">
        <f t="shared" si="2"/>
        <v>2025</v>
      </c>
      <c r="D22" s="17" t="s">
        <v>155</v>
      </c>
      <c r="E22" s="17" t="s">
        <v>155</v>
      </c>
      <c r="F22" s="25">
        <v>45809</v>
      </c>
      <c r="G22">
        <f>DAY(EOMONTH(PA[[#This Row],[Month Year]],0))</f>
        <v>30</v>
      </c>
      <c r="H22" s="26">
        <v>45810</v>
      </c>
      <c r="I22" s="29">
        <f>IFERROR(VLOOKUP(PA[[#This Row],[Date]],Raw_Data[[Date]:[Sunset Time (POA&lt;20 W/m2)]],3,0),"")</f>
        <v>0.24166666666666667</v>
      </c>
      <c r="J22" s="29">
        <f>IFERROR(VLOOKUP(PA[[#This Row],[Date]],Raw_Data[[Date]:[Sunset Time (POA&lt;20 W/m2)]],4,0),"")</f>
        <v>0.77083333333333337</v>
      </c>
      <c r="K22" s="27">
        <f>IFERROR((PA[[#This Row],[Sunset Time (POA&lt;20 W/m2)]]-PA[[#This Row],[Sunrise Time (POA&gt;20 W/m2)]])*24,"")</f>
        <v>12.7</v>
      </c>
      <c r="L22" s="3" t="s">
        <v>135</v>
      </c>
      <c r="M22" s="46">
        <f>IFERROR(VLOOKUP(PA[[#This Row],[Affceted Equipment]],'Basic Data'!$A$2:$B$114,2,0),"")</f>
        <v>1844.7249999999999</v>
      </c>
      <c r="N22" s="48">
        <f>IFERROR(VLOOKUP(PA[[#This Row],[Affceted Equipment]],'Basic Data'!$A$1:$C$118,3,0),"")</f>
        <v>0.157528239758711</v>
      </c>
      <c r="O22" s="3" t="s">
        <v>135</v>
      </c>
      <c r="P22" t="s">
        <v>248</v>
      </c>
      <c r="Q22" t="s">
        <v>497</v>
      </c>
      <c r="S22" s="24">
        <v>0.45624999999999999</v>
      </c>
      <c r="T22" s="24">
        <v>0.45624999999999999</v>
      </c>
      <c r="U22" s="24">
        <v>0.45833333333333331</v>
      </c>
      <c r="V22" s="24">
        <v>0.47013888888888888</v>
      </c>
      <c r="W22" s="33">
        <f>IF(PA[[#This Row],[Acknowledgemnet Time ]]="NA","",(PA[[#This Row],[Acknowledgemnet Time ]]-PA[[#This Row],[Fault Time]])*24)</f>
        <v>0</v>
      </c>
      <c r="X22" s="33">
        <f>IF(PA[[#This Row],[Work Start time on Fault]]="NA","",(PA[[#This Row],[Work Start time on Fault]]-PA[[#This Row],[Fault Time]])*24)</f>
        <v>4.9999999999999822E-2</v>
      </c>
      <c r="Y22" s="35">
        <f>(PA[[#This Row],[Work Completiuon time on fualt]]-PA[[#This Row],[Fault Time]])*24</f>
        <v>0.33333333333333348</v>
      </c>
      <c r="Z22" s="35">
        <f>IFERROR((PA[[#This Row],[Work Completiuon time on fualt]]-PA[[#This Row],[Fault Time]])*24,"")</f>
        <v>0.33333333333333348</v>
      </c>
      <c r="AA22" s="2" t="s">
        <v>496</v>
      </c>
      <c r="AB22" s="2" t="s">
        <v>502</v>
      </c>
      <c r="AC22" s="47">
        <f>IFERROR(PA[[#This Row],[Breakdown Time]]*PA[[#This Row],[Plant Equivalent Weightage]],"")</f>
        <v>5.2509413252903689E-2</v>
      </c>
      <c r="AD22" s="2">
        <v>288</v>
      </c>
      <c r="AE22" s="33">
        <f>IFERROR((_xlfn.XLOOKUP(PA[[#This Row],[Month Year]],'Modelling New'!D:D,'Modelling New'!$O:$O)*PA[[#This Row],[Lost PoA(Wh/m2)]]*PA[[#This Row],[DC Capacity Affceted (kW)]])/1000,"")</f>
        <v>382.62511167581982</v>
      </c>
      <c r="AF22" s="35"/>
    </row>
    <row r="23" spans="1:32">
      <c r="A23" s="2">
        <f t="shared" si="7"/>
        <v>20</v>
      </c>
      <c r="B23" s="156">
        <f t="shared" si="1"/>
        <v>2026</v>
      </c>
      <c r="C23" s="129">
        <f t="shared" si="2"/>
        <v>2025</v>
      </c>
      <c r="D23" s="17" t="s">
        <v>155</v>
      </c>
      <c r="E23" s="17" t="s">
        <v>155</v>
      </c>
      <c r="F23" s="25">
        <v>45809</v>
      </c>
      <c r="G23">
        <f>DAY(EOMONTH(PA[[#This Row],[Month Year]],0))</f>
        <v>30</v>
      </c>
      <c r="H23" s="26">
        <v>45826</v>
      </c>
      <c r="I23" s="29">
        <f>IFERROR(VLOOKUP(PA[[#This Row],[Date]],Raw_Data[[Date]:[Sunset Time (POA&lt;20 W/m2)]],3,0),"")</f>
        <v>0.24444444444444444</v>
      </c>
      <c r="J23" s="29">
        <f>IFERROR(VLOOKUP(PA[[#This Row],[Date]],Raw_Data[[Date]:[Sunset Time (POA&lt;20 W/m2)]],4,0),"")</f>
        <v>0.77430555555555558</v>
      </c>
      <c r="K23" s="27">
        <f>IFERROR((PA[[#This Row],[Sunset Time (POA&lt;20 W/m2)]]-PA[[#This Row],[Sunrise Time (POA&gt;20 W/m2)]])*24,"")</f>
        <v>12.716666666666667</v>
      </c>
      <c r="L23" s="3" t="s">
        <v>137</v>
      </c>
      <c r="M23" s="46">
        <f>IFERROR(VLOOKUP(PA[[#This Row],[Affceted Equipment]],'Basic Data'!$A$2:$B$114,2,0),"")</f>
        <v>2020</v>
      </c>
      <c r="N23" s="48">
        <f>IFERROR(VLOOKUP(PA[[#This Row],[Affceted Equipment]],'Basic Data'!$A$1:$C$118,3,0),"")</f>
        <v>0.17249565345110901</v>
      </c>
      <c r="O23" s="3" t="s">
        <v>137</v>
      </c>
      <c r="P23" t="s">
        <v>248</v>
      </c>
      <c r="Q23" t="s">
        <v>261</v>
      </c>
      <c r="S23" s="24">
        <v>0.54166666666666663</v>
      </c>
      <c r="T23" s="24">
        <v>0.54166666666666663</v>
      </c>
      <c r="U23" s="24">
        <v>0.54305555555555551</v>
      </c>
      <c r="V23" s="24">
        <v>0.54861111111111116</v>
      </c>
      <c r="W23" s="33">
        <f>IF(PA[[#This Row],[Acknowledgemnet Time ]]="NA","",(PA[[#This Row],[Acknowledgemnet Time ]]-PA[[#This Row],[Fault Time]])*24)</f>
        <v>0</v>
      </c>
      <c r="X23" s="33">
        <f>IF(PA[[#This Row],[Work Start time on Fault]]="NA","",(PA[[#This Row],[Work Start time on Fault]]-PA[[#This Row],[Fault Time]])*24)</f>
        <v>3.3333333333333215E-2</v>
      </c>
      <c r="Y23" s="35">
        <f>(PA[[#This Row],[Work Completiuon time on fualt]]-PA[[#This Row],[Fault Time]])*24</f>
        <v>0.16666666666666874</v>
      </c>
      <c r="Z23" s="35">
        <f>IFERROR((PA[[#This Row],[Work Completiuon time on fualt]]-PA[[#This Row],[Fault Time]])*24,"")</f>
        <v>0.16666666666666874</v>
      </c>
      <c r="AA23" s="2" t="s">
        <v>264</v>
      </c>
      <c r="AB23" s="2" t="s">
        <v>502</v>
      </c>
      <c r="AC23" s="47">
        <f>IFERROR(PA[[#This Row],[Breakdown Time]]*PA[[#This Row],[Plant Equivalent Weightage]],"")</f>
        <v>2.8749275575185192E-2</v>
      </c>
      <c r="AD23" s="2">
        <v>111</v>
      </c>
      <c r="AE23" s="33">
        <f>IFERROR((_xlfn.XLOOKUP(PA[[#This Row],[Month Year]],'Modelling New'!D:D,'Modelling New'!$O:$O)*PA[[#This Row],[Lost PoA(Wh/m2)]]*PA[[#This Row],[DC Capacity Affceted (kW)]])/1000,"")</f>
        <v>161.48184263378675</v>
      </c>
      <c r="AF23" s="35"/>
    </row>
    <row r="24" spans="1:32">
      <c r="A24" s="2">
        <f t="shared" si="7"/>
        <v>21</v>
      </c>
      <c r="B24" s="156">
        <f t="shared" si="1"/>
        <v>2026</v>
      </c>
      <c r="C24" s="129">
        <f t="shared" si="2"/>
        <v>2025</v>
      </c>
      <c r="D24" s="17" t="s">
        <v>155</v>
      </c>
      <c r="E24" s="17" t="s">
        <v>155</v>
      </c>
      <c r="F24" s="25">
        <v>45809</v>
      </c>
      <c r="G24">
        <f>DAY(EOMONTH(PA[[#This Row],[Month Year]],0))</f>
        <v>30</v>
      </c>
      <c r="H24" s="26">
        <v>45828</v>
      </c>
      <c r="I24" s="29">
        <f>IFERROR(VLOOKUP(PA[[#This Row],[Date]],Raw_Data[[Date]:[Sunset Time (POA&lt;20 W/m2)]],3,0),"")</f>
        <v>0.25138888888888888</v>
      </c>
      <c r="J24" s="29">
        <f>IFERROR(VLOOKUP(PA[[#This Row],[Date]],Raw_Data[[Date]:[Sunset Time (POA&lt;20 W/m2)]],4,0),"")</f>
        <v>0.77638888888888891</v>
      </c>
      <c r="K24" s="27">
        <f>IFERROR((PA[[#This Row],[Sunset Time (POA&lt;20 W/m2)]]-PA[[#This Row],[Sunrise Time (POA&gt;20 W/m2)]])*24,"")</f>
        <v>12.600000000000001</v>
      </c>
      <c r="L24" s="3" t="s">
        <v>137</v>
      </c>
      <c r="M24" s="46">
        <f>IFERROR(VLOOKUP(PA[[#This Row],[Affceted Equipment]],'Basic Data'!$A$2:$B$114,2,0),"")</f>
        <v>2020</v>
      </c>
      <c r="N24" s="48">
        <f>IFERROR(VLOOKUP(PA[[#This Row],[Affceted Equipment]],'Basic Data'!$A$1:$C$118,3,0),"")</f>
        <v>0.17249565345110901</v>
      </c>
      <c r="O24" s="3" t="s">
        <v>137</v>
      </c>
      <c r="P24" t="s">
        <v>248</v>
      </c>
      <c r="Q24" t="s">
        <v>516</v>
      </c>
      <c r="S24" s="24">
        <v>0.45833333333333331</v>
      </c>
      <c r="T24" s="24">
        <v>0.46527777777777779</v>
      </c>
      <c r="U24" s="24">
        <v>0.47569444444444442</v>
      </c>
      <c r="V24" s="24">
        <v>0.49027777777777776</v>
      </c>
      <c r="W24" s="33">
        <f>IF(PA[[#This Row],[Acknowledgemnet Time ]]="NA","",(PA[[#This Row],[Acknowledgemnet Time ]]-PA[[#This Row],[Fault Time]])*24)</f>
        <v>0.16666666666666741</v>
      </c>
      <c r="X24" s="33">
        <f>IF(PA[[#This Row],[Work Start time on Fault]]="NA","",(PA[[#This Row],[Work Start time on Fault]]-PA[[#This Row],[Fault Time]])*24)</f>
        <v>0.41666666666666652</v>
      </c>
      <c r="Y24" s="35">
        <f>(PA[[#This Row],[Work Completiuon time on fualt]]-PA[[#This Row],[Fault Time]])*24</f>
        <v>0.76666666666666661</v>
      </c>
      <c r="Z24" s="35">
        <f>IFERROR((PA[[#This Row],[Work Completiuon time on fualt]]-PA[[#This Row],[Fault Time]])*24,"")</f>
        <v>0.76666666666666661</v>
      </c>
      <c r="AA24" s="2" t="s">
        <v>496</v>
      </c>
      <c r="AB24" s="2" t="s">
        <v>502</v>
      </c>
      <c r="AC24" s="47">
        <f>IFERROR(PA[[#This Row],[Breakdown Time]]*PA[[#This Row],[Plant Equivalent Weightage]],"")</f>
        <v>0.13224666764585022</v>
      </c>
      <c r="AD24" s="2">
        <v>444</v>
      </c>
      <c r="AE24" s="33">
        <f>IFERROR((_xlfn.XLOOKUP(PA[[#This Row],[Month Year]],'Modelling New'!D:D,'Modelling New'!$O:$O)*PA[[#This Row],[Lost PoA(Wh/m2)]]*PA[[#This Row],[DC Capacity Affceted (kW)]])/1000,"")</f>
        <v>645.92737053514702</v>
      </c>
      <c r="AF24" s="35"/>
    </row>
    <row r="25" spans="1:32">
      <c r="A25" s="2">
        <f t="shared" si="7"/>
        <v>22</v>
      </c>
      <c r="B25" s="156">
        <f t="shared" si="1"/>
        <v>2026</v>
      </c>
      <c r="C25" s="129">
        <f t="shared" si="2"/>
        <v>2025</v>
      </c>
      <c r="D25" s="17" t="s">
        <v>155</v>
      </c>
      <c r="E25" s="17" t="s">
        <v>155</v>
      </c>
      <c r="F25" s="25">
        <v>45809</v>
      </c>
      <c r="G25">
        <f>DAY(EOMONTH(PA[[#This Row],[Month Year]],0))</f>
        <v>30</v>
      </c>
      <c r="H25" s="26">
        <v>45830</v>
      </c>
      <c r="I25" s="29">
        <f>IFERROR(VLOOKUP(PA[[#This Row],[Date]],Raw_Data[[Date]:[Sunset Time (POA&lt;20 W/m2)]],3,0),"")</f>
        <v>0.24652777777777779</v>
      </c>
      <c r="J25" s="29">
        <f>IFERROR(VLOOKUP(PA[[#This Row],[Date]],Raw_Data[[Date]:[Sunset Time (POA&lt;20 W/m2)]],4,0),"")</f>
        <v>0.77430555555555558</v>
      </c>
      <c r="K25" s="27">
        <f>IFERROR((PA[[#This Row],[Sunset Time (POA&lt;20 W/m2)]]-PA[[#This Row],[Sunrise Time (POA&gt;20 W/m2)]])*24,"")</f>
        <v>12.666666666666668</v>
      </c>
      <c r="L25" s="3" t="s">
        <v>132</v>
      </c>
      <c r="M25" s="46">
        <f>IFERROR(VLOOKUP(PA[[#This Row],[Affceted Equipment]],'Basic Data'!$A$2:$B$114,2,0),"")</f>
        <v>1987.7249999999999</v>
      </c>
      <c r="N25" s="48">
        <f>IFERROR(VLOOKUP(PA[[#This Row],[Affceted Equipment]],'Basic Data'!$A$1:$C$118,3,0),"")</f>
        <v>0.169739565720844</v>
      </c>
      <c r="O25" s="3" t="s">
        <v>132</v>
      </c>
      <c r="P25" t="s">
        <v>248</v>
      </c>
      <c r="Q25" t="s">
        <v>497</v>
      </c>
      <c r="S25" s="24">
        <v>0.44513888888888886</v>
      </c>
      <c r="T25" s="24">
        <v>0.44583333333333336</v>
      </c>
      <c r="U25" s="24">
        <v>0.44861111111111113</v>
      </c>
      <c r="V25" s="24">
        <v>0.45</v>
      </c>
      <c r="W25" s="33">
        <f>IF(PA[[#This Row],[Acknowledgemnet Time ]]="NA","",(PA[[#This Row],[Acknowledgemnet Time ]]-PA[[#This Row],[Fault Time]])*24)</f>
        <v>1.666666666666794E-2</v>
      </c>
      <c r="X25" s="33">
        <f>IF(PA[[#This Row],[Work Start time on Fault]]="NA","",(PA[[#This Row],[Work Start time on Fault]]-PA[[#This Row],[Fault Time]])*24)</f>
        <v>8.333333333333437E-2</v>
      </c>
      <c r="Y25" s="35">
        <f>(PA[[#This Row],[Work Completiuon time on fualt]]-PA[[#This Row],[Fault Time]])*24</f>
        <v>0.11666666666666758</v>
      </c>
      <c r="Z25" s="35">
        <f>IFERROR((PA[[#This Row],[Work Completiuon time on fualt]]-PA[[#This Row],[Fault Time]])*24,"")</f>
        <v>0.11666666666666758</v>
      </c>
      <c r="AA25" s="2" t="s">
        <v>496</v>
      </c>
      <c r="AB25" s="2" t="s">
        <v>502</v>
      </c>
      <c r="AC25" s="47">
        <f>IFERROR(PA[[#This Row],[Breakdown Time]]*PA[[#This Row],[Plant Equivalent Weightage]],"")</f>
        <v>1.9802949334098624E-2</v>
      </c>
      <c r="AD25" s="2">
        <v>108</v>
      </c>
      <c r="AE25" s="33">
        <f>IFERROR((_xlfn.XLOOKUP(PA[[#This Row],[Month Year]],'Modelling New'!D:D,'Modelling New'!$O:$O)*PA[[#This Row],[Lost PoA(Wh/m2)]]*PA[[#This Row],[DC Capacity Affceted (kW)]])/1000,"")</f>
        <v>154.60708915403768</v>
      </c>
      <c r="AF25" s="35"/>
    </row>
    <row r="26" spans="1:32">
      <c r="A26" s="2">
        <f t="shared" si="7"/>
        <v>23</v>
      </c>
      <c r="B26" s="156">
        <f t="shared" si="1"/>
        <v>2026</v>
      </c>
      <c r="C26" s="129">
        <f t="shared" si="2"/>
        <v>2025</v>
      </c>
      <c r="D26" s="17" t="s">
        <v>155</v>
      </c>
      <c r="E26" s="17" t="s">
        <v>155</v>
      </c>
      <c r="F26" s="25">
        <v>45839</v>
      </c>
      <c r="G26">
        <f>DAY(EOMONTH(PA[[#This Row],[Month Year]],0))</f>
        <v>31</v>
      </c>
      <c r="H26" s="26">
        <v>45853</v>
      </c>
      <c r="I26" s="29">
        <f>IFERROR(VLOOKUP(PA[[#This Row],[Date]],Raw_Data[[Date]:[Sunset Time (POA&lt;20 W/m2)]],3,0),"")</f>
        <v>0.25763888888888886</v>
      </c>
      <c r="J26" s="29">
        <f>IFERROR(VLOOKUP(PA[[#This Row],[Date]],Raw_Data[[Date]:[Sunset Time (POA&lt;20 W/m2)]],4,0),"")</f>
        <v>0.78680555555555554</v>
      </c>
      <c r="K26" s="27">
        <f>IFERROR((PA[[#This Row],[Sunset Time (POA&lt;20 W/m2)]]-PA[[#This Row],[Sunrise Time (POA&gt;20 W/m2)]])*24,"")</f>
        <v>12.7</v>
      </c>
      <c r="L26" s="3" t="s">
        <v>134</v>
      </c>
      <c r="M26" s="46">
        <f>IFERROR(VLOOKUP(PA[[#This Row],[Affceted Equipment]],'Basic Data'!$A$2:$B$114,2,0),"")</f>
        <v>1806.68</v>
      </c>
      <c r="N26" s="48">
        <f>IFERROR(VLOOKUP(PA[[#This Row],[Affceted Equipment]],'Basic Data'!$A$1:$C$118,3,0),"")</f>
        <v>0.15427942929556901</v>
      </c>
      <c r="O26" s="3" t="s">
        <v>134</v>
      </c>
      <c r="P26" t="s">
        <v>248</v>
      </c>
      <c r="Q26" t="s">
        <v>497</v>
      </c>
      <c r="S26" s="24">
        <v>0.49791666666666667</v>
      </c>
      <c r="T26" s="24">
        <v>0.49861111111111112</v>
      </c>
      <c r="U26" s="24">
        <v>0.5</v>
      </c>
      <c r="V26" s="24">
        <v>0.50277777777777777</v>
      </c>
      <c r="W26" s="33">
        <f>IF(PA[[#This Row],[Acknowledgemnet Time ]]="NA","",(PA[[#This Row],[Acknowledgemnet Time ]]-PA[[#This Row],[Fault Time]])*24)</f>
        <v>1.6666666666666607E-2</v>
      </c>
      <c r="X26" s="33">
        <f>IF(PA[[#This Row],[Work Start time on Fault]]="NA","",(PA[[#This Row],[Work Start time on Fault]]-PA[[#This Row],[Fault Time]])*24)</f>
        <v>4.9999999999999822E-2</v>
      </c>
      <c r="Y26" s="35">
        <f>(PA[[#This Row],[Work Completiuon time on fualt]]-PA[[#This Row],[Fault Time]])*24</f>
        <v>0.11666666666666625</v>
      </c>
      <c r="Z26" s="35">
        <f>IFERROR((PA[[#This Row],[Work Completiuon time on fualt]]-PA[[#This Row],[Fault Time]])*24,"")</f>
        <v>0.11666666666666625</v>
      </c>
      <c r="AA26" s="2" t="s">
        <v>496</v>
      </c>
      <c r="AB26" s="2" t="s">
        <v>502</v>
      </c>
      <c r="AC26" s="47">
        <f>IFERROR(PA[[#This Row],[Breakdown Time]]*PA[[#This Row],[Plant Equivalent Weightage]],"")</f>
        <v>1.7999266751149653E-2</v>
      </c>
      <c r="AD26" s="2">
        <v>91</v>
      </c>
      <c r="AE26" s="33">
        <f>IFERROR((_xlfn.XLOOKUP(PA[[#This Row],[Month Year]],'Modelling New'!D:D,'Modelling New'!$O:$O)*PA[[#This Row],[Lost PoA(Wh/m2)]]*PA[[#This Row],[DC Capacity Affceted (kW)]])/1000,"")</f>
        <v>123.4026574517225</v>
      </c>
      <c r="AF26" s="35"/>
    </row>
    <row r="27" spans="1:32">
      <c r="A27" s="2">
        <f t="shared" si="7"/>
        <v>24</v>
      </c>
      <c r="B27" s="156">
        <f t="shared" si="1"/>
        <v>1900</v>
      </c>
      <c r="C27" s="129">
        <f t="shared" si="2"/>
        <v>1900</v>
      </c>
      <c r="I27" s="29" t="str">
        <f>IFERROR(VLOOKUP(PA[[#This Row],[Date]],Raw_Data[[Date]:[Sunset Time (POA&lt;20 W/m2)]],3,0),"")</f>
        <v/>
      </c>
      <c r="J27" s="29" t="str">
        <f>IFERROR(VLOOKUP(PA[[#This Row],[Date]],Raw_Data[[Date]:[Sunset Time (POA&lt;20 W/m2)]],4,0),"")</f>
        <v/>
      </c>
      <c r="K27" s="27" t="str">
        <f>IFERROR((PA[[#This Row],[Sunset Time (POA&lt;20 W/m2)]]-PA[[#This Row],[Sunrise Time (POA&gt;20 W/m2)]])*24,"")</f>
        <v/>
      </c>
      <c r="M27" s="46" t="str">
        <f>IFERROR(VLOOKUP(PA[[#This Row],[Affceted Equipment]],'Basic Data'!$A$2:$B$114,2,0),"")</f>
        <v/>
      </c>
      <c r="N27" s="48" t="str">
        <f>IFERROR(VLOOKUP(PA[[#This Row],[Affceted Equipment]],'Basic Data'!$A$1:$C$118,3,0),"")</f>
        <v/>
      </c>
      <c r="W27" s="33">
        <f>IF(PA[[#This Row],[Acknowledgemnet Time ]]="NA","",(PA[[#This Row],[Acknowledgemnet Time ]]-PA[[#This Row],[Fault Time]])*24)</f>
        <v>0</v>
      </c>
      <c r="X27" s="33">
        <f>IF(PA[[#This Row],[Work Start time on Fault]]="NA","",(PA[[#This Row],[Work Start time on Fault]]-PA[[#This Row],[Fault Time]])*24)</f>
        <v>0</v>
      </c>
      <c r="Y27" s="35">
        <f>(PA[[#This Row],[Work Completiuon time on fualt]]-PA[[#This Row],[Fault Time]])*24</f>
        <v>0</v>
      </c>
      <c r="Z27" s="35">
        <f>IFERROR((PA[[#This Row],[Work Completiuon time on fualt]]-PA[[#This Row],[Fault Time]])*24,"")</f>
        <v>0</v>
      </c>
      <c r="AC27" s="47" t="str">
        <f>IFERROR(PA[[#This Row],[Breakdown Time]]*PA[[#This Row],[Plant Equivalent Weightage]],"")</f>
        <v/>
      </c>
      <c r="AE27" s="33" t="str">
        <f>IFERROR((_xlfn.XLOOKUP(PA[[#This Row],[Month Year]],'Modelling New'!D:D,'Modelling New'!$O:$O)*PA[[#This Row],[Lost PoA(Wh/m2)]]*PA[[#This Row],[DC Capacity Affceted (kW)]])/1000,"")</f>
        <v/>
      </c>
      <c r="AF27" s="35"/>
    </row>
    <row r="28" spans="1:32">
      <c r="A28" s="2">
        <f t="shared" si="7"/>
        <v>25</v>
      </c>
      <c r="B28" s="156">
        <f t="shared" si="1"/>
        <v>1900</v>
      </c>
      <c r="C28" s="129">
        <f t="shared" si="2"/>
        <v>1900</v>
      </c>
      <c r="I28" s="29" t="str">
        <f>IFERROR(VLOOKUP(PA[[#This Row],[Date]],Raw_Data[[Date]:[Sunset Time (POA&lt;20 W/m2)]],3,0),"")</f>
        <v/>
      </c>
      <c r="J28" s="29" t="str">
        <f>IFERROR(VLOOKUP(PA[[#This Row],[Date]],Raw_Data[[Date]:[Sunset Time (POA&lt;20 W/m2)]],4,0),"")</f>
        <v/>
      </c>
      <c r="K28" s="27" t="str">
        <f>IFERROR((PA[[#This Row],[Sunset Time (POA&lt;20 W/m2)]]-PA[[#This Row],[Sunrise Time (POA&gt;20 W/m2)]])*24,"")</f>
        <v/>
      </c>
      <c r="M28" s="46" t="str">
        <f>IFERROR(VLOOKUP(PA[[#This Row],[Affceted Equipment]],'Basic Data'!$A$2:$B$114,2,0),"")</f>
        <v/>
      </c>
      <c r="N28" s="48" t="str">
        <f>IFERROR(VLOOKUP(PA[[#This Row],[Affceted Equipment]],'Basic Data'!$A$1:$C$118,3,0),"")</f>
        <v/>
      </c>
      <c r="W28" s="33">
        <f>IF(PA[[#This Row],[Acknowledgemnet Time ]]="NA","",(PA[[#This Row],[Acknowledgemnet Time ]]-PA[[#This Row],[Fault Time]])*24)</f>
        <v>0</v>
      </c>
      <c r="X28" s="33">
        <f>IF(PA[[#This Row],[Work Start time on Fault]]="NA","",(PA[[#This Row],[Work Start time on Fault]]-PA[[#This Row],[Fault Time]])*24)</f>
        <v>0</v>
      </c>
      <c r="Y28" s="35">
        <f>(PA[[#This Row],[Work Completiuon time on fualt]]-PA[[#This Row],[Fault Time]])*24</f>
        <v>0</v>
      </c>
      <c r="Z28" s="35">
        <f>IFERROR((PA[[#This Row],[Work Completiuon time on fualt]]-PA[[#This Row],[Fault Time]])*24,"")</f>
        <v>0</v>
      </c>
      <c r="AC28" s="47" t="str">
        <f>IFERROR(PA[[#This Row],[Breakdown Time]]*PA[[#This Row],[Plant Equivalent Weightage]],"")</f>
        <v/>
      </c>
      <c r="AE28" s="33" t="str">
        <f>IFERROR((_xlfn.XLOOKUP(PA[[#This Row],[Month Year]],'Modelling New'!D:D,'Modelling New'!$O:$O)*PA[[#This Row],[Lost PoA(Wh/m2)]]*PA[[#This Row],[DC Capacity Affceted (kW)]])/1000,"")</f>
        <v/>
      </c>
      <c r="AF28" s="35"/>
    </row>
    <row r="29" spans="1:32">
      <c r="A29" s="2">
        <f t="shared" si="7"/>
        <v>26</v>
      </c>
      <c r="B29" s="156">
        <f t="shared" si="1"/>
        <v>1900</v>
      </c>
      <c r="C29" s="129">
        <f t="shared" si="2"/>
        <v>1900</v>
      </c>
      <c r="I29" s="29" t="str">
        <f>IFERROR(VLOOKUP(PA[[#This Row],[Date]],Raw_Data[[Date]:[Sunset Time (POA&lt;20 W/m2)]],3,0),"")</f>
        <v/>
      </c>
      <c r="J29" s="29" t="str">
        <f>IFERROR(VLOOKUP(PA[[#This Row],[Date]],Raw_Data[[Date]:[Sunset Time (POA&lt;20 W/m2)]],4,0),"")</f>
        <v/>
      </c>
      <c r="K29" s="27" t="str">
        <f>IFERROR((PA[[#This Row],[Sunset Time (POA&lt;20 W/m2)]]-PA[[#This Row],[Sunrise Time (POA&gt;20 W/m2)]])*24,"")</f>
        <v/>
      </c>
      <c r="M29" s="46" t="str">
        <f>IFERROR(VLOOKUP(PA[[#This Row],[Affceted Equipment]],'Basic Data'!$A$2:$B$114,2,0),"")</f>
        <v/>
      </c>
      <c r="N29" s="48" t="str">
        <f>IFERROR(VLOOKUP(PA[[#This Row],[Affceted Equipment]],'Basic Data'!$A$1:$C$118,3,0),"")</f>
        <v/>
      </c>
      <c r="W29" s="33">
        <f>IF(PA[[#This Row],[Acknowledgemnet Time ]]="NA","",(PA[[#This Row],[Acknowledgemnet Time ]]-PA[[#This Row],[Fault Time]])*24)</f>
        <v>0</v>
      </c>
      <c r="X29" s="33">
        <f>IF(PA[[#This Row],[Work Start time on Fault]]="NA","",(PA[[#This Row],[Work Start time on Fault]]-PA[[#This Row],[Fault Time]])*24)</f>
        <v>0</v>
      </c>
      <c r="Y29" s="35">
        <f>(PA[[#This Row],[Work Completiuon time on fualt]]-PA[[#This Row],[Fault Time]])*24</f>
        <v>0</v>
      </c>
      <c r="Z29" s="35">
        <f>IFERROR((PA[[#This Row],[Work Completiuon time on fualt]]-PA[[#This Row],[Fault Time]])*24,"")</f>
        <v>0</v>
      </c>
      <c r="AC29" s="47" t="str">
        <f>IFERROR(PA[[#This Row],[Breakdown Time]]*PA[[#This Row],[Plant Equivalent Weightage]],"")</f>
        <v/>
      </c>
      <c r="AE29" s="33" t="str">
        <f>IFERROR((_xlfn.XLOOKUP(PA[[#This Row],[Month Year]],'Modelling New'!D:D,'Modelling New'!$O:$O)*PA[[#This Row],[Lost PoA(Wh/m2)]]*PA[[#This Row],[DC Capacity Affceted (kW)]])/1000,"")</f>
        <v/>
      </c>
      <c r="AF29" s="35"/>
    </row>
    <row r="30" spans="1:32">
      <c r="A30" s="2">
        <f t="shared" si="7"/>
        <v>27</v>
      </c>
      <c r="B30" s="156">
        <f t="shared" si="1"/>
        <v>1900</v>
      </c>
      <c r="C30" s="129">
        <f t="shared" si="2"/>
        <v>1900</v>
      </c>
      <c r="I30" s="29" t="str">
        <f>IFERROR(VLOOKUP(PA[[#This Row],[Date]],Raw_Data[[Date]:[Sunset Time (POA&lt;20 W/m2)]],3,0),"")</f>
        <v/>
      </c>
      <c r="J30" s="29" t="str">
        <f>IFERROR(VLOOKUP(PA[[#This Row],[Date]],Raw_Data[[Date]:[Sunset Time (POA&lt;20 W/m2)]],4,0),"")</f>
        <v/>
      </c>
      <c r="K30" s="27" t="str">
        <f>IFERROR((PA[[#This Row],[Sunset Time (POA&lt;20 W/m2)]]-PA[[#This Row],[Sunrise Time (POA&gt;20 W/m2)]])*24,"")</f>
        <v/>
      </c>
      <c r="M30" s="46" t="str">
        <f>IFERROR(VLOOKUP(PA[[#This Row],[Affceted Equipment]],'Basic Data'!$A$2:$B$114,2,0),"")</f>
        <v/>
      </c>
      <c r="N30" s="48" t="str">
        <f>IFERROR(VLOOKUP(PA[[#This Row],[Affceted Equipment]],'Basic Data'!$A$1:$C$118,3,0),"")</f>
        <v/>
      </c>
      <c r="W30" s="33">
        <f>IF(PA[[#This Row],[Acknowledgemnet Time ]]="NA","",(PA[[#This Row],[Acknowledgemnet Time ]]-PA[[#This Row],[Fault Time]])*24)</f>
        <v>0</v>
      </c>
      <c r="X30" s="33">
        <f>IF(PA[[#This Row],[Work Start time on Fault]]="NA","",(PA[[#This Row],[Work Start time on Fault]]-PA[[#This Row],[Fault Time]])*24)</f>
        <v>0</v>
      </c>
      <c r="Y30" s="35">
        <f>(PA[[#This Row],[Work Completiuon time on fualt]]-PA[[#This Row],[Fault Time]])*24</f>
        <v>0</v>
      </c>
      <c r="Z30" s="35">
        <f>IFERROR((PA[[#This Row],[Work Completiuon time on fualt]]-PA[[#This Row],[Fault Time]])*24,"")</f>
        <v>0</v>
      </c>
      <c r="AC30" s="47" t="str">
        <f>IFERROR(PA[[#This Row],[Breakdown Time]]*PA[[#This Row],[Plant Equivalent Weightage]],"")</f>
        <v/>
      </c>
      <c r="AE30" s="33" t="str">
        <f>IFERROR((_xlfn.XLOOKUP(PA[[#This Row],[Month Year]],'Modelling New'!D:D,'Modelling New'!$O:$O)*PA[[#This Row],[Lost PoA(Wh/m2)]]*PA[[#This Row],[DC Capacity Affceted (kW)]])/1000,"")</f>
        <v/>
      </c>
      <c r="AF30" s="35"/>
    </row>
    <row r="31" spans="1:32">
      <c r="A31" s="2">
        <f t="shared" si="7"/>
        <v>28</v>
      </c>
      <c r="B31" s="156">
        <f t="shared" si="1"/>
        <v>1900</v>
      </c>
      <c r="C31" s="129">
        <f t="shared" si="2"/>
        <v>1900</v>
      </c>
      <c r="I31" s="29" t="str">
        <f>IFERROR(VLOOKUP(PA[[#This Row],[Date]],Raw_Data[[Date]:[Sunset Time (POA&lt;20 W/m2)]],3,0),"")</f>
        <v/>
      </c>
      <c r="J31" s="29" t="str">
        <f>IFERROR(VLOOKUP(PA[[#This Row],[Date]],Raw_Data[[Date]:[Sunset Time (POA&lt;20 W/m2)]],4,0),"")</f>
        <v/>
      </c>
      <c r="K31" s="27" t="str">
        <f>IFERROR((PA[[#This Row],[Sunset Time (POA&lt;20 W/m2)]]-PA[[#This Row],[Sunrise Time (POA&gt;20 W/m2)]])*24,"")</f>
        <v/>
      </c>
      <c r="M31" s="46" t="str">
        <f>IFERROR(VLOOKUP(PA[[#This Row],[Affceted Equipment]],'Basic Data'!$A$2:$B$114,2,0),"")</f>
        <v/>
      </c>
      <c r="N31" s="48" t="str">
        <f>IFERROR(VLOOKUP(PA[[#This Row],[Affceted Equipment]],'Basic Data'!$A$1:$C$118,3,0),"")</f>
        <v/>
      </c>
      <c r="W31" s="33">
        <f>IF(PA[[#This Row],[Acknowledgemnet Time ]]="NA","",(PA[[#This Row],[Acknowledgemnet Time ]]-PA[[#This Row],[Fault Time]])*24)</f>
        <v>0</v>
      </c>
      <c r="X31" s="33">
        <f>IF(PA[[#This Row],[Work Start time on Fault]]="NA","",(PA[[#This Row],[Work Start time on Fault]]-PA[[#This Row],[Fault Time]])*24)</f>
        <v>0</v>
      </c>
      <c r="Y31" s="35">
        <f>(PA[[#This Row],[Work Completiuon time on fualt]]-PA[[#This Row],[Fault Time]])*24</f>
        <v>0</v>
      </c>
      <c r="Z31" s="35">
        <f>IFERROR((PA[[#This Row],[Work Completiuon time on fualt]]-PA[[#This Row],[Fault Time]])*24,"")</f>
        <v>0</v>
      </c>
      <c r="AC31" s="47" t="str">
        <f>IFERROR(PA[[#This Row],[Breakdown Time]]*PA[[#This Row],[Plant Equivalent Weightage]],"")</f>
        <v/>
      </c>
      <c r="AE31" s="33" t="str">
        <f>IFERROR((_xlfn.XLOOKUP(PA[[#This Row],[Month Year]],'Modelling New'!D:D,'Modelling New'!$O:$O)*PA[[#This Row],[Lost PoA(Wh/m2)]]*PA[[#This Row],[DC Capacity Affceted (kW)]])/1000,"")</f>
        <v/>
      </c>
      <c r="AF31" s="35"/>
    </row>
    <row r="32" spans="1:32">
      <c r="A32" s="2">
        <f t="shared" si="7"/>
        <v>29</v>
      </c>
      <c r="B32" s="156">
        <f t="shared" si="1"/>
        <v>1900</v>
      </c>
      <c r="C32" s="129">
        <f t="shared" si="2"/>
        <v>1900</v>
      </c>
      <c r="I32" s="29" t="str">
        <f>IFERROR(VLOOKUP(PA[[#This Row],[Date]],Raw_Data[[Date]:[Sunset Time (POA&lt;20 W/m2)]],3,0),"")</f>
        <v/>
      </c>
      <c r="J32" s="29" t="str">
        <f>IFERROR(VLOOKUP(PA[[#This Row],[Date]],Raw_Data[[Date]:[Sunset Time (POA&lt;20 W/m2)]],4,0),"")</f>
        <v/>
      </c>
      <c r="K32" s="27" t="str">
        <f>IFERROR((PA[[#This Row],[Sunset Time (POA&lt;20 W/m2)]]-PA[[#This Row],[Sunrise Time (POA&gt;20 W/m2)]])*24,"")</f>
        <v/>
      </c>
      <c r="M32" s="46" t="str">
        <f>IFERROR(VLOOKUP(PA[[#This Row],[Affceted Equipment]],'Basic Data'!$A$2:$B$114,2,0),"")</f>
        <v/>
      </c>
      <c r="N32" s="48" t="str">
        <f>IFERROR(VLOOKUP(PA[[#This Row],[Affceted Equipment]],'Basic Data'!$A$1:$C$118,3,0),"")</f>
        <v/>
      </c>
      <c r="W32" s="33">
        <f>IF(PA[[#This Row],[Acknowledgemnet Time ]]="NA","",(PA[[#This Row],[Acknowledgemnet Time ]]-PA[[#This Row],[Fault Time]])*24)</f>
        <v>0</v>
      </c>
      <c r="X32" s="33">
        <f>IF(PA[[#This Row],[Work Start time on Fault]]="NA","",(PA[[#This Row],[Work Start time on Fault]]-PA[[#This Row],[Fault Time]])*24)</f>
        <v>0</v>
      </c>
      <c r="Y32" s="35">
        <f>(PA[[#This Row],[Work Completiuon time on fualt]]-PA[[#This Row],[Fault Time]])*24</f>
        <v>0</v>
      </c>
      <c r="Z32" s="35">
        <f>IFERROR((PA[[#This Row],[Work Completiuon time on fualt]]-PA[[#This Row],[Fault Time]])*24,"")</f>
        <v>0</v>
      </c>
      <c r="AC32" s="47" t="str">
        <f>IFERROR(PA[[#This Row],[Breakdown Time]]*PA[[#This Row],[Plant Equivalent Weightage]],"")</f>
        <v/>
      </c>
      <c r="AE32" s="33" t="str">
        <f>IFERROR((_xlfn.XLOOKUP(PA[[#This Row],[Month Year]],'Modelling New'!D:D,'Modelling New'!$O:$O)*PA[[#This Row],[Lost PoA(Wh/m2)]]*PA[[#This Row],[DC Capacity Affceted (kW)]])/1000,"")</f>
        <v/>
      </c>
      <c r="AF32" s="35"/>
    </row>
    <row r="33" spans="1:32">
      <c r="A33" s="2">
        <f t="shared" si="7"/>
        <v>30</v>
      </c>
      <c r="B33" s="156">
        <f t="shared" si="1"/>
        <v>1900</v>
      </c>
      <c r="C33" s="129">
        <f t="shared" si="2"/>
        <v>1900</v>
      </c>
      <c r="I33" s="29" t="str">
        <f>IFERROR(VLOOKUP(PA[[#This Row],[Date]],Raw_Data[[Date]:[Sunset Time (POA&lt;20 W/m2)]],3,0),"")</f>
        <v/>
      </c>
      <c r="J33" s="29" t="str">
        <f>IFERROR(VLOOKUP(PA[[#This Row],[Date]],Raw_Data[[Date]:[Sunset Time (POA&lt;20 W/m2)]],4,0),"")</f>
        <v/>
      </c>
      <c r="K33" s="27" t="str">
        <f>IFERROR((PA[[#This Row],[Sunset Time (POA&lt;20 W/m2)]]-PA[[#This Row],[Sunrise Time (POA&gt;20 W/m2)]])*24,"")</f>
        <v/>
      </c>
      <c r="M33" s="46" t="str">
        <f>IFERROR(VLOOKUP(PA[[#This Row],[Affceted Equipment]],'Basic Data'!$A$2:$B$114,2,0),"")</f>
        <v/>
      </c>
      <c r="N33" s="48" t="str">
        <f>IFERROR(VLOOKUP(PA[[#This Row],[Affceted Equipment]],'Basic Data'!$A$1:$C$118,3,0),"")</f>
        <v/>
      </c>
      <c r="W33" s="33">
        <f>IF(PA[[#This Row],[Acknowledgemnet Time ]]="NA","",(PA[[#This Row],[Acknowledgemnet Time ]]-PA[[#This Row],[Fault Time]])*24)</f>
        <v>0</v>
      </c>
      <c r="X33" s="33">
        <f>IF(PA[[#This Row],[Work Start time on Fault]]="NA","",(PA[[#This Row],[Work Start time on Fault]]-PA[[#This Row],[Fault Time]])*24)</f>
        <v>0</v>
      </c>
      <c r="Y33" s="35">
        <f>(PA[[#This Row],[Work Completiuon time on fualt]]-PA[[#This Row],[Fault Time]])*24</f>
        <v>0</v>
      </c>
      <c r="Z33" s="35">
        <f>IFERROR((PA[[#This Row],[Work Completiuon time on fualt]]-PA[[#This Row],[Fault Time]])*24,"")</f>
        <v>0</v>
      </c>
      <c r="AC33" s="47" t="str">
        <f>IFERROR(PA[[#This Row],[Breakdown Time]]*PA[[#This Row],[Plant Equivalent Weightage]],"")</f>
        <v/>
      </c>
      <c r="AE33" s="33" t="str">
        <f>IFERROR((_xlfn.XLOOKUP(PA[[#This Row],[Month Year]],'Modelling New'!D:D,'Modelling New'!$O:$O)*PA[[#This Row],[Lost PoA(Wh/m2)]]*PA[[#This Row],[DC Capacity Affceted (kW)]])/1000,"")</f>
        <v/>
      </c>
      <c r="AF33" s="35"/>
    </row>
    <row r="34" spans="1:32">
      <c r="A34" s="2">
        <f t="shared" si="7"/>
        <v>31</v>
      </c>
      <c r="B34" s="156">
        <f t="shared" si="1"/>
        <v>1900</v>
      </c>
      <c r="C34" s="129">
        <f t="shared" si="2"/>
        <v>1900</v>
      </c>
      <c r="I34" s="29" t="str">
        <f>IFERROR(VLOOKUP(PA[[#This Row],[Date]],Raw_Data[[Date]:[Sunset Time (POA&lt;20 W/m2)]],3,0),"")</f>
        <v/>
      </c>
      <c r="J34" s="29" t="str">
        <f>IFERROR(VLOOKUP(PA[[#This Row],[Date]],Raw_Data[[Date]:[Sunset Time (POA&lt;20 W/m2)]],4,0),"")</f>
        <v/>
      </c>
      <c r="K34" s="27" t="str">
        <f>IFERROR((PA[[#This Row],[Sunset Time (POA&lt;20 W/m2)]]-PA[[#This Row],[Sunrise Time (POA&gt;20 W/m2)]])*24,"")</f>
        <v/>
      </c>
      <c r="M34" s="46" t="str">
        <f>IFERROR(VLOOKUP(PA[[#This Row],[Affceted Equipment]],'Basic Data'!$A$2:$B$114,2,0),"")</f>
        <v/>
      </c>
      <c r="N34" s="48" t="str">
        <f>IFERROR(VLOOKUP(PA[[#This Row],[Affceted Equipment]],'Basic Data'!$A$1:$C$118,3,0),"")</f>
        <v/>
      </c>
      <c r="W34" s="33">
        <f>IF(PA[[#This Row],[Acknowledgemnet Time ]]="NA","",(PA[[#This Row],[Acknowledgemnet Time ]]-PA[[#This Row],[Fault Time]])*24)</f>
        <v>0</v>
      </c>
      <c r="X34" s="33">
        <f>IF(PA[[#This Row],[Work Start time on Fault]]="NA","",(PA[[#This Row],[Work Start time on Fault]]-PA[[#This Row],[Fault Time]])*24)</f>
        <v>0</v>
      </c>
      <c r="Y34" s="35">
        <f>(PA[[#This Row],[Work Completiuon time on fualt]]-PA[[#This Row],[Fault Time]])*24</f>
        <v>0</v>
      </c>
      <c r="Z34" s="35">
        <f>IFERROR((PA[[#This Row],[Work Completiuon time on fualt]]-PA[[#This Row],[Fault Time]])*24,"")</f>
        <v>0</v>
      </c>
      <c r="AC34" s="47" t="str">
        <f>IFERROR(PA[[#This Row],[Breakdown Time]]*PA[[#This Row],[Plant Equivalent Weightage]],"")</f>
        <v/>
      </c>
      <c r="AE34" s="33" t="str">
        <f>IFERROR((_xlfn.XLOOKUP(PA[[#This Row],[Month Year]],'Modelling New'!D:D,'Modelling New'!$O:$O)*PA[[#This Row],[Lost PoA(Wh/m2)]]*PA[[#This Row],[DC Capacity Affceted (kW)]])/1000,"")</f>
        <v/>
      </c>
      <c r="AF34" s="35"/>
    </row>
    <row r="35" spans="1:32">
      <c r="A35" s="2">
        <f t="shared" si="7"/>
        <v>32</v>
      </c>
      <c r="B35" s="156">
        <f t="shared" si="1"/>
        <v>1900</v>
      </c>
      <c r="C35" s="129">
        <f t="shared" si="2"/>
        <v>1900</v>
      </c>
      <c r="I35" s="29" t="str">
        <f>IFERROR(VLOOKUP(PA[[#This Row],[Date]],Raw_Data[[Date]:[Sunset Time (POA&lt;20 W/m2)]],3,0),"")</f>
        <v/>
      </c>
      <c r="J35" s="29" t="str">
        <f>IFERROR(VLOOKUP(PA[[#This Row],[Date]],Raw_Data[[Date]:[Sunset Time (POA&lt;20 W/m2)]],4,0),"")</f>
        <v/>
      </c>
      <c r="K35" s="27" t="str">
        <f>IFERROR((PA[[#This Row],[Sunset Time (POA&lt;20 W/m2)]]-PA[[#This Row],[Sunrise Time (POA&gt;20 W/m2)]])*24,"")</f>
        <v/>
      </c>
      <c r="M35" s="46" t="str">
        <f>IFERROR(VLOOKUP(PA[[#This Row],[Affceted Equipment]],'Basic Data'!$A$2:$B$114,2,0),"")</f>
        <v/>
      </c>
      <c r="N35" s="48" t="str">
        <f>IFERROR(VLOOKUP(PA[[#This Row],[Affceted Equipment]],'Basic Data'!$A$1:$C$118,3,0),"")</f>
        <v/>
      </c>
      <c r="W35" s="33">
        <f>IF(PA[[#This Row],[Acknowledgemnet Time ]]="NA","",(PA[[#This Row],[Acknowledgemnet Time ]]-PA[[#This Row],[Fault Time]])*24)</f>
        <v>0</v>
      </c>
      <c r="X35" s="33">
        <f>IF(PA[[#This Row],[Work Start time on Fault]]="NA","",(PA[[#This Row],[Work Start time on Fault]]-PA[[#This Row],[Fault Time]])*24)</f>
        <v>0</v>
      </c>
      <c r="Y35" s="35">
        <f>(PA[[#This Row],[Work Completiuon time on fualt]]-PA[[#This Row],[Fault Time]])*24</f>
        <v>0</v>
      </c>
      <c r="Z35" s="35">
        <f>IFERROR((PA[[#This Row],[Work Completiuon time on fualt]]-PA[[#This Row],[Fault Time]])*24,"")</f>
        <v>0</v>
      </c>
      <c r="AC35" s="47" t="str">
        <f>IFERROR(PA[[#This Row],[Breakdown Time]]*PA[[#This Row],[Plant Equivalent Weightage]],"")</f>
        <v/>
      </c>
      <c r="AE35" s="33" t="str">
        <f>IFERROR((_xlfn.XLOOKUP(PA[[#This Row],[Month Year]],'Modelling New'!D:D,'Modelling New'!$O:$O)*PA[[#This Row],[Lost PoA(Wh/m2)]]*PA[[#This Row],[DC Capacity Affceted (kW)]])/1000,"")</f>
        <v/>
      </c>
      <c r="AF35" s="35"/>
    </row>
    <row r="36" spans="1:32">
      <c r="A36" s="2">
        <f t="shared" si="7"/>
        <v>33</v>
      </c>
      <c r="B36" s="156">
        <f t="shared" si="1"/>
        <v>1900</v>
      </c>
      <c r="C36" s="129">
        <f t="shared" si="2"/>
        <v>1900</v>
      </c>
      <c r="I36" s="29" t="str">
        <f>IFERROR(VLOOKUP(PA[[#This Row],[Date]],Raw_Data[[Date]:[Sunset Time (POA&lt;20 W/m2)]],3,0),"")</f>
        <v/>
      </c>
      <c r="J36" s="29" t="str">
        <f>IFERROR(VLOOKUP(PA[[#This Row],[Date]],Raw_Data[[Date]:[Sunset Time (POA&lt;20 W/m2)]],4,0),"")</f>
        <v/>
      </c>
      <c r="K36" s="27" t="str">
        <f>IFERROR((PA[[#This Row],[Sunset Time (POA&lt;20 W/m2)]]-PA[[#This Row],[Sunrise Time (POA&gt;20 W/m2)]])*24,"")</f>
        <v/>
      </c>
      <c r="M36" s="46" t="str">
        <f>IFERROR(VLOOKUP(PA[[#This Row],[Affceted Equipment]],'Basic Data'!$A$2:$B$114,2,0),"")</f>
        <v/>
      </c>
      <c r="N36" s="48" t="str">
        <f>IFERROR(VLOOKUP(PA[[#This Row],[Affceted Equipment]],'Basic Data'!$A$1:$C$118,3,0),"")</f>
        <v/>
      </c>
      <c r="W36" s="33">
        <f>IF(PA[[#This Row],[Acknowledgemnet Time ]]="NA","",(PA[[#This Row],[Acknowledgemnet Time ]]-PA[[#This Row],[Fault Time]])*24)</f>
        <v>0</v>
      </c>
      <c r="X36" s="33">
        <f>IF(PA[[#This Row],[Work Start time on Fault]]="NA","",(PA[[#This Row],[Work Start time on Fault]]-PA[[#This Row],[Fault Time]])*24)</f>
        <v>0</v>
      </c>
      <c r="Y36" s="35">
        <f>(PA[[#This Row],[Work Completiuon time on fualt]]-PA[[#This Row],[Fault Time]])*24</f>
        <v>0</v>
      </c>
      <c r="Z36" s="35">
        <f>IFERROR((PA[[#This Row],[Work Completiuon time on fualt]]-PA[[#This Row],[Fault Time]])*24,"")</f>
        <v>0</v>
      </c>
      <c r="AC36" s="47" t="str">
        <f>IFERROR(PA[[#This Row],[Breakdown Time]]*PA[[#This Row],[Plant Equivalent Weightage]],"")</f>
        <v/>
      </c>
      <c r="AE36" s="33" t="str">
        <f>IFERROR((_xlfn.XLOOKUP(PA[[#This Row],[Month Year]],'Modelling New'!D:D,'Modelling New'!$O:$O)*PA[[#This Row],[Lost PoA(Wh/m2)]]*PA[[#This Row],[DC Capacity Affceted (kW)]])/1000,"")</f>
        <v/>
      </c>
      <c r="AF36" s="35"/>
    </row>
    <row r="37" spans="1:32">
      <c r="A37" s="2">
        <f t="shared" si="7"/>
        <v>34</v>
      </c>
      <c r="B37" s="156">
        <f t="shared" si="1"/>
        <v>1900</v>
      </c>
      <c r="C37" s="129">
        <f t="shared" si="2"/>
        <v>1900</v>
      </c>
      <c r="I37" s="29" t="str">
        <f>IFERROR(VLOOKUP(PA[[#This Row],[Date]],Raw_Data[[Date]:[Sunset Time (POA&lt;20 W/m2)]],3,0),"")</f>
        <v/>
      </c>
      <c r="J37" s="29" t="str">
        <f>IFERROR(VLOOKUP(PA[[#This Row],[Date]],Raw_Data[[Date]:[Sunset Time (POA&lt;20 W/m2)]],4,0),"")</f>
        <v/>
      </c>
      <c r="K37" s="27" t="str">
        <f>IFERROR((PA[[#This Row],[Sunset Time (POA&lt;20 W/m2)]]-PA[[#This Row],[Sunrise Time (POA&gt;20 W/m2)]])*24,"")</f>
        <v/>
      </c>
      <c r="M37" s="46" t="str">
        <f>IFERROR(VLOOKUP(PA[[#This Row],[Affceted Equipment]],'Basic Data'!$A$2:$B$114,2,0),"")</f>
        <v/>
      </c>
      <c r="N37" s="48" t="str">
        <f>IFERROR(VLOOKUP(PA[[#This Row],[Affceted Equipment]],'Basic Data'!$A$1:$C$118,3,0),"")</f>
        <v/>
      </c>
      <c r="W37" s="33">
        <f>IF(PA[[#This Row],[Acknowledgemnet Time ]]="NA","",(PA[[#This Row],[Acknowledgemnet Time ]]-PA[[#This Row],[Fault Time]])*24)</f>
        <v>0</v>
      </c>
      <c r="X37" s="33">
        <f>IF(PA[[#This Row],[Work Start time on Fault]]="NA","",(PA[[#This Row],[Work Start time on Fault]]-PA[[#This Row],[Fault Time]])*24)</f>
        <v>0</v>
      </c>
      <c r="Y37" s="35">
        <f>(PA[[#This Row],[Work Completiuon time on fualt]]-PA[[#This Row],[Fault Time]])*24</f>
        <v>0</v>
      </c>
      <c r="Z37" s="35">
        <f>IFERROR((PA[[#This Row],[Work Completiuon time on fualt]]-PA[[#This Row],[Fault Time]])*24,"")</f>
        <v>0</v>
      </c>
      <c r="AC37" s="47" t="str">
        <f>IFERROR(PA[[#This Row],[Breakdown Time]]*PA[[#This Row],[Plant Equivalent Weightage]],"")</f>
        <v/>
      </c>
      <c r="AE37" s="33" t="str">
        <f>IFERROR((_xlfn.XLOOKUP(PA[[#This Row],[Month Year]],'Modelling New'!D:D,'Modelling New'!$O:$O)*PA[[#This Row],[Lost PoA(Wh/m2)]]*PA[[#This Row],[DC Capacity Affceted (kW)]])/1000,"")</f>
        <v/>
      </c>
      <c r="AF37" s="35"/>
    </row>
    <row r="38" spans="1:32">
      <c r="A38" s="2">
        <f t="shared" si="7"/>
        <v>35</v>
      </c>
      <c r="B38" s="156">
        <f t="shared" si="1"/>
        <v>1900</v>
      </c>
      <c r="C38" s="129">
        <f t="shared" si="2"/>
        <v>1900</v>
      </c>
      <c r="I38" s="29" t="str">
        <f>IFERROR(VLOOKUP(PA[[#This Row],[Date]],Raw_Data[[Date]:[Sunset Time (POA&lt;20 W/m2)]],3,0),"")</f>
        <v/>
      </c>
      <c r="J38" s="29" t="str">
        <f>IFERROR(VLOOKUP(PA[[#This Row],[Date]],Raw_Data[[Date]:[Sunset Time (POA&lt;20 W/m2)]],4,0),"")</f>
        <v/>
      </c>
      <c r="K38" s="27" t="str">
        <f>IFERROR((PA[[#This Row],[Sunset Time (POA&lt;20 W/m2)]]-PA[[#This Row],[Sunrise Time (POA&gt;20 W/m2)]])*24,"")</f>
        <v/>
      </c>
      <c r="M38" s="46" t="str">
        <f>IFERROR(VLOOKUP(PA[[#This Row],[Affceted Equipment]],'Basic Data'!$A$2:$B$114,2,0),"")</f>
        <v/>
      </c>
      <c r="N38" s="48" t="str">
        <f>IFERROR(VLOOKUP(PA[[#This Row],[Affceted Equipment]],'Basic Data'!$A$1:$C$118,3,0),"")</f>
        <v/>
      </c>
      <c r="W38" s="33">
        <f>IF(PA[[#This Row],[Acknowledgemnet Time ]]="NA","",(PA[[#This Row],[Acknowledgemnet Time ]]-PA[[#This Row],[Fault Time]])*24)</f>
        <v>0</v>
      </c>
      <c r="X38" s="33">
        <f>IF(PA[[#This Row],[Work Start time on Fault]]="NA","",(PA[[#This Row],[Work Start time on Fault]]-PA[[#This Row],[Fault Time]])*24)</f>
        <v>0</v>
      </c>
      <c r="Y38" s="35">
        <f>(PA[[#This Row],[Work Completiuon time on fualt]]-PA[[#This Row],[Fault Time]])*24</f>
        <v>0</v>
      </c>
      <c r="Z38" s="35">
        <f>IFERROR((PA[[#This Row],[Work Completiuon time on fualt]]-PA[[#This Row],[Fault Time]])*24,"")</f>
        <v>0</v>
      </c>
      <c r="AC38" s="47" t="str">
        <f>IFERROR(PA[[#This Row],[Breakdown Time]]*PA[[#This Row],[Plant Equivalent Weightage]],"")</f>
        <v/>
      </c>
      <c r="AE38" s="33" t="str">
        <f>IFERROR((_xlfn.XLOOKUP(PA[[#This Row],[Month Year]],'Modelling New'!D:D,'Modelling New'!$O:$O)*PA[[#This Row],[Lost PoA(Wh/m2)]]*PA[[#This Row],[DC Capacity Affceted (kW)]])/1000,"")</f>
        <v/>
      </c>
      <c r="AF38" s="35"/>
    </row>
    <row r="39" spans="1:32">
      <c r="A39" s="2">
        <f t="shared" si="7"/>
        <v>36</v>
      </c>
      <c r="B39" s="156">
        <f t="shared" si="1"/>
        <v>1900</v>
      </c>
      <c r="C39" s="129">
        <f t="shared" si="2"/>
        <v>1900</v>
      </c>
      <c r="I39" s="29" t="str">
        <f>IFERROR(VLOOKUP(PA[[#This Row],[Date]],Raw_Data[[Date]:[Sunset Time (POA&lt;20 W/m2)]],3,0),"")</f>
        <v/>
      </c>
      <c r="J39" s="29" t="str">
        <f>IFERROR(VLOOKUP(PA[[#This Row],[Date]],Raw_Data[[Date]:[Sunset Time (POA&lt;20 W/m2)]],4,0),"")</f>
        <v/>
      </c>
      <c r="K39" s="27" t="str">
        <f>IFERROR((PA[[#This Row],[Sunset Time (POA&lt;20 W/m2)]]-PA[[#This Row],[Sunrise Time (POA&gt;20 W/m2)]])*24,"")</f>
        <v/>
      </c>
      <c r="M39" s="46" t="str">
        <f>IFERROR(VLOOKUP(PA[[#This Row],[Affceted Equipment]],'Basic Data'!$A$2:$B$114,2,0),"")</f>
        <v/>
      </c>
      <c r="N39" s="48" t="str">
        <f>IFERROR(VLOOKUP(PA[[#This Row],[Affceted Equipment]],'Basic Data'!$A$1:$C$118,3,0),"")</f>
        <v/>
      </c>
      <c r="W39" s="33">
        <f>IF(PA[[#This Row],[Acknowledgemnet Time ]]="NA","",(PA[[#This Row],[Acknowledgemnet Time ]]-PA[[#This Row],[Fault Time]])*24)</f>
        <v>0</v>
      </c>
      <c r="X39" s="33">
        <f>IF(PA[[#This Row],[Work Start time on Fault]]="NA","",(PA[[#This Row],[Work Start time on Fault]]-PA[[#This Row],[Fault Time]])*24)</f>
        <v>0</v>
      </c>
      <c r="Y39" s="35">
        <f>(PA[[#This Row],[Work Completiuon time on fualt]]-PA[[#This Row],[Fault Time]])*24</f>
        <v>0</v>
      </c>
      <c r="Z39" s="35">
        <f>IFERROR((PA[[#This Row],[Work Completiuon time on fualt]]-PA[[#This Row],[Fault Time]])*24,"")</f>
        <v>0</v>
      </c>
      <c r="AC39" s="47" t="str">
        <f>IFERROR(PA[[#This Row],[Breakdown Time]]*PA[[#This Row],[Plant Equivalent Weightage]],"")</f>
        <v/>
      </c>
      <c r="AE39" s="33" t="str">
        <f>IFERROR((_xlfn.XLOOKUP(PA[[#This Row],[Month Year]],'Modelling New'!D:D,'Modelling New'!$O:$O)*PA[[#This Row],[Lost PoA(Wh/m2)]]*PA[[#This Row],[DC Capacity Affceted (kW)]])/1000,"")</f>
        <v/>
      </c>
      <c r="AF39" s="35"/>
    </row>
    <row r="40" spans="1:32">
      <c r="A40" s="2">
        <f t="shared" si="7"/>
        <v>37</v>
      </c>
      <c r="B40" s="156">
        <f t="shared" si="1"/>
        <v>1900</v>
      </c>
      <c r="C40" s="129">
        <f t="shared" si="2"/>
        <v>1900</v>
      </c>
      <c r="I40" s="29" t="str">
        <f>IFERROR(VLOOKUP(PA[[#This Row],[Date]],Raw_Data[[Date]:[Sunset Time (POA&lt;20 W/m2)]],3,0),"")</f>
        <v/>
      </c>
      <c r="J40" s="29" t="str">
        <f>IFERROR(VLOOKUP(PA[[#This Row],[Date]],Raw_Data[[Date]:[Sunset Time (POA&lt;20 W/m2)]],4,0),"")</f>
        <v/>
      </c>
      <c r="K40" s="27" t="str">
        <f>IFERROR((PA[[#This Row],[Sunset Time (POA&lt;20 W/m2)]]-PA[[#This Row],[Sunrise Time (POA&gt;20 W/m2)]])*24,"")</f>
        <v/>
      </c>
      <c r="M40" s="46" t="str">
        <f>IFERROR(VLOOKUP(PA[[#This Row],[Affceted Equipment]],'Basic Data'!$A$2:$B$114,2,0),"")</f>
        <v/>
      </c>
      <c r="N40" s="48" t="str">
        <f>IFERROR(VLOOKUP(PA[[#This Row],[Affceted Equipment]],'Basic Data'!$A$1:$C$118,3,0),"")</f>
        <v/>
      </c>
      <c r="W40" s="33">
        <f>IF(PA[[#This Row],[Acknowledgemnet Time ]]="NA","",(PA[[#This Row],[Acknowledgemnet Time ]]-PA[[#This Row],[Fault Time]])*24)</f>
        <v>0</v>
      </c>
      <c r="X40" s="33">
        <f>IF(PA[[#This Row],[Work Start time on Fault]]="NA","",(PA[[#This Row],[Work Start time on Fault]]-PA[[#This Row],[Fault Time]])*24)</f>
        <v>0</v>
      </c>
      <c r="Y40" s="35">
        <f>(PA[[#This Row],[Work Completiuon time on fualt]]-PA[[#This Row],[Fault Time]])*24</f>
        <v>0</v>
      </c>
      <c r="Z40" s="35">
        <f>IFERROR((PA[[#This Row],[Work Completiuon time on fualt]]-PA[[#This Row],[Fault Time]])*24,"")</f>
        <v>0</v>
      </c>
      <c r="AC40" s="47" t="str">
        <f>IFERROR(PA[[#This Row],[Breakdown Time]]*PA[[#This Row],[Plant Equivalent Weightage]],"")</f>
        <v/>
      </c>
      <c r="AE40" s="33" t="str">
        <f>IFERROR((_xlfn.XLOOKUP(PA[[#This Row],[Month Year]],'Modelling New'!D:D,'Modelling New'!$O:$O)*PA[[#This Row],[Lost PoA(Wh/m2)]]*PA[[#This Row],[DC Capacity Affceted (kW)]])/1000,"")</f>
        <v/>
      </c>
      <c r="AF40" s="35"/>
    </row>
    <row r="41" spans="1:32">
      <c r="A41" s="2">
        <f t="shared" si="7"/>
        <v>38</v>
      </c>
      <c r="B41" s="156">
        <f t="shared" si="1"/>
        <v>1900</v>
      </c>
      <c r="C41" s="129">
        <f t="shared" si="2"/>
        <v>1900</v>
      </c>
      <c r="I41" s="29" t="str">
        <f>IFERROR(VLOOKUP(PA[[#This Row],[Date]],Raw_Data[[Date]:[Sunset Time (POA&lt;20 W/m2)]],3,0),"")</f>
        <v/>
      </c>
      <c r="J41" s="29" t="str">
        <f>IFERROR(VLOOKUP(PA[[#This Row],[Date]],Raw_Data[[Date]:[Sunset Time (POA&lt;20 W/m2)]],4,0),"")</f>
        <v/>
      </c>
      <c r="K41" s="27" t="str">
        <f>IFERROR((PA[[#This Row],[Sunset Time (POA&lt;20 W/m2)]]-PA[[#This Row],[Sunrise Time (POA&gt;20 W/m2)]])*24,"")</f>
        <v/>
      </c>
      <c r="M41" s="46" t="str">
        <f>IFERROR(VLOOKUP(PA[[#This Row],[Affceted Equipment]],'Basic Data'!$A$2:$B$114,2,0),"")</f>
        <v/>
      </c>
      <c r="N41" s="48" t="str">
        <f>IFERROR(VLOOKUP(PA[[#This Row],[Affceted Equipment]],'Basic Data'!$A$1:$C$118,3,0),"")</f>
        <v/>
      </c>
      <c r="W41" s="33">
        <f>IF(PA[[#This Row],[Acknowledgemnet Time ]]="NA","",(PA[[#This Row],[Acknowledgemnet Time ]]-PA[[#This Row],[Fault Time]])*24)</f>
        <v>0</v>
      </c>
      <c r="X41" s="33">
        <f>IF(PA[[#This Row],[Work Start time on Fault]]="NA","",(PA[[#This Row],[Work Start time on Fault]]-PA[[#This Row],[Fault Time]])*24)</f>
        <v>0</v>
      </c>
      <c r="Y41" s="35">
        <f>(PA[[#This Row],[Work Completiuon time on fualt]]-PA[[#This Row],[Fault Time]])*24</f>
        <v>0</v>
      </c>
      <c r="Z41" s="35">
        <f>IFERROR((PA[[#This Row],[Work Completiuon time on fualt]]-PA[[#This Row],[Fault Time]])*24,"")</f>
        <v>0</v>
      </c>
      <c r="AC41" s="47" t="str">
        <f>IFERROR(PA[[#This Row],[Breakdown Time]]*PA[[#This Row],[Plant Equivalent Weightage]],"")</f>
        <v/>
      </c>
      <c r="AE41" s="33" t="str">
        <f>IFERROR((_xlfn.XLOOKUP(PA[[#This Row],[Month Year]],'Modelling New'!D:D,'Modelling New'!$O:$O)*PA[[#This Row],[Lost PoA(Wh/m2)]]*PA[[#This Row],[DC Capacity Affceted (kW)]])/1000,"")</f>
        <v/>
      </c>
      <c r="AF41" s="35"/>
    </row>
    <row r="42" spans="1:32">
      <c r="A42" s="2">
        <f t="shared" si="7"/>
        <v>39</v>
      </c>
      <c r="B42" s="156">
        <f t="shared" si="1"/>
        <v>1900</v>
      </c>
      <c r="C42" s="129">
        <f t="shared" si="2"/>
        <v>1900</v>
      </c>
      <c r="I42" s="29" t="str">
        <f>IFERROR(VLOOKUP(PA[[#This Row],[Date]],Raw_Data[[Date]:[Sunset Time (POA&lt;20 W/m2)]],3,0),"")</f>
        <v/>
      </c>
      <c r="J42" s="29" t="str">
        <f>IFERROR(VLOOKUP(PA[[#This Row],[Date]],Raw_Data[[Date]:[Sunset Time (POA&lt;20 W/m2)]],4,0),"")</f>
        <v/>
      </c>
      <c r="K42" s="27" t="str">
        <f>IFERROR((PA[[#This Row],[Sunset Time (POA&lt;20 W/m2)]]-PA[[#This Row],[Sunrise Time (POA&gt;20 W/m2)]])*24,"")</f>
        <v/>
      </c>
      <c r="M42" s="46" t="str">
        <f>IFERROR(VLOOKUP(PA[[#This Row],[Affceted Equipment]],'Basic Data'!$A$2:$B$114,2,0),"")</f>
        <v/>
      </c>
      <c r="N42" s="48" t="str">
        <f>IFERROR(VLOOKUP(PA[[#This Row],[Affceted Equipment]],'Basic Data'!$A$1:$C$118,3,0),"")</f>
        <v/>
      </c>
      <c r="W42" s="33">
        <f>IF(PA[[#This Row],[Acknowledgemnet Time ]]="NA","",(PA[[#This Row],[Acknowledgemnet Time ]]-PA[[#This Row],[Fault Time]])*24)</f>
        <v>0</v>
      </c>
      <c r="X42" s="33">
        <f>IF(PA[[#This Row],[Work Start time on Fault]]="NA","",(PA[[#This Row],[Work Start time on Fault]]-PA[[#This Row],[Fault Time]])*24)</f>
        <v>0</v>
      </c>
      <c r="Y42" s="35">
        <f>(PA[[#This Row],[Work Completiuon time on fualt]]-PA[[#This Row],[Fault Time]])*24</f>
        <v>0</v>
      </c>
      <c r="Z42" s="35">
        <f>IFERROR((PA[[#This Row],[Work Completiuon time on fualt]]-PA[[#This Row],[Fault Time]])*24,"")</f>
        <v>0</v>
      </c>
      <c r="AC42" s="47" t="str">
        <f>IFERROR(PA[[#This Row],[Breakdown Time]]*PA[[#This Row],[Plant Equivalent Weightage]],"")</f>
        <v/>
      </c>
      <c r="AE42" s="33" t="str">
        <f>IFERROR((_xlfn.XLOOKUP(PA[[#This Row],[Month Year]],'Modelling New'!D:D,'Modelling New'!$O:$O)*PA[[#This Row],[Lost PoA(Wh/m2)]]*PA[[#This Row],[DC Capacity Affceted (kW)]])/1000,"")</f>
        <v/>
      </c>
      <c r="AF42" s="35"/>
    </row>
    <row r="43" spans="1:32">
      <c r="A43" s="2">
        <f t="shared" si="7"/>
        <v>40</v>
      </c>
      <c r="B43" s="156">
        <f t="shared" si="1"/>
        <v>1900</v>
      </c>
      <c r="C43" s="129">
        <f t="shared" si="2"/>
        <v>1900</v>
      </c>
      <c r="I43" s="29" t="str">
        <f>IFERROR(VLOOKUP(PA[[#This Row],[Date]],Raw_Data[[Date]:[Sunset Time (POA&lt;20 W/m2)]],3,0),"")</f>
        <v/>
      </c>
      <c r="J43" s="29" t="str">
        <f>IFERROR(VLOOKUP(PA[[#This Row],[Date]],Raw_Data[[Date]:[Sunset Time (POA&lt;20 W/m2)]],4,0),"")</f>
        <v/>
      </c>
      <c r="K43" s="27" t="str">
        <f>IFERROR((PA[[#This Row],[Sunset Time (POA&lt;20 W/m2)]]-PA[[#This Row],[Sunrise Time (POA&gt;20 W/m2)]])*24,"")</f>
        <v/>
      </c>
      <c r="M43" s="46" t="str">
        <f>IFERROR(VLOOKUP(PA[[#This Row],[Affceted Equipment]],'Basic Data'!$A$2:$B$114,2,0),"")</f>
        <v/>
      </c>
      <c r="N43" s="48" t="str">
        <f>IFERROR(VLOOKUP(PA[[#This Row],[Affceted Equipment]],'Basic Data'!$A$1:$C$118,3,0),"")</f>
        <v/>
      </c>
      <c r="W43" s="33">
        <f>IF(PA[[#This Row],[Acknowledgemnet Time ]]="NA","",(PA[[#This Row],[Acknowledgemnet Time ]]-PA[[#This Row],[Fault Time]])*24)</f>
        <v>0</v>
      </c>
      <c r="X43" s="33">
        <f>IF(PA[[#This Row],[Work Start time on Fault]]="NA","",(PA[[#This Row],[Work Start time on Fault]]-PA[[#This Row],[Fault Time]])*24)</f>
        <v>0</v>
      </c>
      <c r="Y43" s="35">
        <f>(PA[[#This Row],[Work Completiuon time on fualt]]-PA[[#This Row],[Fault Time]])*24</f>
        <v>0</v>
      </c>
      <c r="Z43" s="35">
        <f>IFERROR((PA[[#This Row],[Work Completiuon time on fualt]]-PA[[#This Row],[Fault Time]])*24,"")</f>
        <v>0</v>
      </c>
      <c r="AC43" s="47" t="str">
        <f>IFERROR(PA[[#This Row],[Breakdown Time]]*PA[[#This Row],[Plant Equivalent Weightage]],"")</f>
        <v/>
      </c>
      <c r="AE43" s="33" t="str">
        <f>IFERROR((_xlfn.XLOOKUP(PA[[#This Row],[Month Year]],'Modelling New'!D:D,'Modelling New'!$O:$O)*PA[[#This Row],[Lost PoA(Wh/m2)]]*PA[[#This Row],[DC Capacity Affceted (kW)]])/1000,"")</f>
        <v/>
      </c>
      <c r="AF43" s="35"/>
    </row>
    <row r="44" spans="1:32">
      <c r="A44" s="2">
        <f t="shared" si="7"/>
        <v>41</v>
      </c>
      <c r="B44" s="156">
        <f t="shared" si="1"/>
        <v>1900</v>
      </c>
      <c r="C44" s="129">
        <f t="shared" si="2"/>
        <v>1900</v>
      </c>
      <c r="I44" s="29" t="str">
        <f>IFERROR(VLOOKUP(PA[[#This Row],[Date]],Raw_Data[[Date]:[Sunset Time (POA&lt;20 W/m2)]],3,0),"")</f>
        <v/>
      </c>
      <c r="J44" s="29" t="str">
        <f>IFERROR(VLOOKUP(PA[[#This Row],[Date]],Raw_Data[[Date]:[Sunset Time (POA&lt;20 W/m2)]],4,0),"")</f>
        <v/>
      </c>
      <c r="K44" s="27" t="str">
        <f>IFERROR((PA[[#This Row],[Sunset Time (POA&lt;20 W/m2)]]-PA[[#This Row],[Sunrise Time (POA&gt;20 W/m2)]])*24,"")</f>
        <v/>
      </c>
      <c r="M44" s="46" t="str">
        <f>IFERROR(VLOOKUP(PA[[#This Row],[Affceted Equipment]],'Basic Data'!$A$2:$B$114,2,0),"")</f>
        <v/>
      </c>
      <c r="N44" s="48" t="str">
        <f>IFERROR(VLOOKUP(PA[[#This Row],[Affceted Equipment]],'Basic Data'!$A$1:$C$118,3,0),"")</f>
        <v/>
      </c>
      <c r="W44" s="33">
        <f>IF(PA[[#This Row],[Acknowledgemnet Time ]]="NA","",(PA[[#This Row],[Acknowledgemnet Time ]]-PA[[#This Row],[Fault Time]])*24)</f>
        <v>0</v>
      </c>
      <c r="X44" s="33">
        <f>IF(PA[[#This Row],[Work Start time on Fault]]="NA","",(PA[[#This Row],[Work Start time on Fault]]-PA[[#This Row],[Fault Time]])*24)</f>
        <v>0</v>
      </c>
      <c r="Y44" s="35">
        <f>(PA[[#This Row],[Work Completiuon time on fualt]]-PA[[#This Row],[Fault Time]])*24</f>
        <v>0</v>
      </c>
      <c r="Z44" s="35">
        <f>IFERROR((PA[[#This Row],[Work Completiuon time on fualt]]-PA[[#This Row],[Fault Time]])*24,"")</f>
        <v>0</v>
      </c>
      <c r="AC44" s="47" t="str">
        <f>IFERROR(PA[[#This Row],[Breakdown Time]]*PA[[#This Row],[Plant Equivalent Weightage]],"")</f>
        <v/>
      </c>
      <c r="AE44" s="33" t="str">
        <f>IFERROR((_xlfn.XLOOKUP(PA[[#This Row],[Month Year]],'Modelling New'!D:D,'Modelling New'!$O:$O)*PA[[#This Row],[Lost PoA(Wh/m2)]]*PA[[#This Row],[DC Capacity Affceted (kW)]])/1000,"")</f>
        <v/>
      </c>
      <c r="AF44" s="35"/>
    </row>
    <row r="45" spans="1:32">
      <c r="A45" s="2">
        <f t="shared" si="7"/>
        <v>42</v>
      </c>
      <c r="B45" s="156">
        <f t="shared" si="1"/>
        <v>1900</v>
      </c>
      <c r="C45" s="129">
        <f t="shared" si="2"/>
        <v>1900</v>
      </c>
      <c r="I45" s="29" t="str">
        <f>IFERROR(VLOOKUP(PA[[#This Row],[Date]],Raw_Data[[Date]:[Sunset Time (POA&lt;20 W/m2)]],3,0),"")</f>
        <v/>
      </c>
      <c r="J45" s="29" t="str">
        <f>IFERROR(VLOOKUP(PA[[#This Row],[Date]],Raw_Data[[Date]:[Sunset Time (POA&lt;20 W/m2)]],4,0),"")</f>
        <v/>
      </c>
      <c r="K45" s="27" t="str">
        <f>IFERROR((PA[[#This Row],[Sunset Time (POA&lt;20 W/m2)]]-PA[[#This Row],[Sunrise Time (POA&gt;20 W/m2)]])*24,"")</f>
        <v/>
      </c>
      <c r="M45" s="46" t="str">
        <f>IFERROR(VLOOKUP(PA[[#This Row],[Affceted Equipment]],'Basic Data'!$A$2:$B$114,2,0),"")</f>
        <v/>
      </c>
      <c r="N45" s="48" t="str">
        <f>IFERROR(VLOOKUP(PA[[#This Row],[Affceted Equipment]],'Basic Data'!$A$1:$C$118,3,0),"")</f>
        <v/>
      </c>
      <c r="W45" s="33">
        <f>IF(PA[[#This Row],[Acknowledgemnet Time ]]="NA","",(PA[[#This Row],[Acknowledgemnet Time ]]-PA[[#This Row],[Fault Time]])*24)</f>
        <v>0</v>
      </c>
      <c r="X45" s="33">
        <f>IF(PA[[#This Row],[Work Start time on Fault]]="NA","",(PA[[#This Row],[Work Start time on Fault]]-PA[[#This Row],[Fault Time]])*24)</f>
        <v>0</v>
      </c>
      <c r="Y45" s="35">
        <f>(PA[[#This Row],[Work Completiuon time on fualt]]-PA[[#This Row],[Fault Time]])*24</f>
        <v>0</v>
      </c>
      <c r="Z45" s="35">
        <f>IFERROR((PA[[#This Row],[Work Completiuon time on fualt]]-PA[[#This Row],[Fault Time]])*24,"")</f>
        <v>0</v>
      </c>
      <c r="AC45" s="47" t="str">
        <f>IFERROR(PA[[#This Row],[Breakdown Time]]*PA[[#This Row],[Plant Equivalent Weightage]],"")</f>
        <v/>
      </c>
      <c r="AE45" s="33" t="str">
        <f>IFERROR((_xlfn.XLOOKUP(PA[[#This Row],[Month Year]],'Modelling New'!D:D,'Modelling New'!$O:$O)*PA[[#This Row],[Lost PoA(Wh/m2)]]*PA[[#This Row],[DC Capacity Affceted (kW)]])/1000,"")</f>
        <v/>
      </c>
      <c r="AF45" s="35"/>
    </row>
    <row r="46" spans="1:32">
      <c r="A46" s="2">
        <f t="shared" si="7"/>
        <v>43</v>
      </c>
      <c r="B46" s="156">
        <f t="shared" si="1"/>
        <v>1900</v>
      </c>
      <c r="C46" s="129">
        <f t="shared" si="2"/>
        <v>1900</v>
      </c>
      <c r="I46" s="29" t="str">
        <f>IFERROR(VLOOKUP(PA[[#This Row],[Date]],Raw_Data[[Date]:[Sunset Time (POA&lt;20 W/m2)]],3,0),"")</f>
        <v/>
      </c>
      <c r="J46" s="29" t="str">
        <f>IFERROR(VLOOKUP(PA[[#This Row],[Date]],Raw_Data[[Date]:[Sunset Time (POA&lt;20 W/m2)]],4,0),"")</f>
        <v/>
      </c>
      <c r="K46" s="27" t="str">
        <f>IFERROR((PA[[#This Row],[Sunset Time (POA&lt;20 W/m2)]]-PA[[#This Row],[Sunrise Time (POA&gt;20 W/m2)]])*24,"")</f>
        <v/>
      </c>
      <c r="M46" s="46" t="str">
        <f>IFERROR(VLOOKUP(PA[[#This Row],[Affceted Equipment]],'Basic Data'!$A$2:$B$114,2,0),"")</f>
        <v/>
      </c>
      <c r="N46" s="48" t="str">
        <f>IFERROR(VLOOKUP(PA[[#This Row],[Affceted Equipment]],'Basic Data'!$A$1:$C$118,3,0),"")</f>
        <v/>
      </c>
      <c r="W46" s="33">
        <f>IF(PA[[#This Row],[Acknowledgemnet Time ]]="NA","",(PA[[#This Row],[Acknowledgemnet Time ]]-PA[[#This Row],[Fault Time]])*24)</f>
        <v>0</v>
      </c>
      <c r="X46" s="33">
        <f>IF(PA[[#This Row],[Work Start time on Fault]]="NA","",(PA[[#This Row],[Work Start time on Fault]]-PA[[#This Row],[Fault Time]])*24)</f>
        <v>0</v>
      </c>
      <c r="Y46" s="35">
        <f>(PA[[#This Row],[Work Completiuon time on fualt]]-PA[[#This Row],[Fault Time]])*24</f>
        <v>0</v>
      </c>
      <c r="Z46" s="35">
        <f>IFERROR((PA[[#This Row],[Work Completiuon time on fualt]]-PA[[#This Row],[Fault Time]])*24,"")</f>
        <v>0</v>
      </c>
      <c r="AC46" s="47" t="str">
        <f>IFERROR(PA[[#This Row],[Breakdown Time]]*PA[[#This Row],[Plant Equivalent Weightage]],"")</f>
        <v/>
      </c>
      <c r="AE46" s="33" t="str">
        <f>IFERROR((_xlfn.XLOOKUP(PA[[#This Row],[Month Year]],'Modelling New'!D:D,'Modelling New'!$O:$O)*PA[[#This Row],[Lost PoA(Wh/m2)]]*PA[[#This Row],[DC Capacity Affceted (kW)]])/1000,"")</f>
        <v/>
      </c>
      <c r="AF46" s="35"/>
    </row>
    <row r="47" spans="1:32">
      <c r="A47" s="2">
        <f t="shared" si="7"/>
        <v>44</v>
      </c>
      <c r="B47" s="156">
        <f t="shared" si="1"/>
        <v>1900</v>
      </c>
      <c r="C47" s="129">
        <f t="shared" si="2"/>
        <v>1900</v>
      </c>
      <c r="I47" s="29" t="str">
        <f>IFERROR(VLOOKUP(PA[[#This Row],[Date]],Raw_Data[[Date]:[Sunset Time (POA&lt;20 W/m2)]],3,0),"")</f>
        <v/>
      </c>
      <c r="J47" s="29" t="str">
        <f>IFERROR(VLOOKUP(PA[[#This Row],[Date]],Raw_Data[[Date]:[Sunset Time (POA&lt;20 W/m2)]],4,0),"")</f>
        <v/>
      </c>
      <c r="K47" s="27" t="str">
        <f>IFERROR((PA[[#This Row],[Sunset Time (POA&lt;20 W/m2)]]-PA[[#This Row],[Sunrise Time (POA&gt;20 W/m2)]])*24,"")</f>
        <v/>
      </c>
      <c r="M47" s="46" t="str">
        <f>IFERROR(VLOOKUP(PA[[#This Row],[Affceted Equipment]],'Basic Data'!$A$2:$B$114,2,0),"")</f>
        <v/>
      </c>
      <c r="N47" s="48" t="str">
        <f>IFERROR(VLOOKUP(PA[[#This Row],[Affceted Equipment]],'Basic Data'!$A$1:$C$118,3,0),"")</f>
        <v/>
      </c>
      <c r="W47" s="33">
        <f>IF(PA[[#This Row],[Acknowledgemnet Time ]]="NA","",(PA[[#This Row],[Acknowledgemnet Time ]]-PA[[#This Row],[Fault Time]])*24)</f>
        <v>0</v>
      </c>
      <c r="X47" s="33">
        <f>IF(PA[[#This Row],[Work Start time on Fault]]="NA","",(PA[[#This Row],[Work Start time on Fault]]-PA[[#This Row],[Fault Time]])*24)</f>
        <v>0</v>
      </c>
      <c r="Y47" s="35">
        <f>(PA[[#This Row],[Work Completiuon time on fualt]]-PA[[#This Row],[Fault Time]])*24</f>
        <v>0</v>
      </c>
      <c r="Z47" s="35">
        <f>IFERROR((PA[[#This Row],[Work Completiuon time on fualt]]-PA[[#This Row],[Fault Time]])*24,"")</f>
        <v>0</v>
      </c>
      <c r="AC47" s="47" t="str">
        <f>IFERROR(PA[[#This Row],[Breakdown Time]]*PA[[#This Row],[Plant Equivalent Weightage]],"")</f>
        <v/>
      </c>
      <c r="AE47" s="33" t="str">
        <f>IFERROR((_xlfn.XLOOKUP(PA[[#This Row],[Month Year]],'Modelling New'!D:D,'Modelling New'!$O:$O)*PA[[#This Row],[Lost PoA(Wh/m2)]]*PA[[#This Row],[DC Capacity Affceted (kW)]])/1000,"")</f>
        <v/>
      </c>
      <c r="AF47" s="35"/>
    </row>
    <row r="48" spans="1:32">
      <c r="A48" s="2">
        <f t="shared" si="7"/>
        <v>45</v>
      </c>
      <c r="B48" s="156">
        <f t="shared" si="1"/>
        <v>1900</v>
      </c>
      <c r="C48" s="129">
        <f t="shared" si="2"/>
        <v>1900</v>
      </c>
      <c r="I48" s="29" t="str">
        <f>IFERROR(VLOOKUP(PA[[#This Row],[Date]],Raw_Data[[Date]:[Sunset Time (POA&lt;20 W/m2)]],3,0),"")</f>
        <v/>
      </c>
      <c r="J48" s="29" t="str">
        <f>IFERROR(VLOOKUP(PA[[#This Row],[Date]],Raw_Data[[Date]:[Sunset Time (POA&lt;20 W/m2)]],4,0),"")</f>
        <v/>
      </c>
      <c r="K48" s="27" t="str">
        <f>IFERROR((PA[[#This Row],[Sunset Time (POA&lt;20 W/m2)]]-PA[[#This Row],[Sunrise Time (POA&gt;20 W/m2)]])*24,"")</f>
        <v/>
      </c>
      <c r="M48" s="46" t="str">
        <f>IFERROR(VLOOKUP(PA[[#This Row],[Affceted Equipment]],'Basic Data'!$A$2:$B$114,2,0),"")</f>
        <v/>
      </c>
      <c r="N48" s="48" t="str">
        <f>IFERROR(VLOOKUP(PA[[#This Row],[Affceted Equipment]],'Basic Data'!$A$1:$C$118,3,0),"")</f>
        <v/>
      </c>
      <c r="W48" s="33">
        <f>IF(PA[[#This Row],[Acknowledgemnet Time ]]="NA","",(PA[[#This Row],[Acknowledgemnet Time ]]-PA[[#This Row],[Fault Time]])*24)</f>
        <v>0</v>
      </c>
      <c r="X48" s="33">
        <f>IF(PA[[#This Row],[Work Start time on Fault]]="NA","",(PA[[#This Row],[Work Start time on Fault]]-PA[[#This Row],[Fault Time]])*24)</f>
        <v>0</v>
      </c>
      <c r="Y48" s="35">
        <f>(PA[[#This Row],[Work Completiuon time on fualt]]-PA[[#This Row],[Fault Time]])*24</f>
        <v>0</v>
      </c>
      <c r="Z48" s="35">
        <f>IFERROR((PA[[#This Row],[Work Completiuon time on fualt]]-PA[[#This Row],[Fault Time]])*24,"")</f>
        <v>0</v>
      </c>
      <c r="AC48" s="47" t="str">
        <f>IFERROR(PA[[#This Row],[Breakdown Time]]*PA[[#This Row],[Plant Equivalent Weightage]],"")</f>
        <v/>
      </c>
      <c r="AE48" s="33" t="str">
        <f>IFERROR((_xlfn.XLOOKUP(PA[[#This Row],[Month Year]],'Modelling New'!D:D,'Modelling New'!$O:$O)*PA[[#This Row],[Lost PoA(Wh/m2)]]*PA[[#This Row],[DC Capacity Affceted (kW)]])/1000,"")</f>
        <v/>
      </c>
      <c r="AF48" s="35"/>
    </row>
    <row r="49" spans="1:32">
      <c r="A49" s="2">
        <f t="shared" si="7"/>
        <v>46</v>
      </c>
      <c r="B49" s="156">
        <f t="shared" si="1"/>
        <v>1900</v>
      </c>
      <c r="C49" s="129">
        <f t="shared" si="2"/>
        <v>1900</v>
      </c>
      <c r="I49" s="29" t="str">
        <f>IFERROR(VLOOKUP(PA[[#This Row],[Date]],Raw_Data[[Date]:[Sunset Time (POA&lt;20 W/m2)]],3,0),"")</f>
        <v/>
      </c>
      <c r="J49" s="29" t="str">
        <f>IFERROR(VLOOKUP(PA[[#This Row],[Date]],Raw_Data[[Date]:[Sunset Time (POA&lt;20 W/m2)]],4,0),"")</f>
        <v/>
      </c>
      <c r="K49" s="27" t="str">
        <f>IFERROR((PA[[#This Row],[Sunset Time (POA&lt;20 W/m2)]]-PA[[#This Row],[Sunrise Time (POA&gt;20 W/m2)]])*24,"")</f>
        <v/>
      </c>
      <c r="M49" s="46" t="str">
        <f>IFERROR(VLOOKUP(PA[[#This Row],[Affceted Equipment]],'Basic Data'!$A$2:$B$114,2,0),"")</f>
        <v/>
      </c>
      <c r="N49" s="48" t="str">
        <f>IFERROR(VLOOKUP(PA[[#This Row],[Affceted Equipment]],'Basic Data'!$A$1:$C$118,3,0),"")</f>
        <v/>
      </c>
      <c r="W49" s="33">
        <f>IF(PA[[#This Row],[Acknowledgemnet Time ]]="NA","",(PA[[#This Row],[Acknowledgemnet Time ]]-PA[[#This Row],[Fault Time]])*24)</f>
        <v>0</v>
      </c>
      <c r="X49" s="33">
        <f>IF(PA[[#This Row],[Work Start time on Fault]]="NA","",(PA[[#This Row],[Work Start time on Fault]]-PA[[#This Row],[Fault Time]])*24)</f>
        <v>0</v>
      </c>
      <c r="Y49" s="35">
        <f>(PA[[#This Row],[Work Completiuon time on fualt]]-PA[[#This Row],[Fault Time]])*24</f>
        <v>0</v>
      </c>
      <c r="Z49" s="35">
        <f>IFERROR((PA[[#This Row],[Work Completiuon time on fualt]]-PA[[#This Row],[Fault Time]])*24,"")</f>
        <v>0</v>
      </c>
      <c r="AC49" s="47" t="str">
        <f>IFERROR(PA[[#This Row],[Breakdown Time]]*PA[[#This Row],[Plant Equivalent Weightage]],"")</f>
        <v/>
      </c>
      <c r="AE49" s="33" t="str">
        <f>IFERROR((_xlfn.XLOOKUP(PA[[#This Row],[Month Year]],'Modelling New'!D:D,'Modelling New'!$O:$O)*PA[[#This Row],[Lost PoA(Wh/m2)]]*PA[[#This Row],[DC Capacity Affceted (kW)]])/1000,"")</f>
        <v/>
      </c>
      <c r="AF49" s="35"/>
    </row>
    <row r="50" spans="1:32">
      <c r="A50" s="2">
        <f t="shared" si="7"/>
        <v>47</v>
      </c>
      <c r="B50" s="156">
        <f t="shared" si="1"/>
        <v>1900</v>
      </c>
      <c r="C50" s="129">
        <f t="shared" si="2"/>
        <v>1900</v>
      </c>
      <c r="I50" s="29" t="str">
        <f>IFERROR(VLOOKUP(PA[[#This Row],[Date]],Raw_Data[[Date]:[Sunset Time (POA&lt;20 W/m2)]],3,0),"")</f>
        <v/>
      </c>
      <c r="J50" s="29" t="str">
        <f>IFERROR(VLOOKUP(PA[[#This Row],[Date]],Raw_Data[[Date]:[Sunset Time (POA&lt;20 W/m2)]],4,0),"")</f>
        <v/>
      </c>
      <c r="K50" s="27" t="str">
        <f>IFERROR((PA[[#This Row],[Sunset Time (POA&lt;20 W/m2)]]-PA[[#This Row],[Sunrise Time (POA&gt;20 W/m2)]])*24,"")</f>
        <v/>
      </c>
      <c r="M50" s="46" t="str">
        <f>IFERROR(VLOOKUP(PA[[#This Row],[Affceted Equipment]],'Basic Data'!$A$2:$B$114,2,0),"")</f>
        <v/>
      </c>
      <c r="N50" s="48" t="str">
        <f>IFERROR(VLOOKUP(PA[[#This Row],[Affceted Equipment]],'Basic Data'!$A$1:$C$118,3,0),"")</f>
        <v/>
      </c>
      <c r="W50" s="33">
        <f>IF(PA[[#This Row],[Acknowledgemnet Time ]]="NA","",(PA[[#This Row],[Acknowledgemnet Time ]]-PA[[#This Row],[Fault Time]])*24)</f>
        <v>0</v>
      </c>
      <c r="X50" s="33">
        <f>IF(PA[[#This Row],[Work Start time on Fault]]="NA","",(PA[[#This Row],[Work Start time on Fault]]-PA[[#This Row],[Fault Time]])*24)</f>
        <v>0</v>
      </c>
      <c r="Y50" s="35">
        <f>(PA[[#This Row],[Work Completiuon time on fualt]]-PA[[#This Row],[Fault Time]])*24</f>
        <v>0</v>
      </c>
      <c r="Z50" s="35">
        <f>IFERROR((PA[[#This Row],[Work Completiuon time on fualt]]-PA[[#This Row],[Fault Time]])*24,"")</f>
        <v>0</v>
      </c>
      <c r="AC50" s="47" t="str">
        <f>IFERROR(PA[[#This Row],[Breakdown Time]]*PA[[#This Row],[Plant Equivalent Weightage]],"")</f>
        <v/>
      </c>
      <c r="AE50" s="33" t="str">
        <f>IFERROR((_xlfn.XLOOKUP(PA[[#This Row],[Month Year]],'Modelling New'!D:D,'Modelling New'!$O:$O)*PA[[#This Row],[Lost PoA(Wh/m2)]]*PA[[#This Row],[DC Capacity Affceted (kW)]])/1000,"")</f>
        <v/>
      </c>
      <c r="AF50" s="35"/>
    </row>
    <row r="51" spans="1:32">
      <c r="A51" s="2">
        <f t="shared" si="7"/>
        <v>48</v>
      </c>
      <c r="B51" s="156">
        <f t="shared" si="1"/>
        <v>1900</v>
      </c>
      <c r="C51" s="129">
        <f t="shared" si="2"/>
        <v>1900</v>
      </c>
      <c r="I51" s="29" t="str">
        <f>IFERROR(VLOOKUP(PA[[#This Row],[Date]],Raw_Data[[Date]:[Sunset Time (POA&lt;20 W/m2)]],3,0),"")</f>
        <v/>
      </c>
      <c r="J51" s="29" t="str">
        <f>IFERROR(VLOOKUP(PA[[#This Row],[Date]],Raw_Data[[Date]:[Sunset Time (POA&lt;20 W/m2)]],4,0),"")</f>
        <v/>
      </c>
      <c r="K51" s="27" t="str">
        <f>IFERROR((PA[[#This Row],[Sunset Time (POA&lt;20 W/m2)]]-PA[[#This Row],[Sunrise Time (POA&gt;20 W/m2)]])*24,"")</f>
        <v/>
      </c>
      <c r="M51" s="46" t="str">
        <f>IFERROR(VLOOKUP(PA[[#This Row],[Affceted Equipment]],'Basic Data'!$A$2:$B$114,2,0),"")</f>
        <v/>
      </c>
      <c r="N51" s="48" t="str">
        <f>IFERROR(VLOOKUP(PA[[#This Row],[Affceted Equipment]],'Basic Data'!$A$1:$C$118,3,0),"")</f>
        <v/>
      </c>
      <c r="W51" s="33">
        <f>IF(PA[[#This Row],[Acknowledgemnet Time ]]="NA","",(PA[[#This Row],[Acknowledgemnet Time ]]-PA[[#This Row],[Fault Time]])*24)</f>
        <v>0</v>
      </c>
      <c r="X51" s="33">
        <f>IF(PA[[#This Row],[Work Start time on Fault]]="NA","",(PA[[#This Row],[Work Start time on Fault]]-PA[[#This Row],[Fault Time]])*24)</f>
        <v>0</v>
      </c>
      <c r="Y51" s="35">
        <f>(PA[[#This Row],[Work Completiuon time on fualt]]-PA[[#This Row],[Fault Time]])*24</f>
        <v>0</v>
      </c>
      <c r="Z51" s="35">
        <f>IFERROR((PA[[#This Row],[Work Completiuon time on fualt]]-PA[[#This Row],[Fault Time]])*24,"")</f>
        <v>0</v>
      </c>
      <c r="AC51" s="47" t="str">
        <f>IFERROR(PA[[#This Row],[Breakdown Time]]*PA[[#This Row],[Plant Equivalent Weightage]],"")</f>
        <v/>
      </c>
      <c r="AE51" s="33" t="str">
        <f>IFERROR((_xlfn.XLOOKUP(PA[[#This Row],[Month Year]],'Modelling New'!D:D,'Modelling New'!$O:$O)*PA[[#This Row],[Lost PoA(Wh/m2)]]*PA[[#This Row],[DC Capacity Affceted (kW)]])/1000,"")</f>
        <v/>
      </c>
      <c r="AF51" s="35"/>
    </row>
    <row r="52" spans="1:32">
      <c r="A52" s="2">
        <f t="shared" si="7"/>
        <v>49</v>
      </c>
      <c r="B52" s="156">
        <f t="shared" si="1"/>
        <v>1900</v>
      </c>
      <c r="C52" s="129">
        <f t="shared" si="2"/>
        <v>1900</v>
      </c>
      <c r="I52" s="29" t="str">
        <f>IFERROR(VLOOKUP(PA[[#This Row],[Date]],Raw_Data[[Date]:[Sunset Time (POA&lt;20 W/m2)]],3,0),"")</f>
        <v/>
      </c>
      <c r="J52" s="29" t="str">
        <f>IFERROR(VLOOKUP(PA[[#This Row],[Date]],Raw_Data[[Date]:[Sunset Time (POA&lt;20 W/m2)]],4,0),"")</f>
        <v/>
      </c>
      <c r="K52" s="27" t="str">
        <f>IFERROR((PA[[#This Row],[Sunset Time (POA&lt;20 W/m2)]]-PA[[#This Row],[Sunrise Time (POA&gt;20 W/m2)]])*24,"")</f>
        <v/>
      </c>
      <c r="M52" s="46" t="str">
        <f>IFERROR(VLOOKUP(PA[[#This Row],[Affceted Equipment]],'Basic Data'!$A$2:$B$114,2,0),"")</f>
        <v/>
      </c>
      <c r="N52" s="48" t="str">
        <f>IFERROR(VLOOKUP(PA[[#This Row],[Affceted Equipment]],'Basic Data'!$A$1:$C$118,3,0),"")</f>
        <v/>
      </c>
      <c r="W52" s="33">
        <f>IF(PA[[#This Row],[Acknowledgemnet Time ]]="NA","",(PA[[#This Row],[Acknowledgemnet Time ]]-PA[[#This Row],[Fault Time]])*24)</f>
        <v>0</v>
      </c>
      <c r="X52" s="33">
        <f>IF(PA[[#This Row],[Work Start time on Fault]]="NA","",(PA[[#This Row],[Work Start time on Fault]]-PA[[#This Row],[Fault Time]])*24)</f>
        <v>0</v>
      </c>
      <c r="Y52" s="35">
        <f>(PA[[#This Row],[Work Completiuon time on fualt]]-PA[[#This Row],[Fault Time]])*24</f>
        <v>0</v>
      </c>
      <c r="Z52" s="35">
        <f>IFERROR((PA[[#This Row],[Work Completiuon time on fualt]]-PA[[#This Row],[Fault Time]])*24,"")</f>
        <v>0</v>
      </c>
      <c r="AC52" s="47" t="str">
        <f>IFERROR(PA[[#This Row],[Breakdown Time]]*PA[[#This Row],[Plant Equivalent Weightage]],"")</f>
        <v/>
      </c>
      <c r="AE52" s="33" t="str">
        <f>IFERROR((_xlfn.XLOOKUP(PA[[#This Row],[Month Year]],'Modelling New'!D:D,'Modelling New'!$O:$O)*PA[[#This Row],[Lost PoA(Wh/m2)]]*PA[[#This Row],[DC Capacity Affceted (kW)]])/1000,"")</f>
        <v/>
      </c>
      <c r="AF52" s="35"/>
    </row>
    <row r="53" spans="1:32">
      <c r="A53" s="2">
        <f t="shared" si="7"/>
        <v>50</v>
      </c>
      <c r="B53" s="156">
        <f t="shared" si="1"/>
        <v>1900</v>
      </c>
      <c r="C53" s="129">
        <f t="shared" si="2"/>
        <v>1900</v>
      </c>
      <c r="I53" s="29" t="str">
        <f>IFERROR(VLOOKUP(PA[[#This Row],[Date]],Raw_Data[[Date]:[Sunset Time (POA&lt;20 W/m2)]],3,0),"")</f>
        <v/>
      </c>
      <c r="J53" s="29" t="str">
        <f>IFERROR(VLOOKUP(PA[[#This Row],[Date]],Raw_Data[[Date]:[Sunset Time (POA&lt;20 W/m2)]],4,0),"")</f>
        <v/>
      </c>
      <c r="K53" s="27" t="str">
        <f>IFERROR((PA[[#This Row],[Sunset Time (POA&lt;20 W/m2)]]-PA[[#This Row],[Sunrise Time (POA&gt;20 W/m2)]])*24,"")</f>
        <v/>
      </c>
      <c r="M53" s="46" t="str">
        <f>IFERROR(VLOOKUP(PA[[#This Row],[Affceted Equipment]],'Basic Data'!$A$2:$B$114,2,0),"")</f>
        <v/>
      </c>
      <c r="N53" s="48" t="str">
        <f>IFERROR(VLOOKUP(PA[[#This Row],[Affceted Equipment]],'Basic Data'!$A$1:$C$118,3,0),"")</f>
        <v/>
      </c>
      <c r="W53" s="33">
        <f>IF(PA[[#This Row],[Acknowledgemnet Time ]]="NA","",(PA[[#This Row],[Acknowledgemnet Time ]]-PA[[#This Row],[Fault Time]])*24)</f>
        <v>0</v>
      </c>
      <c r="X53" s="33">
        <f>IF(PA[[#This Row],[Work Start time on Fault]]="NA","",(PA[[#This Row],[Work Start time on Fault]]-PA[[#This Row],[Fault Time]])*24)</f>
        <v>0</v>
      </c>
      <c r="Y53" s="35">
        <f>(PA[[#This Row],[Work Completiuon time on fualt]]-PA[[#This Row],[Fault Time]])*24</f>
        <v>0</v>
      </c>
      <c r="Z53" s="35">
        <f>IFERROR((PA[[#This Row],[Work Completiuon time on fualt]]-PA[[#This Row],[Fault Time]])*24,"")</f>
        <v>0</v>
      </c>
      <c r="AC53" s="47" t="str">
        <f>IFERROR(PA[[#This Row],[Breakdown Time]]*PA[[#This Row],[Plant Equivalent Weightage]],"")</f>
        <v/>
      </c>
      <c r="AE53" s="33" t="str">
        <f>IFERROR((_xlfn.XLOOKUP(PA[[#This Row],[Month Year]],'Modelling New'!D:D,'Modelling New'!$O:$O)*PA[[#This Row],[Lost PoA(Wh/m2)]]*PA[[#This Row],[DC Capacity Affceted (kW)]])/1000,"")</f>
        <v/>
      </c>
      <c r="AF53" s="35"/>
    </row>
    <row r="54" spans="1:32">
      <c r="A54" s="2">
        <f t="shared" si="7"/>
        <v>51</v>
      </c>
      <c r="B54" s="156">
        <f t="shared" si="1"/>
        <v>1900</v>
      </c>
      <c r="C54" s="129">
        <f t="shared" si="2"/>
        <v>1900</v>
      </c>
      <c r="I54" s="29" t="str">
        <f>IFERROR(VLOOKUP(PA[[#This Row],[Date]],Raw_Data[[Date]:[Sunset Time (POA&lt;20 W/m2)]],3,0),"")</f>
        <v/>
      </c>
      <c r="J54" s="29" t="str">
        <f>IFERROR(VLOOKUP(PA[[#This Row],[Date]],Raw_Data[[Date]:[Sunset Time (POA&lt;20 W/m2)]],4,0),"")</f>
        <v/>
      </c>
      <c r="K54" s="27" t="str">
        <f>IFERROR((PA[[#This Row],[Sunset Time (POA&lt;20 W/m2)]]-PA[[#This Row],[Sunrise Time (POA&gt;20 W/m2)]])*24,"")</f>
        <v/>
      </c>
      <c r="M54" s="46" t="str">
        <f>IFERROR(VLOOKUP(PA[[#This Row],[Affceted Equipment]],'Basic Data'!$A$2:$B$114,2,0),"")</f>
        <v/>
      </c>
      <c r="N54" s="48" t="str">
        <f>IFERROR(VLOOKUP(PA[[#This Row],[Affceted Equipment]],'Basic Data'!$A$1:$C$118,3,0),"")</f>
        <v/>
      </c>
      <c r="W54" s="33">
        <f>IF(PA[[#This Row],[Acknowledgemnet Time ]]="NA","",(PA[[#This Row],[Acknowledgemnet Time ]]-PA[[#This Row],[Fault Time]])*24)</f>
        <v>0</v>
      </c>
      <c r="X54" s="33">
        <f>IF(PA[[#This Row],[Work Start time on Fault]]="NA","",(PA[[#This Row],[Work Start time on Fault]]-PA[[#This Row],[Fault Time]])*24)</f>
        <v>0</v>
      </c>
      <c r="Y54" s="35">
        <f>(PA[[#This Row],[Work Completiuon time on fualt]]-PA[[#This Row],[Fault Time]])*24</f>
        <v>0</v>
      </c>
      <c r="Z54" s="35">
        <f>IFERROR((PA[[#This Row],[Work Completiuon time on fualt]]-PA[[#This Row],[Fault Time]])*24,"")</f>
        <v>0</v>
      </c>
      <c r="AC54" s="47" t="str">
        <f>IFERROR(PA[[#This Row],[Breakdown Time]]*PA[[#This Row],[Plant Equivalent Weightage]],"")</f>
        <v/>
      </c>
      <c r="AE54" s="33" t="str">
        <f>IFERROR((_xlfn.XLOOKUP(PA[[#This Row],[Month Year]],'Modelling New'!D:D,'Modelling New'!$O:$O)*PA[[#This Row],[Lost PoA(Wh/m2)]]*PA[[#This Row],[DC Capacity Affceted (kW)]])/1000,"")</f>
        <v/>
      </c>
      <c r="AF54" s="35"/>
    </row>
    <row r="55" spans="1:32">
      <c r="A55" s="2">
        <f t="shared" si="7"/>
        <v>52</v>
      </c>
      <c r="B55" s="156">
        <f t="shared" si="1"/>
        <v>1900</v>
      </c>
      <c r="C55" s="129">
        <f t="shared" si="2"/>
        <v>1900</v>
      </c>
      <c r="I55" s="29" t="str">
        <f>IFERROR(VLOOKUP(PA[[#This Row],[Date]],Raw_Data[[Date]:[Sunset Time (POA&lt;20 W/m2)]],3,0),"")</f>
        <v/>
      </c>
      <c r="J55" s="29" t="str">
        <f>IFERROR(VLOOKUP(PA[[#This Row],[Date]],Raw_Data[[Date]:[Sunset Time (POA&lt;20 W/m2)]],4,0),"")</f>
        <v/>
      </c>
      <c r="K55" s="27" t="str">
        <f>IFERROR((PA[[#This Row],[Sunset Time (POA&lt;20 W/m2)]]-PA[[#This Row],[Sunrise Time (POA&gt;20 W/m2)]])*24,"")</f>
        <v/>
      </c>
      <c r="M55" s="46" t="str">
        <f>IFERROR(VLOOKUP(PA[[#This Row],[Affceted Equipment]],'Basic Data'!$A$2:$B$114,2,0),"")</f>
        <v/>
      </c>
      <c r="N55" s="48" t="str">
        <f>IFERROR(VLOOKUP(PA[[#This Row],[Affceted Equipment]],'Basic Data'!$A$1:$C$118,3,0),"")</f>
        <v/>
      </c>
      <c r="W55" s="33">
        <f>IF(PA[[#This Row],[Acknowledgemnet Time ]]="NA","",(PA[[#This Row],[Acknowledgemnet Time ]]-PA[[#This Row],[Fault Time]])*24)</f>
        <v>0</v>
      </c>
      <c r="X55" s="33">
        <f>IF(PA[[#This Row],[Work Start time on Fault]]="NA","",(PA[[#This Row],[Work Start time on Fault]]-PA[[#This Row],[Fault Time]])*24)</f>
        <v>0</v>
      </c>
      <c r="Y55" s="35">
        <f>(PA[[#This Row],[Work Completiuon time on fualt]]-PA[[#This Row],[Fault Time]])*24</f>
        <v>0</v>
      </c>
      <c r="Z55" s="35">
        <f>IFERROR((PA[[#This Row],[Work Completiuon time on fualt]]-PA[[#This Row],[Fault Time]])*24,"")</f>
        <v>0</v>
      </c>
      <c r="AC55" s="47" t="str">
        <f>IFERROR(PA[[#This Row],[Breakdown Time]]*PA[[#This Row],[Plant Equivalent Weightage]],"")</f>
        <v/>
      </c>
      <c r="AE55" s="33" t="str">
        <f>IFERROR((_xlfn.XLOOKUP(PA[[#This Row],[Month Year]],'Modelling New'!D:D,'Modelling New'!$O:$O)*PA[[#This Row],[Lost PoA(Wh/m2)]]*PA[[#This Row],[DC Capacity Affceted (kW)]])/1000,"")</f>
        <v/>
      </c>
      <c r="AF55" s="35"/>
    </row>
    <row r="56" spans="1:32">
      <c r="A56" s="2">
        <f t="shared" si="7"/>
        <v>53</v>
      </c>
      <c r="B56" s="156">
        <f t="shared" si="1"/>
        <v>1900</v>
      </c>
      <c r="C56" s="129">
        <f t="shared" si="2"/>
        <v>1900</v>
      </c>
      <c r="I56" s="29" t="str">
        <f>IFERROR(VLOOKUP(PA[[#This Row],[Date]],Raw_Data[[Date]:[Sunset Time (POA&lt;20 W/m2)]],3,0),"")</f>
        <v/>
      </c>
      <c r="J56" s="29" t="str">
        <f>IFERROR(VLOOKUP(PA[[#This Row],[Date]],Raw_Data[[Date]:[Sunset Time (POA&lt;20 W/m2)]],4,0),"")</f>
        <v/>
      </c>
      <c r="K56" s="27" t="str">
        <f>IFERROR((PA[[#This Row],[Sunset Time (POA&lt;20 W/m2)]]-PA[[#This Row],[Sunrise Time (POA&gt;20 W/m2)]])*24,"")</f>
        <v/>
      </c>
      <c r="M56" s="46" t="str">
        <f>IFERROR(VLOOKUP(PA[[#This Row],[Affceted Equipment]],'Basic Data'!$A$2:$B$114,2,0),"")</f>
        <v/>
      </c>
      <c r="N56" s="48" t="str">
        <f>IFERROR(VLOOKUP(PA[[#This Row],[Affceted Equipment]],'Basic Data'!$A$1:$C$118,3,0),"")</f>
        <v/>
      </c>
      <c r="W56" s="33">
        <f>IF(PA[[#This Row],[Acknowledgemnet Time ]]="NA","",(PA[[#This Row],[Acknowledgemnet Time ]]-PA[[#This Row],[Fault Time]])*24)</f>
        <v>0</v>
      </c>
      <c r="X56" s="33">
        <f>IF(PA[[#This Row],[Work Start time on Fault]]="NA","",(PA[[#This Row],[Work Start time on Fault]]-PA[[#This Row],[Fault Time]])*24)</f>
        <v>0</v>
      </c>
      <c r="Y56" s="35">
        <f>(PA[[#This Row],[Work Completiuon time on fualt]]-PA[[#This Row],[Fault Time]])*24</f>
        <v>0</v>
      </c>
      <c r="Z56" s="35">
        <f>IFERROR((PA[[#This Row],[Work Completiuon time on fualt]]-PA[[#This Row],[Fault Time]])*24,"")</f>
        <v>0</v>
      </c>
      <c r="AC56" s="47" t="str">
        <f>IFERROR(PA[[#This Row],[Breakdown Time]]*PA[[#This Row],[Plant Equivalent Weightage]],"")</f>
        <v/>
      </c>
      <c r="AE56" s="33" t="str">
        <f>IFERROR((_xlfn.XLOOKUP(PA[[#This Row],[Month Year]],'Modelling New'!D:D,'Modelling New'!$O:$O)*PA[[#This Row],[Lost PoA(Wh/m2)]]*PA[[#This Row],[DC Capacity Affceted (kW)]])/1000,"")</f>
        <v/>
      </c>
      <c r="AF56" s="35"/>
    </row>
    <row r="57" spans="1:32">
      <c r="A57" s="2">
        <f t="shared" si="7"/>
        <v>54</v>
      </c>
      <c r="B57" s="156">
        <f t="shared" si="1"/>
        <v>1900</v>
      </c>
      <c r="C57" s="129">
        <f t="shared" si="2"/>
        <v>1900</v>
      </c>
      <c r="I57" s="29" t="str">
        <f>IFERROR(VLOOKUP(PA[[#This Row],[Date]],Raw_Data[[Date]:[Sunset Time (POA&lt;20 W/m2)]],3,0),"")</f>
        <v/>
      </c>
      <c r="J57" s="29" t="str">
        <f>IFERROR(VLOOKUP(PA[[#This Row],[Date]],Raw_Data[[Date]:[Sunset Time (POA&lt;20 W/m2)]],4,0),"")</f>
        <v/>
      </c>
      <c r="K57" s="27" t="str">
        <f>IFERROR((PA[[#This Row],[Sunset Time (POA&lt;20 W/m2)]]-PA[[#This Row],[Sunrise Time (POA&gt;20 W/m2)]])*24,"")</f>
        <v/>
      </c>
      <c r="M57" s="46" t="str">
        <f>IFERROR(VLOOKUP(PA[[#This Row],[Affceted Equipment]],'Basic Data'!$A$2:$B$114,2,0),"")</f>
        <v/>
      </c>
      <c r="N57" s="48" t="str">
        <f>IFERROR(VLOOKUP(PA[[#This Row],[Affceted Equipment]],'Basic Data'!$A$1:$C$118,3,0),"")</f>
        <v/>
      </c>
      <c r="W57" s="33">
        <f>IF(PA[[#This Row],[Acknowledgemnet Time ]]="NA","",(PA[[#This Row],[Acknowledgemnet Time ]]-PA[[#This Row],[Fault Time]])*24)</f>
        <v>0</v>
      </c>
      <c r="X57" s="33">
        <f>IF(PA[[#This Row],[Work Start time on Fault]]="NA","",(PA[[#This Row],[Work Start time on Fault]]-PA[[#This Row],[Fault Time]])*24)</f>
        <v>0</v>
      </c>
      <c r="Y57" s="35">
        <f>(PA[[#This Row],[Work Completiuon time on fualt]]-PA[[#This Row],[Fault Time]])*24</f>
        <v>0</v>
      </c>
      <c r="Z57" s="35">
        <f>IFERROR((PA[[#This Row],[Work Completiuon time on fualt]]-PA[[#This Row],[Fault Time]])*24,"")</f>
        <v>0</v>
      </c>
      <c r="AC57" s="47" t="str">
        <f>IFERROR(PA[[#This Row],[Breakdown Time]]*PA[[#This Row],[Plant Equivalent Weightage]],"")</f>
        <v/>
      </c>
      <c r="AE57" s="33" t="str">
        <f>IFERROR((_xlfn.XLOOKUP(PA[[#This Row],[Month Year]],'Modelling New'!D:D,'Modelling New'!$O:$O)*PA[[#This Row],[Lost PoA(Wh/m2)]]*PA[[#This Row],[DC Capacity Affceted (kW)]])/1000,"")</f>
        <v/>
      </c>
      <c r="AF57" s="35"/>
    </row>
    <row r="58" spans="1:32">
      <c r="A58" s="2">
        <f t="shared" si="7"/>
        <v>55</v>
      </c>
      <c r="B58" s="156">
        <f t="shared" si="1"/>
        <v>1900</v>
      </c>
      <c r="C58" s="129">
        <f t="shared" si="2"/>
        <v>1900</v>
      </c>
      <c r="I58" s="29" t="str">
        <f>IFERROR(VLOOKUP(PA[[#This Row],[Date]],Raw_Data[[Date]:[Sunset Time (POA&lt;20 W/m2)]],3,0),"")</f>
        <v/>
      </c>
      <c r="J58" s="29" t="str">
        <f>IFERROR(VLOOKUP(PA[[#This Row],[Date]],Raw_Data[[Date]:[Sunset Time (POA&lt;20 W/m2)]],4,0),"")</f>
        <v/>
      </c>
      <c r="K58" s="27" t="str">
        <f>IFERROR((PA[[#This Row],[Sunset Time (POA&lt;20 W/m2)]]-PA[[#This Row],[Sunrise Time (POA&gt;20 W/m2)]])*24,"")</f>
        <v/>
      </c>
      <c r="M58" s="46" t="str">
        <f>IFERROR(VLOOKUP(PA[[#This Row],[Affceted Equipment]],'Basic Data'!$A$2:$B$114,2,0),"")</f>
        <v/>
      </c>
      <c r="N58" s="48" t="str">
        <f>IFERROR(VLOOKUP(PA[[#This Row],[Affceted Equipment]],'Basic Data'!$A$1:$C$118,3,0),"")</f>
        <v/>
      </c>
      <c r="W58" s="33">
        <f>IF(PA[[#This Row],[Acknowledgemnet Time ]]="NA","",(PA[[#This Row],[Acknowledgemnet Time ]]-PA[[#This Row],[Fault Time]])*24)</f>
        <v>0</v>
      </c>
      <c r="X58" s="33">
        <f>IF(PA[[#This Row],[Work Start time on Fault]]="NA","",(PA[[#This Row],[Work Start time on Fault]]-PA[[#This Row],[Fault Time]])*24)</f>
        <v>0</v>
      </c>
      <c r="Y58" s="35">
        <f>(PA[[#This Row],[Work Completiuon time on fualt]]-PA[[#This Row],[Fault Time]])*24</f>
        <v>0</v>
      </c>
      <c r="Z58" s="35">
        <f>IFERROR((PA[[#This Row],[Work Completiuon time on fualt]]-PA[[#This Row],[Fault Time]])*24,"")</f>
        <v>0</v>
      </c>
      <c r="AC58" s="47" t="str">
        <f>IFERROR(PA[[#This Row],[Breakdown Time]]*PA[[#This Row],[Plant Equivalent Weightage]],"")</f>
        <v/>
      </c>
      <c r="AE58" s="33" t="str">
        <f>IFERROR((_xlfn.XLOOKUP(PA[[#This Row],[Month Year]],'Modelling New'!D:D,'Modelling New'!$O:$O)*PA[[#This Row],[Lost PoA(Wh/m2)]]*PA[[#This Row],[DC Capacity Affceted (kW)]])/1000,"")</f>
        <v/>
      </c>
      <c r="AF58" s="35"/>
    </row>
    <row r="59" spans="1:32">
      <c r="A59" s="2">
        <f t="shared" si="7"/>
        <v>56</v>
      </c>
      <c r="B59" s="156">
        <f t="shared" si="1"/>
        <v>1900</v>
      </c>
      <c r="C59" s="129">
        <f t="shared" si="2"/>
        <v>1900</v>
      </c>
      <c r="I59" s="29" t="str">
        <f>IFERROR(VLOOKUP(PA[[#This Row],[Date]],Raw_Data[[Date]:[Sunset Time (POA&lt;20 W/m2)]],3,0),"")</f>
        <v/>
      </c>
      <c r="J59" s="29" t="str">
        <f>IFERROR(VLOOKUP(PA[[#This Row],[Date]],Raw_Data[[Date]:[Sunset Time (POA&lt;20 W/m2)]],4,0),"")</f>
        <v/>
      </c>
      <c r="K59" s="27" t="str">
        <f>IFERROR((PA[[#This Row],[Sunset Time (POA&lt;20 W/m2)]]-PA[[#This Row],[Sunrise Time (POA&gt;20 W/m2)]])*24,"")</f>
        <v/>
      </c>
      <c r="M59" s="46" t="str">
        <f>IFERROR(VLOOKUP(PA[[#This Row],[Affceted Equipment]],'Basic Data'!$A$2:$B$114,2,0),"")</f>
        <v/>
      </c>
      <c r="N59" s="48" t="str">
        <f>IFERROR(VLOOKUP(PA[[#This Row],[Affceted Equipment]],'Basic Data'!$A$1:$C$118,3,0),"")</f>
        <v/>
      </c>
      <c r="W59" s="33">
        <f>IF(PA[[#This Row],[Acknowledgemnet Time ]]="NA","",(PA[[#This Row],[Acknowledgemnet Time ]]-PA[[#This Row],[Fault Time]])*24)</f>
        <v>0</v>
      </c>
      <c r="X59" s="33">
        <f>IF(PA[[#This Row],[Work Start time on Fault]]="NA","",(PA[[#This Row],[Work Start time on Fault]]-PA[[#This Row],[Fault Time]])*24)</f>
        <v>0</v>
      </c>
      <c r="Y59" s="35">
        <f>(PA[[#This Row],[Work Completiuon time on fualt]]-PA[[#This Row],[Fault Time]])*24</f>
        <v>0</v>
      </c>
      <c r="Z59" s="35">
        <f>IFERROR((PA[[#This Row],[Work Completiuon time on fualt]]-PA[[#This Row],[Fault Time]])*24,"")</f>
        <v>0</v>
      </c>
      <c r="AC59" s="47" t="str">
        <f>IFERROR(PA[[#This Row],[Breakdown Time]]*PA[[#This Row],[Plant Equivalent Weightage]],"")</f>
        <v/>
      </c>
      <c r="AE59" s="33" t="str">
        <f>IFERROR((_xlfn.XLOOKUP(PA[[#This Row],[Month Year]],'Modelling New'!D:D,'Modelling New'!$O:$O)*PA[[#This Row],[Lost PoA(Wh/m2)]]*PA[[#This Row],[DC Capacity Affceted (kW)]])/1000,"")</f>
        <v/>
      </c>
      <c r="AF59" s="35"/>
    </row>
    <row r="60" spans="1:32">
      <c r="A60" s="2">
        <f t="shared" si="7"/>
        <v>57</v>
      </c>
      <c r="B60" s="156">
        <f t="shared" si="1"/>
        <v>1900</v>
      </c>
      <c r="C60" s="129">
        <f t="shared" si="2"/>
        <v>1900</v>
      </c>
      <c r="I60" s="29" t="str">
        <f>IFERROR(VLOOKUP(PA[[#This Row],[Date]],Raw_Data[[Date]:[Sunset Time (POA&lt;20 W/m2)]],3,0),"")</f>
        <v/>
      </c>
      <c r="J60" s="29" t="str">
        <f>IFERROR(VLOOKUP(PA[[#This Row],[Date]],Raw_Data[[Date]:[Sunset Time (POA&lt;20 W/m2)]],4,0),"")</f>
        <v/>
      </c>
      <c r="K60" s="27" t="str">
        <f>IFERROR((PA[[#This Row],[Sunset Time (POA&lt;20 W/m2)]]-PA[[#This Row],[Sunrise Time (POA&gt;20 W/m2)]])*24,"")</f>
        <v/>
      </c>
      <c r="M60" s="46" t="str">
        <f>IFERROR(VLOOKUP(PA[[#This Row],[Affceted Equipment]],'Basic Data'!$A$2:$B$114,2,0),"")</f>
        <v/>
      </c>
      <c r="N60" s="48" t="str">
        <f>IFERROR(VLOOKUP(PA[[#This Row],[Affceted Equipment]],'Basic Data'!$A$1:$C$118,3,0),"")</f>
        <v/>
      </c>
      <c r="W60" s="33">
        <f>IF(PA[[#This Row],[Acknowledgemnet Time ]]="NA","",(PA[[#This Row],[Acknowledgemnet Time ]]-PA[[#This Row],[Fault Time]])*24)</f>
        <v>0</v>
      </c>
      <c r="X60" s="33">
        <f>IF(PA[[#This Row],[Work Start time on Fault]]="NA","",(PA[[#This Row],[Work Start time on Fault]]-PA[[#This Row],[Fault Time]])*24)</f>
        <v>0</v>
      </c>
      <c r="Y60" s="35">
        <f>(PA[[#This Row],[Work Completiuon time on fualt]]-PA[[#This Row],[Fault Time]])*24</f>
        <v>0</v>
      </c>
      <c r="Z60" s="35">
        <f>IFERROR((PA[[#This Row],[Work Completiuon time on fualt]]-PA[[#This Row],[Fault Time]])*24,"")</f>
        <v>0</v>
      </c>
      <c r="AC60" s="47" t="str">
        <f>IFERROR(PA[[#This Row],[Breakdown Time]]*PA[[#This Row],[Plant Equivalent Weightage]],"")</f>
        <v/>
      </c>
      <c r="AE60" s="33" t="str">
        <f>IFERROR((_xlfn.XLOOKUP(PA[[#This Row],[Month Year]],'Modelling New'!D:D,'Modelling New'!$O:$O)*PA[[#This Row],[Lost PoA(Wh/m2)]]*PA[[#This Row],[DC Capacity Affceted (kW)]])/1000,"")</f>
        <v/>
      </c>
      <c r="AF60" s="35"/>
    </row>
    <row r="61" spans="1:32">
      <c r="A61" s="2">
        <f t="shared" si="7"/>
        <v>58</v>
      </c>
      <c r="B61" s="156">
        <f t="shared" si="1"/>
        <v>1900</v>
      </c>
      <c r="C61" s="129">
        <f t="shared" si="2"/>
        <v>1900</v>
      </c>
      <c r="I61" s="29" t="str">
        <f>IFERROR(VLOOKUP(PA[[#This Row],[Date]],Raw_Data[[Date]:[Sunset Time (POA&lt;20 W/m2)]],3,0),"")</f>
        <v/>
      </c>
      <c r="J61" s="29" t="str">
        <f>IFERROR(VLOOKUP(PA[[#This Row],[Date]],Raw_Data[[Date]:[Sunset Time (POA&lt;20 W/m2)]],4,0),"")</f>
        <v/>
      </c>
      <c r="K61" s="27" t="str">
        <f>IFERROR((PA[[#This Row],[Sunset Time (POA&lt;20 W/m2)]]-PA[[#This Row],[Sunrise Time (POA&gt;20 W/m2)]])*24,"")</f>
        <v/>
      </c>
      <c r="M61" s="46" t="str">
        <f>IFERROR(VLOOKUP(PA[[#This Row],[Affceted Equipment]],'Basic Data'!$A$2:$B$114,2,0),"")</f>
        <v/>
      </c>
      <c r="N61" s="48" t="str">
        <f>IFERROR(VLOOKUP(PA[[#This Row],[Affceted Equipment]],'Basic Data'!$A$1:$C$118,3,0),"")</f>
        <v/>
      </c>
      <c r="W61" s="33">
        <f>IF(PA[[#This Row],[Acknowledgemnet Time ]]="NA","",(PA[[#This Row],[Acknowledgemnet Time ]]-PA[[#This Row],[Fault Time]])*24)</f>
        <v>0</v>
      </c>
      <c r="X61" s="33">
        <f>IF(PA[[#This Row],[Work Start time on Fault]]="NA","",(PA[[#This Row],[Work Start time on Fault]]-PA[[#This Row],[Fault Time]])*24)</f>
        <v>0</v>
      </c>
      <c r="Y61" s="35">
        <f>(PA[[#This Row],[Work Completiuon time on fualt]]-PA[[#This Row],[Fault Time]])*24</f>
        <v>0</v>
      </c>
      <c r="Z61" s="35">
        <f>IFERROR((PA[[#This Row],[Work Completiuon time on fualt]]-PA[[#This Row],[Fault Time]])*24,"")</f>
        <v>0</v>
      </c>
      <c r="AC61" s="47" t="str">
        <f>IFERROR(PA[[#This Row],[Breakdown Time]]*PA[[#This Row],[Plant Equivalent Weightage]],"")</f>
        <v/>
      </c>
      <c r="AE61" s="33" t="str">
        <f>IFERROR((_xlfn.XLOOKUP(PA[[#This Row],[Month Year]],'Modelling New'!D:D,'Modelling New'!$O:$O)*PA[[#This Row],[Lost PoA(Wh/m2)]]*PA[[#This Row],[DC Capacity Affceted (kW)]])/1000,"")</f>
        <v/>
      </c>
      <c r="AF61" s="35"/>
    </row>
    <row r="62" spans="1:32">
      <c r="A62" s="2">
        <f t="shared" si="7"/>
        <v>59</v>
      </c>
      <c r="B62" s="156">
        <f t="shared" si="1"/>
        <v>1900</v>
      </c>
      <c r="C62" s="129">
        <f t="shared" si="2"/>
        <v>1900</v>
      </c>
      <c r="I62" s="29" t="str">
        <f>IFERROR(VLOOKUP(PA[[#This Row],[Date]],Raw_Data[[Date]:[Sunset Time (POA&lt;20 W/m2)]],3,0),"")</f>
        <v/>
      </c>
      <c r="J62" s="29" t="str">
        <f>IFERROR(VLOOKUP(PA[[#This Row],[Date]],Raw_Data[[Date]:[Sunset Time (POA&lt;20 W/m2)]],4,0),"")</f>
        <v/>
      </c>
      <c r="K62" s="27" t="str">
        <f>IFERROR((PA[[#This Row],[Sunset Time (POA&lt;20 W/m2)]]-PA[[#This Row],[Sunrise Time (POA&gt;20 W/m2)]])*24,"")</f>
        <v/>
      </c>
      <c r="M62" s="46" t="str">
        <f>IFERROR(VLOOKUP(PA[[#This Row],[Affceted Equipment]],'Basic Data'!$A$2:$B$114,2,0),"")</f>
        <v/>
      </c>
      <c r="N62" s="48" t="str">
        <f>IFERROR(VLOOKUP(PA[[#This Row],[Affceted Equipment]],'Basic Data'!$A$1:$C$118,3,0),"")</f>
        <v/>
      </c>
      <c r="W62" s="33">
        <f>IF(PA[[#This Row],[Acknowledgemnet Time ]]="NA","",(PA[[#This Row],[Acknowledgemnet Time ]]-PA[[#This Row],[Fault Time]])*24)</f>
        <v>0</v>
      </c>
      <c r="X62" s="33">
        <f>IF(PA[[#This Row],[Work Start time on Fault]]="NA","",(PA[[#This Row],[Work Start time on Fault]]-PA[[#This Row],[Fault Time]])*24)</f>
        <v>0</v>
      </c>
      <c r="Y62" s="35">
        <f>(PA[[#This Row],[Work Completiuon time on fualt]]-PA[[#This Row],[Fault Time]])*24</f>
        <v>0</v>
      </c>
      <c r="Z62" s="35">
        <f>IFERROR((PA[[#This Row],[Work Completiuon time on fualt]]-PA[[#This Row],[Fault Time]])*24,"")</f>
        <v>0</v>
      </c>
      <c r="AC62" s="47" t="str">
        <f>IFERROR(PA[[#This Row],[Breakdown Time]]*PA[[#This Row],[Plant Equivalent Weightage]],"")</f>
        <v/>
      </c>
      <c r="AE62" s="33" t="str">
        <f>IFERROR((_xlfn.XLOOKUP(PA[[#This Row],[Month Year]],'Modelling New'!D:D,'Modelling New'!$O:$O)*PA[[#This Row],[Lost PoA(Wh/m2)]]*PA[[#This Row],[DC Capacity Affceted (kW)]])/1000,"")</f>
        <v/>
      </c>
      <c r="AF62" s="35"/>
    </row>
    <row r="63" spans="1:32">
      <c r="A63" s="2">
        <f t="shared" si="7"/>
        <v>60</v>
      </c>
      <c r="B63" s="156">
        <f t="shared" si="1"/>
        <v>1900</v>
      </c>
      <c r="C63" s="129">
        <f t="shared" si="2"/>
        <v>1900</v>
      </c>
      <c r="I63" s="29" t="str">
        <f>IFERROR(VLOOKUP(PA[[#This Row],[Date]],Raw_Data[[Date]:[Sunset Time (POA&lt;20 W/m2)]],3,0),"")</f>
        <v/>
      </c>
      <c r="J63" s="29" t="str">
        <f>IFERROR(VLOOKUP(PA[[#This Row],[Date]],Raw_Data[[Date]:[Sunset Time (POA&lt;20 W/m2)]],4,0),"")</f>
        <v/>
      </c>
      <c r="K63" s="27" t="str">
        <f>IFERROR((PA[[#This Row],[Sunset Time (POA&lt;20 W/m2)]]-PA[[#This Row],[Sunrise Time (POA&gt;20 W/m2)]])*24,"")</f>
        <v/>
      </c>
      <c r="M63" s="46" t="str">
        <f>IFERROR(VLOOKUP(PA[[#This Row],[Affceted Equipment]],'Basic Data'!$A$2:$B$114,2,0),"")</f>
        <v/>
      </c>
      <c r="N63" s="48" t="str">
        <f>IFERROR(VLOOKUP(PA[[#This Row],[Affceted Equipment]],'Basic Data'!$A$1:$C$118,3,0),"")</f>
        <v/>
      </c>
      <c r="W63" s="33">
        <f>IF(PA[[#This Row],[Acknowledgemnet Time ]]="NA","",(PA[[#This Row],[Acknowledgemnet Time ]]-PA[[#This Row],[Fault Time]])*24)</f>
        <v>0</v>
      </c>
      <c r="X63" s="33">
        <f>IF(PA[[#This Row],[Work Start time on Fault]]="NA","",(PA[[#This Row],[Work Start time on Fault]]-PA[[#This Row],[Fault Time]])*24)</f>
        <v>0</v>
      </c>
      <c r="Y63" s="35">
        <f>(PA[[#This Row],[Work Completiuon time on fualt]]-PA[[#This Row],[Fault Time]])*24</f>
        <v>0</v>
      </c>
      <c r="Z63" s="35">
        <f>IFERROR((PA[[#This Row],[Work Completiuon time on fualt]]-PA[[#This Row],[Fault Time]])*24,"")</f>
        <v>0</v>
      </c>
      <c r="AC63" s="47" t="str">
        <f>IFERROR(PA[[#This Row],[Breakdown Time]]*PA[[#This Row],[Plant Equivalent Weightage]],"")</f>
        <v/>
      </c>
      <c r="AE63" s="33" t="str">
        <f>IFERROR((_xlfn.XLOOKUP(PA[[#This Row],[Month Year]],'Modelling New'!D:D,'Modelling New'!$O:$O)*PA[[#This Row],[Lost PoA(Wh/m2)]]*PA[[#This Row],[DC Capacity Affceted (kW)]])/1000,"")</f>
        <v/>
      </c>
      <c r="AF63" s="35"/>
    </row>
    <row r="64" spans="1:32">
      <c r="A64" s="2">
        <f t="shared" si="7"/>
        <v>61</v>
      </c>
      <c r="B64" s="156">
        <f t="shared" si="1"/>
        <v>1900</v>
      </c>
      <c r="C64" s="129">
        <f t="shared" si="2"/>
        <v>1900</v>
      </c>
      <c r="I64" s="29" t="str">
        <f>IFERROR(VLOOKUP(PA[[#This Row],[Date]],Raw_Data[[Date]:[Sunset Time (POA&lt;20 W/m2)]],3,0),"")</f>
        <v/>
      </c>
      <c r="J64" s="29" t="str">
        <f>IFERROR(VLOOKUP(PA[[#This Row],[Date]],Raw_Data[[Date]:[Sunset Time (POA&lt;20 W/m2)]],4,0),"")</f>
        <v/>
      </c>
      <c r="K64" s="27" t="str">
        <f>IFERROR((PA[[#This Row],[Sunset Time (POA&lt;20 W/m2)]]-PA[[#This Row],[Sunrise Time (POA&gt;20 W/m2)]])*24,"")</f>
        <v/>
      </c>
      <c r="M64" s="46" t="str">
        <f>IFERROR(VLOOKUP(PA[[#This Row],[Affceted Equipment]],'Basic Data'!$A$2:$B$114,2,0),"")</f>
        <v/>
      </c>
      <c r="N64" s="48" t="str">
        <f>IFERROR(VLOOKUP(PA[[#This Row],[Affceted Equipment]],'Basic Data'!$A$1:$C$118,3,0),"")</f>
        <v/>
      </c>
      <c r="W64" s="33">
        <f>IF(PA[[#This Row],[Acknowledgemnet Time ]]="NA","",(PA[[#This Row],[Acknowledgemnet Time ]]-PA[[#This Row],[Fault Time]])*24)</f>
        <v>0</v>
      </c>
      <c r="X64" s="33">
        <f>IF(PA[[#This Row],[Work Start time on Fault]]="NA","",(PA[[#This Row],[Work Start time on Fault]]-PA[[#This Row],[Fault Time]])*24)</f>
        <v>0</v>
      </c>
      <c r="Y64" s="35">
        <f>(PA[[#This Row],[Work Completiuon time on fualt]]-PA[[#This Row],[Fault Time]])*24</f>
        <v>0</v>
      </c>
      <c r="Z64" s="35">
        <f>IFERROR((PA[[#This Row],[Work Completiuon time on fualt]]-PA[[#This Row],[Fault Time]])*24,"")</f>
        <v>0</v>
      </c>
      <c r="AC64" s="47" t="str">
        <f>IFERROR(PA[[#This Row],[Breakdown Time]]*PA[[#This Row],[Plant Equivalent Weightage]],"")</f>
        <v/>
      </c>
      <c r="AE64" s="33" t="str">
        <f>IFERROR((_xlfn.XLOOKUP(PA[[#This Row],[Month Year]],'Modelling New'!D:D,'Modelling New'!$O:$O)*PA[[#This Row],[Lost PoA(Wh/m2)]]*PA[[#This Row],[DC Capacity Affceted (kW)]])/1000,"")</f>
        <v/>
      </c>
      <c r="AF64" s="35"/>
    </row>
    <row r="65" spans="1:32">
      <c r="A65" s="2">
        <f t="shared" si="7"/>
        <v>62</v>
      </c>
      <c r="B65" s="156">
        <f t="shared" si="1"/>
        <v>1900</v>
      </c>
      <c r="C65" s="129">
        <f t="shared" si="2"/>
        <v>1900</v>
      </c>
      <c r="I65" s="29" t="str">
        <f>IFERROR(VLOOKUP(PA[[#This Row],[Date]],Raw_Data[[Date]:[Sunset Time (POA&lt;20 W/m2)]],3,0),"")</f>
        <v/>
      </c>
      <c r="J65" s="29" t="str">
        <f>IFERROR(VLOOKUP(PA[[#This Row],[Date]],Raw_Data[[Date]:[Sunset Time (POA&lt;20 W/m2)]],4,0),"")</f>
        <v/>
      </c>
      <c r="K65" s="27" t="str">
        <f>IFERROR((PA[[#This Row],[Sunset Time (POA&lt;20 W/m2)]]-PA[[#This Row],[Sunrise Time (POA&gt;20 W/m2)]])*24,"")</f>
        <v/>
      </c>
      <c r="M65" s="46" t="str">
        <f>IFERROR(VLOOKUP(PA[[#This Row],[Affceted Equipment]],'Basic Data'!$A$2:$B$114,2,0),"")</f>
        <v/>
      </c>
      <c r="N65" s="48" t="str">
        <f>IFERROR(VLOOKUP(PA[[#This Row],[Affceted Equipment]],'Basic Data'!$A$1:$C$118,3,0),"")</f>
        <v/>
      </c>
      <c r="W65" s="33">
        <f>IF(PA[[#This Row],[Acknowledgemnet Time ]]="NA","",(PA[[#This Row],[Acknowledgemnet Time ]]-PA[[#This Row],[Fault Time]])*24)</f>
        <v>0</v>
      </c>
      <c r="X65" s="33">
        <f>IF(PA[[#This Row],[Work Start time on Fault]]="NA","",(PA[[#This Row],[Work Start time on Fault]]-PA[[#This Row],[Fault Time]])*24)</f>
        <v>0</v>
      </c>
      <c r="Y65" s="35">
        <f>(PA[[#This Row],[Work Completiuon time on fualt]]-PA[[#This Row],[Fault Time]])*24</f>
        <v>0</v>
      </c>
      <c r="Z65" s="35">
        <f>IFERROR((PA[[#This Row],[Work Completiuon time on fualt]]-PA[[#This Row],[Fault Time]])*24,"")</f>
        <v>0</v>
      </c>
      <c r="AC65" s="47" t="str">
        <f>IFERROR(PA[[#This Row],[Breakdown Time]]*PA[[#This Row],[Plant Equivalent Weightage]],"")</f>
        <v/>
      </c>
      <c r="AE65" s="33" t="str">
        <f>IFERROR((_xlfn.XLOOKUP(PA[[#This Row],[Month Year]],'Modelling New'!D:D,'Modelling New'!$O:$O)*PA[[#This Row],[Lost PoA(Wh/m2)]]*PA[[#This Row],[DC Capacity Affceted (kW)]])/1000,"")</f>
        <v/>
      </c>
      <c r="AF65" s="35"/>
    </row>
    <row r="66" spans="1:32">
      <c r="A66" s="2">
        <f t="shared" si="7"/>
        <v>63</v>
      </c>
      <c r="B66" s="156">
        <f t="shared" si="1"/>
        <v>1900</v>
      </c>
      <c r="C66" s="129">
        <f t="shared" si="2"/>
        <v>1900</v>
      </c>
      <c r="I66" s="29" t="str">
        <f>IFERROR(VLOOKUP(PA[[#This Row],[Date]],Raw_Data[[Date]:[Sunset Time (POA&lt;20 W/m2)]],3,0),"")</f>
        <v/>
      </c>
      <c r="J66" s="29" t="str">
        <f>IFERROR(VLOOKUP(PA[[#This Row],[Date]],Raw_Data[[Date]:[Sunset Time (POA&lt;20 W/m2)]],4,0),"")</f>
        <v/>
      </c>
      <c r="K66" s="27" t="str">
        <f>IFERROR((PA[[#This Row],[Sunset Time (POA&lt;20 W/m2)]]-PA[[#This Row],[Sunrise Time (POA&gt;20 W/m2)]])*24,"")</f>
        <v/>
      </c>
      <c r="M66" s="46" t="str">
        <f>IFERROR(VLOOKUP(PA[[#This Row],[Affceted Equipment]],'Basic Data'!$A$2:$B$114,2,0),"")</f>
        <v/>
      </c>
      <c r="N66" s="48" t="str">
        <f>IFERROR(VLOOKUP(PA[[#This Row],[Affceted Equipment]],'Basic Data'!$A$1:$C$118,3,0),"")</f>
        <v/>
      </c>
      <c r="W66" s="33">
        <f>IF(PA[[#This Row],[Acknowledgemnet Time ]]="NA","",(PA[[#This Row],[Acknowledgemnet Time ]]-PA[[#This Row],[Fault Time]])*24)</f>
        <v>0</v>
      </c>
      <c r="X66" s="33">
        <f>IF(PA[[#This Row],[Work Start time on Fault]]="NA","",(PA[[#This Row],[Work Start time on Fault]]-PA[[#This Row],[Fault Time]])*24)</f>
        <v>0</v>
      </c>
      <c r="Y66" s="35">
        <f>(PA[[#This Row],[Work Completiuon time on fualt]]-PA[[#This Row],[Fault Time]])*24</f>
        <v>0</v>
      </c>
      <c r="Z66" s="35">
        <f>IFERROR((PA[[#This Row],[Work Completiuon time on fualt]]-PA[[#This Row],[Fault Time]])*24,"")</f>
        <v>0</v>
      </c>
      <c r="AC66" s="47" t="str">
        <f>IFERROR(PA[[#This Row],[Breakdown Time]]*PA[[#This Row],[Plant Equivalent Weightage]],"")</f>
        <v/>
      </c>
      <c r="AE66" s="33" t="str">
        <f>IFERROR((_xlfn.XLOOKUP(PA[[#This Row],[Month Year]],'Modelling New'!D:D,'Modelling New'!$O:$O)*PA[[#This Row],[Lost PoA(Wh/m2)]]*PA[[#This Row],[DC Capacity Affceted (kW)]])/1000,"")</f>
        <v/>
      </c>
      <c r="AF66" s="35"/>
    </row>
    <row r="67" spans="1:32">
      <c r="A67" s="2">
        <f t="shared" si="7"/>
        <v>64</v>
      </c>
      <c r="B67" s="156">
        <f t="shared" si="1"/>
        <v>1900</v>
      </c>
      <c r="C67" s="129">
        <f t="shared" si="2"/>
        <v>1900</v>
      </c>
      <c r="I67" s="29" t="str">
        <f>IFERROR(VLOOKUP(PA[[#This Row],[Date]],Raw_Data[[Date]:[Sunset Time (POA&lt;20 W/m2)]],3,0),"")</f>
        <v/>
      </c>
      <c r="J67" s="29" t="str">
        <f>IFERROR(VLOOKUP(PA[[#This Row],[Date]],Raw_Data[[Date]:[Sunset Time (POA&lt;20 W/m2)]],4,0),"")</f>
        <v/>
      </c>
      <c r="K67" s="27" t="str">
        <f>IFERROR((PA[[#This Row],[Sunset Time (POA&lt;20 W/m2)]]-PA[[#This Row],[Sunrise Time (POA&gt;20 W/m2)]])*24,"")</f>
        <v/>
      </c>
      <c r="M67" s="46" t="str">
        <f>IFERROR(VLOOKUP(PA[[#This Row],[Affceted Equipment]],'Basic Data'!$A$2:$B$114,2,0),"")</f>
        <v/>
      </c>
      <c r="N67" s="48" t="str">
        <f>IFERROR(VLOOKUP(PA[[#This Row],[Affceted Equipment]],'Basic Data'!$A$1:$C$118,3,0),"")</f>
        <v/>
      </c>
      <c r="W67" s="33">
        <f>IF(PA[[#This Row],[Acknowledgemnet Time ]]="NA","",(PA[[#This Row],[Acknowledgemnet Time ]]-PA[[#This Row],[Fault Time]])*24)</f>
        <v>0</v>
      </c>
      <c r="X67" s="33">
        <f>IF(PA[[#This Row],[Work Start time on Fault]]="NA","",(PA[[#This Row],[Work Start time on Fault]]-PA[[#This Row],[Fault Time]])*24)</f>
        <v>0</v>
      </c>
      <c r="Y67" s="35">
        <f>(PA[[#This Row],[Work Completiuon time on fualt]]-PA[[#This Row],[Fault Time]])*24</f>
        <v>0</v>
      </c>
      <c r="Z67" s="35">
        <f>IFERROR((PA[[#This Row],[Work Completiuon time on fualt]]-PA[[#This Row],[Fault Time]])*24,"")</f>
        <v>0</v>
      </c>
      <c r="AC67" s="47" t="str">
        <f>IFERROR(PA[[#This Row],[Breakdown Time]]*PA[[#This Row],[Plant Equivalent Weightage]],"")</f>
        <v/>
      </c>
      <c r="AE67" s="33" t="str">
        <f>IFERROR((_xlfn.XLOOKUP(PA[[#This Row],[Month Year]],'Modelling New'!D:D,'Modelling New'!$O:$O)*PA[[#This Row],[Lost PoA(Wh/m2)]]*PA[[#This Row],[DC Capacity Affceted (kW)]])/1000,"")</f>
        <v/>
      </c>
      <c r="AF67" s="35"/>
    </row>
    <row r="68" spans="1:32">
      <c r="A68" s="2">
        <f t="shared" si="7"/>
        <v>65</v>
      </c>
      <c r="B68" s="156">
        <f t="shared" si="1"/>
        <v>1900</v>
      </c>
      <c r="C68" s="129">
        <f t="shared" si="2"/>
        <v>1900</v>
      </c>
      <c r="I68" s="29" t="str">
        <f>IFERROR(VLOOKUP(PA[[#This Row],[Date]],Raw_Data[[Date]:[Sunset Time (POA&lt;20 W/m2)]],3,0),"")</f>
        <v/>
      </c>
      <c r="J68" s="29" t="str">
        <f>IFERROR(VLOOKUP(PA[[#This Row],[Date]],Raw_Data[[Date]:[Sunset Time (POA&lt;20 W/m2)]],4,0),"")</f>
        <v/>
      </c>
      <c r="K68" s="27" t="str">
        <f>IFERROR((PA[[#This Row],[Sunset Time (POA&lt;20 W/m2)]]-PA[[#This Row],[Sunrise Time (POA&gt;20 W/m2)]])*24,"")</f>
        <v/>
      </c>
      <c r="M68" s="46" t="str">
        <f>IFERROR(VLOOKUP(PA[[#This Row],[Affceted Equipment]],'Basic Data'!$A$2:$B$114,2,0),"")</f>
        <v/>
      </c>
      <c r="N68" s="48" t="str">
        <f>IFERROR(VLOOKUP(PA[[#This Row],[Affceted Equipment]],'Basic Data'!$A$1:$C$118,3,0),"")</f>
        <v/>
      </c>
      <c r="W68" s="33">
        <f>IF(PA[[#This Row],[Acknowledgemnet Time ]]="NA","",(PA[[#This Row],[Acknowledgemnet Time ]]-PA[[#This Row],[Fault Time]])*24)</f>
        <v>0</v>
      </c>
      <c r="X68" s="33">
        <f>IF(PA[[#This Row],[Work Start time on Fault]]="NA","",(PA[[#This Row],[Work Start time on Fault]]-PA[[#This Row],[Fault Time]])*24)</f>
        <v>0</v>
      </c>
      <c r="Y68" s="35">
        <f>(PA[[#This Row],[Work Completiuon time on fualt]]-PA[[#This Row],[Fault Time]])*24</f>
        <v>0</v>
      </c>
      <c r="Z68" s="35">
        <f>IFERROR((PA[[#This Row],[Work Completiuon time on fualt]]-PA[[#This Row],[Fault Time]])*24,"")</f>
        <v>0</v>
      </c>
      <c r="AC68" s="47" t="str">
        <f>IFERROR(PA[[#This Row],[Breakdown Time]]*PA[[#This Row],[Plant Equivalent Weightage]],"")</f>
        <v/>
      </c>
      <c r="AE68" s="33" t="str">
        <f>IFERROR((_xlfn.XLOOKUP(PA[[#This Row],[Month Year]],'Modelling New'!D:D,'Modelling New'!$O:$O)*PA[[#This Row],[Lost PoA(Wh/m2)]]*PA[[#This Row],[DC Capacity Affceted (kW)]])/1000,"")</f>
        <v/>
      </c>
      <c r="AF68" s="35"/>
    </row>
    <row r="69" spans="1:32">
      <c r="A69" s="2">
        <f t="shared" si="7"/>
        <v>66</v>
      </c>
      <c r="B69" s="156">
        <f t="shared" ref="B69:B132" si="11">YEAR(H69)+IF(MONTH(H69)&gt;=4,1,0)</f>
        <v>1900</v>
      </c>
      <c r="C69" s="129">
        <f t="shared" ref="C69:C132" si="12">YEAR(H69)</f>
        <v>1900</v>
      </c>
      <c r="I69" s="29" t="str">
        <f>IFERROR(VLOOKUP(PA[[#This Row],[Date]],Raw_Data[[Date]:[Sunset Time (POA&lt;20 W/m2)]],3,0),"")</f>
        <v/>
      </c>
      <c r="J69" s="29" t="str">
        <f>IFERROR(VLOOKUP(PA[[#This Row],[Date]],Raw_Data[[Date]:[Sunset Time (POA&lt;20 W/m2)]],4,0),"")</f>
        <v/>
      </c>
      <c r="K69" s="27" t="str">
        <f>IFERROR((PA[[#This Row],[Sunset Time (POA&lt;20 W/m2)]]-PA[[#This Row],[Sunrise Time (POA&gt;20 W/m2)]])*24,"")</f>
        <v/>
      </c>
      <c r="M69" s="46" t="str">
        <f>IFERROR(VLOOKUP(PA[[#This Row],[Affceted Equipment]],'Basic Data'!$A$2:$B$114,2,0),"")</f>
        <v/>
      </c>
      <c r="N69" s="48" t="str">
        <f>IFERROR(VLOOKUP(PA[[#This Row],[Affceted Equipment]],'Basic Data'!$A$1:$C$118,3,0),"")</f>
        <v/>
      </c>
      <c r="W69" s="33">
        <f>IF(PA[[#This Row],[Acknowledgemnet Time ]]="NA","",(PA[[#This Row],[Acknowledgemnet Time ]]-PA[[#This Row],[Fault Time]])*24)</f>
        <v>0</v>
      </c>
      <c r="X69" s="33">
        <f>IF(PA[[#This Row],[Work Start time on Fault]]="NA","",(PA[[#This Row],[Work Start time on Fault]]-PA[[#This Row],[Fault Time]])*24)</f>
        <v>0</v>
      </c>
      <c r="Y69" s="35">
        <f>(PA[[#This Row],[Work Completiuon time on fualt]]-PA[[#This Row],[Fault Time]])*24</f>
        <v>0</v>
      </c>
      <c r="Z69" s="35">
        <f>IFERROR((PA[[#This Row],[Work Completiuon time on fualt]]-PA[[#This Row],[Fault Time]])*24,"")</f>
        <v>0</v>
      </c>
      <c r="AC69" s="47" t="str">
        <f>IFERROR(PA[[#This Row],[Breakdown Time]]*PA[[#This Row],[Plant Equivalent Weightage]],"")</f>
        <v/>
      </c>
      <c r="AE69" s="33" t="str">
        <f>IFERROR((_xlfn.XLOOKUP(PA[[#This Row],[Month Year]],'Modelling New'!D:D,'Modelling New'!$O:$O)*PA[[#This Row],[Lost PoA(Wh/m2)]]*PA[[#This Row],[DC Capacity Affceted (kW)]])/1000,"")</f>
        <v/>
      </c>
      <c r="AF69" s="35"/>
    </row>
    <row r="70" spans="1:32">
      <c r="A70" s="2">
        <f t="shared" si="7"/>
        <v>67</v>
      </c>
      <c r="B70" s="156">
        <f t="shared" si="11"/>
        <v>1900</v>
      </c>
      <c r="C70" s="129">
        <f t="shared" si="12"/>
        <v>1900</v>
      </c>
      <c r="I70" s="29" t="str">
        <f>IFERROR(VLOOKUP(PA[[#This Row],[Date]],Raw_Data[[Date]:[Sunset Time (POA&lt;20 W/m2)]],3,0),"")</f>
        <v/>
      </c>
      <c r="J70" s="29" t="str">
        <f>IFERROR(VLOOKUP(PA[[#This Row],[Date]],Raw_Data[[Date]:[Sunset Time (POA&lt;20 W/m2)]],4,0),"")</f>
        <v/>
      </c>
      <c r="K70" s="27" t="str">
        <f>IFERROR((PA[[#This Row],[Sunset Time (POA&lt;20 W/m2)]]-PA[[#This Row],[Sunrise Time (POA&gt;20 W/m2)]])*24,"")</f>
        <v/>
      </c>
      <c r="M70" s="46" t="str">
        <f>IFERROR(VLOOKUP(PA[[#This Row],[Affceted Equipment]],'Basic Data'!$A$2:$B$114,2,0),"")</f>
        <v/>
      </c>
      <c r="N70" s="48" t="str">
        <f>IFERROR(VLOOKUP(PA[[#This Row],[Affceted Equipment]],'Basic Data'!$A$1:$C$118,3,0),"")</f>
        <v/>
      </c>
      <c r="W70" s="33">
        <f>IF(PA[[#This Row],[Acknowledgemnet Time ]]="NA","",(PA[[#This Row],[Acknowledgemnet Time ]]-PA[[#This Row],[Fault Time]])*24)</f>
        <v>0</v>
      </c>
      <c r="X70" s="33">
        <f>IF(PA[[#This Row],[Work Start time on Fault]]="NA","",(PA[[#This Row],[Work Start time on Fault]]-PA[[#This Row],[Fault Time]])*24)</f>
        <v>0</v>
      </c>
      <c r="Y70" s="35">
        <f>(PA[[#This Row],[Work Completiuon time on fualt]]-PA[[#This Row],[Fault Time]])*24</f>
        <v>0</v>
      </c>
      <c r="Z70" s="35">
        <f>IFERROR((PA[[#This Row],[Work Completiuon time on fualt]]-PA[[#This Row],[Fault Time]])*24,"")</f>
        <v>0</v>
      </c>
      <c r="AC70" s="47" t="str">
        <f>IFERROR(PA[[#This Row],[Breakdown Time]]*PA[[#This Row],[Plant Equivalent Weightage]],"")</f>
        <v/>
      </c>
      <c r="AE70" s="33" t="str">
        <f>IFERROR((_xlfn.XLOOKUP(PA[[#This Row],[Month Year]],'Modelling New'!D:D,'Modelling New'!$O:$O)*PA[[#This Row],[Lost PoA(Wh/m2)]]*PA[[#This Row],[DC Capacity Affceted (kW)]])/1000,"")</f>
        <v/>
      </c>
      <c r="AF70" s="35"/>
    </row>
    <row r="71" spans="1:32">
      <c r="A71" s="2">
        <f t="shared" si="7"/>
        <v>68</v>
      </c>
      <c r="B71" s="156">
        <f t="shared" si="11"/>
        <v>1900</v>
      </c>
      <c r="C71" s="129">
        <f t="shared" si="12"/>
        <v>1900</v>
      </c>
      <c r="I71" s="29" t="str">
        <f>IFERROR(VLOOKUP(PA[[#This Row],[Date]],Raw_Data[[Date]:[Sunset Time (POA&lt;20 W/m2)]],3,0),"")</f>
        <v/>
      </c>
      <c r="J71" s="29" t="str">
        <f>IFERROR(VLOOKUP(PA[[#This Row],[Date]],Raw_Data[[Date]:[Sunset Time (POA&lt;20 W/m2)]],4,0),"")</f>
        <v/>
      </c>
      <c r="K71" s="27" t="str">
        <f>IFERROR((PA[[#This Row],[Sunset Time (POA&lt;20 W/m2)]]-PA[[#This Row],[Sunrise Time (POA&gt;20 W/m2)]])*24,"")</f>
        <v/>
      </c>
      <c r="M71" s="46" t="str">
        <f>IFERROR(VLOOKUP(PA[[#This Row],[Affceted Equipment]],'Basic Data'!$A$2:$B$114,2,0),"")</f>
        <v/>
      </c>
      <c r="N71" s="48" t="str">
        <f>IFERROR(VLOOKUP(PA[[#This Row],[Affceted Equipment]],'Basic Data'!$A$1:$C$118,3,0),"")</f>
        <v/>
      </c>
      <c r="W71" s="33">
        <f>IF(PA[[#This Row],[Acknowledgemnet Time ]]="NA","",(PA[[#This Row],[Acknowledgemnet Time ]]-PA[[#This Row],[Fault Time]])*24)</f>
        <v>0</v>
      </c>
      <c r="X71" s="33">
        <f>IF(PA[[#This Row],[Work Start time on Fault]]="NA","",(PA[[#This Row],[Work Start time on Fault]]-PA[[#This Row],[Fault Time]])*24)</f>
        <v>0</v>
      </c>
      <c r="Y71" s="35">
        <f>(PA[[#This Row],[Work Completiuon time on fualt]]-PA[[#This Row],[Fault Time]])*24</f>
        <v>0</v>
      </c>
      <c r="Z71" s="35">
        <f>IFERROR((PA[[#This Row],[Work Completiuon time on fualt]]-PA[[#This Row],[Fault Time]])*24,"")</f>
        <v>0</v>
      </c>
      <c r="AC71" s="47" t="str">
        <f>IFERROR(PA[[#This Row],[Breakdown Time]]*PA[[#This Row],[Plant Equivalent Weightage]],"")</f>
        <v/>
      </c>
      <c r="AE71" s="33" t="str">
        <f>IFERROR((_xlfn.XLOOKUP(PA[[#This Row],[Month Year]],'Modelling New'!D:D,'Modelling New'!$O:$O)*PA[[#This Row],[Lost PoA(Wh/m2)]]*PA[[#This Row],[DC Capacity Affceted (kW)]])/1000,"")</f>
        <v/>
      </c>
      <c r="AF71" s="35"/>
    </row>
    <row r="72" spans="1:32">
      <c r="A72" s="2">
        <f t="shared" si="7"/>
        <v>69</v>
      </c>
      <c r="B72" s="156">
        <f t="shared" si="11"/>
        <v>1900</v>
      </c>
      <c r="C72" s="129">
        <f t="shared" si="12"/>
        <v>1900</v>
      </c>
      <c r="I72" s="29" t="str">
        <f>IFERROR(VLOOKUP(PA[[#This Row],[Date]],Raw_Data[[Date]:[Sunset Time (POA&lt;20 W/m2)]],3,0),"")</f>
        <v/>
      </c>
      <c r="J72" s="29" t="str">
        <f>IFERROR(VLOOKUP(PA[[#This Row],[Date]],Raw_Data[[Date]:[Sunset Time (POA&lt;20 W/m2)]],4,0),"")</f>
        <v/>
      </c>
      <c r="K72" s="27" t="str">
        <f>IFERROR((PA[[#This Row],[Sunset Time (POA&lt;20 W/m2)]]-PA[[#This Row],[Sunrise Time (POA&gt;20 W/m2)]])*24,"")</f>
        <v/>
      </c>
      <c r="M72" s="46" t="str">
        <f>IFERROR(VLOOKUP(PA[[#This Row],[Affceted Equipment]],'Basic Data'!$A$2:$B$114,2,0),"")</f>
        <v/>
      </c>
      <c r="N72" s="48" t="str">
        <f>IFERROR(VLOOKUP(PA[[#This Row],[Affceted Equipment]],'Basic Data'!$A$1:$C$118,3,0),"")</f>
        <v/>
      </c>
      <c r="W72" s="33">
        <f>IF(PA[[#This Row],[Acknowledgemnet Time ]]="NA","",(PA[[#This Row],[Acknowledgemnet Time ]]-PA[[#This Row],[Fault Time]])*24)</f>
        <v>0</v>
      </c>
      <c r="X72" s="33">
        <f>IF(PA[[#This Row],[Work Start time on Fault]]="NA","",(PA[[#This Row],[Work Start time on Fault]]-PA[[#This Row],[Fault Time]])*24)</f>
        <v>0</v>
      </c>
      <c r="Y72" s="35">
        <f>(PA[[#This Row],[Work Completiuon time on fualt]]-PA[[#This Row],[Fault Time]])*24</f>
        <v>0</v>
      </c>
      <c r="Z72" s="35">
        <f>IFERROR((PA[[#This Row],[Work Completiuon time on fualt]]-PA[[#This Row],[Fault Time]])*24,"")</f>
        <v>0</v>
      </c>
      <c r="AC72" s="47" t="str">
        <f>IFERROR(PA[[#This Row],[Breakdown Time]]*PA[[#This Row],[Plant Equivalent Weightage]],"")</f>
        <v/>
      </c>
      <c r="AE72" s="33" t="str">
        <f>IFERROR((_xlfn.XLOOKUP(PA[[#This Row],[Month Year]],'Modelling New'!D:D,'Modelling New'!$O:$O)*PA[[#This Row],[Lost PoA(Wh/m2)]]*PA[[#This Row],[DC Capacity Affceted (kW)]])/1000,"")</f>
        <v/>
      </c>
      <c r="AF72" s="35"/>
    </row>
    <row r="73" spans="1:32">
      <c r="A73" s="2">
        <f t="shared" si="7"/>
        <v>70</v>
      </c>
      <c r="B73" s="156">
        <f t="shared" si="11"/>
        <v>1900</v>
      </c>
      <c r="C73" s="129">
        <f t="shared" si="12"/>
        <v>1900</v>
      </c>
      <c r="I73" s="29" t="str">
        <f>IFERROR(VLOOKUP(PA[[#This Row],[Date]],Raw_Data[[Date]:[Sunset Time (POA&lt;20 W/m2)]],3,0),"")</f>
        <v/>
      </c>
      <c r="J73" s="29" t="str">
        <f>IFERROR(VLOOKUP(PA[[#This Row],[Date]],Raw_Data[[Date]:[Sunset Time (POA&lt;20 W/m2)]],4,0),"")</f>
        <v/>
      </c>
      <c r="K73" s="27" t="str">
        <f>IFERROR((PA[[#This Row],[Sunset Time (POA&lt;20 W/m2)]]-PA[[#This Row],[Sunrise Time (POA&gt;20 W/m2)]])*24,"")</f>
        <v/>
      </c>
      <c r="M73" s="46" t="str">
        <f>IFERROR(VLOOKUP(PA[[#This Row],[Affceted Equipment]],'Basic Data'!$A$2:$B$114,2,0),"")</f>
        <v/>
      </c>
      <c r="N73" s="48" t="str">
        <f>IFERROR(VLOOKUP(PA[[#This Row],[Affceted Equipment]],'Basic Data'!$A$1:$C$118,3,0),"")</f>
        <v/>
      </c>
      <c r="W73" s="33">
        <f>IF(PA[[#This Row],[Acknowledgemnet Time ]]="NA","",(PA[[#This Row],[Acknowledgemnet Time ]]-PA[[#This Row],[Fault Time]])*24)</f>
        <v>0</v>
      </c>
      <c r="X73" s="33">
        <f>IF(PA[[#This Row],[Work Start time on Fault]]="NA","",(PA[[#This Row],[Work Start time on Fault]]-PA[[#This Row],[Fault Time]])*24)</f>
        <v>0</v>
      </c>
      <c r="Y73" s="35">
        <f>(PA[[#This Row],[Work Completiuon time on fualt]]-PA[[#This Row],[Fault Time]])*24</f>
        <v>0</v>
      </c>
      <c r="Z73" s="35">
        <f>IFERROR((PA[[#This Row],[Work Completiuon time on fualt]]-PA[[#This Row],[Fault Time]])*24,"")</f>
        <v>0</v>
      </c>
      <c r="AC73" s="47" t="str">
        <f>IFERROR(PA[[#This Row],[Breakdown Time]]*PA[[#This Row],[Plant Equivalent Weightage]],"")</f>
        <v/>
      </c>
      <c r="AE73" s="33" t="str">
        <f>IFERROR((_xlfn.XLOOKUP(PA[[#This Row],[Month Year]],'Modelling New'!D:D,'Modelling New'!$O:$O)*PA[[#This Row],[Lost PoA(Wh/m2)]]*PA[[#This Row],[DC Capacity Affceted (kW)]])/1000,"")</f>
        <v/>
      </c>
      <c r="AF73" s="35"/>
    </row>
    <row r="74" spans="1:32">
      <c r="A74" s="2">
        <f t="shared" ref="A74:A137" si="13">A73+1</f>
        <v>71</v>
      </c>
      <c r="B74" s="156">
        <f t="shared" si="11"/>
        <v>1900</v>
      </c>
      <c r="C74" s="129">
        <f t="shared" si="12"/>
        <v>1900</v>
      </c>
      <c r="I74" s="29" t="str">
        <f>IFERROR(VLOOKUP(PA[[#This Row],[Date]],Raw_Data[[Date]:[Sunset Time (POA&lt;20 W/m2)]],3,0),"")</f>
        <v/>
      </c>
      <c r="J74" s="29" t="str">
        <f>IFERROR(VLOOKUP(PA[[#This Row],[Date]],Raw_Data[[Date]:[Sunset Time (POA&lt;20 W/m2)]],4,0),"")</f>
        <v/>
      </c>
      <c r="K74" s="27" t="str">
        <f>IFERROR((PA[[#This Row],[Sunset Time (POA&lt;20 W/m2)]]-PA[[#This Row],[Sunrise Time (POA&gt;20 W/m2)]])*24,"")</f>
        <v/>
      </c>
      <c r="M74" s="46" t="str">
        <f>IFERROR(VLOOKUP(PA[[#This Row],[Affceted Equipment]],'Basic Data'!$A$2:$B$114,2,0),"")</f>
        <v/>
      </c>
      <c r="N74" s="48" t="str">
        <f>IFERROR(VLOOKUP(PA[[#This Row],[Affceted Equipment]],'Basic Data'!$A$1:$C$118,3,0),"")</f>
        <v/>
      </c>
      <c r="W74" s="33">
        <f>IF(PA[[#This Row],[Acknowledgemnet Time ]]="NA","",(PA[[#This Row],[Acknowledgemnet Time ]]-PA[[#This Row],[Fault Time]])*24)</f>
        <v>0</v>
      </c>
      <c r="X74" s="33">
        <f>IF(PA[[#This Row],[Work Start time on Fault]]="NA","",(PA[[#This Row],[Work Start time on Fault]]-PA[[#This Row],[Fault Time]])*24)</f>
        <v>0</v>
      </c>
      <c r="Y74" s="35">
        <f>(PA[[#This Row],[Work Completiuon time on fualt]]-PA[[#This Row],[Fault Time]])*24</f>
        <v>0</v>
      </c>
      <c r="Z74" s="35">
        <f>IFERROR((PA[[#This Row],[Work Completiuon time on fualt]]-PA[[#This Row],[Fault Time]])*24,"")</f>
        <v>0</v>
      </c>
      <c r="AC74" s="47" t="str">
        <f>IFERROR(PA[[#This Row],[Breakdown Time]]*PA[[#This Row],[Plant Equivalent Weightage]],"")</f>
        <v/>
      </c>
      <c r="AE74" s="33" t="str">
        <f>IFERROR((_xlfn.XLOOKUP(PA[[#This Row],[Month Year]],'Modelling New'!D:D,'Modelling New'!$O:$O)*PA[[#This Row],[Lost PoA(Wh/m2)]]*PA[[#This Row],[DC Capacity Affceted (kW)]])/1000,"")</f>
        <v/>
      </c>
      <c r="AF74" s="35"/>
    </row>
    <row r="75" spans="1:32">
      <c r="A75" s="2">
        <f t="shared" si="13"/>
        <v>72</v>
      </c>
      <c r="B75" s="156">
        <f t="shared" si="11"/>
        <v>1900</v>
      </c>
      <c r="C75" s="129">
        <f t="shared" si="12"/>
        <v>1900</v>
      </c>
      <c r="I75" s="29" t="str">
        <f>IFERROR(VLOOKUP(PA[[#This Row],[Date]],Raw_Data[[Date]:[Sunset Time (POA&lt;20 W/m2)]],3,0),"")</f>
        <v/>
      </c>
      <c r="J75" s="29" t="str">
        <f>IFERROR(VLOOKUP(PA[[#This Row],[Date]],Raw_Data[[Date]:[Sunset Time (POA&lt;20 W/m2)]],4,0),"")</f>
        <v/>
      </c>
      <c r="K75" s="27" t="str">
        <f>IFERROR((PA[[#This Row],[Sunset Time (POA&lt;20 W/m2)]]-PA[[#This Row],[Sunrise Time (POA&gt;20 W/m2)]])*24,"")</f>
        <v/>
      </c>
      <c r="M75" s="46" t="str">
        <f>IFERROR(VLOOKUP(PA[[#This Row],[Affceted Equipment]],'Basic Data'!$A$2:$B$114,2,0),"")</f>
        <v/>
      </c>
      <c r="N75" s="48" t="str">
        <f>IFERROR(VLOOKUP(PA[[#This Row],[Affceted Equipment]],'Basic Data'!$A$1:$C$118,3,0),"")</f>
        <v/>
      </c>
      <c r="W75" s="33">
        <f>IF(PA[[#This Row],[Acknowledgemnet Time ]]="NA","",(PA[[#This Row],[Acknowledgemnet Time ]]-PA[[#This Row],[Fault Time]])*24)</f>
        <v>0</v>
      </c>
      <c r="X75" s="33">
        <f>IF(PA[[#This Row],[Work Start time on Fault]]="NA","",(PA[[#This Row],[Work Start time on Fault]]-PA[[#This Row],[Fault Time]])*24)</f>
        <v>0</v>
      </c>
      <c r="Y75" s="35">
        <f>(PA[[#This Row],[Work Completiuon time on fualt]]-PA[[#This Row],[Fault Time]])*24</f>
        <v>0</v>
      </c>
      <c r="Z75" s="35">
        <f>IFERROR((PA[[#This Row],[Work Completiuon time on fualt]]-PA[[#This Row],[Fault Time]])*24,"")</f>
        <v>0</v>
      </c>
      <c r="AC75" s="47" t="str">
        <f>IFERROR(PA[[#This Row],[Breakdown Time]]*PA[[#This Row],[Plant Equivalent Weightage]],"")</f>
        <v/>
      </c>
      <c r="AE75" s="33" t="str">
        <f>IFERROR((_xlfn.XLOOKUP(PA[[#This Row],[Month Year]],'Modelling New'!D:D,'Modelling New'!$O:$O)*PA[[#This Row],[Lost PoA(Wh/m2)]]*PA[[#This Row],[DC Capacity Affceted (kW)]])/1000,"")</f>
        <v/>
      </c>
      <c r="AF75" s="35"/>
    </row>
    <row r="76" spans="1:32">
      <c r="A76" s="2">
        <f t="shared" si="13"/>
        <v>73</v>
      </c>
      <c r="B76" s="156">
        <f t="shared" si="11"/>
        <v>1900</v>
      </c>
      <c r="C76" s="129">
        <f t="shared" si="12"/>
        <v>1900</v>
      </c>
      <c r="I76" s="29" t="str">
        <f>IFERROR(VLOOKUP(PA[[#This Row],[Date]],Raw_Data[[Date]:[Sunset Time (POA&lt;20 W/m2)]],3,0),"")</f>
        <v/>
      </c>
      <c r="J76" s="29" t="str">
        <f>IFERROR(VLOOKUP(PA[[#This Row],[Date]],Raw_Data[[Date]:[Sunset Time (POA&lt;20 W/m2)]],4,0),"")</f>
        <v/>
      </c>
      <c r="K76" s="27" t="str">
        <f>IFERROR((PA[[#This Row],[Sunset Time (POA&lt;20 W/m2)]]-PA[[#This Row],[Sunrise Time (POA&gt;20 W/m2)]])*24,"")</f>
        <v/>
      </c>
      <c r="M76" s="46" t="str">
        <f>IFERROR(VLOOKUP(PA[[#This Row],[Affceted Equipment]],'Basic Data'!$A$2:$B$114,2,0),"")</f>
        <v/>
      </c>
      <c r="N76" s="48" t="str">
        <f>IFERROR(VLOOKUP(PA[[#This Row],[Affceted Equipment]],'Basic Data'!$A$1:$C$118,3,0),"")</f>
        <v/>
      </c>
      <c r="W76" s="33">
        <f>IF(PA[[#This Row],[Acknowledgemnet Time ]]="NA","",(PA[[#This Row],[Acknowledgemnet Time ]]-PA[[#This Row],[Fault Time]])*24)</f>
        <v>0</v>
      </c>
      <c r="X76" s="33">
        <f>IF(PA[[#This Row],[Work Start time on Fault]]="NA","",(PA[[#This Row],[Work Start time on Fault]]-PA[[#This Row],[Fault Time]])*24)</f>
        <v>0</v>
      </c>
      <c r="Y76" s="35">
        <f>(PA[[#This Row],[Work Completiuon time on fualt]]-PA[[#This Row],[Fault Time]])*24</f>
        <v>0</v>
      </c>
      <c r="Z76" s="35">
        <f>IFERROR((PA[[#This Row],[Work Completiuon time on fualt]]-PA[[#This Row],[Fault Time]])*24,"")</f>
        <v>0</v>
      </c>
      <c r="AC76" s="47" t="str">
        <f>IFERROR(PA[[#This Row],[Breakdown Time]]*PA[[#This Row],[Plant Equivalent Weightage]],"")</f>
        <v/>
      </c>
      <c r="AE76" s="33" t="str">
        <f>IFERROR((_xlfn.XLOOKUP(PA[[#This Row],[Month Year]],'Modelling New'!D:D,'Modelling New'!$O:$O)*PA[[#This Row],[Lost PoA(Wh/m2)]]*PA[[#This Row],[DC Capacity Affceted (kW)]])/1000,"")</f>
        <v/>
      </c>
      <c r="AF76" s="35"/>
    </row>
    <row r="77" spans="1:32">
      <c r="A77" s="2">
        <f t="shared" si="13"/>
        <v>74</v>
      </c>
      <c r="B77" s="156">
        <f t="shared" si="11"/>
        <v>1900</v>
      </c>
      <c r="C77" s="129">
        <f t="shared" si="12"/>
        <v>1900</v>
      </c>
      <c r="I77" s="29" t="str">
        <f>IFERROR(VLOOKUP(PA[[#This Row],[Date]],Raw_Data[[Date]:[Sunset Time (POA&lt;20 W/m2)]],3,0),"")</f>
        <v/>
      </c>
      <c r="J77" s="29" t="str">
        <f>IFERROR(VLOOKUP(PA[[#This Row],[Date]],Raw_Data[[Date]:[Sunset Time (POA&lt;20 W/m2)]],4,0),"")</f>
        <v/>
      </c>
      <c r="K77" s="27" t="str">
        <f>IFERROR((PA[[#This Row],[Sunset Time (POA&lt;20 W/m2)]]-PA[[#This Row],[Sunrise Time (POA&gt;20 W/m2)]])*24,"")</f>
        <v/>
      </c>
      <c r="M77" s="46" t="str">
        <f>IFERROR(VLOOKUP(PA[[#This Row],[Affceted Equipment]],'Basic Data'!$A$2:$B$114,2,0),"")</f>
        <v/>
      </c>
      <c r="N77" s="48" t="str">
        <f>IFERROR(VLOOKUP(PA[[#This Row],[Affceted Equipment]],'Basic Data'!$A$1:$C$118,3,0),"")</f>
        <v/>
      </c>
      <c r="W77" s="33">
        <f>IF(PA[[#This Row],[Acknowledgemnet Time ]]="NA","",(PA[[#This Row],[Acknowledgemnet Time ]]-PA[[#This Row],[Fault Time]])*24)</f>
        <v>0</v>
      </c>
      <c r="X77" s="33">
        <f>IF(PA[[#This Row],[Work Start time on Fault]]="NA","",(PA[[#This Row],[Work Start time on Fault]]-PA[[#This Row],[Fault Time]])*24)</f>
        <v>0</v>
      </c>
      <c r="Y77" s="35">
        <f>(PA[[#This Row],[Work Completiuon time on fualt]]-PA[[#This Row],[Fault Time]])*24</f>
        <v>0</v>
      </c>
      <c r="Z77" s="35">
        <f>IFERROR((PA[[#This Row],[Work Completiuon time on fualt]]-PA[[#This Row],[Fault Time]])*24,"")</f>
        <v>0</v>
      </c>
      <c r="AC77" s="47" t="str">
        <f>IFERROR(PA[[#This Row],[Breakdown Time]]*PA[[#This Row],[Plant Equivalent Weightage]],"")</f>
        <v/>
      </c>
      <c r="AE77" s="33" t="str">
        <f>IFERROR((_xlfn.XLOOKUP(PA[[#This Row],[Month Year]],'Modelling New'!D:D,'Modelling New'!$O:$O)*PA[[#This Row],[Lost PoA(Wh/m2)]]*PA[[#This Row],[DC Capacity Affceted (kW)]])/1000,"")</f>
        <v/>
      </c>
      <c r="AF77" s="35"/>
    </row>
    <row r="78" spans="1:32">
      <c r="A78" s="2">
        <f t="shared" si="13"/>
        <v>75</v>
      </c>
      <c r="B78" s="156">
        <f t="shared" si="11"/>
        <v>1900</v>
      </c>
      <c r="C78" s="129">
        <f t="shared" si="12"/>
        <v>1900</v>
      </c>
      <c r="I78" s="29" t="str">
        <f>IFERROR(VLOOKUP(PA[[#This Row],[Date]],Raw_Data[[Date]:[Sunset Time (POA&lt;20 W/m2)]],3,0),"")</f>
        <v/>
      </c>
      <c r="J78" s="29" t="str">
        <f>IFERROR(VLOOKUP(PA[[#This Row],[Date]],Raw_Data[[Date]:[Sunset Time (POA&lt;20 W/m2)]],4,0),"")</f>
        <v/>
      </c>
      <c r="K78" s="27" t="str">
        <f>IFERROR((PA[[#This Row],[Sunset Time (POA&lt;20 W/m2)]]-PA[[#This Row],[Sunrise Time (POA&gt;20 W/m2)]])*24,"")</f>
        <v/>
      </c>
      <c r="M78" s="46" t="str">
        <f>IFERROR(VLOOKUP(PA[[#This Row],[Affceted Equipment]],'Basic Data'!$A$2:$B$114,2,0),"")</f>
        <v/>
      </c>
      <c r="N78" s="48" t="str">
        <f>IFERROR(VLOOKUP(PA[[#This Row],[Affceted Equipment]],'Basic Data'!$A$1:$C$118,3,0),"")</f>
        <v/>
      </c>
      <c r="W78" s="33">
        <f>IF(PA[[#This Row],[Acknowledgemnet Time ]]="NA","",(PA[[#This Row],[Acknowledgemnet Time ]]-PA[[#This Row],[Fault Time]])*24)</f>
        <v>0</v>
      </c>
      <c r="X78" s="33">
        <f>IF(PA[[#This Row],[Work Start time on Fault]]="NA","",(PA[[#This Row],[Work Start time on Fault]]-PA[[#This Row],[Fault Time]])*24)</f>
        <v>0</v>
      </c>
      <c r="Y78" s="35">
        <f>(PA[[#This Row],[Work Completiuon time on fualt]]-PA[[#This Row],[Fault Time]])*24</f>
        <v>0</v>
      </c>
      <c r="Z78" s="35">
        <f>IFERROR((PA[[#This Row],[Work Completiuon time on fualt]]-PA[[#This Row],[Fault Time]])*24,"")</f>
        <v>0</v>
      </c>
      <c r="AC78" s="47" t="str">
        <f>IFERROR(PA[[#This Row],[Breakdown Time]]*PA[[#This Row],[Plant Equivalent Weightage]],"")</f>
        <v/>
      </c>
      <c r="AE78" s="33" t="str">
        <f>IFERROR((_xlfn.XLOOKUP(PA[[#This Row],[Month Year]],'Modelling New'!D:D,'Modelling New'!$O:$O)*PA[[#This Row],[Lost PoA(Wh/m2)]]*PA[[#This Row],[DC Capacity Affceted (kW)]])/1000,"")</f>
        <v/>
      </c>
      <c r="AF78" s="35"/>
    </row>
    <row r="79" spans="1:32">
      <c r="A79" s="2">
        <f t="shared" si="13"/>
        <v>76</v>
      </c>
      <c r="B79" s="156">
        <f t="shared" si="11"/>
        <v>1900</v>
      </c>
      <c r="C79" s="129">
        <f t="shared" si="12"/>
        <v>1900</v>
      </c>
      <c r="I79" s="29" t="str">
        <f>IFERROR(VLOOKUP(PA[[#This Row],[Date]],Raw_Data[[Date]:[Sunset Time (POA&lt;20 W/m2)]],3,0),"")</f>
        <v/>
      </c>
      <c r="J79" s="29" t="str">
        <f>IFERROR(VLOOKUP(PA[[#This Row],[Date]],Raw_Data[[Date]:[Sunset Time (POA&lt;20 W/m2)]],4,0),"")</f>
        <v/>
      </c>
      <c r="K79" s="27" t="str">
        <f>IFERROR((PA[[#This Row],[Sunset Time (POA&lt;20 W/m2)]]-PA[[#This Row],[Sunrise Time (POA&gt;20 W/m2)]])*24,"")</f>
        <v/>
      </c>
      <c r="M79" s="46" t="str">
        <f>IFERROR(VLOOKUP(PA[[#This Row],[Affceted Equipment]],'Basic Data'!$A$2:$B$114,2,0),"")</f>
        <v/>
      </c>
      <c r="N79" s="48" t="str">
        <f>IFERROR(VLOOKUP(PA[[#This Row],[Affceted Equipment]],'Basic Data'!$A$1:$C$118,3,0),"")</f>
        <v/>
      </c>
      <c r="W79" s="33">
        <f>IF(PA[[#This Row],[Acknowledgemnet Time ]]="NA","",(PA[[#This Row],[Acknowledgemnet Time ]]-PA[[#This Row],[Fault Time]])*24)</f>
        <v>0</v>
      </c>
      <c r="X79" s="33">
        <f>IF(PA[[#This Row],[Work Start time on Fault]]="NA","",(PA[[#This Row],[Work Start time on Fault]]-PA[[#This Row],[Fault Time]])*24)</f>
        <v>0</v>
      </c>
      <c r="Y79" s="35">
        <f>(PA[[#This Row],[Work Completiuon time on fualt]]-PA[[#This Row],[Fault Time]])*24</f>
        <v>0</v>
      </c>
      <c r="Z79" s="35">
        <f>IFERROR((PA[[#This Row],[Work Completiuon time on fualt]]-PA[[#This Row],[Fault Time]])*24,"")</f>
        <v>0</v>
      </c>
      <c r="AC79" s="47" t="str">
        <f>IFERROR(PA[[#This Row],[Breakdown Time]]*PA[[#This Row],[Plant Equivalent Weightage]],"")</f>
        <v/>
      </c>
      <c r="AE79" s="33" t="str">
        <f>IFERROR((_xlfn.XLOOKUP(PA[[#This Row],[Month Year]],'Modelling New'!D:D,'Modelling New'!$O:$O)*PA[[#This Row],[Lost PoA(Wh/m2)]]*PA[[#This Row],[DC Capacity Affceted (kW)]])/1000,"")</f>
        <v/>
      </c>
      <c r="AF79" s="35"/>
    </row>
    <row r="80" spans="1:32">
      <c r="A80" s="2">
        <f t="shared" si="13"/>
        <v>77</v>
      </c>
      <c r="B80" s="156">
        <f t="shared" si="11"/>
        <v>1900</v>
      </c>
      <c r="C80" s="129">
        <f t="shared" si="12"/>
        <v>1900</v>
      </c>
      <c r="I80" s="29" t="str">
        <f>IFERROR(VLOOKUP(PA[[#This Row],[Date]],Raw_Data[[Date]:[Sunset Time (POA&lt;20 W/m2)]],3,0),"")</f>
        <v/>
      </c>
      <c r="J80" s="29" t="str">
        <f>IFERROR(VLOOKUP(PA[[#This Row],[Date]],Raw_Data[[Date]:[Sunset Time (POA&lt;20 W/m2)]],4,0),"")</f>
        <v/>
      </c>
      <c r="K80" s="27" t="str">
        <f>IFERROR((PA[[#This Row],[Sunset Time (POA&lt;20 W/m2)]]-PA[[#This Row],[Sunrise Time (POA&gt;20 W/m2)]])*24,"")</f>
        <v/>
      </c>
      <c r="M80" s="46" t="str">
        <f>IFERROR(VLOOKUP(PA[[#This Row],[Affceted Equipment]],'Basic Data'!$A$2:$B$114,2,0),"")</f>
        <v/>
      </c>
      <c r="N80" s="48" t="str">
        <f>IFERROR(VLOOKUP(PA[[#This Row],[Affceted Equipment]],'Basic Data'!$A$1:$C$118,3,0),"")</f>
        <v/>
      </c>
      <c r="W80" s="33">
        <f>IF(PA[[#This Row],[Acknowledgemnet Time ]]="NA","",(PA[[#This Row],[Acknowledgemnet Time ]]-PA[[#This Row],[Fault Time]])*24)</f>
        <v>0</v>
      </c>
      <c r="X80" s="33">
        <f>IF(PA[[#This Row],[Work Start time on Fault]]="NA","",(PA[[#This Row],[Work Start time on Fault]]-PA[[#This Row],[Fault Time]])*24)</f>
        <v>0</v>
      </c>
      <c r="Y80" s="35">
        <f>(PA[[#This Row],[Work Completiuon time on fualt]]-PA[[#This Row],[Fault Time]])*24</f>
        <v>0</v>
      </c>
      <c r="Z80" s="35">
        <f>IFERROR((PA[[#This Row],[Work Completiuon time on fualt]]-PA[[#This Row],[Fault Time]])*24,"")</f>
        <v>0</v>
      </c>
      <c r="AC80" s="47" t="str">
        <f>IFERROR(PA[[#This Row],[Breakdown Time]]*PA[[#This Row],[Plant Equivalent Weightage]],"")</f>
        <v/>
      </c>
      <c r="AE80" s="33" t="str">
        <f>IFERROR((_xlfn.XLOOKUP(PA[[#This Row],[Month Year]],'Modelling New'!D:D,'Modelling New'!$O:$O)*PA[[#This Row],[Lost PoA(Wh/m2)]]*PA[[#This Row],[DC Capacity Affceted (kW)]])/1000,"")</f>
        <v/>
      </c>
      <c r="AF80" s="35"/>
    </row>
    <row r="81" spans="1:32">
      <c r="A81" s="2">
        <f t="shared" si="13"/>
        <v>78</v>
      </c>
      <c r="B81" s="156">
        <f t="shared" si="11"/>
        <v>1900</v>
      </c>
      <c r="C81" s="129">
        <f t="shared" si="12"/>
        <v>1900</v>
      </c>
      <c r="I81" s="29" t="str">
        <f>IFERROR(VLOOKUP(PA[[#This Row],[Date]],Raw_Data[[Date]:[Sunset Time (POA&lt;20 W/m2)]],3,0),"")</f>
        <v/>
      </c>
      <c r="J81" s="29" t="str">
        <f>IFERROR(VLOOKUP(PA[[#This Row],[Date]],Raw_Data[[Date]:[Sunset Time (POA&lt;20 W/m2)]],4,0),"")</f>
        <v/>
      </c>
      <c r="K81" s="27" t="str">
        <f>IFERROR((PA[[#This Row],[Sunset Time (POA&lt;20 W/m2)]]-PA[[#This Row],[Sunrise Time (POA&gt;20 W/m2)]])*24,"")</f>
        <v/>
      </c>
      <c r="M81" s="46" t="str">
        <f>IFERROR(VLOOKUP(PA[[#This Row],[Affceted Equipment]],'Basic Data'!$A$2:$B$114,2,0),"")</f>
        <v/>
      </c>
      <c r="N81" s="48" t="str">
        <f>IFERROR(VLOOKUP(PA[[#This Row],[Affceted Equipment]],'Basic Data'!$A$1:$C$118,3,0),"")</f>
        <v/>
      </c>
      <c r="W81" s="33">
        <f>IF(PA[[#This Row],[Acknowledgemnet Time ]]="NA","",(PA[[#This Row],[Acknowledgemnet Time ]]-PA[[#This Row],[Fault Time]])*24)</f>
        <v>0</v>
      </c>
      <c r="X81" s="33">
        <f>IF(PA[[#This Row],[Work Start time on Fault]]="NA","",(PA[[#This Row],[Work Start time on Fault]]-PA[[#This Row],[Fault Time]])*24)</f>
        <v>0</v>
      </c>
      <c r="Y81" s="35">
        <f>(PA[[#This Row],[Work Completiuon time on fualt]]-PA[[#This Row],[Fault Time]])*24</f>
        <v>0</v>
      </c>
      <c r="Z81" s="35">
        <f>IFERROR((PA[[#This Row],[Work Completiuon time on fualt]]-PA[[#This Row],[Fault Time]])*24,"")</f>
        <v>0</v>
      </c>
      <c r="AC81" s="47" t="str">
        <f>IFERROR(PA[[#This Row],[Breakdown Time]]*PA[[#This Row],[Plant Equivalent Weightage]],"")</f>
        <v/>
      </c>
      <c r="AE81" s="33" t="str">
        <f>IFERROR((_xlfn.XLOOKUP(PA[[#This Row],[Month Year]],'Modelling New'!D:D,'Modelling New'!$O:$O)*PA[[#This Row],[Lost PoA(Wh/m2)]]*PA[[#This Row],[DC Capacity Affceted (kW)]])/1000,"")</f>
        <v/>
      </c>
      <c r="AF81" s="35"/>
    </row>
    <row r="82" spans="1:32">
      <c r="A82" s="2">
        <f t="shared" si="13"/>
        <v>79</v>
      </c>
      <c r="B82" s="156">
        <f t="shared" si="11"/>
        <v>1900</v>
      </c>
      <c r="C82" s="129">
        <f t="shared" si="12"/>
        <v>1900</v>
      </c>
      <c r="I82" s="29" t="str">
        <f>IFERROR(VLOOKUP(PA[[#This Row],[Date]],Raw_Data[[Date]:[Sunset Time (POA&lt;20 W/m2)]],3,0),"")</f>
        <v/>
      </c>
      <c r="J82" s="29" t="str">
        <f>IFERROR(VLOOKUP(PA[[#This Row],[Date]],Raw_Data[[Date]:[Sunset Time (POA&lt;20 W/m2)]],4,0),"")</f>
        <v/>
      </c>
      <c r="K82" s="27" t="str">
        <f>IFERROR((PA[[#This Row],[Sunset Time (POA&lt;20 W/m2)]]-PA[[#This Row],[Sunrise Time (POA&gt;20 W/m2)]])*24,"")</f>
        <v/>
      </c>
      <c r="M82" s="46" t="str">
        <f>IFERROR(VLOOKUP(PA[[#This Row],[Affceted Equipment]],'Basic Data'!$A$2:$B$114,2,0),"")</f>
        <v/>
      </c>
      <c r="N82" s="48" t="str">
        <f>IFERROR(VLOOKUP(PA[[#This Row],[Affceted Equipment]],'Basic Data'!$A$1:$C$118,3,0),"")</f>
        <v/>
      </c>
      <c r="W82" s="33">
        <f>IF(PA[[#This Row],[Acknowledgemnet Time ]]="NA","",(PA[[#This Row],[Acknowledgemnet Time ]]-PA[[#This Row],[Fault Time]])*24)</f>
        <v>0</v>
      </c>
      <c r="X82" s="33">
        <f>IF(PA[[#This Row],[Work Start time on Fault]]="NA","",(PA[[#This Row],[Work Start time on Fault]]-PA[[#This Row],[Fault Time]])*24)</f>
        <v>0</v>
      </c>
      <c r="Y82" s="35">
        <f>(PA[[#This Row],[Work Completiuon time on fualt]]-PA[[#This Row],[Fault Time]])*24</f>
        <v>0</v>
      </c>
      <c r="Z82" s="35">
        <f>IFERROR((PA[[#This Row],[Work Completiuon time on fualt]]-PA[[#This Row],[Fault Time]])*24,"")</f>
        <v>0</v>
      </c>
      <c r="AC82" s="47" t="str">
        <f>IFERROR(PA[[#This Row],[Breakdown Time]]*PA[[#This Row],[Plant Equivalent Weightage]],"")</f>
        <v/>
      </c>
      <c r="AE82" s="33" t="str">
        <f>IFERROR((_xlfn.XLOOKUP(PA[[#This Row],[Month Year]],'Modelling New'!D:D,'Modelling New'!$O:$O)*PA[[#This Row],[Lost PoA(Wh/m2)]]*PA[[#This Row],[DC Capacity Affceted (kW)]])/1000,"")</f>
        <v/>
      </c>
      <c r="AF82" s="35"/>
    </row>
    <row r="83" spans="1:32">
      <c r="A83" s="2">
        <f t="shared" si="13"/>
        <v>80</v>
      </c>
      <c r="B83" s="156">
        <f t="shared" si="11"/>
        <v>1900</v>
      </c>
      <c r="C83" s="129">
        <f t="shared" si="12"/>
        <v>1900</v>
      </c>
      <c r="I83" s="29" t="str">
        <f>IFERROR(VLOOKUP(PA[[#This Row],[Date]],Raw_Data[[Date]:[Sunset Time (POA&lt;20 W/m2)]],3,0),"")</f>
        <v/>
      </c>
      <c r="J83" s="29" t="str">
        <f>IFERROR(VLOOKUP(PA[[#This Row],[Date]],Raw_Data[[Date]:[Sunset Time (POA&lt;20 W/m2)]],4,0),"")</f>
        <v/>
      </c>
      <c r="K83" s="27" t="str">
        <f>IFERROR((PA[[#This Row],[Sunset Time (POA&lt;20 W/m2)]]-PA[[#This Row],[Sunrise Time (POA&gt;20 W/m2)]])*24,"")</f>
        <v/>
      </c>
      <c r="M83" s="46" t="str">
        <f>IFERROR(VLOOKUP(PA[[#This Row],[Affceted Equipment]],'Basic Data'!$A$2:$B$114,2,0),"")</f>
        <v/>
      </c>
      <c r="N83" s="48" t="str">
        <f>IFERROR(VLOOKUP(PA[[#This Row],[Affceted Equipment]],'Basic Data'!$A$1:$C$118,3,0),"")</f>
        <v/>
      </c>
      <c r="W83" s="33">
        <f>IF(PA[[#This Row],[Acknowledgemnet Time ]]="NA","",(PA[[#This Row],[Acknowledgemnet Time ]]-PA[[#This Row],[Fault Time]])*24)</f>
        <v>0</v>
      </c>
      <c r="X83" s="33">
        <f>IF(PA[[#This Row],[Work Start time on Fault]]="NA","",(PA[[#This Row],[Work Start time on Fault]]-PA[[#This Row],[Fault Time]])*24)</f>
        <v>0</v>
      </c>
      <c r="Y83" s="35">
        <f>(PA[[#This Row],[Work Completiuon time on fualt]]-PA[[#This Row],[Fault Time]])*24</f>
        <v>0</v>
      </c>
      <c r="Z83" s="35">
        <f>IFERROR((PA[[#This Row],[Work Completiuon time on fualt]]-PA[[#This Row],[Fault Time]])*24,"")</f>
        <v>0</v>
      </c>
      <c r="AC83" s="47" t="str">
        <f>IFERROR(PA[[#This Row],[Breakdown Time]]*PA[[#This Row],[Plant Equivalent Weightage]],"")</f>
        <v/>
      </c>
      <c r="AE83" s="33" t="str">
        <f>IFERROR((_xlfn.XLOOKUP(PA[[#This Row],[Month Year]],'Modelling New'!D:D,'Modelling New'!$O:$O)*PA[[#This Row],[Lost PoA(Wh/m2)]]*PA[[#This Row],[DC Capacity Affceted (kW)]])/1000,"")</f>
        <v/>
      </c>
      <c r="AF83" s="35"/>
    </row>
    <row r="84" spans="1:32">
      <c r="A84" s="2">
        <f t="shared" si="13"/>
        <v>81</v>
      </c>
      <c r="B84" s="156">
        <f t="shared" si="11"/>
        <v>1900</v>
      </c>
      <c r="C84" s="129">
        <f t="shared" si="12"/>
        <v>1900</v>
      </c>
      <c r="I84" s="29" t="str">
        <f>IFERROR(VLOOKUP(PA[[#This Row],[Date]],Raw_Data[[Date]:[Sunset Time (POA&lt;20 W/m2)]],3,0),"")</f>
        <v/>
      </c>
      <c r="J84" s="29" t="str">
        <f>IFERROR(VLOOKUP(PA[[#This Row],[Date]],Raw_Data[[Date]:[Sunset Time (POA&lt;20 W/m2)]],4,0),"")</f>
        <v/>
      </c>
      <c r="K84" s="27" t="str">
        <f>IFERROR((PA[[#This Row],[Sunset Time (POA&lt;20 W/m2)]]-PA[[#This Row],[Sunrise Time (POA&gt;20 W/m2)]])*24,"")</f>
        <v/>
      </c>
      <c r="M84" s="46" t="str">
        <f>IFERROR(VLOOKUP(PA[[#This Row],[Affceted Equipment]],'Basic Data'!$A$2:$B$114,2,0),"")</f>
        <v/>
      </c>
      <c r="N84" s="48" t="str">
        <f>IFERROR(VLOOKUP(PA[[#This Row],[Affceted Equipment]],'Basic Data'!$A$1:$C$118,3,0),"")</f>
        <v/>
      </c>
      <c r="W84" s="33">
        <f>IF(PA[[#This Row],[Acknowledgemnet Time ]]="NA","",(PA[[#This Row],[Acknowledgemnet Time ]]-PA[[#This Row],[Fault Time]])*24)</f>
        <v>0</v>
      </c>
      <c r="X84" s="33">
        <f>IF(PA[[#This Row],[Work Start time on Fault]]="NA","",(PA[[#This Row],[Work Start time on Fault]]-PA[[#This Row],[Fault Time]])*24)</f>
        <v>0</v>
      </c>
      <c r="Y84" s="35">
        <f>(PA[[#This Row],[Work Completiuon time on fualt]]-PA[[#This Row],[Fault Time]])*24</f>
        <v>0</v>
      </c>
      <c r="Z84" s="35">
        <f>IFERROR((PA[[#This Row],[Work Completiuon time on fualt]]-PA[[#This Row],[Fault Time]])*24,"")</f>
        <v>0</v>
      </c>
      <c r="AC84" s="47" t="str">
        <f>IFERROR(PA[[#This Row],[Breakdown Time]]*PA[[#This Row],[Plant Equivalent Weightage]],"")</f>
        <v/>
      </c>
      <c r="AE84" s="33" t="str">
        <f>IFERROR((_xlfn.XLOOKUP(PA[[#This Row],[Month Year]],'Modelling New'!D:D,'Modelling New'!$O:$O)*PA[[#This Row],[Lost PoA(Wh/m2)]]*PA[[#This Row],[DC Capacity Affceted (kW)]])/1000,"")</f>
        <v/>
      </c>
      <c r="AF84" s="35"/>
    </row>
    <row r="85" spans="1:32">
      <c r="A85" s="2">
        <f t="shared" si="13"/>
        <v>82</v>
      </c>
      <c r="B85" s="156">
        <f t="shared" si="11"/>
        <v>1900</v>
      </c>
      <c r="C85" s="129">
        <f t="shared" si="12"/>
        <v>1900</v>
      </c>
      <c r="I85" s="29" t="str">
        <f>IFERROR(VLOOKUP(PA[[#This Row],[Date]],Raw_Data[[Date]:[Sunset Time (POA&lt;20 W/m2)]],3,0),"")</f>
        <v/>
      </c>
      <c r="J85" s="29" t="str">
        <f>IFERROR(VLOOKUP(PA[[#This Row],[Date]],Raw_Data[[Date]:[Sunset Time (POA&lt;20 W/m2)]],4,0),"")</f>
        <v/>
      </c>
      <c r="K85" s="27" t="str">
        <f>IFERROR((PA[[#This Row],[Sunset Time (POA&lt;20 W/m2)]]-PA[[#This Row],[Sunrise Time (POA&gt;20 W/m2)]])*24,"")</f>
        <v/>
      </c>
      <c r="M85" s="46" t="str">
        <f>IFERROR(VLOOKUP(PA[[#This Row],[Affceted Equipment]],'Basic Data'!$A$2:$B$114,2,0),"")</f>
        <v/>
      </c>
      <c r="N85" s="48" t="str">
        <f>IFERROR(VLOOKUP(PA[[#This Row],[Affceted Equipment]],'Basic Data'!$A$1:$C$118,3,0),"")</f>
        <v/>
      </c>
      <c r="W85" s="33">
        <f>IF(PA[[#This Row],[Acknowledgemnet Time ]]="NA","",(PA[[#This Row],[Acknowledgemnet Time ]]-PA[[#This Row],[Fault Time]])*24)</f>
        <v>0</v>
      </c>
      <c r="X85" s="33">
        <f>IF(PA[[#This Row],[Work Start time on Fault]]="NA","",(PA[[#This Row],[Work Start time on Fault]]-PA[[#This Row],[Fault Time]])*24)</f>
        <v>0</v>
      </c>
      <c r="Y85" s="35">
        <f>(PA[[#This Row],[Work Completiuon time on fualt]]-PA[[#This Row],[Fault Time]])*24</f>
        <v>0</v>
      </c>
      <c r="Z85" s="35">
        <f>IFERROR((PA[[#This Row],[Work Completiuon time on fualt]]-PA[[#This Row],[Fault Time]])*24,"")</f>
        <v>0</v>
      </c>
      <c r="AC85" s="47" t="str">
        <f>IFERROR(PA[[#This Row],[Breakdown Time]]*PA[[#This Row],[Plant Equivalent Weightage]],"")</f>
        <v/>
      </c>
      <c r="AE85" s="33" t="str">
        <f>IFERROR((_xlfn.XLOOKUP(PA[[#This Row],[Month Year]],'Modelling New'!D:D,'Modelling New'!$O:$O)*PA[[#This Row],[Lost PoA(Wh/m2)]]*PA[[#This Row],[DC Capacity Affceted (kW)]])/1000,"")</f>
        <v/>
      </c>
      <c r="AF85" s="35"/>
    </row>
    <row r="86" spans="1:32">
      <c r="A86" s="2">
        <f t="shared" si="13"/>
        <v>83</v>
      </c>
      <c r="B86" s="156">
        <f t="shared" si="11"/>
        <v>1900</v>
      </c>
      <c r="C86" s="129">
        <f t="shared" si="12"/>
        <v>1900</v>
      </c>
      <c r="I86" s="29" t="str">
        <f>IFERROR(VLOOKUP(PA[[#This Row],[Date]],Raw_Data[[Date]:[Sunset Time (POA&lt;20 W/m2)]],3,0),"")</f>
        <v/>
      </c>
      <c r="J86" s="29" t="str">
        <f>IFERROR(VLOOKUP(PA[[#This Row],[Date]],Raw_Data[[Date]:[Sunset Time (POA&lt;20 W/m2)]],4,0),"")</f>
        <v/>
      </c>
      <c r="K86" s="27" t="str">
        <f>IFERROR((PA[[#This Row],[Sunset Time (POA&lt;20 W/m2)]]-PA[[#This Row],[Sunrise Time (POA&gt;20 W/m2)]])*24,"")</f>
        <v/>
      </c>
      <c r="M86" s="46" t="str">
        <f>IFERROR(VLOOKUP(PA[[#This Row],[Affceted Equipment]],'Basic Data'!$A$2:$B$114,2,0),"")</f>
        <v/>
      </c>
      <c r="N86" s="48" t="str">
        <f>IFERROR(VLOOKUP(PA[[#This Row],[Affceted Equipment]],'Basic Data'!$A$1:$C$118,3,0),"")</f>
        <v/>
      </c>
      <c r="W86" s="33">
        <f>IF(PA[[#This Row],[Acknowledgemnet Time ]]="NA","",(PA[[#This Row],[Acknowledgemnet Time ]]-PA[[#This Row],[Fault Time]])*24)</f>
        <v>0</v>
      </c>
      <c r="X86" s="33">
        <f>IF(PA[[#This Row],[Work Start time on Fault]]="NA","",(PA[[#This Row],[Work Start time on Fault]]-PA[[#This Row],[Fault Time]])*24)</f>
        <v>0</v>
      </c>
      <c r="Y86" s="35">
        <f>(PA[[#This Row],[Work Completiuon time on fualt]]-PA[[#This Row],[Fault Time]])*24</f>
        <v>0</v>
      </c>
      <c r="Z86" s="35">
        <f>IFERROR((PA[[#This Row],[Work Completiuon time on fualt]]-PA[[#This Row],[Fault Time]])*24,"")</f>
        <v>0</v>
      </c>
      <c r="AC86" s="47" t="str">
        <f>IFERROR(PA[[#This Row],[Breakdown Time]]*PA[[#This Row],[Plant Equivalent Weightage]],"")</f>
        <v/>
      </c>
      <c r="AE86" s="33" t="str">
        <f>IFERROR((_xlfn.XLOOKUP(PA[[#This Row],[Month Year]],'Modelling New'!D:D,'Modelling New'!$O:$O)*PA[[#This Row],[Lost PoA(Wh/m2)]]*PA[[#This Row],[DC Capacity Affceted (kW)]])/1000,"")</f>
        <v/>
      </c>
      <c r="AF86" s="35"/>
    </row>
    <row r="87" spans="1:32">
      <c r="A87" s="2">
        <f t="shared" si="13"/>
        <v>84</v>
      </c>
      <c r="B87" s="156">
        <f t="shared" si="11"/>
        <v>1900</v>
      </c>
      <c r="C87" s="129">
        <f t="shared" si="12"/>
        <v>1900</v>
      </c>
      <c r="I87" s="29" t="str">
        <f>IFERROR(VLOOKUP(PA[[#This Row],[Date]],Raw_Data[[Date]:[Sunset Time (POA&lt;20 W/m2)]],3,0),"")</f>
        <v/>
      </c>
      <c r="J87" s="29" t="str">
        <f>IFERROR(VLOOKUP(PA[[#This Row],[Date]],Raw_Data[[Date]:[Sunset Time (POA&lt;20 W/m2)]],4,0),"")</f>
        <v/>
      </c>
      <c r="K87" s="27" t="str">
        <f>IFERROR((PA[[#This Row],[Sunset Time (POA&lt;20 W/m2)]]-PA[[#This Row],[Sunrise Time (POA&gt;20 W/m2)]])*24,"")</f>
        <v/>
      </c>
      <c r="M87" s="46" t="str">
        <f>IFERROR(VLOOKUP(PA[[#This Row],[Affceted Equipment]],'Basic Data'!$A$2:$B$114,2,0),"")</f>
        <v/>
      </c>
      <c r="N87" s="48" t="str">
        <f>IFERROR(VLOOKUP(PA[[#This Row],[Affceted Equipment]],'Basic Data'!$A$1:$C$118,3,0),"")</f>
        <v/>
      </c>
      <c r="W87" s="33">
        <f>IF(PA[[#This Row],[Acknowledgemnet Time ]]="NA","",(PA[[#This Row],[Acknowledgemnet Time ]]-PA[[#This Row],[Fault Time]])*24)</f>
        <v>0</v>
      </c>
      <c r="X87" s="33">
        <f>IF(PA[[#This Row],[Work Start time on Fault]]="NA","",(PA[[#This Row],[Work Start time on Fault]]-PA[[#This Row],[Fault Time]])*24)</f>
        <v>0</v>
      </c>
      <c r="Y87" s="35">
        <f>(PA[[#This Row],[Work Completiuon time on fualt]]-PA[[#This Row],[Fault Time]])*24</f>
        <v>0</v>
      </c>
      <c r="Z87" s="35">
        <f>IFERROR((PA[[#This Row],[Work Completiuon time on fualt]]-PA[[#This Row],[Fault Time]])*24,"")</f>
        <v>0</v>
      </c>
      <c r="AC87" s="47" t="str">
        <f>IFERROR(PA[[#This Row],[Breakdown Time]]*PA[[#This Row],[Plant Equivalent Weightage]],"")</f>
        <v/>
      </c>
      <c r="AE87" s="33" t="str">
        <f>IFERROR((_xlfn.XLOOKUP(PA[[#This Row],[Month Year]],'Modelling New'!D:D,'Modelling New'!$O:$O)*PA[[#This Row],[Lost PoA(Wh/m2)]]*PA[[#This Row],[DC Capacity Affceted (kW)]])/1000,"")</f>
        <v/>
      </c>
      <c r="AF87" s="35"/>
    </row>
    <row r="88" spans="1:32">
      <c r="A88" s="2">
        <f t="shared" si="13"/>
        <v>85</v>
      </c>
      <c r="B88" s="156">
        <f t="shared" si="11"/>
        <v>1900</v>
      </c>
      <c r="C88" s="129">
        <f t="shared" si="12"/>
        <v>1900</v>
      </c>
      <c r="I88" s="29" t="str">
        <f>IFERROR(VLOOKUP(PA[[#This Row],[Date]],Raw_Data[[Date]:[Sunset Time (POA&lt;20 W/m2)]],3,0),"")</f>
        <v/>
      </c>
      <c r="J88" s="29" t="str">
        <f>IFERROR(VLOOKUP(PA[[#This Row],[Date]],Raw_Data[[Date]:[Sunset Time (POA&lt;20 W/m2)]],4,0),"")</f>
        <v/>
      </c>
      <c r="K88" s="27" t="str">
        <f>IFERROR((PA[[#This Row],[Sunset Time (POA&lt;20 W/m2)]]-PA[[#This Row],[Sunrise Time (POA&gt;20 W/m2)]])*24,"")</f>
        <v/>
      </c>
      <c r="M88" s="46" t="str">
        <f>IFERROR(VLOOKUP(PA[[#This Row],[Affceted Equipment]],'Basic Data'!$A$2:$B$114,2,0),"")</f>
        <v/>
      </c>
      <c r="N88" s="48" t="str">
        <f>IFERROR(VLOOKUP(PA[[#This Row],[Affceted Equipment]],'Basic Data'!$A$1:$C$118,3,0),"")</f>
        <v/>
      </c>
      <c r="W88" s="33">
        <f>IF(PA[[#This Row],[Acknowledgemnet Time ]]="NA","",(PA[[#This Row],[Acknowledgemnet Time ]]-PA[[#This Row],[Fault Time]])*24)</f>
        <v>0</v>
      </c>
      <c r="X88" s="33">
        <f>IF(PA[[#This Row],[Work Start time on Fault]]="NA","",(PA[[#This Row],[Work Start time on Fault]]-PA[[#This Row],[Fault Time]])*24)</f>
        <v>0</v>
      </c>
      <c r="Y88" s="35">
        <f>(PA[[#This Row],[Work Completiuon time on fualt]]-PA[[#This Row],[Fault Time]])*24</f>
        <v>0</v>
      </c>
      <c r="Z88" s="35">
        <f>IFERROR((PA[[#This Row],[Work Completiuon time on fualt]]-PA[[#This Row],[Fault Time]])*24,"")</f>
        <v>0</v>
      </c>
      <c r="AC88" s="47" t="str">
        <f>IFERROR(PA[[#This Row],[Breakdown Time]]*PA[[#This Row],[Plant Equivalent Weightage]],"")</f>
        <v/>
      </c>
      <c r="AE88" s="33" t="str">
        <f>IFERROR((_xlfn.XLOOKUP(PA[[#This Row],[Month Year]],'Modelling New'!D:D,'Modelling New'!$O:$O)*PA[[#This Row],[Lost PoA(Wh/m2)]]*PA[[#This Row],[DC Capacity Affceted (kW)]])/1000,"")</f>
        <v/>
      </c>
      <c r="AF88" s="35"/>
    </row>
    <row r="89" spans="1:32">
      <c r="A89" s="2">
        <f t="shared" si="13"/>
        <v>86</v>
      </c>
      <c r="B89" s="156">
        <f t="shared" si="11"/>
        <v>1900</v>
      </c>
      <c r="C89" s="129">
        <f t="shared" si="12"/>
        <v>1900</v>
      </c>
      <c r="I89" s="29" t="str">
        <f>IFERROR(VLOOKUP(PA[[#This Row],[Date]],Raw_Data[[Date]:[Sunset Time (POA&lt;20 W/m2)]],3,0),"")</f>
        <v/>
      </c>
      <c r="J89" s="29" t="str">
        <f>IFERROR(VLOOKUP(PA[[#This Row],[Date]],Raw_Data[[Date]:[Sunset Time (POA&lt;20 W/m2)]],4,0),"")</f>
        <v/>
      </c>
      <c r="K89" s="27" t="str">
        <f>IFERROR((PA[[#This Row],[Sunset Time (POA&lt;20 W/m2)]]-PA[[#This Row],[Sunrise Time (POA&gt;20 W/m2)]])*24,"")</f>
        <v/>
      </c>
      <c r="M89" s="46" t="str">
        <f>IFERROR(VLOOKUP(PA[[#This Row],[Affceted Equipment]],'Basic Data'!$A$2:$B$114,2,0),"")</f>
        <v/>
      </c>
      <c r="N89" s="48" t="str">
        <f>IFERROR(VLOOKUP(PA[[#This Row],[Affceted Equipment]],'Basic Data'!$A$1:$C$118,3,0),"")</f>
        <v/>
      </c>
      <c r="W89" s="33">
        <f>IF(PA[[#This Row],[Acknowledgemnet Time ]]="NA","",(PA[[#This Row],[Acknowledgemnet Time ]]-PA[[#This Row],[Fault Time]])*24)</f>
        <v>0</v>
      </c>
      <c r="X89" s="33">
        <f>IF(PA[[#This Row],[Work Start time on Fault]]="NA","",(PA[[#This Row],[Work Start time on Fault]]-PA[[#This Row],[Fault Time]])*24)</f>
        <v>0</v>
      </c>
      <c r="Y89" s="35">
        <f>(PA[[#This Row],[Work Completiuon time on fualt]]-PA[[#This Row],[Fault Time]])*24</f>
        <v>0</v>
      </c>
      <c r="Z89" s="35">
        <f>IFERROR((PA[[#This Row],[Work Completiuon time on fualt]]-PA[[#This Row],[Fault Time]])*24,"")</f>
        <v>0</v>
      </c>
      <c r="AC89" s="47" t="str">
        <f>IFERROR(PA[[#This Row],[Breakdown Time]]*PA[[#This Row],[Plant Equivalent Weightage]],"")</f>
        <v/>
      </c>
      <c r="AE89" s="33" t="str">
        <f>IFERROR((_xlfn.XLOOKUP(PA[[#This Row],[Month Year]],'Modelling New'!D:D,'Modelling New'!$O:$O)*PA[[#This Row],[Lost PoA(Wh/m2)]]*PA[[#This Row],[DC Capacity Affceted (kW)]])/1000,"")</f>
        <v/>
      </c>
      <c r="AF89" s="35"/>
    </row>
    <row r="90" spans="1:32">
      <c r="A90" s="2">
        <f t="shared" si="13"/>
        <v>87</v>
      </c>
      <c r="B90" s="156">
        <f t="shared" si="11"/>
        <v>1900</v>
      </c>
      <c r="C90" s="129">
        <f t="shared" si="12"/>
        <v>1900</v>
      </c>
      <c r="I90" s="29" t="str">
        <f>IFERROR(VLOOKUP(PA[[#This Row],[Date]],Raw_Data[[Date]:[Sunset Time (POA&lt;20 W/m2)]],3,0),"")</f>
        <v/>
      </c>
      <c r="J90" s="29" t="str">
        <f>IFERROR(VLOOKUP(PA[[#This Row],[Date]],Raw_Data[[Date]:[Sunset Time (POA&lt;20 W/m2)]],4,0),"")</f>
        <v/>
      </c>
      <c r="K90" s="27" t="str">
        <f>IFERROR((PA[[#This Row],[Sunset Time (POA&lt;20 W/m2)]]-PA[[#This Row],[Sunrise Time (POA&gt;20 W/m2)]])*24,"")</f>
        <v/>
      </c>
      <c r="M90" s="46" t="str">
        <f>IFERROR(VLOOKUP(PA[[#This Row],[Affceted Equipment]],'Basic Data'!$A$2:$B$114,2,0),"")</f>
        <v/>
      </c>
      <c r="N90" s="48" t="str">
        <f>IFERROR(VLOOKUP(PA[[#This Row],[Affceted Equipment]],'Basic Data'!$A$1:$C$118,3,0),"")</f>
        <v/>
      </c>
      <c r="W90" s="33">
        <f>IF(PA[[#This Row],[Acknowledgemnet Time ]]="NA","",(PA[[#This Row],[Acknowledgemnet Time ]]-PA[[#This Row],[Fault Time]])*24)</f>
        <v>0</v>
      </c>
      <c r="X90" s="33">
        <f>IF(PA[[#This Row],[Work Start time on Fault]]="NA","",(PA[[#This Row],[Work Start time on Fault]]-PA[[#This Row],[Fault Time]])*24)</f>
        <v>0</v>
      </c>
      <c r="Y90" s="35">
        <f>(PA[[#This Row],[Work Completiuon time on fualt]]-PA[[#This Row],[Fault Time]])*24</f>
        <v>0</v>
      </c>
      <c r="Z90" s="35">
        <f>IFERROR((PA[[#This Row],[Work Completiuon time on fualt]]-PA[[#This Row],[Fault Time]])*24,"")</f>
        <v>0</v>
      </c>
      <c r="AC90" s="47" t="str">
        <f>IFERROR(PA[[#This Row],[Breakdown Time]]*PA[[#This Row],[Plant Equivalent Weightage]],"")</f>
        <v/>
      </c>
      <c r="AE90" s="33" t="str">
        <f>IFERROR((_xlfn.XLOOKUP(PA[[#This Row],[Month Year]],'Modelling New'!D:D,'Modelling New'!$O:$O)*PA[[#This Row],[Lost PoA(Wh/m2)]]*PA[[#This Row],[DC Capacity Affceted (kW)]])/1000,"")</f>
        <v/>
      </c>
      <c r="AF90" s="35"/>
    </row>
    <row r="91" spans="1:32">
      <c r="A91" s="2">
        <f t="shared" si="13"/>
        <v>88</v>
      </c>
      <c r="B91" s="156">
        <f t="shared" si="11"/>
        <v>1900</v>
      </c>
      <c r="C91" s="129">
        <f t="shared" si="12"/>
        <v>1900</v>
      </c>
      <c r="I91" s="29" t="str">
        <f>IFERROR(VLOOKUP(PA[[#This Row],[Date]],Raw_Data[[Date]:[Sunset Time (POA&lt;20 W/m2)]],3,0),"")</f>
        <v/>
      </c>
      <c r="J91" s="29" t="str">
        <f>IFERROR(VLOOKUP(PA[[#This Row],[Date]],Raw_Data[[Date]:[Sunset Time (POA&lt;20 W/m2)]],4,0),"")</f>
        <v/>
      </c>
      <c r="K91" s="27" t="str">
        <f>IFERROR((PA[[#This Row],[Sunset Time (POA&lt;20 W/m2)]]-PA[[#This Row],[Sunrise Time (POA&gt;20 W/m2)]])*24,"")</f>
        <v/>
      </c>
      <c r="M91" s="46" t="str">
        <f>IFERROR(VLOOKUP(PA[[#This Row],[Affceted Equipment]],'Basic Data'!$A$2:$B$114,2,0),"")</f>
        <v/>
      </c>
      <c r="N91" s="48" t="str">
        <f>IFERROR(VLOOKUP(PA[[#This Row],[Affceted Equipment]],'Basic Data'!$A$1:$C$118,3,0),"")</f>
        <v/>
      </c>
      <c r="W91" s="33">
        <f>IF(PA[[#This Row],[Acknowledgemnet Time ]]="NA","",(PA[[#This Row],[Acknowledgemnet Time ]]-PA[[#This Row],[Fault Time]])*24)</f>
        <v>0</v>
      </c>
      <c r="X91" s="33">
        <f>IF(PA[[#This Row],[Work Start time on Fault]]="NA","",(PA[[#This Row],[Work Start time on Fault]]-PA[[#This Row],[Fault Time]])*24)</f>
        <v>0</v>
      </c>
      <c r="Y91" s="35">
        <f>(PA[[#This Row],[Work Completiuon time on fualt]]-PA[[#This Row],[Fault Time]])*24</f>
        <v>0</v>
      </c>
      <c r="Z91" s="35">
        <f>IFERROR((PA[[#This Row],[Work Completiuon time on fualt]]-PA[[#This Row],[Fault Time]])*24,"")</f>
        <v>0</v>
      </c>
      <c r="AC91" s="47" t="str">
        <f>IFERROR(PA[[#This Row],[Breakdown Time]]*PA[[#This Row],[Plant Equivalent Weightage]],"")</f>
        <v/>
      </c>
      <c r="AE91" s="33" t="str">
        <f>IFERROR((_xlfn.XLOOKUP(PA[[#This Row],[Month Year]],'Modelling New'!D:D,'Modelling New'!$O:$O)*PA[[#This Row],[Lost PoA(Wh/m2)]]*PA[[#This Row],[DC Capacity Affceted (kW)]])/1000,"")</f>
        <v/>
      </c>
      <c r="AF91" s="35"/>
    </row>
    <row r="92" spans="1:32">
      <c r="A92" s="2">
        <f t="shared" si="13"/>
        <v>89</v>
      </c>
      <c r="B92" s="156">
        <f t="shared" si="11"/>
        <v>1900</v>
      </c>
      <c r="C92" s="129">
        <f t="shared" si="12"/>
        <v>1900</v>
      </c>
      <c r="I92" s="29" t="str">
        <f>IFERROR(VLOOKUP(PA[[#This Row],[Date]],Raw_Data[[Date]:[Sunset Time (POA&lt;20 W/m2)]],3,0),"")</f>
        <v/>
      </c>
      <c r="J92" s="29" t="str">
        <f>IFERROR(VLOOKUP(PA[[#This Row],[Date]],Raw_Data[[Date]:[Sunset Time (POA&lt;20 W/m2)]],4,0),"")</f>
        <v/>
      </c>
      <c r="K92" s="27" t="str">
        <f>IFERROR((PA[[#This Row],[Sunset Time (POA&lt;20 W/m2)]]-PA[[#This Row],[Sunrise Time (POA&gt;20 W/m2)]])*24,"")</f>
        <v/>
      </c>
      <c r="M92" s="46" t="str">
        <f>IFERROR(VLOOKUP(PA[[#This Row],[Affceted Equipment]],'Basic Data'!$A$2:$B$114,2,0),"")</f>
        <v/>
      </c>
      <c r="N92" s="48" t="str">
        <f>IFERROR(VLOOKUP(PA[[#This Row],[Affceted Equipment]],'Basic Data'!$A$1:$C$118,3,0),"")</f>
        <v/>
      </c>
      <c r="W92" s="33">
        <f>IF(PA[[#This Row],[Acknowledgemnet Time ]]="NA","",(PA[[#This Row],[Acknowledgemnet Time ]]-PA[[#This Row],[Fault Time]])*24)</f>
        <v>0</v>
      </c>
      <c r="X92" s="33">
        <f>IF(PA[[#This Row],[Work Start time on Fault]]="NA","",(PA[[#This Row],[Work Start time on Fault]]-PA[[#This Row],[Fault Time]])*24)</f>
        <v>0</v>
      </c>
      <c r="Y92" s="35">
        <f>(PA[[#This Row],[Work Completiuon time on fualt]]-PA[[#This Row],[Fault Time]])*24</f>
        <v>0</v>
      </c>
      <c r="Z92" s="35">
        <f>IFERROR((PA[[#This Row],[Work Completiuon time on fualt]]-PA[[#This Row],[Fault Time]])*24,"")</f>
        <v>0</v>
      </c>
      <c r="AC92" s="47" t="str">
        <f>IFERROR(PA[[#This Row],[Breakdown Time]]*PA[[#This Row],[Plant Equivalent Weightage]],"")</f>
        <v/>
      </c>
      <c r="AE92" s="33" t="str">
        <f>IFERROR((_xlfn.XLOOKUP(PA[[#This Row],[Month Year]],'Modelling New'!D:D,'Modelling New'!$O:$O)*PA[[#This Row],[Lost PoA(Wh/m2)]]*PA[[#This Row],[DC Capacity Affceted (kW)]])/1000,"")</f>
        <v/>
      </c>
      <c r="AF92" s="35"/>
    </row>
    <row r="93" spans="1:32">
      <c r="A93" s="2">
        <f t="shared" si="13"/>
        <v>90</v>
      </c>
      <c r="B93" s="156">
        <f t="shared" si="11"/>
        <v>1900</v>
      </c>
      <c r="C93" s="129">
        <f t="shared" si="12"/>
        <v>1900</v>
      </c>
      <c r="I93" s="29" t="str">
        <f>IFERROR(VLOOKUP(PA[[#This Row],[Date]],Raw_Data[[Date]:[Sunset Time (POA&lt;20 W/m2)]],3,0),"")</f>
        <v/>
      </c>
      <c r="J93" s="29" t="str">
        <f>IFERROR(VLOOKUP(PA[[#This Row],[Date]],Raw_Data[[Date]:[Sunset Time (POA&lt;20 W/m2)]],4,0),"")</f>
        <v/>
      </c>
      <c r="K93" s="27" t="str">
        <f>IFERROR((PA[[#This Row],[Sunset Time (POA&lt;20 W/m2)]]-PA[[#This Row],[Sunrise Time (POA&gt;20 W/m2)]])*24,"")</f>
        <v/>
      </c>
      <c r="M93" s="46" t="str">
        <f>IFERROR(VLOOKUP(PA[[#This Row],[Affceted Equipment]],'Basic Data'!$A$2:$B$114,2,0),"")</f>
        <v/>
      </c>
      <c r="N93" s="48" t="str">
        <f>IFERROR(VLOOKUP(PA[[#This Row],[Affceted Equipment]],'Basic Data'!$A$1:$C$118,3,0),"")</f>
        <v/>
      </c>
      <c r="W93" s="33">
        <f>IF(PA[[#This Row],[Acknowledgemnet Time ]]="NA","",(PA[[#This Row],[Acknowledgemnet Time ]]-PA[[#This Row],[Fault Time]])*24)</f>
        <v>0</v>
      </c>
      <c r="X93" s="33">
        <f>IF(PA[[#This Row],[Work Start time on Fault]]="NA","",(PA[[#This Row],[Work Start time on Fault]]-PA[[#This Row],[Fault Time]])*24)</f>
        <v>0</v>
      </c>
      <c r="Y93" s="35">
        <f>(PA[[#This Row],[Work Completiuon time on fualt]]-PA[[#This Row],[Fault Time]])*24</f>
        <v>0</v>
      </c>
      <c r="Z93" s="35">
        <f>IFERROR((PA[[#This Row],[Work Completiuon time on fualt]]-PA[[#This Row],[Fault Time]])*24,"")</f>
        <v>0</v>
      </c>
      <c r="AC93" s="47" t="str">
        <f>IFERROR(PA[[#This Row],[Breakdown Time]]*PA[[#This Row],[Plant Equivalent Weightage]],"")</f>
        <v/>
      </c>
      <c r="AE93" s="33" t="str">
        <f>IFERROR((_xlfn.XLOOKUP(PA[[#This Row],[Month Year]],'Modelling New'!D:D,'Modelling New'!$O:$O)*PA[[#This Row],[Lost PoA(Wh/m2)]]*PA[[#This Row],[DC Capacity Affceted (kW)]])/1000,"")</f>
        <v/>
      </c>
      <c r="AF93" s="35"/>
    </row>
    <row r="94" spans="1:32">
      <c r="A94" s="2">
        <f t="shared" si="13"/>
        <v>91</v>
      </c>
      <c r="B94" s="156">
        <f t="shared" si="11"/>
        <v>1900</v>
      </c>
      <c r="C94" s="129">
        <f t="shared" si="12"/>
        <v>1900</v>
      </c>
      <c r="I94" s="29" t="str">
        <f>IFERROR(VLOOKUP(PA[[#This Row],[Date]],Raw_Data[[Date]:[Sunset Time (POA&lt;20 W/m2)]],3,0),"")</f>
        <v/>
      </c>
      <c r="J94" s="29" t="str">
        <f>IFERROR(VLOOKUP(PA[[#This Row],[Date]],Raw_Data[[Date]:[Sunset Time (POA&lt;20 W/m2)]],4,0),"")</f>
        <v/>
      </c>
      <c r="K94" s="27" t="str">
        <f>IFERROR((PA[[#This Row],[Sunset Time (POA&lt;20 W/m2)]]-PA[[#This Row],[Sunrise Time (POA&gt;20 W/m2)]])*24,"")</f>
        <v/>
      </c>
      <c r="M94" s="46" t="str">
        <f>IFERROR(VLOOKUP(PA[[#This Row],[Affceted Equipment]],'Basic Data'!$A$2:$B$114,2,0),"")</f>
        <v/>
      </c>
      <c r="N94" s="48" t="str">
        <f>IFERROR(VLOOKUP(PA[[#This Row],[Affceted Equipment]],'Basic Data'!$A$1:$C$118,3,0),"")</f>
        <v/>
      </c>
      <c r="W94" s="33">
        <f>IF(PA[[#This Row],[Acknowledgemnet Time ]]="NA","",(PA[[#This Row],[Acknowledgemnet Time ]]-PA[[#This Row],[Fault Time]])*24)</f>
        <v>0</v>
      </c>
      <c r="X94" s="33">
        <f>IF(PA[[#This Row],[Work Start time on Fault]]="NA","",(PA[[#This Row],[Work Start time on Fault]]-PA[[#This Row],[Fault Time]])*24)</f>
        <v>0</v>
      </c>
      <c r="Y94" s="35">
        <f>(PA[[#This Row],[Work Completiuon time on fualt]]-PA[[#This Row],[Fault Time]])*24</f>
        <v>0</v>
      </c>
      <c r="Z94" s="35">
        <f>IFERROR((PA[[#This Row],[Work Completiuon time on fualt]]-PA[[#This Row],[Fault Time]])*24,"")</f>
        <v>0</v>
      </c>
      <c r="AC94" s="47" t="str">
        <f>IFERROR(PA[[#This Row],[Breakdown Time]]*PA[[#This Row],[Plant Equivalent Weightage]],"")</f>
        <v/>
      </c>
      <c r="AE94" s="33" t="str">
        <f>IFERROR((_xlfn.XLOOKUP(PA[[#This Row],[Month Year]],'Modelling New'!D:D,'Modelling New'!$O:$O)*PA[[#This Row],[Lost PoA(Wh/m2)]]*PA[[#This Row],[DC Capacity Affceted (kW)]])/1000,"")</f>
        <v/>
      </c>
      <c r="AF94" s="35"/>
    </row>
    <row r="95" spans="1:32">
      <c r="A95" s="2">
        <f t="shared" si="13"/>
        <v>92</v>
      </c>
      <c r="B95" s="156">
        <f t="shared" si="11"/>
        <v>1900</v>
      </c>
      <c r="C95" s="129">
        <f t="shared" si="12"/>
        <v>1900</v>
      </c>
      <c r="I95" s="29" t="str">
        <f>IFERROR(VLOOKUP(PA[[#This Row],[Date]],Raw_Data[[Date]:[Sunset Time (POA&lt;20 W/m2)]],3,0),"")</f>
        <v/>
      </c>
      <c r="J95" s="29" t="str">
        <f>IFERROR(VLOOKUP(PA[[#This Row],[Date]],Raw_Data[[Date]:[Sunset Time (POA&lt;20 W/m2)]],4,0),"")</f>
        <v/>
      </c>
      <c r="K95" s="27" t="str">
        <f>IFERROR((PA[[#This Row],[Sunset Time (POA&lt;20 W/m2)]]-PA[[#This Row],[Sunrise Time (POA&gt;20 W/m2)]])*24,"")</f>
        <v/>
      </c>
      <c r="M95" s="46" t="str">
        <f>IFERROR(VLOOKUP(PA[[#This Row],[Affceted Equipment]],'Basic Data'!$A$2:$B$114,2,0),"")</f>
        <v/>
      </c>
      <c r="N95" s="48" t="str">
        <f>IFERROR(VLOOKUP(PA[[#This Row],[Affceted Equipment]],'Basic Data'!$A$1:$C$118,3,0),"")</f>
        <v/>
      </c>
      <c r="W95" s="33">
        <f>IF(PA[[#This Row],[Acknowledgemnet Time ]]="NA","",(PA[[#This Row],[Acknowledgemnet Time ]]-PA[[#This Row],[Fault Time]])*24)</f>
        <v>0</v>
      </c>
      <c r="X95" s="33">
        <f>IF(PA[[#This Row],[Work Start time on Fault]]="NA","",(PA[[#This Row],[Work Start time on Fault]]-PA[[#This Row],[Fault Time]])*24)</f>
        <v>0</v>
      </c>
      <c r="Y95" s="35">
        <f>(PA[[#This Row],[Work Completiuon time on fualt]]-PA[[#This Row],[Fault Time]])*24</f>
        <v>0</v>
      </c>
      <c r="Z95" s="35">
        <f>IFERROR((PA[[#This Row],[Work Completiuon time on fualt]]-PA[[#This Row],[Fault Time]])*24,"")</f>
        <v>0</v>
      </c>
      <c r="AC95" s="47" t="str">
        <f>IFERROR(PA[[#This Row],[Breakdown Time]]*PA[[#This Row],[Plant Equivalent Weightage]],"")</f>
        <v/>
      </c>
      <c r="AE95" s="33" t="str">
        <f>IFERROR((_xlfn.XLOOKUP(PA[[#This Row],[Month Year]],'Modelling New'!D:D,'Modelling New'!$O:$O)*PA[[#This Row],[Lost PoA(Wh/m2)]]*PA[[#This Row],[DC Capacity Affceted (kW)]])/1000,"")</f>
        <v/>
      </c>
      <c r="AF95" s="35"/>
    </row>
    <row r="96" spans="1:32">
      <c r="A96" s="2">
        <f t="shared" si="13"/>
        <v>93</v>
      </c>
      <c r="B96" s="156">
        <f t="shared" si="11"/>
        <v>1900</v>
      </c>
      <c r="C96" s="129">
        <f t="shared" si="12"/>
        <v>1900</v>
      </c>
      <c r="I96" s="29" t="str">
        <f>IFERROR(VLOOKUP(PA[[#This Row],[Date]],Raw_Data[[Date]:[Sunset Time (POA&lt;20 W/m2)]],3,0),"")</f>
        <v/>
      </c>
      <c r="J96" s="29" t="str">
        <f>IFERROR(VLOOKUP(PA[[#This Row],[Date]],Raw_Data[[Date]:[Sunset Time (POA&lt;20 W/m2)]],4,0),"")</f>
        <v/>
      </c>
      <c r="K96" s="27" t="str">
        <f>IFERROR((PA[[#This Row],[Sunset Time (POA&lt;20 W/m2)]]-PA[[#This Row],[Sunrise Time (POA&gt;20 W/m2)]])*24,"")</f>
        <v/>
      </c>
      <c r="M96" s="46" t="str">
        <f>IFERROR(VLOOKUP(PA[[#This Row],[Affceted Equipment]],'Basic Data'!$A$2:$B$114,2,0),"")</f>
        <v/>
      </c>
      <c r="N96" s="48" t="str">
        <f>IFERROR(VLOOKUP(PA[[#This Row],[Affceted Equipment]],'Basic Data'!$A$1:$C$118,3,0),"")</f>
        <v/>
      </c>
      <c r="W96" s="33">
        <f>IF(PA[[#This Row],[Acknowledgemnet Time ]]="NA","",(PA[[#This Row],[Acknowledgemnet Time ]]-PA[[#This Row],[Fault Time]])*24)</f>
        <v>0</v>
      </c>
      <c r="X96" s="33">
        <f>IF(PA[[#This Row],[Work Start time on Fault]]="NA","",(PA[[#This Row],[Work Start time on Fault]]-PA[[#This Row],[Fault Time]])*24)</f>
        <v>0</v>
      </c>
      <c r="Y96" s="35">
        <f>(PA[[#This Row],[Work Completiuon time on fualt]]-PA[[#This Row],[Fault Time]])*24</f>
        <v>0</v>
      </c>
      <c r="Z96" s="35">
        <f>IFERROR((PA[[#This Row],[Work Completiuon time on fualt]]-PA[[#This Row],[Fault Time]])*24,"")</f>
        <v>0</v>
      </c>
      <c r="AC96" s="47" t="str">
        <f>IFERROR(PA[[#This Row],[Breakdown Time]]*PA[[#This Row],[Plant Equivalent Weightage]],"")</f>
        <v/>
      </c>
      <c r="AE96" s="33" t="str">
        <f>IFERROR((_xlfn.XLOOKUP(PA[[#This Row],[Month Year]],'Modelling New'!D:D,'Modelling New'!$O:$O)*PA[[#This Row],[Lost PoA(Wh/m2)]]*PA[[#This Row],[DC Capacity Affceted (kW)]])/1000,"")</f>
        <v/>
      </c>
      <c r="AF96" s="35"/>
    </row>
    <row r="97" spans="1:32">
      <c r="A97" s="2">
        <f t="shared" si="13"/>
        <v>94</v>
      </c>
      <c r="B97" s="156">
        <f t="shared" si="11"/>
        <v>1900</v>
      </c>
      <c r="C97" s="129">
        <f t="shared" si="12"/>
        <v>1900</v>
      </c>
      <c r="I97" s="29" t="str">
        <f>IFERROR(VLOOKUP(PA[[#This Row],[Date]],Raw_Data[[Date]:[Sunset Time (POA&lt;20 W/m2)]],3,0),"")</f>
        <v/>
      </c>
      <c r="J97" s="29" t="str">
        <f>IFERROR(VLOOKUP(PA[[#This Row],[Date]],Raw_Data[[Date]:[Sunset Time (POA&lt;20 W/m2)]],4,0),"")</f>
        <v/>
      </c>
      <c r="K97" s="27" t="str">
        <f>IFERROR((PA[[#This Row],[Sunset Time (POA&lt;20 W/m2)]]-PA[[#This Row],[Sunrise Time (POA&gt;20 W/m2)]])*24,"")</f>
        <v/>
      </c>
      <c r="M97" s="46" t="str">
        <f>IFERROR(VLOOKUP(PA[[#This Row],[Affceted Equipment]],'Basic Data'!$A$2:$B$114,2,0),"")</f>
        <v/>
      </c>
      <c r="N97" s="48" t="str">
        <f>IFERROR(VLOOKUP(PA[[#This Row],[Affceted Equipment]],'Basic Data'!$A$1:$C$118,3,0),"")</f>
        <v/>
      </c>
      <c r="W97" s="33">
        <f>IF(PA[[#This Row],[Acknowledgemnet Time ]]="NA","",(PA[[#This Row],[Acknowledgemnet Time ]]-PA[[#This Row],[Fault Time]])*24)</f>
        <v>0</v>
      </c>
      <c r="X97" s="33">
        <f>IF(PA[[#This Row],[Work Start time on Fault]]="NA","",(PA[[#This Row],[Work Start time on Fault]]-PA[[#This Row],[Fault Time]])*24)</f>
        <v>0</v>
      </c>
      <c r="Y97" s="35">
        <f>(PA[[#This Row],[Work Completiuon time on fualt]]-PA[[#This Row],[Fault Time]])*24</f>
        <v>0</v>
      </c>
      <c r="Z97" s="35">
        <f>IFERROR((PA[[#This Row],[Work Completiuon time on fualt]]-PA[[#This Row],[Fault Time]])*24,"")</f>
        <v>0</v>
      </c>
      <c r="AC97" s="47" t="str">
        <f>IFERROR(PA[[#This Row],[Breakdown Time]]*PA[[#This Row],[Plant Equivalent Weightage]],"")</f>
        <v/>
      </c>
      <c r="AE97" s="33" t="str">
        <f>IFERROR((_xlfn.XLOOKUP(PA[[#This Row],[Month Year]],'Modelling New'!D:D,'Modelling New'!$O:$O)*PA[[#This Row],[Lost PoA(Wh/m2)]]*PA[[#This Row],[DC Capacity Affceted (kW)]])/1000,"")</f>
        <v/>
      </c>
      <c r="AF97" s="35"/>
    </row>
    <row r="98" spans="1:32">
      <c r="A98" s="2">
        <f t="shared" si="13"/>
        <v>95</v>
      </c>
      <c r="B98" s="156">
        <f t="shared" si="11"/>
        <v>1900</v>
      </c>
      <c r="C98" s="129">
        <f t="shared" si="12"/>
        <v>1900</v>
      </c>
      <c r="I98" s="29" t="str">
        <f>IFERROR(VLOOKUP(PA[[#This Row],[Date]],Raw_Data[[Date]:[Sunset Time (POA&lt;20 W/m2)]],3,0),"")</f>
        <v/>
      </c>
      <c r="J98" s="29" t="str">
        <f>IFERROR(VLOOKUP(PA[[#This Row],[Date]],Raw_Data[[Date]:[Sunset Time (POA&lt;20 W/m2)]],4,0),"")</f>
        <v/>
      </c>
      <c r="K98" s="27" t="str">
        <f>IFERROR((PA[[#This Row],[Sunset Time (POA&lt;20 W/m2)]]-PA[[#This Row],[Sunrise Time (POA&gt;20 W/m2)]])*24,"")</f>
        <v/>
      </c>
      <c r="M98" s="46" t="str">
        <f>IFERROR(VLOOKUP(PA[[#This Row],[Affceted Equipment]],'Basic Data'!$A$2:$B$114,2,0),"")</f>
        <v/>
      </c>
      <c r="N98" s="48" t="str">
        <f>IFERROR(VLOOKUP(PA[[#This Row],[Affceted Equipment]],'Basic Data'!$A$1:$C$118,3,0),"")</f>
        <v/>
      </c>
      <c r="W98" s="33">
        <f>IF(PA[[#This Row],[Acknowledgemnet Time ]]="NA","",(PA[[#This Row],[Acknowledgemnet Time ]]-PA[[#This Row],[Fault Time]])*24)</f>
        <v>0</v>
      </c>
      <c r="X98" s="33">
        <f>IF(PA[[#This Row],[Work Start time on Fault]]="NA","",(PA[[#This Row],[Work Start time on Fault]]-PA[[#This Row],[Fault Time]])*24)</f>
        <v>0</v>
      </c>
      <c r="Y98" s="35">
        <f>(PA[[#This Row],[Work Completiuon time on fualt]]-PA[[#This Row],[Fault Time]])*24</f>
        <v>0</v>
      </c>
      <c r="Z98" s="35">
        <f>IFERROR((PA[[#This Row],[Work Completiuon time on fualt]]-PA[[#This Row],[Fault Time]])*24,"")</f>
        <v>0</v>
      </c>
      <c r="AC98" s="47" t="str">
        <f>IFERROR(PA[[#This Row],[Breakdown Time]]*PA[[#This Row],[Plant Equivalent Weightage]],"")</f>
        <v/>
      </c>
      <c r="AE98" s="33" t="str">
        <f>IFERROR((_xlfn.XLOOKUP(PA[[#This Row],[Month Year]],'Modelling New'!D:D,'Modelling New'!$O:$O)*PA[[#This Row],[Lost PoA(Wh/m2)]]*PA[[#This Row],[DC Capacity Affceted (kW)]])/1000,"")</f>
        <v/>
      </c>
      <c r="AF98" s="35"/>
    </row>
    <row r="99" spans="1:32">
      <c r="A99" s="2">
        <f t="shared" si="13"/>
        <v>96</v>
      </c>
      <c r="B99" s="156">
        <f t="shared" si="11"/>
        <v>1900</v>
      </c>
      <c r="C99" s="129">
        <f t="shared" si="12"/>
        <v>1900</v>
      </c>
      <c r="I99" s="29" t="str">
        <f>IFERROR(VLOOKUP(PA[[#This Row],[Date]],Raw_Data[[Date]:[Sunset Time (POA&lt;20 W/m2)]],3,0),"")</f>
        <v/>
      </c>
      <c r="J99" s="29" t="str">
        <f>IFERROR(VLOOKUP(PA[[#This Row],[Date]],Raw_Data[[Date]:[Sunset Time (POA&lt;20 W/m2)]],4,0),"")</f>
        <v/>
      </c>
      <c r="K99" s="27" t="str">
        <f>IFERROR((PA[[#This Row],[Sunset Time (POA&lt;20 W/m2)]]-PA[[#This Row],[Sunrise Time (POA&gt;20 W/m2)]])*24,"")</f>
        <v/>
      </c>
      <c r="M99" s="46" t="str">
        <f>IFERROR(VLOOKUP(PA[[#This Row],[Affceted Equipment]],'Basic Data'!$A$2:$B$114,2,0),"")</f>
        <v/>
      </c>
      <c r="N99" s="48" t="str">
        <f>IFERROR(VLOOKUP(PA[[#This Row],[Affceted Equipment]],'Basic Data'!$A$1:$C$118,3,0),"")</f>
        <v/>
      </c>
      <c r="W99" s="33">
        <f>IF(PA[[#This Row],[Acknowledgemnet Time ]]="NA","",(PA[[#This Row],[Acknowledgemnet Time ]]-PA[[#This Row],[Fault Time]])*24)</f>
        <v>0</v>
      </c>
      <c r="X99" s="33">
        <f>IF(PA[[#This Row],[Work Start time on Fault]]="NA","",(PA[[#This Row],[Work Start time on Fault]]-PA[[#This Row],[Fault Time]])*24)</f>
        <v>0</v>
      </c>
      <c r="Y99" s="35">
        <f>(PA[[#This Row],[Work Completiuon time on fualt]]-PA[[#This Row],[Fault Time]])*24</f>
        <v>0</v>
      </c>
      <c r="Z99" s="35">
        <f>IFERROR((PA[[#This Row],[Work Completiuon time on fualt]]-PA[[#This Row],[Fault Time]])*24,"")</f>
        <v>0</v>
      </c>
      <c r="AC99" s="47" t="str">
        <f>IFERROR(PA[[#This Row],[Breakdown Time]]*PA[[#This Row],[Plant Equivalent Weightage]],"")</f>
        <v/>
      </c>
      <c r="AE99" s="33" t="str">
        <f>IFERROR((_xlfn.XLOOKUP(PA[[#This Row],[Month Year]],'Modelling New'!D:D,'Modelling New'!$O:$O)*PA[[#This Row],[Lost PoA(Wh/m2)]]*PA[[#This Row],[DC Capacity Affceted (kW)]])/1000,"")</f>
        <v/>
      </c>
      <c r="AF99" s="35"/>
    </row>
    <row r="100" spans="1:32">
      <c r="A100" s="2">
        <f t="shared" si="13"/>
        <v>97</v>
      </c>
      <c r="B100" s="156">
        <f t="shared" si="11"/>
        <v>1900</v>
      </c>
      <c r="C100" s="129">
        <f t="shared" si="12"/>
        <v>1900</v>
      </c>
      <c r="I100" s="29" t="str">
        <f>IFERROR(VLOOKUP(PA[[#This Row],[Date]],Raw_Data[[Date]:[Sunset Time (POA&lt;20 W/m2)]],3,0),"")</f>
        <v/>
      </c>
      <c r="J100" s="29" t="str">
        <f>IFERROR(VLOOKUP(PA[[#This Row],[Date]],Raw_Data[[Date]:[Sunset Time (POA&lt;20 W/m2)]],4,0),"")</f>
        <v/>
      </c>
      <c r="K100" s="27" t="str">
        <f>IFERROR((PA[[#This Row],[Sunset Time (POA&lt;20 W/m2)]]-PA[[#This Row],[Sunrise Time (POA&gt;20 W/m2)]])*24,"")</f>
        <v/>
      </c>
      <c r="M100" s="46" t="str">
        <f>IFERROR(VLOOKUP(PA[[#This Row],[Affceted Equipment]],'Basic Data'!$A$2:$B$114,2,0),"")</f>
        <v/>
      </c>
      <c r="N100" s="48" t="str">
        <f>IFERROR(VLOOKUP(PA[[#This Row],[Affceted Equipment]],'Basic Data'!$A$1:$C$118,3,0),"")</f>
        <v/>
      </c>
      <c r="W100" s="33">
        <f>IF(PA[[#This Row],[Acknowledgemnet Time ]]="NA","",(PA[[#This Row],[Acknowledgemnet Time ]]-PA[[#This Row],[Fault Time]])*24)</f>
        <v>0</v>
      </c>
      <c r="X100" s="33">
        <f>IF(PA[[#This Row],[Work Start time on Fault]]="NA","",(PA[[#This Row],[Work Start time on Fault]]-PA[[#This Row],[Fault Time]])*24)</f>
        <v>0</v>
      </c>
      <c r="Y100" s="35">
        <f>(PA[[#This Row],[Work Completiuon time on fualt]]-PA[[#This Row],[Fault Time]])*24</f>
        <v>0</v>
      </c>
      <c r="Z100" s="35">
        <f>IFERROR((PA[[#This Row],[Work Completiuon time on fualt]]-PA[[#This Row],[Fault Time]])*24,"")</f>
        <v>0</v>
      </c>
      <c r="AC100" s="47" t="str">
        <f>IFERROR(PA[[#This Row],[Breakdown Time]]*PA[[#This Row],[Plant Equivalent Weightage]],"")</f>
        <v/>
      </c>
      <c r="AE100" s="33" t="str">
        <f>IFERROR((_xlfn.XLOOKUP(PA[[#This Row],[Month Year]],'Modelling New'!D:D,'Modelling New'!$O:$O)*PA[[#This Row],[Lost PoA(Wh/m2)]]*PA[[#This Row],[DC Capacity Affceted (kW)]])/1000,"")</f>
        <v/>
      </c>
      <c r="AF100" s="35"/>
    </row>
    <row r="101" spans="1:32">
      <c r="A101" s="2">
        <f t="shared" si="13"/>
        <v>98</v>
      </c>
      <c r="B101" s="156">
        <f t="shared" si="11"/>
        <v>1900</v>
      </c>
      <c r="C101" s="129">
        <f t="shared" si="12"/>
        <v>1900</v>
      </c>
      <c r="I101" s="29" t="str">
        <f>IFERROR(VLOOKUP(PA[[#This Row],[Date]],Raw_Data[[Date]:[Sunset Time (POA&lt;20 W/m2)]],3,0),"")</f>
        <v/>
      </c>
      <c r="J101" s="29" t="str">
        <f>IFERROR(VLOOKUP(PA[[#This Row],[Date]],Raw_Data[[Date]:[Sunset Time (POA&lt;20 W/m2)]],4,0),"")</f>
        <v/>
      </c>
      <c r="K101" s="27" t="str">
        <f>IFERROR((PA[[#This Row],[Sunset Time (POA&lt;20 W/m2)]]-PA[[#This Row],[Sunrise Time (POA&gt;20 W/m2)]])*24,"")</f>
        <v/>
      </c>
      <c r="M101" s="46" t="str">
        <f>IFERROR(VLOOKUP(PA[[#This Row],[Affceted Equipment]],'Basic Data'!$A$2:$B$114,2,0),"")</f>
        <v/>
      </c>
      <c r="N101" s="48" t="str">
        <f>IFERROR(VLOOKUP(PA[[#This Row],[Affceted Equipment]],'Basic Data'!$A$1:$C$118,3,0),"")</f>
        <v/>
      </c>
      <c r="W101" s="33">
        <f>IF(PA[[#This Row],[Acknowledgemnet Time ]]="NA","",(PA[[#This Row],[Acknowledgemnet Time ]]-PA[[#This Row],[Fault Time]])*24)</f>
        <v>0</v>
      </c>
      <c r="X101" s="33">
        <f>IF(PA[[#This Row],[Work Start time on Fault]]="NA","",(PA[[#This Row],[Work Start time on Fault]]-PA[[#This Row],[Fault Time]])*24)</f>
        <v>0</v>
      </c>
      <c r="Y101" s="35">
        <f>(PA[[#This Row],[Work Completiuon time on fualt]]-PA[[#This Row],[Fault Time]])*24</f>
        <v>0</v>
      </c>
      <c r="Z101" s="35">
        <f>IFERROR((PA[[#This Row],[Work Completiuon time on fualt]]-PA[[#This Row],[Fault Time]])*24,"")</f>
        <v>0</v>
      </c>
      <c r="AC101" s="47" t="str">
        <f>IFERROR(PA[[#This Row],[Breakdown Time]]*PA[[#This Row],[Plant Equivalent Weightage]],"")</f>
        <v/>
      </c>
      <c r="AE101" s="33" t="str">
        <f>IFERROR((_xlfn.XLOOKUP(PA[[#This Row],[Month Year]],'Modelling New'!D:D,'Modelling New'!$O:$O)*PA[[#This Row],[Lost PoA(Wh/m2)]]*PA[[#This Row],[DC Capacity Affceted (kW)]])/1000,"")</f>
        <v/>
      </c>
      <c r="AF101" s="35"/>
    </row>
    <row r="102" spans="1:32">
      <c r="A102" s="2">
        <f t="shared" si="13"/>
        <v>99</v>
      </c>
      <c r="B102" s="156">
        <f t="shared" si="11"/>
        <v>1900</v>
      </c>
      <c r="C102" s="129">
        <f t="shared" si="12"/>
        <v>1900</v>
      </c>
      <c r="I102" s="29" t="str">
        <f>IFERROR(VLOOKUP(PA[[#This Row],[Date]],Raw_Data[[Date]:[Sunset Time (POA&lt;20 W/m2)]],3,0),"")</f>
        <v/>
      </c>
      <c r="J102" s="29" t="str">
        <f>IFERROR(VLOOKUP(PA[[#This Row],[Date]],Raw_Data[[Date]:[Sunset Time (POA&lt;20 W/m2)]],4,0),"")</f>
        <v/>
      </c>
      <c r="K102" s="27" t="str">
        <f>IFERROR((PA[[#This Row],[Sunset Time (POA&lt;20 W/m2)]]-PA[[#This Row],[Sunrise Time (POA&gt;20 W/m2)]])*24,"")</f>
        <v/>
      </c>
      <c r="M102" s="46" t="str">
        <f>IFERROR(VLOOKUP(PA[[#This Row],[Affceted Equipment]],'Basic Data'!$A$2:$B$114,2,0),"")</f>
        <v/>
      </c>
      <c r="N102" s="48" t="str">
        <f>IFERROR(VLOOKUP(PA[[#This Row],[Affceted Equipment]],'Basic Data'!$A$1:$C$118,3,0),"")</f>
        <v/>
      </c>
      <c r="W102" s="33">
        <f>IF(PA[[#This Row],[Acknowledgemnet Time ]]="NA","",(PA[[#This Row],[Acknowledgemnet Time ]]-PA[[#This Row],[Fault Time]])*24)</f>
        <v>0</v>
      </c>
      <c r="X102" s="33">
        <f>IF(PA[[#This Row],[Work Start time on Fault]]="NA","",(PA[[#This Row],[Work Start time on Fault]]-PA[[#This Row],[Fault Time]])*24)</f>
        <v>0</v>
      </c>
      <c r="Y102" s="35">
        <f>(PA[[#This Row],[Work Completiuon time on fualt]]-PA[[#This Row],[Fault Time]])*24</f>
        <v>0</v>
      </c>
      <c r="Z102" s="35">
        <f>IFERROR((PA[[#This Row],[Work Completiuon time on fualt]]-PA[[#This Row],[Fault Time]])*24,"")</f>
        <v>0</v>
      </c>
      <c r="AC102" s="47" t="str">
        <f>IFERROR(PA[[#This Row],[Breakdown Time]]*PA[[#This Row],[Plant Equivalent Weightage]],"")</f>
        <v/>
      </c>
      <c r="AE102" s="33" t="str">
        <f>IFERROR((_xlfn.XLOOKUP(PA[[#This Row],[Month Year]],'Modelling New'!D:D,'Modelling New'!$O:$O)*PA[[#This Row],[Lost PoA(Wh/m2)]]*PA[[#This Row],[DC Capacity Affceted (kW)]])/1000,"")</f>
        <v/>
      </c>
      <c r="AF102" s="35"/>
    </row>
    <row r="103" spans="1:32">
      <c r="A103" s="2">
        <f t="shared" si="13"/>
        <v>100</v>
      </c>
      <c r="B103" s="156">
        <f t="shared" si="11"/>
        <v>1900</v>
      </c>
      <c r="C103" s="129">
        <f t="shared" si="12"/>
        <v>1900</v>
      </c>
      <c r="I103" s="29" t="str">
        <f>IFERROR(VLOOKUP(PA[[#This Row],[Date]],Raw_Data[[Date]:[Sunset Time (POA&lt;20 W/m2)]],3,0),"")</f>
        <v/>
      </c>
      <c r="J103" s="29" t="str">
        <f>IFERROR(VLOOKUP(PA[[#This Row],[Date]],Raw_Data[[Date]:[Sunset Time (POA&lt;20 W/m2)]],4,0),"")</f>
        <v/>
      </c>
      <c r="K103" s="27" t="str">
        <f>IFERROR((PA[[#This Row],[Sunset Time (POA&lt;20 W/m2)]]-PA[[#This Row],[Sunrise Time (POA&gt;20 W/m2)]])*24,"")</f>
        <v/>
      </c>
      <c r="M103" s="46" t="str">
        <f>IFERROR(VLOOKUP(PA[[#This Row],[Affceted Equipment]],'Basic Data'!$A$2:$B$114,2,0),"")</f>
        <v/>
      </c>
      <c r="N103" s="48" t="str">
        <f>IFERROR(VLOOKUP(PA[[#This Row],[Affceted Equipment]],'Basic Data'!$A$1:$C$118,3,0),"")</f>
        <v/>
      </c>
      <c r="W103" s="33">
        <f>IF(PA[[#This Row],[Acknowledgemnet Time ]]="NA","",(PA[[#This Row],[Acknowledgemnet Time ]]-PA[[#This Row],[Fault Time]])*24)</f>
        <v>0</v>
      </c>
      <c r="X103" s="33">
        <f>IF(PA[[#This Row],[Work Start time on Fault]]="NA","",(PA[[#This Row],[Work Start time on Fault]]-PA[[#This Row],[Fault Time]])*24)</f>
        <v>0</v>
      </c>
      <c r="Y103" s="35">
        <f>(PA[[#This Row],[Work Completiuon time on fualt]]-PA[[#This Row],[Fault Time]])*24</f>
        <v>0</v>
      </c>
      <c r="Z103" s="35">
        <f>IFERROR((PA[[#This Row],[Work Completiuon time on fualt]]-PA[[#This Row],[Fault Time]])*24,"")</f>
        <v>0</v>
      </c>
      <c r="AC103" s="47" t="str">
        <f>IFERROR(PA[[#This Row],[Breakdown Time]]*PA[[#This Row],[Plant Equivalent Weightage]],"")</f>
        <v/>
      </c>
      <c r="AE103" s="33" t="str">
        <f>IFERROR((_xlfn.XLOOKUP(PA[[#This Row],[Month Year]],'Modelling New'!D:D,'Modelling New'!$O:$O)*PA[[#This Row],[Lost PoA(Wh/m2)]]*PA[[#This Row],[DC Capacity Affceted (kW)]])/1000,"")</f>
        <v/>
      </c>
      <c r="AF103" s="35"/>
    </row>
    <row r="104" spans="1:32">
      <c r="A104" s="2">
        <f t="shared" si="13"/>
        <v>101</v>
      </c>
      <c r="B104" s="156">
        <f t="shared" si="11"/>
        <v>1900</v>
      </c>
      <c r="C104" s="129">
        <f t="shared" si="12"/>
        <v>1900</v>
      </c>
      <c r="I104" s="29" t="str">
        <f>IFERROR(VLOOKUP(PA[[#This Row],[Date]],Raw_Data[[Date]:[Sunset Time (POA&lt;20 W/m2)]],3,0),"")</f>
        <v/>
      </c>
      <c r="J104" s="29" t="str">
        <f>IFERROR(VLOOKUP(PA[[#This Row],[Date]],Raw_Data[[Date]:[Sunset Time (POA&lt;20 W/m2)]],4,0),"")</f>
        <v/>
      </c>
      <c r="K104" s="27" t="str">
        <f>IFERROR((PA[[#This Row],[Sunset Time (POA&lt;20 W/m2)]]-PA[[#This Row],[Sunrise Time (POA&gt;20 W/m2)]])*24,"")</f>
        <v/>
      </c>
      <c r="M104" s="46" t="str">
        <f>IFERROR(VLOOKUP(PA[[#This Row],[Affceted Equipment]],'Basic Data'!$A$2:$B$114,2,0),"")</f>
        <v/>
      </c>
      <c r="N104" s="48" t="str">
        <f>IFERROR(VLOOKUP(PA[[#This Row],[Affceted Equipment]],'Basic Data'!$A$1:$C$118,3,0),"")</f>
        <v/>
      </c>
      <c r="W104" s="33">
        <f>IF(PA[[#This Row],[Acknowledgemnet Time ]]="NA","",(PA[[#This Row],[Acknowledgemnet Time ]]-PA[[#This Row],[Fault Time]])*24)</f>
        <v>0</v>
      </c>
      <c r="X104" s="33">
        <f>IF(PA[[#This Row],[Work Start time on Fault]]="NA","",(PA[[#This Row],[Work Start time on Fault]]-PA[[#This Row],[Fault Time]])*24)</f>
        <v>0</v>
      </c>
      <c r="Y104" s="35">
        <f>(PA[[#This Row],[Work Completiuon time on fualt]]-PA[[#This Row],[Fault Time]])*24</f>
        <v>0</v>
      </c>
      <c r="Z104" s="35">
        <f>IFERROR((PA[[#This Row],[Work Completiuon time on fualt]]-PA[[#This Row],[Fault Time]])*24,"")</f>
        <v>0</v>
      </c>
      <c r="AC104" s="47" t="str">
        <f>IFERROR(PA[[#This Row],[Breakdown Time]]*PA[[#This Row],[Plant Equivalent Weightage]],"")</f>
        <v/>
      </c>
      <c r="AE104" s="33" t="str">
        <f>IFERROR((_xlfn.XLOOKUP(PA[[#This Row],[Month Year]],'Modelling New'!D:D,'Modelling New'!$O:$O)*PA[[#This Row],[Lost PoA(Wh/m2)]]*PA[[#This Row],[DC Capacity Affceted (kW)]])/1000,"")</f>
        <v/>
      </c>
      <c r="AF104" s="35"/>
    </row>
    <row r="105" spans="1:32">
      <c r="A105" s="2">
        <f t="shared" si="13"/>
        <v>102</v>
      </c>
      <c r="B105" s="156">
        <f t="shared" si="11"/>
        <v>1900</v>
      </c>
      <c r="C105" s="129">
        <f t="shared" si="12"/>
        <v>1900</v>
      </c>
      <c r="I105" s="29" t="str">
        <f>IFERROR(VLOOKUP(PA[[#This Row],[Date]],Raw_Data[[Date]:[Sunset Time (POA&lt;20 W/m2)]],3,0),"")</f>
        <v/>
      </c>
      <c r="J105" s="29" t="str">
        <f>IFERROR(VLOOKUP(PA[[#This Row],[Date]],Raw_Data[[Date]:[Sunset Time (POA&lt;20 W/m2)]],4,0),"")</f>
        <v/>
      </c>
      <c r="K105" s="27" t="str">
        <f>IFERROR((PA[[#This Row],[Sunset Time (POA&lt;20 W/m2)]]-PA[[#This Row],[Sunrise Time (POA&gt;20 W/m2)]])*24,"")</f>
        <v/>
      </c>
      <c r="M105" s="46" t="str">
        <f>IFERROR(VLOOKUP(PA[[#This Row],[Affceted Equipment]],'Basic Data'!$A$2:$B$114,2,0),"")</f>
        <v/>
      </c>
      <c r="N105" s="48" t="str">
        <f>IFERROR(VLOOKUP(PA[[#This Row],[Affceted Equipment]],'Basic Data'!$A$1:$C$118,3,0),"")</f>
        <v/>
      </c>
      <c r="W105" s="33">
        <f>IF(PA[[#This Row],[Acknowledgemnet Time ]]="NA","",(PA[[#This Row],[Acknowledgemnet Time ]]-PA[[#This Row],[Fault Time]])*24)</f>
        <v>0</v>
      </c>
      <c r="X105" s="33">
        <f>IF(PA[[#This Row],[Work Start time on Fault]]="NA","",(PA[[#This Row],[Work Start time on Fault]]-PA[[#This Row],[Fault Time]])*24)</f>
        <v>0</v>
      </c>
      <c r="Y105" s="35">
        <f>(PA[[#This Row],[Work Completiuon time on fualt]]-PA[[#This Row],[Fault Time]])*24</f>
        <v>0</v>
      </c>
      <c r="Z105" s="35">
        <f>IFERROR((PA[[#This Row],[Work Completiuon time on fualt]]-PA[[#This Row],[Fault Time]])*24,"")</f>
        <v>0</v>
      </c>
      <c r="AC105" s="47" t="str">
        <f>IFERROR(PA[[#This Row],[Breakdown Time]]*PA[[#This Row],[Plant Equivalent Weightage]],"")</f>
        <v/>
      </c>
      <c r="AE105" s="33" t="str">
        <f>IFERROR((_xlfn.XLOOKUP(PA[[#This Row],[Month Year]],'Modelling New'!D:D,'Modelling New'!$O:$O)*PA[[#This Row],[Lost PoA(Wh/m2)]]*PA[[#This Row],[DC Capacity Affceted (kW)]])/1000,"")</f>
        <v/>
      </c>
      <c r="AF105" s="35"/>
    </row>
    <row r="106" spans="1:32">
      <c r="A106" s="2">
        <f t="shared" si="13"/>
        <v>103</v>
      </c>
      <c r="B106" s="156">
        <f t="shared" si="11"/>
        <v>1900</v>
      </c>
      <c r="C106" s="129">
        <f t="shared" si="12"/>
        <v>1900</v>
      </c>
      <c r="I106" s="29" t="str">
        <f>IFERROR(VLOOKUP(PA[[#This Row],[Date]],Raw_Data[[Date]:[Sunset Time (POA&lt;20 W/m2)]],3,0),"")</f>
        <v/>
      </c>
      <c r="J106" s="29" t="str">
        <f>IFERROR(VLOOKUP(PA[[#This Row],[Date]],Raw_Data[[Date]:[Sunset Time (POA&lt;20 W/m2)]],4,0),"")</f>
        <v/>
      </c>
      <c r="K106" s="27" t="str">
        <f>IFERROR((PA[[#This Row],[Sunset Time (POA&lt;20 W/m2)]]-PA[[#This Row],[Sunrise Time (POA&gt;20 W/m2)]])*24,"")</f>
        <v/>
      </c>
      <c r="M106" s="46" t="str">
        <f>IFERROR(VLOOKUP(PA[[#This Row],[Affceted Equipment]],'Basic Data'!$A$2:$B$114,2,0),"")</f>
        <v/>
      </c>
      <c r="N106" s="48" t="str">
        <f>IFERROR(VLOOKUP(PA[[#This Row],[Affceted Equipment]],'Basic Data'!$A$1:$C$118,3,0),"")</f>
        <v/>
      </c>
      <c r="W106" s="33">
        <f>IF(PA[[#This Row],[Acknowledgemnet Time ]]="NA","",(PA[[#This Row],[Acknowledgemnet Time ]]-PA[[#This Row],[Fault Time]])*24)</f>
        <v>0</v>
      </c>
      <c r="X106" s="33">
        <f>IF(PA[[#This Row],[Work Start time on Fault]]="NA","",(PA[[#This Row],[Work Start time on Fault]]-PA[[#This Row],[Fault Time]])*24)</f>
        <v>0</v>
      </c>
      <c r="Y106" s="35">
        <f>(PA[[#This Row],[Work Completiuon time on fualt]]-PA[[#This Row],[Fault Time]])*24</f>
        <v>0</v>
      </c>
      <c r="Z106" s="35">
        <f>IFERROR((PA[[#This Row],[Work Completiuon time on fualt]]-PA[[#This Row],[Fault Time]])*24,"")</f>
        <v>0</v>
      </c>
      <c r="AC106" s="47" t="str">
        <f>IFERROR(PA[[#This Row],[Breakdown Time]]*PA[[#This Row],[Plant Equivalent Weightage]],"")</f>
        <v/>
      </c>
      <c r="AE106" s="33" t="str">
        <f>IFERROR((_xlfn.XLOOKUP(PA[[#This Row],[Month Year]],'Modelling New'!D:D,'Modelling New'!$O:$O)*PA[[#This Row],[Lost PoA(Wh/m2)]]*PA[[#This Row],[DC Capacity Affceted (kW)]])/1000,"")</f>
        <v/>
      </c>
      <c r="AF106" s="35"/>
    </row>
    <row r="107" spans="1:32">
      <c r="A107" s="2">
        <f t="shared" si="13"/>
        <v>104</v>
      </c>
      <c r="B107" s="156">
        <f t="shared" si="11"/>
        <v>1900</v>
      </c>
      <c r="C107" s="129">
        <f t="shared" si="12"/>
        <v>1900</v>
      </c>
      <c r="I107" s="29" t="str">
        <f>IFERROR(VLOOKUP(PA[[#This Row],[Date]],Raw_Data[[Date]:[Sunset Time (POA&lt;20 W/m2)]],3,0),"")</f>
        <v/>
      </c>
      <c r="J107" s="29" t="str">
        <f>IFERROR(VLOOKUP(PA[[#This Row],[Date]],Raw_Data[[Date]:[Sunset Time (POA&lt;20 W/m2)]],4,0),"")</f>
        <v/>
      </c>
      <c r="K107" s="27" t="str">
        <f>IFERROR((PA[[#This Row],[Sunset Time (POA&lt;20 W/m2)]]-PA[[#This Row],[Sunrise Time (POA&gt;20 W/m2)]])*24,"")</f>
        <v/>
      </c>
      <c r="M107" s="46" t="str">
        <f>IFERROR(VLOOKUP(PA[[#This Row],[Affceted Equipment]],'Basic Data'!$A$2:$B$114,2,0),"")</f>
        <v/>
      </c>
      <c r="N107" s="48" t="str">
        <f>IFERROR(VLOOKUP(PA[[#This Row],[Affceted Equipment]],'Basic Data'!$A$1:$C$118,3,0),"")</f>
        <v/>
      </c>
      <c r="W107" s="33">
        <f>IF(PA[[#This Row],[Acknowledgemnet Time ]]="NA","",(PA[[#This Row],[Acknowledgemnet Time ]]-PA[[#This Row],[Fault Time]])*24)</f>
        <v>0</v>
      </c>
      <c r="X107" s="33">
        <f>IF(PA[[#This Row],[Work Start time on Fault]]="NA","",(PA[[#This Row],[Work Start time on Fault]]-PA[[#This Row],[Fault Time]])*24)</f>
        <v>0</v>
      </c>
      <c r="Y107" s="35">
        <f>(PA[[#This Row],[Work Completiuon time on fualt]]-PA[[#This Row],[Fault Time]])*24</f>
        <v>0</v>
      </c>
      <c r="Z107" s="35">
        <f>IFERROR((PA[[#This Row],[Work Completiuon time on fualt]]-PA[[#This Row],[Fault Time]])*24,"")</f>
        <v>0</v>
      </c>
      <c r="AC107" s="47" t="str">
        <f>IFERROR(PA[[#This Row],[Breakdown Time]]*PA[[#This Row],[Plant Equivalent Weightage]],"")</f>
        <v/>
      </c>
      <c r="AE107" s="33" t="str">
        <f>IFERROR((_xlfn.XLOOKUP(PA[[#This Row],[Month Year]],'Modelling New'!D:D,'Modelling New'!$O:$O)*PA[[#This Row],[Lost PoA(Wh/m2)]]*PA[[#This Row],[DC Capacity Affceted (kW)]])/1000,"")</f>
        <v/>
      </c>
      <c r="AF107" s="35"/>
    </row>
    <row r="108" spans="1:32">
      <c r="A108" s="2">
        <f t="shared" si="13"/>
        <v>105</v>
      </c>
      <c r="B108" s="156">
        <f t="shared" si="11"/>
        <v>1900</v>
      </c>
      <c r="C108" s="129">
        <f t="shared" si="12"/>
        <v>1900</v>
      </c>
      <c r="I108" s="29" t="str">
        <f>IFERROR(VLOOKUP(PA[[#This Row],[Date]],Raw_Data[[Date]:[Sunset Time (POA&lt;20 W/m2)]],3,0),"")</f>
        <v/>
      </c>
      <c r="J108" s="29" t="str">
        <f>IFERROR(VLOOKUP(PA[[#This Row],[Date]],Raw_Data[[Date]:[Sunset Time (POA&lt;20 W/m2)]],4,0),"")</f>
        <v/>
      </c>
      <c r="K108" s="27" t="str">
        <f>IFERROR((PA[[#This Row],[Sunset Time (POA&lt;20 W/m2)]]-PA[[#This Row],[Sunrise Time (POA&gt;20 W/m2)]])*24,"")</f>
        <v/>
      </c>
      <c r="M108" s="46" t="str">
        <f>IFERROR(VLOOKUP(PA[[#This Row],[Affceted Equipment]],'Basic Data'!$A$2:$B$114,2,0),"")</f>
        <v/>
      </c>
      <c r="N108" s="48" t="str">
        <f>IFERROR(VLOOKUP(PA[[#This Row],[Affceted Equipment]],'Basic Data'!$A$1:$C$118,3,0),"")</f>
        <v/>
      </c>
      <c r="W108" s="33">
        <f>IF(PA[[#This Row],[Acknowledgemnet Time ]]="NA","",(PA[[#This Row],[Acknowledgemnet Time ]]-PA[[#This Row],[Fault Time]])*24)</f>
        <v>0</v>
      </c>
      <c r="X108" s="33">
        <f>IF(PA[[#This Row],[Work Start time on Fault]]="NA","",(PA[[#This Row],[Work Start time on Fault]]-PA[[#This Row],[Fault Time]])*24)</f>
        <v>0</v>
      </c>
      <c r="Y108" s="35">
        <f>(PA[[#This Row],[Work Completiuon time on fualt]]-PA[[#This Row],[Fault Time]])*24</f>
        <v>0</v>
      </c>
      <c r="Z108" s="35">
        <f>IFERROR((PA[[#This Row],[Work Completiuon time on fualt]]-PA[[#This Row],[Fault Time]])*24,"")</f>
        <v>0</v>
      </c>
      <c r="AC108" s="47" t="str">
        <f>IFERROR(PA[[#This Row],[Breakdown Time]]*PA[[#This Row],[Plant Equivalent Weightage]],"")</f>
        <v/>
      </c>
      <c r="AE108" s="33" t="str">
        <f>IFERROR((_xlfn.XLOOKUP(PA[[#This Row],[Month Year]],'Modelling New'!D:D,'Modelling New'!$O:$O)*PA[[#This Row],[Lost PoA(Wh/m2)]]*PA[[#This Row],[DC Capacity Affceted (kW)]])/1000,"")</f>
        <v/>
      </c>
      <c r="AF108" s="35"/>
    </row>
    <row r="109" spans="1:32">
      <c r="A109" s="2">
        <f t="shared" si="13"/>
        <v>106</v>
      </c>
      <c r="B109" s="156">
        <f t="shared" si="11"/>
        <v>1900</v>
      </c>
      <c r="C109" s="129">
        <f t="shared" si="12"/>
        <v>1900</v>
      </c>
      <c r="I109" s="29" t="str">
        <f>IFERROR(VLOOKUP(PA[[#This Row],[Date]],Raw_Data[[Date]:[Sunset Time (POA&lt;20 W/m2)]],3,0),"")</f>
        <v/>
      </c>
      <c r="J109" s="29" t="str">
        <f>IFERROR(VLOOKUP(PA[[#This Row],[Date]],Raw_Data[[Date]:[Sunset Time (POA&lt;20 W/m2)]],4,0),"")</f>
        <v/>
      </c>
      <c r="K109" s="27" t="str">
        <f>IFERROR((PA[[#This Row],[Sunset Time (POA&lt;20 W/m2)]]-PA[[#This Row],[Sunrise Time (POA&gt;20 W/m2)]])*24,"")</f>
        <v/>
      </c>
      <c r="M109" s="46" t="str">
        <f>IFERROR(VLOOKUP(PA[[#This Row],[Affceted Equipment]],'Basic Data'!$A$2:$B$114,2,0),"")</f>
        <v/>
      </c>
      <c r="N109" s="48" t="str">
        <f>IFERROR(VLOOKUP(PA[[#This Row],[Affceted Equipment]],'Basic Data'!$A$1:$C$118,3,0),"")</f>
        <v/>
      </c>
      <c r="W109" s="33">
        <f>IF(PA[[#This Row],[Acknowledgemnet Time ]]="NA","",(PA[[#This Row],[Acknowledgemnet Time ]]-PA[[#This Row],[Fault Time]])*24)</f>
        <v>0</v>
      </c>
      <c r="X109" s="33">
        <f>IF(PA[[#This Row],[Work Start time on Fault]]="NA","",(PA[[#This Row],[Work Start time on Fault]]-PA[[#This Row],[Fault Time]])*24)</f>
        <v>0</v>
      </c>
      <c r="Y109" s="35">
        <f>(PA[[#This Row],[Work Completiuon time on fualt]]-PA[[#This Row],[Fault Time]])*24</f>
        <v>0</v>
      </c>
      <c r="Z109" s="35">
        <f>IFERROR((PA[[#This Row],[Work Completiuon time on fualt]]-PA[[#This Row],[Fault Time]])*24,"")</f>
        <v>0</v>
      </c>
      <c r="AC109" s="47" t="str">
        <f>IFERROR(PA[[#This Row],[Breakdown Time]]*PA[[#This Row],[Plant Equivalent Weightage]],"")</f>
        <v/>
      </c>
      <c r="AE109" s="33" t="str">
        <f>IFERROR((_xlfn.XLOOKUP(PA[[#This Row],[Month Year]],'Modelling New'!D:D,'Modelling New'!$O:$O)*PA[[#This Row],[Lost PoA(Wh/m2)]]*PA[[#This Row],[DC Capacity Affceted (kW)]])/1000,"")</f>
        <v/>
      </c>
      <c r="AF109" s="35"/>
    </row>
    <row r="110" spans="1:32">
      <c r="A110" s="2">
        <f t="shared" si="13"/>
        <v>107</v>
      </c>
      <c r="B110" s="156">
        <f t="shared" si="11"/>
        <v>1900</v>
      </c>
      <c r="C110" s="129">
        <f t="shared" si="12"/>
        <v>1900</v>
      </c>
      <c r="I110" s="29" t="str">
        <f>IFERROR(VLOOKUP(PA[[#This Row],[Date]],Raw_Data[[Date]:[Sunset Time (POA&lt;20 W/m2)]],3,0),"")</f>
        <v/>
      </c>
      <c r="J110" s="29" t="str">
        <f>IFERROR(VLOOKUP(PA[[#This Row],[Date]],Raw_Data[[Date]:[Sunset Time (POA&lt;20 W/m2)]],4,0),"")</f>
        <v/>
      </c>
      <c r="K110" s="27" t="str">
        <f>IFERROR((PA[[#This Row],[Sunset Time (POA&lt;20 W/m2)]]-PA[[#This Row],[Sunrise Time (POA&gt;20 W/m2)]])*24,"")</f>
        <v/>
      </c>
      <c r="M110" s="46" t="str">
        <f>IFERROR(VLOOKUP(PA[[#This Row],[Affceted Equipment]],'Basic Data'!$A$2:$B$114,2,0),"")</f>
        <v/>
      </c>
      <c r="N110" s="48" t="str">
        <f>IFERROR(VLOOKUP(PA[[#This Row],[Affceted Equipment]],'Basic Data'!$A$1:$C$118,3,0),"")</f>
        <v/>
      </c>
      <c r="W110" s="33">
        <f>IF(PA[[#This Row],[Acknowledgemnet Time ]]="NA","",(PA[[#This Row],[Acknowledgemnet Time ]]-PA[[#This Row],[Fault Time]])*24)</f>
        <v>0</v>
      </c>
      <c r="X110" s="33">
        <f>IF(PA[[#This Row],[Work Start time on Fault]]="NA","",(PA[[#This Row],[Work Start time on Fault]]-PA[[#This Row],[Fault Time]])*24)</f>
        <v>0</v>
      </c>
      <c r="Y110" s="35">
        <f>(PA[[#This Row],[Work Completiuon time on fualt]]-PA[[#This Row],[Fault Time]])*24</f>
        <v>0</v>
      </c>
      <c r="Z110" s="35">
        <f>IFERROR((PA[[#This Row],[Work Completiuon time on fualt]]-PA[[#This Row],[Fault Time]])*24,"")</f>
        <v>0</v>
      </c>
      <c r="AC110" s="47" t="str">
        <f>IFERROR(PA[[#This Row],[Breakdown Time]]*PA[[#This Row],[Plant Equivalent Weightage]],"")</f>
        <v/>
      </c>
      <c r="AE110" s="33" t="str">
        <f>IFERROR((_xlfn.XLOOKUP(PA[[#This Row],[Month Year]],'Modelling New'!D:D,'Modelling New'!$O:$O)*PA[[#This Row],[Lost PoA(Wh/m2)]]*PA[[#This Row],[DC Capacity Affceted (kW)]])/1000,"")</f>
        <v/>
      </c>
      <c r="AF110" s="35"/>
    </row>
    <row r="111" spans="1:32">
      <c r="A111" s="2">
        <f t="shared" si="13"/>
        <v>108</v>
      </c>
      <c r="B111" s="156">
        <f t="shared" si="11"/>
        <v>1900</v>
      </c>
      <c r="C111" s="129">
        <f t="shared" si="12"/>
        <v>1900</v>
      </c>
      <c r="I111" s="29" t="str">
        <f>IFERROR(VLOOKUP(PA[[#This Row],[Date]],Raw_Data[[Date]:[Sunset Time (POA&lt;20 W/m2)]],3,0),"")</f>
        <v/>
      </c>
      <c r="J111" s="29" t="str">
        <f>IFERROR(VLOOKUP(PA[[#This Row],[Date]],Raw_Data[[Date]:[Sunset Time (POA&lt;20 W/m2)]],4,0),"")</f>
        <v/>
      </c>
      <c r="K111" s="27" t="str">
        <f>IFERROR((PA[[#This Row],[Sunset Time (POA&lt;20 W/m2)]]-PA[[#This Row],[Sunrise Time (POA&gt;20 W/m2)]])*24,"")</f>
        <v/>
      </c>
      <c r="M111" s="46" t="str">
        <f>IFERROR(VLOOKUP(PA[[#This Row],[Affceted Equipment]],'Basic Data'!$A$2:$B$114,2,0),"")</f>
        <v/>
      </c>
      <c r="N111" s="48" t="str">
        <f>IFERROR(VLOOKUP(PA[[#This Row],[Affceted Equipment]],'Basic Data'!$A$1:$C$118,3,0),"")</f>
        <v/>
      </c>
      <c r="W111" s="33">
        <f>IF(PA[[#This Row],[Acknowledgemnet Time ]]="NA","",(PA[[#This Row],[Acknowledgemnet Time ]]-PA[[#This Row],[Fault Time]])*24)</f>
        <v>0</v>
      </c>
      <c r="X111" s="33">
        <f>IF(PA[[#This Row],[Work Start time on Fault]]="NA","",(PA[[#This Row],[Work Start time on Fault]]-PA[[#This Row],[Fault Time]])*24)</f>
        <v>0</v>
      </c>
      <c r="Y111" s="35">
        <f>(PA[[#This Row],[Work Completiuon time on fualt]]-PA[[#This Row],[Fault Time]])*24</f>
        <v>0</v>
      </c>
      <c r="Z111" s="35">
        <f>IFERROR((PA[[#This Row],[Work Completiuon time on fualt]]-PA[[#This Row],[Fault Time]])*24,"")</f>
        <v>0</v>
      </c>
      <c r="AC111" s="47" t="str">
        <f>IFERROR(PA[[#This Row],[Breakdown Time]]*PA[[#This Row],[Plant Equivalent Weightage]],"")</f>
        <v/>
      </c>
      <c r="AE111" s="33" t="str">
        <f>IFERROR((_xlfn.XLOOKUP(PA[[#This Row],[Month Year]],'Modelling New'!D:D,'Modelling New'!$O:$O)*PA[[#This Row],[Lost PoA(Wh/m2)]]*PA[[#This Row],[DC Capacity Affceted (kW)]])/1000,"")</f>
        <v/>
      </c>
      <c r="AF111" s="35"/>
    </row>
    <row r="112" spans="1:32">
      <c r="A112" s="2">
        <f t="shared" si="13"/>
        <v>109</v>
      </c>
      <c r="B112" s="156">
        <f t="shared" si="11"/>
        <v>1900</v>
      </c>
      <c r="C112" s="129">
        <f t="shared" si="12"/>
        <v>1900</v>
      </c>
      <c r="I112" s="29" t="str">
        <f>IFERROR(VLOOKUP(PA[[#This Row],[Date]],Raw_Data[[Date]:[Sunset Time (POA&lt;20 W/m2)]],3,0),"")</f>
        <v/>
      </c>
      <c r="J112" s="29" t="str">
        <f>IFERROR(VLOOKUP(PA[[#This Row],[Date]],Raw_Data[[Date]:[Sunset Time (POA&lt;20 W/m2)]],4,0),"")</f>
        <v/>
      </c>
      <c r="K112" s="27" t="str">
        <f>IFERROR((PA[[#This Row],[Sunset Time (POA&lt;20 W/m2)]]-PA[[#This Row],[Sunrise Time (POA&gt;20 W/m2)]])*24,"")</f>
        <v/>
      </c>
      <c r="M112" s="46" t="str">
        <f>IFERROR(VLOOKUP(PA[[#This Row],[Affceted Equipment]],'Basic Data'!$A$2:$B$114,2,0),"")</f>
        <v/>
      </c>
      <c r="N112" s="48" t="str">
        <f>IFERROR(VLOOKUP(PA[[#This Row],[Affceted Equipment]],'Basic Data'!$A$1:$C$118,3,0),"")</f>
        <v/>
      </c>
      <c r="W112" s="33">
        <f>IF(PA[[#This Row],[Acknowledgemnet Time ]]="NA","",(PA[[#This Row],[Acknowledgemnet Time ]]-PA[[#This Row],[Fault Time]])*24)</f>
        <v>0</v>
      </c>
      <c r="X112" s="33">
        <f>IF(PA[[#This Row],[Work Start time on Fault]]="NA","",(PA[[#This Row],[Work Start time on Fault]]-PA[[#This Row],[Fault Time]])*24)</f>
        <v>0</v>
      </c>
      <c r="Y112" s="35">
        <f>(PA[[#This Row],[Work Completiuon time on fualt]]-PA[[#This Row],[Fault Time]])*24</f>
        <v>0</v>
      </c>
      <c r="Z112" s="35">
        <f>IFERROR((PA[[#This Row],[Work Completiuon time on fualt]]-PA[[#This Row],[Fault Time]])*24,"")</f>
        <v>0</v>
      </c>
      <c r="AC112" s="47" t="str">
        <f>IFERROR(PA[[#This Row],[Breakdown Time]]*PA[[#This Row],[Plant Equivalent Weightage]],"")</f>
        <v/>
      </c>
      <c r="AE112" s="33" t="str">
        <f>IFERROR((_xlfn.XLOOKUP(PA[[#This Row],[Month Year]],'Modelling New'!D:D,'Modelling New'!$O:$O)*PA[[#This Row],[Lost PoA(Wh/m2)]]*PA[[#This Row],[DC Capacity Affceted (kW)]])/1000,"")</f>
        <v/>
      </c>
      <c r="AF112" s="35"/>
    </row>
    <row r="113" spans="1:32">
      <c r="A113" s="2">
        <f t="shared" si="13"/>
        <v>110</v>
      </c>
      <c r="B113" s="156">
        <f t="shared" si="11"/>
        <v>1900</v>
      </c>
      <c r="C113" s="129">
        <f t="shared" si="12"/>
        <v>1900</v>
      </c>
      <c r="I113" s="29" t="str">
        <f>IFERROR(VLOOKUP(PA[[#This Row],[Date]],Raw_Data[[Date]:[Sunset Time (POA&lt;20 W/m2)]],3,0),"")</f>
        <v/>
      </c>
      <c r="J113" s="29" t="str">
        <f>IFERROR(VLOOKUP(PA[[#This Row],[Date]],Raw_Data[[Date]:[Sunset Time (POA&lt;20 W/m2)]],4,0),"")</f>
        <v/>
      </c>
      <c r="K113" s="27" t="str">
        <f>IFERROR((PA[[#This Row],[Sunset Time (POA&lt;20 W/m2)]]-PA[[#This Row],[Sunrise Time (POA&gt;20 W/m2)]])*24,"")</f>
        <v/>
      </c>
      <c r="M113" s="46" t="str">
        <f>IFERROR(VLOOKUP(PA[[#This Row],[Affceted Equipment]],'Basic Data'!$A$2:$B$114,2,0),"")</f>
        <v/>
      </c>
      <c r="N113" s="48" t="str">
        <f>IFERROR(VLOOKUP(PA[[#This Row],[Affceted Equipment]],'Basic Data'!$A$1:$C$118,3,0),"")</f>
        <v/>
      </c>
      <c r="W113" s="33">
        <f>IF(PA[[#This Row],[Acknowledgemnet Time ]]="NA","",(PA[[#This Row],[Acknowledgemnet Time ]]-PA[[#This Row],[Fault Time]])*24)</f>
        <v>0</v>
      </c>
      <c r="X113" s="33">
        <f>IF(PA[[#This Row],[Work Start time on Fault]]="NA","",(PA[[#This Row],[Work Start time on Fault]]-PA[[#This Row],[Fault Time]])*24)</f>
        <v>0</v>
      </c>
      <c r="Y113" s="35">
        <f>(PA[[#This Row],[Work Completiuon time on fualt]]-PA[[#This Row],[Fault Time]])*24</f>
        <v>0</v>
      </c>
      <c r="Z113" s="35">
        <f>IFERROR((PA[[#This Row],[Work Completiuon time on fualt]]-PA[[#This Row],[Fault Time]])*24,"")</f>
        <v>0</v>
      </c>
      <c r="AC113" s="47" t="str">
        <f>IFERROR(PA[[#This Row],[Breakdown Time]]*PA[[#This Row],[Plant Equivalent Weightage]],"")</f>
        <v/>
      </c>
      <c r="AE113" s="33" t="str">
        <f>IFERROR((_xlfn.XLOOKUP(PA[[#This Row],[Month Year]],'Modelling New'!D:D,'Modelling New'!$O:$O)*PA[[#This Row],[Lost PoA(Wh/m2)]]*PA[[#This Row],[DC Capacity Affceted (kW)]])/1000,"")</f>
        <v/>
      </c>
      <c r="AF113" s="35"/>
    </row>
    <row r="114" spans="1:32">
      <c r="A114" s="2">
        <f t="shared" si="13"/>
        <v>111</v>
      </c>
      <c r="B114" s="156">
        <f t="shared" si="11"/>
        <v>1900</v>
      </c>
      <c r="C114" s="129">
        <f t="shared" si="12"/>
        <v>1900</v>
      </c>
      <c r="I114" s="29" t="str">
        <f>IFERROR(VLOOKUP(PA[[#This Row],[Date]],Raw_Data[[Date]:[Sunset Time (POA&lt;20 W/m2)]],3,0),"")</f>
        <v/>
      </c>
      <c r="J114" s="29" t="str">
        <f>IFERROR(VLOOKUP(PA[[#This Row],[Date]],Raw_Data[[Date]:[Sunset Time (POA&lt;20 W/m2)]],4,0),"")</f>
        <v/>
      </c>
      <c r="K114" s="27" t="str">
        <f>IFERROR((PA[[#This Row],[Sunset Time (POA&lt;20 W/m2)]]-PA[[#This Row],[Sunrise Time (POA&gt;20 W/m2)]])*24,"")</f>
        <v/>
      </c>
      <c r="M114" s="46" t="str">
        <f>IFERROR(VLOOKUP(PA[[#This Row],[Affceted Equipment]],'Basic Data'!$A$2:$B$114,2,0),"")</f>
        <v/>
      </c>
      <c r="N114" s="48" t="str">
        <f>IFERROR(VLOOKUP(PA[[#This Row],[Affceted Equipment]],'Basic Data'!$A$1:$C$118,3,0),"")</f>
        <v/>
      </c>
      <c r="W114" s="33">
        <f>IF(PA[[#This Row],[Acknowledgemnet Time ]]="NA","",(PA[[#This Row],[Acknowledgemnet Time ]]-PA[[#This Row],[Fault Time]])*24)</f>
        <v>0</v>
      </c>
      <c r="X114" s="33">
        <f>IF(PA[[#This Row],[Work Start time on Fault]]="NA","",(PA[[#This Row],[Work Start time on Fault]]-PA[[#This Row],[Fault Time]])*24)</f>
        <v>0</v>
      </c>
      <c r="Y114" s="35">
        <f>(PA[[#This Row],[Work Completiuon time on fualt]]-PA[[#This Row],[Fault Time]])*24</f>
        <v>0</v>
      </c>
      <c r="Z114" s="35">
        <f>IFERROR((PA[[#This Row],[Work Completiuon time on fualt]]-PA[[#This Row],[Fault Time]])*24,"")</f>
        <v>0</v>
      </c>
      <c r="AC114" s="47" t="str">
        <f>IFERROR(PA[[#This Row],[Breakdown Time]]*PA[[#This Row],[Plant Equivalent Weightage]],"")</f>
        <v/>
      </c>
      <c r="AE114" s="33" t="str">
        <f>IFERROR((_xlfn.XLOOKUP(PA[[#This Row],[Month Year]],'Modelling New'!D:D,'Modelling New'!$O:$O)*PA[[#This Row],[Lost PoA(Wh/m2)]]*PA[[#This Row],[DC Capacity Affceted (kW)]])/1000,"")</f>
        <v/>
      </c>
      <c r="AF114" s="35"/>
    </row>
    <row r="115" spans="1:32">
      <c r="A115" s="2">
        <f t="shared" si="13"/>
        <v>112</v>
      </c>
      <c r="B115" s="156">
        <f t="shared" si="11"/>
        <v>1900</v>
      </c>
      <c r="C115" s="129">
        <f t="shared" si="12"/>
        <v>1900</v>
      </c>
      <c r="I115" s="29" t="str">
        <f>IFERROR(VLOOKUP(PA[[#This Row],[Date]],Raw_Data[[Date]:[Sunset Time (POA&lt;20 W/m2)]],3,0),"")</f>
        <v/>
      </c>
      <c r="J115" s="29" t="str">
        <f>IFERROR(VLOOKUP(PA[[#This Row],[Date]],Raw_Data[[Date]:[Sunset Time (POA&lt;20 W/m2)]],4,0),"")</f>
        <v/>
      </c>
      <c r="K115" s="27" t="str">
        <f>IFERROR((PA[[#This Row],[Sunset Time (POA&lt;20 W/m2)]]-PA[[#This Row],[Sunrise Time (POA&gt;20 W/m2)]])*24,"")</f>
        <v/>
      </c>
      <c r="M115" s="46" t="str">
        <f>IFERROR(VLOOKUP(PA[[#This Row],[Affceted Equipment]],'Basic Data'!$A$2:$B$114,2,0),"")</f>
        <v/>
      </c>
      <c r="N115" s="48" t="str">
        <f>IFERROR(VLOOKUP(PA[[#This Row],[Affceted Equipment]],'Basic Data'!$A$1:$C$118,3,0),"")</f>
        <v/>
      </c>
      <c r="W115" s="33">
        <f>IF(PA[[#This Row],[Acknowledgemnet Time ]]="NA","",(PA[[#This Row],[Acknowledgemnet Time ]]-PA[[#This Row],[Fault Time]])*24)</f>
        <v>0</v>
      </c>
      <c r="X115" s="33">
        <f>IF(PA[[#This Row],[Work Start time on Fault]]="NA","",(PA[[#This Row],[Work Start time on Fault]]-PA[[#This Row],[Fault Time]])*24)</f>
        <v>0</v>
      </c>
      <c r="Y115" s="35">
        <f>(PA[[#This Row],[Work Completiuon time on fualt]]-PA[[#This Row],[Fault Time]])*24</f>
        <v>0</v>
      </c>
      <c r="Z115" s="35">
        <f>IFERROR((PA[[#This Row],[Work Completiuon time on fualt]]-PA[[#This Row],[Fault Time]])*24,"")</f>
        <v>0</v>
      </c>
      <c r="AC115" s="47" t="str">
        <f>IFERROR(PA[[#This Row],[Breakdown Time]]*PA[[#This Row],[Plant Equivalent Weightage]],"")</f>
        <v/>
      </c>
      <c r="AE115" s="33" t="str">
        <f>IFERROR((_xlfn.XLOOKUP(PA[[#This Row],[Month Year]],'Modelling New'!D:D,'Modelling New'!$O:$O)*PA[[#This Row],[Lost PoA(Wh/m2)]]*PA[[#This Row],[DC Capacity Affceted (kW)]])/1000,"")</f>
        <v/>
      </c>
      <c r="AF115" s="35"/>
    </row>
    <row r="116" spans="1:32">
      <c r="A116" s="2">
        <f t="shared" si="13"/>
        <v>113</v>
      </c>
      <c r="B116" s="156">
        <f t="shared" si="11"/>
        <v>1900</v>
      </c>
      <c r="C116" s="129">
        <f t="shared" si="12"/>
        <v>1900</v>
      </c>
      <c r="I116" s="29" t="str">
        <f>IFERROR(VLOOKUP(PA[[#This Row],[Date]],Raw_Data[[Date]:[Sunset Time (POA&lt;20 W/m2)]],3,0),"")</f>
        <v/>
      </c>
      <c r="J116" s="29" t="str">
        <f>IFERROR(VLOOKUP(PA[[#This Row],[Date]],Raw_Data[[Date]:[Sunset Time (POA&lt;20 W/m2)]],4,0),"")</f>
        <v/>
      </c>
      <c r="K116" s="27" t="str">
        <f>IFERROR((PA[[#This Row],[Sunset Time (POA&lt;20 W/m2)]]-PA[[#This Row],[Sunrise Time (POA&gt;20 W/m2)]])*24,"")</f>
        <v/>
      </c>
      <c r="M116" s="46" t="str">
        <f>IFERROR(VLOOKUP(PA[[#This Row],[Affceted Equipment]],'Basic Data'!$A$2:$B$114,2,0),"")</f>
        <v/>
      </c>
      <c r="N116" s="48" t="str">
        <f>IFERROR(VLOOKUP(PA[[#This Row],[Affceted Equipment]],'Basic Data'!$A$1:$C$118,3,0),"")</f>
        <v/>
      </c>
      <c r="W116" s="33">
        <f>IF(PA[[#This Row],[Acknowledgemnet Time ]]="NA","",(PA[[#This Row],[Acknowledgemnet Time ]]-PA[[#This Row],[Fault Time]])*24)</f>
        <v>0</v>
      </c>
      <c r="X116" s="33">
        <f>IF(PA[[#This Row],[Work Start time on Fault]]="NA","",(PA[[#This Row],[Work Start time on Fault]]-PA[[#This Row],[Fault Time]])*24)</f>
        <v>0</v>
      </c>
      <c r="Y116" s="35">
        <f>(PA[[#This Row],[Work Completiuon time on fualt]]-PA[[#This Row],[Fault Time]])*24</f>
        <v>0</v>
      </c>
      <c r="Z116" s="35">
        <f>IFERROR((PA[[#This Row],[Work Completiuon time on fualt]]-PA[[#This Row],[Fault Time]])*24,"")</f>
        <v>0</v>
      </c>
      <c r="AC116" s="47" t="str">
        <f>IFERROR(PA[[#This Row],[Breakdown Time]]*PA[[#This Row],[Plant Equivalent Weightage]],"")</f>
        <v/>
      </c>
      <c r="AE116" s="33" t="str">
        <f>IFERROR((_xlfn.XLOOKUP(PA[[#This Row],[Month Year]],'Modelling New'!D:D,'Modelling New'!$O:$O)*PA[[#This Row],[Lost PoA(Wh/m2)]]*PA[[#This Row],[DC Capacity Affceted (kW)]])/1000,"")</f>
        <v/>
      </c>
      <c r="AF116" s="35"/>
    </row>
    <row r="117" spans="1:32">
      <c r="A117" s="2">
        <f t="shared" si="13"/>
        <v>114</v>
      </c>
      <c r="B117" s="156">
        <f t="shared" si="11"/>
        <v>1900</v>
      </c>
      <c r="C117" s="129">
        <f t="shared" si="12"/>
        <v>1900</v>
      </c>
      <c r="I117" s="29" t="str">
        <f>IFERROR(VLOOKUP(PA[[#This Row],[Date]],Raw_Data[[Date]:[Sunset Time (POA&lt;20 W/m2)]],3,0),"")</f>
        <v/>
      </c>
      <c r="J117" s="29" t="str">
        <f>IFERROR(VLOOKUP(PA[[#This Row],[Date]],Raw_Data[[Date]:[Sunset Time (POA&lt;20 W/m2)]],4,0),"")</f>
        <v/>
      </c>
      <c r="K117" s="27" t="str">
        <f>IFERROR((PA[[#This Row],[Sunset Time (POA&lt;20 W/m2)]]-PA[[#This Row],[Sunrise Time (POA&gt;20 W/m2)]])*24,"")</f>
        <v/>
      </c>
      <c r="M117" s="46" t="str">
        <f>IFERROR(VLOOKUP(PA[[#This Row],[Affceted Equipment]],'Basic Data'!$A$2:$B$114,2,0),"")</f>
        <v/>
      </c>
      <c r="N117" s="48" t="str">
        <f>IFERROR(VLOOKUP(PA[[#This Row],[Affceted Equipment]],'Basic Data'!$A$1:$C$118,3,0),"")</f>
        <v/>
      </c>
      <c r="W117" s="33">
        <f>IF(PA[[#This Row],[Acknowledgemnet Time ]]="NA","",(PA[[#This Row],[Acknowledgemnet Time ]]-PA[[#This Row],[Fault Time]])*24)</f>
        <v>0</v>
      </c>
      <c r="X117" s="33">
        <f>IF(PA[[#This Row],[Work Start time on Fault]]="NA","",(PA[[#This Row],[Work Start time on Fault]]-PA[[#This Row],[Fault Time]])*24)</f>
        <v>0</v>
      </c>
      <c r="Y117" s="35">
        <f>(PA[[#This Row],[Work Completiuon time on fualt]]-PA[[#This Row],[Fault Time]])*24</f>
        <v>0</v>
      </c>
      <c r="Z117" s="35">
        <f>IFERROR((PA[[#This Row],[Work Completiuon time on fualt]]-PA[[#This Row],[Fault Time]])*24,"")</f>
        <v>0</v>
      </c>
      <c r="AC117" s="47" t="str">
        <f>IFERROR(PA[[#This Row],[Breakdown Time]]*PA[[#This Row],[Plant Equivalent Weightage]],"")</f>
        <v/>
      </c>
      <c r="AE117" s="33" t="str">
        <f>IFERROR((_xlfn.XLOOKUP(PA[[#This Row],[Month Year]],'Modelling New'!D:D,'Modelling New'!$O:$O)*PA[[#This Row],[Lost PoA(Wh/m2)]]*PA[[#This Row],[DC Capacity Affceted (kW)]])/1000,"")</f>
        <v/>
      </c>
      <c r="AF117" s="35"/>
    </row>
    <row r="118" spans="1:32">
      <c r="A118" s="2">
        <f t="shared" si="13"/>
        <v>115</v>
      </c>
      <c r="B118" s="156">
        <f t="shared" si="11"/>
        <v>1900</v>
      </c>
      <c r="C118" s="129">
        <f t="shared" si="12"/>
        <v>1900</v>
      </c>
      <c r="I118" s="29" t="str">
        <f>IFERROR(VLOOKUP(PA[[#This Row],[Date]],Raw_Data[[Date]:[Sunset Time (POA&lt;20 W/m2)]],3,0),"")</f>
        <v/>
      </c>
      <c r="J118" s="29" t="str">
        <f>IFERROR(VLOOKUP(PA[[#This Row],[Date]],Raw_Data[[Date]:[Sunset Time (POA&lt;20 W/m2)]],4,0),"")</f>
        <v/>
      </c>
      <c r="K118" s="27" t="str">
        <f>IFERROR((PA[[#This Row],[Sunset Time (POA&lt;20 W/m2)]]-PA[[#This Row],[Sunrise Time (POA&gt;20 W/m2)]])*24,"")</f>
        <v/>
      </c>
      <c r="M118" s="46" t="str">
        <f>IFERROR(VLOOKUP(PA[[#This Row],[Affceted Equipment]],'Basic Data'!$A$2:$B$114,2,0),"")</f>
        <v/>
      </c>
      <c r="N118" s="48" t="str">
        <f>IFERROR(VLOOKUP(PA[[#This Row],[Affceted Equipment]],'Basic Data'!$A$1:$C$118,3,0),"")</f>
        <v/>
      </c>
      <c r="W118" s="33">
        <f>IF(PA[[#This Row],[Acknowledgemnet Time ]]="NA","",(PA[[#This Row],[Acknowledgemnet Time ]]-PA[[#This Row],[Fault Time]])*24)</f>
        <v>0</v>
      </c>
      <c r="X118" s="33">
        <f>IF(PA[[#This Row],[Work Start time on Fault]]="NA","",(PA[[#This Row],[Work Start time on Fault]]-PA[[#This Row],[Fault Time]])*24)</f>
        <v>0</v>
      </c>
      <c r="Y118" s="35">
        <f>(PA[[#This Row],[Work Completiuon time on fualt]]-PA[[#This Row],[Fault Time]])*24</f>
        <v>0</v>
      </c>
      <c r="Z118" s="35">
        <f>IFERROR((PA[[#This Row],[Work Completiuon time on fualt]]-PA[[#This Row],[Fault Time]])*24,"")</f>
        <v>0</v>
      </c>
      <c r="AC118" s="47" t="str">
        <f>IFERROR(PA[[#This Row],[Breakdown Time]]*PA[[#This Row],[Plant Equivalent Weightage]],"")</f>
        <v/>
      </c>
      <c r="AE118" s="33" t="str">
        <f>IFERROR((_xlfn.XLOOKUP(PA[[#This Row],[Month Year]],'Modelling New'!D:D,'Modelling New'!$O:$O)*PA[[#This Row],[Lost PoA(Wh/m2)]]*PA[[#This Row],[DC Capacity Affceted (kW)]])/1000,"")</f>
        <v/>
      </c>
      <c r="AF118" s="35"/>
    </row>
    <row r="119" spans="1:32">
      <c r="A119" s="2">
        <f t="shared" si="13"/>
        <v>116</v>
      </c>
      <c r="B119" s="156">
        <f t="shared" si="11"/>
        <v>1900</v>
      </c>
      <c r="C119" s="129">
        <f t="shared" si="12"/>
        <v>1900</v>
      </c>
      <c r="I119" s="29" t="str">
        <f>IFERROR(VLOOKUP(PA[[#This Row],[Date]],Raw_Data[[Date]:[Sunset Time (POA&lt;20 W/m2)]],3,0),"")</f>
        <v/>
      </c>
      <c r="J119" s="29" t="str">
        <f>IFERROR(VLOOKUP(PA[[#This Row],[Date]],Raw_Data[[Date]:[Sunset Time (POA&lt;20 W/m2)]],4,0),"")</f>
        <v/>
      </c>
      <c r="K119" s="27" t="str">
        <f>IFERROR((PA[[#This Row],[Sunset Time (POA&lt;20 W/m2)]]-PA[[#This Row],[Sunrise Time (POA&gt;20 W/m2)]])*24,"")</f>
        <v/>
      </c>
      <c r="M119" s="46" t="str">
        <f>IFERROR(VLOOKUP(PA[[#This Row],[Affceted Equipment]],'Basic Data'!$A$2:$B$114,2,0),"")</f>
        <v/>
      </c>
      <c r="N119" s="48" t="str">
        <f>IFERROR(VLOOKUP(PA[[#This Row],[Affceted Equipment]],'Basic Data'!$A$1:$C$118,3,0),"")</f>
        <v/>
      </c>
      <c r="W119" s="33">
        <f>IF(PA[[#This Row],[Acknowledgemnet Time ]]="NA","",(PA[[#This Row],[Acknowledgemnet Time ]]-PA[[#This Row],[Fault Time]])*24)</f>
        <v>0</v>
      </c>
      <c r="X119" s="33">
        <f>IF(PA[[#This Row],[Work Start time on Fault]]="NA","",(PA[[#This Row],[Work Start time on Fault]]-PA[[#This Row],[Fault Time]])*24)</f>
        <v>0</v>
      </c>
      <c r="Y119" s="35">
        <f>(PA[[#This Row],[Work Completiuon time on fualt]]-PA[[#This Row],[Fault Time]])*24</f>
        <v>0</v>
      </c>
      <c r="Z119" s="35">
        <f>IFERROR((PA[[#This Row],[Work Completiuon time on fualt]]-PA[[#This Row],[Fault Time]])*24,"")</f>
        <v>0</v>
      </c>
      <c r="AC119" s="47" t="str">
        <f>IFERROR(PA[[#This Row],[Breakdown Time]]*PA[[#This Row],[Plant Equivalent Weightage]],"")</f>
        <v/>
      </c>
      <c r="AE119" s="33" t="str">
        <f>IFERROR((_xlfn.XLOOKUP(PA[[#This Row],[Month Year]],'Modelling New'!D:D,'Modelling New'!$O:$O)*PA[[#This Row],[Lost PoA(Wh/m2)]]*PA[[#This Row],[DC Capacity Affceted (kW)]])/1000,"")</f>
        <v/>
      </c>
      <c r="AF119" s="35"/>
    </row>
    <row r="120" spans="1:32">
      <c r="A120" s="2">
        <f t="shared" si="13"/>
        <v>117</v>
      </c>
      <c r="B120" s="156">
        <f t="shared" si="11"/>
        <v>1900</v>
      </c>
      <c r="C120" s="129">
        <f t="shared" si="12"/>
        <v>1900</v>
      </c>
      <c r="I120" s="29" t="str">
        <f>IFERROR(VLOOKUP(PA[[#This Row],[Date]],Raw_Data[[Date]:[Sunset Time (POA&lt;20 W/m2)]],3,0),"")</f>
        <v/>
      </c>
      <c r="J120" s="29" t="str">
        <f>IFERROR(VLOOKUP(PA[[#This Row],[Date]],Raw_Data[[Date]:[Sunset Time (POA&lt;20 W/m2)]],4,0),"")</f>
        <v/>
      </c>
      <c r="K120" s="27" t="str">
        <f>IFERROR((PA[[#This Row],[Sunset Time (POA&lt;20 W/m2)]]-PA[[#This Row],[Sunrise Time (POA&gt;20 W/m2)]])*24,"")</f>
        <v/>
      </c>
      <c r="M120" s="46" t="str">
        <f>IFERROR(VLOOKUP(PA[[#This Row],[Affceted Equipment]],'Basic Data'!$A$2:$B$114,2,0),"")</f>
        <v/>
      </c>
      <c r="N120" s="48" t="str">
        <f>IFERROR(VLOOKUP(PA[[#This Row],[Affceted Equipment]],'Basic Data'!$A$1:$C$118,3,0),"")</f>
        <v/>
      </c>
      <c r="W120" s="33">
        <f>IF(PA[[#This Row],[Acknowledgemnet Time ]]="NA","",(PA[[#This Row],[Acknowledgemnet Time ]]-PA[[#This Row],[Fault Time]])*24)</f>
        <v>0</v>
      </c>
      <c r="X120" s="33">
        <f>IF(PA[[#This Row],[Work Start time on Fault]]="NA","",(PA[[#This Row],[Work Start time on Fault]]-PA[[#This Row],[Fault Time]])*24)</f>
        <v>0</v>
      </c>
      <c r="Y120" s="35">
        <f>(PA[[#This Row],[Work Completiuon time on fualt]]-PA[[#This Row],[Fault Time]])*24</f>
        <v>0</v>
      </c>
      <c r="Z120" s="35">
        <f>IFERROR((PA[[#This Row],[Work Completiuon time on fualt]]-PA[[#This Row],[Fault Time]])*24,"")</f>
        <v>0</v>
      </c>
      <c r="AC120" s="47" t="str">
        <f>IFERROR(PA[[#This Row],[Breakdown Time]]*PA[[#This Row],[Plant Equivalent Weightage]],"")</f>
        <v/>
      </c>
      <c r="AE120" s="33" t="str">
        <f>IFERROR((_xlfn.XLOOKUP(PA[[#This Row],[Month Year]],'Modelling New'!D:D,'Modelling New'!$O:$O)*PA[[#This Row],[Lost PoA(Wh/m2)]]*PA[[#This Row],[DC Capacity Affceted (kW)]])/1000,"")</f>
        <v/>
      </c>
      <c r="AF120" s="35"/>
    </row>
    <row r="121" spans="1:32">
      <c r="A121" s="2">
        <f t="shared" si="13"/>
        <v>118</v>
      </c>
      <c r="B121" s="156">
        <f t="shared" si="11"/>
        <v>1900</v>
      </c>
      <c r="C121" s="129">
        <f t="shared" si="12"/>
        <v>1900</v>
      </c>
      <c r="I121" s="29" t="str">
        <f>IFERROR(VLOOKUP(PA[[#This Row],[Date]],Raw_Data[[Date]:[Sunset Time (POA&lt;20 W/m2)]],3,0),"")</f>
        <v/>
      </c>
      <c r="J121" s="29" t="str">
        <f>IFERROR(VLOOKUP(PA[[#This Row],[Date]],Raw_Data[[Date]:[Sunset Time (POA&lt;20 W/m2)]],4,0),"")</f>
        <v/>
      </c>
      <c r="K121" s="27" t="str">
        <f>IFERROR((PA[[#This Row],[Sunset Time (POA&lt;20 W/m2)]]-PA[[#This Row],[Sunrise Time (POA&gt;20 W/m2)]])*24,"")</f>
        <v/>
      </c>
      <c r="M121" s="46" t="str">
        <f>IFERROR(VLOOKUP(PA[[#This Row],[Affceted Equipment]],'Basic Data'!$A$2:$B$114,2,0),"")</f>
        <v/>
      </c>
      <c r="N121" s="48" t="str">
        <f>IFERROR(VLOOKUP(PA[[#This Row],[Affceted Equipment]],'Basic Data'!$A$1:$C$118,3,0),"")</f>
        <v/>
      </c>
      <c r="W121" s="33">
        <f>IF(PA[[#This Row],[Acknowledgemnet Time ]]="NA","",(PA[[#This Row],[Acknowledgemnet Time ]]-PA[[#This Row],[Fault Time]])*24)</f>
        <v>0</v>
      </c>
      <c r="X121" s="33">
        <f>IF(PA[[#This Row],[Work Start time on Fault]]="NA","",(PA[[#This Row],[Work Start time on Fault]]-PA[[#This Row],[Fault Time]])*24)</f>
        <v>0</v>
      </c>
      <c r="Y121" s="35">
        <f>(PA[[#This Row],[Work Completiuon time on fualt]]-PA[[#This Row],[Fault Time]])*24</f>
        <v>0</v>
      </c>
      <c r="Z121" s="35">
        <f>IFERROR((PA[[#This Row],[Work Completiuon time on fualt]]-PA[[#This Row],[Fault Time]])*24,"")</f>
        <v>0</v>
      </c>
      <c r="AC121" s="47" t="str">
        <f>IFERROR(PA[[#This Row],[Breakdown Time]]*PA[[#This Row],[Plant Equivalent Weightage]],"")</f>
        <v/>
      </c>
      <c r="AE121" s="33" t="str">
        <f>IFERROR((_xlfn.XLOOKUP(PA[[#This Row],[Month Year]],'Modelling New'!D:D,'Modelling New'!$O:$O)*PA[[#This Row],[Lost PoA(Wh/m2)]]*PA[[#This Row],[DC Capacity Affceted (kW)]])/1000,"")</f>
        <v/>
      </c>
      <c r="AF121" s="35"/>
    </row>
    <row r="122" spans="1:32">
      <c r="A122" s="2">
        <f t="shared" si="13"/>
        <v>119</v>
      </c>
      <c r="B122" s="156">
        <f t="shared" si="11"/>
        <v>1900</v>
      </c>
      <c r="C122" s="129">
        <f t="shared" si="12"/>
        <v>1900</v>
      </c>
      <c r="I122" s="29" t="str">
        <f>IFERROR(VLOOKUP(PA[[#This Row],[Date]],Raw_Data[[Date]:[Sunset Time (POA&lt;20 W/m2)]],3,0),"")</f>
        <v/>
      </c>
      <c r="J122" s="29" t="str">
        <f>IFERROR(VLOOKUP(PA[[#This Row],[Date]],Raw_Data[[Date]:[Sunset Time (POA&lt;20 W/m2)]],4,0),"")</f>
        <v/>
      </c>
      <c r="K122" s="27" t="str">
        <f>IFERROR((PA[[#This Row],[Sunset Time (POA&lt;20 W/m2)]]-PA[[#This Row],[Sunrise Time (POA&gt;20 W/m2)]])*24,"")</f>
        <v/>
      </c>
      <c r="M122" s="46" t="str">
        <f>IFERROR(VLOOKUP(PA[[#This Row],[Affceted Equipment]],'Basic Data'!$A$2:$B$114,2,0),"")</f>
        <v/>
      </c>
      <c r="N122" s="48" t="str">
        <f>IFERROR(VLOOKUP(PA[[#This Row],[Affceted Equipment]],'Basic Data'!$A$1:$C$118,3,0),"")</f>
        <v/>
      </c>
      <c r="W122" s="33">
        <f>IF(PA[[#This Row],[Acknowledgemnet Time ]]="NA","",(PA[[#This Row],[Acknowledgemnet Time ]]-PA[[#This Row],[Fault Time]])*24)</f>
        <v>0</v>
      </c>
      <c r="X122" s="33">
        <f>IF(PA[[#This Row],[Work Start time on Fault]]="NA","",(PA[[#This Row],[Work Start time on Fault]]-PA[[#This Row],[Fault Time]])*24)</f>
        <v>0</v>
      </c>
      <c r="Y122" s="35">
        <f>(PA[[#This Row],[Work Completiuon time on fualt]]-PA[[#This Row],[Fault Time]])*24</f>
        <v>0</v>
      </c>
      <c r="Z122" s="35">
        <f>IFERROR((PA[[#This Row],[Work Completiuon time on fualt]]-PA[[#This Row],[Fault Time]])*24,"")</f>
        <v>0</v>
      </c>
      <c r="AC122" s="47" t="str">
        <f>IFERROR(PA[[#This Row],[Breakdown Time]]*PA[[#This Row],[Plant Equivalent Weightage]],"")</f>
        <v/>
      </c>
      <c r="AE122" s="33" t="str">
        <f>IFERROR((_xlfn.XLOOKUP(PA[[#This Row],[Month Year]],'Modelling New'!D:D,'Modelling New'!$O:$O)*PA[[#This Row],[Lost PoA(Wh/m2)]]*PA[[#This Row],[DC Capacity Affceted (kW)]])/1000,"")</f>
        <v/>
      </c>
      <c r="AF122" s="35"/>
    </row>
    <row r="123" spans="1:32">
      <c r="A123" s="2">
        <f t="shared" si="13"/>
        <v>120</v>
      </c>
      <c r="B123" s="156">
        <f t="shared" si="11"/>
        <v>1900</v>
      </c>
      <c r="C123" s="129">
        <f t="shared" si="12"/>
        <v>1900</v>
      </c>
      <c r="I123" s="29" t="str">
        <f>IFERROR(VLOOKUP(PA[[#This Row],[Date]],Raw_Data[[Date]:[Sunset Time (POA&lt;20 W/m2)]],3,0),"")</f>
        <v/>
      </c>
      <c r="J123" s="29" t="str">
        <f>IFERROR(VLOOKUP(PA[[#This Row],[Date]],Raw_Data[[Date]:[Sunset Time (POA&lt;20 W/m2)]],4,0),"")</f>
        <v/>
      </c>
      <c r="K123" s="27" t="str">
        <f>IFERROR((PA[[#This Row],[Sunset Time (POA&lt;20 W/m2)]]-PA[[#This Row],[Sunrise Time (POA&gt;20 W/m2)]])*24,"")</f>
        <v/>
      </c>
      <c r="M123" s="46" t="str">
        <f>IFERROR(VLOOKUP(PA[[#This Row],[Affceted Equipment]],'Basic Data'!$A$2:$B$114,2,0),"")</f>
        <v/>
      </c>
      <c r="N123" s="48" t="str">
        <f>IFERROR(VLOOKUP(PA[[#This Row],[Affceted Equipment]],'Basic Data'!$A$1:$C$118,3,0),"")</f>
        <v/>
      </c>
      <c r="W123" s="33">
        <f>IF(PA[[#This Row],[Acknowledgemnet Time ]]="NA","",(PA[[#This Row],[Acknowledgemnet Time ]]-PA[[#This Row],[Fault Time]])*24)</f>
        <v>0</v>
      </c>
      <c r="X123" s="33">
        <f>IF(PA[[#This Row],[Work Start time on Fault]]="NA","",(PA[[#This Row],[Work Start time on Fault]]-PA[[#This Row],[Fault Time]])*24)</f>
        <v>0</v>
      </c>
      <c r="Y123" s="35">
        <f>(PA[[#This Row],[Work Completiuon time on fualt]]-PA[[#This Row],[Fault Time]])*24</f>
        <v>0</v>
      </c>
      <c r="Z123" s="35">
        <f>IFERROR((PA[[#This Row],[Work Completiuon time on fualt]]-PA[[#This Row],[Fault Time]])*24,"")</f>
        <v>0</v>
      </c>
      <c r="AC123" s="47" t="str">
        <f>IFERROR(PA[[#This Row],[Breakdown Time]]*PA[[#This Row],[Plant Equivalent Weightage]],"")</f>
        <v/>
      </c>
      <c r="AE123" s="33" t="str">
        <f>IFERROR((_xlfn.XLOOKUP(PA[[#This Row],[Month Year]],'Modelling New'!D:D,'Modelling New'!$O:$O)*PA[[#This Row],[Lost PoA(Wh/m2)]]*PA[[#This Row],[DC Capacity Affceted (kW)]])/1000,"")</f>
        <v/>
      </c>
      <c r="AF123" s="35"/>
    </row>
    <row r="124" spans="1:32">
      <c r="A124" s="2">
        <f t="shared" si="13"/>
        <v>121</v>
      </c>
      <c r="B124" s="156">
        <f t="shared" si="11"/>
        <v>1900</v>
      </c>
      <c r="C124" s="129">
        <f t="shared" si="12"/>
        <v>1900</v>
      </c>
      <c r="I124" s="29" t="str">
        <f>IFERROR(VLOOKUP(PA[[#This Row],[Date]],Raw_Data[[Date]:[Sunset Time (POA&lt;20 W/m2)]],3,0),"")</f>
        <v/>
      </c>
      <c r="J124" s="29" t="str">
        <f>IFERROR(VLOOKUP(PA[[#This Row],[Date]],Raw_Data[[Date]:[Sunset Time (POA&lt;20 W/m2)]],4,0),"")</f>
        <v/>
      </c>
      <c r="K124" s="27" t="str">
        <f>IFERROR((PA[[#This Row],[Sunset Time (POA&lt;20 W/m2)]]-PA[[#This Row],[Sunrise Time (POA&gt;20 W/m2)]])*24,"")</f>
        <v/>
      </c>
      <c r="M124" s="46" t="str">
        <f>IFERROR(VLOOKUP(PA[[#This Row],[Affceted Equipment]],'Basic Data'!$A$2:$B$114,2,0),"")</f>
        <v/>
      </c>
      <c r="N124" s="48" t="str">
        <f>IFERROR(VLOOKUP(PA[[#This Row],[Affceted Equipment]],'Basic Data'!$A$1:$C$118,3,0),"")</f>
        <v/>
      </c>
      <c r="W124" s="33">
        <f>IF(PA[[#This Row],[Acknowledgemnet Time ]]="NA","",(PA[[#This Row],[Acknowledgemnet Time ]]-PA[[#This Row],[Fault Time]])*24)</f>
        <v>0</v>
      </c>
      <c r="X124" s="33">
        <f>IF(PA[[#This Row],[Work Start time on Fault]]="NA","",(PA[[#This Row],[Work Start time on Fault]]-PA[[#This Row],[Fault Time]])*24)</f>
        <v>0</v>
      </c>
      <c r="Y124" s="35">
        <f>(PA[[#This Row],[Work Completiuon time on fualt]]-PA[[#This Row],[Fault Time]])*24</f>
        <v>0</v>
      </c>
      <c r="Z124" s="35">
        <f>IFERROR((PA[[#This Row],[Work Completiuon time on fualt]]-PA[[#This Row],[Fault Time]])*24,"")</f>
        <v>0</v>
      </c>
      <c r="AC124" s="47" t="str">
        <f>IFERROR(PA[[#This Row],[Breakdown Time]]*PA[[#This Row],[Plant Equivalent Weightage]],"")</f>
        <v/>
      </c>
      <c r="AE124" s="33" t="str">
        <f>IFERROR((_xlfn.XLOOKUP(PA[[#This Row],[Month Year]],'Modelling New'!D:D,'Modelling New'!$O:$O)*PA[[#This Row],[Lost PoA(Wh/m2)]]*PA[[#This Row],[DC Capacity Affceted (kW)]])/1000,"")</f>
        <v/>
      </c>
      <c r="AF124" s="35"/>
    </row>
    <row r="125" spans="1:32">
      <c r="A125" s="2">
        <f t="shared" si="13"/>
        <v>122</v>
      </c>
      <c r="B125" s="156">
        <f t="shared" si="11"/>
        <v>1900</v>
      </c>
      <c r="C125" s="129">
        <f t="shared" si="12"/>
        <v>1900</v>
      </c>
      <c r="I125" s="29" t="str">
        <f>IFERROR(VLOOKUP(PA[[#This Row],[Date]],Raw_Data[[Date]:[Sunset Time (POA&lt;20 W/m2)]],3,0),"")</f>
        <v/>
      </c>
      <c r="J125" s="29" t="str">
        <f>IFERROR(VLOOKUP(PA[[#This Row],[Date]],Raw_Data[[Date]:[Sunset Time (POA&lt;20 W/m2)]],4,0),"")</f>
        <v/>
      </c>
      <c r="K125" s="27" t="str">
        <f>IFERROR((PA[[#This Row],[Sunset Time (POA&lt;20 W/m2)]]-PA[[#This Row],[Sunrise Time (POA&gt;20 W/m2)]])*24,"")</f>
        <v/>
      </c>
      <c r="M125" s="46" t="str">
        <f>IFERROR(VLOOKUP(PA[[#This Row],[Affceted Equipment]],'Basic Data'!$A$2:$B$114,2,0),"")</f>
        <v/>
      </c>
      <c r="N125" s="48" t="str">
        <f>IFERROR(VLOOKUP(PA[[#This Row],[Affceted Equipment]],'Basic Data'!$A$1:$C$118,3,0),"")</f>
        <v/>
      </c>
      <c r="W125" s="33">
        <f>IF(PA[[#This Row],[Acknowledgemnet Time ]]="NA","",(PA[[#This Row],[Acknowledgemnet Time ]]-PA[[#This Row],[Fault Time]])*24)</f>
        <v>0</v>
      </c>
      <c r="X125" s="33">
        <f>IF(PA[[#This Row],[Work Start time on Fault]]="NA","",(PA[[#This Row],[Work Start time on Fault]]-PA[[#This Row],[Fault Time]])*24)</f>
        <v>0</v>
      </c>
      <c r="Y125" s="35">
        <f>(PA[[#This Row],[Work Completiuon time on fualt]]-PA[[#This Row],[Fault Time]])*24</f>
        <v>0</v>
      </c>
      <c r="Z125" s="35">
        <f>IFERROR((PA[[#This Row],[Work Completiuon time on fualt]]-PA[[#This Row],[Fault Time]])*24,"")</f>
        <v>0</v>
      </c>
      <c r="AC125" s="47" t="str">
        <f>IFERROR(PA[[#This Row],[Breakdown Time]]*PA[[#This Row],[Plant Equivalent Weightage]],"")</f>
        <v/>
      </c>
      <c r="AE125" s="33" t="str">
        <f>IFERROR((_xlfn.XLOOKUP(PA[[#This Row],[Month Year]],'Modelling New'!D:D,'Modelling New'!$O:$O)*PA[[#This Row],[Lost PoA(Wh/m2)]]*PA[[#This Row],[DC Capacity Affceted (kW)]])/1000,"")</f>
        <v/>
      </c>
      <c r="AF125" s="35"/>
    </row>
    <row r="126" spans="1:32">
      <c r="A126" s="2">
        <f t="shared" si="13"/>
        <v>123</v>
      </c>
      <c r="B126" s="156">
        <f t="shared" si="11"/>
        <v>1900</v>
      </c>
      <c r="C126" s="129">
        <f t="shared" si="12"/>
        <v>1900</v>
      </c>
      <c r="I126" s="29" t="str">
        <f>IFERROR(VLOOKUP(PA[[#This Row],[Date]],Raw_Data[[Date]:[Sunset Time (POA&lt;20 W/m2)]],3,0),"")</f>
        <v/>
      </c>
      <c r="J126" s="29" t="str">
        <f>IFERROR(VLOOKUP(PA[[#This Row],[Date]],Raw_Data[[Date]:[Sunset Time (POA&lt;20 W/m2)]],4,0),"")</f>
        <v/>
      </c>
      <c r="K126" s="27" t="str">
        <f>IFERROR((PA[[#This Row],[Sunset Time (POA&lt;20 W/m2)]]-PA[[#This Row],[Sunrise Time (POA&gt;20 W/m2)]])*24,"")</f>
        <v/>
      </c>
      <c r="M126" s="46" t="str">
        <f>IFERROR(VLOOKUP(PA[[#This Row],[Affceted Equipment]],'Basic Data'!$A$2:$B$114,2,0),"")</f>
        <v/>
      </c>
      <c r="N126" s="48" t="str">
        <f>IFERROR(VLOOKUP(PA[[#This Row],[Affceted Equipment]],'Basic Data'!$A$1:$C$118,3,0),"")</f>
        <v/>
      </c>
      <c r="W126" s="33">
        <f>IF(PA[[#This Row],[Acknowledgemnet Time ]]="NA","",(PA[[#This Row],[Acknowledgemnet Time ]]-PA[[#This Row],[Fault Time]])*24)</f>
        <v>0</v>
      </c>
      <c r="X126" s="33">
        <f>IF(PA[[#This Row],[Work Start time on Fault]]="NA","",(PA[[#This Row],[Work Start time on Fault]]-PA[[#This Row],[Fault Time]])*24)</f>
        <v>0</v>
      </c>
      <c r="Y126" s="35">
        <f>(PA[[#This Row],[Work Completiuon time on fualt]]-PA[[#This Row],[Fault Time]])*24</f>
        <v>0</v>
      </c>
      <c r="Z126" s="35">
        <f>IFERROR((PA[[#This Row],[Work Completiuon time on fualt]]-PA[[#This Row],[Fault Time]])*24,"")</f>
        <v>0</v>
      </c>
      <c r="AC126" s="47" t="str">
        <f>IFERROR(PA[[#This Row],[Breakdown Time]]*PA[[#This Row],[Plant Equivalent Weightage]],"")</f>
        <v/>
      </c>
      <c r="AE126" s="33" t="str">
        <f>IFERROR((_xlfn.XLOOKUP(PA[[#This Row],[Month Year]],'Modelling New'!D:D,'Modelling New'!$O:$O)*PA[[#This Row],[Lost PoA(Wh/m2)]]*PA[[#This Row],[DC Capacity Affceted (kW)]])/1000,"")</f>
        <v/>
      </c>
      <c r="AF126" s="35"/>
    </row>
    <row r="127" spans="1:32">
      <c r="A127" s="2">
        <f t="shared" si="13"/>
        <v>124</v>
      </c>
      <c r="B127" s="156">
        <f t="shared" si="11"/>
        <v>1900</v>
      </c>
      <c r="C127" s="129">
        <f t="shared" si="12"/>
        <v>1900</v>
      </c>
      <c r="I127" s="29" t="str">
        <f>IFERROR(VLOOKUP(PA[[#This Row],[Date]],Raw_Data[[Date]:[Sunset Time (POA&lt;20 W/m2)]],3,0),"")</f>
        <v/>
      </c>
      <c r="J127" s="29" t="str">
        <f>IFERROR(VLOOKUP(PA[[#This Row],[Date]],Raw_Data[[Date]:[Sunset Time (POA&lt;20 W/m2)]],4,0),"")</f>
        <v/>
      </c>
      <c r="K127" s="27" t="str">
        <f>IFERROR((PA[[#This Row],[Sunset Time (POA&lt;20 W/m2)]]-PA[[#This Row],[Sunrise Time (POA&gt;20 W/m2)]])*24,"")</f>
        <v/>
      </c>
      <c r="M127" s="46" t="str">
        <f>IFERROR(VLOOKUP(PA[[#This Row],[Affceted Equipment]],'Basic Data'!$A$2:$B$114,2,0),"")</f>
        <v/>
      </c>
      <c r="N127" s="48" t="str">
        <f>IFERROR(VLOOKUP(PA[[#This Row],[Affceted Equipment]],'Basic Data'!$A$1:$C$118,3,0),"")</f>
        <v/>
      </c>
      <c r="W127" s="33">
        <f>IF(PA[[#This Row],[Acknowledgemnet Time ]]="NA","",(PA[[#This Row],[Acknowledgemnet Time ]]-PA[[#This Row],[Fault Time]])*24)</f>
        <v>0</v>
      </c>
      <c r="X127" s="33">
        <f>IF(PA[[#This Row],[Work Start time on Fault]]="NA","",(PA[[#This Row],[Work Start time on Fault]]-PA[[#This Row],[Fault Time]])*24)</f>
        <v>0</v>
      </c>
      <c r="Y127" s="35">
        <f>(PA[[#This Row],[Work Completiuon time on fualt]]-PA[[#This Row],[Fault Time]])*24</f>
        <v>0</v>
      </c>
      <c r="Z127" s="35">
        <f>IFERROR((PA[[#This Row],[Work Completiuon time on fualt]]-PA[[#This Row],[Fault Time]])*24,"")</f>
        <v>0</v>
      </c>
      <c r="AC127" s="47" t="str">
        <f>IFERROR(PA[[#This Row],[Breakdown Time]]*PA[[#This Row],[Plant Equivalent Weightage]],"")</f>
        <v/>
      </c>
      <c r="AE127" s="33" t="str">
        <f>IFERROR((_xlfn.XLOOKUP(PA[[#This Row],[Month Year]],'Modelling New'!D:D,'Modelling New'!$O:$O)*PA[[#This Row],[Lost PoA(Wh/m2)]]*PA[[#This Row],[DC Capacity Affceted (kW)]])/1000,"")</f>
        <v/>
      </c>
      <c r="AF127" s="35"/>
    </row>
    <row r="128" spans="1:32">
      <c r="A128" s="2">
        <f t="shared" si="13"/>
        <v>125</v>
      </c>
      <c r="B128" s="156">
        <f t="shared" si="11"/>
        <v>1900</v>
      </c>
      <c r="C128" s="129">
        <f t="shared" si="12"/>
        <v>1900</v>
      </c>
      <c r="I128" s="29" t="str">
        <f>IFERROR(VLOOKUP(PA[[#This Row],[Date]],Raw_Data[[Date]:[Sunset Time (POA&lt;20 W/m2)]],3,0),"")</f>
        <v/>
      </c>
      <c r="J128" s="29" t="str">
        <f>IFERROR(VLOOKUP(PA[[#This Row],[Date]],Raw_Data[[Date]:[Sunset Time (POA&lt;20 W/m2)]],4,0),"")</f>
        <v/>
      </c>
      <c r="K128" s="27" t="str">
        <f>IFERROR((PA[[#This Row],[Sunset Time (POA&lt;20 W/m2)]]-PA[[#This Row],[Sunrise Time (POA&gt;20 W/m2)]])*24,"")</f>
        <v/>
      </c>
      <c r="M128" s="46" t="str">
        <f>IFERROR(VLOOKUP(PA[[#This Row],[Affceted Equipment]],'Basic Data'!$A$2:$B$114,2,0),"")</f>
        <v/>
      </c>
      <c r="N128" s="48" t="str">
        <f>IFERROR(VLOOKUP(PA[[#This Row],[Affceted Equipment]],'Basic Data'!$A$1:$C$118,3,0),"")</f>
        <v/>
      </c>
      <c r="W128" s="33">
        <f>IF(PA[[#This Row],[Acknowledgemnet Time ]]="NA","",(PA[[#This Row],[Acknowledgemnet Time ]]-PA[[#This Row],[Fault Time]])*24)</f>
        <v>0</v>
      </c>
      <c r="X128" s="33">
        <f>IF(PA[[#This Row],[Work Start time on Fault]]="NA","",(PA[[#This Row],[Work Start time on Fault]]-PA[[#This Row],[Fault Time]])*24)</f>
        <v>0</v>
      </c>
      <c r="Y128" s="35">
        <f>(PA[[#This Row],[Work Completiuon time on fualt]]-PA[[#This Row],[Fault Time]])*24</f>
        <v>0</v>
      </c>
      <c r="Z128" s="35">
        <f>IFERROR((PA[[#This Row],[Work Completiuon time on fualt]]-PA[[#This Row],[Fault Time]])*24,"")</f>
        <v>0</v>
      </c>
      <c r="AC128" s="47" t="str">
        <f>IFERROR(PA[[#This Row],[Breakdown Time]]*PA[[#This Row],[Plant Equivalent Weightage]],"")</f>
        <v/>
      </c>
      <c r="AE128" s="33" t="str">
        <f>IFERROR((_xlfn.XLOOKUP(PA[[#This Row],[Month Year]],'Modelling New'!D:D,'Modelling New'!$O:$O)*PA[[#This Row],[Lost PoA(Wh/m2)]]*PA[[#This Row],[DC Capacity Affceted (kW)]])/1000,"")</f>
        <v/>
      </c>
      <c r="AF128" s="35"/>
    </row>
    <row r="129" spans="1:32">
      <c r="A129" s="2">
        <f t="shared" si="13"/>
        <v>126</v>
      </c>
      <c r="B129" s="156">
        <f t="shared" si="11"/>
        <v>1900</v>
      </c>
      <c r="C129" s="129">
        <f t="shared" si="12"/>
        <v>1900</v>
      </c>
      <c r="I129" s="29" t="str">
        <f>IFERROR(VLOOKUP(PA[[#This Row],[Date]],Raw_Data[[Date]:[Sunset Time (POA&lt;20 W/m2)]],3,0),"")</f>
        <v/>
      </c>
      <c r="J129" s="29" t="str">
        <f>IFERROR(VLOOKUP(PA[[#This Row],[Date]],Raw_Data[[Date]:[Sunset Time (POA&lt;20 W/m2)]],4,0),"")</f>
        <v/>
      </c>
      <c r="K129" s="27" t="str">
        <f>IFERROR((PA[[#This Row],[Sunset Time (POA&lt;20 W/m2)]]-PA[[#This Row],[Sunrise Time (POA&gt;20 W/m2)]])*24,"")</f>
        <v/>
      </c>
      <c r="M129" s="46" t="str">
        <f>IFERROR(VLOOKUP(PA[[#This Row],[Affceted Equipment]],'Basic Data'!$A$2:$B$114,2,0),"")</f>
        <v/>
      </c>
      <c r="N129" s="48" t="str">
        <f>IFERROR(VLOOKUP(PA[[#This Row],[Affceted Equipment]],'Basic Data'!$A$1:$C$118,3,0),"")</f>
        <v/>
      </c>
      <c r="W129" s="33">
        <f>IF(PA[[#This Row],[Acknowledgemnet Time ]]="NA","",(PA[[#This Row],[Acknowledgemnet Time ]]-PA[[#This Row],[Fault Time]])*24)</f>
        <v>0</v>
      </c>
      <c r="X129" s="33">
        <f>IF(PA[[#This Row],[Work Start time on Fault]]="NA","",(PA[[#This Row],[Work Start time on Fault]]-PA[[#This Row],[Fault Time]])*24)</f>
        <v>0</v>
      </c>
      <c r="Y129" s="35">
        <f>(PA[[#This Row],[Work Completiuon time on fualt]]-PA[[#This Row],[Fault Time]])*24</f>
        <v>0</v>
      </c>
      <c r="Z129" s="35">
        <f>IFERROR((PA[[#This Row],[Work Completiuon time on fualt]]-PA[[#This Row],[Fault Time]])*24,"")</f>
        <v>0</v>
      </c>
      <c r="AC129" s="47" t="str">
        <f>IFERROR(PA[[#This Row],[Breakdown Time]]*PA[[#This Row],[Plant Equivalent Weightage]],"")</f>
        <v/>
      </c>
      <c r="AE129" s="33" t="str">
        <f>IFERROR((_xlfn.XLOOKUP(PA[[#This Row],[Month Year]],'Modelling New'!D:D,'Modelling New'!$O:$O)*PA[[#This Row],[Lost PoA(Wh/m2)]]*PA[[#This Row],[DC Capacity Affceted (kW)]])/1000,"")</f>
        <v/>
      </c>
      <c r="AF129" s="35"/>
    </row>
    <row r="130" spans="1:32">
      <c r="A130" s="2">
        <f t="shared" si="13"/>
        <v>127</v>
      </c>
      <c r="B130" s="156">
        <f t="shared" si="11"/>
        <v>1900</v>
      </c>
      <c r="C130" s="129">
        <f t="shared" si="12"/>
        <v>1900</v>
      </c>
      <c r="I130" s="29" t="str">
        <f>IFERROR(VLOOKUP(PA[[#This Row],[Date]],Raw_Data[[Date]:[Sunset Time (POA&lt;20 W/m2)]],3,0),"")</f>
        <v/>
      </c>
      <c r="J130" s="29" t="str">
        <f>IFERROR(VLOOKUP(PA[[#This Row],[Date]],Raw_Data[[Date]:[Sunset Time (POA&lt;20 W/m2)]],4,0),"")</f>
        <v/>
      </c>
      <c r="K130" s="27" t="str">
        <f>IFERROR((PA[[#This Row],[Sunset Time (POA&lt;20 W/m2)]]-PA[[#This Row],[Sunrise Time (POA&gt;20 W/m2)]])*24,"")</f>
        <v/>
      </c>
      <c r="M130" s="46" t="str">
        <f>IFERROR(VLOOKUP(PA[[#This Row],[Affceted Equipment]],'Basic Data'!$A$2:$B$114,2,0),"")</f>
        <v/>
      </c>
      <c r="N130" s="48" t="str">
        <f>IFERROR(VLOOKUP(PA[[#This Row],[Affceted Equipment]],'Basic Data'!$A$1:$C$118,3,0),"")</f>
        <v/>
      </c>
      <c r="W130" s="33">
        <f>IF(PA[[#This Row],[Acknowledgemnet Time ]]="NA","",(PA[[#This Row],[Acknowledgemnet Time ]]-PA[[#This Row],[Fault Time]])*24)</f>
        <v>0</v>
      </c>
      <c r="X130" s="33">
        <f>IF(PA[[#This Row],[Work Start time on Fault]]="NA","",(PA[[#This Row],[Work Start time on Fault]]-PA[[#This Row],[Fault Time]])*24)</f>
        <v>0</v>
      </c>
      <c r="Y130" s="35">
        <f>(PA[[#This Row],[Work Completiuon time on fualt]]-PA[[#This Row],[Fault Time]])*24</f>
        <v>0</v>
      </c>
      <c r="Z130" s="35">
        <f>IFERROR((PA[[#This Row],[Work Completiuon time on fualt]]-PA[[#This Row],[Fault Time]])*24,"")</f>
        <v>0</v>
      </c>
      <c r="AC130" s="47" t="str">
        <f>IFERROR(PA[[#This Row],[Breakdown Time]]*PA[[#This Row],[Plant Equivalent Weightage]],"")</f>
        <v/>
      </c>
      <c r="AE130" s="33" t="str">
        <f>IFERROR((_xlfn.XLOOKUP(PA[[#This Row],[Month Year]],'Modelling New'!D:D,'Modelling New'!$O:$O)*PA[[#This Row],[Lost PoA(Wh/m2)]]*PA[[#This Row],[DC Capacity Affceted (kW)]])/1000,"")</f>
        <v/>
      </c>
      <c r="AF130" s="35"/>
    </row>
    <row r="131" spans="1:32">
      <c r="A131" s="2">
        <f t="shared" si="13"/>
        <v>128</v>
      </c>
      <c r="B131" s="156">
        <f t="shared" si="11"/>
        <v>1900</v>
      </c>
      <c r="C131" s="129">
        <f t="shared" si="12"/>
        <v>1900</v>
      </c>
      <c r="I131" s="29" t="str">
        <f>IFERROR(VLOOKUP(PA[[#This Row],[Date]],Raw_Data[[Date]:[Sunset Time (POA&lt;20 W/m2)]],3,0),"")</f>
        <v/>
      </c>
      <c r="J131" s="29" t="str">
        <f>IFERROR(VLOOKUP(PA[[#This Row],[Date]],Raw_Data[[Date]:[Sunset Time (POA&lt;20 W/m2)]],4,0),"")</f>
        <v/>
      </c>
      <c r="K131" s="27" t="str">
        <f>IFERROR((PA[[#This Row],[Sunset Time (POA&lt;20 W/m2)]]-PA[[#This Row],[Sunrise Time (POA&gt;20 W/m2)]])*24,"")</f>
        <v/>
      </c>
      <c r="M131" s="46" t="str">
        <f>IFERROR(VLOOKUP(PA[[#This Row],[Affceted Equipment]],'Basic Data'!$A$2:$B$114,2,0),"")</f>
        <v/>
      </c>
      <c r="N131" s="48" t="str">
        <f>IFERROR(VLOOKUP(PA[[#This Row],[Affceted Equipment]],'Basic Data'!$A$1:$C$118,3,0),"")</f>
        <v/>
      </c>
      <c r="W131" s="33">
        <f>IF(PA[[#This Row],[Acknowledgemnet Time ]]="NA","",(PA[[#This Row],[Acknowledgemnet Time ]]-PA[[#This Row],[Fault Time]])*24)</f>
        <v>0</v>
      </c>
      <c r="X131" s="33">
        <f>IF(PA[[#This Row],[Work Start time on Fault]]="NA","",(PA[[#This Row],[Work Start time on Fault]]-PA[[#This Row],[Fault Time]])*24)</f>
        <v>0</v>
      </c>
      <c r="Y131" s="35">
        <f>(PA[[#This Row],[Work Completiuon time on fualt]]-PA[[#This Row],[Fault Time]])*24</f>
        <v>0</v>
      </c>
      <c r="Z131" s="35">
        <f>IFERROR((PA[[#This Row],[Work Completiuon time on fualt]]-PA[[#This Row],[Fault Time]])*24,"")</f>
        <v>0</v>
      </c>
      <c r="AC131" s="47" t="str">
        <f>IFERROR(PA[[#This Row],[Breakdown Time]]*PA[[#This Row],[Plant Equivalent Weightage]],"")</f>
        <v/>
      </c>
      <c r="AE131" s="33" t="str">
        <f>IFERROR((_xlfn.XLOOKUP(PA[[#This Row],[Month Year]],'Modelling New'!D:D,'Modelling New'!$O:$O)*PA[[#This Row],[Lost PoA(Wh/m2)]]*PA[[#This Row],[DC Capacity Affceted (kW)]])/1000,"")</f>
        <v/>
      </c>
      <c r="AF131" s="35"/>
    </row>
    <row r="132" spans="1:32">
      <c r="A132" s="2">
        <f t="shared" si="13"/>
        <v>129</v>
      </c>
      <c r="B132" s="156">
        <f t="shared" si="11"/>
        <v>1900</v>
      </c>
      <c r="C132" s="129">
        <f t="shared" si="12"/>
        <v>1900</v>
      </c>
      <c r="I132" s="29" t="str">
        <f>IFERROR(VLOOKUP(PA[[#This Row],[Date]],Raw_Data[[Date]:[Sunset Time (POA&lt;20 W/m2)]],3,0),"")</f>
        <v/>
      </c>
      <c r="J132" s="29" t="str">
        <f>IFERROR(VLOOKUP(PA[[#This Row],[Date]],Raw_Data[[Date]:[Sunset Time (POA&lt;20 W/m2)]],4,0),"")</f>
        <v/>
      </c>
      <c r="K132" s="27" t="str">
        <f>IFERROR((PA[[#This Row],[Sunset Time (POA&lt;20 W/m2)]]-PA[[#This Row],[Sunrise Time (POA&gt;20 W/m2)]])*24,"")</f>
        <v/>
      </c>
      <c r="M132" s="46" t="str">
        <f>IFERROR(VLOOKUP(PA[[#This Row],[Affceted Equipment]],'Basic Data'!$A$2:$B$114,2,0),"")</f>
        <v/>
      </c>
      <c r="N132" s="48" t="str">
        <f>IFERROR(VLOOKUP(PA[[#This Row],[Affceted Equipment]],'Basic Data'!$A$1:$C$118,3,0),"")</f>
        <v/>
      </c>
      <c r="W132" s="33">
        <f>IF(PA[[#This Row],[Acknowledgemnet Time ]]="NA","",(PA[[#This Row],[Acknowledgemnet Time ]]-PA[[#This Row],[Fault Time]])*24)</f>
        <v>0</v>
      </c>
      <c r="X132" s="33">
        <f>IF(PA[[#This Row],[Work Start time on Fault]]="NA","",(PA[[#This Row],[Work Start time on Fault]]-PA[[#This Row],[Fault Time]])*24)</f>
        <v>0</v>
      </c>
      <c r="Y132" s="35">
        <f>(PA[[#This Row],[Work Completiuon time on fualt]]-PA[[#This Row],[Fault Time]])*24</f>
        <v>0</v>
      </c>
      <c r="Z132" s="35">
        <f>IFERROR((PA[[#This Row],[Work Completiuon time on fualt]]-PA[[#This Row],[Fault Time]])*24,"")</f>
        <v>0</v>
      </c>
      <c r="AC132" s="47" t="str">
        <f>IFERROR(PA[[#This Row],[Breakdown Time]]*PA[[#This Row],[Plant Equivalent Weightage]],"")</f>
        <v/>
      </c>
      <c r="AE132" s="33" t="str">
        <f>IFERROR((_xlfn.XLOOKUP(PA[[#This Row],[Month Year]],'Modelling New'!D:D,'Modelling New'!$O:$O)*PA[[#This Row],[Lost PoA(Wh/m2)]]*PA[[#This Row],[DC Capacity Affceted (kW)]])/1000,"")</f>
        <v/>
      </c>
      <c r="AF132" s="35"/>
    </row>
    <row r="133" spans="1:32">
      <c r="A133" s="2">
        <f t="shared" si="13"/>
        <v>130</v>
      </c>
      <c r="B133" s="156">
        <f t="shared" ref="B133:B196" si="14">YEAR(H133)+IF(MONTH(H133)&gt;=4,1,0)</f>
        <v>1900</v>
      </c>
      <c r="C133" s="129">
        <f t="shared" ref="C133:C196" si="15">YEAR(H133)</f>
        <v>1900</v>
      </c>
      <c r="I133" s="29" t="str">
        <f>IFERROR(VLOOKUP(PA[[#This Row],[Date]],Raw_Data[[Date]:[Sunset Time (POA&lt;20 W/m2)]],3,0),"")</f>
        <v/>
      </c>
      <c r="J133" s="29" t="str">
        <f>IFERROR(VLOOKUP(PA[[#This Row],[Date]],Raw_Data[[Date]:[Sunset Time (POA&lt;20 W/m2)]],4,0),"")</f>
        <v/>
      </c>
      <c r="K133" s="27" t="str">
        <f>IFERROR((PA[[#This Row],[Sunset Time (POA&lt;20 W/m2)]]-PA[[#This Row],[Sunrise Time (POA&gt;20 W/m2)]])*24,"")</f>
        <v/>
      </c>
      <c r="M133" s="46" t="str">
        <f>IFERROR(VLOOKUP(PA[[#This Row],[Affceted Equipment]],'Basic Data'!$A$2:$B$114,2,0),"")</f>
        <v/>
      </c>
      <c r="N133" s="48" t="str">
        <f>IFERROR(VLOOKUP(PA[[#This Row],[Affceted Equipment]],'Basic Data'!$A$1:$C$118,3,0),"")</f>
        <v/>
      </c>
      <c r="W133" s="33">
        <f>IF(PA[[#This Row],[Acknowledgemnet Time ]]="NA","",(PA[[#This Row],[Acknowledgemnet Time ]]-PA[[#This Row],[Fault Time]])*24)</f>
        <v>0</v>
      </c>
      <c r="X133" s="33">
        <f>IF(PA[[#This Row],[Work Start time on Fault]]="NA","",(PA[[#This Row],[Work Start time on Fault]]-PA[[#This Row],[Fault Time]])*24)</f>
        <v>0</v>
      </c>
      <c r="Y133" s="35">
        <f>(PA[[#This Row],[Work Completiuon time on fualt]]-PA[[#This Row],[Fault Time]])*24</f>
        <v>0</v>
      </c>
      <c r="Z133" s="35">
        <f>IFERROR((PA[[#This Row],[Work Completiuon time on fualt]]-PA[[#This Row],[Fault Time]])*24,"")</f>
        <v>0</v>
      </c>
      <c r="AC133" s="47" t="str">
        <f>IFERROR(PA[[#This Row],[Breakdown Time]]*PA[[#This Row],[Plant Equivalent Weightage]],"")</f>
        <v/>
      </c>
      <c r="AE133" s="33" t="str">
        <f>IFERROR((_xlfn.XLOOKUP(PA[[#This Row],[Month Year]],'Modelling New'!D:D,'Modelling New'!$O:$O)*PA[[#This Row],[Lost PoA(Wh/m2)]]*PA[[#This Row],[DC Capacity Affceted (kW)]])/1000,"")</f>
        <v/>
      </c>
      <c r="AF133" s="35"/>
    </row>
    <row r="134" spans="1:32">
      <c r="A134" s="2">
        <f t="shared" si="13"/>
        <v>131</v>
      </c>
      <c r="B134" s="156">
        <f t="shared" si="14"/>
        <v>1900</v>
      </c>
      <c r="C134" s="129">
        <f t="shared" si="15"/>
        <v>1900</v>
      </c>
      <c r="I134" s="29" t="str">
        <f>IFERROR(VLOOKUP(PA[[#This Row],[Date]],Raw_Data[[Date]:[Sunset Time (POA&lt;20 W/m2)]],3,0),"")</f>
        <v/>
      </c>
      <c r="J134" s="29" t="str">
        <f>IFERROR(VLOOKUP(PA[[#This Row],[Date]],Raw_Data[[Date]:[Sunset Time (POA&lt;20 W/m2)]],4,0),"")</f>
        <v/>
      </c>
      <c r="K134" s="27" t="str">
        <f>IFERROR((PA[[#This Row],[Sunset Time (POA&lt;20 W/m2)]]-PA[[#This Row],[Sunrise Time (POA&gt;20 W/m2)]])*24,"")</f>
        <v/>
      </c>
      <c r="M134" s="46" t="str">
        <f>IFERROR(VLOOKUP(PA[[#This Row],[Affceted Equipment]],'Basic Data'!$A$2:$B$114,2,0),"")</f>
        <v/>
      </c>
      <c r="N134" s="48" t="str">
        <f>IFERROR(VLOOKUP(PA[[#This Row],[Affceted Equipment]],'Basic Data'!$A$1:$C$118,3,0),"")</f>
        <v/>
      </c>
      <c r="W134" s="33">
        <f>IF(PA[[#This Row],[Acknowledgemnet Time ]]="NA","",(PA[[#This Row],[Acknowledgemnet Time ]]-PA[[#This Row],[Fault Time]])*24)</f>
        <v>0</v>
      </c>
      <c r="X134" s="33">
        <f>IF(PA[[#This Row],[Work Start time on Fault]]="NA","",(PA[[#This Row],[Work Start time on Fault]]-PA[[#This Row],[Fault Time]])*24)</f>
        <v>0</v>
      </c>
      <c r="Y134" s="35">
        <f>(PA[[#This Row],[Work Completiuon time on fualt]]-PA[[#This Row],[Fault Time]])*24</f>
        <v>0</v>
      </c>
      <c r="Z134" s="35">
        <f>IFERROR((PA[[#This Row],[Work Completiuon time on fualt]]-PA[[#This Row],[Fault Time]])*24,"")</f>
        <v>0</v>
      </c>
      <c r="AC134" s="47" t="str">
        <f>IFERROR(PA[[#This Row],[Breakdown Time]]*PA[[#This Row],[Plant Equivalent Weightage]],"")</f>
        <v/>
      </c>
      <c r="AE134" s="33" t="str">
        <f>IFERROR((_xlfn.XLOOKUP(PA[[#This Row],[Month Year]],'Modelling New'!D:D,'Modelling New'!$O:$O)*PA[[#This Row],[Lost PoA(Wh/m2)]]*PA[[#This Row],[DC Capacity Affceted (kW)]])/1000,"")</f>
        <v/>
      </c>
      <c r="AF134" s="35"/>
    </row>
    <row r="135" spans="1:32">
      <c r="A135" s="2">
        <f t="shared" si="13"/>
        <v>132</v>
      </c>
      <c r="B135" s="156">
        <f t="shared" si="14"/>
        <v>1900</v>
      </c>
      <c r="C135" s="129">
        <f t="shared" si="15"/>
        <v>1900</v>
      </c>
      <c r="I135" s="29" t="str">
        <f>IFERROR(VLOOKUP(PA[[#This Row],[Date]],Raw_Data[[Date]:[Sunset Time (POA&lt;20 W/m2)]],3,0),"")</f>
        <v/>
      </c>
      <c r="J135" s="29" t="str">
        <f>IFERROR(VLOOKUP(PA[[#This Row],[Date]],Raw_Data[[Date]:[Sunset Time (POA&lt;20 W/m2)]],4,0),"")</f>
        <v/>
      </c>
      <c r="K135" s="27" t="str">
        <f>IFERROR((PA[[#This Row],[Sunset Time (POA&lt;20 W/m2)]]-PA[[#This Row],[Sunrise Time (POA&gt;20 W/m2)]])*24,"")</f>
        <v/>
      </c>
      <c r="M135" s="46" t="str">
        <f>IFERROR(VLOOKUP(PA[[#This Row],[Affceted Equipment]],'Basic Data'!$A$2:$B$114,2,0),"")</f>
        <v/>
      </c>
      <c r="N135" s="48" t="str">
        <f>IFERROR(VLOOKUP(PA[[#This Row],[Affceted Equipment]],'Basic Data'!$A$1:$C$118,3,0),"")</f>
        <v/>
      </c>
      <c r="W135" s="33">
        <f>IF(PA[[#This Row],[Acknowledgemnet Time ]]="NA","",(PA[[#This Row],[Acknowledgemnet Time ]]-PA[[#This Row],[Fault Time]])*24)</f>
        <v>0</v>
      </c>
      <c r="X135" s="33">
        <f>IF(PA[[#This Row],[Work Start time on Fault]]="NA","",(PA[[#This Row],[Work Start time on Fault]]-PA[[#This Row],[Fault Time]])*24)</f>
        <v>0</v>
      </c>
      <c r="Y135" s="35">
        <f>(PA[[#This Row],[Work Completiuon time on fualt]]-PA[[#This Row],[Fault Time]])*24</f>
        <v>0</v>
      </c>
      <c r="Z135" s="35">
        <f>IFERROR((PA[[#This Row],[Work Completiuon time on fualt]]-PA[[#This Row],[Fault Time]])*24,"")</f>
        <v>0</v>
      </c>
      <c r="AC135" s="47" t="str">
        <f>IFERROR(PA[[#This Row],[Breakdown Time]]*PA[[#This Row],[Plant Equivalent Weightage]],"")</f>
        <v/>
      </c>
      <c r="AE135" s="33" t="str">
        <f>IFERROR((_xlfn.XLOOKUP(PA[[#This Row],[Month Year]],'Modelling New'!D:D,'Modelling New'!$O:$O)*PA[[#This Row],[Lost PoA(Wh/m2)]]*PA[[#This Row],[DC Capacity Affceted (kW)]])/1000,"")</f>
        <v/>
      </c>
      <c r="AF135" s="35"/>
    </row>
    <row r="136" spans="1:32">
      <c r="A136" s="2">
        <f t="shared" si="13"/>
        <v>133</v>
      </c>
      <c r="B136" s="156">
        <f t="shared" si="14"/>
        <v>1900</v>
      </c>
      <c r="C136" s="129">
        <f t="shared" si="15"/>
        <v>1900</v>
      </c>
      <c r="I136" s="29" t="str">
        <f>IFERROR(VLOOKUP(PA[[#This Row],[Date]],Raw_Data[[Date]:[Sunset Time (POA&lt;20 W/m2)]],3,0),"")</f>
        <v/>
      </c>
      <c r="J136" s="29" t="str">
        <f>IFERROR(VLOOKUP(PA[[#This Row],[Date]],Raw_Data[[Date]:[Sunset Time (POA&lt;20 W/m2)]],4,0),"")</f>
        <v/>
      </c>
      <c r="K136" s="27" t="str">
        <f>IFERROR((PA[[#This Row],[Sunset Time (POA&lt;20 W/m2)]]-PA[[#This Row],[Sunrise Time (POA&gt;20 W/m2)]])*24,"")</f>
        <v/>
      </c>
      <c r="M136" s="46" t="str">
        <f>IFERROR(VLOOKUP(PA[[#This Row],[Affceted Equipment]],'Basic Data'!$A$2:$B$114,2,0),"")</f>
        <v/>
      </c>
      <c r="N136" s="48" t="str">
        <f>IFERROR(VLOOKUP(PA[[#This Row],[Affceted Equipment]],'Basic Data'!$A$1:$C$118,3,0),"")</f>
        <v/>
      </c>
      <c r="W136" s="33">
        <f>IF(PA[[#This Row],[Acknowledgemnet Time ]]="NA","",(PA[[#This Row],[Acknowledgemnet Time ]]-PA[[#This Row],[Fault Time]])*24)</f>
        <v>0</v>
      </c>
      <c r="X136" s="33">
        <f>IF(PA[[#This Row],[Work Start time on Fault]]="NA","",(PA[[#This Row],[Work Start time on Fault]]-PA[[#This Row],[Fault Time]])*24)</f>
        <v>0</v>
      </c>
      <c r="Y136" s="35">
        <f>(PA[[#This Row],[Work Completiuon time on fualt]]-PA[[#This Row],[Fault Time]])*24</f>
        <v>0</v>
      </c>
      <c r="Z136" s="35">
        <f>IFERROR((PA[[#This Row],[Work Completiuon time on fualt]]-PA[[#This Row],[Fault Time]])*24,"")</f>
        <v>0</v>
      </c>
      <c r="AC136" s="47" t="str">
        <f>IFERROR(PA[[#This Row],[Breakdown Time]]*PA[[#This Row],[Plant Equivalent Weightage]],"")</f>
        <v/>
      </c>
      <c r="AE136" s="33" t="str">
        <f>IFERROR((_xlfn.XLOOKUP(PA[[#This Row],[Month Year]],'Modelling New'!D:D,'Modelling New'!$O:$O)*PA[[#This Row],[Lost PoA(Wh/m2)]]*PA[[#This Row],[DC Capacity Affceted (kW)]])/1000,"")</f>
        <v/>
      </c>
      <c r="AF136" s="35"/>
    </row>
    <row r="137" spans="1:32">
      <c r="A137" s="2">
        <f t="shared" si="13"/>
        <v>134</v>
      </c>
      <c r="B137" s="156">
        <f t="shared" si="14"/>
        <v>1900</v>
      </c>
      <c r="C137" s="129">
        <f t="shared" si="15"/>
        <v>1900</v>
      </c>
      <c r="I137" s="29" t="str">
        <f>IFERROR(VLOOKUP(PA[[#This Row],[Date]],Raw_Data[[Date]:[Sunset Time (POA&lt;20 W/m2)]],3,0),"")</f>
        <v/>
      </c>
      <c r="J137" s="29" t="str">
        <f>IFERROR(VLOOKUP(PA[[#This Row],[Date]],Raw_Data[[Date]:[Sunset Time (POA&lt;20 W/m2)]],4,0),"")</f>
        <v/>
      </c>
      <c r="K137" s="27" t="str">
        <f>IFERROR((PA[[#This Row],[Sunset Time (POA&lt;20 W/m2)]]-PA[[#This Row],[Sunrise Time (POA&gt;20 W/m2)]])*24,"")</f>
        <v/>
      </c>
      <c r="M137" s="46" t="str">
        <f>IFERROR(VLOOKUP(PA[[#This Row],[Affceted Equipment]],'Basic Data'!$A$2:$B$114,2,0),"")</f>
        <v/>
      </c>
      <c r="N137" s="48" t="str">
        <f>IFERROR(VLOOKUP(PA[[#This Row],[Affceted Equipment]],'Basic Data'!$A$1:$C$118,3,0),"")</f>
        <v/>
      </c>
      <c r="W137" s="33">
        <f>IF(PA[[#This Row],[Acknowledgemnet Time ]]="NA","",(PA[[#This Row],[Acknowledgemnet Time ]]-PA[[#This Row],[Fault Time]])*24)</f>
        <v>0</v>
      </c>
      <c r="X137" s="33">
        <f>IF(PA[[#This Row],[Work Start time on Fault]]="NA","",(PA[[#This Row],[Work Start time on Fault]]-PA[[#This Row],[Fault Time]])*24)</f>
        <v>0</v>
      </c>
      <c r="Y137" s="35">
        <f>(PA[[#This Row],[Work Completiuon time on fualt]]-PA[[#This Row],[Fault Time]])*24</f>
        <v>0</v>
      </c>
      <c r="Z137" s="35">
        <f>IFERROR((PA[[#This Row],[Work Completiuon time on fualt]]-PA[[#This Row],[Fault Time]])*24,"")</f>
        <v>0</v>
      </c>
      <c r="AC137" s="47" t="str">
        <f>IFERROR(PA[[#This Row],[Breakdown Time]]*PA[[#This Row],[Plant Equivalent Weightage]],"")</f>
        <v/>
      </c>
      <c r="AE137" s="33" t="str">
        <f>IFERROR((_xlfn.XLOOKUP(PA[[#This Row],[Month Year]],'Modelling New'!D:D,'Modelling New'!$O:$O)*PA[[#This Row],[Lost PoA(Wh/m2)]]*PA[[#This Row],[DC Capacity Affceted (kW)]])/1000,"")</f>
        <v/>
      </c>
      <c r="AF137" s="35"/>
    </row>
    <row r="138" spans="1:32">
      <c r="A138" s="2">
        <f t="shared" ref="A138:A201" si="16">A137+1</f>
        <v>135</v>
      </c>
      <c r="B138" s="156">
        <f t="shared" si="14"/>
        <v>1900</v>
      </c>
      <c r="C138" s="129">
        <f t="shared" si="15"/>
        <v>1900</v>
      </c>
      <c r="I138" s="29" t="str">
        <f>IFERROR(VLOOKUP(PA[[#This Row],[Date]],Raw_Data[[Date]:[Sunset Time (POA&lt;20 W/m2)]],3,0),"")</f>
        <v/>
      </c>
      <c r="J138" s="29" t="str">
        <f>IFERROR(VLOOKUP(PA[[#This Row],[Date]],Raw_Data[[Date]:[Sunset Time (POA&lt;20 W/m2)]],4,0),"")</f>
        <v/>
      </c>
      <c r="K138" s="27" t="str">
        <f>IFERROR((PA[[#This Row],[Sunset Time (POA&lt;20 W/m2)]]-PA[[#This Row],[Sunrise Time (POA&gt;20 W/m2)]])*24,"")</f>
        <v/>
      </c>
      <c r="M138" s="46" t="str">
        <f>IFERROR(VLOOKUP(PA[[#This Row],[Affceted Equipment]],'Basic Data'!$A$2:$B$114,2,0),"")</f>
        <v/>
      </c>
      <c r="N138" s="48" t="str">
        <f>IFERROR(VLOOKUP(PA[[#This Row],[Affceted Equipment]],'Basic Data'!$A$1:$C$118,3,0),"")</f>
        <v/>
      </c>
      <c r="W138" s="33">
        <f>IF(PA[[#This Row],[Acknowledgemnet Time ]]="NA","",(PA[[#This Row],[Acknowledgemnet Time ]]-PA[[#This Row],[Fault Time]])*24)</f>
        <v>0</v>
      </c>
      <c r="X138" s="33">
        <f>IF(PA[[#This Row],[Work Start time on Fault]]="NA","",(PA[[#This Row],[Work Start time on Fault]]-PA[[#This Row],[Fault Time]])*24)</f>
        <v>0</v>
      </c>
      <c r="Y138" s="35">
        <f>(PA[[#This Row],[Work Completiuon time on fualt]]-PA[[#This Row],[Fault Time]])*24</f>
        <v>0</v>
      </c>
      <c r="Z138" s="35">
        <f>IFERROR((PA[[#This Row],[Work Completiuon time on fualt]]-PA[[#This Row],[Fault Time]])*24,"")</f>
        <v>0</v>
      </c>
      <c r="AC138" s="47" t="str">
        <f>IFERROR(PA[[#This Row],[Breakdown Time]]*PA[[#This Row],[Plant Equivalent Weightage]],"")</f>
        <v/>
      </c>
      <c r="AE138" s="33" t="str">
        <f>IFERROR((_xlfn.XLOOKUP(PA[[#This Row],[Month Year]],'Modelling New'!D:D,'Modelling New'!$O:$O)*PA[[#This Row],[Lost PoA(Wh/m2)]]*PA[[#This Row],[DC Capacity Affceted (kW)]])/1000,"")</f>
        <v/>
      </c>
      <c r="AF138" s="35"/>
    </row>
    <row r="139" spans="1:32">
      <c r="A139" s="2">
        <f t="shared" si="16"/>
        <v>136</v>
      </c>
      <c r="B139" s="156">
        <f t="shared" si="14"/>
        <v>1900</v>
      </c>
      <c r="C139" s="129">
        <f t="shared" si="15"/>
        <v>1900</v>
      </c>
      <c r="I139" s="29" t="str">
        <f>IFERROR(VLOOKUP(PA[[#This Row],[Date]],Raw_Data[[Date]:[Sunset Time (POA&lt;20 W/m2)]],3,0),"")</f>
        <v/>
      </c>
      <c r="J139" s="29" t="str">
        <f>IFERROR(VLOOKUP(PA[[#This Row],[Date]],Raw_Data[[Date]:[Sunset Time (POA&lt;20 W/m2)]],4,0),"")</f>
        <v/>
      </c>
      <c r="K139" s="27" t="str">
        <f>IFERROR((PA[[#This Row],[Sunset Time (POA&lt;20 W/m2)]]-PA[[#This Row],[Sunrise Time (POA&gt;20 W/m2)]])*24,"")</f>
        <v/>
      </c>
      <c r="M139" s="46" t="str">
        <f>IFERROR(VLOOKUP(PA[[#This Row],[Affceted Equipment]],'Basic Data'!$A$2:$B$114,2,0),"")</f>
        <v/>
      </c>
      <c r="N139" s="48" t="str">
        <f>IFERROR(VLOOKUP(PA[[#This Row],[Affceted Equipment]],'Basic Data'!$A$1:$C$118,3,0),"")</f>
        <v/>
      </c>
      <c r="W139" s="33">
        <f>IF(PA[[#This Row],[Acknowledgemnet Time ]]="NA","",(PA[[#This Row],[Acknowledgemnet Time ]]-PA[[#This Row],[Fault Time]])*24)</f>
        <v>0</v>
      </c>
      <c r="X139" s="33">
        <f>IF(PA[[#This Row],[Work Start time on Fault]]="NA","",(PA[[#This Row],[Work Start time on Fault]]-PA[[#This Row],[Fault Time]])*24)</f>
        <v>0</v>
      </c>
      <c r="Y139" s="35">
        <f>(PA[[#This Row],[Work Completiuon time on fualt]]-PA[[#This Row],[Fault Time]])*24</f>
        <v>0</v>
      </c>
      <c r="Z139" s="35">
        <f>IFERROR((PA[[#This Row],[Work Completiuon time on fualt]]-PA[[#This Row],[Fault Time]])*24,"")</f>
        <v>0</v>
      </c>
      <c r="AC139" s="47" t="str">
        <f>IFERROR(PA[[#This Row],[Breakdown Time]]*PA[[#This Row],[Plant Equivalent Weightage]],"")</f>
        <v/>
      </c>
      <c r="AE139" s="33" t="str">
        <f>IFERROR((_xlfn.XLOOKUP(PA[[#This Row],[Month Year]],'Modelling New'!D:D,'Modelling New'!$O:$O)*PA[[#This Row],[Lost PoA(Wh/m2)]]*PA[[#This Row],[DC Capacity Affceted (kW)]])/1000,"")</f>
        <v/>
      </c>
      <c r="AF139" s="35"/>
    </row>
    <row r="140" spans="1:32">
      <c r="A140" s="2">
        <f t="shared" si="16"/>
        <v>137</v>
      </c>
      <c r="B140" s="156">
        <f t="shared" si="14"/>
        <v>1900</v>
      </c>
      <c r="C140" s="129">
        <f t="shared" si="15"/>
        <v>1900</v>
      </c>
      <c r="I140" s="29" t="str">
        <f>IFERROR(VLOOKUP(PA[[#This Row],[Date]],Raw_Data[[Date]:[Sunset Time (POA&lt;20 W/m2)]],3,0),"")</f>
        <v/>
      </c>
      <c r="J140" s="29" t="str">
        <f>IFERROR(VLOOKUP(PA[[#This Row],[Date]],Raw_Data[[Date]:[Sunset Time (POA&lt;20 W/m2)]],4,0),"")</f>
        <v/>
      </c>
      <c r="K140" s="27" t="str">
        <f>IFERROR((PA[[#This Row],[Sunset Time (POA&lt;20 W/m2)]]-PA[[#This Row],[Sunrise Time (POA&gt;20 W/m2)]])*24,"")</f>
        <v/>
      </c>
      <c r="M140" s="46" t="str">
        <f>IFERROR(VLOOKUP(PA[[#This Row],[Affceted Equipment]],'Basic Data'!$A$2:$B$114,2,0),"")</f>
        <v/>
      </c>
      <c r="N140" s="48" t="str">
        <f>IFERROR(VLOOKUP(PA[[#This Row],[Affceted Equipment]],'Basic Data'!$A$1:$C$118,3,0),"")</f>
        <v/>
      </c>
      <c r="W140" s="33">
        <f>IF(PA[[#This Row],[Acknowledgemnet Time ]]="NA","",(PA[[#This Row],[Acknowledgemnet Time ]]-PA[[#This Row],[Fault Time]])*24)</f>
        <v>0</v>
      </c>
      <c r="X140" s="33">
        <f>IF(PA[[#This Row],[Work Start time on Fault]]="NA","",(PA[[#This Row],[Work Start time on Fault]]-PA[[#This Row],[Fault Time]])*24)</f>
        <v>0</v>
      </c>
      <c r="Y140" s="35">
        <f>(PA[[#This Row],[Work Completiuon time on fualt]]-PA[[#This Row],[Fault Time]])*24</f>
        <v>0</v>
      </c>
      <c r="Z140" s="35">
        <f>IFERROR((PA[[#This Row],[Work Completiuon time on fualt]]-PA[[#This Row],[Fault Time]])*24,"")</f>
        <v>0</v>
      </c>
      <c r="AC140" s="47" t="str">
        <f>IFERROR(PA[[#This Row],[Breakdown Time]]*PA[[#This Row],[Plant Equivalent Weightage]],"")</f>
        <v/>
      </c>
      <c r="AE140" s="33" t="str">
        <f>IFERROR((_xlfn.XLOOKUP(PA[[#This Row],[Month Year]],'Modelling New'!D:D,'Modelling New'!$O:$O)*PA[[#This Row],[Lost PoA(Wh/m2)]]*PA[[#This Row],[DC Capacity Affceted (kW)]])/1000,"")</f>
        <v/>
      </c>
      <c r="AF140" s="35"/>
    </row>
    <row r="141" spans="1:32">
      <c r="A141" s="2">
        <f t="shared" si="16"/>
        <v>138</v>
      </c>
      <c r="B141" s="156">
        <f t="shared" si="14"/>
        <v>1900</v>
      </c>
      <c r="C141" s="129">
        <f t="shared" si="15"/>
        <v>1900</v>
      </c>
      <c r="I141" s="29" t="str">
        <f>IFERROR(VLOOKUP(PA[[#This Row],[Date]],Raw_Data[[Date]:[Sunset Time (POA&lt;20 W/m2)]],3,0),"")</f>
        <v/>
      </c>
      <c r="J141" s="29" t="str">
        <f>IFERROR(VLOOKUP(PA[[#This Row],[Date]],Raw_Data[[Date]:[Sunset Time (POA&lt;20 W/m2)]],4,0),"")</f>
        <v/>
      </c>
      <c r="K141" s="27" t="str">
        <f>IFERROR((PA[[#This Row],[Sunset Time (POA&lt;20 W/m2)]]-PA[[#This Row],[Sunrise Time (POA&gt;20 W/m2)]])*24,"")</f>
        <v/>
      </c>
      <c r="M141" s="46" t="str">
        <f>IFERROR(VLOOKUP(PA[[#This Row],[Affceted Equipment]],'Basic Data'!$A$2:$B$114,2,0),"")</f>
        <v/>
      </c>
      <c r="N141" s="48" t="str">
        <f>IFERROR(VLOOKUP(PA[[#This Row],[Affceted Equipment]],'Basic Data'!$A$1:$C$118,3,0),"")</f>
        <v/>
      </c>
      <c r="W141" s="33">
        <f>IF(PA[[#This Row],[Acknowledgemnet Time ]]="NA","",(PA[[#This Row],[Acknowledgemnet Time ]]-PA[[#This Row],[Fault Time]])*24)</f>
        <v>0</v>
      </c>
      <c r="X141" s="33">
        <f>IF(PA[[#This Row],[Work Start time on Fault]]="NA","",(PA[[#This Row],[Work Start time on Fault]]-PA[[#This Row],[Fault Time]])*24)</f>
        <v>0</v>
      </c>
      <c r="Y141" s="35">
        <f>(PA[[#This Row],[Work Completiuon time on fualt]]-PA[[#This Row],[Fault Time]])*24</f>
        <v>0</v>
      </c>
      <c r="Z141" s="35">
        <f>IFERROR((PA[[#This Row],[Work Completiuon time on fualt]]-PA[[#This Row],[Fault Time]])*24,"")</f>
        <v>0</v>
      </c>
      <c r="AC141" s="47" t="str">
        <f>IFERROR(PA[[#This Row],[Breakdown Time]]*PA[[#This Row],[Plant Equivalent Weightage]],"")</f>
        <v/>
      </c>
      <c r="AE141" s="33" t="str">
        <f>IFERROR((_xlfn.XLOOKUP(PA[[#This Row],[Month Year]],'Modelling New'!D:D,'Modelling New'!$O:$O)*PA[[#This Row],[Lost PoA(Wh/m2)]]*PA[[#This Row],[DC Capacity Affceted (kW)]])/1000,"")</f>
        <v/>
      </c>
      <c r="AF141" s="35"/>
    </row>
    <row r="142" spans="1:32">
      <c r="A142" s="2">
        <f t="shared" si="16"/>
        <v>139</v>
      </c>
      <c r="B142" s="156">
        <f t="shared" si="14"/>
        <v>1900</v>
      </c>
      <c r="C142" s="129">
        <f t="shared" si="15"/>
        <v>1900</v>
      </c>
      <c r="I142" s="29" t="str">
        <f>IFERROR(VLOOKUP(PA[[#This Row],[Date]],Raw_Data[[Date]:[Sunset Time (POA&lt;20 W/m2)]],3,0),"")</f>
        <v/>
      </c>
      <c r="J142" s="29" t="str">
        <f>IFERROR(VLOOKUP(PA[[#This Row],[Date]],Raw_Data[[Date]:[Sunset Time (POA&lt;20 W/m2)]],4,0),"")</f>
        <v/>
      </c>
      <c r="K142" s="27" t="str">
        <f>IFERROR((PA[[#This Row],[Sunset Time (POA&lt;20 W/m2)]]-PA[[#This Row],[Sunrise Time (POA&gt;20 W/m2)]])*24,"")</f>
        <v/>
      </c>
      <c r="M142" s="46" t="str">
        <f>IFERROR(VLOOKUP(PA[[#This Row],[Affceted Equipment]],'Basic Data'!$A$2:$B$114,2,0),"")</f>
        <v/>
      </c>
      <c r="N142" s="48" t="str">
        <f>IFERROR(VLOOKUP(PA[[#This Row],[Affceted Equipment]],'Basic Data'!$A$1:$C$118,3,0),"")</f>
        <v/>
      </c>
      <c r="W142" s="33">
        <f>IF(PA[[#This Row],[Acknowledgemnet Time ]]="NA","",(PA[[#This Row],[Acknowledgemnet Time ]]-PA[[#This Row],[Fault Time]])*24)</f>
        <v>0</v>
      </c>
      <c r="X142" s="33">
        <f>IF(PA[[#This Row],[Work Start time on Fault]]="NA","",(PA[[#This Row],[Work Start time on Fault]]-PA[[#This Row],[Fault Time]])*24)</f>
        <v>0</v>
      </c>
      <c r="Y142" s="35">
        <f>(PA[[#This Row],[Work Completiuon time on fualt]]-PA[[#This Row],[Fault Time]])*24</f>
        <v>0</v>
      </c>
      <c r="Z142" s="35">
        <f>IFERROR((PA[[#This Row],[Work Completiuon time on fualt]]-PA[[#This Row],[Fault Time]])*24,"")</f>
        <v>0</v>
      </c>
      <c r="AC142" s="47" t="str">
        <f>IFERROR(PA[[#This Row],[Breakdown Time]]*PA[[#This Row],[Plant Equivalent Weightage]],"")</f>
        <v/>
      </c>
      <c r="AE142" s="33" t="str">
        <f>IFERROR((_xlfn.XLOOKUP(PA[[#This Row],[Month Year]],'Modelling New'!D:D,'Modelling New'!$O:$O)*PA[[#This Row],[Lost PoA(Wh/m2)]]*PA[[#This Row],[DC Capacity Affceted (kW)]])/1000,"")</f>
        <v/>
      </c>
      <c r="AF142" s="35"/>
    </row>
    <row r="143" spans="1:32">
      <c r="A143" s="2">
        <f t="shared" si="16"/>
        <v>140</v>
      </c>
      <c r="B143" s="156">
        <f t="shared" si="14"/>
        <v>1900</v>
      </c>
      <c r="C143" s="129">
        <f t="shared" si="15"/>
        <v>1900</v>
      </c>
      <c r="I143" s="29" t="str">
        <f>IFERROR(VLOOKUP(PA[[#This Row],[Date]],Raw_Data[[Date]:[Sunset Time (POA&lt;20 W/m2)]],3,0),"")</f>
        <v/>
      </c>
      <c r="J143" s="29" t="str">
        <f>IFERROR(VLOOKUP(PA[[#This Row],[Date]],Raw_Data[[Date]:[Sunset Time (POA&lt;20 W/m2)]],4,0),"")</f>
        <v/>
      </c>
      <c r="K143" s="27" t="str">
        <f>IFERROR((PA[[#This Row],[Sunset Time (POA&lt;20 W/m2)]]-PA[[#This Row],[Sunrise Time (POA&gt;20 W/m2)]])*24,"")</f>
        <v/>
      </c>
      <c r="M143" s="46" t="str">
        <f>IFERROR(VLOOKUP(PA[[#This Row],[Affceted Equipment]],'Basic Data'!$A$2:$B$114,2,0),"")</f>
        <v/>
      </c>
      <c r="N143" s="48" t="str">
        <f>IFERROR(VLOOKUP(PA[[#This Row],[Affceted Equipment]],'Basic Data'!$A$1:$C$118,3,0),"")</f>
        <v/>
      </c>
      <c r="W143" s="33">
        <f>IF(PA[[#This Row],[Acknowledgemnet Time ]]="NA","",(PA[[#This Row],[Acknowledgemnet Time ]]-PA[[#This Row],[Fault Time]])*24)</f>
        <v>0</v>
      </c>
      <c r="X143" s="33">
        <f>IF(PA[[#This Row],[Work Start time on Fault]]="NA","",(PA[[#This Row],[Work Start time on Fault]]-PA[[#This Row],[Fault Time]])*24)</f>
        <v>0</v>
      </c>
      <c r="Y143" s="35">
        <f>(PA[[#This Row],[Work Completiuon time on fualt]]-PA[[#This Row],[Fault Time]])*24</f>
        <v>0</v>
      </c>
      <c r="Z143" s="35">
        <f>IFERROR((PA[[#This Row],[Work Completiuon time on fualt]]-PA[[#This Row],[Fault Time]])*24,"")</f>
        <v>0</v>
      </c>
      <c r="AC143" s="47" t="str">
        <f>IFERROR(PA[[#This Row],[Breakdown Time]]*PA[[#This Row],[Plant Equivalent Weightage]],"")</f>
        <v/>
      </c>
      <c r="AE143" s="33" t="str">
        <f>IFERROR((_xlfn.XLOOKUP(PA[[#This Row],[Month Year]],'Modelling New'!D:D,'Modelling New'!$O:$O)*PA[[#This Row],[Lost PoA(Wh/m2)]]*PA[[#This Row],[DC Capacity Affceted (kW)]])/1000,"")</f>
        <v/>
      </c>
      <c r="AF143" s="35"/>
    </row>
    <row r="144" spans="1:32">
      <c r="A144" s="2">
        <f t="shared" si="16"/>
        <v>141</v>
      </c>
      <c r="B144" s="156">
        <f t="shared" si="14"/>
        <v>1900</v>
      </c>
      <c r="C144" s="129">
        <f t="shared" si="15"/>
        <v>1900</v>
      </c>
      <c r="I144" s="29" t="str">
        <f>IFERROR(VLOOKUP(PA[[#This Row],[Date]],Raw_Data[[Date]:[Sunset Time (POA&lt;20 W/m2)]],3,0),"")</f>
        <v/>
      </c>
      <c r="J144" s="29" t="str">
        <f>IFERROR(VLOOKUP(PA[[#This Row],[Date]],Raw_Data[[Date]:[Sunset Time (POA&lt;20 W/m2)]],4,0),"")</f>
        <v/>
      </c>
      <c r="K144" s="27" t="str">
        <f>IFERROR((PA[[#This Row],[Sunset Time (POA&lt;20 W/m2)]]-PA[[#This Row],[Sunrise Time (POA&gt;20 W/m2)]])*24,"")</f>
        <v/>
      </c>
      <c r="M144" s="46" t="str">
        <f>IFERROR(VLOOKUP(PA[[#This Row],[Affceted Equipment]],'Basic Data'!$A$2:$B$114,2,0),"")</f>
        <v/>
      </c>
      <c r="N144" s="48" t="str">
        <f>IFERROR(VLOOKUP(PA[[#This Row],[Affceted Equipment]],'Basic Data'!$A$1:$C$118,3,0),"")</f>
        <v/>
      </c>
      <c r="W144" s="33">
        <f>IF(PA[[#This Row],[Acknowledgemnet Time ]]="NA","",(PA[[#This Row],[Acknowledgemnet Time ]]-PA[[#This Row],[Fault Time]])*24)</f>
        <v>0</v>
      </c>
      <c r="X144" s="33">
        <f>IF(PA[[#This Row],[Work Start time on Fault]]="NA","",(PA[[#This Row],[Work Start time on Fault]]-PA[[#This Row],[Fault Time]])*24)</f>
        <v>0</v>
      </c>
      <c r="Y144" s="35">
        <f>(PA[[#This Row],[Work Completiuon time on fualt]]-PA[[#This Row],[Fault Time]])*24</f>
        <v>0</v>
      </c>
      <c r="Z144" s="35">
        <f>IFERROR((PA[[#This Row],[Work Completiuon time on fualt]]-PA[[#This Row],[Fault Time]])*24,"")</f>
        <v>0</v>
      </c>
      <c r="AC144" s="47" t="str">
        <f>IFERROR(PA[[#This Row],[Breakdown Time]]*PA[[#This Row],[Plant Equivalent Weightage]],"")</f>
        <v/>
      </c>
      <c r="AE144" s="33" t="str">
        <f>IFERROR((_xlfn.XLOOKUP(PA[[#This Row],[Month Year]],'Modelling New'!D:D,'Modelling New'!$O:$O)*PA[[#This Row],[Lost PoA(Wh/m2)]]*PA[[#This Row],[DC Capacity Affceted (kW)]])/1000,"")</f>
        <v/>
      </c>
      <c r="AF144" s="35"/>
    </row>
    <row r="145" spans="1:32">
      <c r="A145" s="2">
        <f t="shared" si="16"/>
        <v>142</v>
      </c>
      <c r="B145" s="156">
        <f t="shared" si="14"/>
        <v>1900</v>
      </c>
      <c r="C145" s="129">
        <f t="shared" si="15"/>
        <v>1900</v>
      </c>
      <c r="I145" s="29" t="str">
        <f>IFERROR(VLOOKUP(PA[[#This Row],[Date]],Raw_Data[[Date]:[Sunset Time (POA&lt;20 W/m2)]],3,0),"")</f>
        <v/>
      </c>
      <c r="J145" s="29" t="str">
        <f>IFERROR(VLOOKUP(PA[[#This Row],[Date]],Raw_Data[[Date]:[Sunset Time (POA&lt;20 W/m2)]],4,0),"")</f>
        <v/>
      </c>
      <c r="K145" s="27" t="str">
        <f>IFERROR((PA[[#This Row],[Sunset Time (POA&lt;20 W/m2)]]-PA[[#This Row],[Sunrise Time (POA&gt;20 W/m2)]])*24,"")</f>
        <v/>
      </c>
      <c r="M145" s="46" t="str">
        <f>IFERROR(VLOOKUP(PA[[#This Row],[Affceted Equipment]],'Basic Data'!$A$2:$B$114,2,0),"")</f>
        <v/>
      </c>
      <c r="N145" s="48" t="str">
        <f>IFERROR(VLOOKUP(PA[[#This Row],[Affceted Equipment]],'Basic Data'!$A$1:$C$118,3,0),"")</f>
        <v/>
      </c>
      <c r="W145" s="33">
        <f>IF(PA[[#This Row],[Acknowledgemnet Time ]]="NA","",(PA[[#This Row],[Acknowledgemnet Time ]]-PA[[#This Row],[Fault Time]])*24)</f>
        <v>0</v>
      </c>
      <c r="X145" s="33">
        <f>IF(PA[[#This Row],[Work Start time on Fault]]="NA","",(PA[[#This Row],[Work Start time on Fault]]-PA[[#This Row],[Fault Time]])*24)</f>
        <v>0</v>
      </c>
      <c r="Y145" s="35">
        <f>(PA[[#This Row],[Work Completiuon time on fualt]]-PA[[#This Row],[Fault Time]])*24</f>
        <v>0</v>
      </c>
      <c r="Z145" s="35">
        <f>IFERROR((PA[[#This Row],[Work Completiuon time on fualt]]-PA[[#This Row],[Fault Time]])*24,"")</f>
        <v>0</v>
      </c>
      <c r="AC145" s="47" t="str">
        <f>IFERROR(PA[[#This Row],[Breakdown Time]]*PA[[#This Row],[Plant Equivalent Weightage]],"")</f>
        <v/>
      </c>
      <c r="AE145" s="33" t="str">
        <f>IFERROR((_xlfn.XLOOKUP(PA[[#This Row],[Month Year]],'Modelling New'!D:D,'Modelling New'!$O:$O)*PA[[#This Row],[Lost PoA(Wh/m2)]]*PA[[#This Row],[DC Capacity Affceted (kW)]])/1000,"")</f>
        <v/>
      </c>
      <c r="AF145" s="35"/>
    </row>
    <row r="146" spans="1:32">
      <c r="A146" s="2">
        <f t="shared" si="16"/>
        <v>143</v>
      </c>
      <c r="B146" s="156">
        <f t="shared" si="14"/>
        <v>1900</v>
      </c>
      <c r="C146" s="129">
        <f t="shared" si="15"/>
        <v>1900</v>
      </c>
      <c r="I146" s="29" t="str">
        <f>IFERROR(VLOOKUP(PA[[#This Row],[Date]],Raw_Data[[Date]:[Sunset Time (POA&lt;20 W/m2)]],3,0),"")</f>
        <v/>
      </c>
      <c r="J146" s="29" t="str">
        <f>IFERROR(VLOOKUP(PA[[#This Row],[Date]],Raw_Data[[Date]:[Sunset Time (POA&lt;20 W/m2)]],4,0),"")</f>
        <v/>
      </c>
      <c r="K146" s="27" t="str">
        <f>IFERROR((PA[[#This Row],[Sunset Time (POA&lt;20 W/m2)]]-PA[[#This Row],[Sunrise Time (POA&gt;20 W/m2)]])*24,"")</f>
        <v/>
      </c>
      <c r="M146" s="46" t="str">
        <f>IFERROR(VLOOKUP(PA[[#This Row],[Affceted Equipment]],'Basic Data'!$A$2:$B$114,2,0),"")</f>
        <v/>
      </c>
      <c r="N146" s="48" t="str">
        <f>IFERROR(VLOOKUP(PA[[#This Row],[Affceted Equipment]],'Basic Data'!$A$1:$C$118,3,0),"")</f>
        <v/>
      </c>
      <c r="W146" s="33">
        <f>IF(PA[[#This Row],[Acknowledgemnet Time ]]="NA","",(PA[[#This Row],[Acknowledgemnet Time ]]-PA[[#This Row],[Fault Time]])*24)</f>
        <v>0</v>
      </c>
      <c r="X146" s="33">
        <f>IF(PA[[#This Row],[Work Start time on Fault]]="NA","",(PA[[#This Row],[Work Start time on Fault]]-PA[[#This Row],[Fault Time]])*24)</f>
        <v>0</v>
      </c>
      <c r="Y146" s="35">
        <f>(PA[[#This Row],[Work Completiuon time on fualt]]-PA[[#This Row],[Fault Time]])*24</f>
        <v>0</v>
      </c>
      <c r="Z146" s="35">
        <f>IFERROR((PA[[#This Row],[Work Completiuon time on fualt]]-PA[[#This Row],[Fault Time]])*24,"")</f>
        <v>0</v>
      </c>
      <c r="AC146" s="47" t="str">
        <f>IFERROR(PA[[#This Row],[Breakdown Time]]*PA[[#This Row],[Plant Equivalent Weightage]],"")</f>
        <v/>
      </c>
      <c r="AE146" s="33" t="str">
        <f>IFERROR((_xlfn.XLOOKUP(PA[[#This Row],[Month Year]],'Modelling New'!D:D,'Modelling New'!$O:$O)*PA[[#This Row],[Lost PoA(Wh/m2)]]*PA[[#This Row],[DC Capacity Affceted (kW)]])/1000,"")</f>
        <v/>
      </c>
      <c r="AF146" s="35"/>
    </row>
    <row r="147" spans="1:32">
      <c r="A147" s="2">
        <f t="shared" si="16"/>
        <v>144</v>
      </c>
      <c r="B147" s="156">
        <f t="shared" si="14"/>
        <v>1900</v>
      </c>
      <c r="C147" s="129">
        <f t="shared" si="15"/>
        <v>1900</v>
      </c>
      <c r="I147" s="29" t="str">
        <f>IFERROR(VLOOKUP(PA[[#This Row],[Date]],Raw_Data[[Date]:[Sunset Time (POA&lt;20 W/m2)]],3,0),"")</f>
        <v/>
      </c>
      <c r="J147" s="29" t="str">
        <f>IFERROR(VLOOKUP(PA[[#This Row],[Date]],Raw_Data[[Date]:[Sunset Time (POA&lt;20 W/m2)]],4,0),"")</f>
        <v/>
      </c>
      <c r="K147" s="27" t="str">
        <f>IFERROR((PA[[#This Row],[Sunset Time (POA&lt;20 W/m2)]]-PA[[#This Row],[Sunrise Time (POA&gt;20 W/m2)]])*24,"")</f>
        <v/>
      </c>
      <c r="M147" s="46" t="str">
        <f>IFERROR(VLOOKUP(PA[[#This Row],[Affceted Equipment]],'Basic Data'!$A$2:$B$114,2,0),"")</f>
        <v/>
      </c>
      <c r="N147" s="48" t="str">
        <f>IFERROR(VLOOKUP(PA[[#This Row],[Affceted Equipment]],'Basic Data'!$A$1:$C$118,3,0),"")</f>
        <v/>
      </c>
      <c r="W147" s="33">
        <f>IF(PA[[#This Row],[Acknowledgemnet Time ]]="NA","",(PA[[#This Row],[Acknowledgemnet Time ]]-PA[[#This Row],[Fault Time]])*24)</f>
        <v>0</v>
      </c>
      <c r="X147" s="33">
        <f>IF(PA[[#This Row],[Work Start time on Fault]]="NA","",(PA[[#This Row],[Work Start time on Fault]]-PA[[#This Row],[Fault Time]])*24)</f>
        <v>0</v>
      </c>
      <c r="Y147" s="35">
        <f>(PA[[#This Row],[Work Completiuon time on fualt]]-PA[[#This Row],[Fault Time]])*24</f>
        <v>0</v>
      </c>
      <c r="Z147" s="35">
        <f>IFERROR((PA[[#This Row],[Work Completiuon time on fualt]]-PA[[#This Row],[Fault Time]])*24,"")</f>
        <v>0</v>
      </c>
      <c r="AC147" s="47" t="str">
        <f>IFERROR(PA[[#This Row],[Breakdown Time]]*PA[[#This Row],[Plant Equivalent Weightage]],"")</f>
        <v/>
      </c>
      <c r="AE147" s="33" t="str">
        <f>IFERROR((_xlfn.XLOOKUP(PA[[#This Row],[Month Year]],'Modelling New'!D:D,'Modelling New'!$O:$O)*PA[[#This Row],[Lost PoA(Wh/m2)]]*PA[[#This Row],[DC Capacity Affceted (kW)]])/1000,"")</f>
        <v/>
      </c>
      <c r="AF147" s="35"/>
    </row>
    <row r="148" spans="1:32">
      <c r="A148" s="2">
        <f t="shared" si="16"/>
        <v>145</v>
      </c>
      <c r="B148" s="156">
        <f t="shared" si="14"/>
        <v>1900</v>
      </c>
      <c r="C148" s="129">
        <f t="shared" si="15"/>
        <v>1900</v>
      </c>
      <c r="I148" s="29" t="str">
        <f>IFERROR(VLOOKUP(PA[[#This Row],[Date]],Raw_Data[[Date]:[Sunset Time (POA&lt;20 W/m2)]],3,0),"")</f>
        <v/>
      </c>
      <c r="J148" s="29" t="str">
        <f>IFERROR(VLOOKUP(PA[[#This Row],[Date]],Raw_Data[[Date]:[Sunset Time (POA&lt;20 W/m2)]],4,0),"")</f>
        <v/>
      </c>
      <c r="K148" s="27" t="str">
        <f>IFERROR((PA[[#This Row],[Sunset Time (POA&lt;20 W/m2)]]-PA[[#This Row],[Sunrise Time (POA&gt;20 W/m2)]])*24,"")</f>
        <v/>
      </c>
      <c r="M148" s="46" t="str">
        <f>IFERROR(VLOOKUP(PA[[#This Row],[Affceted Equipment]],'Basic Data'!$A$2:$B$114,2,0),"")</f>
        <v/>
      </c>
      <c r="N148" s="48" t="str">
        <f>IFERROR(VLOOKUP(PA[[#This Row],[Affceted Equipment]],'Basic Data'!$A$1:$C$118,3,0),"")</f>
        <v/>
      </c>
      <c r="W148" s="33">
        <f>IF(PA[[#This Row],[Acknowledgemnet Time ]]="NA","",(PA[[#This Row],[Acknowledgemnet Time ]]-PA[[#This Row],[Fault Time]])*24)</f>
        <v>0</v>
      </c>
      <c r="X148" s="33">
        <f>IF(PA[[#This Row],[Work Start time on Fault]]="NA","",(PA[[#This Row],[Work Start time on Fault]]-PA[[#This Row],[Fault Time]])*24)</f>
        <v>0</v>
      </c>
      <c r="Y148" s="35">
        <f>(PA[[#This Row],[Work Completiuon time on fualt]]-PA[[#This Row],[Fault Time]])*24</f>
        <v>0</v>
      </c>
      <c r="Z148" s="35">
        <f>IFERROR((PA[[#This Row],[Work Completiuon time on fualt]]-PA[[#This Row],[Fault Time]])*24,"")</f>
        <v>0</v>
      </c>
      <c r="AC148" s="47" t="str">
        <f>IFERROR(PA[[#This Row],[Breakdown Time]]*PA[[#This Row],[Plant Equivalent Weightage]],"")</f>
        <v/>
      </c>
      <c r="AE148" s="33" t="str">
        <f>IFERROR((_xlfn.XLOOKUP(PA[[#This Row],[Month Year]],'Modelling New'!D:D,'Modelling New'!$O:$O)*PA[[#This Row],[Lost PoA(Wh/m2)]]*PA[[#This Row],[DC Capacity Affceted (kW)]])/1000,"")</f>
        <v/>
      </c>
      <c r="AF148" s="35"/>
    </row>
    <row r="149" spans="1:32">
      <c r="A149" s="2">
        <f t="shared" si="16"/>
        <v>146</v>
      </c>
      <c r="B149" s="156">
        <f t="shared" si="14"/>
        <v>1900</v>
      </c>
      <c r="C149" s="129">
        <f t="shared" si="15"/>
        <v>1900</v>
      </c>
      <c r="I149" s="29" t="str">
        <f>IFERROR(VLOOKUP(PA[[#This Row],[Date]],Raw_Data[[Date]:[Sunset Time (POA&lt;20 W/m2)]],3,0),"")</f>
        <v/>
      </c>
      <c r="J149" s="29" t="str">
        <f>IFERROR(VLOOKUP(PA[[#This Row],[Date]],Raw_Data[[Date]:[Sunset Time (POA&lt;20 W/m2)]],4,0),"")</f>
        <v/>
      </c>
      <c r="K149" s="27" t="str">
        <f>IFERROR((PA[[#This Row],[Sunset Time (POA&lt;20 W/m2)]]-PA[[#This Row],[Sunrise Time (POA&gt;20 W/m2)]])*24,"")</f>
        <v/>
      </c>
      <c r="M149" s="46" t="str">
        <f>IFERROR(VLOOKUP(PA[[#This Row],[Affceted Equipment]],'Basic Data'!$A$2:$B$114,2,0),"")</f>
        <v/>
      </c>
      <c r="N149" s="48" t="str">
        <f>IFERROR(VLOOKUP(PA[[#This Row],[Affceted Equipment]],'Basic Data'!$A$1:$C$118,3,0),"")</f>
        <v/>
      </c>
      <c r="W149" s="33">
        <f>IF(PA[[#This Row],[Acknowledgemnet Time ]]="NA","",(PA[[#This Row],[Acknowledgemnet Time ]]-PA[[#This Row],[Fault Time]])*24)</f>
        <v>0</v>
      </c>
      <c r="X149" s="33">
        <f>IF(PA[[#This Row],[Work Start time on Fault]]="NA","",(PA[[#This Row],[Work Start time on Fault]]-PA[[#This Row],[Fault Time]])*24)</f>
        <v>0</v>
      </c>
      <c r="Y149" s="35">
        <f>(PA[[#This Row],[Work Completiuon time on fualt]]-PA[[#This Row],[Fault Time]])*24</f>
        <v>0</v>
      </c>
      <c r="Z149" s="35">
        <f>IFERROR((PA[[#This Row],[Work Completiuon time on fualt]]-PA[[#This Row],[Fault Time]])*24,"")</f>
        <v>0</v>
      </c>
      <c r="AC149" s="47" t="str">
        <f>IFERROR(PA[[#This Row],[Breakdown Time]]*PA[[#This Row],[Plant Equivalent Weightage]],"")</f>
        <v/>
      </c>
      <c r="AE149" s="33" t="str">
        <f>IFERROR((_xlfn.XLOOKUP(PA[[#This Row],[Month Year]],'Modelling New'!D:D,'Modelling New'!$O:$O)*PA[[#This Row],[Lost PoA(Wh/m2)]]*PA[[#This Row],[DC Capacity Affceted (kW)]])/1000,"")</f>
        <v/>
      </c>
      <c r="AF149" s="35"/>
    </row>
    <row r="150" spans="1:32">
      <c r="A150" s="2">
        <f t="shared" si="16"/>
        <v>147</v>
      </c>
      <c r="B150" s="156">
        <f t="shared" si="14"/>
        <v>1900</v>
      </c>
      <c r="C150" s="129">
        <f t="shared" si="15"/>
        <v>1900</v>
      </c>
      <c r="I150" s="29" t="str">
        <f>IFERROR(VLOOKUP(PA[[#This Row],[Date]],Raw_Data[[Date]:[Sunset Time (POA&lt;20 W/m2)]],3,0),"")</f>
        <v/>
      </c>
      <c r="J150" s="29" t="str">
        <f>IFERROR(VLOOKUP(PA[[#This Row],[Date]],Raw_Data[[Date]:[Sunset Time (POA&lt;20 W/m2)]],4,0),"")</f>
        <v/>
      </c>
      <c r="K150" s="27" t="str">
        <f>IFERROR((PA[[#This Row],[Sunset Time (POA&lt;20 W/m2)]]-PA[[#This Row],[Sunrise Time (POA&gt;20 W/m2)]])*24,"")</f>
        <v/>
      </c>
      <c r="M150" s="46" t="str">
        <f>IFERROR(VLOOKUP(PA[[#This Row],[Affceted Equipment]],'Basic Data'!$A$2:$B$114,2,0),"")</f>
        <v/>
      </c>
      <c r="N150" s="48" t="str">
        <f>IFERROR(VLOOKUP(PA[[#This Row],[Affceted Equipment]],'Basic Data'!$A$1:$C$118,3,0),"")</f>
        <v/>
      </c>
      <c r="W150" s="33">
        <f>IF(PA[[#This Row],[Acknowledgemnet Time ]]="NA","",(PA[[#This Row],[Acknowledgemnet Time ]]-PA[[#This Row],[Fault Time]])*24)</f>
        <v>0</v>
      </c>
      <c r="X150" s="33">
        <f>IF(PA[[#This Row],[Work Start time on Fault]]="NA","",(PA[[#This Row],[Work Start time on Fault]]-PA[[#This Row],[Fault Time]])*24)</f>
        <v>0</v>
      </c>
      <c r="Y150" s="35">
        <f>(PA[[#This Row],[Work Completiuon time on fualt]]-PA[[#This Row],[Fault Time]])*24</f>
        <v>0</v>
      </c>
      <c r="Z150" s="35">
        <f>IFERROR((PA[[#This Row],[Work Completiuon time on fualt]]-PA[[#This Row],[Fault Time]])*24,"")</f>
        <v>0</v>
      </c>
      <c r="AC150" s="47" t="str">
        <f>IFERROR(PA[[#This Row],[Breakdown Time]]*PA[[#This Row],[Plant Equivalent Weightage]],"")</f>
        <v/>
      </c>
      <c r="AE150" s="33" t="str">
        <f>IFERROR((_xlfn.XLOOKUP(PA[[#This Row],[Month Year]],'Modelling New'!D:D,'Modelling New'!$O:$O)*PA[[#This Row],[Lost PoA(Wh/m2)]]*PA[[#This Row],[DC Capacity Affceted (kW)]])/1000,"")</f>
        <v/>
      </c>
      <c r="AF150" s="35"/>
    </row>
    <row r="151" spans="1:32">
      <c r="A151" s="2">
        <f t="shared" si="16"/>
        <v>148</v>
      </c>
      <c r="B151" s="156">
        <f t="shared" si="14"/>
        <v>1900</v>
      </c>
      <c r="C151" s="129">
        <f t="shared" si="15"/>
        <v>1900</v>
      </c>
      <c r="I151" s="29" t="str">
        <f>IFERROR(VLOOKUP(PA[[#This Row],[Date]],Raw_Data[[Date]:[Sunset Time (POA&lt;20 W/m2)]],3,0),"")</f>
        <v/>
      </c>
      <c r="J151" s="29" t="str">
        <f>IFERROR(VLOOKUP(PA[[#This Row],[Date]],Raw_Data[[Date]:[Sunset Time (POA&lt;20 W/m2)]],4,0),"")</f>
        <v/>
      </c>
      <c r="K151" s="27" t="str">
        <f>IFERROR((PA[[#This Row],[Sunset Time (POA&lt;20 W/m2)]]-PA[[#This Row],[Sunrise Time (POA&gt;20 W/m2)]])*24,"")</f>
        <v/>
      </c>
      <c r="M151" s="46" t="str">
        <f>IFERROR(VLOOKUP(PA[[#This Row],[Affceted Equipment]],'Basic Data'!$A$2:$B$114,2,0),"")</f>
        <v/>
      </c>
      <c r="N151" s="48" t="str">
        <f>IFERROR(VLOOKUP(PA[[#This Row],[Affceted Equipment]],'Basic Data'!$A$1:$C$118,3,0),"")</f>
        <v/>
      </c>
      <c r="W151" s="33">
        <f>IF(PA[[#This Row],[Acknowledgemnet Time ]]="NA","",(PA[[#This Row],[Acknowledgemnet Time ]]-PA[[#This Row],[Fault Time]])*24)</f>
        <v>0</v>
      </c>
      <c r="X151" s="33">
        <f>IF(PA[[#This Row],[Work Start time on Fault]]="NA","",(PA[[#This Row],[Work Start time on Fault]]-PA[[#This Row],[Fault Time]])*24)</f>
        <v>0</v>
      </c>
      <c r="Y151" s="35">
        <f>(PA[[#This Row],[Work Completiuon time on fualt]]-PA[[#This Row],[Fault Time]])*24</f>
        <v>0</v>
      </c>
      <c r="Z151" s="35">
        <f>IFERROR((PA[[#This Row],[Work Completiuon time on fualt]]-PA[[#This Row],[Fault Time]])*24,"")</f>
        <v>0</v>
      </c>
      <c r="AC151" s="47" t="str">
        <f>IFERROR(PA[[#This Row],[Breakdown Time]]*PA[[#This Row],[Plant Equivalent Weightage]],"")</f>
        <v/>
      </c>
      <c r="AE151" s="33" t="str">
        <f>IFERROR((_xlfn.XLOOKUP(PA[[#This Row],[Month Year]],'Modelling New'!D:D,'Modelling New'!$O:$O)*PA[[#This Row],[Lost PoA(Wh/m2)]]*PA[[#This Row],[DC Capacity Affceted (kW)]])/1000,"")</f>
        <v/>
      </c>
      <c r="AF151" s="35"/>
    </row>
    <row r="152" spans="1:32">
      <c r="A152" s="2">
        <f t="shared" si="16"/>
        <v>149</v>
      </c>
      <c r="B152" s="156">
        <f t="shared" si="14"/>
        <v>1900</v>
      </c>
      <c r="C152" s="129">
        <f t="shared" si="15"/>
        <v>1900</v>
      </c>
      <c r="I152" s="29" t="str">
        <f>IFERROR(VLOOKUP(PA[[#This Row],[Date]],Raw_Data[[Date]:[Sunset Time (POA&lt;20 W/m2)]],3,0),"")</f>
        <v/>
      </c>
      <c r="J152" s="29" t="str">
        <f>IFERROR(VLOOKUP(PA[[#This Row],[Date]],Raw_Data[[Date]:[Sunset Time (POA&lt;20 W/m2)]],4,0),"")</f>
        <v/>
      </c>
      <c r="K152" s="27" t="str">
        <f>IFERROR((PA[[#This Row],[Sunset Time (POA&lt;20 W/m2)]]-PA[[#This Row],[Sunrise Time (POA&gt;20 W/m2)]])*24,"")</f>
        <v/>
      </c>
      <c r="M152" s="46" t="str">
        <f>IFERROR(VLOOKUP(PA[[#This Row],[Affceted Equipment]],'Basic Data'!$A$2:$B$114,2,0),"")</f>
        <v/>
      </c>
      <c r="N152" s="48" t="str">
        <f>IFERROR(VLOOKUP(PA[[#This Row],[Affceted Equipment]],'Basic Data'!$A$1:$C$118,3,0),"")</f>
        <v/>
      </c>
      <c r="W152" s="33">
        <f>IF(PA[[#This Row],[Acknowledgemnet Time ]]="NA","",(PA[[#This Row],[Acknowledgemnet Time ]]-PA[[#This Row],[Fault Time]])*24)</f>
        <v>0</v>
      </c>
      <c r="X152" s="33">
        <f>IF(PA[[#This Row],[Work Start time on Fault]]="NA","",(PA[[#This Row],[Work Start time on Fault]]-PA[[#This Row],[Fault Time]])*24)</f>
        <v>0</v>
      </c>
      <c r="Y152" s="35">
        <f>(PA[[#This Row],[Work Completiuon time on fualt]]-PA[[#This Row],[Fault Time]])*24</f>
        <v>0</v>
      </c>
      <c r="Z152" s="35">
        <f>IFERROR((PA[[#This Row],[Work Completiuon time on fualt]]-PA[[#This Row],[Fault Time]])*24,"")</f>
        <v>0</v>
      </c>
      <c r="AC152" s="47" t="str">
        <f>IFERROR(PA[[#This Row],[Breakdown Time]]*PA[[#This Row],[Plant Equivalent Weightage]],"")</f>
        <v/>
      </c>
      <c r="AE152" s="33" t="str">
        <f>IFERROR((_xlfn.XLOOKUP(PA[[#This Row],[Month Year]],'Modelling New'!D:D,'Modelling New'!$O:$O)*PA[[#This Row],[Lost PoA(Wh/m2)]]*PA[[#This Row],[DC Capacity Affceted (kW)]])/1000,"")</f>
        <v/>
      </c>
      <c r="AF152" s="35"/>
    </row>
    <row r="153" spans="1:32">
      <c r="A153" s="2">
        <f t="shared" si="16"/>
        <v>150</v>
      </c>
      <c r="B153" s="156">
        <f t="shared" si="14"/>
        <v>1900</v>
      </c>
      <c r="C153" s="129">
        <f t="shared" si="15"/>
        <v>1900</v>
      </c>
      <c r="I153" s="29" t="str">
        <f>IFERROR(VLOOKUP(PA[[#This Row],[Date]],Raw_Data[[Date]:[Sunset Time (POA&lt;20 W/m2)]],3,0),"")</f>
        <v/>
      </c>
      <c r="J153" s="29" t="str">
        <f>IFERROR(VLOOKUP(PA[[#This Row],[Date]],Raw_Data[[Date]:[Sunset Time (POA&lt;20 W/m2)]],4,0),"")</f>
        <v/>
      </c>
      <c r="K153" s="27" t="str">
        <f>IFERROR((PA[[#This Row],[Sunset Time (POA&lt;20 W/m2)]]-PA[[#This Row],[Sunrise Time (POA&gt;20 W/m2)]])*24,"")</f>
        <v/>
      </c>
      <c r="M153" s="46" t="str">
        <f>IFERROR(VLOOKUP(PA[[#This Row],[Affceted Equipment]],'Basic Data'!$A$2:$B$114,2,0),"")</f>
        <v/>
      </c>
      <c r="N153" s="48" t="str">
        <f>IFERROR(VLOOKUP(PA[[#This Row],[Affceted Equipment]],'Basic Data'!$A$1:$C$118,3,0),"")</f>
        <v/>
      </c>
      <c r="W153" s="33">
        <f>IF(PA[[#This Row],[Acknowledgemnet Time ]]="NA","",(PA[[#This Row],[Acknowledgemnet Time ]]-PA[[#This Row],[Fault Time]])*24)</f>
        <v>0</v>
      </c>
      <c r="X153" s="33">
        <f>IF(PA[[#This Row],[Work Start time on Fault]]="NA","",(PA[[#This Row],[Work Start time on Fault]]-PA[[#This Row],[Fault Time]])*24)</f>
        <v>0</v>
      </c>
      <c r="Y153" s="35">
        <f>(PA[[#This Row],[Work Completiuon time on fualt]]-PA[[#This Row],[Fault Time]])*24</f>
        <v>0</v>
      </c>
      <c r="Z153" s="35">
        <f>IFERROR((PA[[#This Row],[Work Completiuon time on fualt]]-PA[[#This Row],[Fault Time]])*24,"")</f>
        <v>0</v>
      </c>
      <c r="AC153" s="47" t="str">
        <f>IFERROR(PA[[#This Row],[Breakdown Time]]*PA[[#This Row],[Plant Equivalent Weightage]],"")</f>
        <v/>
      </c>
      <c r="AE153" s="33" t="str">
        <f>IFERROR((_xlfn.XLOOKUP(PA[[#This Row],[Month Year]],'Modelling New'!D:D,'Modelling New'!$O:$O)*PA[[#This Row],[Lost PoA(Wh/m2)]]*PA[[#This Row],[DC Capacity Affceted (kW)]])/1000,"")</f>
        <v/>
      </c>
      <c r="AF153" s="35"/>
    </row>
    <row r="154" spans="1:32">
      <c r="A154" s="2">
        <f t="shared" si="16"/>
        <v>151</v>
      </c>
      <c r="B154" s="156">
        <f t="shared" si="14"/>
        <v>1900</v>
      </c>
      <c r="C154" s="129">
        <f t="shared" si="15"/>
        <v>1900</v>
      </c>
      <c r="I154" s="29" t="str">
        <f>IFERROR(VLOOKUP(PA[[#This Row],[Date]],Raw_Data[[Date]:[Sunset Time (POA&lt;20 W/m2)]],3,0),"")</f>
        <v/>
      </c>
      <c r="J154" s="29" t="str">
        <f>IFERROR(VLOOKUP(PA[[#This Row],[Date]],Raw_Data[[Date]:[Sunset Time (POA&lt;20 W/m2)]],4,0),"")</f>
        <v/>
      </c>
      <c r="K154" s="27" t="str">
        <f>IFERROR((PA[[#This Row],[Sunset Time (POA&lt;20 W/m2)]]-PA[[#This Row],[Sunrise Time (POA&gt;20 W/m2)]])*24,"")</f>
        <v/>
      </c>
      <c r="M154" s="46" t="str">
        <f>IFERROR(VLOOKUP(PA[[#This Row],[Affceted Equipment]],'Basic Data'!$A$2:$B$114,2,0),"")</f>
        <v/>
      </c>
      <c r="N154" s="48" t="str">
        <f>IFERROR(VLOOKUP(PA[[#This Row],[Affceted Equipment]],'Basic Data'!$A$1:$C$118,3,0),"")</f>
        <v/>
      </c>
      <c r="W154" s="33">
        <f>IF(PA[[#This Row],[Acknowledgemnet Time ]]="NA","",(PA[[#This Row],[Acknowledgemnet Time ]]-PA[[#This Row],[Fault Time]])*24)</f>
        <v>0</v>
      </c>
      <c r="X154" s="33">
        <f>IF(PA[[#This Row],[Work Start time on Fault]]="NA","",(PA[[#This Row],[Work Start time on Fault]]-PA[[#This Row],[Fault Time]])*24)</f>
        <v>0</v>
      </c>
      <c r="Y154" s="35">
        <f>(PA[[#This Row],[Work Completiuon time on fualt]]-PA[[#This Row],[Fault Time]])*24</f>
        <v>0</v>
      </c>
      <c r="Z154" s="35">
        <f>IFERROR((PA[[#This Row],[Work Completiuon time on fualt]]-PA[[#This Row],[Fault Time]])*24,"")</f>
        <v>0</v>
      </c>
      <c r="AC154" s="47" t="str">
        <f>IFERROR(PA[[#This Row],[Breakdown Time]]*PA[[#This Row],[Plant Equivalent Weightage]],"")</f>
        <v/>
      </c>
      <c r="AE154" s="33" t="str">
        <f>IFERROR((_xlfn.XLOOKUP(PA[[#This Row],[Month Year]],'Modelling New'!D:D,'Modelling New'!$O:$O)*PA[[#This Row],[Lost PoA(Wh/m2)]]*PA[[#This Row],[DC Capacity Affceted (kW)]])/1000,"")</f>
        <v/>
      </c>
      <c r="AF154" s="35"/>
    </row>
    <row r="155" spans="1:32">
      <c r="A155" s="2">
        <f t="shared" si="16"/>
        <v>152</v>
      </c>
      <c r="B155" s="156">
        <f t="shared" si="14"/>
        <v>1900</v>
      </c>
      <c r="C155" s="129">
        <f t="shared" si="15"/>
        <v>1900</v>
      </c>
      <c r="I155" s="29" t="str">
        <f>IFERROR(VLOOKUP(PA[[#This Row],[Date]],Raw_Data[[Date]:[Sunset Time (POA&lt;20 W/m2)]],3,0),"")</f>
        <v/>
      </c>
      <c r="J155" s="29" t="str">
        <f>IFERROR(VLOOKUP(PA[[#This Row],[Date]],Raw_Data[[Date]:[Sunset Time (POA&lt;20 W/m2)]],4,0),"")</f>
        <v/>
      </c>
      <c r="K155" s="27" t="str">
        <f>IFERROR((PA[[#This Row],[Sunset Time (POA&lt;20 W/m2)]]-PA[[#This Row],[Sunrise Time (POA&gt;20 W/m2)]])*24,"")</f>
        <v/>
      </c>
      <c r="M155" s="46" t="str">
        <f>IFERROR(VLOOKUP(PA[[#This Row],[Affceted Equipment]],'Basic Data'!$A$2:$B$114,2,0),"")</f>
        <v/>
      </c>
      <c r="N155" s="48" t="str">
        <f>IFERROR(VLOOKUP(PA[[#This Row],[Affceted Equipment]],'Basic Data'!$A$1:$C$118,3,0),"")</f>
        <v/>
      </c>
      <c r="W155" s="33">
        <f>IF(PA[[#This Row],[Acknowledgemnet Time ]]="NA","",(PA[[#This Row],[Acknowledgemnet Time ]]-PA[[#This Row],[Fault Time]])*24)</f>
        <v>0</v>
      </c>
      <c r="X155" s="33">
        <f>IF(PA[[#This Row],[Work Start time on Fault]]="NA","",(PA[[#This Row],[Work Start time on Fault]]-PA[[#This Row],[Fault Time]])*24)</f>
        <v>0</v>
      </c>
      <c r="Y155" s="35">
        <f>(PA[[#This Row],[Work Completiuon time on fualt]]-PA[[#This Row],[Fault Time]])*24</f>
        <v>0</v>
      </c>
      <c r="Z155" s="35">
        <f>IFERROR((PA[[#This Row],[Work Completiuon time on fualt]]-PA[[#This Row],[Fault Time]])*24,"")</f>
        <v>0</v>
      </c>
      <c r="AC155" s="47" t="str">
        <f>IFERROR(PA[[#This Row],[Breakdown Time]]*PA[[#This Row],[Plant Equivalent Weightage]],"")</f>
        <v/>
      </c>
      <c r="AE155" s="33" t="str">
        <f>IFERROR((_xlfn.XLOOKUP(PA[[#This Row],[Month Year]],'Modelling New'!D:D,'Modelling New'!$O:$O)*PA[[#This Row],[Lost PoA(Wh/m2)]]*PA[[#This Row],[DC Capacity Affceted (kW)]])/1000,"")</f>
        <v/>
      </c>
      <c r="AF155" s="35"/>
    </row>
    <row r="156" spans="1:32">
      <c r="A156" s="2">
        <f t="shared" si="16"/>
        <v>153</v>
      </c>
      <c r="B156" s="156">
        <f t="shared" si="14"/>
        <v>1900</v>
      </c>
      <c r="C156" s="129">
        <f t="shared" si="15"/>
        <v>1900</v>
      </c>
      <c r="I156" s="29" t="str">
        <f>IFERROR(VLOOKUP(PA[[#This Row],[Date]],Raw_Data[[Date]:[Sunset Time (POA&lt;20 W/m2)]],3,0),"")</f>
        <v/>
      </c>
      <c r="J156" s="29" t="str">
        <f>IFERROR(VLOOKUP(PA[[#This Row],[Date]],Raw_Data[[Date]:[Sunset Time (POA&lt;20 W/m2)]],4,0),"")</f>
        <v/>
      </c>
      <c r="K156" s="27" t="str">
        <f>IFERROR((PA[[#This Row],[Sunset Time (POA&lt;20 W/m2)]]-PA[[#This Row],[Sunrise Time (POA&gt;20 W/m2)]])*24,"")</f>
        <v/>
      </c>
      <c r="M156" s="46" t="str">
        <f>IFERROR(VLOOKUP(PA[[#This Row],[Affceted Equipment]],'Basic Data'!$A$2:$B$114,2,0),"")</f>
        <v/>
      </c>
      <c r="N156" s="48" t="str">
        <f>IFERROR(VLOOKUP(PA[[#This Row],[Affceted Equipment]],'Basic Data'!$A$1:$C$118,3,0),"")</f>
        <v/>
      </c>
      <c r="W156" s="33">
        <f>IF(PA[[#This Row],[Acknowledgemnet Time ]]="NA","",(PA[[#This Row],[Acknowledgemnet Time ]]-PA[[#This Row],[Fault Time]])*24)</f>
        <v>0</v>
      </c>
      <c r="X156" s="33">
        <f>IF(PA[[#This Row],[Work Start time on Fault]]="NA","",(PA[[#This Row],[Work Start time on Fault]]-PA[[#This Row],[Fault Time]])*24)</f>
        <v>0</v>
      </c>
      <c r="Y156" s="35">
        <f>(PA[[#This Row],[Work Completiuon time on fualt]]-PA[[#This Row],[Fault Time]])*24</f>
        <v>0</v>
      </c>
      <c r="Z156" s="35">
        <f>IFERROR((PA[[#This Row],[Work Completiuon time on fualt]]-PA[[#This Row],[Fault Time]])*24,"")</f>
        <v>0</v>
      </c>
      <c r="AC156" s="47" t="str">
        <f>IFERROR(PA[[#This Row],[Breakdown Time]]*PA[[#This Row],[Plant Equivalent Weightage]],"")</f>
        <v/>
      </c>
      <c r="AE156" s="33" t="str">
        <f>IFERROR((_xlfn.XLOOKUP(PA[[#This Row],[Month Year]],'Modelling New'!D:D,'Modelling New'!$O:$O)*PA[[#This Row],[Lost PoA(Wh/m2)]]*PA[[#This Row],[DC Capacity Affceted (kW)]])/1000,"")</f>
        <v/>
      </c>
      <c r="AF156" s="35"/>
    </row>
    <row r="157" spans="1:32">
      <c r="A157" s="2">
        <f t="shared" si="16"/>
        <v>154</v>
      </c>
      <c r="B157" s="156">
        <f t="shared" si="14"/>
        <v>1900</v>
      </c>
      <c r="C157" s="129">
        <f t="shared" si="15"/>
        <v>1900</v>
      </c>
      <c r="I157" s="29" t="str">
        <f>IFERROR(VLOOKUP(PA[[#This Row],[Date]],Raw_Data[[Date]:[Sunset Time (POA&lt;20 W/m2)]],3,0),"")</f>
        <v/>
      </c>
      <c r="J157" s="29" t="str">
        <f>IFERROR(VLOOKUP(PA[[#This Row],[Date]],Raw_Data[[Date]:[Sunset Time (POA&lt;20 W/m2)]],4,0),"")</f>
        <v/>
      </c>
      <c r="K157" s="27" t="str">
        <f>IFERROR((PA[[#This Row],[Sunset Time (POA&lt;20 W/m2)]]-PA[[#This Row],[Sunrise Time (POA&gt;20 W/m2)]])*24,"")</f>
        <v/>
      </c>
      <c r="M157" s="46" t="str">
        <f>IFERROR(VLOOKUP(PA[[#This Row],[Affceted Equipment]],'Basic Data'!$A$2:$B$114,2,0),"")</f>
        <v/>
      </c>
      <c r="N157" s="48" t="str">
        <f>IFERROR(VLOOKUP(PA[[#This Row],[Affceted Equipment]],'Basic Data'!$A$1:$C$118,3,0),"")</f>
        <v/>
      </c>
      <c r="W157" s="33">
        <f>IF(PA[[#This Row],[Acknowledgemnet Time ]]="NA","",(PA[[#This Row],[Acknowledgemnet Time ]]-PA[[#This Row],[Fault Time]])*24)</f>
        <v>0</v>
      </c>
      <c r="X157" s="33">
        <f>IF(PA[[#This Row],[Work Start time on Fault]]="NA","",(PA[[#This Row],[Work Start time on Fault]]-PA[[#This Row],[Fault Time]])*24)</f>
        <v>0</v>
      </c>
      <c r="Y157" s="35">
        <f>(PA[[#This Row],[Work Completiuon time on fualt]]-PA[[#This Row],[Fault Time]])*24</f>
        <v>0</v>
      </c>
      <c r="Z157" s="35">
        <f>IFERROR((PA[[#This Row],[Work Completiuon time on fualt]]-PA[[#This Row],[Fault Time]])*24,"")</f>
        <v>0</v>
      </c>
      <c r="AC157" s="47" t="str">
        <f>IFERROR(PA[[#This Row],[Breakdown Time]]*PA[[#This Row],[Plant Equivalent Weightage]],"")</f>
        <v/>
      </c>
      <c r="AE157" s="33" t="str">
        <f>IFERROR((_xlfn.XLOOKUP(PA[[#This Row],[Month Year]],'Modelling New'!D:D,'Modelling New'!$O:$O)*PA[[#This Row],[Lost PoA(Wh/m2)]]*PA[[#This Row],[DC Capacity Affceted (kW)]])/1000,"")</f>
        <v/>
      </c>
      <c r="AF157" s="35"/>
    </row>
    <row r="158" spans="1:32">
      <c r="A158" s="2">
        <f t="shared" si="16"/>
        <v>155</v>
      </c>
      <c r="B158" s="156">
        <f t="shared" si="14"/>
        <v>1900</v>
      </c>
      <c r="C158" s="129">
        <f t="shared" si="15"/>
        <v>1900</v>
      </c>
      <c r="I158" s="29" t="str">
        <f>IFERROR(VLOOKUP(PA[[#This Row],[Date]],Raw_Data[[Date]:[Sunset Time (POA&lt;20 W/m2)]],3,0),"")</f>
        <v/>
      </c>
      <c r="J158" s="29" t="str">
        <f>IFERROR(VLOOKUP(PA[[#This Row],[Date]],Raw_Data[[Date]:[Sunset Time (POA&lt;20 W/m2)]],4,0),"")</f>
        <v/>
      </c>
      <c r="K158" s="27" t="str">
        <f>IFERROR((PA[[#This Row],[Sunset Time (POA&lt;20 W/m2)]]-PA[[#This Row],[Sunrise Time (POA&gt;20 W/m2)]])*24,"")</f>
        <v/>
      </c>
      <c r="M158" s="46" t="str">
        <f>IFERROR(VLOOKUP(PA[[#This Row],[Affceted Equipment]],'Basic Data'!$A$2:$B$114,2,0),"")</f>
        <v/>
      </c>
      <c r="N158" s="48" t="str">
        <f>IFERROR(VLOOKUP(PA[[#This Row],[Affceted Equipment]],'Basic Data'!$A$1:$C$118,3,0),"")</f>
        <v/>
      </c>
      <c r="W158" s="33">
        <f>IF(PA[[#This Row],[Acknowledgemnet Time ]]="NA","",(PA[[#This Row],[Acknowledgemnet Time ]]-PA[[#This Row],[Fault Time]])*24)</f>
        <v>0</v>
      </c>
      <c r="X158" s="33">
        <f>IF(PA[[#This Row],[Work Start time on Fault]]="NA","",(PA[[#This Row],[Work Start time on Fault]]-PA[[#This Row],[Fault Time]])*24)</f>
        <v>0</v>
      </c>
      <c r="Y158" s="35">
        <f>(PA[[#This Row],[Work Completiuon time on fualt]]-PA[[#This Row],[Fault Time]])*24</f>
        <v>0</v>
      </c>
      <c r="Z158" s="35">
        <f>IFERROR((PA[[#This Row],[Work Completiuon time on fualt]]-PA[[#This Row],[Fault Time]])*24,"")</f>
        <v>0</v>
      </c>
      <c r="AC158" s="47" t="str">
        <f>IFERROR(PA[[#This Row],[Breakdown Time]]*PA[[#This Row],[Plant Equivalent Weightage]],"")</f>
        <v/>
      </c>
      <c r="AE158" s="33" t="str">
        <f>IFERROR((_xlfn.XLOOKUP(PA[[#This Row],[Month Year]],'Modelling New'!D:D,'Modelling New'!$O:$O)*PA[[#This Row],[Lost PoA(Wh/m2)]]*PA[[#This Row],[DC Capacity Affceted (kW)]])/1000,"")</f>
        <v/>
      </c>
      <c r="AF158" s="35"/>
    </row>
    <row r="159" spans="1:32">
      <c r="A159" s="2">
        <f t="shared" si="16"/>
        <v>156</v>
      </c>
      <c r="B159" s="156">
        <f t="shared" si="14"/>
        <v>1900</v>
      </c>
      <c r="C159" s="129">
        <f t="shared" si="15"/>
        <v>1900</v>
      </c>
      <c r="I159" s="29" t="str">
        <f>IFERROR(VLOOKUP(PA[[#This Row],[Date]],Raw_Data[[Date]:[Sunset Time (POA&lt;20 W/m2)]],3,0),"")</f>
        <v/>
      </c>
      <c r="J159" s="29" t="str">
        <f>IFERROR(VLOOKUP(PA[[#This Row],[Date]],Raw_Data[[Date]:[Sunset Time (POA&lt;20 W/m2)]],4,0),"")</f>
        <v/>
      </c>
      <c r="K159" s="27" t="str">
        <f>IFERROR((PA[[#This Row],[Sunset Time (POA&lt;20 W/m2)]]-PA[[#This Row],[Sunrise Time (POA&gt;20 W/m2)]])*24,"")</f>
        <v/>
      </c>
      <c r="M159" s="46" t="str">
        <f>IFERROR(VLOOKUP(PA[[#This Row],[Affceted Equipment]],'Basic Data'!$A$2:$B$114,2,0),"")</f>
        <v/>
      </c>
      <c r="N159" s="48" t="str">
        <f>IFERROR(VLOOKUP(PA[[#This Row],[Affceted Equipment]],'Basic Data'!$A$1:$C$118,3,0),"")</f>
        <v/>
      </c>
      <c r="W159" s="33">
        <f>IF(PA[[#This Row],[Acknowledgemnet Time ]]="NA","",(PA[[#This Row],[Acknowledgemnet Time ]]-PA[[#This Row],[Fault Time]])*24)</f>
        <v>0</v>
      </c>
      <c r="X159" s="33">
        <f>IF(PA[[#This Row],[Work Start time on Fault]]="NA","",(PA[[#This Row],[Work Start time on Fault]]-PA[[#This Row],[Fault Time]])*24)</f>
        <v>0</v>
      </c>
      <c r="Y159" s="35">
        <f>(PA[[#This Row],[Work Completiuon time on fualt]]-PA[[#This Row],[Fault Time]])*24</f>
        <v>0</v>
      </c>
      <c r="Z159" s="35">
        <f>IFERROR((PA[[#This Row],[Work Completiuon time on fualt]]-PA[[#This Row],[Fault Time]])*24,"")</f>
        <v>0</v>
      </c>
      <c r="AC159" s="47" t="str">
        <f>IFERROR(PA[[#This Row],[Breakdown Time]]*PA[[#This Row],[Plant Equivalent Weightage]],"")</f>
        <v/>
      </c>
      <c r="AE159" s="33" t="str">
        <f>IFERROR((_xlfn.XLOOKUP(PA[[#This Row],[Month Year]],'Modelling New'!D:D,'Modelling New'!$O:$O)*PA[[#This Row],[Lost PoA(Wh/m2)]]*PA[[#This Row],[DC Capacity Affceted (kW)]])/1000,"")</f>
        <v/>
      </c>
      <c r="AF159" s="35"/>
    </row>
    <row r="160" spans="1:32">
      <c r="A160" s="2">
        <f t="shared" si="16"/>
        <v>157</v>
      </c>
      <c r="B160" s="156">
        <f t="shared" si="14"/>
        <v>1900</v>
      </c>
      <c r="C160" s="129">
        <f t="shared" si="15"/>
        <v>1900</v>
      </c>
      <c r="I160" s="29" t="str">
        <f>IFERROR(VLOOKUP(PA[[#This Row],[Date]],Raw_Data[[Date]:[Sunset Time (POA&lt;20 W/m2)]],3,0),"")</f>
        <v/>
      </c>
      <c r="J160" s="29" t="str">
        <f>IFERROR(VLOOKUP(PA[[#This Row],[Date]],Raw_Data[[Date]:[Sunset Time (POA&lt;20 W/m2)]],4,0),"")</f>
        <v/>
      </c>
      <c r="K160" s="27" t="str">
        <f>IFERROR((PA[[#This Row],[Sunset Time (POA&lt;20 W/m2)]]-PA[[#This Row],[Sunrise Time (POA&gt;20 W/m2)]])*24,"")</f>
        <v/>
      </c>
      <c r="M160" s="46" t="str">
        <f>IFERROR(VLOOKUP(PA[[#This Row],[Affceted Equipment]],'Basic Data'!$A$2:$B$114,2,0),"")</f>
        <v/>
      </c>
      <c r="N160" s="48" t="str">
        <f>IFERROR(VLOOKUP(PA[[#This Row],[Affceted Equipment]],'Basic Data'!$A$1:$C$118,3,0),"")</f>
        <v/>
      </c>
      <c r="W160" s="33">
        <f>IF(PA[[#This Row],[Acknowledgemnet Time ]]="NA","",(PA[[#This Row],[Acknowledgemnet Time ]]-PA[[#This Row],[Fault Time]])*24)</f>
        <v>0</v>
      </c>
      <c r="X160" s="33">
        <f>IF(PA[[#This Row],[Work Start time on Fault]]="NA","",(PA[[#This Row],[Work Start time on Fault]]-PA[[#This Row],[Fault Time]])*24)</f>
        <v>0</v>
      </c>
      <c r="Y160" s="35">
        <f>(PA[[#This Row],[Work Completiuon time on fualt]]-PA[[#This Row],[Fault Time]])*24</f>
        <v>0</v>
      </c>
      <c r="Z160" s="35">
        <f>IFERROR((PA[[#This Row],[Work Completiuon time on fualt]]-PA[[#This Row],[Fault Time]])*24,"")</f>
        <v>0</v>
      </c>
      <c r="AC160" s="47" t="str">
        <f>IFERROR(PA[[#This Row],[Breakdown Time]]*PA[[#This Row],[Plant Equivalent Weightage]],"")</f>
        <v/>
      </c>
      <c r="AE160" s="33" t="str">
        <f>IFERROR((_xlfn.XLOOKUP(PA[[#This Row],[Month Year]],'Modelling New'!D:D,'Modelling New'!$O:$O)*PA[[#This Row],[Lost PoA(Wh/m2)]]*PA[[#This Row],[DC Capacity Affceted (kW)]])/1000,"")</f>
        <v/>
      </c>
      <c r="AF160" s="35"/>
    </row>
    <row r="161" spans="1:32">
      <c r="A161" s="2">
        <f t="shared" si="16"/>
        <v>158</v>
      </c>
      <c r="B161" s="156">
        <f t="shared" si="14"/>
        <v>1900</v>
      </c>
      <c r="C161" s="129">
        <f t="shared" si="15"/>
        <v>1900</v>
      </c>
      <c r="I161" s="29" t="str">
        <f>IFERROR(VLOOKUP(PA[[#This Row],[Date]],Raw_Data[[Date]:[Sunset Time (POA&lt;20 W/m2)]],3,0),"")</f>
        <v/>
      </c>
      <c r="J161" s="29" t="str">
        <f>IFERROR(VLOOKUP(PA[[#This Row],[Date]],Raw_Data[[Date]:[Sunset Time (POA&lt;20 W/m2)]],4,0),"")</f>
        <v/>
      </c>
      <c r="K161" s="27" t="str">
        <f>IFERROR((PA[[#This Row],[Sunset Time (POA&lt;20 W/m2)]]-PA[[#This Row],[Sunrise Time (POA&gt;20 W/m2)]])*24,"")</f>
        <v/>
      </c>
      <c r="M161" s="46" t="str">
        <f>IFERROR(VLOOKUP(PA[[#This Row],[Affceted Equipment]],'Basic Data'!$A$2:$B$114,2,0),"")</f>
        <v/>
      </c>
      <c r="N161" s="48" t="str">
        <f>IFERROR(VLOOKUP(PA[[#This Row],[Affceted Equipment]],'Basic Data'!$A$1:$C$118,3,0),"")</f>
        <v/>
      </c>
      <c r="W161" s="33">
        <f>IF(PA[[#This Row],[Acknowledgemnet Time ]]="NA","",(PA[[#This Row],[Acknowledgemnet Time ]]-PA[[#This Row],[Fault Time]])*24)</f>
        <v>0</v>
      </c>
      <c r="X161" s="33">
        <f>IF(PA[[#This Row],[Work Start time on Fault]]="NA","",(PA[[#This Row],[Work Start time on Fault]]-PA[[#This Row],[Fault Time]])*24)</f>
        <v>0</v>
      </c>
      <c r="Y161" s="35">
        <f>(PA[[#This Row],[Work Completiuon time on fualt]]-PA[[#This Row],[Fault Time]])*24</f>
        <v>0</v>
      </c>
      <c r="Z161" s="35">
        <f>IFERROR((PA[[#This Row],[Work Completiuon time on fualt]]-PA[[#This Row],[Fault Time]])*24,"")</f>
        <v>0</v>
      </c>
      <c r="AC161" s="47" t="str">
        <f>IFERROR(PA[[#This Row],[Breakdown Time]]*PA[[#This Row],[Plant Equivalent Weightage]],"")</f>
        <v/>
      </c>
      <c r="AE161" s="33" t="str">
        <f>IFERROR((_xlfn.XLOOKUP(PA[[#This Row],[Month Year]],'Modelling New'!D:D,'Modelling New'!$O:$O)*PA[[#This Row],[Lost PoA(Wh/m2)]]*PA[[#This Row],[DC Capacity Affceted (kW)]])/1000,"")</f>
        <v/>
      </c>
      <c r="AF161" s="35"/>
    </row>
    <row r="162" spans="1:32">
      <c r="A162" s="2">
        <f t="shared" si="16"/>
        <v>159</v>
      </c>
      <c r="B162" s="156">
        <f t="shared" si="14"/>
        <v>1900</v>
      </c>
      <c r="C162" s="129">
        <f t="shared" si="15"/>
        <v>1900</v>
      </c>
      <c r="I162" s="29" t="str">
        <f>IFERROR(VLOOKUP(PA[[#This Row],[Date]],Raw_Data[[Date]:[Sunset Time (POA&lt;20 W/m2)]],3,0),"")</f>
        <v/>
      </c>
      <c r="J162" s="29" t="str">
        <f>IFERROR(VLOOKUP(PA[[#This Row],[Date]],Raw_Data[[Date]:[Sunset Time (POA&lt;20 W/m2)]],4,0),"")</f>
        <v/>
      </c>
      <c r="K162" s="27" t="str">
        <f>IFERROR((PA[[#This Row],[Sunset Time (POA&lt;20 W/m2)]]-PA[[#This Row],[Sunrise Time (POA&gt;20 W/m2)]])*24,"")</f>
        <v/>
      </c>
      <c r="M162" s="46" t="str">
        <f>IFERROR(VLOOKUP(PA[[#This Row],[Affceted Equipment]],'Basic Data'!$A$2:$B$114,2,0),"")</f>
        <v/>
      </c>
      <c r="N162" s="48" t="str">
        <f>IFERROR(VLOOKUP(PA[[#This Row],[Affceted Equipment]],'Basic Data'!$A$1:$C$118,3,0),"")</f>
        <v/>
      </c>
      <c r="W162" s="33">
        <f>IF(PA[[#This Row],[Acknowledgemnet Time ]]="NA","",(PA[[#This Row],[Acknowledgemnet Time ]]-PA[[#This Row],[Fault Time]])*24)</f>
        <v>0</v>
      </c>
      <c r="X162" s="33">
        <f>IF(PA[[#This Row],[Work Start time on Fault]]="NA","",(PA[[#This Row],[Work Start time on Fault]]-PA[[#This Row],[Fault Time]])*24)</f>
        <v>0</v>
      </c>
      <c r="Y162" s="35">
        <f>(PA[[#This Row],[Work Completiuon time on fualt]]-PA[[#This Row],[Fault Time]])*24</f>
        <v>0</v>
      </c>
      <c r="Z162" s="35">
        <f>IFERROR((PA[[#This Row],[Work Completiuon time on fualt]]-PA[[#This Row],[Fault Time]])*24,"")</f>
        <v>0</v>
      </c>
      <c r="AC162" s="47" t="str">
        <f>IFERROR(PA[[#This Row],[Breakdown Time]]*PA[[#This Row],[Plant Equivalent Weightage]],"")</f>
        <v/>
      </c>
      <c r="AE162" s="33" t="str">
        <f>IFERROR((_xlfn.XLOOKUP(PA[[#This Row],[Month Year]],'Modelling New'!D:D,'Modelling New'!$O:$O)*PA[[#This Row],[Lost PoA(Wh/m2)]]*PA[[#This Row],[DC Capacity Affceted (kW)]])/1000,"")</f>
        <v/>
      </c>
      <c r="AF162" s="35"/>
    </row>
    <row r="163" spans="1:32">
      <c r="A163" s="2">
        <f t="shared" si="16"/>
        <v>160</v>
      </c>
      <c r="B163" s="156">
        <f t="shared" si="14"/>
        <v>1900</v>
      </c>
      <c r="C163" s="129">
        <f t="shared" si="15"/>
        <v>1900</v>
      </c>
      <c r="I163" s="29" t="str">
        <f>IFERROR(VLOOKUP(PA[[#This Row],[Date]],Raw_Data[[Date]:[Sunset Time (POA&lt;20 W/m2)]],3,0),"")</f>
        <v/>
      </c>
      <c r="J163" s="29" t="str">
        <f>IFERROR(VLOOKUP(PA[[#This Row],[Date]],Raw_Data[[Date]:[Sunset Time (POA&lt;20 W/m2)]],4,0),"")</f>
        <v/>
      </c>
      <c r="K163" s="27" t="str">
        <f>IFERROR((PA[[#This Row],[Sunset Time (POA&lt;20 W/m2)]]-PA[[#This Row],[Sunrise Time (POA&gt;20 W/m2)]])*24,"")</f>
        <v/>
      </c>
      <c r="M163" s="46" t="str">
        <f>IFERROR(VLOOKUP(PA[[#This Row],[Affceted Equipment]],'Basic Data'!$A$2:$B$114,2,0),"")</f>
        <v/>
      </c>
      <c r="N163" s="48" t="str">
        <f>IFERROR(VLOOKUP(PA[[#This Row],[Affceted Equipment]],'Basic Data'!$A$1:$C$118,3,0),"")</f>
        <v/>
      </c>
      <c r="W163" s="33">
        <f>IF(PA[[#This Row],[Acknowledgemnet Time ]]="NA","",(PA[[#This Row],[Acknowledgemnet Time ]]-PA[[#This Row],[Fault Time]])*24)</f>
        <v>0</v>
      </c>
      <c r="X163" s="33">
        <f>IF(PA[[#This Row],[Work Start time on Fault]]="NA","",(PA[[#This Row],[Work Start time on Fault]]-PA[[#This Row],[Fault Time]])*24)</f>
        <v>0</v>
      </c>
      <c r="Y163" s="35">
        <f>(PA[[#This Row],[Work Completiuon time on fualt]]-PA[[#This Row],[Fault Time]])*24</f>
        <v>0</v>
      </c>
      <c r="Z163" s="35">
        <f>IFERROR((PA[[#This Row],[Work Completiuon time on fualt]]-PA[[#This Row],[Fault Time]])*24,"")</f>
        <v>0</v>
      </c>
      <c r="AC163" s="47" t="str">
        <f>IFERROR(PA[[#This Row],[Breakdown Time]]*PA[[#This Row],[Plant Equivalent Weightage]],"")</f>
        <v/>
      </c>
      <c r="AE163" s="33" t="str">
        <f>IFERROR((_xlfn.XLOOKUP(PA[[#This Row],[Month Year]],'Modelling New'!D:D,'Modelling New'!$O:$O)*PA[[#This Row],[Lost PoA(Wh/m2)]]*PA[[#This Row],[DC Capacity Affceted (kW)]])/1000,"")</f>
        <v/>
      </c>
      <c r="AF163" s="35"/>
    </row>
    <row r="164" spans="1:32">
      <c r="A164" s="2">
        <f t="shared" si="16"/>
        <v>161</v>
      </c>
      <c r="B164" s="156">
        <f t="shared" si="14"/>
        <v>1900</v>
      </c>
      <c r="C164" s="129">
        <f t="shared" si="15"/>
        <v>1900</v>
      </c>
      <c r="I164" s="29" t="str">
        <f>IFERROR(VLOOKUP(PA[[#This Row],[Date]],Raw_Data[[Date]:[Sunset Time (POA&lt;20 W/m2)]],3,0),"")</f>
        <v/>
      </c>
      <c r="J164" s="29" t="str">
        <f>IFERROR(VLOOKUP(PA[[#This Row],[Date]],Raw_Data[[Date]:[Sunset Time (POA&lt;20 W/m2)]],4,0),"")</f>
        <v/>
      </c>
      <c r="K164" s="27" t="str">
        <f>IFERROR((PA[[#This Row],[Sunset Time (POA&lt;20 W/m2)]]-PA[[#This Row],[Sunrise Time (POA&gt;20 W/m2)]])*24,"")</f>
        <v/>
      </c>
      <c r="M164" s="46" t="str">
        <f>IFERROR(VLOOKUP(PA[[#This Row],[Affceted Equipment]],'Basic Data'!$A$2:$B$114,2,0),"")</f>
        <v/>
      </c>
      <c r="N164" s="48" t="str">
        <f>IFERROR(VLOOKUP(PA[[#This Row],[Affceted Equipment]],'Basic Data'!$A$1:$C$118,3,0),"")</f>
        <v/>
      </c>
      <c r="W164" s="33">
        <f>IF(PA[[#This Row],[Acknowledgemnet Time ]]="NA","",(PA[[#This Row],[Acknowledgemnet Time ]]-PA[[#This Row],[Fault Time]])*24)</f>
        <v>0</v>
      </c>
      <c r="X164" s="33">
        <f>IF(PA[[#This Row],[Work Start time on Fault]]="NA","",(PA[[#This Row],[Work Start time on Fault]]-PA[[#This Row],[Fault Time]])*24)</f>
        <v>0</v>
      </c>
      <c r="Y164" s="35">
        <f>(PA[[#This Row],[Work Completiuon time on fualt]]-PA[[#This Row],[Fault Time]])*24</f>
        <v>0</v>
      </c>
      <c r="Z164" s="35">
        <f>IFERROR((PA[[#This Row],[Work Completiuon time on fualt]]-PA[[#This Row],[Fault Time]])*24,"")</f>
        <v>0</v>
      </c>
      <c r="AC164" s="47" t="str">
        <f>IFERROR(PA[[#This Row],[Breakdown Time]]*PA[[#This Row],[Plant Equivalent Weightage]],"")</f>
        <v/>
      </c>
      <c r="AE164" s="33" t="str">
        <f>IFERROR((_xlfn.XLOOKUP(PA[[#This Row],[Month Year]],'Modelling New'!D:D,'Modelling New'!$O:$O)*PA[[#This Row],[Lost PoA(Wh/m2)]]*PA[[#This Row],[DC Capacity Affceted (kW)]])/1000,"")</f>
        <v/>
      </c>
      <c r="AF164" s="35"/>
    </row>
    <row r="165" spans="1:32">
      <c r="A165" s="2">
        <f t="shared" si="16"/>
        <v>162</v>
      </c>
      <c r="B165" s="156">
        <f t="shared" si="14"/>
        <v>1900</v>
      </c>
      <c r="C165" s="129">
        <f t="shared" si="15"/>
        <v>1900</v>
      </c>
      <c r="I165" s="29" t="str">
        <f>IFERROR(VLOOKUP(PA[[#This Row],[Date]],Raw_Data[[Date]:[Sunset Time (POA&lt;20 W/m2)]],3,0),"")</f>
        <v/>
      </c>
      <c r="J165" s="29" t="str">
        <f>IFERROR(VLOOKUP(PA[[#This Row],[Date]],Raw_Data[[Date]:[Sunset Time (POA&lt;20 W/m2)]],4,0),"")</f>
        <v/>
      </c>
      <c r="K165" s="27" t="str">
        <f>IFERROR((PA[[#This Row],[Sunset Time (POA&lt;20 W/m2)]]-PA[[#This Row],[Sunrise Time (POA&gt;20 W/m2)]])*24,"")</f>
        <v/>
      </c>
      <c r="M165" s="46" t="str">
        <f>IFERROR(VLOOKUP(PA[[#This Row],[Affceted Equipment]],'Basic Data'!$A$2:$B$114,2,0),"")</f>
        <v/>
      </c>
      <c r="N165" s="48" t="str">
        <f>IFERROR(VLOOKUP(PA[[#This Row],[Affceted Equipment]],'Basic Data'!$A$1:$C$118,3,0),"")</f>
        <v/>
      </c>
      <c r="W165" s="33">
        <f>IF(PA[[#This Row],[Acknowledgemnet Time ]]="NA","",(PA[[#This Row],[Acknowledgemnet Time ]]-PA[[#This Row],[Fault Time]])*24)</f>
        <v>0</v>
      </c>
      <c r="X165" s="33">
        <f>IF(PA[[#This Row],[Work Start time on Fault]]="NA","",(PA[[#This Row],[Work Start time on Fault]]-PA[[#This Row],[Fault Time]])*24)</f>
        <v>0</v>
      </c>
      <c r="Y165" s="35">
        <f>(PA[[#This Row],[Work Completiuon time on fualt]]-PA[[#This Row],[Fault Time]])*24</f>
        <v>0</v>
      </c>
      <c r="Z165" s="35">
        <f>IFERROR((PA[[#This Row],[Work Completiuon time on fualt]]-PA[[#This Row],[Fault Time]])*24,"")</f>
        <v>0</v>
      </c>
      <c r="AC165" s="47" t="str">
        <f>IFERROR(PA[[#This Row],[Breakdown Time]]*PA[[#This Row],[Plant Equivalent Weightage]],"")</f>
        <v/>
      </c>
      <c r="AE165" s="33" t="str">
        <f>IFERROR((_xlfn.XLOOKUP(PA[[#This Row],[Month Year]],'Modelling New'!D:D,'Modelling New'!$O:$O)*PA[[#This Row],[Lost PoA(Wh/m2)]]*PA[[#This Row],[DC Capacity Affceted (kW)]])/1000,"")</f>
        <v/>
      </c>
      <c r="AF165" s="35"/>
    </row>
    <row r="166" spans="1:32">
      <c r="A166" s="2">
        <f t="shared" si="16"/>
        <v>163</v>
      </c>
      <c r="B166" s="156">
        <f t="shared" si="14"/>
        <v>1900</v>
      </c>
      <c r="C166" s="129">
        <f t="shared" si="15"/>
        <v>1900</v>
      </c>
      <c r="I166" s="29" t="str">
        <f>IFERROR(VLOOKUP(PA[[#This Row],[Date]],Raw_Data[[Date]:[Sunset Time (POA&lt;20 W/m2)]],3,0),"")</f>
        <v/>
      </c>
      <c r="J166" s="29" t="str">
        <f>IFERROR(VLOOKUP(PA[[#This Row],[Date]],Raw_Data[[Date]:[Sunset Time (POA&lt;20 W/m2)]],4,0),"")</f>
        <v/>
      </c>
      <c r="K166" s="27" t="str">
        <f>IFERROR((PA[[#This Row],[Sunset Time (POA&lt;20 W/m2)]]-PA[[#This Row],[Sunrise Time (POA&gt;20 W/m2)]])*24,"")</f>
        <v/>
      </c>
      <c r="M166" s="46" t="str">
        <f>IFERROR(VLOOKUP(PA[[#This Row],[Affceted Equipment]],'Basic Data'!$A$2:$B$114,2,0),"")</f>
        <v/>
      </c>
      <c r="N166" s="48" t="str">
        <f>IFERROR(VLOOKUP(PA[[#This Row],[Affceted Equipment]],'Basic Data'!$A$1:$C$118,3,0),"")</f>
        <v/>
      </c>
      <c r="W166" s="33">
        <f>IF(PA[[#This Row],[Acknowledgemnet Time ]]="NA","",(PA[[#This Row],[Acknowledgemnet Time ]]-PA[[#This Row],[Fault Time]])*24)</f>
        <v>0</v>
      </c>
      <c r="X166" s="33">
        <f>IF(PA[[#This Row],[Work Start time on Fault]]="NA","",(PA[[#This Row],[Work Start time on Fault]]-PA[[#This Row],[Fault Time]])*24)</f>
        <v>0</v>
      </c>
      <c r="Y166" s="35">
        <f>(PA[[#This Row],[Work Completiuon time on fualt]]-PA[[#This Row],[Fault Time]])*24</f>
        <v>0</v>
      </c>
      <c r="Z166" s="35">
        <f>IFERROR((PA[[#This Row],[Work Completiuon time on fualt]]-PA[[#This Row],[Fault Time]])*24,"")</f>
        <v>0</v>
      </c>
      <c r="AC166" s="47" t="str">
        <f>IFERROR(PA[[#This Row],[Breakdown Time]]*PA[[#This Row],[Plant Equivalent Weightage]],"")</f>
        <v/>
      </c>
      <c r="AE166" s="33" t="str">
        <f>IFERROR((_xlfn.XLOOKUP(PA[[#This Row],[Month Year]],'Modelling New'!D:D,'Modelling New'!$O:$O)*PA[[#This Row],[Lost PoA(Wh/m2)]]*PA[[#This Row],[DC Capacity Affceted (kW)]])/1000,"")</f>
        <v/>
      </c>
      <c r="AF166" s="35"/>
    </row>
    <row r="167" spans="1:32">
      <c r="A167" s="2">
        <f t="shared" si="16"/>
        <v>164</v>
      </c>
      <c r="B167" s="156">
        <f t="shared" si="14"/>
        <v>1900</v>
      </c>
      <c r="C167" s="129">
        <f t="shared" si="15"/>
        <v>1900</v>
      </c>
      <c r="I167" s="29" t="str">
        <f>IFERROR(VLOOKUP(PA[[#This Row],[Date]],Raw_Data[[Date]:[Sunset Time (POA&lt;20 W/m2)]],3,0),"")</f>
        <v/>
      </c>
      <c r="J167" s="29" t="str">
        <f>IFERROR(VLOOKUP(PA[[#This Row],[Date]],Raw_Data[[Date]:[Sunset Time (POA&lt;20 W/m2)]],4,0),"")</f>
        <v/>
      </c>
      <c r="K167" s="27" t="str">
        <f>IFERROR((PA[[#This Row],[Sunset Time (POA&lt;20 W/m2)]]-PA[[#This Row],[Sunrise Time (POA&gt;20 W/m2)]])*24,"")</f>
        <v/>
      </c>
      <c r="M167" s="46" t="str">
        <f>IFERROR(VLOOKUP(PA[[#This Row],[Affceted Equipment]],'Basic Data'!$A$2:$B$114,2,0),"")</f>
        <v/>
      </c>
      <c r="N167" s="48" t="str">
        <f>IFERROR(VLOOKUP(PA[[#This Row],[Affceted Equipment]],'Basic Data'!$A$1:$C$118,3,0),"")</f>
        <v/>
      </c>
      <c r="W167" s="33">
        <f>IF(PA[[#This Row],[Acknowledgemnet Time ]]="NA","",(PA[[#This Row],[Acknowledgemnet Time ]]-PA[[#This Row],[Fault Time]])*24)</f>
        <v>0</v>
      </c>
      <c r="X167" s="33">
        <f>IF(PA[[#This Row],[Work Start time on Fault]]="NA","",(PA[[#This Row],[Work Start time on Fault]]-PA[[#This Row],[Fault Time]])*24)</f>
        <v>0</v>
      </c>
      <c r="Y167" s="35">
        <f>(PA[[#This Row],[Work Completiuon time on fualt]]-PA[[#This Row],[Fault Time]])*24</f>
        <v>0</v>
      </c>
      <c r="Z167" s="35">
        <f>IFERROR((PA[[#This Row],[Work Completiuon time on fualt]]-PA[[#This Row],[Fault Time]])*24,"")</f>
        <v>0</v>
      </c>
      <c r="AC167" s="47" t="str">
        <f>IFERROR(PA[[#This Row],[Breakdown Time]]*PA[[#This Row],[Plant Equivalent Weightage]],"")</f>
        <v/>
      </c>
      <c r="AE167" s="33" t="str">
        <f>IFERROR((_xlfn.XLOOKUP(PA[[#This Row],[Month Year]],'Modelling New'!D:D,'Modelling New'!$O:$O)*PA[[#This Row],[Lost PoA(Wh/m2)]]*PA[[#This Row],[DC Capacity Affceted (kW)]])/1000,"")</f>
        <v/>
      </c>
      <c r="AF167" s="35"/>
    </row>
    <row r="168" spans="1:32">
      <c r="A168" s="2">
        <f t="shared" si="16"/>
        <v>165</v>
      </c>
      <c r="B168" s="156">
        <f t="shared" si="14"/>
        <v>1900</v>
      </c>
      <c r="C168" s="129">
        <f t="shared" si="15"/>
        <v>1900</v>
      </c>
      <c r="I168" s="29" t="str">
        <f>IFERROR(VLOOKUP(PA[[#This Row],[Date]],Raw_Data[[Date]:[Sunset Time (POA&lt;20 W/m2)]],3,0),"")</f>
        <v/>
      </c>
      <c r="J168" s="29" t="str">
        <f>IFERROR(VLOOKUP(PA[[#This Row],[Date]],Raw_Data[[Date]:[Sunset Time (POA&lt;20 W/m2)]],4,0),"")</f>
        <v/>
      </c>
      <c r="K168" s="27" t="str">
        <f>IFERROR((PA[[#This Row],[Sunset Time (POA&lt;20 W/m2)]]-PA[[#This Row],[Sunrise Time (POA&gt;20 W/m2)]])*24,"")</f>
        <v/>
      </c>
      <c r="M168" s="46" t="str">
        <f>IFERROR(VLOOKUP(PA[[#This Row],[Affceted Equipment]],'Basic Data'!$A$2:$B$114,2,0),"")</f>
        <v/>
      </c>
      <c r="N168" s="48" t="str">
        <f>IFERROR(VLOOKUP(PA[[#This Row],[Affceted Equipment]],'Basic Data'!$A$1:$C$118,3,0),"")</f>
        <v/>
      </c>
      <c r="W168" s="33">
        <f>IF(PA[[#This Row],[Acknowledgemnet Time ]]="NA","",(PA[[#This Row],[Acknowledgemnet Time ]]-PA[[#This Row],[Fault Time]])*24)</f>
        <v>0</v>
      </c>
      <c r="X168" s="33">
        <f>IF(PA[[#This Row],[Work Start time on Fault]]="NA","",(PA[[#This Row],[Work Start time on Fault]]-PA[[#This Row],[Fault Time]])*24)</f>
        <v>0</v>
      </c>
      <c r="Y168" s="35">
        <f>(PA[[#This Row],[Work Completiuon time on fualt]]-PA[[#This Row],[Fault Time]])*24</f>
        <v>0</v>
      </c>
      <c r="Z168" s="35">
        <f>IFERROR((PA[[#This Row],[Work Completiuon time on fualt]]-PA[[#This Row],[Fault Time]])*24,"")</f>
        <v>0</v>
      </c>
      <c r="AC168" s="47" t="str">
        <f>IFERROR(PA[[#This Row],[Breakdown Time]]*PA[[#This Row],[Plant Equivalent Weightage]],"")</f>
        <v/>
      </c>
      <c r="AE168" s="33" t="str">
        <f>IFERROR((_xlfn.XLOOKUP(PA[[#This Row],[Month Year]],'Modelling New'!D:D,'Modelling New'!$O:$O)*PA[[#This Row],[Lost PoA(Wh/m2)]]*PA[[#This Row],[DC Capacity Affceted (kW)]])/1000,"")</f>
        <v/>
      </c>
      <c r="AF168" s="35"/>
    </row>
    <row r="169" spans="1:32">
      <c r="A169" s="2">
        <f t="shared" si="16"/>
        <v>166</v>
      </c>
      <c r="B169" s="156">
        <f t="shared" si="14"/>
        <v>1900</v>
      </c>
      <c r="C169" s="129">
        <f t="shared" si="15"/>
        <v>1900</v>
      </c>
      <c r="I169" s="29" t="str">
        <f>IFERROR(VLOOKUP(PA[[#This Row],[Date]],Raw_Data[[Date]:[Sunset Time (POA&lt;20 W/m2)]],3,0),"")</f>
        <v/>
      </c>
      <c r="J169" s="29" t="str">
        <f>IFERROR(VLOOKUP(PA[[#This Row],[Date]],Raw_Data[[Date]:[Sunset Time (POA&lt;20 W/m2)]],4,0),"")</f>
        <v/>
      </c>
      <c r="K169" s="27" t="str">
        <f>IFERROR((PA[[#This Row],[Sunset Time (POA&lt;20 W/m2)]]-PA[[#This Row],[Sunrise Time (POA&gt;20 W/m2)]])*24,"")</f>
        <v/>
      </c>
      <c r="M169" s="46" t="str">
        <f>IFERROR(VLOOKUP(PA[[#This Row],[Affceted Equipment]],'Basic Data'!$A$2:$B$114,2,0),"")</f>
        <v/>
      </c>
      <c r="N169" s="48" t="str">
        <f>IFERROR(VLOOKUP(PA[[#This Row],[Affceted Equipment]],'Basic Data'!$A$1:$C$118,3,0),"")</f>
        <v/>
      </c>
      <c r="W169" s="33">
        <f>IF(PA[[#This Row],[Acknowledgemnet Time ]]="NA","",(PA[[#This Row],[Acknowledgemnet Time ]]-PA[[#This Row],[Fault Time]])*24)</f>
        <v>0</v>
      </c>
      <c r="X169" s="33">
        <f>IF(PA[[#This Row],[Work Start time on Fault]]="NA","",(PA[[#This Row],[Work Start time on Fault]]-PA[[#This Row],[Fault Time]])*24)</f>
        <v>0</v>
      </c>
      <c r="Y169" s="35">
        <f>(PA[[#This Row],[Work Completiuon time on fualt]]-PA[[#This Row],[Fault Time]])*24</f>
        <v>0</v>
      </c>
      <c r="Z169" s="35">
        <f>IFERROR((PA[[#This Row],[Work Completiuon time on fualt]]-PA[[#This Row],[Fault Time]])*24,"")</f>
        <v>0</v>
      </c>
      <c r="AC169" s="47" t="str">
        <f>IFERROR(PA[[#This Row],[Breakdown Time]]*PA[[#This Row],[Plant Equivalent Weightage]],"")</f>
        <v/>
      </c>
      <c r="AE169" s="33" t="str">
        <f>IFERROR((_xlfn.XLOOKUP(PA[[#This Row],[Month Year]],'Modelling New'!D:D,'Modelling New'!$O:$O)*PA[[#This Row],[Lost PoA(Wh/m2)]]*PA[[#This Row],[DC Capacity Affceted (kW)]])/1000,"")</f>
        <v/>
      </c>
      <c r="AF169" s="35"/>
    </row>
    <row r="170" spans="1:32">
      <c r="A170" s="2">
        <f t="shared" si="16"/>
        <v>167</v>
      </c>
      <c r="B170" s="156">
        <f t="shared" si="14"/>
        <v>1900</v>
      </c>
      <c r="C170" s="129">
        <f t="shared" si="15"/>
        <v>1900</v>
      </c>
      <c r="I170" s="29" t="str">
        <f>IFERROR(VLOOKUP(PA[[#This Row],[Date]],Raw_Data[[Date]:[Sunset Time (POA&lt;20 W/m2)]],3,0),"")</f>
        <v/>
      </c>
      <c r="J170" s="29" t="str">
        <f>IFERROR(VLOOKUP(PA[[#This Row],[Date]],Raw_Data[[Date]:[Sunset Time (POA&lt;20 W/m2)]],4,0),"")</f>
        <v/>
      </c>
      <c r="K170" s="27" t="str">
        <f>IFERROR((PA[[#This Row],[Sunset Time (POA&lt;20 W/m2)]]-PA[[#This Row],[Sunrise Time (POA&gt;20 W/m2)]])*24,"")</f>
        <v/>
      </c>
      <c r="M170" s="46" t="str">
        <f>IFERROR(VLOOKUP(PA[[#This Row],[Affceted Equipment]],'Basic Data'!$A$2:$B$114,2,0),"")</f>
        <v/>
      </c>
      <c r="N170" s="48" t="str">
        <f>IFERROR(VLOOKUP(PA[[#This Row],[Affceted Equipment]],'Basic Data'!$A$1:$C$118,3,0),"")</f>
        <v/>
      </c>
      <c r="W170" s="33">
        <f>IF(PA[[#This Row],[Acknowledgemnet Time ]]="NA","",(PA[[#This Row],[Acknowledgemnet Time ]]-PA[[#This Row],[Fault Time]])*24)</f>
        <v>0</v>
      </c>
      <c r="X170" s="33">
        <f>IF(PA[[#This Row],[Work Start time on Fault]]="NA","",(PA[[#This Row],[Work Start time on Fault]]-PA[[#This Row],[Fault Time]])*24)</f>
        <v>0</v>
      </c>
      <c r="Y170" s="35">
        <f>(PA[[#This Row],[Work Completiuon time on fualt]]-PA[[#This Row],[Fault Time]])*24</f>
        <v>0</v>
      </c>
      <c r="Z170" s="35">
        <f>IFERROR((PA[[#This Row],[Work Completiuon time on fualt]]-PA[[#This Row],[Fault Time]])*24,"")</f>
        <v>0</v>
      </c>
      <c r="AC170" s="47" t="str">
        <f>IFERROR(PA[[#This Row],[Breakdown Time]]*PA[[#This Row],[Plant Equivalent Weightage]],"")</f>
        <v/>
      </c>
      <c r="AE170" s="33" t="str">
        <f>IFERROR((_xlfn.XLOOKUP(PA[[#This Row],[Month Year]],'Modelling New'!D:D,'Modelling New'!$O:$O)*PA[[#This Row],[Lost PoA(Wh/m2)]]*PA[[#This Row],[DC Capacity Affceted (kW)]])/1000,"")</f>
        <v/>
      </c>
      <c r="AF170" s="35"/>
    </row>
    <row r="171" spans="1:32">
      <c r="A171" s="2">
        <f t="shared" si="16"/>
        <v>168</v>
      </c>
      <c r="B171" s="156">
        <f t="shared" si="14"/>
        <v>1900</v>
      </c>
      <c r="C171" s="129">
        <f t="shared" si="15"/>
        <v>1900</v>
      </c>
      <c r="I171" s="29" t="str">
        <f>IFERROR(VLOOKUP(PA[[#This Row],[Date]],Raw_Data[[Date]:[Sunset Time (POA&lt;20 W/m2)]],3,0),"")</f>
        <v/>
      </c>
      <c r="J171" s="29" t="str">
        <f>IFERROR(VLOOKUP(PA[[#This Row],[Date]],Raw_Data[[Date]:[Sunset Time (POA&lt;20 W/m2)]],4,0),"")</f>
        <v/>
      </c>
      <c r="K171" s="27" t="str">
        <f>IFERROR((PA[[#This Row],[Sunset Time (POA&lt;20 W/m2)]]-PA[[#This Row],[Sunrise Time (POA&gt;20 W/m2)]])*24,"")</f>
        <v/>
      </c>
      <c r="M171" s="46" t="str">
        <f>IFERROR(VLOOKUP(PA[[#This Row],[Affceted Equipment]],'Basic Data'!$A$2:$B$114,2,0),"")</f>
        <v/>
      </c>
      <c r="N171" s="48" t="str">
        <f>IFERROR(VLOOKUP(PA[[#This Row],[Affceted Equipment]],'Basic Data'!$A$1:$C$118,3,0),"")</f>
        <v/>
      </c>
      <c r="W171" s="33">
        <f>IF(PA[[#This Row],[Acknowledgemnet Time ]]="NA","",(PA[[#This Row],[Acknowledgemnet Time ]]-PA[[#This Row],[Fault Time]])*24)</f>
        <v>0</v>
      </c>
      <c r="X171" s="33">
        <f>IF(PA[[#This Row],[Work Start time on Fault]]="NA","",(PA[[#This Row],[Work Start time on Fault]]-PA[[#This Row],[Fault Time]])*24)</f>
        <v>0</v>
      </c>
      <c r="Y171" s="35">
        <f>(PA[[#This Row],[Work Completiuon time on fualt]]-PA[[#This Row],[Fault Time]])*24</f>
        <v>0</v>
      </c>
      <c r="Z171" s="35">
        <f>IFERROR((PA[[#This Row],[Work Completiuon time on fualt]]-PA[[#This Row],[Fault Time]])*24,"")</f>
        <v>0</v>
      </c>
      <c r="AC171" s="47" t="str">
        <f>IFERROR(PA[[#This Row],[Breakdown Time]]*PA[[#This Row],[Plant Equivalent Weightage]],"")</f>
        <v/>
      </c>
      <c r="AE171" s="33" t="str">
        <f>IFERROR((_xlfn.XLOOKUP(PA[[#This Row],[Month Year]],'Modelling New'!D:D,'Modelling New'!$O:$O)*PA[[#This Row],[Lost PoA(Wh/m2)]]*PA[[#This Row],[DC Capacity Affceted (kW)]])/1000,"")</f>
        <v/>
      </c>
      <c r="AF171" s="35"/>
    </row>
    <row r="172" spans="1:32">
      <c r="A172" s="2">
        <f t="shared" si="16"/>
        <v>169</v>
      </c>
      <c r="B172" s="156">
        <f t="shared" si="14"/>
        <v>1900</v>
      </c>
      <c r="C172" s="129">
        <f t="shared" si="15"/>
        <v>1900</v>
      </c>
      <c r="I172" s="29" t="str">
        <f>IFERROR(VLOOKUP(PA[[#This Row],[Date]],Raw_Data[[Date]:[Sunset Time (POA&lt;20 W/m2)]],3,0),"")</f>
        <v/>
      </c>
      <c r="J172" s="29" t="str">
        <f>IFERROR(VLOOKUP(PA[[#This Row],[Date]],Raw_Data[[Date]:[Sunset Time (POA&lt;20 W/m2)]],4,0),"")</f>
        <v/>
      </c>
      <c r="K172" s="27" t="str">
        <f>IFERROR((PA[[#This Row],[Sunset Time (POA&lt;20 W/m2)]]-PA[[#This Row],[Sunrise Time (POA&gt;20 W/m2)]])*24,"")</f>
        <v/>
      </c>
      <c r="M172" s="46" t="str">
        <f>IFERROR(VLOOKUP(PA[[#This Row],[Affceted Equipment]],'Basic Data'!$A$2:$B$114,2,0),"")</f>
        <v/>
      </c>
      <c r="N172" s="48" t="str">
        <f>IFERROR(VLOOKUP(PA[[#This Row],[Affceted Equipment]],'Basic Data'!$A$1:$C$118,3,0),"")</f>
        <v/>
      </c>
      <c r="W172" s="33">
        <f>IF(PA[[#This Row],[Acknowledgemnet Time ]]="NA","",(PA[[#This Row],[Acknowledgemnet Time ]]-PA[[#This Row],[Fault Time]])*24)</f>
        <v>0</v>
      </c>
      <c r="X172" s="33">
        <f>IF(PA[[#This Row],[Work Start time on Fault]]="NA","",(PA[[#This Row],[Work Start time on Fault]]-PA[[#This Row],[Fault Time]])*24)</f>
        <v>0</v>
      </c>
      <c r="Y172" s="35">
        <f>(PA[[#This Row],[Work Completiuon time on fualt]]-PA[[#This Row],[Fault Time]])*24</f>
        <v>0</v>
      </c>
      <c r="Z172" s="35">
        <f>IFERROR((PA[[#This Row],[Work Completiuon time on fualt]]-PA[[#This Row],[Fault Time]])*24,"")</f>
        <v>0</v>
      </c>
      <c r="AC172" s="47" t="str">
        <f>IFERROR(PA[[#This Row],[Breakdown Time]]*PA[[#This Row],[Plant Equivalent Weightage]],"")</f>
        <v/>
      </c>
      <c r="AE172" s="33" t="str">
        <f>IFERROR((_xlfn.XLOOKUP(PA[[#This Row],[Month Year]],'Modelling New'!D:D,'Modelling New'!$O:$O)*PA[[#This Row],[Lost PoA(Wh/m2)]]*PA[[#This Row],[DC Capacity Affceted (kW)]])/1000,"")</f>
        <v/>
      </c>
      <c r="AF172" s="35"/>
    </row>
    <row r="173" spans="1:32">
      <c r="A173" s="2">
        <f t="shared" si="16"/>
        <v>170</v>
      </c>
      <c r="B173" s="156">
        <f t="shared" si="14"/>
        <v>1900</v>
      </c>
      <c r="C173" s="129">
        <f t="shared" si="15"/>
        <v>1900</v>
      </c>
      <c r="I173" s="29" t="str">
        <f>IFERROR(VLOOKUP(PA[[#This Row],[Date]],Raw_Data[[Date]:[Sunset Time (POA&lt;20 W/m2)]],3,0),"")</f>
        <v/>
      </c>
      <c r="J173" s="29" t="str">
        <f>IFERROR(VLOOKUP(PA[[#This Row],[Date]],Raw_Data[[Date]:[Sunset Time (POA&lt;20 W/m2)]],4,0),"")</f>
        <v/>
      </c>
      <c r="K173" s="27" t="str">
        <f>IFERROR((PA[[#This Row],[Sunset Time (POA&lt;20 W/m2)]]-PA[[#This Row],[Sunrise Time (POA&gt;20 W/m2)]])*24,"")</f>
        <v/>
      </c>
      <c r="M173" s="46" t="str">
        <f>IFERROR(VLOOKUP(PA[[#This Row],[Affceted Equipment]],'Basic Data'!$A$2:$B$114,2,0),"")</f>
        <v/>
      </c>
      <c r="N173" s="48" t="str">
        <f>IFERROR(VLOOKUP(PA[[#This Row],[Affceted Equipment]],'Basic Data'!$A$1:$C$118,3,0),"")</f>
        <v/>
      </c>
      <c r="W173" s="33">
        <f>IF(PA[[#This Row],[Acknowledgemnet Time ]]="NA","",(PA[[#This Row],[Acknowledgemnet Time ]]-PA[[#This Row],[Fault Time]])*24)</f>
        <v>0</v>
      </c>
      <c r="X173" s="33">
        <f>IF(PA[[#This Row],[Work Start time on Fault]]="NA","",(PA[[#This Row],[Work Start time on Fault]]-PA[[#This Row],[Fault Time]])*24)</f>
        <v>0</v>
      </c>
      <c r="Y173" s="35">
        <f>(PA[[#This Row],[Work Completiuon time on fualt]]-PA[[#This Row],[Fault Time]])*24</f>
        <v>0</v>
      </c>
      <c r="Z173" s="35">
        <f>IFERROR((PA[[#This Row],[Work Completiuon time on fualt]]-PA[[#This Row],[Fault Time]])*24,"")</f>
        <v>0</v>
      </c>
      <c r="AC173" s="47" t="str">
        <f>IFERROR(PA[[#This Row],[Breakdown Time]]*PA[[#This Row],[Plant Equivalent Weightage]],"")</f>
        <v/>
      </c>
      <c r="AE173" s="33" t="str">
        <f>IFERROR((_xlfn.XLOOKUP(PA[[#This Row],[Month Year]],'Modelling New'!D:D,'Modelling New'!$O:$O)*PA[[#This Row],[Lost PoA(Wh/m2)]]*PA[[#This Row],[DC Capacity Affceted (kW)]])/1000,"")</f>
        <v/>
      </c>
      <c r="AF173" s="35"/>
    </row>
    <row r="174" spans="1:32">
      <c r="A174" s="2">
        <f t="shared" si="16"/>
        <v>171</v>
      </c>
      <c r="B174" s="156">
        <f t="shared" si="14"/>
        <v>1900</v>
      </c>
      <c r="C174" s="129">
        <f t="shared" si="15"/>
        <v>1900</v>
      </c>
      <c r="I174" s="29" t="str">
        <f>IFERROR(VLOOKUP(PA[[#This Row],[Date]],Raw_Data[[Date]:[Sunset Time (POA&lt;20 W/m2)]],3,0),"")</f>
        <v/>
      </c>
      <c r="J174" s="29" t="str">
        <f>IFERROR(VLOOKUP(PA[[#This Row],[Date]],Raw_Data[[Date]:[Sunset Time (POA&lt;20 W/m2)]],4,0),"")</f>
        <v/>
      </c>
      <c r="K174" s="27" t="str">
        <f>IFERROR((PA[[#This Row],[Sunset Time (POA&lt;20 W/m2)]]-PA[[#This Row],[Sunrise Time (POA&gt;20 W/m2)]])*24,"")</f>
        <v/>
      </c>
      <c r="M174" s="46" t="str">
        <f>IFERROR(VLOOKUP(PA[[#This Row],[Affceted Equipment]],'Basic Data'!$A$2:$B$114,2,0),"")</f>
        <v/>
      </c>
      <c r="N174" s="48" t="str">
        <f>IFERROR(VLOOKUP(PA[[#This Row],[Affceted Equipment]],'Basic Data'!$A$1:$C$118,3,0),"")</f>
        <v/>
      </c>
      <c r="W174" s="33">
        <f>IF(PA[[#This Row],[Acknowledgemnet Time ]]="NA","",(PA[[#This Row],[Acknowledgemnet Time ]]-PA[[#This Row],[Fault Time]])*24)</f>
        <v>0</v>
      </c>
      <c r="X174" s="33">
        <f>IF(PA[[#This Row],[Work Start time on Fault]]="NA","",(PA[[#This Row],[Work Start time on Fault]]-PA[[#This Row],[Fault Time]])*24)</f>
        <v>0</v>
      </c>
      <c r="Y174" s="35">
        <f>(PA[[#This Row],[Work Completiuon time on fualt]]-PA[[#This Row],[Fault Time]])*24</f>
        <v>0</v>
      </c>
      <c r="Z174" s="35">
        <f>IFERROR((PA[[#This Row],[Work Completiuon time on fualt]]-PA[[#This Row],[Fault Time]])*24,"")</f>
        <v>0</v>
      </c>
      <c r="AC174" s="47" t="str">
        <f>IFERROR(PA[[#This Row],[Breakdown Time]]*PA[[#This Row],[Plant Equivalent Weightage]],"")</f>
        <v/>
      </c>
      <c r="AE174" s="33" t="str">
        <f>IFERROR((_xlfn.XLOOKUP(PA[[#This Row],[Month Year]],'Modelling New'!D:D,'Modelling New'!$O:$O)*PA[[#This Row],[Lost PoA(Wh/m2)]]*PA[[#This Row],[DC Capacity Affceted (kW)]])/1000,"")</f>
        <v/>
      </c>
      <c r="AF174" s="35"/>
    </row>
    <row r="175" spans="1:32">
      <c r="A175" s="2">
        <f t="shared" si="16"/>
        <v>172</v>
      </c>
      <c r="B175" s="156">
        <f t="shared" si="14"/>
        <v>1900</v>
      </c>
      <c r="C175" s="129">
        <f t="shared" si="15"/>
        <v>1900</v>
      </c>
      <c r="I175" s="29" t="str">
        <f>IFERROR(VLOOKUP(PA[[#This Row],[Date]],Raw_Data[[Date]:[Sunset Time (POA&lt;20 W/m2)]],3,0),"")</f>
        <v/>
      </c>
      <c r="J175" s="29" t="str">
        <f>IFERROR(VLOOKUP(PA[[#This Row],[Date]],Raw_Data[[Date]:[Sunset Time (POA&lt;20 W/m2)]],4,0),"")</f>
        <v/>
      </c>
      <c r="K175" s="27" t="str">
        <f>IFERROR((PA[[#This Row],[Sunset Time (POA&lt;20 W/m2)]]-PA[[#This Row],[Sunrise Time (POA&gt;20 W/m2)]])*24,"")</f>
        <v/>
      </c>
      <c r="M175" s="46" t="str">
        <f>IFERROR(VLOOKUP(PA[[#This Row],[Affceted Equipment]],'Basic Data'!$A$2:$B$114,2,0),"")</f>
        <v/>
      </c>
      <c r="N175" s="48" t="str">
        <f>IFERROR(VLOOKUP(PA[[#This Row],[Affceted Equipment]],'Basic Data'!$A$1:$C$118,3,0),"")</f>
        <v/>
      </c>
      <c r="W175" s="33">
        <f>IF(PA[[#This Row],[Acknowledgemnet Time ]]="NA","",(PA[[#This Row],[Acknowledgemnet Time ]]-PA[[#This Row],[Fault Time]])*24)</f>
        <v>0</v>
      </c>
      <c r="X175" s="33">
        <f>IF(PA[[#This Row],[Work Start time on Fault]]="NA","",(PA[[#This Row],[Work Start time on Fault]]-PA[[#This Row],[Fault Time]])*24)</f>
        <v>0</v>
      </c>
      <c r="Y175" s="35">
        <f>(PA[[#This Row],[Work Completiuon time on fualt]]-PA[[#This Row],[Fault Time]])*24</f>
        <v>0</v>
      </c>
      <c r="Z175" s="35">
        <f>IFERROR((PA[[#This Row],[Work Completiuon time on fualt]]-PA[[#This Row],[Fault Time]])*24,"")</f>
        <v>0</v>
      </c>
      <c r="AC175" s="47" t="str">
        <f>IFERROR(PA[[#This Row],[Breakdown Time]]*PA[[#This Row],[Plant Equivalent Weightage]],"")</f>
        <v/>
      </c>
      <c r="AE175" s="33" t="str">
        <f>IFERROR((_xlfn.XLOOKUP(PA[[#This Row],[Month Year]],'Modelling New'!D:D,'Modelling New'!$O:$O)*PA[[#This Row],[Lost PoA(Wh/m2)]]*PA[[#This Row],[DC Capacity Affceted (kW)]])/1000,"")</f>
        <v/>
      </c>
      <c r="AF175" s="35"/>
    </row>
    <row r="176" spans="1:32">
      <c r="A176" s="2">
        <f t="shared" si="16"/>
        <v>173</v>
      </c>
      <c r="B176" s="156">
        <f t="shared" si="14"/>
        <v>1900</v>
      </c>
      <c r="C176" s="129">
        <f t="shared" si="15"/>
        <v>1900</v>
      </c>
      <c r="I176" s="29" t="str">
        <f>IFERROR(VLOOKUP(PA[[#This Row],[Date]],Raw_Data[[Date]:[Sunset Time (POA&lt;20 W/m2)]],3,0),"")</f>
        <v/>
      </c>
      <c r="J176" s="29" t="str">
        <f>IFERROR(VLOOKUP(PA[[#This Row],[Date]],Raw_Data[[Date]:[Sunset Time (POA&lt;20 W/m2)]],4,0),"")</f>
        <v/>
      </c>
      <c r="K176" s="27" t="str">
        <f>IFERROR((PA[[#This Row],[Sunset Time (POA&lt;20 W/m2)]]-PA[[#This Row],[Sunrise Time (POA&gt;20 W/m2)]])*24,"")</f>
        <v/>
      </c>
      <c r="M176" s="46" t="str">
        <f>IFERROR(VLOOKUP(PA[[#This Row],[Affceted Equipment]],'Basic Data'!$A$2:$B$114,2,0),"")</f>
        <v/>
      </c>
      <c r="N176" s="48" t="str">
        <f>IFERROR(VLOOKUP(PA[[#This Row],[Affceted Equipment]],'Basic Data'!$A$1:$C$118,3,0),"")</f>
        <v/>
      </c>
      <c r="W176" s="33">
        <f>IF(PA[[#This Row],[Acknowledgemnet Time ]]="NA","",(PA[[#This Row],[Acknowledgemnet Time ]]-PA[[#This Row],[Fault Time]])*24)</f>
        <v>0</v>
      </c>
      <c r="X176" s="33">
        <f>IF(PA[[#This Row],[Work Start time on Fault]]="NA","",(PA[[#This Row],[Work Start time on Fault]]-PA[[#This Row],[Fault Time]])*24)</f>
        <v>0</v>
      </c>
      <c r="Y176" s="35">
        <f>(PA[[#This Row],[Work Completiuon time on fualt]]-PA[[#This Row],[Fault Time]])*24</f>
        <v>0</v>
      </c>
      <c r="Z176" s="35">
        <f>IFERROR((PA[[#This Row],[Work Completiuon time on fualt]]-PA[[#This Row],[Fault Time]])*24,"")</f>
        <v>0</v>
      </c>
      <c r="AC176" s="47" t="str">
        <f>IFERROR(PA[[#This Row],[Breakdown Time]]*PA[[#This Row],[Plant Equivalent Weightage]],"")</f>
        <v/>
      </c>
      <c r="AE176" s="33" t="str">
        <f>IFERROR((_xlfn.XLOOKUP(PA[[#This Row],[Month Year]],'Modelling New'!D:D,'Modelling New'!$O:$O)*PA[[#This Row],[Lost PoA(Wh/m2)]]*PA[[#This Row],[DC Capacity Affceted (kW)]])/1000,"")</f>
        <v/>
      </c>
      <c r="AF176" s="35"/>
    </row>
    <row r="177" spans="1:32">
      <c r="A177" s="2">
        <f t="shared" si="16"/>
        <v>174</v>
      </c>
      <c r="B177" s="156">
        <f t="shared" si="14"/>
        <v>1900</v>
      </c>
      <c r="C177" s="129">
        <f t="shared" si="15"/>
        <v>1900</v>
      </c>
      <c r="I177" s="29" t="str">
        <f>IFERROR(VLOOKUP(PA[[#This Row],[Date]],Raw_Data[[Date]:[Sunset Time (POA&lt;20 W/m2)]],3,0),"")</f>
        <v/>
      </c>
      <c r="J177" s="29" t="str">
        <f>IFERROR(VLOOKUP(PA[[#This Row],[Date]],Raw_Data[[Date]:[Sunset Time (POA&lt;20 W/m2)]],4,0),"")</f>
        <v/>
      </c>
      <c r="K177" s="27" t="str">
        <f>IFERROR((PA[[#This Row],[Sunset Time (POA&lt;20 W/m2)]]-PA[[#This Row],[Sunrise Time (POA&gt;20 W/m2)]])*24,"")</f>
        <v/>
      </c>
      <c r="M177" s="46" t="str">
        <f>IFERROR(VLOOKUP(PA[[#This Row],[Affceted Equipment]],'Basic Data'!$A$2:$B$114,2,0),"")</f>
        <v/>
      </c>
      <c r="N177" s="48" t="str">
        <f>IFERROR(VLOOKUP(PA[[#This Row],[Affceted Equipment]],'Basic Data'!$A$1:$C$118,3,0),"")</f>
        <v/>
      </c>
      <c r="W177" s="33">
        <f>IF(PA[[#This Row],[Acknowledgemnet Time ]]="NA","",(PA[[#This Row],[Acknowledgemnet Time ]]-PA[[#This Row],[Fault Time]])*24)</f>
        <v>0</v>
      </c>
      <c r="X177" s="33">
        <f>IF(PA[[#This Row],[Work Start time on Fault]]="NA","",(PA[[#This Row],[Work Start time on Fault]]-PA[[#This Row],[Fault Time]])*24)</f>
        <v>0</v>
      </c>
      <c r="Y177" s="35">
        <f>(PA[[#This Row],[Work Completiuon time on fualt]]-PA[[#This Row],[Fault Time]])*24</f>
        <v>0</v>
      </c>
      <c r="Z177" s="35">
        <f>IFERROR((PA[[#This Row],[Work Completiuon time on fualt]]-PA[[#This Row],[Fault Time]])*24,"")</f>
        <v>0</v>
      </c>
      <c r="AC177" s="47" t="str">
        <f>IFERROR(PA[[#This Row],[Breakdown Time]]*PA[[#This Row],[Plant Equivalent Weightage]],"")</f>
        <v/>
      </c>
      <c r="AE177" s="33" t="str">
        <f>IFERROR((_xlfn.XLOOKUP(PA[[#This Row],[Month Year]],'Modelling New'!D:D,'Modelling New'!$O:$O)*PA[[#This Row],[Lost PoA(Wh/m2)]]*PA[[#This Row],[DC Capacity Affceted (kW)]])/1000,"")</f>
        <v/>
      </c>
      <c r="AF177" s="35"/>
    </row>
    <row r="178" spans="1:32">
      <c r="A178" s="2">
        <f t="shared" si="16"/>
        <v>175</v>
      </c>
      <c r="B178" s="156">
        <f t="shared" si="14"/>
        <v>1900</v>
      </c>
      <c r="C178" s="129">
        <f t="shared" si="15"/>
        <v>1900</v>
      </c>
      <c r="I178" s="29" t="str">
        <f>IFERROR(VLOOKUP(PA[[#This Row],[Date]],Raw_Data[[Date]:[Sunset Time (POA&lt;20 W/m2)]],3,0),"")</f>
        <v/>
      </c>
      <c r="J178" s="29" t="str">
        <f>IFERROR(VLOOKUP(PA[[#This Row],[Date]],Raw_Data[[Date]:[Sunset Time (POA&lt;20 W/m2)]],4,0),"")</f>
        <v/>
      </c>
      <c r="K178" s="27" t="str">
        <f>IFERROR((PA[[#This Row],[Sunset Time (POA&lt;20 W/m2)]]-PA[[#This Row],[Sunrise Time (POA&gt;20 W/m2)]])*24,"")</f>
        <v/>
      </c>
      <c r="M178" s="46" t="str">
        <f>IFERROR(VLOOKUP(PA[[#This Row],[Affceted Equipment]],'Basic Data'!$A$2:$B$114,2,0),"")</f>
        <v/>
      </c>
      <c r="N178" s="48" t="str">
        <f>IFERROR(VLOOKUP(PA[[#This Row],[Affceted Equipment]],'Basic Data'!$A$1:$C$118,3,0),"")</f>
        <v/>
      </c>
      <c r="W178" s="33">
        <f>IF(PA[[#This Row],[Acknowledgemnet Time ]]="NA","",(PA[[#This Row],[Acknowledgemnet Time ]]-PA[[#This Row],[Fault Time]])*24)</f>
        <v>0</v>
      </c>
      <c r="X178" s="33">
        <f>IF(PA[[#This Row],[Work Start time on Fault]]="NA","",(PA[[#This Row],[Work Start time on Fault]]-PA[[#This Row],[Fault Time]])*24)</f>
        <v>0</v>
      </c>
      <c r="Y178" s="35">
        <f>(PA[[#This Row],[Work Completiuon time on fualt]]-PA[[#This Row],[Fault Time]])*24</f>
        <v>0</v>
      </c>
      <c r="Z178" s="35">
        <f>IFERROR((PA[[#This Row],[Work Completiuon time on fualt]]-PA[[#This Row],[Fault Time]])*24,"")</f>
        <v>0</v>
      </c>
      <c r="AC178" s="47" t="str">
        <f>IFERROR(PA[[#This Row],[Breakdown Time]]*PA[[#This Row],[Plant Equivalent Weightage]],"")</f>
        <v/>
      </c>
      <c r="AE178" s="33" t="str">
        <f>IFERROR((_xlfn.XLOOKUP(PA[[#This Row],[Month Year]],'Modelling New'!D:D,'Modelling New'!$O:$O)*PA[[#This Row],[Lost PoA(Wh/m2)]]*PA[[#This Row],[DC Capacity Affceted (kW)]])/1000,"")</f>
        <v/>
      </c>
      <c r="AF178" s="35"/>
    </row>
    <row r="179" spans="1:32">
      <c r="A179" s="2">
        <f t="shared" si="16"/>
        <v>176</v>
      </c>
      <c r="B179" s="156">
        <f t="shared" si="14"/>
        <v>1900</v>
      </c>
      <c r="C179" s="129">
        <f t="shared" si="15"/>
        <v>1900</v>
      </c>
      <c r="I179" s="29" t="str">
        <f>IFERROR(VLOOKUP(PA[[#This Row],[Date]],Raw_Data[[Date]:[Sunset Time (POA&lt;20 W/m2)]],3,0),"")</f>
        <v/>
      </c>
      <c r="J179" s="29" t="str">
        <f>IFERROR(VLOOKUP(PA[[#This Row],[Date]],Raw_Data[[Date]:[Sunset Time (POA&lt;20 W/m2)]],4,0),"")</f>
        <v/>
      </c>
      <c r="K179" s="27" t="str">
        <f>IFERROR((PA[[#This Row],[Sunset Time (POA&lt;20 W/m2)]]-PA[[#This Row],[Sunrise Time (POA&gt;20 W/m2)]])*24,"")</f>
        <v/>
      </c>
      <c r="M179" s="46" t="str">
        <f>IFERROR(VLOOKUP(PA[[#This Row],[Affceted Equipment]],'Basic Data'!$A$2:$B$114,2,0),"")</f>
        <v/>
      </c>
      <c r="N179" s="48" t="str">
        <f>IFERROR(VLOOKUP(PA[[#This Row],[Affceted Equipment]],'Basic Data'!$A$1:$C$118,3,0),"")</f>
        <v/>
      </c>
      <c r="W179" s="33">
        <f>IF(PA[[#This Row],[Acknowledgemnet Time ]]="NA","",(PA[[#This Row],[Acknowledgemnet Time ]]-PA[[#This Row],[Fault Time]])*24)</f>
        <v>0</v>
      </c>
      <c r="X179" s="33">
        <f>IF(PA[[#This Row],[Work Start time on Fault]]="NA","",(PA[[#This Row],[Work Start time on Fault]]-PA[[#This Row],[Fault Time]])*24)</f>
        <v>0</v>
      </c>
      <c r="Y179" s="35">
        <f>(PA[[#This Row],[Work Completiuon time on fualt]]-PA[[#This Row],[Fault Time]])*24</f>
        <v>0</v>
      </c>
      <c r="Z179" s="35">
        <f>IFERROR((PA[[#This Row],[Work Completiuon time on fualt]]-PA[[#This Row],[Fault Time]])*24,"")</f>
        <v>0</v>
      </c>
      <c r="AC179" s="47" t="str">
        <f>IFERROR(PA[[#This Row],[Breakdown Time]]*PA[[#This Row],[Plant Equivalent Weightage]],"")</f>
        <v/>
      </c>
      <c r="AE179" s="33" t="str">
        <f>IFERROR((_xlfn.XLOOKUP(PA[[#This Row],[Month Year]],'Modelling New'!D:D,'Modelling New'!$O:$O)*PA[[#This Row],[Lost PoA(Wh/m2)]]*PA[[#This Row],[DC Capacity Affceted (kW)]])/1000,"")</f>
        <v/>
      </c>
      <c r="AF179" s="35"/>
    </row>
    <row r="180" spans="1:32">
      <c r="A180" s="2">
        <f t="shared" si="16"/>
        <v>177</v>
      </c>
      <c r="B180" s="156">
        <f t="shared" si="14"/>
        <v>1900</v>
      </c>
      <c r="C180" s="129">
        <f t="shared" si="15"/>
        <v>1900</v>
      </c>
      <c r="I180" s="29" t="str">
        <f>IFERROR(VLOOKUP(PA[[#This Row],[Date]],Raw_Data[[Date]:[Sunset Time (POA&lt;20 W/m2)]],3,0),"")</f>
        <v/>
      </c>
      <c r="J180" s="29" t="str">
        <f>IFERROR(VLOOKUP(PA[[#This Row],[Date]],Raw_Data[[Date]:[Sunset Time (POA&lt;20 W/m2)]],4,0),"")</f>
        <v/>
      </c>
      <c r="K180" s="27" t="str">
        <f>IFERROR((PA[[#This Row],[Sunset Time (POA&lt;20 W/m2)]]-PA[[#This Row],[Sunrise Time (POA&gt;20 W/m2)]])*24,"")</f>
        <v/>
      </c>
      <c r="M180" s="46" t="str">
        <f>IFERROR(VLOOKUP(PA[[#This Row],[Affceted Equipment]],'Basic Data'!$A$2:$B$114,2,0),"")</f>
        <v/>
      </c>
      <c r="N180" s="48" t="str">
        <f>IFERROR(VLOOKUP(PA[[#This Row],[Affceted Equipment]],'Basic Data'!$A$1:$C$118,3,0),"")</f>
        <v/>
      </c>
      <c r="W180" s="33">
        <f>IF(PA[[#This Row],[Acknowledgemnet Time ]]="NA","",(PA[[#This Row],[Acknowledgemnet Time ]]-PA[[#This Row],[Fault Time]])*24)</f>
        <v>0</v>
      </c>
      <c r="X180" s="33">
        <f>IF(PA[[#This Row],[Work Start time on Fault]]="NA","",(PA[[#This Row],[Work Start time on Fault]]-PA[[#This Row],[Fault Time]])*24)</f>
        <v>0</v>
      </c>
      <c r="Y180" s="35">
        <f>(PA[[#This Row],[Work Completiuon time on fualt]]-PA[[#This Row],[Fault Time]])*24</f>
        <v>0</v>
      </c>
      <c r="Z180" s="35">
        <f>IFERROR((PA[[#This Row],[Work Completiuon time on fualt]]-PA[[#This Row],[Fault Time]])*24,"")</f>
        <v>0</v>
      </c>
      <c r="AC180" s="47" t="str">
        <f>IFERROR(PA[[#This Row],[Breakdown Time]]*PA[[#This Row],[Plant Equivalent Weightage]],"")</f>
        <v/>
      </c>
      <c r="AE180" s="33" t="str">
        <f>IFERROR((_xlfn.XLOOKUP(PA[[#This Row],[Month Year]],'Modelling New'!D:D,'Modelling New'!$O:$O)*PA[[#This Row],[Lost PoA(Wh/m2)]]*PA[[#This Row],[DC Capacity Affceted (kW)]])/1000,"")</f>
        <v/>
      </c>
      <c r="AF180" s="35"/>
    </row>
    <row r="181" spans="1:32">
      <c r="A181" s="2">
        <f t="shared" si="16"/>
        <v>178</v>
      </c>
      <c r="B181" s="156">
        <f t="shared" si="14"/>
        <v>1900</v>
      </c>
      <c r="C181" s="129">
        <f t="shared" si="15"/>
        <v>1900</v>
      </c>
      <c r="I181" s="29" t="str">
        <f>IFERROR(VLOOKUP(PA[[#This Row],[Date]],Raw_Data[[Date]:[Sunset Time (POA&lt;20 W/m2)]],3,0),"")</f>
        <v/>
      </c>
      <c r="J181" s="29" t="str">
        <f>IFERROR(VLOOKUP(PA[[#This Row],[Date]],Raw_Data[[Date]:[Sunset Time (POA&lt;20 W/m2)]],4,0),"")</f>
        <v/>
      </c>
      <c r="K181" s="27" t="str">
        <f>IFERROR((PA[[#This Row],[Sunset Time (POA&lt;20 W/m2)]]-PA[[#This Row],[Sunrise Time (POA&gt;20 W/m2)]])*24,"")</f>
        <v/>
      </c>
      <c r="M181" s="46" t="str">
        <f>IFERROR(VLOOKUP(PA[[#This Row],[Affceted Equipment]],'Basic Data'!$A$2:$B$114,2,0),"")</f>
        <v/>
      </c>
      <c r="N181" s="48" t="str">
        <f>IFERROR(VLOOKUP(PA[[#This Row],[Affceted Equipment]],'Basic Data'!$A$1:$C$118,3,0),"")</f>
        <v/>
      </c>
      <c r="W181" s="33">
        <f>IF(PA[[#This Row],[Acknowledgemnet Time ]]="NA","",(PA[[#This Row],[Acknowledgemnet Time ]]-PA[[#This Row],[Fault Time]])*24)</f>
        <v>0</v>
      </c>
      <c r="X181" s="33">
        <f>IF(PA[[#This Row],[Work Start time on Fault]]="NA","",(PA[[#This Row],[Work Start time on Fault]]-PA[[#This Row],[Fault Time]])*24)</f>
        <v>0</v>
      </c>
      <c r="Y181" s="35">
        <f>(PA[[#This Row],[Work Completiuon time on fualt]]-PA[[#This Row],[Fault Time]])*24</f>
        <v>0</v>
      </c>
      <c r="Z181" s="35">
        <f>IFERROR((PA[[#This Row],[Work Completiuon time on fualt]]-PA[[#This Row],[Fault Time]])*24,"")</f>
        <v>0</v>
      </c>
      <c r="AC181" s="47" t="str">
        <f>IFERROR(PA[[#This Row],[Breakdown Time]]*PA[[#This Row],[Plant Equivalent Weightage]],"")</f>
        <v/>
      </c>
      <c r="AE181" s="33" t="str">
        <f>IFERROR((_xlfn.XLOOKUP(PA[[#This Row],[Month Year]],'Modelling New'!D:D,'Modelling New'!$O:$O)*PA[[#This Row],[Lost PoA(Wh/m2)]]*PA[[#This Row],[DC Capacity Affceted (kW)]])/1000,"")</f>
        <v/>
      </c>
      <c r="AF181" s="35"/>
    </row>
    <row r="182" spans="1:32">
      <c r="A182" s="2">
        <f t="shared" si="16"/>
        <v>179</v>
      </c>
      <c r="B182" s="156">
        <f t="shared" si="14"/>
        <v>1900</v>
      </c>
      <c r="C182" s="129">
        <f t="shared" si="15"/>
        <v>1900</v>
      </c>
      <c r="I182" s="29" t="str">
        <f>IFERROR(VLOOKUP(PA[[#This Row],[Date]],Raw_Data[[Date]:[Sunset Time (POA&lt;20 W/m2)]],3,0),"")</f>
        <v/>
      </c>
      <c r="J182" s="29" t="str">
        <f>IFERROR(VLOOKUP(PA[[#This Row],[Date]],Raw_Data[[Date]:[Sunset Time (POA&lt;20 W/m2)]],4,0),"")</f>
        <v/>
      </c>
      <c r="K182" s="27" t="str">
        <f>IFERROR((PA[[#This Row],[Sunset Time (POA&lt;20 W/m2)]]-PA[[#This Row],[Sunrise Time (POA&gt;20 W/m2)]])*24,"")</f>
        <v/>
      </c>
      <c r="M182" s="46" t="str">
        <f>IFERROR(VLOOKUP(PA[[#This Row],[Affceted Equipment]],'Basic Data'!$A$2:$B$114,2,0),"")</f>
        <v/>
      </c>
      <c r="N182" s="48" t="str">
        <f>IFERROR(VLOOKUP(PA[[#This Row],[Affceted Equipment]],'Basic Data'!$A$1:$C$118,3,0),"")</f>
        <v/>
      </c>
      <c r="W182" s="33">
        <f>IF(PA[[#This Row],[Acknowledgemnet Time ]]="NA","",(PA[[#This Row],[Acknowledgemnet Time ]]-PA[[#This Row],[Fault Time]])*24)</f>
        <v>0</v>
      </c>
      <c r="X182" s="33">
        <f>IF(PA[[#This Row],[Work Start time on Fault]]="NA","",(PA[[#This Row],[Work Start time on Fault]]-PA[[#This Row],[Fault Time]])*24)</f>
        <v>0</v>
      </c>
      <c r="Y182" s="35">
        <f>(PA[[#This Row],[Work Completiuon time on fualt]]-PA[[#This Row],[Fault Time]])*24</f>
        <v>0</v>
      </c>
      <c r="Z182" s="35">
        <f>IFERROR((PA[[#This Row],[Work Completiuon time on fualt]]-PA[[#This Row],[Fault Time]])*24,"")</f>
        <v>0</v>
      </c>
      <c r="AC182" s="47" t="str">
        <f>IFERROR(PA[[#This Row],[Breakdown Time]]*PA[[#This Row],[Plant Equivalent Weightage]],"")</f>
        <v/>
      </c>
      <c r="AE182" s="33" t="str">
        <f>IFERROR((_xlfn.XLOOKUP(PA[[#This Row],[Month Year]],'Modelling New'!D:D,'Modelling New'!$O:$O)*PA[[#This Row],[Lost PoA(Wh/m2)]]*PA[[#This Row],[DC Capacity Affceted (kW)]])/1000,"")</f>
        <v/>
      </c>
      <c r="AF182" s="35"/>
    </row>
    <row r="183" spans="1:32">
      <c r="A183" s="2">
        <f t="shared" si="16"/>
        <v>180</v>
      </c>
      <c r="B183" s="156">
        <f t="shared" si="14"/>
        <v>1900</v>
      </c>
      <c r="C183" s="129">
        <f t="shared" si="15"/>
        <v>1900</v>
      </c>
      <c r="I183" s="29" t="str">
        <f>IFERROR(VLOOKUP(PA[[#This Row],[Date]],Raw_Data[[Date]:[Sunset Time (POA&lt;20 W/m2)]],3,0),"")</f>
        <v/>
      </c>
      <c r="J183" s="29" t="str">
        <f>IFERROR(VLOOKUP(PA[[#This Row],[Date]],Raw_Data[[Date]:[Sunset Time (POA&lt;20 W/m2)]],4,0),"")</f>
        <v/>
      </c>
      <c r="K183" s="27" t="str">
        <f>IFERROR((PA[[#This Row],[Sunset Time (POA&lt;20 W/m2)]]-PA[[#This Row],[Sunrise Time (POA&gt;20 W/m2)]])*24,"")</f>
        <v/>
      </c>
      <c r="M183" s="46" t="str">
        <f>IFERROR(VLOOKUP(PA[[#This Row],[Affceted Equipment]],'Basic Data'!$A$2:$B$114,2,0),"")</f>
        <v/>
      </c>
      <c r="N183" s="48" t="str">
        <f>IFERROR(VLOOKUP(PA[[#This Row],[Affceted Equipment]],'Basic Data'!$A$1:$C$118,3,0),"")</f>
        <v/>
      </c>
      <c r="W183" s="33">
        <f>IF(PA[[#This Row],[Acknowledgemnet Time ]]="NA","",(PA[[#This Row],[Acknowledgemnet Time ]]-PA[[#This Row],[Fault Time]])*24)</f>
        <v>0</v>
      </c>
      <c r="X183" s="33">
        <f>IF(PA[[#This Row],[Work Start time on Fault]]="NA","",(PA[[#This Row],[Work Start time on Fault]]-PA[[#This Row],[Fault Time]])*24)</f>
        <v>0</v>
      </c>
      <c r="Y183" s="35">
        <f>(PA[[#This Row],[Work Completiuon time on fualt]]-PA[[#This Row],[Fault Time]])*24</f>
        <v>0</v>
      </c>
      <c r="Z183" s="35">
        <f>IFERROR((PA[[#This Row],[Work Completiuon time on fualt]]-PA[[#This Row],[Fault Time]])*24,"")</f>
        <v>0</v>
      </c>
      <c r="AC183" s="47" t="str">
        <f>IFERROR(PA[[#This Row],[Breakdown Time]]*PA[[#This Row],[Plant Equivalent Weightage]],"")</f>
        <v/>
      </c>
      <c r="AE183" s="33" t="str">
        <f>IFERROR((_xlfn.XLOOKUP(PA[[#This Row],[Month Year]],'Modelling New'!D:D,'Modelling New'!$O:$O)*PA[[#This Row],[Lost PoA(Wh/m2)]]*PA[[#This Row],[DC Capacity Affceted (kW)]])/1000,"")</f>
        <v/>
      </c>
      <c r="AF183" s="35"/>
    </row>
    <row r="184" spans="1:32">
      <c r="A184" s="2">
        <f t="shared" si="16"/>
        <v>181</v>
      </c>
      <c r="B184" s="156">
        <f t="shared" si="14"/>
        <v>1900</v>
      </c>
      <c r="C184" s="129">
        <f t="shared" si="15"/>
        <v>1900</v>
      </c>
      <c r="I184" s="29" t="str">
        <f>IFERROR(VLOOKUP(PA[[#This Row],[Date]],Raw_Data[[Date]:[Sunset Time (POA&lt;20 W/m2)]],3,0),"")</f>
        <v/>
      </c>
      <c r="J184" s="29" t="str">
        <f>IFERROR(VLOOKUP(PA[[#This Row],[Date]],Raw_Data[[Date]:[Sunset Time (POA&lt;20 W/m2)]],4,0),"")</f>
        <v/>
      </c>
      <c r="K184" s="27" t="str">
        <f>IFERROR((PA[[#This Row],[Sunset Time (POA&lt;20 W/m2)]]-PA[[#This Row],[Sunrise Time (POA&gt;20 W/m2)]])*24,"")</f>
        <v/>
      </c>
      <c r="M184" s="46" t="str">
        <f>IFERROR(VLOOKUP(PA[[#This Row],[Affceted Equipment]],'Basic Data'!$A$2:$B$114,2,0),"")</f>
        <v/>
      </c>
      <c r="N184" s="48" t="str">
        <f>IFERROR(VLOOKUP(PA[[#This Row],[Affceted Equipment]],'Basic Data'!$A$1:$C$118,3,0),"")</f>
        <v/>
      </c>
      <c r="W184" s="33">
        <f>IF(PA[[#This Row],[Acknowledgemnet Time ]]="NA","",(PA[[#This Row],[Acknowledgemnet Time ]]-PA[[#This Row],[Fault Time]])*24)</f>
        <v>0</v>
      </c>
      <c r="X184" s="33">
        <f>IF(PA[[#This Row],[Work Start time on Fault]]="NA","",(PA[[#This Row],[Work Start time on Fault]]-PA[[#This Row],[Fault Time]])*24)</f>
        <v>0</v>
      </c>
      <c r="Y184" s="35">
        <f>(PA[[#This Row],[Work Completiuon time on fualt]]-PA[[#This Row],[Fault Time]])*24</f>
        <v>0</v>
      </c>
      <c r="Z184" s="35">
        <f>IFERROR((PA[[#This Row],[Work Completiuon time on fualt]]-PA[[#This Row],[Fault Time]])*24,"")</f>
        <v>0</v>
      </c>
      <c r="AC184" s="47" t="str">
        <f>IFERROR(PA[[#This Row],[Breakdown Time]]*PA[[#This Row],[Plant Equivalent Weightage]],"")</f>
        <v/>
      </c>
      <c r="AE184" s="33" t="str">
        <f>IFERROR((_xlfn.XLOOKUP(PA[[#This Row],[Month Year]],'Modelling New'!D:D,'Modelling New'!$O:$O)*PA[[#This Row],[Lost PoA(Wh/m2)]]*PA[[#This Row],[DC Capacity Affceted (kW)]])/1000,"")</f>
        <v/>
      </c>
      <c r="AF184" s="35"/>
    </row>
    <row r="185" spans="1:32">
      <c r="A185" s="2">
        <f t="shared" si="16"/>
        <v>182</v>
      </c>
      <c r="B185" s="156">
        <f t="shared" si="14"/>
        <v>1900</v>
      </c>
      <c r="C185" s="129">
        <f t="shared" si="15"/>
        <v>1900</v>
      </c>
      <c r="I185" s="29" t="str">
        <f>IFERROR(VLOOKUP(PA[[#This Row],[Date]],Raw_Data[[Date]:[Sunset Time (POA&lt;20 W/m2)]],3,0),"")</f>
        <v/>
      </c>
      <c r="J185" s="29" t="str">
        <f>IFERROR(VLOOKUP(PA[[#This Row],[Date]],Raw_Data[[Date]:[Sunset Time (POA&lt;20 W/m2)]],4,0),"")</f>
        <v/>
      </c>
      <c r="K185" s="27" t="str">
        <f>IFERROR((PA[[#This Row],[Sunset Time (POA&lt;20 W/m2)]]-PA[[#This Row],[Sunrise Time (POA&gt;20 W/m2)]])*24,"")</f>
        <v/>
      </c>
      <c r="M185" s="46" t="str">
        <f>IFERROR(VLOOKUP(PA[[#This Row],[Affceted Equipment]],'Basic Data'!$A$2:$B$114,2,0),"")</f>
        <v/>
      </c>
      <c r="N185" s="48" t="str">
        <f>IFERROR(VLOOKUP(PA[[#This Row],[Affceted Equipment]],'Basic Data'!$A$1:$C$118,3,0),"")</f>
        <v/>
      </c>
      <c r="W185" s="33">
        <f>IF(PA[[#This Row],[Acknowledgemnet Time ]]="NA","",(PA[[#This Row],[Acknowledgemnet Time ]]-PA[[#This Row],[Fault Time]])*24)</f>
        <v>0</v>
      </c>
      <c r="X185" s="33">
        <f>IF(PA[[#This Row],[Work Start time on Fault]]="NA","",(PA[[#This Row],[Work Start time on Fault]]-PA[[#This Row],[Fault Time]])*24)</f>
        <v>0</v>
      </c>
      <c r="Y185" s="35">
        <f>(PA[[#This Row],[Work Completiuon time on fualt]]-PA[[#This Row],[Fault Time]])*24</f>
        <v>0</v>
      </c>
      <c r="Z185" s="35">
        <f>IFERROR((PA[[#This Row],[Work Completiuon time on fualt]]-PA[[#This Row],[Fault Time]])*24,"")</f>
        <v>0</v>
      </c>
      <c r="AC185" s="47" t="str">
        <f>IFERROR(PA[[#This Row],[Breakdown Time]]*PA[[#This Row],[Plant Equivalent Weightage]],"")</f>
        <v/>
      </c>
      <c r="AE185" s="33" t="str">
        <f>IFERROR((_xlfn.XLOOKUP(PA[[#This Row],[Month Year]],'Modelling New'!D:D,'Modelling New'!$O:$O)*PA[[#This Row],[Lost PoA(Wh/m2)]]*PA[[#This Row],[DC Capacity Affceted (kW)]])/1000,"")</f>
        <v/>
      </c>
      <c r="AF185" s="35"/>
    </row>
    <row r="186" spans="1:32">
      <c r="A186" s="2">
        <f t="shared" si="16"/>
        <v>183</v>
      </c>
      <c r="B186" s="156">
        <f t="shared" si="14"/>
        <v>1900</v>
      </c>
      <c r="C186" s="129">
        <f t="shared" si="15"/>
        <v>1900</v>
      </c>
      <c r="I186" s="29" t="str">
        <f>IFERROR(VLOOKUP(PA[[#This Row],[Date]],Raw_Data[[Date]:[Sunset Time (POA&lt;20 W/m2)]],3,0),"")</f>
        <v/>
      </c>
      <c r="J186" s="29" t="str">
        <f>IFERROR(VLOOKUP(PA[[#This Row],[Date]],Raw_Data[[Date]:[Sunset Time (POA&lt;20 W/m2)]],4,0),"")</f>
        <v/>
      </c>
      <c r="K186" s="27" t="str">
        <f>IFERROR((PA[[#This Row],[Sunset Time (POA&lt;20 W/m2)]]-PA[[#This Row],[Sunrise Time (POA&gt;20 W/m2)]])*24,"")</f>
        <v/>
      </c>
      <c r="M186" s="46" t="str">
        <f>IFERROR(VLOOKUP(PA[[#This Row],[Affceted Equipment]],'Basic Data'!$A$2:$B$114,2,0),"")</f>
        <v/>
      </c>
      <c r="N186" s="48" t="str">
        <f>IFERROR(VLOOKUP(PA[[#This Row],[Affceted Equipment]],'Basic Data'!$A$1:$C$118,3,0),"")</f>
        <v/>
      </c>
      <c r="W186" s="33">
        <f>IF(PA[[#This Row],[Acknowledgemnet Time ]]="NA","",(PA[[#This Row],[Acknowledgemnet Time ]]-PA[[#This Row],[Fault Time]])*24)</f>
        <v>0</v>
      </c>
      <c r="X186" s="33">
        <f>IF(PA[[#This Row],[Work Start time on Fault]]="NA","",(PA[[#This Row],[Work Start time on Fault]]-PA[[#This Row],[Fault Time]])*24)</f>
        <v>0</v>
      </c>
      <c r="Y186" s="35">
        <f>(PA[[#This Row],[Work Completiuon time on fualt]]-PA[[#This Row],[Fault Time]])*24</f>
        <v>0</v>
      </c>
      <c r="Z186" s="35">
        <f>IFERROR((PA[[#This Row],[Work Completiuon time on fualt]]-PA[[#This Row],[Fault Time]])*24,"")</f>
        <v>0</v>
      </c>
      <c r="AC186" s="47" t="str">
        <f>IFERROR(PA[[#This Row],[Breakdown Time]]*PA[[#This Row],[Plant Equivalent Weightage]],"")</f>
        <v/>
      </c>
      <c r="AE186" s="33" t="str">
        <f>IFERROR((_xlfn.XLOOKUP(PA[[#This Row],[Month Year]],'Modelling New'!D:D,'Modelling New'!$O:$O)*PA[[#This Row],[Lost PoA(Wh/m2)]]*PA[[#This Row],[DC Capacity Affceted (kW)]])/1000,"")</f>
        <v/>
      </c>
      <c r="AF186" s="35"/>
    </row>
    <row r="187" spans="1:32">
      <c r="A187" s="2">
        <f t="shared" si="16"/>
        <v>184</v>
      </c>
      <c r="B187" s="156">
        <f t="shared" si="14"/>
        <v>1900</v>
      </c>
      <c r="C187" s="129">
        <f t="shared" si="15"/>
        <v>1900</v>
      </c>
      <c r="I187" s="29" t="str">
        <f>IFERROR(VLOOKUP(PA[[#This Row],[Date]],Raw_Data[[Date]:[Sunset Time (POA&lt;20 W/m2)]],3,0),"")</f>
        <v/>
      </c>
      <c r="J187" s="29" t="str">
        <f>IFERROR(VLOOKUP(PA[[#This Row],[Date]],Raw_Data[[Date]:[Sunset Time (POA&lt;20 W/m2)]],4,0),"")</f>
        <v/>
      </c>
      <c r="K187" s="27" t="str">
        <f>IFERROR((PA[[#This Row],[Sunset Time (POA&lt;20 W/m2)]]-PA[[#This Row],[Sunrise Time (POA&gt;20 W/m2)]])*24,"")</f>
        <v/>
      </c>
      <c r="M187" s="46" t="str">
        <f>IFERROR(VLOOKUP(PA[[#This Row],[Affceted Equipment]],'Basic Data'!$A$2:$B$114,2,0),"")</f>
        <v/>
      </c>
      <c r="N187" s="48" t="str">
        <f>IFERROR(VLOOKUP(PA[[#This Row],[Affceted Equipment]],'Basic Data'!$A$1:$C$118,3,0),"")</f>
        <v/>
      </c>
      <c r="W187" s="33">
        <f>IF(PA[[#This Row],[Acknowledgemnet Time ]]="NA","",(PA[[#This Row],[Acknowledgemnet Time ]]-PA[[#This Row],[Fault Time]])*24)</f>
        <v>0</v>
      </c>
      <c r="X187" s="33">
        <f>IF(PA[[#This Row],[Work Start time on Fault]]="NA","",(PA[[#This Row],[Work Start time on Fault]]-PA[[#This Row],[Fault Time]])*24)</f>
        <v>0</v>
      </c>
      <c r="Y187" s="35">
        <f>(PA[[#This Row],[Work Completiuon time on fualt]]-PA[[#This Row],[Fault Time]])*24</f>
        <v>0</v>
      </c>
      <c r="Z187" s="35">
        <f>IFERROR((PA[[#This Row],[Work Completiuon time on fualt]]-PA[[#This Row],[Fault Time]])*24,"")</f>
        <v>0</v>
      </c>
      <c r="AC187" s="47" t="str">
        <f>IFERROR(PA[[#This Row],[Breakdown Time]]*PA[[#This Row],[Plant Equivalent Weightage]],"")</f>
        <v/>
      </c>
      <c r="AE187" s="33" t="str">
        <f>IFERROR((_xlfn.XLOOKUP(PA[[#This Row],[Month Year]],'Modelling New'!D:D,'Modelling New'!$O:$O)*PA[[#This Row],[Lost PoA(Wh/m2)]]*PA[[#This Row],[DC Capacity Affceted (kW)]])/1000,"")</f>
        <v/>
      </c>
      <c r="AF187" s="35"/>
    </row>
    <row r="188" spans="1:32">
      <c r="A188" s="2">
        <f t="shared" si="16"/>
        <v>185</v>
      </c>
      <c r="B188" s="156">
        <f t="shared" si="14"/>
        <v>1900</v>
      </c>
      <c r="C188" s="129">
        <f t="shared" si="15"/>
        <v>1900</v>
      </c>
      <c r="I188" s="29" t="str">
        <f>IFERROR(VLOOKUP(PA[[#This Row],[Date]],Raw_Data[[Date]:[Sunset Time (POA&lt;20 W/m2)]],3,0),"")</f>
        <v/>
      </c>
      <c r="J188" s="29" t="str">
        <f>IFERROR(VLOOKUP(PA[[#This Row],[Date]],Raw_Data[[Date]:[Sunset Time (POA&lt;20 W/m2)]],4,0),"")</f>
        <v/>
      </c>
      <c r="K188" s="27" t="str">
        <f>IFERROR((PA[[#This Row],[Sunset Time (POA&lt;20 W/m2)]]-PA[[#This Row],[Sunrise Time (POA&gt;20 W/m2)]])*24,"")</f>
        <v/>
      </c>
      <c r="M188" s="46" t="str">
        <f>IFERROR(VLOOKUP(PA[[#This Row],[Affceted Equipment]],'Basic Data'!$A$2:$B$114,2,0),"")</f>
        <v/>
      </c>
      <c r="N188" s="48" t="str">
        <f>IFERROR(VLOOKUP(PA[[#This Row],[Affceted Equipment]],'Basic Data'!$A$1:$C$118,3,0),"")</f>
        <v/>
      </c>
      <c r="W188" s="33">
        <f>IF(PA[[#This Row],[Acknowledgemnet Time ]]="NA","",(PA[[#This Row],[Acknowledgemnet Time ]]-PA[[#This Row],[Fault Time]])*24)</f>
        <v>0</v>
      </c>
      <c r="X188" s="33">
        <f>IF(PA[[#This Row],[Work Start time on Fault]]="NA","",(PA[[#This Row],[Work Start time on Fault]]-PA[[#This Row],[Fault Time]])*24)</f>
        <v>0</v>
      </c>
      <c r="Y188" s="35">
        <f>(PA[[#This Row],[Work Completiuon time on fualt]]-PA[[#This Row],[Fault Time]])*24</f>
        <v>0</v>
      </c>
      <c r="Z188" s="35">
        <f>IFERROR((PA[[#This Row],[Work Completiuon time on fualt]]-PA[[#This Row],[Fault Time]])*24,"")</f>
        <v>0</v>
      </c>
      <c r="AC188" s="47" t="str">
        <f>IFERROR(PA[[#This Row],[Breakdown Time]]*PA[[#This Row],[Plant Equivalent Weightage]],"")</f>
        <v/>
      </c>
      <c r="AE188" s="33" t="str">
        <f>IFERROR((_xlfn.XLOOKUP(PA[[#This Row],[Month Year]],'Modelling New'!D:D,'Modelling New'!$O:$O)*PA[[#This Row],[Lost PoA(Wh/m2)]]*PA[[#This Row],[DC Capacity Affceted (kW)]])/1000,"")</f>
        <v/>
      </c>
      <c r="AF188" s="35"/>
    </row>
    <row r="189" spans="1:32">
      <c r="A189" s="2">
        <f t="shared" si="16"/>
        <v>186</v>
      </c>
      <c r="B189" s="156">
        <f t="shared" si="14"/>
        <v>1900</v>
      </c>
      <c r="C189" s="129">
        <f t="shared" si="15"/>
        <v>1900</v>
      </c>
      <c r="I189" s="29" t="str">
        <f>IFERROR(VLOOKUP(PA[[#This Row],[Date]],Raw_Data[[Date]:[Sunset Time (POA&lt;20 W/m2)]],3,0),"")</f>
        <v/>
      </c>
      <c r="J189" s="29" t="str">
        <f>IFERROR(VLOOKUP(PA[[#This Row],[Date]],Raw_Data[[Date]:[Sunset Time (POA&lt;20 W/m2)]],4,0),"")</f>
        <v/>
      </c>
      <c r="K189" s="27" t="str">
        <f>IFERROR((PA[[#This Row],[Sunset Time (POA&lt;20 W/m2)]]-PA[[#This Row],[Sunrise Time (POA&gt;20 W/m2)]])*24,"")</f>
        <v/>
      </c>
      <c r="M189" s="46" t="str">
        <f>IFERROR(VLOOKUP(PA[[#This Row],[Affceted Equipment]],'Basic Data'!$A$2:$B$114,2,0),"")</f>
        <v/>
      </c>
      <c r="N189" s="48" t="str">
        <f>IFERROR(VLOOKUP(PA[[#This Row],[Affceted Equipment]],'Basic Data'!$A$1:$C$118,3,0),"")</f>
        <v/>
      </c>
      <c r="W189" s="33">
        <f>IF(PA[[#This Row],[Acknowledgemnet Time ]]="NA","",(PA[[#This Row],[Acknowledgemnet Time ]]-PA[[#This Row],[Fault Time]])*24)</f>
        <v>0</v>
      </c>
      <c r="X189" s="33">
        <f>IF(PA[[#This Row],[Work Start time on Fault]]="NA","",(PA[[#This Row],[Work Start time on Fault]]-PA[[#This Row],[Fault Time]])*24)</f>
        <v>0</v>
      </c>
      <c r="Y189" s="35">
        <f>(PA[[#This Row],[Work Completiuon time on fualt]]-PA[[#This Row],[Fault Time]])*24</f>
        <v>0</v>
      </c>
      <c r="Z189" s="35">
        <f>IFERROR((PA[[#This Row],[Work Completiuon time on fualt]]-PA[[#This Row],[Fault Time]])*24,"")</f>
        <v>0</v>
      </c>
      <c r="AC189" s="47" t="str">
        <f>IFERROR(PA[[#This Row],[Breakdown Time]]*PA[[#This Row],[Plant Equivalent Weightage]],"")</f>
        <v/>
      </c>
      <c r="AE189" s="33" t="str">
        <f>IFERROR((_xlfn.XLOOKUP(PA[[#This Row],[Month Year]],'Modelling New'!D:D,'Modelling New'!$O:$O)*PA[[#This Row],[Lost PoA(Wh/m2)]]*PA[[#This Row],[DC Capacity Affceted (kW)]])/1000,"")</f>
        <v/>
      </c>
      <c r="AF189" s="35"/>
    </row>
    <row r="190" spans="1:32">
      <c r="A190" s="2">
        <f t="shared" si="16"/>
        <v>187</v>
      </c>
      <c r="B190" s="156">
        <f t="shared" si="14"/>
        <v>1900</v>
      </c>
      <c r="C190" s="129">
        <f t="shared" si="15"/>
        <v>1900</v>
      </c>
      <c r="I190" s="29" t="str">
        <f>IFERROR(VLOOKUP(PA[[#This Row],[Date]],Raw_Data[[Date]:[Sunset Time (POA&lt;20 W/m2)]],3,0),"")</f>
        <v/>
      </c>
      <c r="J190" s="29" t="str">
        <f>IFERROR(VLOOKUP(PA[[#This Row],[Date]],Raw_Data[[Date]:[Sunset Time (POA&lt;20 W/m2)]],4,0),"")</f>
        <v/>
      </c>
      <c r="K190" s="27" t="str">
        <f>IFERROR((PA[[#This Row],[Sunset Time (POA&lt;20 W/m2)]]-PA[[#This Row],[Sunrise Time (POA&gt;20 W/m2)]])*24,"")</f>
        <v/>
      </c>
      <c r="M190" s="46" t="str">
        <f>IFERROR(VLOOKUP(PA[[#This Row],[Affceted Equipment]],'Basic Data'!$A$2:$B$114,2,0),"")</f>
        <v/>
      </c>
      <c r="N190" s="48" t="str">
        <f>IFERROR(VLOOKUP(PA[[#This Row],[Affceted Equipment]],'Basic Data'!$A$1:$C$118,3,0),"")</f>
        <v/>
      </c>
      <c r="W190" s="33">
        <f>IF(PA[[#This Row],[Acknowledgemnet Time ]]="NA","",(PA[[#This Row],[Acknowledgemnet Time ]]-PA[[#This Row],[Fault Time]])*24)</f>
        <v>0</v>
      </c>
      <c r="X190" s="33">
        <f>IF(PA[[#This Row],[Work Start time on Fault]]="NA","",(PA[[#This Row],[Work Start time on Fault]]-PA[[#This Row],[Fault Time]])*24)</f>
        <v>0</v>
      </c>
      <c r="Y190" s="35">
        <f>(PA[[#This Row],[Work Completiuon time on fualt]]-PA[[#This Row],[Fault Time]])*24</f>
        <v>0</v>
      </c>
      <c r="Z190" s="35">
        <f>IFERROR((PA[[#This Row],[Work Completiuon time on fualt]]-PA[[#This Row],[Fault Time]])*24,"")</f>
        <v>0</v>
      </c>
      <c r="AC190" s="47" t="str">
        <f>IFERROR(PA[[#This Row],[Breakdown Time]]*PA[[#This Row],[Plant Equivalent Weightage]],"")</f>
        <v/>
      </c>
      <c r="AE190" s="33" t="str">
        <f>IFERROR((_xlfn.XLOOKUP(PA[[#This Row],[Month Year]],'Modelling New'!D:D,'Modelling New'!$O:$O)*PA[[#This Row],[Lost PoA(Wh/m2)]]*PA[[#This Row],[DC Capacity Affceted (kW)]])/1000,"")</f>
        <v/>
      </c>
      <c r="AF190" s="35"/>
    </row>
    <row r="191" spans="1:32">
      <c r="A191" s="2">
        <f t="shared" si="16"/>
        <v>188</v>
      </c>
      <c r="B191" s="156">
        <f t="shared" si="14"/>
        <v>1900</v>
      </c>
      <c r="C191" s="129">
        <f t="shared" si="15"/>
        <v>1900</v>
      </c>
      <c r="I191" s="29" t="str">
        <f>IFERROR(VLOOKUP(PA[[#This Row],[Date]],Raw_Data[[Date]:[Sunset Time (POA&lt;20 W/m2)]],3,0),"")</f>
        <v/>
      </c>
      <c r="J191" s="29" t="str">
        <f>IFERROR(VLOOKUP(PA[[#This Row],[Date]],Raw_Data[[Date]:[Sunset Time (POA&lt;20 W/m2)]],4,0),"")</f>
        <v/>
      </c>
      <c r="K191" s="27" t="str">
        <f>IFERROR((PA[[#This Row],[Sunset Time (POA&lt;20 W/m2)]]-PA[[#This Row],[Sunrise Time (POA&gt;20 W/m2)]])*24,"")</f>
        <v/>
      </c>
      <c r="M191" s="46" t="str">
        <f>IFERROR(VLOOKUP(PA[[#This Row],[Affceted Equipment]],'Basic Data'!$A$2:$B$114,2,0),"")</f>
        <v/>
      </c>
      <c r="N191" s="48" t="str">
        <f>IFERROR(VLOOKUP(PA[[#This Row],[Affceted Equipment]],'Basic Data'!$A$1:$C$118,3,0),"")</f>
        <v/>
      </c>
      <c r="W191" s="33">
        <f>IF(PA[[#This Row],[Acknowledgemnet Time ]]="NA","",(PA[[#This Row],[Acknowledgemnet Time ]]-PA[[#This Row],[Fault Time]])*24)</f>
        <v>0</v>
      </c>
      <c r="X191" s="33">
        <f>IF(PA[[#This Row],[Work Start time on Fault]]="NA","",(PA[[#This Row],[Work Start time on Fault]]-PA[[#This Row],[Fault Time]])*24)</f>
        <v>0</v>
      </c>
      <c r="Y191" s="35">
        <f>(PA[[#This Row],[Work Completiuon time on fualt]]-PA[[#This Row],[Fault Time]])*24</f>
        <v>0</v>
      </c>
      <c r="Z191" s="35">
        <f>IFERROR((PA[[#This Row],[Work Completiuon time on fualt]]-PA[[#This Row],[Fault Time]])*24,"")</f>
        <v>0</v>
      </c>
      <c r="AC191" s="47" t="str">
        <f>IFERROR(PA[[#This Row],[Breakdown Time]]*PA[[#This Row],[Plant Equivalent Weightage]],"")</f>
        <v/>
      </c>
      <c r="AE191" s="33" t="str">
        <f>IFERROR((_xlfn.XLOOKUP(PA[[#This Row],[Month Year]],'Modelling New'!D:D,'Modelling New'!$O:$O)*PA[[#This Row],[Lost PoA(Wh/m2)]]*PA[[#This Row],[DC Capacity Affceted (kW)]])/1000,"")</f>
        <v/>
      </c>
      <c r="AF191" s="35"/>
    </row>
    <row r="192" spans="1:32">
      <c r="A192" s="2">
        <f t="shared" si="16"/>
        <v>189</v>
      </c>
      <c r="B192" s="156">
        <f t="shared" si="14"/>
        <v>1900</v>
      </c>
      <c r="C192" s="129">
        <f t="shared" si="15"/>
        <v>1900</v>
      </c>
      <c r="I192" s="29" t="str">
        <f>IFERROR(VLOOKUP(PA[[#This Row],[Date]],Raw_Data[[Date]:[Sunset Time (POA&lt;20 W/m2)]],3,0),"")</f>
        <v/>
      </c>
      <c r="J192" s="29" t="str">
        <f>IFERROR(VLOOKUP(PA[[#This Row],[Date]],Raw_Data[[Date]:[Sunset Time (POA&lt;20 W/m2)]],4,0),"")</f>
        <v/>
      </c>
      <c r="K192" s="27" t="str">
        <f>IFERROR((PA[[#This Row],[Sunset Time (POA&lt;20 W/m2)]]-PA[[#This Row],[Sunrise Time (POA&gt;20 W/m2)]])*24,"")</f>
        <v/>
      </c>
      <c r="M192" s="46" t="str">
        <f>IFERROR(VLOOKUP(PA[[#This Row],[Affceted Equipment]],'Basic Data'!$A$2:$B$114,2,0),"")</f>
        <v/>
      </c>
      <c r="N192" s="48" t="str">
        <f>IFERROR(VLOOKUP(PA[[#This Row],[Affceted Equipment]],'Basic Data'!$A$1:$C$118,3,0),"")</f>
        <v/>
      </c>
      <c r="W192" s="33">
        <f>IF(PA[[#This Row],[Acknowledgemnet Time ]]="NA","",(PA[[#This Row],[Acknowledgemnet Time ]]-PA[[#This Row],[Fault Time]])*24)</f>
        <v>0</v>
      </c>
      <c r="X192" s="33">
        <f>IF(PA[[#This Row],[Work Start time on Fault]]="NA","",(PA[[#This Row],[Work Start time on Fault]]-PA[[#This Row],[Fault Time]])*24)</f>
        <v>0</v>
      </c>
      <c r="Y192" s="35">
        <f>(PA[[#This Row],[Work Completiuon time on fualt]]-PA[[#This Row],[Fault Time]])*24</f>
        <v>0</v>
      </c>
      <c r="Z192" s="35">
        <f>IFERROR((PA[[#This Row],[Work Completiuon time on fualt]]-PA[[#This Row],[Fault Time]])*24,"")</f>
        <v>0</v>
      </c>
      <c r="AC192" s="47" t="str">
        <f>IFERROR(PA[[#This Row],[Breakdown Time]]*PA[[#This Row],[Plant Equivalent Weightage]],"")</f>
        <v/>
      </c>
      <c r="AE192" s="33" t="str">
        <f>IFERROR((_xlfn.XLOOKUP(PA[[#This Row],[Month Year]],'Modelling New'!D:D,'Modelling New'!$O:$O)*PA[[#This Row],[Lost PoA(Wh/m2)]]*PA[[#This Row],[DC Capacity Affceted (kW)]])/1000,"")</f>
        <v/>
      </c>
      <c r="AF192" s="35"/>
    </row>
    <row r="193" spans="1:32">
      <c r="A193" s="2">
        <f t="shared" si="16"/>
        <v>190</v>
      </c>
      <c r="B193" s="156">
        <f t="shared" si="14"/>
        <v>1900</v>
      </c>
      <c r="C193" s="129">
        <f t="shared" si="15"/>
        <v>1900</v>
      </c>
      <c r="I193" s="29" t="str">
        <f>IFERROR(VLOOKUP(PA[[#This Row],[Date]],Raw_Data[[Date]:[Sunset Time (POA&lt;20 W/m2)]],3,0),"")</f>
        <v/>
      </c>
      <c r="J193" s="29" t="str">
        <f>IFERROR(VLOOKUP(PA[[#This Row],[Date]],Raw_Data[[Date]:[Sunset Time (POA&lt;20 W/m2)]],4,0),"")</f>
        <v/>
      </c>
      <c r="K193" s="27" t="str">
        <f>IFERROR((PA[[#This Row],[Sunset Time (POA&lt;20 W/m2)]]-PA[[#This Row],[Sunrise Time (POA&gt;20 W/m2)]])*24,"")</f>
        <v/>
      </c>
      <c r="M193" s="46" t="str">
        <f>IFERROR(VLOOKUP(PA[[#This Row],[Affceted Equipment]],'Basic Data'!$A$2:$B$114,2,0),"")</f>
        <v/>
      </c>
      <c r="N193" s="48" t="str">
        <f>IFERROR(VLOOKUP(PA[[#This Row],[Affceted Equipment]],'Basic Data'!$A$1:$C$118,3,0),"")</f>
        <v/>
      </c>
      <c r="W193" s="33">
        <f>IF(PA[[#This Row],[Acknowledgemnet Time ]]="NA","",(PA[[#This Row],[Acknowledgemnet Time ]]-PA[[#This Row],[Fault Time]])*24)</f>
        <v>0</v>
      </c>
      <c r="X193" s="33">
        <f>IF(PA[[#This Row],[Work Start time on Fault]]="NA","",(PA[[#This Row],[Work Start time on Fault]]-PA[[#This Row],[Fault Time]])*24)</f>
        <v>0</v>
      </c>
      <c r="Y193" s="35">
        <f>(PA[[#This Row],[Work Completiuon time on fualt]]-PA[[#This Row],[Fault Time]])*24</f>
        <v>0</v>
      </c>
      <c r="Z193" s="35">
        <f>IFERROR((PA[[#This Row],[Work Completiuon time on fualt]]-PA[[#This Row],[Fault Time]])*24,"")</f>
        <v>0</v>
      </c>
      <c r="AC193" s="47" t="str">
        <f>IFERROR(PA[[#This Row],[Breakdown Time]]*PA[[#This Row],[Plant Equivalent Weightage]],"")</f>
        <v/>
      </c>
      <c r="AE193" s="33" t="str">
        <f>IFERROR((_xlfn.XLOOKUP(PA[[#This Row],[Month Year]],'Modelling New'!D:D,'Modelling New'!$O:$O)*PA[[#This Row],[Lost PoA(Wh/m2)]]*PA[[#This Row],[DC Capacity Affceted (kW)]])/1000,"")</f>
        <v/>
      </c>
      <c r="AF193" s="35"/>
    </row>
    <row r="194" spans="1:32">
      <c r="A194" s="2">
        <f t="shared" si="16"/>
        <v>191</v>
      </c>
      <c r="B194" s="156">
        <f t="shared" si="14"/>
        <v>1900</v>
      </c>
      <c r="C194" s="129">
        <f t="shared" si="15"/>
        <v>1900</v>
      </c>
      <c r="I194" s="29" t="str">
        <f>IFERROR(VLOOKUP(PA[[#This Row],[Date]],Raw_Data[[Date]:[Sunset Time (POA&lt;20 W/m2)]],3,0),"")</f>
        <v/>
      </c>
      <c r="J194" s="29" t="str">
        <f>IFERROR(VLOOKUP(PA[[#This Row],[Date]],Raw_Data[[Date]:[Sunset Time (POA&lt;20 W/m2)]],4,0),"")</f>
        <v/>
      </c>
      <c r="K194" s="27" t="str">
        <f>IFERROR((PA[[#This Row],[Sunset Time (POA&lt;20 W/m2)]]-PA[[#This Row],[Sunrise Time (POA&gt;20 W/m2)]])*24,"")</f>
        <v/>
      </c>
      <c r="M194" s="46" t="str">
        <f>IFERROR(VLOOKUP(PA[[#This Row],[Affceted Equipment]],'Basic Data'!$A$2:$B$114,2,0),"")</f>
        <v/>
      </c>
      <c r="N194" s="48" t="str">
        <f>IFERROR(VLOOKUP(PA[[#This Row],[Affceted Equipment]],'Basic Data'!$A$1:$C$118,3,0),"")</f>
        <v/>
      </c>
      <c r="W194" s="33">
        <f>IF(PA[[#This Row],[Acknowledgemnet Time ]]="NA","",(PA[[#This Row],[Acknowledgemnet Time ]]-PA[[#This Row],[Fault Time]])*24)</f>
        <v>0</v>
      </c>
      <c r="X194" s="33">
        <f>IF(PA[[#This Row],[Work Start time on Fault]]="NA","",(PA[[#This Row],[Work Start time on Fault]]-PA[[#This Row],[Fault Time]])*24)</f>
        <v>0</v>
      </c>
      <c r="Y194" s="35">
        <f>(PA[[#This Row],[Work Completiuon time on fualt]]-PA[[#This Row],[Fault Time]])*24</f>
        <v>0</v>
      </c>
      <c r="Z194" s="35">
        <f>IFERROR((PA[[#This Row],[Work Completiuon time on fualt]]-PA[[#This Row],[Fault Time]])*24,"")</f>
        <v>0</v>
      </c>
      <c r="AC194" s="47" t="str">
        <f>IFERROR(PA[[#This Row],[Breakdown Time]]*PA[[#This Row],[Plant Equivalent Weightage]],"")</f>
        <v/>
      </c>
      <c r="AE194" s="33" t="str">
        <f>IFERROR((_xlfn.XLOOKUP(PA[[#This Row],[Month Year]],'Modelling New'!D:D,'Modelling New'!$O:$O)*PA[[#This Row],[Lost PoA(Wh/m2)]]*PA[[#This Row],[DC Capacity Affceted (kW)]])/1000,"")</f>
        <v/>
      </c>
      <c r="AF194" s="35"/>
    </row>
    <row r="195" spans="1:32">
      <c r="A195" s="2">
        <f t="shared" si="16"/>
        <v>192</v>
      </c>
      <c r="B195" s="156">
        <f t="shared" si="14"/>
        <v>1900</v>
      </c>
      <c r="C195" s="129">
        <f t="shared" si="15"/>
        <v>1900</v>
      </c>
      <c r="I195" s="29" t="str">
        <f>IFERROR(VLOOKUP(PA[[#This Row],[Date]],Raw_Data[[Date]:[Sunset Time (POA&lt;20 W/m2)]],3,0),"")</f>
        <v/>
      </c>
      <c r="J195" s="29" t="str">
        <f>IFERROR(VLOOKUP(PA[[#This Row],[Date]],Raw_Data[[Date]:[Sunset Time (POA&lt;20 W/m2)]],4,0),"")</f>
        <v/>
      </c>
      <c r="K195" s="27" t="str">
        <f>IFERROR((PA[[#This Row],[Sunset Time (POA&lt;20 W/m2)]]-PA[[#This Row],[Sunrise Time (POA&gt;20 W/m2)]])*24,"")</f>
        <v/>
      </c>
      <c r="M195" s="46" t="str">
        <f>IFERROR(VLOOKUP(PA[[#This Row],[Affceted Equipment]],'Basic Data'!$A$2:$B$114,2,0),"")</f>
        <v/>
      </c>
      <c r="N195" s="48" t="str">
        <f>IFERROR(VLOOKUP(PA[[#This Row],[Affceted Equipment]],'Basic Data'!$A$1:$C$118,3,0),"")</f>
        <v/>
      </c>
      <c r="W195" s="33">
        <f>IF(PA[[#This Row],[Acknowledgemnet Time ]]="NA","",(PA[[#This Row],[Acknowledgemnet Time ]]-PA[[#This Row],[Fault Time]])*24)</f>
        <v>0</v>
      </c>
      <c r="X195" s="33">
        <f>IF(PA[[#This Row],[Work Start time on Fault]]="NA","",(PA[[#This Row],[Work Start time on Fault]]-PA[[#This Row],[Fault Time]])*24)</f>
        <v>0</v>
      </c>
      <c r="Y195" s="35">
        <f>(PA[[#This Row],[Work Completiuon time on fualt]]-PA[[#This Row],[Fault Time]])*24</f>
        <v>0</v>
      </c>
      <c r="Z195" s="35">
        <f>IFERROR((PA[[#This Row],[Work Completiuon time on fualt]]-PA[[#This Row],[Fault Time]])*24,"")</f>
        <v>0</v>
      </c>
      <c r="AC195" s="47" t="str">
        <f>IFERROR(PA[[#This Row],[Breakdown Time]]*PA[[#This Row],[Plant Equivalent Weightage]],"")</f>
        <v/>
      </c>
      <c r="AE195" s="33" t="str">
        <f>IFERROR((_xlfn.XLOOKUP(PA[[#This Row],[Month Year]],'Modelling New'!D:D,'Modelling New'!$O:$O)*PA[[#This Row],[Lost PoA(Wh/m2)]]*PA[[#This Row],[DC Capacity Affceted (kW)]])/1000,"")</f>
        <v/>
      </c>
      <c r="AF195" s="35"/>
    </row>
    <row r="196" spans="1:32">
      <c r="A196" s="2">
        <f t="shared" si="16"/>
        <v>193</v>
      </c>
      <c r="B196" s="156">
        <f t="shared" si="14"/>
        <v>1900</v>
      </c>
      <c r="C196" s="129">
        <f t="shared" si="15"/>
        <v>1900</v>
      </c>
      <c r="I196" s="29" t="str">
        <f>IFERROR(VLOOKUP(PA[[#This Row],[Date]],Raw_Data[[Date]:[Sunset Time (POA&lt;20 W/m2)]],3,0),"")</f>
        <v/>
      </c>
      <c r="J196" s="29" t="str">
        <f>IFERROR(VLOOKUP(PA[[#This Row],[Date]],Raw_Data[[Date]:[Sunset Time (POA&lt;20 W/m2)]],4,0),"")</f>
        <v/>
      </c>
      <c r="K196" s="27" t="str">
        <f>IFERROR((PA[[#This Row],[Sunset Time (POA&lt;20 W/m2)]]-PA[[#This Row],[Sunrise Time (POA&gt;20 W/m2)]])*24,"")</f>
        <v/>
      </c>
      <c r="M196" s="46" t="str">
        <f>IFERROR(VLOOKUP(PA[[#This Row],[Affceted Equipment]],'Basic Data'!$A$2:$B$114,2,0),"")</f>
        <v/>
      </c>
      <c r="N196" s="48" t="str">
        <f>IFERROR(VLOOKUP(PA[[#This Row],[Affceted Equipment]],'Basic Data'!$A$1:$C$118,3,0),"")</f>
        <v/>
      </c>
      <c r="W196" s="33">
        <f>IF(PA[[#This Row],[Acknowledgemnet Time ]]="NA","",(PA[[#This Row],[Acknowledgemnet Time ]]-PA[[#This Row],[Fault Time]])*24)</f>
        <v>0</v>
      </c>
      <c r="X196" s="33">
        <f>IF(PA[[#This Row],[Work Start time on Fault]]="NA","",(PA[[#This Row],[Work Start time on Fault]]-PA[[#This Row],[Fault Time]])*24)</f>
        <v>0</v>
      </c>
      <c r="Y196" s="35">
        <f>(PA[[#This Row],[Work Completiuon time on fualt]]-PA[[#This Row],[Fault Time]])*24</f>
        <v>0</v>
      </c>
      <c r="Z196" s="35">
        <f>IFERROR((PA[[#This Row],[Work Completiuon time on fualt]]-PA[[#This Row],[Fault Time]])*24,"")</f>
        <v>0</v>
      </c>
      <c r="AC196" s="47" t="str">
        <f>IFERROR(PA[[#This Row],[Breakdown Time]]*PA[[#This Row],[Plant Equivalent Weightage]],"")</f>
        <v/>
      </c>
      <c r="AE196" s="33" t="str">
        <f>IFERROR((_xlfn.XLOOKUP(PA[[#This Row],[Month Year]],'Modelling New'!D:D,'Modelling New'!$O:$O)*PA[[#This Row],[Lost PoA(Wh/m2)]]*PA[[#This Row],[DC Capacity Affceted (kW)]])/1000,"")</f>
        <v/>
      </c>
      <c r="AF196" s="35"/>
    </row>
    <row r="197" spans="1:32">
      <c r="A197" s="2">
        <f t="shared" si="16"/>
        <v>194</v>
      </c>
      <c r="B197" s="156">
        <f t="shared" ref="B197:B260" si="17">YEAR(H197)+IF(MONTH(H197)&gt;=4,1,0)</f>
        <v>1900</v>
      </c>
      <c r="C197" s="129">
        <f t="shared" ref="C197:C260" si="18">YEAR(H197)</f>
        <v>1900</v>
      </c>
      <c r="I197" s="29" t="str">
        <f>IFERROR(VLOOKUP(PA[[#This Row],[Date]],Raw_Data[[Date]:[Sunset Time (POA&lt;20 W/m2)]],3,0),"")</f>
        <v/>
      </c>
      <c r="J197" s="29" t="str">
        <f>IFERROR(VLOOKUP(PA[[#This Row],[Date]],Raw_Data[[Date]:[Sunset Time (POA&lt;20 W/m2)]],4,0),"")</f>
        <v/>
      </c>
      <c r="K197" s="27" t="str">
        <f>IFERROR((PA[[#This Row],[Sunset Time (POA&lt;20 W/m2)]]-PA[[#This Row],[Sunrise Time (POA&gt;20 W/m2)]])*24,"")</f>
        <v/>
      </c>
      <c r="M197" s="46" t="str">
        <f>IFERROR(VLOOKUP(PA[[#This Row],[Affceted Equipment]],'Basic Data'!$A$2:$B$114,2,0),"")</f>
        <v/>
      </c>
      <c r="N197" s="48" t="str">
        <f>IFERROR(VLOOKUP(PA[[#This Row],[Affceted Equipment]],'Basic Data'!$A$1:$C$118,3,0),"")</f>
        <v/>
      </c>
      <c r="W197" s="33">
        <f>IF(PA[[#This Row],[Acknowledgemnet Time ]]="NA","",(PA[[#This Row],[Acknowledgemnet Time ]]-PA[[#This Row],[Fault Time]])*24)</f>
        <v>0</v>
      </c>
      <c r="X197" s="33">
        <f>IF(PA[[#This Row],[Work Start time on Fault]]="NA","",(PA[[#This Row],[Work Start time on Fault]]-PA[[#This Row],[Fault Time]])*24)</f>
        <v>0</v>
      </c>
      <c r="Y197" s="35">
        <f>(PA[[#This Row],[Work Completiuon time on fualt]]-PA[[#This Row],[Fault Time]])*24</f>
        <v>0</v>
      </c>
      <c r="Z197" s="35">
        <f>IFERROR((PA[[#This Row],[Work Completiuon time on fualt]]-PA[[#This Row],[Fault Time]])*24,"")</f>
        <v>0</v>
      </c>
      <c r="AC197" s="47" t="str">
        <f>IFERROR(PA[[#This Row],[Breakdown Time]]*PA[[#This Row],[Plant Equivalent Weightage]],"")</f>
        <v/>
      </c>
      <c r="AE197" s="33" t="str">
        <f>IFERROR((_xlfn.XLOOKUP(PA[[#This Row],[Month Year]],'Modelling New'!D:D,'Modelling New'!$O:$O)*PA[[#This Row],[Lost PoA(Wh/m2)]]*PA[[#This Row],[DC Capacity Affceted (kW)]])/1000,"")</f>
        <v/>
      </c>
      <c r="AF197" s="35"/>
    </row>
    <row r="198" spans="1:32">
      <c r="A198" s="2">
        <f t="shared" si="16"/>
        <v>195</v>
      </c>
      <c r="B198" s="156">
        <f t="shared" si="17"/>
        <v>1900</v>
      </c>
      <c r="C198" s="129">
        <f t="shared" si="18"/>
        <v>1900</v>
      </c>
      <c r="I198" s="29" t="str">
        <f>IFERROR(VLOOKUP(PA[[#This Row],[Date]],Raw_Data[[Date]:[Sunset Time (POA&lt;20 W/m2)]],3,0),"")</f>
        <v/>
      </c>
      <c r="J198" s="29" t="str">
        <f>IFERROR(VLOOKUP(PA[[#This Row],[Date]],Raw_Data[[Date]:[Sunset Time (POA&lt;20 W/m2)]],4,0),"")</f>
        <v/>
      </c>
      <c r="K198" s="27" t="str">
        <f>IFERROR((PA[[#This Row],[Sunset Time (POA&lt;20 W/m2)]]-PA[[#This Row],[Sunrise Time (POA&gt;20 W/m2)]])*24,"")</f>
        <v/>
      </c>
      <c r="M198" s="46" t="str">
        <f>IFERROR(VLOOKUP(PA[[#This Row],[Affceted Equipment]],'Basic Data'!$A$2:$B$114,2,0),"")</f>
        <v/>
      </c>
      <c r="N198" s="48" t="str">
        <f>IFERROR(VLOOKUP(PA[[#This Row],[Affceted Equipment]],'Basic Data'!$A$1:$C$118,3,0),"")</f>
        <v/>
      </c>
      <c r="W198" s="33">
        <f>IF(PA[[#This Row],[Acknowledgemnet Time ]]="NA","",(PA[[#This Row],[Acknowledgemnet Time ]]-PA[[#This Row],[Fault Time]])*24)</f>
        <v>0</v>
      </c>
      <c r="X198" s="33">
        <f>IF(PA[[#This Row],[Work Start time on Fault]]="NA","",(PA[[#This Row],[Work Start time on Fault]]-PA[[#This Row],[Fault Time]])*24)</f>
        <v>0</v>
      </c>
      <c r="Y198" s="35">
        <f>(PA[[#This Row],[Work Completiuon time on fualt]]-PA[[#This Row],[Fault Time]])*24</f>
        <v>0</v>
      </c>
      <c r="Z198" s="35">
        <f>IFERROR((PA[[#This Row],[Work Completiuon time on fualt]]-PA[[#This Row],[Fault Time]])*24,"")</f>
        <v>0</v>
      </c>
      <c r="AC198" s="47" t="str">
        <f>IFERROR(PA[[#This Row],[Breakdown Time]]*PA[[#This Row],[Plant Equivalent Weightage]],"")</f>
        <v/>
      </c>
      <c r="AE198" s="33" t="str">
        <f>IFERROR((_xlfn.XLOOKUP(PA[[#This Row],[Month Year]],'Modelling New'!D:D,'Modelling New'!$O:$O)*PA[[#This Row],[Lost PoA(Wh/m2)]]*PA[[#This Row],[DC Capacity Affceted (kW)]])/1000,"")</f>
        <v/>
      </c>
      <c r="AF198" s="35"/>
    </row>
    <row r="199" spans="1:32">
      <c r="A199" s="2">
        <f t="shared" si="16"/>
        <v>196</v>
      </c>
      <c r="B199" s="156">
        <f t="shared" si="17"/>
        <v>1900</v>
      </c>
      <c r="C199" s="129">
        <f t="shared" si="18"/>
        <v>1900</v>
      </c>
      <c r="I199" s="29" t="str">
        <f>IFERROR(VLOOKUP(PA[[#This Row],[Date]],Raw_Data[[Date]:[Sunset Time (POA&lt;20 W/m2)]],3,0),"")</f>
        <v/>
      </c>
      <c r="J199" s="29" t="str">
        <f>IFERROR(VLOOKUP(PA[[#This Row],[Date]],Raw_Data[[Date]:[Sunset Time (POA&lt;20 W/m2)]],4,0),"")</f>
        <v/>
      </c>
      <c r="K199" s="27" t="str">
        <f>IFERROR((PA[[#This Row],[Sunset Time (POA&lt;20 W/m2)]]-PA[[#This Row],[Sunrise Time (POA&gt;20 W/m2)]])*24,"")</f>
        <v/>
      </c>
      <c r="M199" s="46" t="str">
        <f>IFERROR(VLOOKUP(PA[[#This Row],[Affceted Equipment]],'Basic Data'!$A$2:$B$114,2,0),"")</f>
        <v/>
      </c>
      <c r="N199" s="48" t="str">
        <f>IFERROR(VLOOKUP(PA[[#This Row],[Affceted Equipment]],'Basic Data'!$A$1:$C$118,3,0),"")</f>
        <v/>
      </c>
      <c r="W199" s="33">
        <f>IF(PA[[#This Row],[Acknowledgemnet Time ]]="NA","",(PA[[#This Row],[Acknowledgemnet Time ]]-PA[[#This Row],[Fault Time]])*24)</f>
        <v>0</v>
      </c>
      <c r="X199" s="33">
        <f>IF(PA[[#This Row],[Work Start time on Fault]]="NA","",(PA[[#This Row],[Work Start time on Fault]]-PA[[#This Row],[Fault Time]])*24)</f>
        <v>0</v>
      </c>
      <c r="Y199" s="35">
        <f>(PA[[#This Row],[Work Completiuon time on fualt]]-PA[[#This Row],[Fault Time]])*24</f>
        <v>0</v>
      </c>
      <c r="Z199" s="35">
        <f>IFERROR((PA[[#This Row],[Work Completiuon time on fualt]]-PA[[#This Row],[Fault Time]])*24,"")</f>
        <v>0</v>
      </c>
      <c r="AC199" s="47" t="str">
        <f>IFERROR(PA[[#This Row],[Breakdown Time]]*PA[[#This Row],[Plant Equivalent Weightage]],"")</f>
        <v/>
      </c>
      <c r="AE199" s="33" t="str">
        <f>IFERROR((_xlfn.XLOOKUP(PA[[#This Row],[Month Year]],'Modelling New'!D:D,'Modelling New'!$O:$O)*PA[[#This Row],[Lost PoA(Wh/m2)]]*PA[[#This Row],[DC Capacity Affceted (kW)]])/1000,"")</f>
        <v/>
      </c>
      <c r="AF199" s="35"/>
    </row>
    <row r="200" spans="1:32">
      <c r="A200" s="2">
        <f t="shared" si="16"/>
        <v>197</v>
      </c>
      <c r="B200" s="156">
        <f t="shared" si="17"/>
        <v>1900</v>
      </c>
      <c r="C200" s="129">
        <f t="shared" si="18"/>
        <v>1900</v>
      </c>
      <c r="I200" s="29" t="str">
        <f>IFERROR(VLOOKUP(PA[[#This Row],[Date]],Raw_Data[[Date]:[Sunset Time (POA&lt;20 W/m2)]],3,0),"")</f>
        <v/>
      </c>
      <c r="J200" s="29" t="str">
        <f>IFERROR(VLOOKUP(PA[[#This Row],[Date]],Raw_Data[[Date]:[Sunset Time (POA&lt;20 W/m2)]],4,0),"")</f>
        <v/>
      </c>
      <c r="K200" s="27" t="str">
        <f>IFERROR((PA[[#This Row],[Sunset Time (POA&lt;20 W/m2)]]-PA[[#This Row],[Sunrise Time (POA&gt;20 W/m2)]])*24,"")</f>
        <v/>
      </c>
      <c r="M200" s="46" t="str">
        <f>IFERROR(VLOOKUP(PA[[#This Row],[Affceted Equipment]],'Basic Data'!$A$2:$B$114,2,0),"")</f>
        <v/>
      </c>
      <c r="N200" s="48" t="str">
        <f>IFERROR(VLOOKUP(PA[[#This Row],[Affceted Equipment]],'Basic Data'!$A$1:$C$118,3,0),"")</f>
        <v/>
      </c>
      <c r="W200" s="33">
        <f>IF(PA[[#This Row],[Acknowledgemnet Time ]]="NA","",(PA[[#This Row],[Acknowledgemnet Time ]]-PA[[#This Row],[Fault Time]])*24)</f>
        <v>0</v>
      </c>
      <c r="X200" s="33">
        <f>IF(PA[[#This Row],[Work Start time on Fault]]="NA","",(PA[[#This Row],[Work Start time on Fault]]-PA[[#This Row],[Fault Time]])*24)</f>
        <v>0</v>
      </c>
      <c r="Y200" s="35">
        <f>(PA[[#This Row],[Work Completiuon time on fualt]]-PA[[#This Row],[Fault Time]])*24</f>
        <v>0</v>
      </c>
      <c r="Z200" s="35">
        <f>IFERROR((PA[[#This Row],[Work Completiuon time on fualt]]-PA[[#This Row],[Fault Time]])*24,"")</f>
        <v>0</v>
      </c>
      <c r="AC200" s="47" t="str">
        <f>IFERROR(PA[[#This Row],[Breakdown Time]]*PA[[#This Row],[Plant Equivalent Weightage]],"")</f>
        <v/>
      </c>
      <c r="AE200" s="33" t="str">
        <f>IFERROR((_xlfn.XLOOKUP(PA[[#This Row],[Month Year]],'Modelling New'!D:D,'Modelling New'!$O:$O)*PA[[#This Row],[Lost PoA(Wh/m2)]]*PA[[#This Row],[DC Capacity Affceted (kW)]])/1000,"")</f>
        <v/>
      </c>
      <c r="AF200" s="35"/>
    </row>
    <row r="201" spans="1:32">
      <c r="A201" s="2">
        <f t="shared" si="16"/>
        <v>198</v>
      </c>
      <c r="B201" s="156">
        <f t="shared" si="17"/>
        <v>1900</v>
      </c>
      <c r="C201" s="129">
        <f t="shared" si="18"/>
        <v>1900</v>
      </c>
      <c r="I201" s="29" t="str">
        <f>IFERROR(VLOOKUP(PA[[#This Row],[Date]],Raw_Data[[Date]:[Sunset Time (POA&lt;20 W/m2)]],3,0),"")</f>
        <v/>
      </c>
      <c r="J201" s="29" t="str">
        <f>IFERROR(VLOOKUP(PA[[#This Row],[Date]],Raw_Data[[Date]:[Sunset Time (POA&lt;20 W/m2)]],4,0),"")</f>
        <v/>
      </c>
      <c r="K201" s="27" t="str">
        <f>IFERROR((PA[[#This Row],[Sunset Time (POA&lt;20 W/m2)]]-PA[[#This Row],[Sunrise Time (POA&gt;20 W/m2)]])*24,"")</f>
        <v/>
      </c>
      <c r="M201" s="46" t="str">
        <f>IFERROR(VLOOKUP(PA[[#This Row],[Affceted Equipment]],'Basic Data'!$A$2:$B$114,2,0),"")</f>
        <v/>
      </c>
      <c r="N201" s="48" t="str">
        <f>IFERROR(VLOOKUP(PA[[#This Row],[Affceted Equipment]],'Basic Data'!$A$1:$C$118,3,0),"")</f>
        <v/>
      </c>
      <c r="W201" s="33">
        <f>IF(PA[[#This Row],[Acknowledgemnet Time ]]="NA","",(PA[[#This Row],[Acknowledgemnet Time ]]-PA[[#This Row],[Fault Time]])*24)</f>
        <v>0</v>
      </c>
      <c r="X201" s="33">
        <f>IF(PA[[#This Row],[Work Start time on Fault]]="NA","",(PA[[#This Row],[Work Start time on Fault]]-PA[[#This Row],[Fault Time]])*24)</f>
        <v>0</v>
      </c>
      <c r="Y201" s="35">
        <f>(PA[[#This Row],[Work Completiuon time on fualt]]-PA[[#This Row],[Fault Time]])*24</f>
        <v>0</v>
      </c>
      <c r="Z201" s="35">
        <f>IFERROR((PA[[#This Row],[Work Completiuon time on fualt]]-PA[[#This Row],[Fault Time]])*24,"")</f>
        <v>0</v>
      </c>
      <c r="AC201" s="47" t="str">
        <f>IFERROR(PA[[#This Row],[Breakdown Time]]*PA[[#This Row],[Plant Equivalent Weightage]],"")</f>
        <v/>
      </c>
      <c r="AE201" s="33" t="str">
        <f>IFERROR((_xlfn.XLOOKUP(PA[[#This Row],[Month Year]],'Modelling New'!D:D,'Modelling New'!$O:$O)*PA[[#This Row],[Lost PoA(Wh/m2)]]*PA[[#This Row],[DC Capacity Affceted (kW)]])/1000,"")</f>
        <v/>
      </c>
      <c r="AF201" s="35"/>
    </row>
    <row r="202" spans="1:32">
      <c r="A202" s="2">
        <f t="shared" ref="A202:A265" si="19">A201+1</f>
        <v>199</v>
      </c>
      <c r="B202" s="156">
        <f t="shared" si="17"/>
        <v>1900</v>
      </c>
      <c r="C202" s="129">
        <f t="shared" si="18"/>
        <v>1900</v>
      </c>
      <c r="I202" s="29" t="str">
        <f>IFERROR(VLOOKUP(PA[[#This Row],[Date]],Raw_Data[[Date]:[Sunset Time (POA&lt;20 W/m2)]],3,0),"")</f>
        <v/>
      </c>
      <c r="J202" s="29" t="str">
        <f>IFERROR(VLOOKUP(PA[[#This Row],[Date]],Raw_Data[[Date]:[Sunset Time (POA&lt;20 W/m2)]],4,0),"")</f>
        <v/>
      </c>
      <c r="K202" s="27" t="str">
        <f>IFERROR((PA[[#This Row],[Sunset Time (POA&lt;20 W/m2)]]-PA[[#This Row],[Sunrise Time (POA&gt;20 W/m2)]])*24,"")</f>
        <v/>
      </c>
      <c r="M202" s="46" t="str">
        <f>IFERROR(VLOOKUP(PA[[#This Row],[Affceted Equipment]],'Basic Data'!$A$2:$B$114,2,0),"")</f>
        <v/>
      </c>
      <c r="N202" s="48" t="str">
        <f>IFERROR(VLOOKUP(PA[[#This Row],[Affceted Equipment]],'Basic Data'!$A$1:$C$118,3,0),"")</f>
        <v/>
      </c>
      <c r="W202" s="33">
        <f>IF(PA[[#This Row],[Acknowledgemnet Time ]]="NA","",(PA[[#This Row],[Acknowledgemnet Time ]]-PA[[#This Row],[Fault Time]])*24)</f>
        <v>0</v>
      </c>
      <c r="X202" s="33">
        <f>IF(PA[[#This Row],[Work Start time on Fault]]="NA","",(PA[[#This Row],[Work Start time on Fault]]-PA[[#This Row],[Fault Time]])*24)</f>
        <v>0</v>
      </c>
      <c r="Y202" s="35">
        <f>(PA[[#This Row],[Work Completiuon time on fualt]]-PA[[#This Row],[Fault Time]])*24</f>
        <v>0</v>
      </c>
      <c r="Z202" s="35">
        <f>IFERROR((PA[[#This Row],[Work Completiuon time on fualt]]-PA[[#This Row],[Fault Time]])*24,"")</f>
        <v>0</v>
      </c>
      <c r="AC202" s="47" t="str">
        <f>IFERROR(PA[[#This Row],[Breakdown Time]]*PA[[#This Row],[Plant Equivalent Weightage]],"")</f>
        <v/>
      </c>
      <c r="AE202" s="33" t="str">
        <f>IFERROR((_xlfn.XLOOKUP(PA[[#This Row],[Month Year]],'Modelling New'!D:D,'Modelling New'!$O:$O)*PA[[#This Row],[Lost PoA(Wh/m2)]]*PA[[#This Row],[DC Capacity Affceted (kW)]])/1000,"")</f>
        <v/>
      </c>
      <c r="AF202" s="35"/>
    </row>
    <row r="203" spans="1:32">
      <c r="A203" s="2">
        <f t="shared" si="19"/>
        <v>200</v>
      </c>
      <c r="B203" s="156">
        <f t="shared" si="17"/>
        <v>1900</v>
      </c>
      <c r="C203" s="129">
        <f t="shared" si="18"/>
        <v>1900</v>
      </c>
      <c r="I203" s="29" t="str">
        <f>IFERROR(VLOOKUP(PA[[#This Row],[Date]],Raw_Data[[Date]:[Sunset Time (POA&lt;20 W/m2)]],3,0),"")</f>
        <v/>
      </c>
      <c r="J203" s="29" t="str">
        <f>IFERROR(VLOOKUP(PA[[#This Row],[Date]],Raw_Data[[Date]:[Sunset Time (POA&lt;20 W/m2)]],4,0),"")</f>
        <v/>
      </c>
      <c r="K203" s="27" t="str">
        <f>IFERROR((PA[[#This Row],[Sunset Time (POA&lt;20 W/m2)]]-PA[[#This Row],[Sunrise Time (POA&gt;20 W/m2)]])*24,"")</f>
        <v/>
      </c>
      <c r="M203" s="46" t="str">
        <f>IFERROR(VLOOKUP(PA[[#This Row],[Affceted Equipment]],'Basic Data'!$A$2:$B$114,2,0),"")</f>
        <v/>
      </c>
      <c r="N203" s="48" t="str">
        <f>IFERROR(VLOOKUP(PA[[#This Row],[Affceted Equipment]],'Basic Data'!$A$1:$C$118,3,0),"")</f>
        <v/>
      </c>
      <c r="W203" s="33">
        <f>IF(PA[[#This Row],[Acknowledgemnet Time ]]="NA","",(PA[[#This Row],[Acknowledgemnet Time ]]-PA[[#This Row],[Fault Time]])*24)</f>
        <v>0</v>
      </c>
      <c r="X203" s="33">
        <f>IF(PA[[#This Row],[Work Start time on Fault]]="NA","",(PA[[#This Row],[Work Start time on Fault]]-PA[[#This Row],[Fault Time]])*24)</f>
        <v>0</v>
      </c>
      <c r="Y203" s="35">
        <f>(PA[[#This Row],[Work Completiuon time on fualt]]-PA[[#This Row],[Fault Time]])*24</f>
        <v>0</v>
      </c>
      <c r="Z203" s="35">
        <f>IFERROR((PA[[#This Row],[Work Completiuon time on fualt]]-PA[[#This Row],[Fault Time]])*24,"")</f>
        <v>0</v>
      </c>
      <c r="AC203" s="47" t="str">
        <f>IFERROR(PA[[#This Row],[Breakdown Time]]*PA[[#This Row],[Plant Equivalent Weightage]],"")</f>
        <v/>
      </c>
      <c r="AE203" s="33" t="str">
        <f>IFERROR((_xlfn.XLOOKUP(PA[[#This Row],[Month Year]],'Modelling New'!D:D,'Modelling New'!$O:$O)*PA[[#This Row],[Lost PoA(Wh/m2)]]*PA[[#This Row],[DC Capacity Affceted (kW)]])/1000,"")</f>
        <v/>
      </c>
      <c r="AF203" s="35"/>
    </row>
    <row r="204" spans="1:32">
      <c r="A204" s="2">
        <f t="shared" si="19"/>
        <v>201</v>
      </c>
      <c r="B204" s="156">
        <f t="shared" si="17"/>
        <v>1900</v>
      </c>
      <c r="C204" s="129">
        <f t="shared" si="18"/>
        <v>1900</v>
      </c>
      <c r="I204" s="29" t="str">
        <f>IFERROR(VLOOKUP(PA[[#This Row],[Date]],Raw_Data[[Date]:[Sunset Time (POA&lt;20 W/m2)]],3,0),"")</f>
        <v/>
      </c>
      <c r="J204" s="29" t="str">
        <f>IFERROR(VLOOKUP(PA[[#This Row],[Date]],Raw_Data[[Date]:[Sunset Time (POA&lt;20 W/m2)]],4,0),"")</f>
        <v/>
      </c>
      <c r="K204" s="27" t="str">
        <f>IFERROR((PA[[#This Row],[Sunset Time (POA&lt;20 W/m2)]]-PA[[#This Row],[Sunrise Time (POA&gt;20 W/m2)]])*24,"")</f>
        <v/>
      </c>
      <c r="M204" s="46" t="str">
        <f>IFERROR(VLOOKUP(PA[[#This Row],[Affceted Equipment]],'Basic Data'!$A$2:$B$114,2,0),"")</f>
        <v/>
      </c>
      <c r="N204" s="48" t="str">
        <f>IFERROR(VLOOKUP(PA[[#This Row],[Affceted Equipment]],'Basic Data'!$A$1:$C$118,3,0),"")</f>
        <v/>
      </c>
      <c r="W204" s="33">
        <f>IF(PA[[#This Row],[Acknowledgemnet Time ]]="NA","",(PA[[#This Row],[Acknowledgemnet Time ]]-PA[[#This Row],[Fault Time]])*24)</f>
        <v>0</v>
      </c>
      <c r="X204" s="33">
        <f>IF(PA[[#This Row],[Work Start time on Fault]]="NA","",(PA[[#This Row],[Work Start time on Fault]]-PA[[#This Row],[Fault Time]])*24)</f>
        <v>0</v>
      </c>
      <c r="Y204" s="35">
        <f>(PA[[#This Row],[Work Completiuon time on fualt]]-PA[[#This Row],[Fault Time]])*24</f>
        <v>0</v>
      </c>
      <c r="Z204" s="35">
        <f>IFERROR((PA[[#This Row],[Work Completiuon time on fualt]]-PA[[#This Row],[Fault Time]])*24,"")</f>
        <v>0</v>
      </c>
      <c r="AC204" s="47" t="str">
        <f>IFERROR(PA[[#This Row],[Breakdown Time]]*PA[[#This Row],[Plant Equivalent Weightage]],"")</f>
        <v/>
      </c>
      <c r="AE204" s="33" t="str">
        <f>IFERROR((_xlfn.XLOOKUP(PA[[#This Row],[Month Year]],'Modelling New'!D:D,'Modelling New'!$O:$O)*PA[[#This Row],[Lost PoA(Wh/m2)]]*PA[[#This Row],[DC Capacity Affceted (kW)]])/1000,"")</f>
        <v/>
      </c>
      <c r="AF204" s="35"/>
    </row>
    <row r="205" spans="1:32">
      <c r="A205" s="2">
        <f t="shared" si="19"/>
        <v>202</v>
      </c>
      <c r="B205" s="156">
        <f t="shared" si="17"/>
        <v>1900</v>
      </c>
      <c r="C205" s="129">
        <f t="shared" si="18"/>
        <v>1900</v>
      </c>
      <c r="I205" s="29" t="str">
        <f>IFERROR(VLOOKUP(PA[[#This Row],[Date]],Raw_Data[[Date]:[Sunset Time (POA&lt;20 W/m2)]],3,0),"")</f>
        <v/>
      </c>
      <c r="J205" s="29" t="str">
        <f>IFERROR(VLOOKUP(PA[[#This Row],[Date]],Raw_Data[[Date]:[Sunset Time (POA&lt;20 W/m2)]],4,0),"")</f>
        <v/>
      </c>
      <c r="K205" s="27" t="str">
        <f>IFERROR((PA[[#This Row],[Sunset Time (POA&lt;20 W/m2)]]-PA[[#This Row],[Sunrise Time (POA&gt;20 W/m2)]])*24,"")</f>
        <v/>
      </c>
      <c r="M205" s="46" t="str">
        <f>IFERROR(VLOOKUP(PA[[#This Row],[Affceted Equipment]],'Basic Data'!$A$2:$B$114,2,0),"")</f>
        <v/>
      </c>
      <c r="N205" s="48" t="str">
        <f>IFERROR(VLOOKUP(PA[[#This Row],[Affceted Equipment]],'Basic Data'!$A$1:$C$118,3,0),"")</f>
        <v/>
      </c>
      <c r="W205" s="33">
        <f>IF(PA[[#This Row],[Acknowledgemnet Time ]]="NA","",(PA[[#This Row],[Acknowledgemnet Time ]]-PA[[#This Row],[Fault Time]])*24)</f>
        <v>0</v>
      </c>
      <c r="X205" s="33">
        <f>IF(PA[[#This Row],[Work Start time on Fault]]="NA","",(PA[[#This Row],[Work Start time on Fault]]-PA[[#This Row],[Fault Time]])*24)</f>
        <v>0</v>
      </c>
      <c r="Y205" s="35">
        <f>(PA[[#This Row],[Work Completiuon time on fualt]]-PA[[#This Row],[Fault Time]])*24</f>
        <v>0</v>
      </c>
      <c r="Z205" s="35">
        <f>IFERROR((PA[[#This Row],[Work Completiuon time on fualt]]-PA[[#This Row],[Fault Time]])*24,"")</f>
        <v>0</v>
      </c>
      <c r="AC205" s="47" t="str">
        <f>IFERROR(PA[[#This Row],[Breakdown Time]]*PA[[#This Row],[Plant Equivalent Weightage]],"")</f>
        <v/>
      </c>
      <c r="AE205" s="33" t="str">
        <f>IFERROR((_xlfn.XLOOKUP(PA[[#This Row],[Month Year]],'Modelling New'!D:D,'Modelling New'!$O:$O)*PA[[#This Row],[Lost PoA(Wh/m2)]]*PA[[#This Row],[DC Capacity Affceted (kW)]])/1000,"")</f>
        <v/>
      </c>
      <c r="AF205" s="35"/>
    </row>
    <row r="206" spans="1:32">
      <c r="A206" s="2">
        <f t="shared" si="19"/>
        <v>203</v>
      </c>
      <c r="B206" s="156">
        <f t="shared" si="17"/>
        <v>1900</v>
      </c>
      <c r="C206" s="129">
        <f t="shared" si="18"/>
        <v>1900</v>
      </c>
      <c r="I206" s="29" t="str">
        <f>IFERROR(VLOOKUP(PA[[#This Row],[Date]],Raw_Data[[Date]:[Sunset Time (POA&lt;20 W/m2)]],3,0),"")</f>
        <v/>
      </c>
      <c r="J206" s="29" t="str">
        <f>IFERROR(VLOOKUP(PA[[#This Row],[Date]],Raw_Data[[Date]:[Sunset Time (POA&lt;20 W/m2)]],4,0),"")</f>
        <v/>
      </c>
      <c r="K206" s="27" t="str">
        <f>IFERROR((PA[[#This Row],[Sunset Time (POA&lt;20 W/m2)]]-PA[[#This Row],[Sunrise Time (POA&gt;20 W/m2)]])*24,"")</f>
        <v/>
      </c>
      <c r="M206" s="46" t="str">
        <f>IFERROR(VLOOKUP(PA[[#This Row],[Affceted Equipment]],'Basic Data'!$A$2:$B$114,2,0),"")</f>
        <v/>
      </c>
      <c r="N206" s="48" t="str">
        <f>IFERROR(VLOOKUP(PA[[#This Row],[Affceted Equipment]],'Basic Data'!$A$1:$C$118,3,0),"")</f>
        <v/>
      </c>
      <c r="W206" s="33">
        <f>IF(PA[[#This Row],[Acknowledgemnet Time ]]="NA","",(PA[[#This Row],[Acknowledgemnet Time ]]-PA[[#This Row],[Fault Time]])*24)</f>
        <v>0</v>
      </c>
      <c r="X206" s="33">
        <f>IF(PA[[#This Row],[Work Start time on Fault]]="NA","",(PA[[#This Row],[Work Start time on Fault]]-PA[[#This Row],[Fault Time]])*24)</f>
        <v>0</v>
      </c>
      <c r="Y206" s="35">
        <f>(PA[[#This Row],[Work Completiuon time on fualt]]-PA[[#This Row],[Fault Time]])*24</f>
        <v>0</v>
      </c>
      <c r="Z206" s="35">
        <f>IFERROR((PA[[#This Row],[Work Completiuon time on fualt]]-PA[[#This Row],[Fault Time]])*24,"")</f>
        <v>0</v>
      </c>
      <c r="AC206" s="47" t="str">
        <f>IFERROR(PA[[#This Row],[Breakdown Time]]*PA[[#This Row],[Plant Equivalent Weightage]],"")</f>
        <v/>
      </c>
      <c r="AE206" s="33" t="str">
        <f>IFERROR((_xlfn.XLOOKUP(PA[[#This Row],[Month Year]],'Modelling New'!D:D,'Modelling New'!$O:$O)*PA[[#This Row],[Lost PoA(Wh/m2)]]*PA[[#This Row],[DC Capacity Affceted (kW)]])/1000,"")</f>
        <v/>
      </c>
      <c r="AF206" s="35"/>
    </row>
    <row r="207" spans="1:32">
      <c r="A207" s="2">
        <f t="shared" si="19"/>
        <v>204</v>
      </c>
      <c r="B207" s="156">
        <f t="shared" si="17"/>
        <v>1900</v>
      </c>
      <c r="C207" s="129">
        <f t="shared" si="18"/>
        <v>1900</v>
      </c>
      <c r="I207" s="29" t="str">
        <f>IFERROR(VLOOKUP(PA[[#This Row],[Date]],Raw_Data[[Date]:[Sunset Time (POA&lt;20 W/m2)]],3,0),"")</f>
        <v/>
      </c>
      <c r="J207" s="29" t="str">
        <f>IFERROR(VLOOKUP(PA[[#This Row],[Date]],Raw_Data[[Date]:[Sunset Time (POA&lt;20 W/m2)]],4,0),"")</f>
        <v/>
      </c>
      <c r="K207" s="27" t="str">
        <f>IFERROR((PA[[#This Row],[Sunset Time (POA&lt;20 W/m2)]]-PA[[#This Row],[Sunrise Time (POA&gt;20 W/m2)]])*24,"")</f>
        <v/>
      </c>
      <c r="M207" s="46" t="str">
        <f>IFERROR(VLOOKUP(PA[[#This Row],[Affceted Equipment]],'Basic Data'!$A$2:$B$114,2,0),"")</f>
        <v/>
      </c>
      <c r="N207" s="48" t="str">
        <f>IFERROR(VLOOKUP(PA[[#This Row],[Affceted Equipment]],'Basic Data'!$A$1:$C$118,3,0),"")</f>
        <v/>
      </c>
      <c r="W207" s="33">
        <f>IF(PA[[#This Row],[Acknowledgemnet Time ]]="NA","",(PA[[#This Row],[Acknowledgemnet Time ]]-PA[[#This Row],[Fault Time]])*24)</f>
        <v>0</v>
      </c>
      <c r="X207" s="33">
        <f>IF(PA[[#This Row],[Work Start time on Fault]]="NA","",(PA[[#This Row],[Work Start time on Fault]]-PA[[#This Row],[Fault Time]])*24)</f>
        <v>0</v>
      </c>
      <c r="Y207" s="35">
        <f>(PA[[#This Row],[Work Completiuon time on fualt]]-PA[[#This Row],[Fault Time]])*24</f>
        <v>0</v>
      </c>
      <c r="Z207" s="35">
        <f>IFERROR((PA[[#This Row],[Work Completiuon time on fualt]]-PA[[#This Row],[Fault Time]])*24,"")</f>
        <v>0</v>
      </c>
      <c r="AC207" s="47" t="str">
        <f>IFERROR(PA[[#This Row],[Breakdown Time]]*PA[[#This Row],[Plant Equivalent Weightage]],"")</f>
        <v/>
      </c>
      <c r="AE207" s="33" t="str">
        <f>IFERROR((_xlfn.XLOOKUP(PA[[#This Row],[Month Year]],'Modelling New'!D:D,'Modelling New'!$O:$O)*PA[[#This Row],[Lost PoA(Wh/m2)]]*PA[[#This Row],[DC Capacity Affceted (kW)]])/1000,"")</f>
        <v/>
      </c>
      <c r="AF207" s="35"/>
    </row>
    <row r="208" spans="1:32">
      <c r="A208" s="2">
        <f t="shared" si="19"/>
        <v>205</v>
      </c>
      <c r="B208" s="156">
        <f t="shared" si="17"/>
        <v>1900</v>
      </c>
      <c r="C208" s="129">
        <f t="shared" si="18"/>
        <v>1900</v>
      </c>
      <c r="I208" s="29" t="str">
        <f>IFERROR(VLOOKUP(PA[[#This Row],[Date]],Raw_Data[[Date]:[Sunset Time (POA&lt;20 W/m2)]],3,0),"")</f>
        <v/>
      </c>
      <c r="J208" s="29" t="str">
        <f>IFERROR(VLOOKUP(PA[[#This Row],[Date]],Raw_Data[[Date]:[Sunset Time (POA&lt;20 W/m2)]],4,0),"")</f>
        <v/>
      </c>
      <c r="K208" s="27" t="str">
        <f>IFERROR((PA[[#This Row],[Sunset Time (POA&lt;20 W/m2)]]-PA[[#This Row],[Sunrise Time (POA&gt;20 W/m2)]])*24,"")</f>
        <v/>
      </c>
      <c r="M208" s="46" t="str">
        <f>IFERROR(VLOOKUP(PA[[#This Row],[Affceted Equipment]],'Basic Data'!$A$2:$B$114,2,0),"")</f>
        <v/>
      </c>
      <c r="N208" s="48" t="str">
        <f>IFERROR(VLOOKUP(PA[[#This Row],[Affceted Equipment]],'Basic Data'!$A$1:$C$118,3,0),"")</f>
        <v/>
      </c>
      <c r="W208" s="33">
        <f>IF(PA[[#This Row],[Acknowledgemnet Time ]]="NA","",(PA[[#This Row],[Acknowledgemnet Time ]]-PA[[#This Row],[Fault Time]])*24)</f>
        <v>0</v>
      </c>
      <c r="X208" s="33">
        <f>IF(PA[[#This Row],[Work Start time on Fault]]="NA","",(PA[[#This Row],[Work Start time on Fault]]-PA[[#This Row],[Fault Time]])*24)</f>
        <v>0</v>
      </c>
      <c r="Y208" s="35">
        <f>(PA[[#This Row],[Work Completiuon time on fualt]]-PA[[#This Row],[Fault Time]])*24</f>
        <v>0</v>
      </c>
      <c r="Z208" s="35">
        <f>IFERROR((PA[[#This Row],[Work Completiuon time on fualt]]-PA[[#This Row],[Fault Time]])*24,"")</f>
        <v>0</v>
      </c>
      <c r="AC208" s="47" t="str">
        <f>IFERROR(PA[[#This Row],[Breakdown Time]]*PA[[#This Row],[Plant Equivalent Weightage]],"")</f>
        <v/>
      </c>
      <c r="AE208" s="33" t="str">
        <f>IFERROR((_xlfn.XLOOKUP(PA[[#This Row],[Month Year]],'Modelling New'!D:D,'Modelling New'!$O:$O)*PA[[#This Row],[Lost PoA(Wh/m2)]]*PA[[#This Row],[DC Capacity Affceted (kW)]])/1000,"")</f>
        <v/>
      </c>
      <c r="AF208" s="35"/>
    </row>
    <row r="209" spans="1:32">
      <c r="A209" s="2">
        <f t="shared" si="19"/>
        <v>206</v>
      </c>
      <c r="B209" s="156">
        <f t="shared" si="17"/>
        <v>1900</v>
      </c>
      <c r="C209" s="129">
        <f t="shared" si="18"/>
        <v>1900</v>
      </c>
      <c r="I209" s="29" t="str">
        <f>IFERROR(VLOOKUP(PA[[#This Row],[Date]],Raw_Data[[Date]:[Sunset Time (POA&lt;20 W/m2)]],3,0),"")</f>
        <v/>
      </c>
      <c r="J209" s="29" t="str">
        <f>IFERROR(VLOOKUP(PA[[#This Row],[Date]],Raw_Data[[Date]:[Sunset Time (POA&lt;20 W/m2)]],4,0),"")</f>
        <v/>
      </c>
      <c r="K209" s="27" t="str">
        <f>IFERROR((PA[[#This Row],[Sunset Time (POA&lt;20 W/m2)]]-PA[[#This Row],[Sunrise Time (POA&gt;20 W/m2)]])*24,"")</f>
        <v/>
      </c>
      <c r="M209" s="46" t="str">
        <f>IFERROR(VLOOKUP(PA[[#This Row],[Affceted Equipment]],'Basic Data'!$A$2:$B$114,2,0),"")</f>
        <v/>
      </c>
      <c r="N209" s="48" t="str">
        <f>IFERROR(VLOOKUP(PA[[#This Row],[Affceted Equipment]],'Basic Data'!$A$1:$C$118,3,0),"")</f>
        <v/>
      </c>
      <c r="W209" s="33">
        <f>IF(PA[[#This Row],[Acknowledgemnet Time ]]="NA","",(PA[[#This Row],[Acknowledgemnet Time ]]-PA[[#This Row],[Fault Time]])*24)</f>
        <v>0</v>
      </c>
      <c r="X209" s="33">
        <f>IF(PA[[#This Row],[Work Start time on Fault]]="NA","",(PA[[#This Row],[Work Start time on Fault]]-PA[[#This Row],[Fault Time]])*24)</f>
        <v>0</v>
      </c>
      <c r="Y209" s="35">
        <f>(PA[[#This Row],[Work Completiuon time on fualt]]-PA[[#This Row],[Fault Time]])*24</f>
        <v>0</v>
      </c>
      <c r="Z209" s="35">
        <f>IFERROR((PA[[#This Row],[Work Completiuon time on fualt]]-PA[[#This Row],[Fault Time]])*24,"")</f>
        <v>0</v>
      </c>
      <c r="AC209" s="47" t="str">
        <f>IFERROR(PA[[#This Row],[Breakdown Time]]*PA[[#This Row],[Plant Equivalent Weightage]],"")</f>
        <v/>
      </c>
      <c r="AE209" s="33" t="str">
        <f>IFERROR((_xlfn.XLOOKUP(PA[[#This Row],[Month Year]],'Modelling New'!D:D,'Modelling New'!$O:$O)*PA[[#This Row],[Lost PoA(Wh/m2)]]*PA[[#This Row],[DC Capacity Affceted (kW)]])/1000,"")</f>
        <v/>
      </c>
      <c r="AF209" s="35"/>
    </row>
    <row r="210" spans="1:32">
      <c r="A210" s="2">
        <f t="shared" si="19"/>
        <v>207</v>
      </c>
      <c r="B210" s="156">
        <f t="shared" si="17"/>
        <v>1900</v>
      </c>
      <c r="C210" s="129">
        <f t="shared" si="18"/>
        <v>1900</v>
      </c>
      <c r="I210" s="29" t="str">
        <f>IFERROR(VLOOKUP(PA[[#This Row],[Date]],Raw_Data[[Date]:[Sunset Time (POA&lt;20 W/m2)]],3,0),"")</f>
        <v/>
      </c>
      <c r="J210" s="29" t="str">
        <f>IFERROR(VLOOKUP(PA[[#This Row],[Date]],Raw_Data[[Date]:[Sunset Time (POA&lt;20 W/m2)]],4,0),"")</f>
        <v/>
      </c>
      <c r="K210" s="27" t="str">
        <f>IFERROR((PA[[#This Row],[Sunset Time (POA&lt;20 W/m2)]]-PA[[#This Row],[Sunrise Time (POA&gt;20 W/m2)]])*24,"")</f>
        <v/>
      </c>
      <c r="M210" s="46" t="str">
        <f>IFERROR(VLOOKUP(PA[[#This Row],[Affceted Equipment]],'Basic Data'!$A$2:$B$114,2,0),"")</f>
        <v/>
      </c>
      <c r="N210" s="48" t="str">
        <f>IFERROR(VLOOKUP(PA[[#This Row],[Affceted Equipment]],'Basic Data'!$A$1:$C$118,3,0),"")</f>
        <v/>
      </c>
      <c r="W210" s="33">
        <f>IF(PA[[#This Row],[Acknowledgemnet Time ]]="NA","",(PA[[#This Row],[Acknowledgemnet Time ]]-PA[[#This Row],[Fault Time]])*24)</f>
        <v>0</v>
      </c>
      <c r="X210" s="33">
        <f>IF(PA[[#This Row],[Work Start time on Fault]]="NA","",(PA[[#This Row],[Work Start time on Fault]]-PA[[#This Row],[Fault Time]])*24)</f>
        <v>0</v>
      </c>
      <c r="Y210" s="35">
        <f>(PA[[#This Row],[Work Completiuon time on fualt]]-PA[[#This Row],[Fault Time]])*24</f>
        <v>0</v>
      </c>
      <c r="Z210" s="35">
        <f>IFERROR((PA[[#This Row],[Work Completiuon time on fualt]]-PA[[#This Row],[Fault Time]])*24,"")</f>
        <v>0</v>
      </c>
      <c r="AC210" s="47" t="str">
        <f>IFERROR(PA[[#This Row],[Breakdown Time]]*PA[[#This Row],[Plant Equivalent Weightage]],"")</f>
        <v/>
      </c>
      <c r="AE210" s="33" t="str">
        <f>IFERROR((_xlfn.XLOOKUP(PA[[#This Row],[Month Year]],'Modelling New'!D:D,'Modelling New'!$O:$O)*PA[[#This Row],[Lost PoA(Wh/m2)]]*PA[[#This Row],[DC Capacity Affceted (kW)]])/1000,"")</f>
        <v/>
      </c>
      <c r="AF210" s="35"/>
    </row>
    <row r="211" spans="1:32">
      <c r="A211" s="2">
        <f t="shared" si="19"/>
        <v>208</v>
      </c>
      <c r="B211" s="156">
        <f t="shared" si="17"/>
        <v>1900</v>
      </c>
      <c r="C211" s="129">
        <f t="shared" si="18"/>
        <v>1900</v>
      </c>
      <c r="I211" s="29" t="str">
        <f>IFERROR(VLOOKUP(PA[[#This Row],[Date]],Raw_Data[[Date]:[Sunset Time (POA&lt;20 W/m2)]],3,0),"")</f>
        <v/>
      </c>
      <c r="J211" s="29" t="str">
        <f>IFERROR(VLOOKUP(PA[[#This Row],[Date]],Raw_Data[[Date]:[Sunset Time (POA&lt;20 W/m2)]],4,0),"")</f>
        <v/>
      </c>
      <c r="K211" s="27" t="str">
        <f>IFERROR((PA[[#This Row],[Sunset Time (POA&lt;20 W/m2)]]-PA[[#This Row],[Sunrise Time (POA&gt;20 W/m2)]])*24,"")</f>
        <v/>
      </c>
      <c r="M211" s="46" t="str">
        <f>IFERROR(VLOOKUP(PA[[#This Row],[Affceted Equipment]],'Basic Data'!$A$2:$B$114,2,0),"")</f>
        <v/>
      </c>
      <c r="N211" s="48" t="str">
        <f>IFERROR(VLOOKUP(PA[[#This Row],[Affceted Equipment]],'Basic Data'!$A$1:$C$118,3,0),"")</f>
        <v/>
      </c>
      <c r="W211" s="33">
        <f>IF(PA[[#This Row],[Acknowledgemnet Time ]]="NA","",(PA[[#This Row],[Acknowledgemnet Time ]]-PA[[#This Row],[Fault Time]])*24)</f>
        <v>0</v>
      </c>
      <c r="X211" s="33">
        <f>IF(PA[[#This Row],[Work Start time on Fault]]="NA","",(PA[[#This Row],[Work Start time on Fault]]-PA[[#This Row],[Fault Time]])*24)</f>
        <v>0</v>
      </c>
      <c r="Y211" s="35">
        <f>(PA[[#This Row],[Work Completiuon time on fualt]]-PA[[#This Row],[Fault Time]])*24</f>
        <v>0</v>
      </c>
      <c r="Z211" s="35">
        <f>IFERROR((PA[[#This Row],[Work Completiuon time on fualt]]-PA[[#This Row],[Fault Time]])*24,"")</f>
        <v>0</v>
      </c>
      <c r="AC211" s="47" t="str">
        <f>IFERROR(PA[[#This Row],[Breakdown Time]]*PA[[#This Row],[Plant Equivalent Weightage]],"")</f>
        <v/>
      </c>
      <c r="AE211" s="33" t="str">
        <f>IFERROR((_xlfn.XLOOKUP(PA[[#This Row],[Month Year]],'Modelling New'!D:D,'Modelling New'!$O:$O)*PA[[#This Row],[Lost PoA(Wh/m2)]]*PA[[#This Row],[DC Capacity Affceted (kW)]])/1000,"")</f>
        <v/>
      </c>
      <c r="AF211" s="35"/>
    </row>
    <row r="212" spans="1:32">
      <c r="A212" s="2">
        <f t="shared" si="19"/>
        <v>209</v>
      </c>
      <c r="B212" s="156">
        <f t="shared" si="17"/>
        <v>1900</v>
      </c>
      <c r="C212" s="129">
        <f t="shared" si="18"/>
        <v>1900</v>
      </c>
      <c r="I212" s="29" t="str">
        <f>IFERROR(VLOOKUP(PA[[#This Row],[Date]],Raw_Data[[Date]:[Sunset Time (POA&lt;20 W/m2)]],3,0),"")</f>
        <v/>
      </c>
      <c r="J212" s="29" t="str">
        <f>IFERROR(VLOOKUP(PA[[#This Row],[Date]],Raw_Data[[Date]:[Sunset Time (POA&lt;20 W/m2)]],4,0),"")</f>
        <v/>
      </c>
      <c r="K212" s="27" t="str">
        <f>IFERROR((PA[[#This Row],[Sunset Time (POA&lt;20 W/m2)]]-PA[[#This Row],[Sunrise Time (POA&gt;20 W/m2)]])*24,"")</f>
        <v/>
      </c>
      <c r="M212" s="46" t="str">
        <f>IFERROR(VLOOKUP(PA[[#This Row],[Affceted Equipment]],'Basic Data'!$A$2:$B$114,2,0),"")</f>
        <v/>
      </c>
      <c r="N212" s="48" t="str">
        <f>IFERROR(VLOOKUP(PA[[#This Row],[Affceted Equipment]],'Basic Data'!$A$1:$C$118,3,0),"")</f>
        <v/>
      </c>
      <c r="W212" s="33">
        <f>IF(PA[[#This Row],[Acknowledgemnet Time ]]="NA","",(PA[[#This Row],[Acknowledgemnet Time ]]-PA[[#This Row],[Fault Time]])*24)</f>
        <v>0</v>
      </c>
      <c r="X212" s="33">
        <f>IF(PA[[#This Row],[Work Start time on Fault]]="NA","",(PA[[#This Row],[Work Start time on Fault]]-PA[[#This Row],[Fault Time]])*24)</f>
        <v>0</v>
      </c>
      <c r="Y212" s="35">
        <f>(PA[[#This Row],[Work Completiuon time on fualt]]-PA[[#This Row],[Fault Time]])*24</f>
        <v>0</v>
      </c>
      <c r="Z212" s="35">
        <f>IFERROR((PA[[#This Row],[Work Completiuon time on fualt]]-PA[[#This Row],[Fault Time]])*24,"")</f>
        <v>0</v>
      </c>
      <c r="AC212" s="47" t="str">
        <f>IFERROR(PA[[#This Row],[Breakdown Time]]*PA[[#This Row],[Plant Equivalent Weightage]],"")</f>
        <v/>
      </c>
      <c r="AE212" s="33" t="str">
        <f>IFERROR((_xlfn.XLOOKUP(PA[[#This Row],[Month Year]],'Modelling New'!D:D,'Modelling New'!$O:$O)*PA[[#This Row],[Lost PoA(Wh/m2)]]*PA[[#This Row],[DC Capacity Affceted (kW)]])/1000,"")</f>
        <v/>
      </c>
      <c r="AF212" s="35"/>
    </row>
    <row r="213" spans="1:32">
      <c r="A213" s="2">
        <f t="shared" si="19"/>
        <v>210</v>
      </c>
      <c r="B213" s="156">
        <f t="shared" si="17"/>
        <v>1900</v>
      </c>
      <c r="C213" s="129">
        <f t="shared" si="18"/>
        <v>1900</v>
      </c>
      <c r="I213" s="29" t="str">
        <f>IFERROR(VLOOKUP(PA[[#This Row],[Date]],Raw_Data[[Date]:[Sunset Time (POA&lt;20 W/m2)]],3,0),"")</f>
        <v/>
      </c>
      <c r="J213" s="29" t="str">
        <f>IFERROR(VLOOKUP(PA[[#This Row],[Date]],Raw_Data[[Date]:[Sunset Time (POA&lt;20 W/m2)]],4,0),"")</f>
        <v/>
      </c>
      <c r="K213" s="27" t="str">
        <f>IFERROR((PA[[#This Row],[Sunset Time (POA&lt;20 W/m2)]]-PA[[#This Row],[Sunrise Time (POA&gt;20 W/m2)]])*24,"")</f>
        <v/>
      </c>
      <c r="M213" s="46" t="str">
        <f>IFERROR(VLOOKUP(PA[[#This Row],[Affceted Equipment]],'Basic Data'!$A$2:$B$114,2,0),"")</f>
        <v/>
      </c>
      <c r="N213" s="48" t="str">
        <f>IFERROR(VLOOKUP(PA[[#This Row],[Affceted Equipment]],'Basic Data'!$A$1:$C$118,3,0),"")</f>
        <v/>
      </c>
      <c r="W213" s="33">
        <f>IF(PA[[#This Row],[Acknowledgemnet Time ]]="NA","",(PA[[#This Row],[Acknowledgemnet Time ]]-PA[[#This Row],[Fault Time]])*24)</f>
        <v>0</v>
      </c>
      <c r="X213" s="33">
        <f>IF(PA[[#This Row],[Work Start time on Fault]]="NA","",(PA[[#This Row],[Work Start time on Fault]]-PA[[#This Row],[Fault Time]])*24)</f>
        <v>0</v>
      </c>
      <c r="Y213" s="35">
        <f>(PA[[#This Row],[Work Completiuon time on fualt]]-PA[[#This Row],[Fault Time]])*24</f>
        <v>0</v>
      </c>
      <c r="Z213" s="35">
        <f>IFERROR((PA[[#This Row],[Work Completiuon time on fualt]]-PA[[#This Row],[Fault Time]])*24,"")</f>
        <v>0</v>
      </c>
      <c r="AC213" s="47" t="str">
        <f>IFERROR(PA[[#This Row],[Breakdown Time]]*PA[[#This Row],[Plant Equivalent Weightage]],"")</f>
        <v/>
      </c>
      <c r="AE213" s="33" t="str">
        <f>IFERROR((_xlfn.XLOOKUP(PA[[#This Row],[Month Year]],'Modelling New'!D:D,'Modelling New'!$O:$O)*PA[[#This Row],[Lost PoA(Wh/m2)]]*PA[[#This Row],[DC Capacity Affceted (kW)]])/1000,"")</f>
        <v/>
      </c>
      <c r="AF213" s="35"/>
    </row>
    <row r="214" spans="1:32">
      <c r="A214" s="2">
        <f t="shared" si="19"/>
        <v>211</v>
      </c>
      <c r="B214" s="156">
        <f t="shared" si="17"/>
        <v>1900</v>
      </c>
      <c r="C214" s="129">
        <f t="shared" si="18"/>
        <v>1900</v>
      </c>
      <c r="I214" s="29" t="str">
        <f>IFERROR(VLOOKUP(PA[[#This Row],[Date]],Raw_Data[[Date]:[Sunset Time (POA&lt;20 W/m2)]],3,0),"")</f>
        <v/>
      </c>
      <c r="J214" s="29" t="str">
        <f>IFERROR(VLOOKUP(PA[[#This Row],[Date]],Raw_Data[[Date]:[Sunset Time (POA&lt;20 W/m2)]],4,0),"")</f>
        <v/>
      </c>
      <c r="K214" s="27" t="str">
        <f>IFERROR((PA[[#This Row],[Sunset Time (POA&lt;20 W/m2)]]-PA[[#This Row],[Sunrise Time (POA&gt;20 W/m2)]])*24,"")</f>
        <v/>
      </c>
      <c r="M214" s="46" t="str">
        <f>IFERROR(VLOOKUP(PA[[#This Row],[Affceted Equipment]],'Basic Data'!$A$2:$B$114,2,0),"")</f>
        <v/>
      </c>
      <c r="N214" s="48" t="str">
        <f>IFERROR(VLOOKUP(PA[[#This Row],[Affceted Equipment]],'Basic Data'!$A$1:$C$118,3,0),"")</f>
        <v/>
      </c>
      <c r="W214" s="33">
        <f>IF(PA[[#This Row],[Acknowledgemnet Time ]]="NA","",(PA[[#This Row],[Acknowledgemnet Time ]]-PA[[#This Row],[Fault Time]])*24)</f>
        <v>0</v>
      </c>
      <c r="X214" s="33">
        <f>IF(PA[[#This Row],[Work Start time on Fault]]="NA","",(PA[[#This Row],[Work Start time on Fault]]-PA[[#This Row],[Fault Time]])*24)</f>
        <v>0</v>
      </c>
      <c r="Y214" s="35">
        <f>(PA[[#This Row],[Work Completiuon time on fualt]]-PA[[#This Row],[Fault Time]])*24</f>
        <v>0</v>
      </c>
      <c r="Z214" s="35">
        <f>IFERROR((PA[[#This Row],[Work Completiuon time on fualt]]-PA[[#This Row],[Fault Time]])*24,"")</f>
        <v>0</v>
      </c>
      <c r="AC214" s="47" t="str">
        <f>IFERROR(PA[[#This Row],[Breakdown Time]]*PA[[#This Row],[Plant Equivalent Weightage]],"")</f>
        <v/>
      </c>
      <c r="AE214" s="33" t="str">
        <f>IFERROR((_xlfn.XLOOKUP(PA[[#This Row],[Month Year]],'Modelling New'!D:D,'Modelling New'!$O:$O)*PA[[#This Row],[Lost PoA(Wh/m2)]]*PA[[#This Row],[DC Capacity Affceted (kW)]])/1000,"")</f>
        <v/>
      </c>
      <c r="AF214" s="35"/>
    </row>
    <row r="215" spans="1:32">
      <c r="A215" s="2">
        <f t="shared" si="19"/>
        <v>212</v>
      </c>
      <c r="B215" s="156">
        <f t="shared" si="17"/>
        <v>1900</v>
      </c>
      <c r="C215" s="129">
        <f t="shared" si="18"/>
        <v>1900</v>
      </c>
      <c r="I215" s="29" t="str">
        <f>IFERROR(VLOOKUP(PA[[#This Row],[Date]],Raw_Data[[Date]:[Sunset Time (POA&lt;20 W/m2)]],3,0),"")</f>
        <v/>
      </c>
      <c r="J215" s="29" t="str">
        <f>IFERROR(VLOOKUP(PA[[#This Row],[Date]],Raw_Data[[Date]:[Sunset Time (POA&lt;20 W/m2)]],4,0),"")</f>
        <v/>
      </c>
      <c r="K215" s="27" t="str">
        <f>IFERROR((PA[[#This Row],[Sunset Time (POA&lt;20 W/m2)]]-PA[[#This Row],[Sunrise Time (POA&gt;20 W/m2)]])*24,"")</f>
        <v/>
      </c>
      <c r="M215" s="46" t="str">
        <f>IFERROR(VLOOKUP(PA[[#This Row],[Affceted Equipment]],'Basic Data'!$A$2:$B$114,2,0),"")</f>
        <v/>
      </c>
      <c r="N215" s="48" t="str">
        <f>IFERROR(VLOOKUP(PA[[#This Row],[Affceted Equipment]],'Basic Data'!$A$1:$C$118,3,0),"")</f>
        <v/>
      </c>
      <c r="W215" s="33">
        <f>IF(PA[[#This Row],[Acknowledgemnet Time ]]="NA","",(PA[[#This Row],[Acknowledgemnet Time ]]-PA[[#This Row],[Fault Time]])*24)</f>
        <v>0</v>
      </c>
      <c r="X215" s="33">
        <f>IF(PA[[#This Row],[Work Start time on Fault]]="NA","",(PA[[#This Row],[Work Start time on Fault]]-PA[[#This Row],[Fault Time]])*24)</f>
        <v>0</v>
      </c>
      <c r="Y215" s="35">
        <f>(PA[[#This Row],[Work Completiuon time on fualt]]-PA[[#This Row],[Fault Time]])*24</f>
        <v>0</v>
      </c>
      <c r="Z215" s="35">
        <f>IFERROR((PA[[#This Row],[Work Completiuon time on fualt]]-PA[[#This Row],[Fault Time]])*24,"")</f>
        <v>0</v>
      </c>
      <c r="AC215" s="47" t="str">
        <f>IFERROR(PA[[#This Row],[Breakdown Time]]*PA[[#This Row],[Plant Equivalent Weightage]],"")</f>
        <v/>
      </c>
      <c r="AE215" s="33" t="str">
        <f>IFERROR((_xlfn.XLOOKUP(PA[[#This Row],[Month Year]],'Modelling New'!D:D,'Modelling New'!$O:$O)*PA[[#This Row],[Lost PoA(Wh/m2)]]*PA[[#This Row],[DC Capacity Affceted (kW)]])/1000,"")</f>
        <v/>
      </c>
      <c r="AF215" s="35"/>
    </row>
    <row r="216" spans="1:32">
      <c r="A216" s="2">
        <f t="shared" si="19"/>
        <v>213</v>
      </c>
      <c r="B216" s="156">
        <f t="shared" si="17"/>
        <v>1900</v>
      </c>
      <c r="C216" s="129">
        <f t="shared" si="18"/>
        <v>1900</v>
      </c>
      <c r="I216" s="29" t="str">
        <f>IFERROR(VLOOKUP(PA[[#This Row],[Date]],Raw_Data[[Date]:[Sunset Time (POA&lt;20 W/m2)]],3,0),"")</f>
        <v/>
      </c>
      <c r="J216" s="29" t="str">
        <f>IFERROR(VLOOKUP(PA[[#This Row],[Date]],Raw_Data[[Date]:[Sunset Time (POA&lt;20 W/m2)]],4,0),"")</f>
        <v/>
      </c>
      <c r="K216" s="27" t="str">
        <f>IFERROR((PA[[#This Row],[Sunset Time (POA&lt;20 W/m2)]]-PA[[#This Row],[Sunrise Time (POA&gt;20 W/m2)]])*24,"")</f>
        <v/>
      </c>
      <c r="M216" s="46" t="str">
        <f>IFERROR(VLOOKUP(PA[[#This Row],[Affceted Equipment]],'Basic Data'!$A$2:$B$114,2,0),"")</f>
        <v/>
      </c>
      <c r="N216" s="48" t="str">
        <f>IFERROR(VLOOKUP(PA[[#This Row],[Affceted Equipment]],'Basic Data'!$A$1:$C$118,3,0),"")</f>
        <v/>
      </c>
      <c r="W216" s="33">
        <f>IF(PA[[#This Row],[Acknowledgemnet Time ]]="NA","",(PA[[#This Row],[Acknowledgemnet Time ]]-PA[[#This Row],[Fault Time]])*24)</f>
        <v>0</v>
      </c>
      <c r="X216" s="33">
        <f>IF(PA[[#This Row],[Work Start time on Fault]]="NA","",(PA[[#This Row],[Work Start time on Fault]]-PA[[#This Row],[Fault Time]])*24)</f>
        <v>0</v>
      </c>
      <c r="Y216" s="35">
        <f>(PA[[#This Row],[Work Completiuon time on fualt]]-PA[[#This Row],[Fault Time]])*24</f>
        <v>0</v>
      </c>
      <c r="Z216" s="35">
        <f>IFERROR((PA[[#This Row],[Work Completiuon time on fualt]]-PA[[#This Row],[Fault Time]])*24,"")</f>
        <v>0</v>
      </c>
      <c r="AC216" s="47" t="str">
        <f>IFERROR(PA[[#This Row],[Breakdown Time]]*PA[[#This Row],[Plant Equivalent Weightage]],"")</f>
        <v/>
      </c>
      <c r="AE216" s="33" t="str">
        <f>IFERROR((_xlfn.XLOOKUP(PA[[#This Row],[Month Year]],'Modelling New'!D:D,'Modelling New'!$O:$O)*PA[[#This Row],[Lost PoA(Wh/m2)]]*PA[[#This Row],[DC Capacity Affceted (kW)]])/1000,"")</f>
        <v/>
      </c>
      <c r="AF216" s="35"/>
    </row>
    <row r="217" spans="1:32">
      <c r="A217" s="2">
        <f t="shared" si="19"/>
        <v>214</v>
      </c>
      <c r="B217" s="156">
        <f t="shared" si="17"/>
        <v>1900</v>
      </c>
      <c r="C217" s="129">
        <f t="shared" si="18"/>
        <v>1900</v>
      </c>
      <c r="I217" s="29" t="str">
        <f>IFERROR(VLOOKUP(PA[[#This Row],[Date]],Raw_Data[[Date]:[Sunset Time (POA&lt;20 W/m2)]],3,0),"")</f>
        <v/>
      </c>
      <c r="J217" s="29" t="str">
        <f>IFERROR(VLOOKUP(PA[[#This Row],[Date]],Raw_Data[[Date]:[Sunset Time (POA&lt;20 W/m2)]],4,0),"")</f>
        <v/>
      </c>
      <c r="K217" s="27" t="str">
        <f>IFERROR((PA[[#This Row],[Sunset Time (POA&lt;20 W/m2)]]-PA[[#This Row],[Sunrise Time (POA&gt;20 W/m2)]])*24,"")</f>
        <v/>
      </c>
      <c r="M217" s="46" t="str">
        <f>IFERROR(VLOOKUP(PA[[#This Row],[Affceted Equipment]],'Basic Data'!$A$2:$B$114,2,0),"")</f>
        <v/>
      </c>
      <c r="N217" s="48" t="str">
        <f>IFERROR(VLOOKUP(PA[[#This Row],[Affceted Equipment]],'Basic Data'!$A$1:$C$118,3,0),"")</f>
        <v/>
      </c>
      <c r="W217" s="33">
        <f>IF(PA[[#This Row],[Acknowledgemnet Time ]]="NA","",(PA[[#This Row],[Acknowledgemnet Time ]]-PA[[#This Row],[Fault Time]])*24)</f>
        <v>0</v>
      </c>
      <c r="X217" s="33">
        <f>IF(PA[[#This Row],[Work Start time on Fault]]="NA","",(PA[[#This Row],[Work Start time on Fault]]-PA[[#This Row],[Fault Time]])*24)</f>
        <v>0</v>
      </c>
      <c r="Y217" s="35">
        <f>(PA[[#This Row],[Work Completiuon time on fualt]]-PA[[#This Row],[Fault Time]])*24</f>
        <v>0</v>
      </c>
      <c r="Z217" s="35">
        <f>IFERROR((PA[[#This Row],[Work Completiuon time on fualt]]-PA[[#This Row],[Fault Time]])*24,"")</f>
        <v>0</v>
      </c>
      <c r="AC217" s="47" t="str">
        <f>IFERROR(PA[[#This Row],[Breakdown Time]]*PA[[#This Row],[Plant Equivalent Weightage]],"")</f>
        <v/>
      </c>
      <c r="AE217" s="33" t="str">
        <f>IFERROR((_xlfn.XLOOKUP(PA[[#This Row],[Month Year]],'Modelling New'!D:D,'Modelling New'!$O:$O)*PA[[#This Row],[Lost PoA(Wh/m2)]]*PA[[#This Row],[DC Capacity Affceted (kW)]])/1000,"")</f>
        <v/>
      </c>
      <c r="AF217" s="35"/>
    </row>
    <row r="218" spans="1:32">
      <c r="A218" s="2">
        <f t="shared" si="19"/>
        <v>215</v>
      </c>
      <c r="B218" s="156">
        <f t="shared" si="17"/>
        <v>1900</v>
      </c>
      <c r="C218" s="129">
        <f t="shared" si="18"/>
        <v>1900</v>
      </c>
      <c r="I218" s="29" t="str">
        <f>IFERROR(VLOOKUP(PA[[#This Row],[Date]],Raw_Data[[Date]:[Sunset Time (POA&lt;20 W/m2)]],3,0),"")</f>
        <v/>
      </c>
      <c r="J218" s="29" t="str">
        <f>IFERROR(VLOOKUP(PA[[#This Row],[Date]],Raw_Data[[Date]:[Sunset Time (POA&lt;20 W/m2)]],4,0),"")</f>
        <v/>
      </c>
      <c r="K218" s="27" t="str">
        <f>IFERROR((PA[[#This Row],[Sunset Time (POA&lt;20 W/m2)]]-PA[[#This Row],[Sunrise Time (POA&gt;20 W/m2)]])*24,"")</f>
        <v/>
      </c>
      <c r="M218" s="46" t="str">
        <f>IFERROR(VLOOKUP(PA[[#This Row],[Affceted Equipment]],'Basic Data'!$A$2:$B$114,2,0),"")</f>
        <v/>
      </c>
      <c r="N218" s="48" t="str">
        <f>IFERROR(VLOOKUP(PA[[#This Row],[Affceted Equipment]],'Basic Data'!$A$1:$C$118,3,0),"")</f>
        <v/>
      </c>
      <c r="W218" s="33">
        <f>IF(PA[[#This Row],[Acknowledgemnet Time ]]="NA","",(PA[[#This Row],[Acknowledgemnet Time ]]-PA[[#This Row],[Fault Time]])*24)</f>
        <v>0</v>
      </c>
      <c r="X218" s="33">
        <f>IF(PA[[#This Row],[Work Start time on Fault]]="NA","",(PA[[#This Row],[Work Start time on Fault]]-PA[[#This Row],[Fault Time]])*24)</f>
        <v>0</v>
      </c>
      <c r="Y218" s="35">
        <f>(PA[[#This Row],[Work Completiuon time on fualt]]-PA[[#This Row],[Fault Time]])*24</f>
        <v>0</v>
      </c>
      <c r="Z218" s="35">
        <f>IFERROR((PA[[#This Row],[Work Completiuon time on fualt]]-PA[[#This Row],[Fault Time]])*24,"")</f>
        <v>0</v>
      </c>
      <c r="AC218" s="47" t="str">
        <f>IFERROR(PA[[#This Row],[Breakdown Time]]*PA[[#This Row],[Plant Equivalent Weightage]],"")</f>
        <v/>
      </c>
      <c r="AE218" s="33" t="str">
        <f>IFERROR((_xlfn.XLOOKUP(PA[[#This Row],[Month Year]],'Modelling New'!D:D,'Modelling New'!$O:$O)*PA[[#This Row],[Lost PoA(Wh/m2)]]*PA[[#This Row],[DC Capacity Affceted (kW)]])/1000,"")</f>
        <v/>
      </c>
      <c r="AF218" s="35"/>
    </row>
    <row r="219" spans="1:32">
      <c r="A219" s="2">
        <f t="shared" si="19"/>
        <v>216</v>
      </c>
      <c r="B219" s="156">
        <f t="shared" si="17"/>
        <v>1900</v>
      </c>
      <c r="C219" s="129">
        <f t="shared" si="18"/>
        <v>1900</v>
      </c>
      <c r="I219" s="29" t="str">
        <f>IFERROR(VLOOKUP(PA[[#This Row],[Date]],Raw_Data[[Date]:[Sunset Time (POA&lt;20 W/m2)]],3,0),"")</f>
        <v/>
      </c>
      <c r="J219" s="29" t="str">
        <f>IFERROR(VLOOKUP(PA[[#This Row],[Date]],Raw_Data[[Date]:[Sunset Time (POA&lt;20 W/m2)]],4,0),"")</f>
        <v/>
      </c>
      <c r="K219" s="27" t="str">
        <f>IFERROR((PA[[#This Row],[Sunset Time (POA&lt;20 W/m2)]]-PA[[#This Row],[Sunrise Time (POA&gt;20 W/m2)]])*24,"")</f>
        <v/>
      </c>
      <c r="M219" s="46" t="str">
        <f>IFERROR(VLOOKUP(PA[[#This Row],[Affceted Equipment]],'Basic Data'!$A$2:$B$114,2,0),"")</f>
        <v/>
      </c>
      <c r="N219" s="48" t="str">
        <f>IFERROR(VLOOKUP(PA[[#This Row],[Affceted Equipment]],'Basic Data'!$A$1:$C$118,3,0),"")</f>
        <v/>
      </c>
      <c r="W219" s="33">
        <f>IF(PA[[#This Row],[Acknowledgemnet Time ]]="NA","",(PA[[#This Row],[Acknowledgemnet Time ]]-PA[[#This Row],[Fault Time]])*24)</f>
        <v>0</v>
      </c>
      <c r="X219" s="33">
        <f>IF(PA[[#This Row],[Work Start time on Fault]]="NA","",(PA[[#This Row],[Work Start time on Fault]]-PA[[#This Row],[Fault Time]])*24)</f>
        <v>0</v>
      </c>
      <c r="Y219" s="35">
        <f>(PA[[#This Row],[Work Completiuon time on fualt]]-PA[[#This Row],[Fault Time]])*24</f>
        <v>0</v>
      </c>
      <c r="Z219" s="35">
        <f>IFERROR((PA[[#This Row],[Work Completiuon time on fualt]]-PA[[#This Row],[Fault Time]])*24,"")</f>
        <v>0</v>
      </c>
      <c r="AC219" s="47" t="str">
        <f>IFERROR(PA[[#This Row],[Breakdown Time]]*PA[[#This Row],[Plant Equivalent Weightage]],"")</f>
        <v/>
      </c>
      <c r="AE219" s="33" t="str">
        <f>IFERROR((_xlfn.XLOOKUP(PA[[#This Row],[Month Year]],'Modelling New'!D:D,'Modelling New'!$O:$O)*PA[[#This Row],[Lost PoA(Wh/m2)]]*PA[[#This Row],[DC Capacity Affceted (kW)]])/1000,"")</f>
        <v/>
      </c>
      <c r="AF219" s="35"/>
    </row>
    <row r="220" spans="1:32">
      <c r="A220" s="2">
        <f t="shared" si="19"/>
        <v>217</v>
      </c>
      <c r="B220" s="156">
        <f t="shared" si="17"/>
        <v>1900</v>
      </c>
      <c r="C220" s="129">
        <f t="shared" si="18"/>
        <v>1900</v>
      </c>
      <c r="I220" s="29" t="str">
        <f>IFERROR(VLOOKUP(PA[[#This Row],[Date]],Raw_Data[[Date]:[Sunset Time (POA&lt;20 W/m2)]],3,0),"")</f>
        <v/>
      </c>
      <c r="J220" s="29" t="str">
        <f>IFERROR(VLOOKUP(PA[[#This Row],[Date]],Raw_Data[[Date]:[Sunset Time (POA&lt;20 W/m2)]],4,0),"")</f>
        <v/>
      </c>
      <c r="K220" s="27" t="str">
        <f>IFERROR((PA[[#This Row],[Sunset Time (POA&lt;20 W/m2)]]-PA[[#This Row],[Sunrise Time (POA&gt;20 W/m2)]])*24,"")</f>
        <v/>
      </c>
      <c r="M220" s="46" t="str">
        <f>IFERROR(VLOOKUP(PA[[#This Row],[Affceted Equipment]],'Basic Data'!$A$2:$B$114,2,0),"")</f>
        <v/>
      </c>
      <c r="N220" s="48" t="str">
        <f>IFERROR(VLOOKUP(PA[[#This Row],[Affceted Equipment]],'Basic Data'!$A$1:$C$118,3,0),"")</f>
        <v/>
      </c>
      <c r="W220" s="33">
        <f>IF(PA[[#This Row],[Acknowledgemnet Time ]]="NA","",(PA[[#This Row],[Acknowledgemnet Time ]]-PA[[#This Row],[Fault Time]])*24)</f>
        <v>0</v>
      </c>
      <c r="X220" s="33">
        <f>IF(PA[[#This Row],[Work Start time on Fault]]="NA","",(PA[[#This Row],[Work Start time on Fault]]-PA[[#This Row],[Fault Time]])*24)</f>
        <v>0</v>
      </c>
      <c r="Y220" s="35">
        <f>(PA[[#This Row],[Work Completiuon time on fualt]]-PA[[#This Row],[Fault Time]])*24</f>
        <v>0</v>
      </c>
      <c r="Z220" s="35">
        <f>IFERROR((PA[[#This Row],[Work Completiuon time on fualt]]-PA[[#This Row],[Fault Time]])*24,"")</f>
        <v>0</v>
      </c>
      <c r="AC220" s="47" t="str">
        <f>IFERROR(PA[[#This Row],[Breakdown Time]]*PA[[#This Row],[Plant Equivalent Weightage]],"")</f>
        <v/>
      </c>
      <c r="AE220" s="33" t="str">
        <f>IFERROR((_xlfn.XLOOKUP(PA[[#This Row],[Month Year]],'Modelling New'!D:D,'Modelling New'!$O:$O)*PA[[#This Row],[Lost PoA(Wh/m2)]]*PA[[#This Row],[DC Capacity Affceted (kW)]])/1000,"")</f>
        <v/>
      </c>
      <c r="AF220" s="35"/>
    </row>
    <row r="221" spans="1:32">
      <c r="A221" s="2">
        <f t="shared" si="19"/>
        <v>218</v>
      </c>
      <c r="B221" s="156">
        <f t="shared" si="17"/>
        <v>1900</v>
      </c>
      <c r="C221" s="129">
        <f t="shared" si="18"/>
        <v>1900</v>
      </c>
      <c r="I221" s="29" t="str">
        <f>IFERROR(VLOOKUP(PA[[#This Row],[Date]],Raw_Data[[Date]:[Sunset Time (POA&lt;20 W/m2)]],3,0),"")</f>
        <v/>
      </c>
      <c r="J221" s="29" t="str">
        <f>IFERROR(VLOOKUP(PA[[#This Row],[Date]],Raw_Data[[Date]:[Sunset Time (POA&lt;20 W/m2)]],4,0),"")</f>
        <v/>
      </c>
      <c r="K221" s="27" t="str">
        <f>IFERROR((PA[[#This Row],[Sunset Time (POA&lt;20 W/m2)]]-PA[[#This Row],[Sunrise Time (POA&gt;20 W/m2)]])*24,"")</f>
        <v/>
      </c>
      <c r="M221" s="46" t="str">
        <f>IFERROR(VLOOKUP(PA[[#This Row],[Affceted Equipment]],'Basic Data'!$A$2:$B$114,2,0),"")</f>
        <v/>
      </c>
      <c r="N221" s="48" t="str">
        <f>IFERROR(VLOOKUP(PA[[#This Row],[Affceted Equipment]],'Basic Data'!$A$1:$C$118,3,0),"")</f>
        <v/>
      </c>
      <c r="W221" s="33">
        <f>IF(PA[[#This Row],[Acknowledgemnet Time ]]="NA","",(PA[[#This Row],[Acknowledgemnet Time ]]-PA[[#This Row],[Fault Time]])*24)</f>
        <v>0</v>
      </c>
      <c r="X221" s="33">
        <f>IF(PA[[#This Row],[Work Start time on Fault]]="NA","",(PA[[#This Row],[Work Start time on Fault]]-PA[[#This Row],[Fault Time]])*24)</f>
        <v>0</v>
      </c>
      <c r="Y221" s="35">
        <f>(PA[[#This Row],[Work Completiuon time on fualt]]-PA[[#This Row],[Fault Time]])*24</f>
        <v>0</v>
      </c>
      <c r="Z221" s="35">
        <f>IFERROR((PA[[#This Row],[Work Completiuon time on fualt]]-PA[[#This Row],[Fault Time]])*24,"")</f>
        <v>0</v>
      </c>
      <c r="AC221" s="47" t="str">
        <f>IFERROR(PA[[#This Row],[Breakdown Time]]*PA[[#This Row],[Plant Equivalent Weightage]],"")</f>
        <v/>
      </c>
      <c r="AE221" s="33" t="str">
        <f>IFERROR((_xlfn.XLOOKUP(PA[[#This Row],[Month Year]],'Modelling New'!D:D,'Modelling New'!$O:$O)*PA[[#This Row],[Lost PoA(Wh/m2)]]*PA[[#This Row],[DC Capacity Affceted (kW)]])/1000,"")</f>
        <v/>
      </c>
      <c r="AF221" s="35"/>
    </row>
    <row r="222" spans="1:32">
      <c r="A222" s="2">
        <f t="shared" si="19"/>
        <v>219</v>
      </c>
      <c r="B222" s="156">
        <f t="shared" si="17"/>
        <v>1900</v>
      </c>
      <c r="C222" s="129">
        <f t="shared" si="18"/>
        <v>1900</v>
      </c>
      <c r="I222" s="29" t="str">
        <f>IFERROR(VLOOKUP(PA[[#This Row],[Date]],Raw_Data[[Date]:[Sunset Time (POA&lt;20 W/m2)]],3,0),"")</f>
        <v/>
      </c>
      <c r="J222" s="29" t="str">
        <f>IFERROR(VLOOKUP(PA[[#This Row],[Date]],Raw_Data[[Date]:[Sunset Time (POA&lt;20 W/m2)]],4,0),"")</f>
        <v/>
      </c>
      <c r="K222" s="27" t="str">
        <f>IFERROR((PA[[#This Row],[Sunset Time (POA&lt;20 W/m2)]]-PA[[#This Row],[Sunrise Time (POA&gt;20 W/m2)]])*24,"")</f>
        <v/>
      </c>
      <c r="M222" s="46" t="str">
        <f>IFERROR(VLOOKUP(PA[[#This Row],[Affceted Equipment]],'Basic Data'!$A$2:$B$114,2,0),"")</f>
        <v/>
      </c>
      <c r="N222" s="48" t="str">
        <f>IFERROR(VLOOKUP(PA[[#This Row],[Affceted Equipment]],'Basic Data'!$A$1:$C$118,3,0),"")</f>
        <v/>
      </c>
      <c r="W222" s="33">
        <f>IF(PA[[#This Row],[Acknowledgemnet Time ]]="NA","",(PA[[#This Row],[Acknowledgemnet Time ]]-PA[[#This Row],[Fault Time]])*24)</f>
        <v>0</v>
      </c>
      <c r="X222" s="33">
        <f>IF(PA[[#This Row],[Work Start time on Fault]]="NA","",(PA[[#This Row],[Work Start time on Fault]]-PA[[#This Row],[Fault Time]])*24)</f>
        <v>0</v>
      </c>
      <c r="Y222" s="35">
        <f>(PA[[#This Row],[Work Completiuon time on fualt]]-PA[[#This Row],[Fault Time]])*24</f>
        <v>0</v>
      </c>
      <c r="Z222" s="35">
        <f>IFERROR((PA[[#This Row],[Work Completiuon time on fualt]]-PA[[#This Row],[Fault Time]])*24,"")</f>
        <v>0</v>
      </c>
      <c r="AC222" s="47" t="str">
        <f>IFERROR(PA[[#This Row],[Breakdown Time]]*PA[[#This Row],[Plant Equivalent Weightage]],"")</f>
        <v/>
      </c>
      <c r="AE222" s="33" t="str">
        <f>IFERROR((_xlfn.XLOOKUP(PA[[#This Row],[Month Year]],'Modelling New'!D:D,'Modelling New'!$O:$O)*PA[[#This Row],[Lost PoA(Wh/m2)]]*PA[[#This Row],[DC Capacity Affceted (kW)]])/1000,"")</f>
        <v/>
      </c>
      <c r="AF222" s="35"/>
    </row>
    <row r="223" spans="1:32">
      <c r="A223" s="2">
        <f t="shared" si="19"/>
        <v>220</v>
      </c>
      <c r="B223" s="156">
        <f t="shared" si="17"/>
        <v>1900</v>
      </c>
      <c r="C223" s="129">
        <f t="shared" si="18"/>
        <v>1900</v>
      </c>
      <c r="I223" s="29" t="str">
        <f>IFERROR(VLOOKUP(PA[[#This Row],[Date]],Raw_Data[[Date]:[Sunset Time (POA&lt;20 W/m2)]],3,0),"")</f>
        <v/>
      </c>
      <c r="J223" s="29" t="str">
        <f>IFERROR(VLOOKUP(PA[[#This Row],[Date]],Raw_Data[[Date]:[Sunset Time (POA&lt;20 W/m2)]],4,0),"")</f>
        <v/>
      </c>
      <c r="K223" s="27" t="str">
        <f>IFERROR((PA[[#This Row],[Sunset Time (POA&lt;20 W/m2)]]-PA[[#This Row],[Sunrise Time (POA&gt;20 W/m2)]])*24,"")</f>
        <v/>
      </c>
      <c r="M223" s="46" t="str">
        <f>IFERROR(VLOOKUP(PA[[#This Row],[Affceted Equipment]],'Basic Data'!$A$2:$B$114,2,0),"")</f>
        <v/>
      </c>
      <c r="N223" s="48" t="str">
        <f>IFERROR(VLOOKUP(PA[[#This Row],[Affceted Equipment]],'Basic Data'!$A$1:$C$118,3,0),"")</f>
        <v/>
      </c>
      <c r="W223" s="33">
        <f>IF(PA[[#This Row],[Acknowledgemnet Time ]]="NA","",(PA[[#This Row],[Acknowledgemnet Time ]]-PA[[#This Row],[Fault Time]])*24)</f>
        <v>0</v>
      </c>
      <c r="X223" s="33">
        <f>IF(PA[[#This Row],[Work Start time on Fault]]="NA","",(PA[[#This Row],[Work Start time on Fault]]-PA[[#This Row],[Fault Time]])*24)</f>
        <v>0</v>
      </c>
      <c r="Y223" s="35">
        <f>(PA[[#This Row],[Work Completiuon time on fualt]]-PA[[#This Row],[Fault Time]])*24</f>
        <v>0</v>
      </c>
      <c r="Z223" s="35">
        <f>IFERROR((PA[[#This Row],[Work Completiuon time on fualt]]-PA[[#This Row],[Fault Time]])*24,"")</f>
        <v>0</v>
      </c>
      <c r="AC223" s="47" t="str">
        <f>IFERROR(PA[[#This Row],[Breakdown Time]]*PA[[#This Row],[Plant Equivalent Weightage]],"")</f>
        <v/>
      </c>
      <c r="AE223" s="33" t="str">
        <f>IFERROR((_xlfn.XLOOKUP(PA[[#This Row],[Month Year]],'Modelling New'!D:D,'Modelling New'!$O:$O)*PA[[#This Row],[Lost PoA(Wh/m2)]]*PA[[#This Row],[DC Capacity Affceted (kW)]])/1000,"")</f>
        <v/>
      </c>
      <c r="AF223" s="35"/>
    </row>
    <row r="224" spans="1:32">
      <c r="A224" s="2">
        <f t="shared" si="19"/>
        <v>221</v>
      </c>
      <c r="B224" s="156">
        <f t="shared" si="17"/>
        <v>1900</v>
      </c>
      <c r="C224" s="129">
        <f t="shared" si="18"/>
        <v>1900</v>
      </c>
      <c r="I224" s="29" t="str">
        <f>IFERROR(VLOOKUP(PA[[#This Row],[Date]],Raw_Data[[Date]:[Sunset Time (POA&lt;20 W/m2)]],3,0),"")</f>
        <v/>
      </c>
      <c r="J224" s="29" t="str">
        <f>IFERROR(VLOOKUP(PA[[#This Row],[Date]],Raw_Data[[Date]:[Sunset Time (POA&lt;20 W/m2)]],4,0),"")</f>
        <v/>
      </c>
      <c r="K224" s="27" t="str">
        <f>IFERROR((PA[[#This Row],[Sunset Time (POA&lt;20 W/m2)]]-PA[[#This Row],[Sunrise Time (POA&gt;20 W/m2)]])*24,"")</f>
        <v/>
      </c>
      <c r="M224" s="46" t="str">
        <f>IFERROR(VLOOKUP(PA[[#This Row],[Affceted Equipment]],'Basic Data'!$A$2:$B$114,2,0),"")</f>
        <v/>
      </c>
      <c r="N224" s="48" t="str">
        <f>IFERROR(VLOOKUP(PA[[#This Row],[Affceted Equipment]],'Basic Data'!$A$1:$C$118,3,0),"")</f>
        <v/>
      </c>
      <c r="W224" s="33">
        <f>IF(PA[[#This Row],[Acknowledgemnet Time ]]="NA","",(PA[[#This Row],[Acknowledgemnet Time ]]-PA[[#This Row],[Fault Time]])*24)</f>
        <v>0</v>
      </c>
      <c r="X224" s="33">
        <f>IF(PA[[#This Row],[Work Start time on Fault]]="NA","",(PA[[#This Row],[Work Start time on Fault]]-PA[[#This Row],[Fault Time]])*24)</f>
        <v>0</v>
      </c>
      <c r="Y224" s="35">
        <f>(PA[[#This Row],[Work Completiuon time on fualt]]-PA[[#This Row],[Fault Time]])*24</f>
        <v>0</v>
      </c>
      <c r="Z224" s="35">
        <f>IFERROR((PA[[#This Row],[Work Completiuon time on fualt]]-PA[[#This Row],[Fault Time]])*24,"")</f>
        <v>0</v>
      </c>
      <c r="AC224" s="47" t="str">
        <f>IFERROR(PA[[#This Row],[Breakdown Time]]*PA[[#This Row],[Plant Equivalent Weightage]],"")</f>
        <v/>
      </c>
      <c r="AE224" s="33" t="str">
        <f>IFERROR((_xlfn.XLOOKUP(PA[[#This Row],[Month Year]],'Modelling New'!D:D,'Modelling New'!$O:$O)*PA[[#This Row],[Lost PoA(Wh/m2)]]*PA[[#This Row],[DC Capacity Affceted (kW)]])/1000,"")</f>
        <v/>
      </c>
      <c r="AF224" s="35"/>
    </row>
    <row r="225" spans="1:32">
      <c r="A225" s="2">
        <f t="shared" si="19"/>
        <v>222</v>
      </c>
      <c r="B225" s="156">
        <f t="shared" si="17"/>
        <v>1900</v>
      </c>
      <c r="C225" s="129">
        <f t="shared" si="18"/>
        <v>1900</v>
      </c>
      <c r="I225" s="29" t="str">
        <f>IFERROR(VLOOKUP(PA[[#This Row],[Date]],Raw_Data[[Date]:[Sunset Time (POA&lt;20 W/m2)]],3,0),"")</f>
        <v/>
      </c>
      <c r="J225" s="29" t="str">
        <f>IFERROR(VLOOKUP(PA[[#This Row],[Date]],Raw_Data[[Date]:[Sunset Time (POA&lt;20 W/m2)]],4,0),"")</f>
        <v/>
      </c>
      <c r="K225" s="27" t="str">
        <f>IFERROR((PA[[#This Row],[Sunset Time (POA&lt;20 W/m2)]]-PA[[#This Row],[Sunrise Time (POA&gt;20 W/m2)]])*24,"")</f>
        <v/>
      </c>
      <c r="M225" s="46" t="str">
        <f>IFERROR(VLOOKUP(PA[[#This Row],[Affceted Equipment]],'Basic Data'!$A$2:$B$114,2,0),"")</f>
        <v/>
      </c>
      <c r="N225" s="48" t="str">
        <f>IFERROR(VLOOKUP(PA[[#This Row],[Affceted Equipment]],'Basic Data'!$A$1:$C$118,3,0),"")</f>
        <v/>
      </c>
      <c r="W225" s="33">
        <f>IF(PA[[#This Row],[Acknowledgemnet Time ]]="NA","",(PA[[#This Row],[Acknowledgemnet Time ]]-PA[[#This Row],[Fault Time]])*24)</f>
        <v>0</v>
      </c>
      <c r="X225" s="33">
        <f>IF(PA[[#This Row],[Work Start time on Fault]]="NA","",(PA[[#This Row],[Work Start time on Fault]]-PA[[#This Row],[Fault Time]])*24)</f>
        <v>0</v>
      </c>
      <c r="Y225" s="35">
        <f>(PA[[#This Row],[Work Completiuon time on fualt]]-PA[[#This Row],[Fault Time]])*24</f>
        <v>0</v>
      </c>
      <c r="Z225" s="35">
        <f>IFERROR((PA[[#This Row],[Work Completiuon time on fualt]]-PA[[#This Row],[Fault Time]])*24,"")</f>
        <v>0</v>
      </c>
      <c r="AC225" s="47" t="str">
        <f>IFERROR(PA[[#This Row],[Breakdown Time]]*PA[[#This Row],[Plant Equivalent Weightage]],"")</f>
        <v/>
      </c>
      <c r="AE225" s="33" t="str">
        <f>IFERROR((_xlfn.XLOOKUP(PA[[#This Row],[Month Year]],'Modelling New'!D:D,'Modelling New'!$O:$O)*PA[[#This Row],[Lost PoA(Wh/m2)]]*PA[[#This Row],[DC Capacity Affceted (kW)]])/1000,"")</f>
        <v/>
      </c>
      <c r="AF225" s="35"/>
    </row>
    <row r="226" spans="1:32">
      <c r="A226" s="2">
        <f t="shared" si="19"/>
        <v>223</v>
      </c>
      <c r="B226" s="156">
        <f t="shared" si="17"/>
        <v>1900</v>
      </c>
      <c r="C226" s="129">
        <f t="shared" si="18"/>
        <v>1900</v>
      </c>
      <c r="I226" s="29" t="str">
        <f>IFERROR(VLOOKUP(PA[[#This Row],[Date]],Raw_Data[[Date]:[Sunset Time (POA&lt;20 W/m2)]],3,0),"")</f>
        <v/>
      </c>
      <c r="J226" s="29" t="str">
        <f>IFERROR(VLOOKUP(PA[[#This Row],[Date]],Raw_Data[[Date]:[Sunset Time (POA&lt;20 W/m2)]],4,0),"")</f>
        <v/>
      </c>
      <c r="K226" s="27" t="str">
        <f>IFERROR((PA[[#This Row],[Sunset Time (POA&lt;20 W/m2)]]-PA[[#This Row],[Sunrise Time (POA&gt;20 W/m2)]])*24,"")</f>
        <v/>
      </c>
      <c r="M226" s="46" t="str">
        <f>IFERROR(VLOOKUP(PA[[#This Row],[Affceted Equipment]],'Basic Data'!$A$2:$B$114,2,0),"")</f>
        <v/>
      </c>
      <c r="N226" s="48" t="str">
        <f>IFERROR(VLOOKUP(PA[[#This Row],[Affceted Equipment]],'Basic Data'!$A$1:$C$118,3,0),"")</f>
        <v/>
      </c>
      <c r="W226" s="33">
        <f>IF(PA[[#This Row],[Acknowledgemnet Time ]]="NA","",(PA[[#This Row],[Acknowledgemnet Time ]]-PA[[#This Row],[Fault Time]])*24)</f>
        <v>0</v>
      </c>
      <c r="X226" s="33">
        <f>IF(PA[[#This Row],[Work Start time on Fault]]="NA","",(PA[[#This Row],[Work Start time on Fault]]-PA[[#This Row],[Fault Time]])*24)</f>
        <v>0</v>
      </c>
      <c r="Y226" s="35">
        <f>(PA[[#This Row],[Work Completiuon time on fualt]]-PA[[#This Row],[Fault Time]])*24</f>
        <v>0</v>
      </c>
      <c r="Z226" s="35">
        <f>IFERROR((PA[[#This Row],[Work Completiuon time on fualt]]-PA[[#This Row],[Fault Time]])*24,"")</f>
        <v>0</v>
      </c>
      <c r="AC226" s="47" t="str">
        <f>IFERROR(PA[[#This Row],[Breakdown Time]]*PA[[#This Row],[Plant Equivalent Weightage]],"")</f>
        <v/>
      </c>
      <c r="AE226" s="33" t="str">
        <f>IFERROR((_xlfn.XLOOKUP(PA[[#This Row],[Month Year]],'Modelling New'!D:D,'Modelling New'!$O:$O)*PA[[#This Row],[Lost PoA(Wh/m2)]]*PA[[#This Row],[DC Capacity Affceted (kW)]])/1000,"")</f>
        <v/>
      </c>
      <c r="AF226" s="35"/>
    </row>
    <row r="227" spans="1:32">
      <c r="A227" s="2">
        <f t="shared" si="19"/>
        <v>224</v>
      </c>
      <c r="B227" s="156">
        <f t="shared" si="17"/>
        <v>1900</v>
      </c>
      <c r="C227" s="129">
        <f t="shared" si="18"/>
        <v>1900</v>
      </c>
      <c r="I227" s="29" t="str">
        <f>IFERROR(VLOOKUP(PA[[#This Row],[Date]],Raw_Data[[Date]:[Sunset Time (POA&lt;20 W/m2)]],3,0),"")</f>
        <v/>
      </c>
      <c r="J227" s="29" t="str">
        <f>IFERROR(VLOOKUP(PA[[#This Row],[Date]],Raw_Data[[Date]:[Sunset Time (POA&lt;20 W/m2)]],4,0),"")</f>
        <v/>
      </c>
      <c r="K227" s="27" t="str">
        <f>IFERROR((PA[[#This Row],[Sunset Time (POA&lt;20 W/m2)]]-PA[[#This Row],[Sunrise Time (POA&gt;20 W/m2)]])*24,"")</f>
        <v/>
      </c>
      <c r="M227" s="46" t="str">
        <f>IFERROR(VLOOKUP(PA[[#This Row],[Affceted Equipment]],'Basic Data'!$A$2:$B$114,2,0),"")</f>
        <v/>
      </c>
      <c r="N227" s="48" t="str">
        <f>IFERROR(VLOOKUP(PA[[#This Row],[Affceted Equipment]],'Basic Data'!$A$1:$C$118,3,0),"")</f>
        <v/>
      </c>
      <c r="W227" s="33">
        <f>IF(PA[[#This Row],[Acknowledgemnet Time ]]="NA","",(PA[[#This Row],[Acknowledgemnet Time ]]-PA[[#This Row],[Fault Time]])*24)</f>
        <v>0</v>
      </c>
      <c r="X227" s="33">
        <f>IF(PA[[#This Row],[Work Start time on Fault]]="NA","",(PA[[#This Row],[Work Start time on Fault]]-PA[[#This Row],[Fault Time]])*24)</f>
        <v>0</v>
      </c>
      <c r="Y227" s="35">
        <f>(PA[[#This Row],[Work Completiuon time on fualt]]-PA[[#This Row],[Fault Time]])*24</f>
        <v>0</v>
      </c>
      <c r="Z227" s="35">
        <f>IFERROR((PA[[#This Row],[Work Completiuon time on fualt]]-PA[[#This Row],[Fault Time]])*24,"")</f>
        <v>0</v>
      </c>
      <c r="AC227" s="47" t="str">
        <f>IFERROR(PA[[#This Row],[Breakdown Time]]*PA[[#This Row],[Plant Equivalent Weightage]],"")</f>
        <v/>
      </c>
      <c r="AE227" s="33" t="str">
        <f>IFERROR((_xlfn.XLOOKUP(PA[[#This Row],[Month Year]],'Modelling New'!D:D,'Modelling New'!$O:$O)*PA[[#This Row],[Lost PoA(Wh/m2)]]*PA[[#This Row],[DC Capacity Affceted (kW)]])/1000,"")</f>
        <v/>
      </c>
      <c r="AF227" s="35"/>
    </row>
    <row r="228" spans="1:32">
      <c r="A228" s="2">
        <f t="shared" si="19"/>
        <v>225</v>
      </c>
      <c r="B228" s="156">
        <f t="shared" si="17"/>
        <v>1900</v>
      </c>
      <c r="C228" s="129">
        <f t="shared" si="18"/>
        <v>1900</v>
      </c>
      <c r="I228" s="29" t="str">
        <f>IFERROR(VLOOKUP(PA[[#This Row],[Date]],Raw_Data[[Date]:[Sunset Time (POA&lt;20 W/m2)]],3,0),"")</f>
        <v/>
      </c>
      <c r="J228" s="29" t="str">
        <f>IFERROR(VLOOKUP(PA[[#This Row],[Date]],Raw_Data[[Date]:[Sunset Time (POA&lt;20 W/m2)]],4,0),"")</f>
        <v/>
      </c>
      <c r="K228" s="27" t="str">
        <f>IFERROR((PA[[#This Row],[Sunset Time (POA&lt;20 W/m2)]]-PA[[#This Row],[Sunrise Time (POA&gt;20 W/m2)]])*24,"")</f>
        <v/>
      </c>
      <c r="M228" s="46" t="str">
        <f>IFERROR(VLOOKUP(PA[[#This Row],[Affceted Equipment]],'Basic Data'!$A$2:$B$114,2,0),"")</f>
        <v/>
      </c>
      <c r="N228" s="48" t="str">
        <f>IFERROR(VLOOKUP(PA[[#This Row],[Affceted Equipment]],'Basic Data'!$A$1:$C$118,3,0),"")</f>
        <v/>
      </c>
      <c r="W228" s="33">
        <f>IF(PA[[#This Row],[Acknowledgemnet Time ]]="NA","",(PA[[#This Row],[Acknowledgemnet Time ]]-PA[[#This Row],[Fault Time]])*24)</f>
        <v>0</v>
      </c>
      <c r="X228" s="33">
        <f>IF(PA[[#This Row],[Work Start time on Fault]]="NA","",(PA[[#This Row],[Work Start time on Fault]]-PA[[#This Row],[Fault Time]])*24)</f>
        <v>0</v>
      </c>
      <c r="Y228" s="35">
        <f>(PA[[#This Row],[Work Completiuon time on fualt]]-PA[[#This Row],[Fault Time]])*24</f>
        <v>0</v>
      </c>
      <c r="Z228" s="35">
        <f>IFERROR((PA[[#This Row],[Work Completiuon time on fualt]]-PA[[#This Row],[Fault Time]])*24,"")</f>
        <v>0</v>
      </c>
      <c r="AC228" s="47" t="str">
        <f>IFERROR(PA[[#This Row],[Breakdown Time]]*PA[[#This Row],[Plant Equivalent Weightage]],"")</f>
        <v/>
      </c>
      <c r="AE228" s="33" t="str">
        <f>IFERROR((_xlfn.XLOOKUP(PA[[#This Row],[Month Year]],'Modelling New'!D:D,'Modelling New'!$O:$O)*PA[[#This Row],[Lost PoA(Wh/m2)]]*PA[[#This Row],[DC Capacity Affceted (kW)]])/1000,"")</f>
        <v/>
      </c>
      <c r="AF228" s="35"/>
    </row>
    <row r="229" spans="1:32">
      <c r="A229" s="2">
        <f t="shared" si="19"/>
        <v>226</v>
      </c>
      <c r="B229" s="156">
        <f t="shared" si="17"/>
        <v>1900</v>
      </c>
      <c r="C229" s="129">
        <f t="shared" si="18"/>
        <v>1900</v>
      </c>
      <c r="I229" s="29" t="str">
        <f>IFERROR(VLOOKUP(PA[[#This Row],[Date]],Raw_Data[[Date]:[Sunset Time (POA&lt;20 W/m2)]],3,0),"")</f>
        <v/>
      </c>
      <c r="J229" s="29" t="str">
        <f>IFERROR(VLOOKUP(PA[[#This Row],[Date]],Raw_Data[[Date]:[Sunset Time (POA&lt;20 W/m2)]],4,0),"")</f>
        <v/>
      </c>
      <c r="K229" s="27" t="str">
        <f>IFERROR((PA[[#This Row],[Sunset Time (POA&lt;20 W/m2)]]-PA[[#This Row],[Sunrise Time (POA&gt;20 W/m2)]])*24,"")</f>
        <v/>
      </c>
      <c r="M229" s="46" t="str">
        <f>IFERROR(VLOOKUP(PA[[#This Row],[Affceted Equipment]],'Basic Data'!$A$2:$B$114,2,0),"")</f>
        <v/>
      </c>
      <c r="N229" s="48" t="str">
        <f>IFERROR(VLOOKUP(PA[[#This Row],[Affceted Equipment]],'Basic Data'!$A$1:$C$118,3,0),"")</f>
        <v/>
      </c>
      <c r="W229" s="33">
        <f>IF(PA[[#This Row],[Acknowledgemnet Time ]]="NA","",(PA[[#This Row],[Acknowledgemnet Time ]]-PA[[#This Row],[Fault Time]])*24)</f>
        <v>0</v>
      </c>
      <c r="X229" s="33">
        <f>IF(PA[[#This Row],[Work Start time on Fault]]="NA","",(PA[[#This Row],[Work Start time on Fault]]-PA[[#This Row],[Fault Time]])*24)</f>
        <v>0</v>
      </c>
      <c r="Y229" s="35">
        <f>(PA[[#This Row],[Work Completiuon time on fualt]]-PA[[#This Row],[Fault Time]])*24</f>
        <v>0</v>
      </c>
      <c r="Z229" s="35">
        <f>IFERROR((PA[[#This Row],[Work Completiuon time on fualt]]-PA[[#This Row],[Fault Time]])*24,"")</f>
        <v>0</v>
      </c>
      <c r="AC229" s="47" t="str">
        <f>IFERROR(PA[[#This Row],[Breakdown Time]]*PA[[#This Row],[Plant Equivalent Weightage]],"")</f>
        <v/>
      </c>
      <c r="AE229" s="33" t="str">
        <f>IFERROR((_xlfn.XLOOKUP(PA[[#This Row],[Month Year]],'Modelling New'!D:D,'Modelling New'!$O:$O)*PA[[#This Row],[Lost PoA(Wh/m2)]]*PA[[#This Row],[DC Capacity Affceted (kW)]])/1000,"")</f>
        <v/>
      </c>
      <c r="AF229" s="35"/>
    </row>
    <row r="230" spans="1:32">
      <c r="A230" s="2">
        <f t="shared" si="19"/>
        <v>227</v>
      </c>
      <c r="B230" s="156">
        <f t="shared" si="17"/>
        <v>1900</v>
      </c>
      <c r="C230" s="129">
        <f t="shared" si="18"/>
        <v>1900</v>
      </c>
      <c r="I230" s="29" t="str">
        <f>IFERROR(VLOOKUP(PA[[#This Row],[Date]],Raw_Data[[Date]:[Sunset Time (POA&lt;20 W/m2)]],3,0),"")</f>
        <v/>
      </c>
      <c r="J230" s="29" t="str">
        <f>IFERROR(VLOOKUP(PA[[#This Row],[Date]],Raw_Data[[Date]:[Sunset Time (POA&lt;20 W/m2)]],4,0),"")</f>
        <v/>
      </c>
      <c r="K230" s="27" t="str">
        <f>IFERROR((PA[[#This Row],[Sunset Time (POA&lt;20 W/m2)]]-PA[[#This Row],[Sunrise Time (POA&gt;20 W/m2)]])*24,"")</f>
        <v/>
      </c>
      <c r="M230" s="46" t="str">
        <f>IFERROR(VLOOKUP(PA[[#This Row],[Affceted Equipment]],'Basic Data'!$A$2:$B$114,2,0),"")</f>
        <v/>
      </c>
      <c r="N230" s="48" t="str">
        <f>IFERROR(VLOOKUP(PA[[#This Row],[Affceted Equipment]],'Basic Data'!$A$1:$C$118,3,0),"")</f>
        <v/>
      </c>
      <c r="W230" s="33">
        <f>IF(PA[[#This Row],[Acknowledgemnet Time ]]="NA","",(PA[[#This Row],[Acknowledgemnet Time ]]-PA[[#This Row],[Fault Time]])*24)</f>
        <v>0</v>
      </c>
      <c r="X230" s="33">
        <f>IF(PA[[#This Row],[Work Start time on Fault]]="NA","",(PA[[#This Row],[Work Start time on Fault]]-PA[[#This Row],[Fault Time]])*24)</f>
        <v>0</v>
      </c>
      <c r="Y230" s="35">
        <f>(PA[[#This Row],[Work Completiuon time on fualt]]-PA[[#This Row],[Fault Time]])*24</f>
        <v>0</v>
      </c>
      <c r="Z230" s="35">
        <f>IFERROR((PA[[#This Row],[Work Completiuon time on fualt]]-PA[[#This Row],[Fault Time]])*24,"")</f>
        <v>0</v>
      </c>
      <c r="AC230" s="47" t="str">
        <f>IFERROR(PA[[#This Row],[Breakdown Time]]*PA[[#This Row],[Plant Equivalent Weightage]],"")</f>
        <v/>
      </c>
      <c r="AE230" s="33" t="str">
        <f>IFERROR((_xlfn.XLOOKUP(PA[[#This Row],[Month Year]],'Modelling New'!D:D,'Modelling New'!$O:$O)*PA[[#This Row],[Lost PoA(Wh/m2)]]*PA[[#This Row],[DC Capacity Affceted (kW)]])/1000,"")</f>
        <v/>
      </c>
      <c r="AF230" s="35"/>
    </row>
    <row r="231" spans="1:32">
      <c r="A231" s="2">
        <f t="shared" si="19"/>
        <v>228</v>
      </c>
      <c r="B231" s="156">
        <f t="shared" si="17"/>
        <v>1900</v>
      </c>
      <c r="C231" s="129">
        <f t="shared" si="18"/>
        <v>1900</v>
      </c>
      <c r="I231" s="29" t="str">
        <f>IFERROR(VLOOKUP(PA[[#This Row],[Date]],Raw_Data[[Date]:[Sunset Time (POA&lt;20 W/m2)]],3,0),"")</f>
        <v/>
      </c>
      <c r="J231" s="29" t="str">
        <f>IFERROR(VLOOKUP(PA[[#This Row],[Date]],Raw_Data[[Date]:[Sunset Time (POA&lt;20 W/m2)]],4,0),"")</f>
        <v/>
      </c>
      <c r="K231" s="27" t="str">
        <f>IFERROR((PA[[#This Row],[Sunset Time (POA&lt;20 W/m2)]]-PA[[#This Row],[Sunrise Time (POA&gt;20 W/m2)]])*24,"")</f>
        <v/>
      </c>
      <c r="M231" s="46" t="str">
        <f>IFERROR(VLOOKUP(PA[[#This Row],[Affceted Equipment]],'Basic Data'!$A$2:$B$114,2,0),"")</f>
        <v/>
      </c>
      <c r="N231" s="48" t="str">
        <f>IFERROR(VLOOKUP(PA[[#This Row],[Affceted Equipment]],'Basic Data'!$A$1:$C$118,3,0),"")</f>
        <v/>
      </c>
      <c r="W231" s="33">
        <f>IF(PA[[#This Row],[Acknowledgemnet Time ]]="NA","",(PA[[#This Row],[Acknowledgemnet Time ]]-PA[[#This Row],[Fault Time]])*24)</f>
        <v>0</v>
      </c>
      <c r="X231" s="33">
        <f>IF(PA[[#This Row],[Work Start time on Fault]]="NA","",(PA[[#This Row],[Work Start time on Fault]]-PA[[#This Row],[Fault Time]])*24)</f>
        <v>0</v>
      </c>
      <c r="Y231" s="35">
        <f>(PA[[#This Row],[Work Completiuon time on fualt]]-PA[[#This Row],[Fault Time]])*24</f>
        <v>0</v>
      </c>
      <c r="Z231" s="35">
        <f>IFERROR((PA[[#This Row],[Work Completiuon time on fualt]]-PA[[#This Row],[Fault Time]])*24,"")</f>
        <v>0</v>
      </c>
      <c r="AC231" s="47" t="str">
        <f>IFERROR(PA[[#This Row],[Breakdown Time]]*PA[[#This Row],[Plant Equivalent Weightage]],"")</f>
        <v/>
      </c>
      <c r="AE231" s="33" t="str">
        <f>IFERROR((_xlfn.XLOOKUP(PA[[#This Row],[Month Year]],'Modelling New'!D:D,'Modelling New'!$O:$O)*PA[[#This Row],[Lost PoA(Wh/m2)]]*PA[[#This Row],[DC Capacity Affceted (kW)]])/1000,"")</f>
        <v/>
      </c>
      <c r="AF231" s="35"/>
    </row>
    <row r="232" spans="1:32">
      <c r="A232" s="2">
        <f t="shared" si="19"/>
        <v>229</v>
      </c>
      <c r="B232" s="156">
        <f t="shared" si="17"/>
        <v>1900</v>
      </c>
      <c r="C232" s="129">
        <f t="shared" si="18"/>
        <v>1900</v>
      </c>
      <c r="I232" s="29" t="str">
        <f>IFERROR(VLOOKUP(PA[[#This Row],[Date]],Raw_Data[[Date]:[Sunset Time (POA&lt;20 W/m2)]],3,0),"")</f>
        <v/>
      </c>
      <c r="J232" s="29" t="str">
        <f>IFERROR(VLOOKUP(PA[[#This Row],[Date]],Raw_Data[[Date]:[Sunset Time (POA&lt;20 W/m2)]],4,0),"")</f>
        <v/>
      </c>
      <c r="K232" s="27" t="str">
        <f>IFERROR((PA[[#This Row],[Sunset Time (POA&lt;20 W/m2)]]-PA[[#This Row],[Sunrise Time (POA&gt;20 W/m2)]])*24,"")</f>
        <v/>
      </c>
      <c r="M232" s="46" t="str">
        <f>IFERROR(VLOOKUP(PA[[#This Row],[Affceted Equipment]],'Basic Data'!$A$2:$B$114,2,0),"")</f>
        <v/>
      </c>
      <c r="N232" s="48" t="str">
        <f>IFERROR(VLOOKUP(PA[[#This Row],[Affceted Equipment]],'Basic Data'!$A$1:$C$118,3,0),"")</f>
        <v/>
      </c>
      <c r="W232" s="33">
        <f>IF(PA[[#This Row],[Acknowledgemnet Time ]]="NA","",(PA[[#This Row],[Acknowledgemnet Time ]]-PA[[#This Row],[Fault Time]])*24)</f>
        <v>0</v>
      </c>
      <c r="X232" s="33">
        <f>IF(PA[[#This Row],[Work Start time on Fault]]="NA","",(PA[[#This Row],[Work Start time on Fault]]-PA[[#This Row],[Fault Time]])*24)</f>
        <v>0</v>
      </c>
      <c r="Y232" s="35">
        <f>(PA[[#This Row],[Work Completiuon time on fualt]]-PA[[#This Row],[Fault Time]])*24</f>
        <v>0</v>
      </c>
      <c r="Z232" s="35">
        <f>IFERROR((PA[[#This Row],[Work Completiuon time on fualt]]-PA[[#This Row],[Fault Time]])*24,"")</f>
        <v>0</v>
      </c>
      <c r="AC232" s="47" t="str">
        <f>IFERROR(PA[[#This Row],[Breakdown Time]]*PA[[#This Row],[Plant Equivalent Weightage]],"")</f>
        <v/>
      </c>
      <c r="AE232" s="33" t="str">
        <f>IFERROR((_xlfn.XLOOKUP(PA[[#This Row],[Month Year]],'Modelling New'!D:D,'Modelling New'!$O:$O)*PA[[#This Row],[Lost PoA(Wh/m2)]]*PA[[#This Row],[DC Capacity Affceted (kW)]])/1000,"")</f>
        <v/>
      </c>
      <c r="AF232" s="35"/>
    </row>
    <row r="233" spans="1:32">
      <c r="A233" s="2">
        <f t="shared" si="19"/>
        <v>230</v>
      </c>
      <c r="B233" s="156">
        <f t="shared" si="17"/>
        <v>1900</v>
      </c>
      <c r="C233" s="129">
        <f t="shared" si="18"/>
        <v>1900</v>
      </c>
      <c r="I233" s="29" t="str">
        <f>IFERROR(VLOOKUP(PA[[#This Row],[Date]],Raw_Data[[Date]:[Sunset Time (POA&lt;20 W/m2)]],3,0),"")</f>
        <v/>
      </c>
      <c r="J233" s="29" t="str">
        <f>IFERROR(VLOOKUP(PA[[#This Row],[Date]],Raw_Data[[Date]:[Sunset Time (POA&lt;20 W/m2)]],4,0),"")</f>
        <v/>
      </c>
      <c r="K233" s="27" t="str">
        <f>IFERROR((PA[[#This Row],[Sunset Time (POA&lt;20 W/m2)]]-PA[[#This Row],[Sunrise Time (POA&gt;20 W/m2)]])*24,"")</f>
        <v/>
      </c>
      <c r="M233" s="46" t="str">
        <f>IFERROR(VLOOKUP(PA[[#This Row],[Affceted Equipment]],'Basic Data'!$A$2:$B$114,2,0),"")</f>
        <v/>
      </c>
      <c r="N233" s="48" t="str">
        <f>IFERROR(VLOOKUP(PA[[#This Row],[Affceted Equipment]],'Basic Data'!$A$1:$C$118,3,0),"")</f>
        <v/>
      </c>
      <c r="W233" s="33">
        <f>IF(PA[[#This Row],[Acknowledgemnet Time ]]="NA","",(PA[[#This Row],[Acknowledgemnet Time ]]-PA[[#This Row],[Fault Time]])*24)</f>
        <v>0</v>
      </c>
      <c r="X233" s="33">
        <f>IF(PA[[#This Row],[Work Start time on Fault]]="NA","",(PA[[#This Row],[Work Start time on Fault]]-PA[[#This Row],[Fault Time]])*24)</f>
        <v>0</v>
      </c>
      <c r="Y233" s="35">
        <f>(PA[[#This Row],[Work Completiuon time on fualt]]-PA[[#This Row],[Fault Time]])*24</f>
        <v>0</v>
      </c>
      <c r="Z233" s="35">
        <f>IFERROR((PA[[#This Row],[Work Completiuon time on fualt]]-PA[[#This Row],[Fault Time]])*24,"")</f>
        <v>0</v>
      </c>
      <c r="AC233" s="47" t="str">
        <f>IFERROR(PA[[#This Row],[Breakdown Time]]*PA[[#This Row],[Plant Equivalent Weightage]],"")</f>
        <v/>
      </c>
      <c r="AE233" s="33" t="str">
        <f>IFERROR((_xlfn.XLOOKUP(PA[[#This Row],[Month Year]],'Modelling New'!D:D,'Modelling New'!$O:$O)*PA[[#This Row],[Lost PoA(Wh/m2)]]*PA[[#This Row],[DC Capacity Affceted (kW)]])/1000,"")</f>
        <v/>
      </c>
      <c r="AF233" s="35"/>
    </row>
    <row r="234" spans="1:32">
      <c r="A234" s="2">
        <f t="shared" si="19"/>
        <v>231</v>
      </c>
      <c r="B234" s="156">
        <f t="shared" si="17"/>
        <v>1900</v>
      </c>
      <c r="C234" s="129">
        <f t="shared" si="18"/>
        <v>1900</v>
      </c>
      <c r="I234" s="29" t="str">
        <f>IFERROR(VLOOKUP(PA[[#This Row],[Date]],Raw_Data[[Date]:[Sunset Time (POA&lt;20 W/m2)]],3,0),"")</f>
        <v/>
      </c>
      <c r="J234" s="29" t="str">
        <f>IFERROR(VLOOKUP(PA[[#This Row],[Date]],Raw_Data[[Date]:[Sunset Time (POA&lt;20 W/m2)]],4,0),"")</f>
        <v/>
      </c>
      <c r="K234" s="27" t="str">
        <f>IFERROR((PA[[#This Row],[Sunset Time (POA&lt;20 W/m2)]]-PA[[#This Row],[Sunrise Time (POA&gt;20 W/m2)]])*24,"")</f>
        <v/>
      </c>
      <c r="M234" s="46" t="str">
        <f>IFERROR(VLOOKUP(PA[[#This Row],[Affceted Equipment]],'Basic Data'!$A$2:$B$114,2,0),"")</f>
        <v/>
      </c>
      <c r="N234" s="48" t="str">
        <f>IFERROR(VLOOKUP(PA[[#This Row],[Affceted Equipment]],'Basic Data'!$A$1:$C$118,3,0),"")</f>
        <v/>
      </c>
      <c r="W234" s="33">
        <f>IF(PA[[#This Row],[Acknowledgemnet Time ]]="NA","",(PA[[#This Row],[Acknowledgemnet Time ]]-PA[[#This Row],[Fault Time]])*24)</f>
        <v>0</v>
      </c>
      <c r="X234" s="33">
        <f>IF(PA[[#This Row],[Work Start time on Fault]]="NA","",(PA[[#This Row],[Work Start time on Fault]]-PA[[#This Row],[Fault Time]])*24)</f>
        <v>0</v>
      </c>
      <c r="Y234" s="35">
        <f>(PA[[#This Row],[Work Completiuon time on fualt]]-PA[[#This Row],[Fault Time]])*24</f>
        <v>0</v>
      </c>
      <c r="Z234" s="35">
        <f>IFERROR((PA[[#This Row],[Work Completiuon time on fualt]]-PA[[#This Row],[Fault Time]])*24,"")</f>
        <v>0</v>
      </c>
      <c r="AC234" s="47" t="str">
        <f>IFERROR(PA[[#This Row],[Breakdown Time]]*PA[[#This Row],[Plant Equivalent Weightage]],"")</f>
        <v/>
      </c>
      <c r="AE234" s="33" t="str">
        <f>IFERROR((_xlfn.XLOOKUP(PA[[#This Row],[Month Year]],'Modelling New'!D:D,'Modelling New'!$O:$O)*PA[[#This Row],[Lost PoA(Wh/m2)]]*PA[[#This Row],[DC Capacity Affceted (kW)]])/1000,"")</f>
        <v/>
      </c>
      <c r="AF234" s="35"/>
    </row>
    <row r="235" spans="1:32">
      <c r="A235" s="2">
        <f t="shared" si="19"/>
        <v>232</v>
      </c>
      <c r="B235" s="156">
        <f t="shared" si="17"/>
        <v>1900</v>
      </c>
      <c r="C235" s="129">
        <f t="shared" si="18"/>
        <v>1900</v>
      </c>
      <c r="I235" s="29" t="str">
        <f>IFERROR(VLOOKUP(PA[[#This Row],[Date]],Raw_Data[[Date]:[Sunset Time (POA&lt;20 W/m2)]],3,0),"")</f>
        <v/>
      </c>
      <c r="J235" s="29" t="str">
        <f>IFERROR(VLOOKUP(PA[[#This Row],[Date]],Raw_Data[[Date]:[Sunset Time (POA&lt;20 W/m2)]],4,0),"")</f>
        <v/>
      </c>
      <c r="K235" s="27" t="str">
        <f>IFERROR((PA[[#This Row],[Sunset Time (POA&lt;20 W/m2)]]-PA[[#This Row],[Sunrise Time (POA&gt;20 W/m2)]])*24,"")</f>
        <v/>
      </c>
      <c r="M235" s="46" t="str">
        <f>IFERROR(VLOOKUP(PA[[#This Row],[Affceted Equipment]],'Basic Data'!$A$2:$B$114,2,0),"")</f>
        <v/>
      </c>
      <c r="N235" s="48" t="str">
        <f>IFERROR(VLOOKUP(PA[[#This Row],[Affceted Equipment]],'Basic Data'!$A$1:$C$118,3,0),"")</f>
        <v/>
      </c>
      <c r="W235" s="33">
        <f>IF(PA[[#This Row],[Acknowledgemnet Time ]]="NA","",(PA[[#This Row],[Acknowledgemnet Time ]]-PA[[#This Row],[Fault Time]])*24)</f>
        <v>0</v>
      </c>
      <c r="X235" s="33">
        <f>IF(PA[[#This Row],[Work Start time on Fault]]="NA","",(PA[[#This Row],[Work Start time on Fault]]-PA[[#This Row],[Fault Time]])*24)</f>
        <v>0</v>
      </c>
      <c r="Y235" s="35">
        <f>(PA[[#This Row],[Work Completiuon time on fualt]]-PA[[#This Row],[Fault Time]])*24</f>
        <v>0</v>
      </c>
      <c r="Z235" s="35">
        <f>IFERROR((PA[[#This Row],[Work Completiuon time on fualt]]-PA[[#This Row],[Fault Time]])*24,"")</f>
        <v>0</v>
      </c>
      <c r="AC235" s="47" t="str">
        <f>IFERROR(PA[[#This Row],[Breakdown Time]]*PA[[#This Row],[Plant Equivalent Weightage]],"")</f>
        <v/>
      </c>
      <c r="AE235" s="33" t="str">
        <f>IFERROR((_xlfn.XLOOKUP(PA[[#This Row],[Month Year]],'Modelling New'!D:D,'Modelling New'!$O:$O)*PA[[#This Row],[Lost PoA(Wh/m2)]]*PA[[#This Row],[DC Capacity Affceted (kW)]])/1000,"")</f>
        <v/>
      </c>
      <c r="AF235" s="35"/>
    </row>
    <row r="236" spans="1:32">
      <c r="A236" s="2">
        <f t="shared" si="19"/>
        <v>233</v>
      </c>
      <c r="B236" s="156">
        <f t="shared" si="17"/>
        <v>1900</v>
      </c>
      <c r="C236" s="129">
        <f t="shared" si="18"/>
        <v>1900</v>
      </c>
      <c r="I236" s="29" t="str">
        <f>IFERROR(VLOOKUP(PA[[#This Row],[Date]],Raw_Data[[Date]:[Sunset Time (POA&lt;20 W/m2)]],3,0),"")</f>
        <v/>
      </c>
      <c r="J236" s="29" t="str">
        <f>IFERROR(VLOOKUP(PA[[#This Row],[Date]],Raw_Data[[Date]:[Sunset Time (POA&lt;20 W/m2)]],4,0),"")</f>
        <v/>
      </c>
      <c r="K236" s="27" t="str">
        <f>IFERROR((PA[[#This Row],[Sunset Time (POA&lt;20 W/m2)]]-PA[[#This Row],[Sunrise Time (POA&gt;20 W/m2)]])*24,"")</f>
        <v/>
      </c>
      <c r="M236" s="46" t="str">
        <f>IFERROR(VLOOKUP(PA[[#This Row],[Affceted Equipment]],'Basic Data'!$A$2:$B$114,2,0),"")</f>
        <v/>
      </c>
      <c r="N236" s="48" t="str">
        <f>IFERROR(VLOOKUP(PA[[#This Row],[Affceted Equipment]],'Basic Data'!$A$1:$C$118,3,0),"")</f>
        <v/>
      </c>
      <c r="W236" s="33">
        <f>IF(PA[[#This Row],[Acknowledgemnet Time ]]="NA","",(PA[[#This Row],[Acknowledgemnet Time ]]-PA[[#This Row],[Fault Time]])*24)</f>
        <v>0</v>
      </c>
      <c r="X236" s="33">
        <f>IF(PA[[#This Row],[Work Start time on Fault]]="NA","",(PA[[#This Row],[Work Start time on Fault]]-PA[[#This Row],[Fault Time]])*24)</f>
        <v>0</v>
      </c>
      <c r="Y236" s="35">
        <f>(PA[[#This Row],[Work Completiuon time on fualt]]-PA[[#This Row],[Fault Time]])*24</f>
        <v>0</v>
      </c>
      <c r="Z236" s="35">
        <f>IFERROR((PA[[#This Row],[Work Completiuon time on fualt]]-PA[[#This Row],[Fault Time]])*24,"")</f>
        <v>0</v>
      </c>
      <c r="AC236" s="47" t="str">
        <f>IFERROR(PA[[#This Row],[Breakdown Time]]*PA[[#This Row],[Plant Equivalent Weightage]],"")</f>
        <v/>
      </c>
      <c r="AE236" s="33" t="str">
        <f>IFERROR((_xlfn.XLOOKUP(PA[[#This Row],[Month Year]],'Modelling New'!D:D,'Modelling New'!$O:$O)*PA[[#This Row],[Lost PoA(Wh/m2)]]*PA[[#This Row],[DC Capacity Affceted (kW)]])/1000,"")</f>
        <v/>
      </c>
      <c r="AF236" s="35"/>
    </row>
    <row r="237" spans="1:32">
      <c r="A237" s="2">
        <f t="shared" si="19"/>
        <v>234</v>
      </c>
      <c r="B237" s="156">
        <f t="shared" si="17"/>
        <v>1900</v>
      </c>
      <c r="C237" s="129">
        <f t="shared" si="18"/>
        <v>1900</v>
      </c>
      <c r="I237" s="29" t="str">
        <f>IFERROR(VLOOKUP(PA[[#This Row],[Date]],Raw_Data[[Date]:[Sunset Time (POA&lt;20 W/m2)]],3,0),"")</f>
        <v/>
      </c>
      <c r="J237" s="29" t="str">
        <f>IFERROR(VLOOKUP(PA[[#This Row],[Date]],Raw_Data[[Date]:[Sunset Time (POA&lt;20 W/m2)]],4,0),"")</f>
        <v/>
      </c>
      <c r="K237" s="27" t="str">
        <f>IFERROR((PA[[#This Row],[Sunset Time (POA&lt;20 W/m2)]]-PA[[#This Row],[Sunrise Time (POA&gt;20 W/m2)]])*24,"")</f>
        <v/>
      </c>
      <c r="M237" s="46" t="str">
        <f>IFERROR(VLOOKUP(PA[[#This Row],[Affceted Equipment]],'Basic Data'!$A$2:$B$114,2,0),"")</f>
        <v/>
      </c>
      <c r="N237" s="48" t="str">
        <f>IFERROR(VLOOKUP(PA[[#This Row],[Affceted Equipment]],'Basic Data'!$A$1:$C$118,3,0),"")</f>
        <v/>
      </c>
      <c r="W237" s="33">
        <f>IF(PA[[#This Row],[Acknowledgemnet Time ]]="NA","",(PA[[#This Row],[Acknowledgemnet Time ]]-PA[[#This Row],[Fault Time]])*24)</f>
        <v>0</v>
      </c>
      <c r="X237" s="33">
        <f>IF(PA[[#This Row],[Work Start time on Fault]]="NA","",(PA[[#This Row],[Work Start time on Fault]]-PA[[#This Row],[Fault Time]])*24)</f>
        <v>0</v>
      </c>
      <c r="Y237" s="35">
        <f>(PA[[#This Row],[Work Completiuon time on fualt]]-PA[[#This Row],[Fault Time]])*24</f>
        <v>0</v>
      </c>
      <c r="Z237" s="35">
        <f>IFERROR((PA[[#This Row],[Work Completiuon time on fualt]]-PA[[#This Row],[Fault Time]])*24,"")</f>
        <v>0</v>
      </c>
      <c r="AC237" s="47" t="str">
        <f>IFERROR(PA[[#This Row],[Breakdown Time]]*PA[[#This Row],[Plant Equivalent Weightage]],"")</f>
        <v/>
      </c>
      <c r="AE237" s="33" t="str">
        <f>IFERROR((_xlfn.XLOOKUP(PA[[#This Row],[Month Year]],'Modelling New'!D:D,'Modelling New'!$O:$O)*PA[[#This Row],[Lost PoA(Wh/m2)]]*PA[[#This Row],[DC Capacity Affceted (kW)]])/1000,"")</f>
        <v/>
      </c>
      <c r="AF237" s="35"/>
    </row>
    <row r="238" spans="1:32">
      <c r="A238" s="2">
        <f t="shared" si="19"/>
        <v>235</v>
      </c>
      <c r="B238" s="156">
        <f t="shared" si="17"/>
        <v>1900</v>
      </c>
      <c r="C238" s="129">
        <f t="shared" si="18"/>
        <v>1900</v>
      </c>
      <c r="I238" s="29" t="str">
        <f>IFERROR(VLOOKUP(PA[[#This Row],[Date]],Raw_Data[[Date]:[Sunset Time (POA&lt;20 W/m2)]],3,0),"")</f>
        <v/>
      </c>
      <c r="J238" s="29" t="str">
        <f>IFERROR(VLOOKUP(PA[[#This Row],[Date]],Raw_Data[[Date]:[Sunset Time (POA&lt;20 W/m2)]],4,0),"")</f>
        <v/>
      </c>
      <c r="K238" s="27" t="str">
        <f>IFERROR((PA[[#This Row],[Sunset Time (POA&lt;20 W/m2)]]-PA[[#This Row],[Sunrise Time (POA&gt;20 W/m2)]])*24,"")</f>
        <v/>
      </c>
      <c r="M238" s="46" t="str">
        <f>IFERROR(VLOOKUP(PA[[#This Row],[Affceted Equipment]],'Basic Data'!$A$2:$B$114,2,0),"")</f>
        <v/>
      </c>
      <c r="N238" s="48" t="str">
        <f>IFERROR(VLOOKUP(PA[[#This Row],[Affceted Equipment]],'Basic Data'!$A$1:$C$118,3,0),"")</f>
        <v/>
      </c>
      <c r="W238" s="33">
        <f>IF(PA[[#This Row],[Acknowledgemnet Time ]]="NA","",(PA[[#This Row],[Acknowledgemnet Time ]]-PA[[#This Row],[Fault Time]])*24)</f>
        <v>0</v>
      </c>
      <c r="X238" s="33">
        <f>IF(PA[[#This Row],[Work Start time on Fault]]="NA","",(PA[[#This Row],[Work Start time on Fault]]-PA[[#This Row],[Fault Time]])*24)</f>
        <v>0</v>
      </c>
      <c r="Y238" s="35">
        <f>(PA[[#This Row],[Work Completiuon time on fualt]]-PA[[#This Row],[Fault Time]])*24</f>
        <v>0</v>
      </c>
      <c r="Z238" s="35">
        <f>IFERROR((PA[[#This Row],[Work Completiuon time on fualt]]-PA[[#This Row],[Fault Time]])*24,"")</f>
        <v>0</v>
      </c>
      <c r="AC238" s="47" t="str">
        <f>IFERROR(PA[[#This Row],[Breakdown Time]]*PA[[#This Row],[Plant Equivalent Weightage]],"")</f>
        <v/>
      </c>
      <c r="AE238" s="33" t="str">
        <f>IFERROR((_xlfn.XLOOKUP(PA[[#This Row],[Month Year]],'Modelling New'!D:D,'Modelling New'!$O:$O)*PA[[#This Row],[Lost PoA(Wh/m2)]]*PA[[#This Row],[DC Capacity Affceted (kW)]])/1000,"")</f>
        <v/>
      </c>
      <c r="AF238" s="35"/>
    </row>
    <row r="239" spans="1:32">
      <c r="A239" s="2">
        <f t="shared" si="19"/>
        <v>236</v>
      </c>
      <c r="B239" s="156">
        <f t="shared" si="17"/>
        <v>1900</v>
      </c>
      <c r="C239" s="129">
        <f t="shared" si="18"/>
        <v>1900</v>
      </c>
      <c r="I239" s="29" t="str">
        <f>IFERROR(VLOOKUP(PA[[#This Row],[Date]],Raw_Data[[Date]:[Sunset Time (POA&lt;20 W/m2)]],3,0),"")</f>
        <v/>
      </c>
      <c r="J239" s="29" t="str">
        <f>IFERROR(VLOOKUP(PA[[#This Row],[Date]],Raw_Data[[Date]:[Sunset Time (POA&lt;20 W/m2)]],4,0),"")</f>
        <v/>
      </c>
      <c r="K239" s="27" t="str">
        <f>IFERROR((PA[[#This Row],[Sunset Time (POA&lt;20 W/m2)]]-PA[[#This Row],[Sunrise Time (POA&gt;20 W/m2)]])*24,"")</f>
        <v/>
      </c>
      <c r="M239" s="46" t="str">
        <f>IFERROR(VLOOKUP(PA[[#This Row],[Affceted Equipment]],'Basic Data'!$A$2:$B$114,2,0),"")</f>
        <v/>
      </c>
      <c r="N239" s="48" t="str">
        <f>IFERROR(VLOOKUP(PA[[#This Row],[Affceted Equipment]],'Basic Data'!$A$1:$C$118,3,0),"")</f>
        <v/>
      </c>
      <c r="W239" s="33">
        <f>IF(PA[[#This Row],[Acknowledgemnet Time ]]="NA","",(PA[[#This Row],[Acknowledgemnet Time ]]-PA[[#This Row],[Fault Time]])*24)</f>
        <v>0</v>
      </c>
      <c r="X239" s="33">
        <f>IF(PA[[#This Row],[Work Start time on Fault]]="NA","",(PA[[#This Row],[Work Start time on Fault]]-PA[[#This Row],[Fault Time]])*24)</f>
        <v>0</v>
      </c>
      <c r="Y239" s="35">
        <f>(PA[[#This Row],[Work Completiuon time on fualt]]-PA[[#This Row],[Fault Time]])*24</f>
        <v>0</v>
      </c>
      <c r="Z239" s="35">
        <f>IFERROR((PA[[#This Row],[Work Completiuon time on fualt]]-PA[[#This Row],[Fault Time]])*24,"")</f>
        <v>0</v>
      </c>
      <c r="AC239" s="47" t="str">
        <f>IFERROR(PA[[#This Row],[Breakdown Time]]*PA[[#This Row],[Plant Equivalent Weightage]],"")</f>
        <v/>
      </c>
      <c r="AE239" s="33" t="str">
        <f>IFERROR((_xlfn.XLOOKUP(PA[[#This Row],[Month Year]],'Modelling New'!D:D,'Modelling New'!$O:$O)*PA[[#This Row],[Lost PoA(Wh/m2)]]*PA[[#This Row],[DC Capacity Affceted (kW)]])/1000,"")</f>
        <v/>
      </c>
      <c r="AF239" s="35"/>
    </row>
    <row r="240" spans="1:32">
      <c r="A240" s="2">
        <f t="shared" si="19"/>
        <v>237</v>
      </c>
      <c r="B240" s="156">
        <f t="shared" si="17"/>
        <v>1900</v>
      </c>
      <c r="C240" s="129">
        <f t="shared" si="18"/>
        <v>1900</v>
      </c>
      <c r="I240" s="29" t="str">
        <f>IFERROR(VLOOKUP(PA[[#This Row],[Date]],Raw_Data[[Date]:[Sunset Time (POA&lt;20 W/m2)]],3,0),"")</f>
        <v/>
      </c>
      <c r="J240" s="29" t="str">
        <f>IFERROR(VLOOKUP(PA[[#This Row],[Date]],Raw_Data[[Date]:[Sunset Time (POA&lt;20 W/m2)]],4,0),"")</f>
        <v/>
      </c>
      <c r="K240" s="27" t="str">
        <f>IFERROR((PA[[#This Row],[Sunset Time (POA&lt;20 W/m2)]]-PA[[#This Row],[Sunrise Time (POA&gt;20 W/m2)]])*24,"")</f>
        <v/>
      </c>
      <c r="M240" s="46" t="str">
        <f>IFERROR(VLOOKUP(PA[[#This Row],[Affceted Equipment]],'Basic Data'!$A$2:$B$114,2,0),"")</f>
        <v/>
      </c>
      <c r="N240" s="48" t="str">
        <f>IFERROR(VLOOKUP(PA[[#This Row],[Affceted Equipment]],'Basic Data'!$A$1:$C$118,3,0),"")</f>
        <v/>
      </c>
      <c r="W240" s="33">
        <f>IF(PA[[#This Row],[Acknowledgemnet Time ]]="NA","",(PA[[#This Row],[Acknowledgemnet Time ]]-PA[[#This Row],[Fault Time]])*24)</f>
        <v>0</v>
      </c>
      <c r="X240" s="33">
        <f>IF(PA[[#This Row],[Work Start time on Fault]]="NA","",(PA[[#This Row],[Work Start time on Fault]]-PA[[#This Row],[Fault Time]])*24)</f>
        <v>0</v>
      </c>
      <c r="Y240" s="35">
        <f>(PA[[#This Row],[Work Completiuon time on fualt]]-PA[[#This Row],[Fault Time]])*24</f>
        <v>0</v>
      </c>
      <c r="Z240" s="35">
        <f>IFERROR((PA[[#This Row],[Work Completiuon time on fualt]]-PA[[#This Row],[Fault Time]])*24,"")</f>
        <v>0</v>
      </c>
      <c r="AC240" s="47" t="str">
        <f>IFERROR(PA[[#This Row],[Breakdown Time]]*PA[[#This Row],[Plant Equivalent Weightage]],"")</f>
        <v/>
      </c>
      <c r="AE240" s="33" t="str">
        <f>IFERROR((_xlfn.XLOOKUP(PA[[#This Row],[Month Year]],'Modelling New'!D:D,'Modelling New'!$O:$O)*PA[[#This Row],[Lost PoA(Wh/m2)]]*PA[[#This Row],[DC Capacity Affceted (kW)]])/1000,"")</f>
        <v/>
      </c>
      <c r="AF240" s="35"/>
    </row>
    <row r="241" spans="1:32">
      <c r="A241" s="2">
        <f t="shared" si="19"/>
        <v>238</v>
      </c>
      <c r="B241" s="156">
        <f t="shared" si="17"/>
        <v>1900</v>
      </c>
      <c r="C241" s="129">
        <f t="shared" si="18"/>
        <v>1900</v>
      </c>
      <c r="I241" s="29" t="str">
        <f>IFERROR(VLOOKUP(PA[[#This Row],[Date]],Raw_Data[[Date]:[Sunset Time (POA&lt;20 W/m2)]],3,0),"")</f>
        <v/>
      </c>
      <c r="J241" s="29" t="str">
        <f>IFERROR(VLOOKUP(PA[[#This Row],[Date]],Raw_Data[[Date]:[Sunset Time (POA&lt;20 W/m2)]],4,0),"")</f>
        <v/>
      </c>
      <c r="K241" s="27" t="str">
        <f>IFERROR((PA[[#This Row],[Sunset Time (POA&lt;20 W/m2)]]-PA[[#This Row],[Sunrise Time (POA&gt;20 W/m2)]])*24,"")</f>
        <v/>
      </c>
      <c r="M241" s="46" t="str">
        <f>IFERROR(VLOOKUP(PA[[#This Row],[Affceted Equipment]],'Basic Data'!$A$2:$B$114,2,0),"")</f>
        <v/>
      </c>
      <c r="N241" s="48" t="str">
        <f>IFERROR(VLOOKUP(PA[[#This Row],[Affceted Equipment]],'Basic Data'!$A$1:$C$118,3,0),"")</f>
        <v/>
      </c>
      <c r="W241" s="33">
        <f>IF(PA[[#This Row],[Acknowledgemnet Time ]]="NA","",(PA[[#This Row],[Acknowledgemnet Time ]]-PA[[#This Row],[Fault Time]])*24)</f>
        <v>0</v>
      </c>
      <c r="X241" s="33">
        <f>IF(PA[[#This Row],[Work Start time on Fault]]="NA","",(PA[[#This Row],[Work Start time on Fault]]-PA[[#This Row],[Fault Time]])*24)</f>
        <v>0</v>
      </c>
      <c r="Y241" s="35">
        <f>(PA[[#This Row],[Work Completiuon time on fualt]]-PA[[#This Row],[Fault Time]])*24</f>
        <v>0</v>
      </c>
      <c r="Z241" s="35">
        <f>IFERROR((PA[[#This Row],[Work Completiuon time on fualt]]-PA[[#This Row],[Fault Time]])*24,"")</f>
        <v>0</v>
      </c>
      <c r="AC241" s="47" t="str">
        <f>IFERROR(PA[[#This Row],[Breakdown Time]]*PA[[#This Row],[Plant Equivalent Weightage]],"")</f>
        <v/>
      </c>
      <c r="AE241" s="33" t="str">
        <f>IFERROR((_xlfn.XLOOKUP(PA[[#This Row],[Month Year]],'Modelling New'!D:D,'Modelling New'!$O:$O)*PA[[#This Row],[Lost PoA(Wh/m2)]]*PA[[#This Row],[DC Capacity Affceted (kW)]])/1000,"")</f>
        <v/>
      </c>
      <c r="AF241" s="35"/>
    </row>
    <row r="242" spans="1:32">
      <c r="A242" s="2">
        <f t="shared" si="19"/>
        <v>239</v>
      </c>
      <c r="B242" s="156">
        <f t="shared" si="17"/>
        <v>1900</v>
      </c>
      <c r="C242" s="129">
        <f t="shared" si="18"/>
        <v>1900</v>
      </c>
      <c r="I242" s="29" t="str">
        <f>IFERROR(VLOOKUP(PA[[#This Row],[Date]],Raw_Data[[Date]:[Sunset Time (POA&lt;20 W/m2)]],3,0),"")</f>
        <v/>
      </c>
      <c r="J242" s="29" t="str">
        <f>IFERROR(VLOOKUP(PA[[#This Row],[Date]],Raw_Data[[Date]:[Sunset Time (POA&lt;20 W/m2)]],4,0),"")</f>
        <v/>
      </c>
      <c r="K242" s="27" t="str">
        <f>IFERROR((PA[[#This Row],[Sunset Time (POA&lt;20 W/m2)]]-PA[[#This Row],[Sunrise Time (POA&gt;20 W/m2)]])*24,"")</f>
        <v/>
      </c>
      <c r="M242" s="46" t="str">
        <f>IFERROR(VLOOKUP(PA[[#This Row],[Affceted Equipment]],'Basic Data'!$A$2:$B$114,2,0),"")</f>
        <v/>
      </c>
      <c r="N242" s="48" t="str">
        <f>IFERROR(VLOOKUP(PA[[#This Row],[Affceted Equipment]],'Basic Data'!$A$1:$C$118,3,0),"")</f>
        <v/>
      </c>
      <c r="W242" s="33">
        <f>IF(PA[[#This Row],[Acknowledgemnet Time ]]="NA","",(PA[[#This Row],[Acknowledgemnet Time ]]-PA[[#This Row],[Fault Time]])*24)</f>
        <v>0</v>
      </c>
      <c r="X242" s="33">
        <f>IF(PA[[#This Row],[Work Start time on Fault]]="NA","",(PA[[#This Row],[Work Start time on Fault]]-PA[[#This Row],[Fault Time]])*24)</f>
        <v>0</v>
      </c>
      <c r="Y242" s="35">
        <f>(PA[[#This Row],[Work Completiuon time on fualt]]-PA[[#This Row],[Fault Time]])*24</f>
        <v>0</v>
      </c>
      <c r="Z242" s="35">
        <f>IFERROR((PA[[#This Row],[Work Completiuon time on fualt]]-PA[[#This Row],[Fault Time]])*24,"")</f>
        <v>0</v>
      </c>
      <c r="AC242" s="47" t="str">
        <f>IFERROR(PA[[#This Row],[Breakdown Time]]*PA[[#This Row],[Plant Equivalent Weightage]],"")</f>
        <v/>
      </c>
      <c r="AE242" s="33" t="str">
        <f>IFERROR((_xlfn.XLOOKUP(PA[[#This Row],[Month Year]],'Modelling New'!D:D,'Modelling New'!$O:$O)*PA[[#This Row],[Lost PoA(Wh/m2)]]*PA[[#This Row],[DC Capacity Affceted (kW)]])/1000,"")</f>
        <v/>
      </c>
      <c r="AF242" s="35"/>
    </row>
    <row r="243" spans="1:32">
      <c r="A243" s="2">
        <f t="shared" si="19"/>
        <v>240</v>
      </c>
      <c r="B243" s="156">
        <f t="shared" si="17"/>
        <v>1900</v>
      </c>
      <c r="C243" s="129">
        <f t="shared" si="18"/>
        <v>1900</v>
      </c>
      <c r="I243" s="29" t="str">
        <f>IFERROR(VLOOKUP(PA[[#This Row],[Date]],Raw_Data[[Date]:[Sunset Time (POA&lt;20 W/m2)]],3,0),"")</f>
        <v/>
      </c>
      <c r="J243" s="29" t="str">
        <f>IFERROR(VLOOKUP(PA[[#This Row],[Date]],Raw_Data[[Date]:[Sunset Time (POA&lt;20 W/m2)]],4,0),"")</f>
        <v/>
      </c>
      <c r="K243" s="27" t="str">
        <f>IFERROR((PA[[#This Row],[Sunset Time (POA&lt;20 W/m2)]]-PA[[#This Row],[Sunrise Time (POA&gt;20 W/m2)]])*24,"")</f>
        <v/>
      </c>
      <c r="M243" s="46" t="str">
        <f>IFERROR(VLOOKUP(PA[[#This Row],[Affceted Equipment]],'Basic Data'!$A$2:$B$114,2,0),"")</f>
        <v/>
      </c>
      <c r="N243" s="48" t="str">
        <f>IFERROR(VLOOKUP(PA[[#This Row],[Affceted Equipment]],'Basic Data'!$A$1:$C$118,3,0),"")</f>
        <v/>
      </c>
      <c r="W243" s="33">
        <f>IF(PA[[#This Row],[Acknowledgemnet Time ]]="NA","",(PA[[#This Row],[Acknowledgemnet Time ]]-PA[[#This Row],[Fault Time]])*24)</f>
        <v>0</v>
      </c>
      <c r="X243" s="33">
        <f>IF(PA[[#This Row],[Work Start time on Fault]]="NA","",(PA[[#This Row],[Work Start time on Fault]]-PA[[#This Row],[Fault Time]])*24)</f>
        <v>0</v>
      </c>
      <c r="Y243" s="35">
        <f>(PA[[#This Row],[Work Completiuon time on fualt]]-PA[[#This Row],[Fault Time]])*24</f>
        <v>0</v>
      </c>
      <c r="Z243" s="35">
        <f>IFERROR((PA[[#This Row],[Work Completiuon time on fualt]]-PA[[#This Row],[Fault Time]])*24,"")</f>
        <v>0</v>
      </c>
      <c r="AC243" s="47" t="str">
        <f>IFERROR(PA[[#This Row],[Breakdown Time]]*PA[[#This Row],[Plant Equivalent Weightage]],"")</f>
        <v/>
      </c>
      <c r="AE243" s="33" t="str">
        <f>IFERROR((_xlfn.XLOOKUP(PA[[#This Row],[Month Year]],'Modelling New'!D:D,'Modelling New'!$O:$O)*PA[[#This Row],[Lost PoA(Wh/m2)]]*PA[[#This Row],[DC Capacity Affceted (kW)]])/1000,"")</f>
        <v/>
      </c>
      <c r="AF243" s="35"/>
    </row>
    <row r="244" spans="1:32">
      <c r="A244" s="2">
        <f t="shared" si="19"/>
        <v>241</v>
      </c>
      <c r="B244" s="156">
        <f t="shared" si="17"/>
        <v>1900</v>
      </c>
      <c r="C244" s="129">
        <f t="shared" si="18"/>
        <v>1900</v>
      </c>
      <c r="I244" s="29" t="str">
        <f>IFERROR(VLOOKUP(PA[[#This Row],[Date]],Raw_Data[[Date]:[Sunset Time (POA&lt;20 W/m2)]],3,0),"")</f>
        <v/>
      </c>
      <c r="J244" s="29" t="str">
        <f>IFERROR(VLOOKUP(PA[[#This Row],[Date]],Raw_Data[[Date]:[Sunset Time (POA&lt;20 W/m2)]],4,0),"")</f>
        <v/>
      </c>
      <c r="K244" s="27" t="str">
        <f>IFERROR((PA[[#This Row],[Sunset Time (POA&lt;20 W/m2)]]-PA[[#This Row],[Sunrise Time (POA&gt;20 W/m2)]])*24,"")</f>
        <v/>
      </c>
      <c r="M244" s="46" t="str">
        <f>IFERROR(VLOOKUP(PA[[#This Row],[Affceted Equipment]],'Basic Data'!$A$2:$B$114,2,0),"")</f>
        <v/>
      </c>
      <c r="N244" s="48" t="str">
        <f>IFERROR(VLOOKUP(PA[[#This Row],[Affceted Equipment]],'Basic Data'!$A$1:$C$118,3,0),"")</f>
        <v/>
      </c>
      <c r="W244" s="33">
        <f>IF(PA[[#This Row],[Acknowledgemnet Time ]]="NA","",(PA[[#This Row],[Acknowledgemnet Time ]]-PA[[#This Row],[Fault Time]])*24)</f>
        <v>0</v>
      </c>
      <c r="X244" s="33">
        <f>IF(PA[[#This Row],[Work Start time on Fault]]="NA","",(PA[[#This Row],[Work Start time on Fault]]-PA[[#This Row],[Fault Time]])*24)</f>
        <v>0</v>
      </c>
      <c r="Y244" s="35">
        <f>(PA[[#This Row],[Work Completiuon time on fualt]]-PA[[#This Row],[Fault Time]])*24</f>
        <v>0</v>
      </c>
      <c r="Z244" s="35">
        <f>IFERROR((PA[[#This Row],[Work Completiuon time on fualt]]-PA[[#This Row],[Fault Time]])*24,"")</f>
        <v>0</v>
      </c>
      <c r="AC244" s="47" t="str">
        <f>IFERROR(PA[[#This Row],[Breakdown Time]]*PA[[#This Row],[Plant Equivalent Weightage]],"")</f>
        <v/>
      </c>
      <c r="AE244" s="33" t="str">
        <f>IFERROR((_xlfn.XLOOKUP(PA[[#This Row],[Month Year]],'Modelling New'!D:D,'Modelling New'!$O:$O)*PA[[#This Row],[Lost PoA(Wh/m2)]]*PA[[#This Row],[DC Capacity Affceted (kW)]])/1000,"")</f>
        <v/>
      </c>
      <c r="AF244" s="35"/>
    </row>
    <row r="245" spans="1:32">
      <c r="A245" s="2">
        <f t="shared" si="19"/>
        <v>242</v>
      </c>
      <c r="B245" s="156">
        <f t="shared" si="17"/>
        <v>1900</v>
      </c>
      <c r="C245" s="129">
        <f t="shared" si="18"/>
        <v>1900</v>
      </c>
      <c r="I245" s="29" t="str">
        <f>IFERROR(VLOOKUP(PA[[#This Row],[Date]],Raw_Data[[Date]:[Sunset Time (POA&lt;20 W/m2)]],3,0),"")</f>
        <v/>
      </c>
      <c r="J245" s="29" t="str">
        <f>IFERROR(VLOOKUP(PA[[#This Row],[Date]],Raw_Data[[Date]:[Sunset Time (POA&lt;20 W/m2)]],4,0),"")</f>
        <v/>
      </c>
      <c r="K245" s="27" t="str">
        <f>IFERROR((PA[[#This Row],[Sunset Time (POA&lt;20 W/m2)]]-PA[[#This Row],[Sunrise Time (POA&gt;20 W/m2)]])*24,"")</f>
        <v/>
      </c>
      <c r="M245" s="46" t="str">
        <f>IFERROR(VLOOKUP(PA[[#This Row],[Affceted Equipment]],'Basic Data'!$A$2:$B$114,2,0),"")</f>
        <v/>
      </c>
      <c r="N245" s="48" t="str">
        <f>IFERROR(VLOOKUP(PA[[#This Row],[Affceted Equipment]],'Basic Data'!$A$1:$C$118,3,0),"")</f>
        <v/>
      </c>
      <c r="W245" s="33">
        <f>IF(PA[[#This Row],[Acknowledgemnet Time ]]="NA","",(PA[[#This Row],[Acknowledgemnet Time ]]-PA[[#This Row],[Fault Time]])*24)</f>
        <v>0</v>
      </c>
      <c r="X245" s="33">
        <f>IF(PA[[#This Row],[Work Start time on Fault]]="NA","",(PA[[#This Row],[Work Start time on Fault]]-PA[[#This Row],[Fault Time]])*24)</f>
        <v>0</v>
      </c>
      <c r="Y245" s="35">
        <f>(PA[[#This Row],[Work Completiuon time on fualt]]-PA[[#This Row],[Fault Time]])*24</f>
        <v>0</v>
      </c>
      <c r="Z245" s="35">
        <f>IFERROR((PA[[#This Row],[Work Completiuon time on fualt]]-PA[[#This Row],[Fault Time]])*24,"")</f>
        <v>0</v>
      </c>
      <c r="AC245" s="47" t="str">
        <f>IFERROR(PA[[#This Row],[Breakdown Time]]*PA[[#This Row],[Plant Equivalent Weightage]],"")</f>
        <v/>
      </c>
      <c r="AE245" s="33" t="str">
        <f>IFERROR((_xlfn.XLOOKUP(PA[[#This Row],[Month Year]],'Modelling New'!D:D,'Modelling New'!$O:$O)*PA[[#This Row],[Lost PoA(Wh/m2)]]*PA[[#This Row],[DC Capacity Affceted (kW)]])/1000,"")</f>
        <v/>
      </c>
      <c r="AF245" s="35"/>
    </row>
    <row r="246" spans="1:32">
      <c r="A246" s="2">
        <f t="shared" si="19"/>
        <v>243</v>
      </c>
      <c r="B246" s="156">
        <f t="shared" si="17"/>
        <v>1900</v>
      </c>
      <c r="C246" s="129">
        <f t="shared" si="18"/>
        <v>1900</v>
      </c>
      <c r="I246" s="29" t="str">
        <f>IFERROR(VLOOKUP(PA[[#This Row],[Date]],Raw_Data[[Date]:[Sunset Time (POA&lt;20 W/m2)]],3,0),"")</f>
        <v/>
      </c>
      <c r="J246" s="29" t="str">
        <f>IFERROR(VLOOKUP(PA[[#This Row],[Date]],Raw_Data[[Date]:[Sunset Time (POA&lt;20 W/m2)]],4,0),"")</f>
        <v/>
      </c>
      <c r="K246" s="27" t="str">
        <f>IFERROR((PA[[#This Row],[Sunset Time (POA&lt;20 W/m2)]]-PA[[#This Row],[Sunrise Time (POA&gt;20 W/m2)]])*24,"")</f>
        <v/>
      </c>
      <c r="M246" s="46" t="str">
        <f>IFERROR(VLOOKUP(PA[[#This Row],[Affceted Equipment]],'Basic Data'!$A$2:$B$114,2,0),"")</f>
        <v/>
      </c>
      <c r="N246" s="48" t="str">
        <f>IFERROR(VLOOKUP(PA[[#This Row],[Affceted Equipment]],'Basic Data'!$A$1:$C$118,3,0),"")</f>
        <v/>
      </c>
      <c r="W246" s="33">
        <f>IF(PA[[#This Row],[Acknowledgemnet Time ]]="NA","",(PA[[#This Row],[Acknowledgemnet Time ]]-PA[[#This Row],[Fault Time]])*24)</f>
        <v>0</v>
      </c>
      <c r="X246" s="33">
        <f>IF(PA[[#This Row],[Work Start time on Fault]]="NA","",(PA[[#This Row],[Work Start time on Fault]]-PA[[#This Row],[Fault Time]])*24)</f>
        <v>0</v>
      </c>
      <c r="Y246" s="35">
        <f>(PA[[#This Row],[Work Completiuon time on fualt]]-PA[[#This Row],[Fault Time]])*24</f>
        <v>0</v>
      </c>
      <c r="Z246" s="35">
        <f>IFERROR((PA[[#This Row],[Work Completiuon time on fualt]]-PA[[#This Row],[Fault Time]])*24,"")</f>
        <v>0</v>
      </c>
      <c r="AC246" s="47" t="str">
        <f>IFERROR(PA[[#This Row],[Breakdown Time]]*PA[[#This Row],[Plant Equivalent Weightage]],"")</f>
        <v/>
      </c>
      <c r="AE246" s="33" t="str">
        <f>IFERROR((_xlfn.XLOOKUP(PA[[#This Row],[Month Year]],'Modelling New'!D:D,'Modelling New'!$O:$O)*PA[[#This Row],[Lost PoA(Wh/m2)]]*PA[[#This Row],[DC Capacity Affceted (kW)]])/1000,"")</f>
        <v/>
      </c>
      <c r="AF246" s="35"/>
    </row>
    <row r="247" spans="1:32">
      <c r="A247" s="2">
        <f t="shared" si="19"/>
        <v>244</v>
      </c>
      <c r="B247" s="156">
        <f t="shared" si="17"/>
        <v>1900</v>
      </c>
      <c r="C247" s="129">
        <f t="shared" si="18"/>
        <v>1900</v>
      </c>
      <c r="I247" s="29" t="str">
        <f>IFERROR(VLOOKUP(PA[[#This Row],[Date]],Raw_Data[[Date]:[Sunset Time (POA&lt;20 W/m2)]],3,0),"")</f>
        <v/>
      </c>
      <c r="J247" s="29" t="str">
        <f>IFERROR(VLOOKUP(PA[[#This Row],[Date]],Raw_Data[[Date]:[Sunset Time (POA&lt;20 W/m2)]],4,0),"")</f>
        <v/>
      </c>
      <c r="K247" s="27" t="str">
        <f>IFERROR((PA[[#This Row],[Sunset Time (POA&lt;20 W/m2)]]-PA[[#This Row],[Sunrise Time (POA&gt;20 W/m2)]])*24,"")</f>
        <v/>
      </c>
      <c r="M247" s="46" t="str">
        <f>IFERROR(VLOOKUP(PA[[#This Row],[Affceted Equipment]],'Basic Data'!$A$2:$B$114,2,0),"")</f>
        <v/>
      </c>
      <c r="N247" s="48" t="str">
        <f>IFERROR(VLOOKUP(PA[[#This Row],[Affceted Equipment]],'Basic Data'!$A$1:$C$118,3,0),"")</f>
        <v/>
      </c>
      <c r="W247" s="33">
        <f>IF(PA[[#This Row],[Acknowledgemnet Time ]]="NA","",(PA[[#This Row],[Acknowledgemnet Time ]]-PA[[#This Row],[Fault Time]])*24)</f>
        <v>0</v>
      </c>
      <c r="X247" s="33">
        <f>IF(PA[[#This Row],[Work Start time on Fault]]="NA","",(PA[[#This Row],[Work Start time on Fault]]-PA[[#This Row],[Fault Time]])*24)</f>
        <v>0</v>
      </c>
      <c r="Y247" s="35">
        <f>(PA[[#This Row],[Work Completiuon time on fualt]]-PA[[#This Row],[Fault Time]])*24</f>
        <v>0</v>
      </c>
      <c r="Z247" s="35">
        <f>IFERROR((PA[[#This Row],[Work Completiuon time on fualt]]-PA[[#This Row],[Fault Time]])*24,"")</f>
        <v>0</v>
      </c>
      <c r="AC247" s="47" t="str">
        <f>IFERROR(PA[[#This Row],[Breakdown Time]]*PA[[#This Row],[Plant Equivalent Weightage]],"")</f>
        <v/>
      </c>
      <c r="AE247" s="33" t="str">
        <f>IFERROR((_xlfn.XLOOKUP(PA[[#This Row],[Month Year]],'Modelling New'!D:D,'Modelling New'!$O:$O)*PA[[#This Row],[Lost PoA(Wh/m2)]]*PA[[#This Row],[DC Capacity Affceted (kW)]])/1000,"")</f>
        <v/>
      </c>
      <c r="AF247" s="35"/>
    </row>
    <row r="248" spans="1:32">
      <c r="A248" s="2">
        <f t="shared" si="19"/>
        <v>245</v>
      </c>
      <c r="B248" s="156">
        <f t="shared" si="17"/>
        <v>1900</v>
      </c>
      <c r="C248" s="129">
        <f t="shared" si="18"/>
        <v>1900</v>
      </c>
      <c r="I248" s="29" t="str">
        <f>IFERROR(VLOOKUP(PA[[#This Row],[Date]],Raw_Data[[Date]:[Sunset Time (POA&lt;20 W/m2)]],3,0),"")</f>
        <v/>
      </c>
      <c r="J248" s="29" t="str">
        <f>IFERROR(VLOOKUP(PA[[#This Row],[Date]],Raw_Data[[Date]:[Sunset Time (POA&lt;20 W/m2)]],4,0),"")</f>
        <v/>
      </c>
      <c r="K248" s="27" t="str">
        <f>IFERROR((PA[[#This Row],[Sunset Time (POA&lt;20 W/m2)]]-PA[[#This Row],[Sunrise Time (POA&gt;20 W/m2)]])*24,"")</f>
        <v/>
      </c>
      <c r="M248" s="46" t="str">
        <f>IFERROR(VLOOKUP(PA[[#This Row],[Affceted Equipment]],'Basic Data'!$A$2:$B$114,2,0),"")</f>
        <v/>
      </c>
      <c r="N248" s="48" t="str">
        <f>IFERROR(VLOOKUP(PA[[#This Row],[Affceted Equipment]],'Basic Data'!$A$1:$C$118,3,0),"")</f>
        <v/>
      </c>
      <c r="W248" s="33">
        <f>IF(PA[[#This Row],[Acknowledgemnet Time ]]="NA","",(PA[[#This Row],[Acknowledgemnet Time ]]-PA[[#This Row],[Fault Time]])*24)</f>
        <v>0</v>
      </c>
      <c r="X248" s="33">
        <f>IF(PA[[#This Row],[Work Start time on Fault]]="NA","",(PA[[#This Row],[Work Start time on Fault]]-PA[[#This Row],[Fault Time]])*24)</f>
        <v>0</v>
      </c>
      <c r="Y248" s="35">
        <f>(PA[[#This Row],[Work Completiuon time on fualt]]-PA[[#This Row],[Fault Time]])*24</f>
        <v>0</v>
      </c>
      <c r="Z248" s="35">
        <f>IFERROR((PA[[#This Row],[Work Completiuon time on fualt]]-PA[[#This Row],[Fault Time]])*24,"")</f>
        <v>0</v>
      </c>
      <c r="AC248" s="47" t="str">
        <f>IFERROR(PA[[#This Row],[Breakdown Time]]*PA[[#This Row],[Plant Equivalent Weightage]],"")</f>
        <v/>
      </c>
      <c r="AE248" s="33" t="str">
        <f>IFERROR((_xlfn.XLOOKUP(PA[[#This Row],[Month Year]],'Modelling New'!D:D,'Modelling New'!$O:$O)*PA[[#This Row],[Lost PoA(Wh/m2)]]*PA[[#This Row],[DC Capacity Affceted (kW)]])/1000,"")</f>
        <v/>
      </c>
      <c r="AF248" s="35"/>
    </row>
    <row r="249" spans="1:32">
      <c r="A249" s="2">
        <f t="shared" si="19"/>
        <v>246</v>
      </c>
      <c r="B249" s="156">
        <f t="shared" si="17"/>
        <v>1900</v>
      </c>
      <c r="C249" s="129">
        <f t="shared" si="18"/>
        <v>1900</v>
      </c>
      <c r="I249" s="29" t="str">
        <f>IFERROR(VLOOKUP(PA[[#This Row],[Date]],Raw_Data[[Date]:[Sunset Time (POA&lt;20 W/m2)]],3,0),"")</f>
        <v/>
      </c>
      <c r="J249" s="29" t="str">
        <f>IFERROR(VLOOKUP(PA[[#This Row],[Date]],Raw_Data[[Date]:[Sunset Time (POA&lt;20 W/m2)]],4,0),"")</f>
        <v/>
      </c>
      <c r="K249" s="27" t="str">
        <f>IFERROR((PA[[#This Row],[Sunset Time (POA&lt;20 W/m2)]]-PA[[#This Row],[Sunrise Time (POA&gt;20 W/m2)]])*24,"")</f>
        <v/>
      </c>
      <c r="M249" s="46" t="str">
        <f>IFERROR(VLOOKUP(PA[[#This Row],[Affceted Equipment]],'Basic Data'!$A$2:$B$114,2,0),"")</f>
        <v/>
      </c>
      <c r="N249" s="48" t="str">
        <f>IFERROR(VLOOKUP(PA[[#This Row],[Affceted Equipment]],'Basic Data'!$A$1:$C$118,3,0),"")</f>
        <v/>
      </c>
      <c r="W249" s="33">
        <f>IF(PA[[#This Row],[Acknowledgemnet Time ]]="NA","",(PA[[#This Row],[Acknowledgemnet Time ]]-PA[[#This Row],[Fault Time]])*24)</f>
        <v>0</v>
      </c>
      <c r="X249" s="33">
        <f>IF(PA[[#This Row],[Work Start time on Fault]]="NA","",(PA[[#This Row],[Work Start time on Fault]]-PA[[#This Row],[Fault Time]])*24)</f>
        <v>0</v>
      </c>
      <c r="Y249" s="35">
        <f>(PA[[#This Row],[Work Completiuon time on fualt]]-PA[[#This Row],[Fault Time]])*24</f>
        <v>0</v>
      </c>
      <c r="Z249" s="35">
        <f>IFERROR((PA[[#This Row],[Work Completiuon time on fualt]]-PA[[#This Row],[Fault Time]])*24,"")</f>
        <v>0</v>
      </c>
      <c r="AC249" s="47" t="str">
        <f>IFERROR(PA[[#This Row],[Breakdown Time]]*PA[[#This Row],[Plant Equivalent Weightage]],"")</f>
        <v/>
      </c>
      <c r="AE249" s="33" t="str">
        <f>IFERROR((_xlfn.XLOOKUP(PA[[#This Row],[Month Year]],'Modelling New'!D:D,'Modelling New'!$O:$O)*PA[[#This Row],[Lost PoA(Wh/m2)]]*PA[[#This Row],[DC Capacity Affceted (kW)]])/1000,"")</f>
        <v/>
      </c>
      <c r="AF249" s="35"/>
    </row>
    <row r="250" spans="1:32">
      <c r="A250" s="2">
        <f t="shared" si="19"/>
        <v>247</v>
      </c>
      <c r="B250" s="156">
        <f t="shared" si="17"/>
        <v>1900</v>
      </c>
      <c r="C250" s="129">
        <f t="shared" si="18"/>
        <v>1900</v>
      </c>
      <c r="I250" s="29" t="str">
        <f>IFERROR(VLOOKUP(PA[[#This Row],[Date]],Raw_Data[[Date]:[Sunset Time (POA&lt;20 W/m2)]],3,0),"")</f>
        <v/>
      </c>
      <c r="J250" s="29" t="str">
        <f>IFERROR(VLOOKUP(PA[[#This Row],[Date]],Raw_Data[[Date]:[Sunset Time (POA&lt;20 W/m2)]],4,0),"")</f>
        <v/>
      </c>
      <c r="K250" s="27" t="str">
        <f>IFERROR((PA[[#This Row],[Sunset Time (POA&lt;20 W/m2)]]-PA[[#This Row],[Sunrise Time (POA&gt;20 W/m2)]])*24,"")</f>
        <v/>
      </c>
      <c r="M250" s="46" t="str">
        <f>IFERROR(VLOOKUP(PA[[#This Row],[Affceted Equipment]],'Basic Data'!$A$2:$B$114,2,0),"")</f>
        <v/>
      </c>
      <c r="N250" s="48" t="str">
        <f>IFERROR(VLOOKUP(PA[[#This Row],[Affceted Equipment]],'Basic Data'!$A$1:$C$118,3,0),"")</f>
        <v/>
      </c>
      <c r="W250" s="33">
        <f>IF(PA[[#This Row],[Acknowledgemnet Time ]]="NA","",(PA[[#This Row],[Acknowledgemnet Time ]]-PA[[#This Row],[Fault Time]])*24)</f>
        <v>0</v>
      </c>
      <c r="X250" s="33">
        <f>IF(PA[[#This Row],[Work Start time on Fault]]="NA","",(PA[[#This Row],[Work Start time on Fault]]-PA[[#This Row],[Fault Time]])*24)</f>
        <v>0</v>
      </c>
      <c r="Y250" s="35">
        <f>(PA[[#This Row],[Work Completiuon time on fualt]]-PA[[#This Row],[Fault Time]])*24</f>
        <v>0</v>
      </c>
      <c r="Z250" s="35">
        <f>IFERROR((PA[[#This Row],[Work Completiuon time on fualt]]-PA[[#This Row],[Fault Time]])*24,"")</f>
        <v>0</v>
      </c>
      <c r="AC250" s="47" t="str">
        <f>IFERROR(PA[[#This Row],[Breakdown Time]]*PA[[#This Row],[Plant Equivalent Weightage]],"")</f>
        <v/>
      </c>
      <c r="AE250" s="33" t="str">
        <f>IFERROR((_xlfn.XLOOKUP(PA[[#This Row],[Month Year]],'Modelling New'!D:D,'Modelling New'!$O:$O)*PA[[#This Row],[Lost PoA(Wh/m2)]]*PA[[#This Row],[DC Capacity Affceted (kW)]])/1000,"")</f>
        <v/>
      </c>
      <c r="AF250" s="35"/>
    </row>
    <row r="251" spans="1:32">
      <c r="A251" s="2">
        <f t="shared" si="19"/>
        <v>248</v>
      </c>
      <c r="B251" s="156">
        <f t="shared" si="17"/>
        <v>1900</v>
      </c>
      <c r="C251" s="129">
        <f t="shared" si="18"/>
        <v>1900</v>
      </c>
      <c r="I251" s="29" t="str">
        <f>IFERROR(VLOOKUP(PA[[#This Row],[Date]],Raw_Data[[Date]:[Sunset Time (POA&lt;20 W/m2)]],3,0),"")</f>
        <v/>
      </c>
      <c r="J251" s="29" t="str">
        <f>IFERROR(VLOOKUP(PA[[#This Row],[Date]],Raw_Data[[Date]:[Sunset Time (POA&lt;20 W/m2)]],4,0),"")</f>
        <v/>
      </c>
      <c r="K251" s="27" t="str">
        <f>IFERROR((PA[[#This Row],[Sunset Time (POA&lt;20 W/m2)]]-PA[[#This Row],[Sunrise Time (POA&gt;20 W/m2)]])*24,"")</f>
        <v/>
      </c>
      <c r="M251" s="46" t="str">
        <f>IFERROR(VLOOKUP(PA[[#This Row],[Affceted Equipment]],'Basic Data'!$A$2:$B$114,2,0),"")</f>
        <v/>
      </c>
      <c r="N251" s="48" t="str">
        <f>IFERROR(VLOOKUP(PA[[#This Row],[Affceted Equipment]],'Basic Data'!$A$1:$C$118,3,0),"")</f>
        <v/>
      </c>
      <c r="W251" s="33">
        <f>IF(PA[[#This Row],[Acknowledgemnet Time ]]="NA","",(PA[[#This Row],[Acknowledgemnet Time ]]-PA[[#This Row],[Fault Time]])*24)</f>
        <v>0</v>
      </c>
      <c r="X251" s="33">
        <f>IF(PA[[#This Row],[Work Start time on Fault]]="NA","",(PA[[#This Row],[Work Start time on Fault]]-PA[[#This Row],[Fault Time]])*24)</f>
        <v>0</v>
      </c>
      <c r="Y251" s="35">
        <f>(PA[[#This Row],[Work Completiuon time on fualt]]-PA[[#This Row],[Fault Time]])*24</f>
        <v>0</v>
      </c>
      <c r="Z251" s="35">
        <f>IFERROR((PA[[#This Row],[Work Completiuon time on fualt]]-PA[[#This Row],[Fault Time]])*24,"")</f>
        <v>0</v>
      </c>
      <c r="AC251" s="47" t="str">
        <f>IFERROR(PA[[#This Row],[Breakdown Time]]*PA[[#This Row],[Plant Equivalent Weightage]],"")</f>
        <v/>
      </c>
      <c r="AE251" s="33" t="str">
        <f>IFERROR((_xlfn.XLOOKUP(PA[[#This Row],[Month Year]],'Modelling New'!D:D,'Modelling New'!$O:$O)*PA[[#This Row],[Lost PoA(Wh/m2)]]*PA[[#This Row],[DC Capacity Affceted (kW)]])/1000,"")</f>
        <v/>
      </c>
      <c r="AF251" s="35"/>
    </row>
    <row r="252" spans="1:32">
      <c r="A252" s="2">
        <f t="shared" si="19"/>
        <v>249</v>
      </c>
      <c r="B252" s="156">
        <f t="shared" si="17"/>
        <v>1900</v>
      </c>
      <c r="C252" s="129">
        <f t="shared" si="18"/>
        <v>1900</v>
      </c>
      <c r="I252" s="29" t="str">
        <f>IFERROR(VLOOKUP(PA[[#This Row],[Date]],Raw_Data[[Date]:[Sunset Time (POA&lt;20 W/m2)]],3,0),"")</f>
        <v/>
      </c>
      <c r="J252" s="29" t="str">
        <f>IFERROR(VLOOKUP(PA[[#This Row],[Date]],Raw_Data[[Date]:[Sunset Time (POA&lt;20 W/m2)]],4,0),"")</f>
        <v/>
      </c>
      <c r="K252" s="27" t="str">
        <f>IFERROR((PA[[#This Row],[Sunset Time (POA&lt;20 W/m2)]]-PA[[#This Row],[Sunrise Time (POA&gt;20 W/m2)]])*24,"")</f>
        <v/>
      </c>
      <c r="M252" s="46" t="str">
        <f>IFERROR(VLOOKUP(PA[[#This Row],[Affceted Equipment]],'Basic Data'!$A$2:$B$114,2,0),"")</f>
        <v/>
      </c>
      <c r="N252" s="48" t="str">
        <f>IFERROR(VLOOKUP(PA[[#This Row],[Affceted Equipment]],'Basic Data'!$A$1:$C$118,3,0),"")</f>
        <v/>
      </c>
      <c r="W252" s="33">
        <f>IF(PA[[#This Row],[Acknowledgemnet Time ]]="NA","",(PA[[#This Row],[Acknowledgemnet Time ]]-PA[[#This Row],[Fault Time]])*24)</f>
        <v>0</v>
      </c>
      <c r="X252" s="33">
        <f>IF(PA[[#This Row],[Work Start time on Fault]]="NA","",(PA[[#This Row],[Work Start time on Fault]]-PA[[#This Row],[Fault Time]])*24)</f>
        <v>0</v>
      </c>
      <c r="Y252" s="35">
        <f>(PA[[#This Row],[Work Completiuon time on fualt]]-PA[[#This Row],[Fault Time]])*24</f>
        <v>0</v>
      </c>
      <c r="Z252" s="35">
        <f>IFERROR((PA[[#This Row],[Work Completiuon time on fualt]]-PA[[#This Row],[Fault Time]])*24,"")</f>
        <v>0</v>
      </c>
      <c r="AC252" s="47" t="str">
        <f>IFERROR(PA[[#This Row],[Breakdown Time]]*PA[[#This Row],[Plant Equivalent Weightage]],"")</f>
        <v/>
      </c>
      <c r="AE252" s="33" t="str">
        <f>IFERROR((_xlfn.XLOOKUP(PA[[#This Row],[Month Year]],'Modelling New'!D:D,'Modelling New'!$O:$O)*PA[[#This Row],[Lost PoA(Wh/m2)]]*PA[[#This Row],[DC Capacity Affceted (kW)]])/1000,"")</f>
        <v/>
      </c>
      <c r="AF252" s="35"/>
    </row>
    <row r="253" spans="1:32">
      <c r="A253" s="2">
        <f t="shared" si="19"/>
        <v>250</v>
      </c>
      <c r="B253" s="156">
        <f t="shared" si="17"/>
        <v>1900</v>
      </c>
      <c r="C253" s="129">
        <f t="shared" si="18"/>
        <v>1900</v>
      </c>
      <c r="I253" s="29" t="str">
        <f>IFERROR(VLOOKUP(PA[[#This Row],[Date]],Raw_Data[[Date]:[Sunset Time (POA&lt;20 W/m2)]],3,0),"")</f>
        <v/>
      </c>
      <c r="J253" s="29" t="str">
        <f>IFERROR(VLOOKUP(PA[[#This Row],[Date]],Raw_Data[[Date]:[Sunset Time (POA&lt;20 W/m2)]],4,0),"")</f>
        <v/>
      </c>
      <c r="K253" s="27" t="str">
        <f>IFERROR((PA[[#This Row],[Sunset Time (POA&lt;20 W/m2)]]-PA[[#This Row],[Sunrise Time (POA&gt;20 W/m2)]])*24,"")</f>
        <v/>
      </c>
      <c r="M253" s="46" t="str">
        <f>IFERROR(VLOOKUP(PA[[#This Row],[Affceted Equipment]],'Basic Data'!$A$2:$B$114,2,0),"")</f>
        <v/>
      </c>
      <c r="N253" s="48" t="str">
        <f>IFERROR(VLOOKUP(PA[[#This Row],[Affceted Equipment]],'Basic Data'!$A$1:$C$118,3,0),"")</f>
        <v/>
      </c>
      <c r="W253" s="33">
        <f>IF(PA[[#This Row],[Acknowledgemnet Time ]]="NA","",(PA[[#This Row],[Acknowledgemnet Time ]]-PA[[#This Row],[Fault Time]])*24)</f>
        <v>0</v>
      </c>
      <c r="X253" s="33">
        <f>IF(PA[[#This Row],[Work Start time on Fault]]="NA","",(PA[[#This Row],[Work Start time on Fault]]-PA[[#This Row],[Fault Time]])*24)</f>
        <v>0</v>
      </c>
      <c r="Y253" s="35">
        <f>(PA[[#This Row],[Work Completiuon time on fualt]]-PA[[#This Row],[Fault Time]])*24</f>
        <v>0</v>
      </c>
      <c r="Z253" s="35">
        <f>IFERROR((PA[[#This Row],[Work Completiuon time on fualt]]-PA[[#This Row],[Fault Time]])*24,"")</f>
        <v>0</v>
      </c>
      <c r="AC253" s="47" t="str">
        <f>IFERROR(PA[[#This Row],[Breakdown Time]]*PA[[#This Row],[Plant Equivalent Weightage]],"")</f>
        <v/>
      </c>
      <c r="AE253" s="33" t="str">
        <f>IFERROR((_xlfn.XLOOKUP(PA[[#This Row],[Month Year]],'Modelling New'!D:D,'Modelling New'!$O:$O)*PA[[#This Row],[Lost PoA(Wh/m2)]]*PA[[#This Row],[DC Capacity Affceted (kW)]])/1000,"")</f>
        <v/>
      </c>
      <c r="AF253" s="35"/>
    </row>
    <row r="254" spans="1:32">
      <c r="A254" s="2">
        <f t="shared" si="19"/>
        <v>251</v>
      </c>
      <c r="B254" s="156">
        <f t="shared" si="17"/>
        <v>1900</v>
      </c>
      <c r="C254" s="129">
        <f t="shared" si="18"/>
        <v>1900</v>
      </c>
      <c r="I254" s="29" t="str">
        <f>IFERROR(VLOOKUP(PA[[#This Row],[Date]],Raw_Data[[Date]:[Sunset Time (POA&lt;20 W/m2)]],3,0),"")</f>
        <v/>
      </c>
      <c r="J254" s="29" t="str">
        <f>IFERROR(VLOOKUP(PA[[#This Row],[Date]],Raw_Data[[Date]:[Sunset Time (POA&lt;20 W/m2)]],4,0),"")</f>
        <v/>
      </c>
      <c r="K254" s="27" t="str">
        <f>IFERROR((PA[[#This Row],[Sunset Time (POA&lt;20 W/m2)]]-PA[[#This Row],[Sunrise Time (POA&gt;20 W/m2)]])*24,"")</f>
        <v/>
      </c>
      <c r="M254" s="46" t="str">
        <f>IFERROR(VLOOKUP(PA[[#This Row],[Affceted Equipment]],'Basic Data'!$A$2:$B$114,2,0),"")</f>
        <v/>
      </c>
      <c r="N254" s="48" t="str">
        <f>IFERROR(VLOOKUP(PA[[#This Row],[Affceted Equipment]],'Basic Data'!$A$1:$C$118,3,0),"")</f>
        <v/>
      </c>
      <c r="W254" s="33">
        <f>IF(PA[[#This Row],[Acknowledgemnet Time ]]="NA","",(PA[[#This Row],[Acknowledgemnet Time ]]-PA[[#This Row],[Fault Time]])*24)</f>
        <v>0</v>
      </c>
      <c r="X254" s="33">
        <f>IF(PA[[#This Row],[Work Start time on Fault]]="NA","",(PA[[#This Row],[Work Start time on Fault]]-PA[[#This Row],[Fault Time]])*24)</f>
        <v>0</v>
      </c>
      <c r="Y254" s="35">
        <f>(PA[[#This Row],[Work Completiuon time on fualt]]-PA[[#This Row],[Fault Time]])*24</f>
        <v>0</v>
      </c>
      <c r="Z254" s="35">
        <f>IFERROR((PA[[#This Row],[Work Completiuon time on fualt]]-PA[[#This Row],[Fault Time]])*24,"")</f>
        <v>0</v>
      </c>
      <c r="AC254" s="47" t="str">
        <f>IFERROR(PA[[#This Row],[Breakdown Time]]*PA[[#This Row],[Plant Equivalent Weightage]],"")</f>
        <v/>
      </c>
      <c r="AE254" s="33" t="str">
        <f>IFERROR((_xlfn.XLOOKUP(PA[[#This Row],[Month Year]],'Modelling New'!D:D,'Modelling New'!$O:$O)*PA[[#This Row],[Lost PoA(Wh/m2)]]*PA[[#This Row],[DC Capacity Affceted (kW)]])/1000,"")</f>
        <v/>
      </c>
      <c r="AF254" s="35"/>
    </row>
    <row r="255" spans="1:32">
      <c r="A255" s="2">
        <f t="shared" si="19"/>
        <v>252</v>
      </c>
      <c r="B255" s="156">
        <f t="shared" si="17"/>
        <v>1900</v>
      </c>
      <c r="C255" s="129">
        <f t="shared" si="18"/>
        <v>1900</v>
      </c>
      <c r="I255" s="29" t="str">
        <f>IFERROR(VLOOKUP(PA[[#This Row],[Date]],Raw_Data[[Date]:[Sunset Time (POA&lt;20 W/m2)]],3,0),"")</f>
        <v/>
      </c>
      <c r="J255" s="29" t="str">
        <f>IFERROR(VLOOKUP(PA[[#This Row],[Date]],Raw_Data[[Date]:[Sunset Time (POA&lt;20 W/m2)]],4,0),"")</f>
        <v/>
      </c>
      <c r="K255" s="27" t="str">
        <f>IFERROR((PA[[#This Row],[Sunset Time (POA&lt;20 W/m2)]]-PA[[#This Row],[Sunrise Time (POA&gt;20 W/m2)]])*24,"")</f>
        <v/>
      </c>
      <c r="M255" s="46" t="str">
        <f>IFERROR(VLOOKUP(PA[[#This Row],[Affceted Equipment]],'Basic Data'!$A$2:$B$114,2,0),"")</f>
        <v/>
      </c>
      <c r="N255" s="48" t="str">
        <f>IFERROR(VLOOKUP(PA[[#This Row],[Affceted Equipment]],'Basic Data'!$A$1:$C$118,3,0),"")</f>
        <v/>
      </c>
      <c r="W255" s="33">
        <f>IF(PA[[#This Row],[Acknowledgemnet Time ]]="NA","",(PA[[#This Row],[Acknowledgemnet Time ]]-PA[[#This Row],[Fault Time]])*24)</f>
        <v>0</v>
      </c>
      <c r="X255" s="33">
        <f>IF(PA[[#This Row],[Work Start time on Fault]]="NA","",(PA[[#This Row],[Work Start time on Fault]]-PA[[#This Row],[Fault Time]])*24)</f>
        <v>0</v>
      </c>
      <c r="Y255" s="35">
        <f>(PA[[#This Row],[Work Completiuon time on fualt]]-PA[[#This Row],[Fault Time]])*24</f>
        <v>0</v>
      </c>
      <c r="Z255" s="35">
        <f>IFERROR((PA[[#This Row],[Work Completiuon time on fualt]]-PA[[#This Row],[Fault Time]])*24,"")</f>
        <v>0</v>
      </c>
      <c r="AC255" s="47" t="str">
        <f>IFERROR(PA[[#This Row],[Breakdown Time]]*PA[[#This Row],[Plant Equivalent Weightage]],"")</f>
        <v/>
      </c>
      <c r="AE255" s="33" t="str">
        <f>IFERROR((_xlfn.XLOOKUP(PA[[#This Row],[Month Year]],'Modelling New'!D:D,'Modelling New'!$O:$O)*PA[[#This Row],[Lost PoA(Wh/m2)]]*PA[[#This Row],[DC Capacity Affceted (kW)]])/1000,"")</f>
        <v/>
      </c>
      <c r="AF255" s="35"/>
    </row>
    <row r="256" spans="1:32">
      <c r="A256" s="2">
        <f t="shared" si="19"/>
        <v>253</v>
      </c>
      <c r="B256" s="156">
        <f t="shared" si="17"/>
        <v>1900</v>
      </c>
      <c r="C256" s="129">
        <f t="shared" si="18"/>
        <v>1900</v>
      </c>
      <c r="I256" s="29" t="str">
        <f>IFERROR(VLOOKUP(PA[[#This Row],[Date]],Raw_Data[[Date]:[Sunset Time (POA&lt;20 W/m2)]],3,0),"")</f>
        <v/>
      </c>
      <c r="J256" s="29" t="str">
        <f>IFERROR(VLOOKUP(PA[[#This Row],[Date]],Raw_Data[[Date]:[Sunset Time (POA&lt;20 W/m2)]],4,0),"")</f>
        <v/>
      </c>
      <c r="K256" s="27" t="str">
        <f>IFERROR((PA[[#This Row],[Sunset Time (POA&lt;20 W/m2)]]-PA[[#This Row],[Sunrise Time (POA&gt;20 W/m2)]])*24,"")</f>
        <v/>
      </c>
      <c r="M256" s="46" t="str">
        <f>IFERROR(VLOOKUP(PA[[#This Row],[Affceted Equipment]],'Basic Data'!$A$2:$B$114,2,0),"")</f>
        <v/>
      </c>
      <c r="N256" s="48" t="str">
        <f>IFERROR(VLOOKUP(PA[[#This Row],[Affceted Equipment]],'Basic Data'!$A$1:$C$118,3,0),"")</f>
        <v/>
      </c>
      <c r="W256" s="33">
        <f>IF(PA[[#This Row],[Acknowledgemnet Time ]]="NA","",(PA[[#This Row],[Acknowledgemnet Time ]]-PA[[#This Row],[Fault Time]])*24)</f>
        <v>0</v>
      </c>
      <c r="X256" s="33">
        <f>IF(PA[[#This Row],[Work Start time on Fault]]="NA","",(PA[[#This Row],[Work Start time on Fault]]-PA[[#This Row],[Fault Time]])*24)</f>
        <v>0</v>
      </c>
      <c r="Y256" s="35">
        <f>(PA[[#This Row],[Work Completiuon time on fualt]]-PA[[#This Row],[Fault Time]])*24</f>
        <v>0</v>
      </c>
      <c r="Z256" s="35">
        <f>IFERROR((PA[[#This Row],[Work Completiuon time on fualt]]-PA[[#This Row],[Fault Time]])*24,"")</f>
        <v>0</v>
      </c>
      <c r="AC256" s="47" t="str">
        <f>IFERROR(PA[[#This Row],[Breakdown Time]]*PA[[#This Row],[Plant Equivalent Weightage]],"")</f>
        <v/>
      </c>
      <c r="AE256" s="33" t="str">
        <f>IFERROR((_xlfn.XLOOKUP(PA[[#This Row],[Month Year]],'Modelling New'!D:D,'Modelling New'!$O:$O)*PA[[#This Row],[Lost PoA(Wh/m2)]]*PA[[#This Row],[DC Capacity Affceted (kW)]])/1000,"")</f>
        <v/>
      </c>
      <c r="AF256" s="35"/>
    </row>
    <row r="257" spans="1:32">
      <c r="A257" s="2">
        <f t="shared" si="19"/>
        <v>254</v>
      </c>
      <c r="B257" s="156">
        <f t="shared" si="17"/>
        <v>1900</v>
      </c>
      <c r="C257" s="129">
        <f t="shared" si="18"/>
        <v>1900</v>
      </c>
      <c r="I257" s="29" t="str">
        <f>IFERROR(VLOOKUP(PA[[#This Row],[Date]],Raw_Data[[Date]:[Sunset Time (POA&lt;20 W/m2)]],3,0),"")</f>
        <v/>
      </c>
      <c r="J257" s="29" t="str">
        <f>IFERROR(VLOOKUP(PA[[#This Row],[Date]],Raw_Data[[Date]:[Sunset Time (POA&lt;20 W/m2)]],4,0),"")</f>
        <v/>
      </c>
      <c r="K257" s="27" t="str">
        <f>IFERROR((PA[[#This Row],[Sunset Time (POA&lt;20 W/m2)]]-PA[[#This Row],[Sunrise Time (POA&gt;20 W/m2)]])*24,"")</f>
        <v/>
      </c>
      <c r="M257" s="46" t="str">
        <f>IFERROR(VLOOKUP(PA[[#This Row],[Affceted Equipment]],'Basic Data'!$A$2:$B$114,2,0),"")</f>
        <v/>
      </c>
      <c r="N257" s="48" t="str">
        <f>IFERROR(VLOOKUP(PA[[#This Row],[Affceted Equipment]],'Basic Data'!$A$1:$C$118,3,0),"")</f>
        <v/>
      </c>
      <c r="W257" s="33">
        <f>IF(PA[[#This Row],[Acknowledgemnet Time ]]="NA","",(PA[[#This Row],[Acknowledgemnet Time ]]-PA[[#This Row],[Fault Time]])*24)</f>
        <v>0</v>
      </c>
      <c r="X257" s="33">
        <f>IF(PA[[#This Row],[Work Start time on Fault]]="NA","",(PA[[#This Row],[Work Start time on Fault]]-PA[[#This Row],[Fault Time]])*24)</f>
        <v>0</v>
      </c>
      <c r="Y257" s="35">
        <f>(PA[[#This Row],[Work Completiuon time on fualt]]-PA[[#This Row],[Fault Time]])*24</f>
        <v>0</v>
      </c>
      <c r="Z257" s="35">
        <f>IFERROR((PA[[#This Row],[Work Completiuon time on fualt]]-PA[[#This Row],[Fault Time]])*24,"")</f>
        <v>0</v>
      </c>
      <c r="AC257" s="47" t="str">
        <f>IFERROR(PA[[#This Row],[Breakdown Time]]*PA[[#This Row],[Plant Equivalent Weightage]],"")</f>
        <v/>
      </c>
      <c r="AE257" s="33" t="str">
        <f>IFERROR((_xlfn.XLOOKUP(PA[[#This Row],[Month Year]],'Modelling New'!D:D,'Modelling New'!$O:$O)*PA[[#This Row],[Lost PoA(Wh/m2)]]*PA[[#This Row],[DC Capacity Affceted (kW)]])/1000,"")</f>
        <v/>
      </c>
      <c r="AF257" s="35"/>
    </row>
    <row r="258" spans="1:32">
      <c r="A258" s="2">
        <f t="shared" si="19"/>
        <v>255</v>
      </c>
      <c r="B258" s="156">
        <f t="shared" si="17"/>
        <v>1900</v>
      </c>
      <c r="C258" s="129">
        <f t="shared" si="18"/>
        <v>1900</v>
      </c>
      <c r="I258" s="29" t="str">
        <f>IFERROR(VLOOKUP(PA[[#This Row],[Date]],Raw_Data[[Date]:[Sunset Time (POA&lt;20 W/m2)]],3,0),"")</f>
        <v/>
      </c>
      <c r="J258" s="29" t="str">
        <f>IFERROR(VLOOKUP(PA[[#This Row],[Date]],Raw_Data[[Date]:[Sunset Time (POA&lt;20 W/m2)]],4,0),"")</f>
        <v/>
      </c>
      <c r="K258" s="27" t="str">
        <f>IFERROR((PA[[#This Row],[Sunset Time (POA&lt;20 W/m2)]]-PA[[#This Row],[Sunrise Time (POA&gt;20 W/m2)]])*24,"")</f>
        <v/>
      </c>
      <c r="M258" s="46" t="str">
        <f>IFERROR(VLOOKUP(PA[[#This Row],[Affceted Equipment]],'Basic Data'!$A$2:$B$114,2,0),"")</f>
        <v/>
      </c>
      <c r="N258" s="48" t="str">
        <f>IFERROR(VLOOKUP(PA[[#This Row],[Affceted Equipment]],'Basic Data'!$A$1:$C$118,3,0),"")</f>
        <v/>
      </c>
      <c r="W258" s="33">
        <f>IF(PA[[#This Row],[Acknowledgemnet Time ]]="NA","",(PA[[#This Row],[Acknowledgemnet Time ]]-PA[[#This Row],[Fault Time]])*24)</f>
        <v>0</v>
      </c>
      <c r="X258" s="33">
        <f>IF(PA[[#This Row],[Work Start time on Fault]]="NA","",(PA[[#This Row],[Work Start time on Fault]]-PA[[#This Row],[Fault Time]])*24)</f>
        <v>0</v>
      </c>
      <c r="Y258" s="35">
        <f>(PA[[#This Row],[Work Completiuon time on fualt]]-PA[[#This Row],[Fault Time]])*24</f>
        <v>0</v>
      </c>
      <c r="Z258" s="35">
        <f>IFERROR((PA[[#This Row],[Work Completiuon time on fualt]]-PA[[#This Row],[Fault Time]])*24,"")</f>
        <v>0</v>
      </c>
      <c r="AC258" s="47" t="str">
        <f>IFERROR(PA[[#This Row],[Breakdown Time]]*PA[[#This Row],[Plant Equivalent Weightage]],"")</f>
        <v/>
      </c>
      <c r="AE258" s="33" t="str">
        <f>IFERROR((_xlfn.XLOOKUP(PA[[#This Row],[Month Year]],'Modelling New'!D:D,'Modelling New'!$O:$O)*PA[[#This Row],[Lost PoA(Wh/m2)]]*PA[[#This Row],[DC Capacity Affceted (kW)]])/1000,"")</f>
        <v/>
      </c>
      <c r="AF258" s="35"/>
    </row>
    <row r="259" spans="1:32">
      <c r="A259" s="2">
        <f t="shared" si="19"/>
        <v>256</v>
      </c>
      <c r="B259" s="156">
        <f t="shared" si="17"/>
        <v>1900</v>
      </c>
      <c r="C259" s="129">
        <f t="shared" si="18"/>
        <v>1900</v>
      </c>
      <c r="I259" s="29" t="str">
        <f>IFERROR(VLOOKUP(PA[[#This Row],[Date]],Raw_Data[[Date]:[Sunset Time (POA&lt;20 W/m2)]],3,0),"")</f>
        <v/>
      </c>
      <c r="J259" s="29" t="str">
        <f>IFERROR(VLOOKUP(PA[[#This Row],[Date]],Raw_Data[[Date]:[Sunset Time (POA&lt;20 W/m2)]],4,0),"")</f>
        <v/>
      </c>
      <c r="K259" s="27" t="str">
        <f>IFERROR((PA[[#This Row],[Sunset Time (POA&lt;20 W/m2)]]-PA[[#This Row],[Sunrise Time (POA&gt;20 W/m2)]])*24,"")</f>
        <v/>
      </c>
      <c r="M259" s="46" t="str">
        <f>IFERROR(VLOOKUP(PA[[#This Row],[Affceted Equipment]],'Basic Data'!$A$2:$B$114,2,0),"")</f>
        <v/>
      </c>
      <c r="N259" s="48" t="str">
        <f>IFERROR(VLOOKUP(PA[[#This Row],[Affceted Equipment]],'Basic Data'!$A$1:$C$118,3,0),"")</f>
        <v/>
      </c>
      <c r="W259" s="33">
        <f>IF(PA[[#This Row],[Acknowledgemnet Time ]]="NA","",(PA[[#This Row],[Acknowledgemnet Time ]]-PA[[#This Row],[Fault Time]])*24)</f>
        <v>0</v>
      </c>
      <c r="X259" s="33">
        <f>IF(PA[[#This Row],[Work Start time on Fault]]="NA","",(PA[[#This Row],[Work Start time on Fault]]-PA[[#This Row],[Fault Time]])*24)</f>
        <v>0</v>
      </c>
      <c r="Y259" s="35">
        <f>(PA[[#This Row],[Work Completiuon time on fualt]]-PA[[#This Row],[Fault Time]])*24</f>
        <v>0</v>
      </c>
      <c r="Z259" s="35">
        <f>IFERROR((PA[[#This Row],[Work Completiuon time on fualt]]-PA[[#This Row],[Fault Time]])*24,"")</f>
        <v>0</v>
      </c>
      <c r="AC259" s="47" t="str">
        <f>IFERROR(PA[[#This Row],[Breakdown Time]]*PA[[#This Row],[Plant Equivalent Weightage]],"")</f>
        <v/>
      </c>
      <c r="AE259" s="33" t="str">
        <f>IFERROR((_xlfn.XLOOKUP(PA[[#This Row],[Month Year]],'Modelling New'!D:D,'Modelling New'!$O:$O)*PA[[#This Row],[Lost PoA(Wh/m2)]]*PA[[#This Row],[DC Capacity Affceted (kW)]])/1000,"")</f>
        <v/>
      </c>
      <c r="AF259" s="35"/>
    </row>
    <row r="260" spans="1:32">
      <c r="A260" s="2">
        <f t="shared" si="19"/>
        <v>257</v>
      </c>
      <c r="B260" s="156">
        <f t="shared" si="17"/>
        <v>1900</v>
      </c>
      <c r="C260" s="129">
        <f t="shared" si="18"/>
        <v>1900</v>
      </c>
      <c r="I260" s="29" t="str">
        <f>IFERROR(VLOOKUP(PA[[#This Row],[Date]],Raw_Data[[Date]:[Sunset Time (POA&lt;20 W/m2)]],3,0),"")</f>
        <v/>
      </c>
      <c r="J260" s="29" t="str">
        <f>IFERROR(VLOOKUP(PA[[#This Row],[Date]],Raw_Data[[Date]:[Sunset Time (POA&lt;20 W/m2)]],4,0),"")</f>
        <v/>
      </c>
      <c r="K260" s="27" t="str">
        <f>IFERROR((PA[[#This Row],[Sunset Time (POA&lt;20 W/m2)]]-PA[[#This Row],[Sunrise Time (POA&gt;20 W/m2)]])*24,"")</f>
        <v/>
      </c>
      <c r="M260" s="46" t="str">
        <f>IFERROR(VLOOKUP(PA[[#This Row],[Affceted Equipment]],'Basic Data'!$A$2:$B$114,2,0),"")</f>
        <v/>
      </c>
      <c r="N260" s="48" t="str">
        <f>IFERROR(VLOOKUP(PA[[#This Row],[Affceted Equipment]],'Basic Data'!$A$1:$C$118,3,0),"")</f>
        <v/>
      </c>
      <c r="W260" s="33">
        <f>IF(PA[[#This Row],[Acknowledgemnet Time ]]="NA","",(PA[[#This Row],[Acknowledgemnet Time ]]-PA[[#This Row],[Fault Time]])*24)</f>
        <v>0</v>
      </c>
      <c r="X260" s="33">
        <f>IF(PA[[#This Row],[Work Start time on Fault]]="NA","",(PA[[#This Row],[Work Start time on Fault]]-PA[[#This Row],[Fault Time]])*24)</f>
        <v>0</v>
      </c>
      <c r="Y260" s="35">
        <f>(PA[[#This Row],[Work Completiuon time on fualt]]-PA[[#This Row],[Fault Time]])*24</f>
        <v>0</v>
      </c>
      <c r="Z260" s="35">
        <f>IFERROR((PA[[#This Row],[Work Completiuon time on fualt]]-PA[[#This Row],[Fault Time]])*24,"")</f>
        <v>0</v>
      </c>
      <c r="AC260" s="47" t="str">
        <f>IFERROR(PA[[#This Row],[Breakdown Time]]*PA[[#This Row],[Plant Equivalent Weightage]],"")</f>
        <v/>
      </c>
      <c r="AE260" s="33" t="str">
        <f>IFERROR((_xlfn.XLOOKUP(PA[[#This Row],[Month Year]],'Modelling New'!D:D,'Modelling New'!$O:$O)*PA[[#This Row],[Lost PoA(Wh/m2)]]*PA[[#This Row],[DC Capacity Affceted (kW)]])/1000,"")</f>
        <v/>
      </c>
      <c r="AF260" s="35"/>
    </row>
    <row r="261" spans="1:32">
      <c r="A261" s="2">
        <f t="shared" si="19"/>
        <v>258</v>
      </c>
      <c r="B261" s="156">
        <f t="shared" ref="B261:B324" si="20">YEAR(H261)+IF(MONTH(H261)&gt;=4,1,0)</f>
        <v>1900</v>
      </c>
      <c r="C261" s="129">
        <f t="shared" ref="C261:C324" si="21">YEAR(H261)</f>
        <v>1900</v>
      </c>
      <c r="I261" s="29" t="str">
        <f>IFERROR(VLOOKUP(PA[[#This Row],[Date]],Raw_Data[[Date]:[Sunset Time (POA&lt;20 W/m2)]],3,0),"")</f>
        <v/>
      </c>
      <c r="J261" s="29" t="str">
        <f>IFERROR(VLOOKUP(PA[[#This Row],[Date]],Raw_Data[[Date]:[Sunset Time (POA&lt;20 W/m2)]],4,0),"")</f>
        <v/>
      </c>
      <c r="K261" s="27" t="str">
        <f>IFERROR((PA[[#This Row],[Sunset Time (POA&lt;20 W/m2)]]-PA[[#This Row],[Sunrise Time (POA&gt;20 W/m2)]])*24,"")</f>
        <v/>
      </c>
      <c r="M261" s="46" t="str">
        <f>IFERROR(VLOOKUP(PA[[#This Row],[Affceted Equipment]],'Basic Data'!$A$2:$B$114,2,0),"")</f>
        <v/>
      </c>
      <c r="N261" s="48" t="str">
        <f>IFERROR(VLOOKUP(PA[[#This Row],[Affceted Equipment]],'Basic Data'!$A$1:$C$118,3,0),"")</f>
        <v/>
      </c>
      <c r="W261" s="33">
        <f>IF(PA[[#This Row],[Acknowledgemnet Time ]]="NA","",(PA[[#This Row],[Acknowledgemnet Time ]]-PA[[#This Row],[Fault Time]])*24)</f>
        <v>0</v>
      </c>
      <c r="X261" s="33">
        <f>IF(PA[[#This Row],[Work Start time on Fault]]="NA","",(PA[[#This Row],[Work Start time on Fault]]-PA[[#This Row],[Fault Time]])*24)</f>
        <v>0</v>
      </c>
      <c r="Y261" s="35">
        <f>(PA[[#This Row],[Work Completiuon time on fualt]]-PA[[#This Row],[Fault Time]])*24</f>
        <v>0</v>
      </c>
      <c r="Z261" s="35">
        <f>IFERROR((PA[[#This Row],[Work Completiuon time on fualt]]-PA[[#This Row],[Fault Time]])*24,"")</f>
        <v>0</v>
      </c>
      <c r="AC261" s="47" t="str">
        <f>IFERROR(PA[[#This Row],[Breakdown Time]]*PA[[#This Row],[Plant Equivalent Weightage]],"")</f>
        <v/>
      </c>
      <c r="AE261" s="33" t="str">
        <f>IFERROR((_xlfn.XLOOKUP(PA[[#This Row],[Month Year]],'Modelling New'!D:D,'Modelling New'!$O:$O)*PA[[#This Row],[Lost PoA(Wh/m2)]]*PA[[#This Row],[DC Capacity Affceted (kW)]])/1000,"")</f>
        <v/>
      </c>
      <c r="AF261" s="35"/>
    </row>
    <row r="262" spans="1:32">
      <c r="A262" s="2">
        <f t="shared" si="19"/>
        <v>259</v>
      </c>
      <c r="B262" s="156">
        <f t="shared" si="20"/>
        <v>1900</v>
      </c>
      <c r="C262" s="129">
        <f t="shared" si="21"/>
        <v>1900</v>
      </c>
      <c r="I262" s="29" t="str">
        <f>IFERROR(VLOOKUP(PA[[#This Row],[Date]],Raw_Data[[Date]:[Sunset Time (POA&lt;20 W/m2)]],3,0),"")</f>
        <v/>
      </c>
      <c r="J262" s="29" t="str">
        <f>IFERROR(VLOOKUP(PA[[#This Row],[Date]],Raw_Data[[Date]:[Sunset Time (POA&lt;20 W/m2)]],4,0),"")</f>
        <v/>
      </c>
      <c r="K262" s="27" t="str">
        <f>IFERROR((PA[[#This Row],[Sunset Time (POA&lt;20 W/m2)]]-PA[[#This Row],[Sunrise Time (POA&gt;20 W/m2)]])*24,"")</f>
        <v/>
      </c>
      <c r="M262" s="46" t="str">
        <f>IFERROR(VLOOKUP(PA[[#This Row],[Affceted Equipment]],'Basic Data'!$A$2:$B$114,2,0),"")</f>
        <v/>
      </c>
      <c r="N262" s="48" t="str">
        <f>IFERROR(VLOOKUP(PA[[#This Row],[Affceted Equipment]],'Basic Data'!$A$1:$C$118,3,0),"")</f>
        <v/>
      </c>
      <c r="W262" s="33">
        <f>IF(PA[[#This Row],[Acknowledgemnet Time ]]="NA","",(PA[[#This Row],[Acknowledgemnet Time ]]-PA[[#This Row],[Fault Time]])*24)</f>
        <v>0</v>
      </c>
      <c r="X262" s="33">
        <f>IF(PA[[#This Row],[Work Start time on Fault]]="NA","",(PA[[#This Row],[Work Start time on Fault]]-PA[[#This Row],[Fault Time]])*24)</f>
        <v>0</v>
      </c>
      <c r="Y262" s="35">
        <f>(PA[[#This Row],[Work Completiuon time on fualt]]-PA[[#This Row],[Fault Time]])*24</f>
        <v>0</v>
      </c>
      <c r="Z262" s="35">
        <f>IFERROR((PA[[#This Row],[Work Completiuon time on fualt]]-PA[[#This Row],[Fault Time]])*24,"")</f>
        <v>0</v>
      </c>
      <c r="AC262" s="47" t="str">
        <f>IFERROR(PA[[#This Row],[Breakdown Time]]*PA[[#This Row],[Plant Equivalent Weightage]],"")</f>
        <v/>
      </c>
      <c r="AE262" s="33" t="str">
        <f>IFERROR((_xlfn.XLOOKUP(PA[[#This Row],[Month Year]],'Modelling New'!D:D,'Modelling New'!$O:$O)*PA[[#This Row],[Lost PoA(Wh/m2)]]*PA[[#This Row],[DC Capacity Affceted (kW)]])/1000,"")</f>
        <v/>
      </c>
      <c r="AF262" s="35"/>
    </row>
    <row r="263" spans="1:32">
      <c r="A263" s="2">
        <f t="shared" si="19"/>
        <v>260</v>
      </c>
      <c r="B263" s="156">
        <f t="shared" si="20"/>
        <v>1900</v>
      </c>
      <c r="C263" s="129">
        <f t="shared" si="21"/>
        <v>1900</v>
      </c>
      <c r="I263" s="29" t="str">
        <f>IFERROR(VLOOKUP(PA[[#This Row],[Date]],Raw_Data[[Date]:[Sunset Time (POA&lt;20 W/m2)]],3,0),"")</f>
        <v/>
      </c>
      <c r="J263" s="29" t="str">
        <f>IFERROR(VLOOKUP(PA[[#This Row],[Date]],Raw_Data[[Date]:[Sunset Time (POA&lt;20 W/m2)]],4,0),"")</f>
        <v/>
      </c>
      <c r="K263" s="27" t="str">
        <f>IFERROR((PA[[#This Row],[Sunset Time (POA&lt;20 W/m2)]]-PA[[#This Row],[Sunrise Time (POA&gt;20 W/m2)]])*24,"")</f>
        <v/>
      </c>
      <c r="M263" s="46" t="str">
        <f>IFERROR(VLOOKUP(PA[[#This Row],[Affceted Equipment]],'Basic Data'!$A$2:$B$114,2,0),"")</f>
        <v/>
      </c>
      <c r="N263" s="48" t="str">
        <f>IFERROR(VLOOKUP(PA[[#This Row],[Affceted Equipment]],'Basic Data'!$A$1:$C$118,3,0),"")</f>
        <v/>
      </c>
      <c r="W263" s="33">
        <f>IF(PA[[#This Row],[Acknowledgemnet Time ]]="NA","",(PA[[#This Row],[Acknowledgemnet Time ]]-PA[[#This Row],[Fault Time]])*24)</f>
        <v>0</v>
      </c>
      <c r="X263" s="33">
        <f>IF(PA[[#This Row],[Work Start time on Fault]]="NA","",(PA[[#This Row],[Work Start time on Fault]]-PA[[#This Row],[Fault Time]])*24)</f>
        <v>0</v>
      </c>
      <c r="Y263" s="35">
        <f>(PA[[#This Row],[Work Completiuon time on fualt]]-PA[[#This Row],[Fault Time]])*24</f>
        <v>0</v>
      </c>
      <c r="Z263" s="35">
        <f>IFERROR((PA[[#This Row],[Work Completiuon time on fualt]]-PA[[#This Row],[Fault Time]])*24,"")</f>
        <v>0</v>
      </c>
      <c r="AC263" s="47" t="str">
        <f>IFERROR(PA[[#This Row],[Breakdown Time]]*PA[[#This Row],[Plant Equivalent Weightage]],"")</f>
        <v/>
      </c>
      <c r="AE263" s="33" t="str">
        <f>IFERROR((_xlfn.XLOOKUP(PA[[#This Row],[Month Year]],'Modelling New'!D:D,'Modelling New'!$O:$O)*PA[[#This Row],[Lost PoA(Wh/m2)]]*PA[[#This Row],[DC Capacity Affceted (kW)]])/1000,"")</f>
        <v/>
      </c>
      <c r="AF263" s="35"/>
    </row>
    <row r="264" spans="1:32">
      <c r="A264" s="2">
        <f t="shared" si="19"/>
        <v>261</v>
      </c>
      <c r="B264" s="156">
        <f t="shared" si="20"/>
        <v>1900</v>
      </c>
      <c r="C264" s="129">
        <f t="shared" si="21"/>
        <v>1900</v>
      </c>
      <c r="I264" s="29" t="str">
        <f>IFERROR(VLOOKUP(PA[[#This Row],[Date]],Raw_Data[[Date]:[Sunset Time (POA&lt;20 W/m2)]],3,0),"")</f>
        <v/>
      </c>
      <c r="J264" s="29" t="str">
        <f>IFERROR(VLOOKUP(PA[[#This Row],[Date]],Raw_Data[[Date]:[Sunset Time (POA&lt;20 W/m2)]],4,0),"")</f>
        <v/>
      </c>
      <c r="K264" s="27" t="str">
        <f>IFERROR((PA[[#This Row],[Sunset Time (POA&lt;20 W/m2)]]-PA[[#This Row],[Sunrise Time (POA&gt;20 W/m2)]])*24,"")</f>
        <v/>
      </c>
      <c r="M264" s="46" t="str">
        <f>IFERROR(VLOOKUP(PA[[#This Row],[Affceted Equipment]],'Basic Data'!$A$2:$B$114,2,0),"")</f>
        <v/>
      </c>
      <c r="N264" s="48" t="str">
        <f>IFERROR(VLOOKUP(PA[[#This Row],[Affceted Equipment]],'Basic Data'!$A$1:$C$118,3,0),"")</f>
        <v/>
      </c>
      <c r="W264" s="33">
        <f>IF(PA[[#This Row],[Acknowledgemnet Time ]]="NA","",(PA[[#This Row],[Acknowledgemnet Time ]]-PA[[#This Row],[Fault Time]])*24)</f>
        <v>0</v>
      </c>
      <c r="X264" s="33">
        <f>IF(PA[[#This Row],[Work Start time on Fault]]="NA","",(PA[[#This Row],[Work Start time on Fault]]-PA[[#This Row],[Fault Time]])*24)</f>
        <v>0</v>
      </c>
      <c r="Y264" s="35">
        <f>(PA[[#This Row],[Work Completiuon time on fualt]]-PA[[#This Row],[Fault Time]])*24</f>
        <v>0</v>
      </c>
      <c r="Z264" s="35">
        <f>IFERROR((PA[[#This Row],[Work Completiuon time on fualt]]-PA[[#This Row],[Fault Time]])*24,"")</f>
        <v>0</v>
      </c>
      <c r="AC264" s="47" t="str">
        <f>IFERROR(PA[[#This Row],[Breakdown Time]]*PA[[#This Row],[Plant Equivalent Weightage]],"")</f>
        <v/>
      </c>
      <c r="AE264" s="33" t="str">
        <f>IFERROR((_xlfn.XLOOKUP(PA[[#This Row],[Month Year]],'Modelling New'!D:D,'Modelling New'!$O:$O)*PA[[#This Row],[Lost PoA(Wh/m2)]]*PA[[#This Row],[DC Capacity Affceted (kW)]])/1000,"")</f>
        <v/>
      </c>
      <c r="AF264" s="35"/>
    </row>
    <row r="265" spans="1:32">
      <c r="A265" s="2">
        <f t="shared" si="19"/>
        <v>262</v>
      </c>
      <c r="B265" s="156">
        <f t="shared" si="20"/>
        <v>1900</v>
      </c>
      <c r="C265" s="129">
        <f t="shared" si="21"/>
        <v>1900</v>
      </c>
      <c r="I265" s="29" t="str">
        <f>IFERROR(VLOOKUP(PA[[#This Row],[Date]],Raw_Data[[Date]:[Sunset Time (POA&lt;20 W/m2)]],3,0),"")</f>
        <v/>
      </c>
      <c r="J265" s="29" t="str">
        <f>IFERROR(VLOOKUP(PA[[#This Row],[Date]],Raw_Data[[Date]:[Sunset Time (POA&lt;20 W/m2)]],4,0),"")</f>
        <v/>
      </c>
      <c r="K265" s="27" t="str">
        <f>IFERROR((PA[[#This Row],[Sunset Time (POA&lt;20 W/m2)]]-PA[[#This Row],[Sunrise Time (POA&gt;20 W/m2)]])*24,"")</f>
        <v/>
      </c>
      <c r="M265" s="46" t="str">
        <f>IFERROR(VLOOKUP(PA[[#This Row],[Affceted Equipment]],'Basic Data'!$A$2:$B$114,2,0),"")</f>
        <v/>
      </c>
      <c r="N265" s="48" t="str">
        <f>IFERROR(VLOOKUP(PA[[#This Row],[Affceted Equipment]],'Basic Data'!$A$1:$C$118,3,0),"")</f>
        <v/>
      </c>
      <c r="W265" s="33">
        <f>IF(PA[[#This Row],[Acknowledgemnet Time ]]="NA","",(PA[[#This Row],[Acknowledgemnet Time ]]-PA[[#This Row],[Fault Time]])*24)</f>
        <v>0</v>
      </c>
      <c r="X265" s="33">
        <f>IF(PA[[#This Row],[Work Start time on Fault]]="NA","",(PA[[#This Row],[Work Start time on Fault]]-PA[[#This Row],[Fault Time]])*24)</f>
        <v>0</v>
      </c>
      <c r="Y265" s="35">
        <f>(PA[[#This Row],[Work Completiuon time on fualt]]-PA[[#This Row],[Fault Time]])*24</f>
        <v>0</v>
      </c>
      <c r="Z265" s="35">
        <f>IFERROR((PA[[#This Row],[Work Completiuon time on fualt]]-PA[[#This Row],[Fault Time]])*24,"")</f>
        <v>0</v>
      </c>
      <c r="AC265" s="47" t="str">
        <f>IFERROR(PA[[#This Row],[Breakdown Time]]*PA[[#This Row],[Plant Equivalent Weightage]],"")</f>
        <v/>
      </c>
      <c r="AE265" s="33" t="str">
        <f>IFERROR((_xlfn.XLOOKUP(PA[[#This Row],[Month Year]],'Modelling New'!D:D,'Modelling New'!$O:$O)*PA[[#This Row],[Lost PoA(Wh/m2)]]*PA[[#This Row],[DC Capacity Affceted (kW)]])/1000,"")</f>
        <v/>
      </c>
      <c r="AF265" s="35"/>
    </row>
    <row r="266" spans="1:32">
      <c r="A266" s="2">
        <f t="shared" ref="A266:A329" si="22">A265+1</f>
        <v>263</v>
      </c>
      <c r="B266" s="156">
        <f t="shared" si="20"/>
        <v>1900</v>
      </c>
      <c r="C266" s="129">
        <f t="shared" si="21"/>
        <v>1900</v>
      </c>
      <c r="I266" s="29" t="str">
        <f>IFERROR(VLOOKUP(PA[[#This Row],[Date]],Raw_Data[[Date]:[Sunset Time (POA&lt;20 W/m2)]],3,0),"")</f>
        <v/>
      </c>
      <c r="J266" s="29" t="str">
        <f>IFERROR(VLOOKUP(PA[[#This Row],[Date]],Raw_Data[[Date]:[Sunset Time (POA&lt;20 W/m2)]],4,0),"")</f>
        <v/>
      </c>
      <c r="K266" s="27" t="str">
        <f>IFERROR((PA[[#This Row],[Sunset Time (POA&lt;20 W/m2)]]-PA[[#This Row],[Sunrise Time (POA&gt;20 W/m2)]])*24,"")</f>
        <v/>
      </c>
      <c r="M266" s="46" t="str">
        <f>IFERROR(VLOOKUP(PA[[#This Row],[Affceted Equipment]],'Basic Data'!$A$2:$B$114,2,0),"")</f>
        <v/>
      </c>
      <c r="N266" s="48" t="str">
        <f>IFERROR(VLOOKUP(PA[[#This Row],[Affceted Equipment]],'Basic Data'!$A$1:$C$118,3,0),"")</f>
        <v/>
      </c>
      <c r="W266" s="33">
        <f>IF(PA[[#This Row],[Acknowledgemnet Time ]]="NA","",(PA[[#This Row],[Acknowledgemnet Time ]]-PA[[#This Row],[Fault Time]])*24)</f>
        <v>0</v>
      </c>
      <c r="X266" s="33">
        <f>IF(PA[[#This Row],[Work Start time on Fault]]="NA","",(PA[[#This Row],[Work Start time on Fault]]-PA[[#This Row],[Fault Time]])*24)</f>
        <v>0</v>
      </c>
      <c r="Y266" s="35">
        <f>(PA[[#This Row],[Work Completiuon time on fualt]]-PA[[#This Row],[Fault Time]])*24</f>
        <v>0</v>
      </c>
      <c r="Z266" s="35">
        <f>IFERROR((PA[[#This Row],[Work Completiuon time on fualt]]-PA[[#This Row],[Fault Time]])*24,"")</f>
        <v>0</v>
      </c>
      <c r="AC266" s="47" t="str">
        <f>IFERROR(PA[[#This Row],[Breakdown Time]]*PA[[#This Row],[Plant Equivalent Weightage]],"")</f>
        <v/>
      </c>
      <c r="AE266" s="33" t="str">
        <f>IFERROR((_xlfn.XLOOKUP(PA[[#This Row],[Month Year]],'Modelling New'!D:D,'Modelling New'!$O:$O)*PA[[#This Row],[Lost PoA(Wh/m2)]]*PA[[#This Row],[DC Capacity Affceted (kW)]])/1000,"")</f>
        <v/>
      </c>
      <c r="AF266" s="35"/>
    </row>
    <row r="267" spans="1:32">
      <c r="A267" s="2">
        <f t="shared" si="22"/>
        <v>264</v>
      </c>
      <c r="B267" s="156">
        <f t="shared" si="20"/>
        <v>1900</v>
      </c>
      <c r="C267" s="129">
        <f t="shared" si="21"/>
        <v>1900</v>
      </c>
      <c r="I267" s="29" t="str">
        <f>IFERROR(VLOOKUP(PA[[#This Row],[Date]],Raw_Data[[Date]:[Sunset Time (POA&lt;20 W/m2)]],3,0),"")</f>
        <v/>
      </c>
      <c r="J267" s="29" t="str">
        <f>IFERROR(VLOOKUP(PA[[#This Row],[Date]],Raw_Data[[Date]:[Sunset Time (POA&lt;20 W/m2)]],4,0),"")</f>
        <v/>
      </c>
      <c r="K267" s="27" t="str">
        <f>IFERROR((PA[[#This Row],[Sunset Time (POA&lt;20 W/m2)]]-PA[[#This Row],[Sunrise Time (POA&gt;20 W/m2)]])*24,"")</f>
        <v/>
      </c>
      <c r="M267" s="46" t="str">
        <f>IFERROR(VLOOKUP(PA[[#This Row],[Affceted Equipment]],'Basic Data'!$A$2:$B$114,2,0),"")</f>
        <v/>
      </c>
      <c r="N267" s="48" t="str">
        <f>IFERROR(VLOOKUP(PA[[#This Row],[Affceted Equipment]],'Basic Data'!$A$1:$C$118,3,0),"")</f>
        <v/>
      </c>
      <c r="W267" s="33">
        <f>IF(PA[[#This Row],[Acknowledgemnet Time ]]="NA","",(PA[[#This Row],[Acknowledgemnet Time ]]-PA[[#This Row],[Fault Time]])*24)</f>
        <v>0</v>
      </c>
      <c r="X267" s="33">
        <f>IF(PA[[#This Row],[Work Start time on Fault]]="NA","",(PA[[#This Row],[Work Start time on Fault]]-PA[[#This Row],[Fault Time]])*24)</f>
        <v>0</v>
      </c>
      <c r="Y267" s="35">
        <f>(PA[[#This Row],[Work Completiuon time on fualt]]-PA[[#This Row],[Fault Time]])*24</f>
        <v>0</v>
      </c>
      <c r="Z267" s="35">
        <f>IFERROR((PA[[#This Row],[Work Completiuon time on fualt]]-PA[[#This Row],[Fault Time]])*24,"")</f>
        <v>0</v>
      </c>
      <c r="AC267" s="47" t="str">
        <f>IFERROR(PA[[#This Row],[Breakdown Time]]*PA[[#This Row],[Plant Equivalent Weightage]],"")</f>
        <v/>
      </c>
      <c r="AE267" s="33" t="str">
        <f>IFERROR((_xlfn.XLOOKUP(PA[[#This Row],[Month Year]],'Modelling New'!D:D,'Modelling New'!$O:$O)*PA[[#This Row],[Lost PoA(Wh/m2)]]*PA[[#This Row],[DC Capacity Affceted (kW)]])/1000,"")</f>
        <v/>
      </c>
      <c r="AF267" s="35"/>
    </row>
    <row r="268" spans="1:32">
      <c r="A268" s="2">
        <f t="shared" si="22"/>
        <v>265</v>
      </c>
      <c r="B268" s="156">
        <f t="shared" si="20"/>
        <v>1900</v>
      </c>
      <c r="C268" s="129">
        <f t="shared" si="21"/>
        <v>1900</v>
      </c>
      <c r="I268" s="29" t="str">
        <f>IFERROR(VLOOKUP(PA[[#This Row],[Date]],Raw_Data[[Date]:[Sunset Time (POA&lt;20 W/m2)]],3,0),"")</f>
        <v/>
      </c>
      <c r="J268" s="29" t="str">
        <f>IFERROR(VLOOKUP(PA[[#This Row],[Date]],Raw_Data[[Date]:[Sunset Time (POA&lt;20 W/m2)]],4,0),"")</f>
        <v/>
      </c>
      <c r="K268" s="27" t="str">
        <f>IFERROR((PA[[#This Row],[Sunset Time (POA&lt;20 W/m2)]]-PA[[#This Row],[Sunrise Time (POA&gt;20 W/m2)]])*24,"")</f>
        <v/>
      </c>
      <c r="M268" s="46" t="str">
        <f>IFERROR(VLOOKUP(PA[[#This Row],[Affceted Equipment]],'Basic Data'!$A$2:$B$114,2,0),"")</f>
        <v/>
      </c>
      <c r="N268" s="48" t="str">
        <f>IFERROR(VLOOKUP(PA[[#This Row],[Affceted Equipment]],'Basic Data'!$A$1:$C$118,3,0),"")</f>
        <v/>
      </c>
      <c r="W268" s="33">
        <f>IF(PA[[#This Row],[Acknowledgemnet Time ]]="NA","",(PA[[#This Row],[Acknowledgemnet Time ]]-PA[[#This Row],[Fault Time]])*24)</f>
        <v>0</v>
      </c>
      <c r="X268" s="33">
        <f>IF(PA[[#This Row],[Work Start time on Fault]]="NA","",(PA[[#This Row],[Work Start time on Fault]]-PA[[#This Row],[Fault Time]])*24)</f>
        <v>0</v>
      </c>
      <c r="Y268" s="35">
        <f>(PA[[#This Row],[Work Completiuon time on fualt]]-PA[[#This Row],[Fault Time]])*24</f>
        <v>0</v>
      </c>
      <c r="Z268" s="35">
        <f>IFERROR((PA[[#This Row],[Work Completiuon time on fualt]]-PA[[#This Row],[Fault Time]])*24,"")</f>
        <v>0</v>
      </c>
      <c r="AC268" s="47" t="str">
        <f>IFERROR(PA[[#This Row],[Breakdown Time]]*PA[[#This Row],[Plant Equivalent Weightage]],"")</f>
        <v/>
      </c>
      <c r="AE268" s="33" t="str">
        <f>IFERROR((_xlfn.XLOOKUP(PA[[#This Row],[Month Year]],'Modelling New'!D:D,'Modelling New'!$O:$O)*PA[[#This Row],[Lost PoA(Wh/m2)]]*PA[[#This Row],[DC Capacity Affceted (kW)]])/1000,"")</f>
        <v/>
      </c>
      <c r="AF268" s="35"/>
    </row>
    <row r="269" spans="1:32">
      <c r="A269" s="2">
        <f t="shared" si="22"/>
        <v>266</v>
      </c>
      <c r="B269" s="156">
        <f t="shared" si="20"/>
        <v>1900</v>
      </c>
      <c r="C269" s="129">
        <f t="shared" si="21"/>
        <v>1900</v>
      </c>
      <c r="I269" s="29" t="str">
        <f>IFERROR(VLOOKUP(PA[[#This Row],[Date]],Raw_Data[[Date]:[Sunset Time (POA&lt;20 W/m2)]],3,0),"")</f>
        <v/>
      </c>
      <c r="J269" s="29" t="str">
        <f>IFERROR(VLOOKUP(PA[[#This Row],[Date]],Raw_Data[[Date]:[Sunset Time (POA&lt;20 W/m2)]],4,0),"")</f>
        <v/>
      </c>
      <c r="K269" s="27" t="str">
        <f>IFERROR((PA[[#This Row],[Sunset Time (POA&lt;20 W/m2)]]-PA[[#This Row],[Sunrise Time (POA&gt;20 W/m2)]])*24,"")</f>
        <v/>
      </c>
      <c r="M269" s="46" t="str">
        <f>IFERROR(VLOOKUP(PA[[#This Row],[Affceted Equipment]],'Basic Data'!$A$2:$B$114,2,0),"")</f>
        <v/>
      </c>
      <c r="N269" s="48" t="str">
        <f>IFERROR(VLOOKUP(PA[[#This Row],[Affceted Equipment]],'Basic Data'!$A$1:$C$118,3,0),"")</f>
        <v/>
      </c>
      <c r="W269" s="33">
        <f>IF(PA[[#This Row],[Acknowledgemnet Time ]]="NA","",(PA[[#This Row],[Acknowledgemnet Time ]]-PA[[#This Row],[Fault Time]])*24)</f>
        <v>0</v>
      </c>
      <c r="X269" s="33">
        <f>IF(PA[[#This Row],[Work Start time on Fault]]="NA","",(PA[[#This Row],[Work Start time on Fault]]-PA[[#This Row],[Fault Time]])*24)</f>
        <v>0</v>
      </c>
      <c r="Y269" s="35">
        <f>(PA[[#This Row],[Work Completiuon time on fualt]]-PA[[#This Row],[Fault Time]])*24</f>
        <v>0</v>
      </c>
      <c r="Z269" s="35">
        <f>IFERROR((PA[[#This Row],[Work Completiuon time on fualt]]-PA[[#This Row],[Fault Time]])*24,"")</f>
        <v>0</v>
      </c>
      <c r="AC269" s="47" t="str">
        <f>IFERROR(PA[[#This Row],[Breakdown Time]]*PA[[#This Row],[Plant Equivalent Weightage]],"")</f>
        <v/>
      </c>
      <c r="AE269" s="33" t="str">
        <f>IFERROR((_xlfn.XLOOKUP(PA[[#This Row],[Month Year]],'Modelling New'!D:D,'Modelling New'!$O:$O)*PA[[#This Row],[Lost PoA(Wh/m2)]]*PA[[#This Row],[DC Capacity Affceted (kW)]])/1000,"")</f>
        <v/>
      </c>
      <c r="AF269" s="35"/>
    </row>
    <row r="270" spans="1:32">
      <c r="A270" s="2">
        <f t="shared" si="22"/>
        <v>267</v>
      </c>
      <c r="B270" s="156">
        <f t="shared" si="20"/>
        <v>1900</v>
      </c>
      <c r="C270" s="129">
        <f t="shared" si="21"/>
        <v>1900</v>
      </c>
      <c r="I270" s="29" t="str">
        <f>IFERROR(VLOOKUP(PA[[#This Row],[Date]],Raw_Data[[Date]:[Sunset Time (POA&lt;20 W/m2)]],3,0),"")</f>
        <v/>
      </c>
      <c r="J270" s="29" t="str">
        <f>IFERROR(VLOOKUP(PA[[#This Row],[Date]],Raw_Data[[Date]:[Sunset Time (POA&lt;20 W/m2)]],4,0),"")</f>
        <v/>
      </c>
      <c r="K270" s="27" t="str">
        <f>IFERROR((PA[[#This Row],[Sunset Time (POA&lt;20 W/m2)]]-PA[[#This Row],[Sunrise Time (POA&gt;20 W/m2)]])*24,"")</f>
        <v/>
      </c>
      <c r="M270" s="46" t="str">
        <f>IFERROR(VLOOKUP(PA[[#This Row],[Affceted Equipment]],'Basic Data'!$A$2:$B$114,2,0),"")</f>
        <v/>
      </c>
      <c r="N270" s="48" t="str">
        <f>IFERROR(VLOOKUP(PA[[#This Row],[Affceted Equipment]],'Basic Data'!$A$1:$C$118,3,0),"")</f>
        <v/>
      </c>
      <c r="W270" s="33">
        <f>IF(PA[[#This Row],[Acknowledgemnet Time ]]="NA","",(PA[[#This Row],[Acknowledgemnet Time ]]-PA[[#This Row],[Fault Time]])*24)</f>
        <v>0</v>
      </c>
      <c r="X270" s="33">
        <f>IF(PA[[#This Row],[Work Start time on Fault]]="NA","",(PA[[#This Row],[Work Start time on Fault]]-PA[[#This Row],[Fault Time]])*24)</f>
        <v>0</v>
      </c>
      <c r="Y270" s="35">
        <f>(PA[[#This Row],[Work Completiuon time on fualt]]-PA[[#This Row],[Fault Time]])*24</f>
        <v>0</v>
      </c>
      <c r="Z270" s="35">
        <f>IFERROR((PA[[#This Row],[Work Completiuon time on fualt]]-PA[[#This Row],[Fault Time]])*24,"")</f>
        <v>0</v>
      </c>
      <c r="AC270" s="47" t="str">
        <f>IFERROR(PA[[#This Row],[Breakdown Time]]*PA[[#This Row],[Plant Equivalent Weightage]],"")</f>
        <v/>
      </c>
      <c r="AE270" s="33" t="str">
        <f>IFERROR((_xlfn.XLOOKUP(PA[[#This Row],[Month Year]],'Modelling New'!D:D,'Modelling New'!$O:$O)*PA[[#This Row],[Lost PoA(Wh/m2)]]*PA[[#This Row],[DC Capacity Affceted (kW)]])/1000,"")</f>
        <v/>
      </c>
      <c r="AF270" s="35"/>
    </row>
    <row r="271" spans="1:32">
      <c r="A271" s="2">
        <f t="shared" si="22"/>
        <v>268</v>
      </c>
      <c r="B271" s="156">
        <f t="shared" si="20"/>
        <v>1900</v>
      </c>
      <c r="C271" s="129">
        <f t="shared" si="21"/>
        <v>1900</v>
      </c>
      <c r="I271" s="29" t="str">
        <f>IFERROR(VLOOKUP(PA[[#This Row],[Date]],Raw_Data[[Date]:[Sunset Time (POA&lt;20 W/m2)]],3,0),"")</f>
        <v/>
      </c>
      <c r="J271" s="29" t="str">
        <f>IFERROR(VLOOKUP(PA[[#This Row],[Date]],Raw_Data[[Date]:[Sunset Time (POA&lt;20 W/m2)]],4,0),"")</f>
        <v/>
      </c>
      <c r="K271" s="27" t="str">
        <f>IFERROR((PA[[#This Row],[Sunset Time (POA&lt;20 W/m2)]]-PA[[#This Row],[Sunrise Time (POA&gt;20 W/m2)]])*24,"")</f>
        <v/>
      </c>
      <c r="M271" s="46" t="str">
        <f>IFERROR(VLOOKUP(PA[[#This Row],[Affceted Equipment]],'Basic Data'!$A$2:$B$114,2,0),"")</f>
        <v/>
      </c>
      <c r="N271" s="48" t="str">
        <f>IFERROR(VLOOKUP(PA[[#This Row],[Affceted Equipment]],'Basic Data'!$A$1:$C$118,3,0),"")</f>
        <v/>
      </c>
      <c r="W271" s="33">
        <f>IF(PA[[#This Row],[Acknowledgemnet Time ]]="NA","",(PA[[#This Row],[Acknowledgemnet Time ]]-PA[[#This Row],[Fault Time]])*24)</f>
        <v>0</v>
      </c>
      <c r="X271" s="33">
        <f>IF(PA[[#This Row],[Work Start time on Fault]]="NA","",(PA[[#This Row],[Work Start time on Fault]]-PA[[#This Row],[Fault Time]])*24)</f>
        <v>0</v>
      </c>
      <c r="Y271" s="35">
        <f>(PA[[#This Row],[Work Completiuon time on fualt]]-PA[[#This Row],[Fault Time]])*24</f>
        <v>0</v>
      </c>
      <c r="Z271" s="35">
        <f>IFERROR((PA[[#This Row],[Work Completiuon time on fualt]]-PA[[#This Row],[Fault Time]])*24,"")</f>
        <v>0</v>
      </c>
      <c r="AC271" s="47" t="str">
        <f>IFERROR(PA[[#This Row],[Breakdown Time]]*PA[[#This Row],[Plant Equivalent Weightage]],"")</f>
        <v/>
      </c>
      <c r="AE271" s="33" t="str">
        <f>IFERROR((_xlfn.XLOOKUP(PA[[#This Row],[Month Year]],'Modelling New'!D:D,'Modelling New'!$O:$O)*PA[[#This Row],[Lost PoA(Wh/m2)]]*PA[[#This Row],[DC Capacity Affceted (kW)]])/1000,"")</f>
        <v/>
      </c>
      <c r="AF271" s="35"/>
    </row>
    <row r="272" spans="1:32">
      <c r="A272" s="2">
        <f t="shared" si="22"/>
        <v>269</v>
      </c>
      <c r="B272" s="156">
        <f t="shared" si="20"/>
        <v>1900</v>
      </c>
      <c r="C272" s="129">
        <f t="shared" si="21"/>
        <v>1900</v>
      </c>
      <c r="I272" s="29" t="str">
        <f>IFERROR(VLOOKUP(PA[[#This Row],[Date]],Raw_Data[[Date]:[Sunset Time (POA&lt;20 W/m2)]],3,0),"")</f>
        <v/>
      </c>
      <c r="J272" s="29" t="str">
        <f>IFERROR(VLOOKUP(PA[[#This Row],[Date]],Raw_Data[[Date]:[Sunset Time (POA&lt;20 W/m2)]],4,0),"")</f>
        <v/>
      </c>
      <c r="K272" s="27" t="str">
        <f>IFERROR((PA[[#This Row],[Sunset Time (POA&lt;20 W/m2)]]-PA[[#This Row],[Sunrise Time (POA&gt;20 W/m2)]])*24,"")</f>
        <v/>
      </c>
      <c r="M272" s="46" t="str">
        <f>IFERROR(VLOOKUP(PA[[#This Row],[Affceted Equipment]],'Basic Data'!$A$2:$B$114,2,0),"")</f>
        <v/>
      </c>
      <c r="N272" s="48" t="str">
        <f>IFERROR(VLOOKUP(PA[[#This Row],[Affceted Equipment]],'Basic Data'!$A$1:$C$118,3,0),"")</f>
        <v/>
      </c>
      <c r="W272" s="33">
        <f>IF(PA[[#This Row],[Acknowledgemnet Time ]]="NA","",(PA[[#This Row],[Acknowledgemnet Time ]]-PA[[#This Row],[Fault Time]])*24)</f>
        <v>0</v>
      </c>
      <c r="X272" s="33">
        <f>IF(PA[[#This Row],[Work Start time on Fault]]="NA","",(PA[[#This Row],[Work Start time on Fault]]-PA[[#This Row],[Fault Time]])*24)</f>
        <v>0</v>
      </c>
      <c r="Y272" s="35">
        <f>(PA[[#This Row],[Work Completiuon time on fualt]]-PA[[#This Row],[Fault Time]])*24</f>
        <v>0</v>
      </c>
      <c r="Z272" s="35">
        <f>IFERROR((PA[[#This Row],[Work Completiuon time on fualt]]-PA[[#This Row],[Fault Time]])*24,"")</f>
        <v>0</v>
      </c>
      <c r="AC272" s="47" t="str">
        <f>IFERROR(PA[[#This Row],[Breakdown Time]]*PA[[#This Row],[Plant Equivalent Weightage]],"")</f>
        <v/>
      </c>
      <c r="AE272" s="33" t="str">
        <f>IFERROR((_xlfn.XLOOKUP(PA[[#This Row],[Month Year]],'Modelling New'!D:D,'Modelling New'!$O:$O)*PA[[#This Row],[Lost PoA(Wh/m2)]]*PA[[#This Row],[DC Capacity Affceted (kW)]])/1000,"")</f>
        <v/>
      </c>
      <c r="AF272" s="35"/>
    </row>
    <row r="273" spans="1:32">
      <c r="A273" s="2">
        <f t="shared" si="22"/>
        <v>270</v>
      </c>
      <c r="B273" s="156">
        <f t="shared" si="20"/>
        <v>1900</v>
      </c>
      <c r="C273" s="129">
        <f t="shared" si="21"/>
        <v>1900</v>
      </c>
      <c r="I273" s="29" t="str">
        <f>IFERROR(VLOOKUP(PA[[#This Row],[Date]],Raw_Data[[Date]:[Sunset Time (POA&lt;20 W/m2)]],3,0),"")</f>
        <v/>
      </c>
      <c r="J273" s="29" t="str">
        <f>IFERROR(VLOOKUP(PA[[#This Row],[Date]],Raw_Data[[Date]:[Sunset Time (POA&lt;20 W/m2)]],4,0),"")</f>
        <v/>
      </c>
      <c r="K273" s="27" t="str">
        <f>IFERROR((PA[[#This Row],[Sunset Time (POA&lt;20 W/m2)]]-PA[[#This Row],[Sunrise Time (POA&gt;20 W/m2)]])*24,"")</f>
        <v/>
      </c>
      <c r="M273" s="46" t="str">
        <f>IFERROR(VLOOKUP(PA[[#This Row],[Affceted Equipment]],'Basic Data'!$A$2:$B$114,2,0),"")</f>
        <v/>
      </c>
      <c r="N273" s="48" t="str">
        <f>IFERROR(VLOOKUP(PA[[#This Row],[Affceted Equipment]],'Basic Data'!$A$1:$C$118,3,0),"")</f>
        <v/>
      </c>
      <c r="W273" s="33">
        <f>IF(PA[[#This Row],[Acknowledgemnet Time ]]="NA","",(PA[[#This Row],[Acknowledgemnet Time ]]-PA[[#This Row],[Fault Time]])*24)</f>
        <v>0</v>
      </c>
      <c r="X273" s="33">
        <f>IF(PA[[#This Row],[Work Start time on Fault]]="NA","",(PA[[#This Row],[Work Start time on Fault]]-PA[[#This Row],[Fault Time]])*24)</f>
        <v>0</v>
      </c>
      <c r="Y273" s="35">
        <f>(PA[[#This Row],[Work Completiuon time on fualt]]-PA[[#This Row],[Fault Time]])*24</f>
        <v>0</v>
      </c>
      <c r="Z273" s="35">
        <f>IFERROR((PA[[#This Row],[Work Completiuon time on fualt]]-PA[[#This Row],[Fault Time]])*24,"")</f>
        <v>0</v>
      </c>
      <c r="AC273" s="47" t="str">
        <f>IFERROR(PA[[#This Row],[Breakdown Time]]*PA[[#This Row],[Plant Equivalent Weightage]],"")</f>
        <v/>
      </c>
      <c r="AE273" s="33" t="str">
        <f>IFERROR((_xlfn.XLOOKUP(PA[[#This Row],[Month Year]],'Modelling New'!D:D,'Modelling New'!$O:$O)*PA[[#This Row],[Lost PoA(Wh/m2)]]*PA[[#This Row],[DC Capacity Affceted (kW)]])/1000,"")</f>
        <v/>
      </c>
      <c r="AF273" s="35"/>
    </row>
    <row r="274" spans="1:32">
      <c r="A274" s="2">
        <f t="shared" si="22"/>
        <v>271</v>
      </c>
      <c r="B274" s="156">
        <f t="shared" si="20"/>
        <v>1900</v>
      </c>
      <c r="C274" s="129">
        <f t="shared" si="21"/>
        <v>1900</v>
      </c>
      <c r="I274" s="29" t="str">
        <f>IFERROR(VLOOKUP(PA[[#This Row],[Date]],Raw_Data[[Date]:[Sunset Time (POA&lt;20 W/m2)]],3,0),"")</f>
        <v/>
      </c>
      <c r="J274" s="29" t="str">
        <f>IFERROR(VLOOKUP(PA[[#This Row],[Date]],Raw_Data[[Date]:[Sunset Time (POA&lt;20 W/m2)]],4,0),"")</f>
        <v/>
      </c>
      <c r="K274" s="27" t="str">
        <f>IFERROR((PA[[#This Row],[Sunset Time (POA&lt;20 W/m2)]]-PA[[#This Row],[Sunrise Time (POA&gt;20 W/m2)]])*24,"")</f>
        <v/>
      </c>
      <c r="M274" s="46" t="str">
        <f>IFERROR(VLOOKUP(PA[[#This Row],[Affceted Equipment]],'Basic Data'!$A$2:$B$114,2,0),"")</f>
        <v/>
      </c>
      <c r="N274" s="48" t="str">
        <f>IFERROR(VLOOKUP(PA[[#This Row],[Affceted Equipment]],'Basic Data'!$A$1:$C$118,3,0),"")</f>
        <v/>
      </c>
      <c r="W274" s="33">
        <f>IF(PA[[#This Row],[Acknowledgemnet Time ]]="NA","",(PA[[#This Row],[Acknowledgemnet Time ]]-PA[[#This Row],[Fault Time]])*24)</f>
        <v>0</v>
      </c>
      <c r="X274" s="33">
        <f>IF(PA[[#This Row],[Work Start time on Fault]]="NA","",(PA[[#This Row],[Work Start time on Fault]]-PA[[#This Row],[Fault Time]])*24)</f>
        <v>0</v>
      </c>
      <c r="Y274" s="35">
        <f>(PA[[#This Row],[Work Completiuon time on fualt]]-PA[[#This Row],[Fault Time]])*24</f>
        <v>0</v>
      </c>
      <c r="Z274" s="35">
        <f>IFERROR((PA[[#This Row],[Work Completiuon time on fualt]]-PA[[#This Row],[Fault Time]])*24,"")</f>
        <v>0</v>
      </c>
      <c r="AC274" s="47" t="str">
        <f>IFERROR(PA[[#This Row],[Breakdown Time]]*PA[[#This Row],[Plant Equivalent Weightage]],"")</f>
        <v/>
      </c>
      <c r="AE274" s="33" t="str">
        <f>IFERROR((_xlfn.XLOOKUP(PA[[#This Row],[Month Year]],'Modelling New'!D:D,'Modelling New'!$O:$O)*PA[[#This Row],[Lost PoA(Wh/m2)]]*PA[[#This Row],[DC Capacity Affceted (kW)]])/1000,"")</f>
        <v/>
      </c>
      <c r="AF274" s="35"/>
    </row>
    <row r="275" spans="1:32">
      <c r="A275" s="2">
        <f t="shared" si="22"/>
        <v>272</v>
      </c>
      <c r="B275" s="156">
        <f t="shared" si="20"/>
        <v>1900</v>
      </c>
      <c r="C275" s="129">
        <f t="shared" si="21"/>
        <v>1900</v>
      </c>
      <c r="I275" s="29" t="str">
        <f>IFERROR(VLOOKUP(PA[[#This Row],[Date]],Raw_Data[[Date]:[Sunset Time (POA&lt;20 W/m2)]],3,0),"")</f>
        <v/>
      </c>
      <c r="J275" s="29" t="str">
        <f>IFERROR(VLOOKUP(PA[[#This Row],[Date]],Raw_Data[[Date]:[Sunset Time (POA&lt;20 W/m2)]],4,0),"")</f>
        <v/>
      </c>
      <c r="K275" s="27" t="str">
        <f>IFERROR((PA[[#This Row],[Sunset Time (POA&lt;20 W/m2)]]-PA[[#This Row],[Sunrise Time (POA&gt;20 W/m2)]])*24,"")</f>
        <v/>
      </c>
      <c r="M275" s="46" t="str">
        <f>IFERROR(VLOOKUP(PA[[#This Row],[Affceted Equipment]],'Basic Data'!$A$2:$B$114,2,0),"")</f>
        <v/>
      </c>
      <c r="N275" s="48" t="str">
        <f>IFERROR(VLOOKUP(PA[[#This Row],[Affceted Equipment]],'Basic Data'!$A$1:$C$118,3,0),"")</f>
        <v/>
      </c>
      <c r="W275" s="33">
        <f>IF(PA[[#This Row],[Acknowledgemnet Time ]]="NA","",(PA[[#This Row],[Acknowledgemnet Time ]]-PA[[#This Row],[Fault Time]])*24)</f>
        <v>0</v>
      </c>
      <c r="X275" s="33">
        <f>IF(PA[[#This Row],[Work Start time on Fault]]="NA","",(PA[[#This Row],[Work Start time on Fault]]-PA[[#This Row],[Fault Time]])*24)</f>
        <v>0</v>
      </c>
      <c r="Y275" s="35">
        <f>(PA[[#This Row],[Work Completiuon time on fualt]]-PA[[#This Row],[Fault Time]])*24</f>
        <v>0</v>
      </c>
      <c r="Z275" s="35">
        <f>IFERROR((PA[[#This Row],[Work Completiuon time on fualt]]-PA[[#This Row],[Fault Time]])*24,"")</f>
        <v>0</v>
      </c>
      <c r="AC275" s="47" t="str">
        <f>IFERROR(PA[[#This Row],[Breakdown Time]]*PA[[#This Row],[Plant Equivalent Weightage]],"")</f>
        <v/>
      </c>
      <c r="AE275" s="33" t="str">
        <f>IFERROR((_xlfn.XLOOKUP(PA[[#This Row],[Month Year]],'Modelling New'!D:D,'Modelling New'!$O:$O)*PA[[#This Row],[Lost PoA(Wh/m2)]]*PA[[#This Row],[DC Capacity Affceted (kW)]])/1000,"")</f>
        <v/>
      </c>
      <c r="AF275" s="35"/>
    </row>
    <row r="276" spans="1:32">
      <c r="A276" s="2">
        <f t="shared" si="22"/>
        <v>273</v>
      </c>
      <c r="B276" s="156">
        <f t="shared" si="20"/>
        <v>1900</v>
      </c>
      <c r="C276" s="129">
        <f t="shared" si="21"/>
        <v>1900</v>
      </c>
      <c r="I276" s="29" t="str">
        <f>IFERROR(VLOOKUP(PA[[#This Row],[Date]],Raw_Data[[Date]:[Sunset Time (POA&lt;20 W/m2)]],3,0),"")</f>
        <v/>
      </c>
      <c r="J276" s="29" t="str">
        <f>IFERROR(VLOOKUP(PA[[#This Row],[Date]],Raw_Data[[Date]:[Sunset Time (POA&lt;20 W/m2)]],4,0),"")</f>
        <v/>
      </c>
      <c r="K276" s="27" t="str">
        <f>IFERROR((PA[[#This Row],[Sunset Time (POA&lt;20 W/m2)]]-PA[[#This Row],[Sunrise Time (POA&gt;20 W/m2)]])*24,"")</f>
        <v/>
      </c>
      <c r="M276" s="46" t="str">
        <f>IFERROR(VLOOKUP(PA[[#This Row],[Affceted Equipment]],'Basic Data'!$A$2:$B$114,2,0),"")</f>
        <v/>
      </c>
      <c r="N276" s="48" t="str">
        <f>IFERROR(VLOOKUP(PA[[#This Row],[Affceted Equipment]],'Basic Data'!$A$1:$C$118,3,0),"")</f>
        <v/>
      </c>
      <c r="W276" s="33">
        <f>IF(PA[[#This Row],[Acknowledgemnet Time ]]="NA","",(PA[[#This Row],[Acknowledgemnet Time ]]-PA[[#This Row],[Fault Time]])*24)</f>
        <v>0</v>
      </c>
      <c r="X276" s="33">
        <f>IF(PA[[#This Row],[Work Start time on Fault]]="NA","",(PA[[#This Row],[Work Start time on Fault]]-PA[[#This Row],[Fault Time]])*24)</f>
        <v>0</v>
      </c>
      <c r="Y276" s="35">
        <f>(PA[[#This Row],[Work Completiuon time on fualt]]-PA[[#This Row],[Fault Time]])*24</f>
        <v>0</v>
      </c>
      <c r="Z276" s="35">
        <f>IFERROR((PA[[#This Row],[Work Completiuon time on fualt]]-PA[[#This Row],[Fault Time]])*24,"")</f>
        <v>0</v>
      </c>
      <c r="AC276" s="47" t="str">
        <f>IFERROR(PA[[#This Row],[Breakdown Time]]*PA[[#This Row],[Plant Equivalent Weightage]],"")</f>
        <v/>
      </c>
      <c r="AE276" s="33" t="str">
        <f>IFERROR((_xlfn.XLOOKUP(PA[[#This Row],[Month Year]],'Modelling New'!D:D,'Modelling New'!$O:$O)*PA[[#This Row],[Lost PoA(Wh/m2)]]*PA[[#This Row],[DC Capacity Affceted (kW)]])/1000,"")</f>
        <v/>
      </c>
      <c r="AF276" s="35"/>
    </row>
    <row r="277" spans="1:32">
      <c r="A277" s="2">
        <f t="shared" si="22"/>
        <v>274</v>
      </c>
      <c r="B277" s="156">
        <f t="shared" si="20"/>
        <v>1900</v>
      </c>
      <c r="C277" s="129">
        <f t="shared" si="21"/>
        <v>1900</v>
      </c>
      <c r="I277" s="29" t="str">
        <f>IFERROR(VLOOKUP(PA[[#This Row],[Date]],Raw_Data[[Date]:[Sunset Time (POA&lt;20 W/m2)]],3,0),"")</f>
        <v/>
      </c>
      <c r="J277" s="29" t="str">
        <f>IFERROR(VLOOKUP(PA[[#This Row],[Date]],Raw_Data[[Date]:[Sunset Time (POA&lt;20 W/m2)]],4,0),"")</f>
        <v/>
      </c>
      <c r="K277" s="27" t="str">
        <f>IFERROR((PA[[#This Row],[Sunset Time (POA&lt;20 W/m2)]]-PA[[#This Row],[Sunrise Time (POA&gt;20 W/m2)]])*24,"")</f>
        <v/>
      </c>
      <c r="M277" s="46" t="str">
        <f>IFERROR(VLOOKUP(PA[[#This Row],[Affceted Equipment]],'Basic Data'!$A$2:$B$114,2,0),"")</f>
        <v/>
      </c>
      <c r="N277" s="48" t="str">
        <f>IFERROR(VLOOKUP(PA[[#This Row],[Affceted Equipment]],'Basic Data'!$A$1:$C$118,3,0),"")</f>
        <v/>
      </c>
      <c r="W277" s="33">
        <f>IF(PA[[#This Row],[Acknowledgemnet Time ]]="NA","",(PA[[#This Row],[Acknowledgemnet Time ]]-PA[[#This Row],[Fault Time]])*24)</f>
        <v>0</v>
      </c>
      <c r="X277" s="33">
        <f>IF(PA[[#This Row],[Work Start time on Fault]]="NA","",(PA[[#This Row],[Work Start time on Fault]]-PA[[#This Row],[Fault Time]])*24)</f>
        <v>0</v>
      </c>
      <c r="Y277" s="35">
        <f>(PA[[#This Row],[Work Completiuon time on fualt]]-PA[[#This Row],[Fault Time]])*24</f>
        <v>0</v>
      </c>
      <c r="Z277" s="35">
        <f>IFERROR((PA[[#This Row],[Work Completiuon time on fualt]]-PA[[#This Row],[Fault Time]])*24,"")</f>
        <v>0</v>
      </c>
      <c r="AC277" s="47" t="str">
        <f>IFERROR(PA[[#This Row],[Breakdown Time]]*PA[[#This Row],[Plant Equivalent Weightage]],"")</f>
        <v/>
      </c>
      <c r="AE277" s="33" t="str">
        <f>IFERROR((_xlfn.XLOOKUP(PA[[#This Row],[Month Year]],'Modelling New'!D:D,'Modelling New'!$O:$O)*PA[[#This Row],[Lost PoA(Wh/m2)]]*PA[[#This Row],[DC Capacity Affceted (kW)]])/1000,"")</f>
        <v/>
      </c>
      <c r="AF277" s="35"/>
    </row>
    <row r="278" spans="1:32">
      <c r="A278" s="2">
        <f t="shared" si="22"/>
        <v>275</v>
      </c>
      <c r="B278" s="156">
        <f t="shared" si="20"/>
        <v>1900</v>
      </c>
      <c r="C278" s="129">
        <f t="shared" si="21"/>
        <v>1900</v>
      </c>
      <c r="I278" s="29" t="str">
        <f>IFERROR(VLOOKUP(PA[[#This Row],[Date]],Raw_Data[[Date]:[Sunset Time (POA&lt;20 W/m2)]],3,0),"")</f>
        <v/>
      </c>
      <c r="J278" s="29" t="str">
        <f>IFERROR(VLOOKUP(PA[[#This Row],[Date]],Raw_Data[[Date]:[Sunset Time (POA&lt;20 W/m2)]],4,0),"")</f>
        <v/>
      </c>
      <c r="K278" s="27" t="str">
        <f>IFERROR((PA[[#This Row],[Sunset Time (POA&lt;20 W/m2)]]-PA[[#This Row],[Sunrise Time (POA&gt;20 W/m2)]])*24,"")</f>
        <v/>
      </c>
      <c r="M278" s="46" t="str">
        <f>IFERROR(VLOOKUP(PA[[#This Row],[Affceted Equipment]],'Basic Data'!$A$2:$B$114,2,0),"")</f>
        <v/>
      </c>
      <c r="N278" s="48" t="str">
        <f>IFERROR(VLOOKUP(PA[[#This Row],[Affceted Equipment]],'Basic Data'!$A$1:$C$118,3,0),"")</f>
        <v/>
      </c>
      <c r="W278" s="33">
        <f>IF(PA[[#This Row],[Acknowledgemnet Time ]]="NA","",(PA[[#This Row],[Acknowledgemnet Time ]]-PA[[#This Row],[Fault Time]])*24)</f>
        <v>0</v>
      </c>
      <c r="X278" s="33">
        <f>IF(PA[[#This Row],[Work Start time on Fault]]="NA","",(PA[[#This Row],[Work Start time on Fault]]-PA[[#This Row],[Fault Time]])*24)</f>
        <v>0</v>
      </c>
      <c r="Y278" s="35">
        <f>(PA[[#This Row],[Work Completiuon time on fualt]]-PA[[#This Row],[Fault Time]])*24</f>
        <v>0</v>
      </c>
      <c r="Z278" s="35">
        <f>IFERROR((PA[[#This Row],[Work Completiuon time on fualt]]-PA[[#This Row],[Fault Time]])*24,"")</f>
        <v>0</v>
      </c>
      <c r="AC278" s="47" t="str">
        <f>IFERROR(PA[[#This Row],[Breakdown Time]]*PA[[#This Row],[Plant Equivalent Weightage]],"")</f>
        <v/>
      </c>
      <c r="AE278" s="33" t="str">
        <f>IFERROR((_xlfn.XLOOKUP(PA[[#This Row],[Month Year]],'Modelling New'!D:D,'Modelling New'!$O:$O)*PA[[#This Row],[Lost PoA(Wh/m2)]]*PA[[#This Row],[DC Capacity Affceted (kW)]])/1000,"")</f>
        <v/>
      </c>
      <c r="AF278" s="35"/>
    </row>
    <row r="279" spans="1:32">
      <c r="A279" s="2">
        <f t="shared" si="22"/>
        <v>276</v>
      </c>
      <c r="B279" s="156">
        <f t="shared" si="20"/>
        <v>1900</v>
      </c>
      <c r="C279" s="129">
        <f t="shared" si="21"/>
        <v>1900</v>
      </c>
      <c r="I279" s="29" t="str">
        <f>IFERROR(VLOOKUP(PA[[#This Row],[Date]],Raw_Data[[Date]:[Sunset Time (POA&lt;20 W/m2)]],3,0),"")</f>
        <v/>
      </c>
      <c r="J279" s="29" t="str">
        <f>IFERROR(VLOOKUP(PA[[#This Row],[Date]],Raw_Data[[Date]:[Sunset Time (POA&lt;20 W/m2)]],4,0),"")</f>
        <v/>
      </c>
      <c r="K279" s="27" t="str">
        <f>IFERROR((PA[[#This Row],[Sunset Time (POA&lt;20 W/m2)]]-PA[[#This Row],[Sunrise Time (POA&gt;20 W/m2)]])*24,"")</f>
        <v/>
      </c>
      <c r="M279" s="46" t="str">
        <f>IFERROR(VLOOKUP(PA[[#This Row],[Affceted Equipment]],'Basic Data'!$A$2:$B$114,2,0),"")</f>
        <v/>
      </c>
      <c r="N279" s="48" t="str">
        <f>IFERROR(VLOOKUP(PA[[#This Row],[Affceted Equipment]],'Basic Data'!$A$1:$C$118,3,0),"")</f>
        <v/>
      </c>
      <c r="W279" s="33">
        <f>IF(PA[[#This Row],[Acknowledgemnet Time ]]="NA","",(PA[[#This Row],[Acknowledgemnet Time ]]-PA[[#This Row],[Fault Time]])*24)</f>
        <v>0</v>
      </c>
      <c r="X279" s="33">
        <f>IF(PA[[#This Row],[Work Start time on Fault]]="NA","",(PA[[#This Row],[Work Start time on Fault]]-PA[[#This Row],[Fault Time]])*24)</f>
        <v>0</v>
      </c>
      <c r="Y279" s="35">
        <f>(PA[[#This Row],[Work Completiuon time on fualt]]-PA[[#This Row],[Fault Time]])*24</f>
        <v>0</v>
      </c>
      <c r="Z279" s="35">
        <f>IFERROR((PA[[#This Row],[Work Completiuon time on fualt]]-PA[[#This Row],[Fault Time]])*24,"")</f>
        <v>0</v>
      </c>
      <c r="AC279" s="47" t="str">
        <f>IFERROR(PA[[#This Row],[Breakdown Time]]*PA[[#This Row],[Plant Equivalent Weightage]],"")</f>
        <v/>
      </c>
      <c r="AE279" s="33" t="str">
        <f>IFERROR((_xlfn.XLOOKUP(PA[[#This Row],[Month Year]],'Modelling New'!D:D,'Modelling New'!$O:$O)*PA[[#This Row],[Lost PoA(Wh/m2)]]*PA[[#This Row],[DC Capacity Affceted (kW)]])/1000,"")</f>
        <v/>
      </c>
      <c r="AF279" s="35"/>
    </row>
    <row r="280" spans="1:32">
      <c r="A280" s="2">
        <f t="shared" si="22"/>
        <v>277</v>
      </c>
      <c r="B280" s="156">
        <f t="shared" si="20"/>
        <v>1900</v>
      </c>
      <c r="C280" s="129">
        <f t="shared" si="21"/>
        <v>1900</v>
      </c>
      <c r="I280" s="29" t="str">
        <f>IFERROR(VLOOKUP(PA[[#This Row],[Date]],Raw_Data[[Date]:[Sunset Time (POA&lt;20 W/m2)]],3,0),"")</f>
        <v/>
      </c>
      <c r="J280" s="29" t="str">
        <f>IFERROR(VLOOKUP(PA[[#This Row],[Date]],Raw_Data[[Date]:[Sunset Time (POA&lt;20 W/m2)]],4,0),"")</f>
        <v/>
      </c>
      <c r="K280" s="27" t="str">
        <f>IFERROR((PA[[#This Row],[Sunset Time (POA&lt;20 W/m2)]]-PA[[#This Row],[Sunrise Time (POA&gt;20 W/m2)]])*24,"")</f>
        <v/>
      </c>
      <c r="M280" s="46" t="str">
        <f>IFERROR(VLOOKUP(PA[[#This Row],[Affceted Equipment]],'Basic Data'!$A$2:$B$114,2,0),"")</f>
        <v/>
      </c>
      <c r="N280" s="48" t="str">
        <f>IFERROR(VLOOKUP(PA[[#This Row],[Affceted Equipment]],'Basic Data'!$A$1:$C$118,3,0),"")</f>
        <v/>
      </c>
      <c r="W280" s="33">
        <f>IF(PA[[#This Row],[Acknowledgemnet Time ]]="NA","",(PA[[#This Row],[Acknowledgemnet Time ]]-PA[[#This Row],[Fault Time]])*24)</f>
        <v>0</v>
      </c>
      <c r="X280" s="33">
        <f>IF(PA[[#This Row],[Work Start time on Fault]]="NA","",(PA[[#This Row],[Work Start time on Fault]]-PA[[#This Row],[Fault Time]])*24)</f>
        <v>0</v>
      </c>
      <c r="Y280" s="35">
        <f>(PA[[#This Row],[Work Completiuon time on fualt]]-PA[[#This Row],[Fault Time]])*24</f>
        <v>0</v>
      </c>
      <c r="Z280" s="35">
        <f>IFERROR((PA[[#This Row],[Work Completiuon time on fualt]]-PA[[#This Row],[Fault Time]])*24,"")</f>
        <v>0</v>
      </c>
      <c r="AC280" s="47" t="str">
        <f>IFERROR(PA[[#This Row],[Breakdown Time]]*PA[[#This Row],[Plant Equivalent Weightage]],"")</f>
        <v/>
      </c>
      <c r="AE280" s="33" t="str">
        <f>IFERROR((_xlfn.XLOOKUP(PA[[#This Row],[Month Year]],'Modelling New'!D:D,'Modelling New'!$O:$O)*PA[[#This Row],[Lost PoA(Wh/m2)]]*PA[[#This Row],[DC Capacity Affceted (kW)]])/1000,"")</f>
        <v/>
      </c>
      <c r="AF280" s="35"/>
    </row>
    <row r="281" spans="1:32">
      <c r="A281" s="2">
        <f t="shared" si="22"/>
        <v>278</v>
      </c>
      <c r="B281" s="156">
        <f t="shared" si="20"/>
        <v>1900</v>
      </c>
      <c r="C281" s="129">
        <f t="shared" si="21"/>
        <v>1900</v>
      </c>
      <c r="I281" s="29" t="str">
        <f>IFERROR(VLOOKUP(PA[[#This Row],[Date]],Raw_Data[[Date]:[Sunset Time (POA&lt;20 W/m2)]],3,0),"")</f>
        <v/>
      </c>
      <c r="J281" s="29" t="str">
        <f>IFERROR(VLOOKUP(PA[[#This Row],[Date]],Raw_Data[[Date]:[Sunset Time (POA&lt;20 W/m2)]],4,0),"")</f>
        <v/>
      </c>
      <c r="K281" s="27" t="str">
        <f>IFERROR((PA[[#This Row],[Sunset Time (POA&lt;20 W/m2)]]-PA[[#This Row],[Sunrise Time (POA&gt;20 W/m2)]])*24,"")</f>
        <v/>
      </c>
      <c r="M281" s="46" t="str">
        <f>IFERROR(VLOOKUP(PA[[#This Row],[Affceted Equipment]],'Basic Data'!$A$2:$B$114,2,0),"")</f>
        <v/>
      </c>
      <c r="N281" s="48" t="str">
        <f>IFERROR(VLOOKUP(PA[[#This Row],[Affceted Equipment]],'Basic Data'!$A$1:$C$118,3,0),"")</f>
        <v/>
      </c>
      <c r="W281" s="33">
        <f>IF(PA[[#This Row],[Acknowledgemnet Time ]]="NA","",(PA[[#This Row],[Acknowledgemnet Time ]]-PA[[#This Row],[Fault Time]])*24)</f>
        <v>0</v>
      </c>
      <c r="X281" s="33">
        <f>IF(PA[[#This Row],[Work Start time on Fault]]="NA","",(PA[[#This Row],[Work Start time on Fault]]-PA[[#This Row],[Fault Time]])*24)</f>
        <v>0</v>
      </c>
      <c r="Y281" s="35">
        <f>(PA[[#This Row],[Work Completiuon time on fualt]]-PA[[#This Row],[Fault Time]])*24</f>
        <v>0</v>
      </c>
      <c r="Z281" s="35">
        <f>IFERROR((PA[[#This Row],[Work Completiuon time on fualt]]-PA[[#This Row],[Fault Time]])*24,"")</f>
        <v>0</v>
      </c>
      <c r="AC281" s="47" t="str">
        <f>IFERROR(PA[[#This Row],[Breakdown Time]]*PA[[#This Row],[Plant Equivalent Weightage]],"")</f>
        <v/>
      </c>
      <c r="AE281" s="33" t="str">
        <f>IFERROR((_xlfn.XLOOKUP(PA[[#This Row],[Month Year]],'Modelling New'!D:D,'Modelling New'!$O:$O)*PA[[#This Row],[Lost PoA(Wh/m2)]]*PA[[#This Row],[DC Capacity Affceted (kW)]])/1000,"")</f>
        <v/>
      </c>
      <c r="AF281" s="35"/>
    </row>
    <row r="282" spans="1:32">
      <c r="A282" s="2">
        <f t="shared" si="22"/>
        <v>279</v>
      </c>
      <c r="B282" s="156">
        <f t="shared" si="20"/>
        <v>1900</v>
      </c>
      <c r="C282" s="129">
        <f t="shared" si="21"/>
        <v>1900</v>
      </c>
      <c r="I282" s="29" t="str">
        <f>IFERROR(VLOOKUP(PA[[#This Row],[Date]],Raw_Data[[Date]:[Sunset Time (POA&lt;20 W/m2)]],3,0),"")</f>
        <v/>
      </c>
      <c r="J282" s="29" t="str">
        <f>IFERROR(VLOOKUP(PA[[#This Row],[Date]],Raw_Data[[Date]:[Sunset Time (POA&lt;20 W/m2)]],4,0),"")</f>
        <v/>
      </c>
      <c r="K282" s="27" t="str">
        <f>IFERROR((PA[[#This Row],[Sunset Time (POA&lt;20 W/m2)]]-PA[[#This Row],[Sunrise Time (POA&gt;20 W/m2)]])*24,"")</f>
        <v/>
      </c>
      <c r="M282" s="46" t="str">
        <f>IFERROR(VLOOKUP(PA[[#This Row],[Affceted Equipment]],'Basic Data'!$A$2:$B$114,2,0),"")</f>
        <v/>
      </c>
      <c r="N282" s="48" t="str">
        <f>IFERROR(VLOOKUP(PA[[#This Row],[Affceted Equipment]],'Basic Data'!$A$1:$C$118,3,0),"")</f>
        <v/>
      </c>
      <c r="W282" s="33">
        <f>IF(PA[[#This Row],[Acknowledgemnet Time ]]="NA","",(PA[[#This Row],[Acknowledgemnet Time ]]-PA[[#This Row],[Fault Time]])*24)</f>
        <v>0</v>
      </c>
      <c r="X282" s="33">
        <f>IF(PA[[#This Row],[Work Start time on Fault]]="NA","",(PA[[#This Row],[Work Start time on Fault]]-PA[[#This Row],[Fault Time]])*24)</f>
        <v>0</v>
      </c>
      <c r="Y282" s="35">
        <f>(PA[[#This Row],[Work Completiuon time on fualt]]-PA[[#This Row],[Fault Time]])*24</f>
        <v>0</v>
      </c>
      <c r="Z282" s="35">
        <f>IFERROR((PA[[#This Row],[Work Completiuon time on fualt]]-PA[[#This Row],[Fault Time]])*24,"")</f>
        <v>0</v>
      </c>
      <c r="AC282" s="47" t="str">
        <f>IFERROR(PA[[#This Row],[Breakdown Time]]*PA[[#This Row],[Plant Equivalent Weightage]],"")</f>
        <v/>
      </c>
      <c r="AE282" s="33" t="str">
        <f>IFERROR((_xlfn.XLOOKUP(PA[[#This Row],[Month Year]],'Modelling New'!D:D,'Modelling New'!$O:$O)*PA[[#This Row],[Lost PoA(Wh/m2)]]*PA[[#This Row],[DC Capacity Affceted (kW)]])/1000,"")</f>
        <v/>
      </c>
      <c r="AF282" s="35"/>
    </row>
    <row r="283" spans="1:32">
      <c r="A283" s="2">
        <f t="shared" si="22"/>
        <v>280</v>
      </c>
      <c r="B283" s="156">
        <f t="shared" si="20"/>
        <v>1900</v>
      </c>
      <c r="C283" s="129">
        <f t="shared" si="21"/>
        <v>1900</v>
      </c>
      <c r="I283" s="29" t="str">
        <f>IFERROR(VLOOKUP(PA[[#This Row],[Date]],Raw_Data[[Date]:[Sunset Time (POA&lt;20 W/m2)]],3,0),"")</f>
        <v/>
      </c>
      <c r="J283" s="29" t="str">
        <f>IFERROR(VLOOKUP(PA[[#This Row],[Date]],Raw_Data[[Date]:[Sunset Time (POA&lt;20 W/m2)]],4,0),"")</f>
        <v/>
      </c>
      <c r="K283" s="27" t="str">
        <f>IFERROR((PA[[#This Row],[Sunset Time (POA&lt;20 W/m2)]]-PA[[#This Row],[Sunrise Time (POA&gt;20 W/m2)]])*24,"")</f>
        <v/>
      </c>
      <c r="M283" s="46" t="str">
        <f>IFERROR(VLOOKUP(PA[[#This Row],[Affceted Equipment]],'Basic Data'!$A$2:$B$114,2,0),"")</f>
        <v/>
      </c>
      <c r="N283" s="48" t="str">
        <f>IFERROR(VLOOKUP(PA[[#This Row],[Affceted Equipment]],'Basic Data'!$A$1:$C$118,3,0),"")</f>
        <v/>
      </c>
      <c r="W283" s="33">
        <f>IF(PA[[#This Row],[Acknowledgemnet Time ]]="NA","",(PA[[#This Row],[Acknowledgemnet Time ]]-PA[[#This Row],[Fault Time]])*24)</f>
        <v>0</v>
      </c>
      <c r="X283" s="33">
        <f>IF(PA[[#This Row],[Work Start time on Fault]]="NA","",(PA[[#This Row],[Work Start time on Fault]]-PA[[#This Row],[Fault Time]])*24)</f>
        <v>0</v>
      </c>
      <c r="Y283" s="35">
        <f>(PA[[#This Row],[Work Completiuon time on fualt]]-PA[[#This Row],[Fault Time]])*24</f>
        <v>0</v>
      </c>
      <c r="Z283" s="35">
        <f>IFERROR((PA[[#This Row],[Work Completiuon time on fualt]]-PA[[#This Row],[Fault Time]])*24,"")</f>
        <v>0</v>
      </c>
      <c r="AC283" s="47" t="str">
        <f>IFERROR(PA[[#This Row],[Breakdown Time]]*PA[[#This Row],[Plant Equivalent Weightage]],"")</f>
        <v/>
      </c>
      <c r="AE283" s="33" t="str">
        <f>IFERROR((_xlfn.XLOOKUP(PA[[#This Row],[Month Year]],'Modelling New'!D:D,'Modelling New'!$O:$O)*PA[[#This Row],[Lost PoA(Wh/m2)]]*PA[[#This Row],[DC Capacity Affceted (kW)]])/1000,"")</f>
        <v/>
      </c>
      <c r="AF283" s="35"/>
    </row>
    <row r="284" spans="1:32">
      <c r="A284" s="2">
        <f t="shared" si="22"/>
        <v>281</v>
      </c>
      <c r="B284" s="156">
        <f t="shared" si="20"/>
        <v>1900</v>
      </c>
      <c r="C284" s="129">
        <f t="shared" si="21"/>
        <v>1900</v>
      </c>
      <c r="I284" s="29" t="str">
        <f>IFERROR(VLOOKUP(PA[[#This Row],[Date]],Raw_Data[[Date]:[Sunset Time (POA&lt;20 W/m2)]],3,0),"")</f>
        <v/>
      </c>
      <c r="J284" s="29" t="str">
        <f>IFERROR(VLOOKUP(PA[[#This Row],[Date]],Raw_Data[[Date]:[Sunset Time (POA&lt;20 W/m2)]],4,0),"")</f>
        <v/>
      </c>
      <c r="K284" s="27" t="str">
        <f>IFERROR((PA[[#This Row],[Sunset Time (POA&lt;20 W/m2)]]-PA[[#This Row],[Sunrise Time (POA&gt;20 W/m2)]])*24,"")</f>
        <v/>
      </c>
      <c r="M284" s="46" t="str">
        <f>IFERROR(VLOOKUP(PA[[#This Row],[Affceted Equipment]],'Basic Data'!$A$2:$B$114,2,0),"")</f>
        <v/>
      </c>
      <c r="N284" s="48" t="str">
        <f>IFERROR(VLOOKUP(PA[[#This Row],[Affceted Equipment]],'Basic Data'!$A$1:$C$118,3,0),"")</f>
        <v/>
      </c>
      <c r="W284" s="33">
        <f>IF(PA[[#This Row],[Acknowledgemnet Time ]]="NA","",(PA[[#This Row],[Acknowledgemnet Time ]]-PA[[#This Row],[Fault Time]])*24)</f>
        <v>0</v>
      </c>
      <c r="X284" s="33">
        <f>IF(PA[[#This Row],[Work Start time on Fault]]="NA","",(PA[[#This Row],[Work Start time on Fault]]-PA[[#This Row],[Fault Time]])*24)</f>
        <v>0</v>
      </c>
      <c r="Y284" s="35">
        <f>(PA[[#This Row],[Work Completiuon time on fualt]]-PA[[#This Row],[Fault Time]])*24</f>
        <v>0</v>
      </c>
      <c r="Z284" s="35">
        <f>IFERROR((PA[[#This Row],[Work Completiuon time on fualt]]-PA[[#This Row],[Fault Time]])*24,"")</f>
        <v>0</v>
      </c>
      <c r="AC284" s="47" t="str">
        <f>IFERROR(PA[[#This Row],[Breakdown Time]]*PA[[#This Row],[Plant Equivalent Weightage]],"")</f>
        <v/>
      </c>
      <c r="AE284" s="33" t="str">
        <f>IFERROR((_xlfn.XLOOKUP(PA[[#This Row],[Month Year]],'Modelling New'!D:D,'Modelling New'!$O:$O)*PA[[#This Row],[Lost PoA(Wh/m2)]]*PA[[#This Row],[DC Capacity Affceted (kW)]])/1000,"")</f>
        <v/>
      </c>
      <c r="AF284" s="35"/>
    </row>
    <row r="285" spans="1:32">
      <c r="A285" s="2">
        <f t="shared" si="22"/>
        <v>282</v>
      </c>
      <c r="B285" s="156">
        <f t="shared" si="20"/>
        <v>1900</v>
      </c>
      <c r="C285" s="129">
        <f t="shared" si="21"/>
        <v>1900</v>
      </c>
      <c r="I285" s="29" t="str">
        <f>IFERROR(VLOOKUP(PA[[#This Row],[Date]],Raw_Data[[Date]:[Sunset Time (POA&lt;20 W/m2)]],3,0),"")</f>
        <v/>
      </c>
      <c r="J285" s="29" t="str">
        <f>IFERROR(VLOOKUP(PA[[#This Row],[Date]],Raw_Data[[Date]:[Sunset Time (POA&lt;20 W/m2)]],4,0),"")</f>
        <v/>
      </c>
      <c r="K285" s="27" t="str">
        <f>IFERROR((PA[[#This Row],[Sunset Time (POA&lt;20 W/m2)]]-PA[[#This Row],[Sunrise Time (POA&gt;20 W/m2)]])*24,"")</f>
        <v/>
      </c>
      <c r="M285" s="46" t="str">
        <f>IFERROR(VLOOKUP(PA[[#This Row],[Affceted Equipment]],'Basic Data'!$A$2:$B$114,2,0),"")</f>
        <v/>
      </c>
      <c r="N285" s="48" t="str">
        <f>IFERROR(VLOOKUP(PA[[#This Row],[Affceted Equipment]],'Basic Data'!$A$1:$C$118,3,0),"")</f>
        <v/>
      </c>
      <c r="W285" s="33">
        <f>IF(PA[[#This Row],[Acknowledgemnet Time ]]="NA","",(PA[[#This Row],[Acknowledgemnet Time ]]-PA[[#This Row],[Fault Time]])*24)</f>
        <v>0</v>
      </c>
      <c r="X285" s="33">
        <f>IF(PA[[#This Row],[Work Start time on Fault]]="NA","",(PA[[#This Row],[Work Start time on Fault]]-PA[[#This Row],[Fault Time]])*24)</f>
        <v>0</v>
      </c>
      <c r="Y285" s="35">
        <f>(PA[[#This Row],[Work Completiuon time on fualt]]-PA[[#This Row],[Fault Time]])*24</f>
        <v>0</v>
      </c>
      <c r="Z285" s="35">
        <f>IFERROR((PA[[#This Row],[Work Completiuon time on fualt]]-PA[[#This Row],[Fault Time]])*24,"")</f>
        <v>0</v>
      </c>
      <c r="AC285" s="47" t="str">
        <f>IFERROR(PA[[#This Row],[Breakdown Time]]*PA[[#This Row],[Plant Equivalent Weightage]],"")</f>
        <v/>
      </c>
      <c r="AE285" s="33" t="str">
        <f>IFERROR((_xlfn.XLOOKUP(PA[[#This Row],[Month Year]],'Modelling New'!D:D,'Modelling New'!$O:$O)*PA[[#This Row],[Lost PoA(Wh/m2)]]*PA[[#This Row],[DC Capacity Affceted (kW)]])/1000,"")</f>
        <v/>
      </c>
      <c r="AF285" s="35"/>
    </row>
    <row r="286" spans="1:32">
      <c r="A286" s="2">
        <f t="shared" si="22"/>
        <v>283</v>
      </c>
      <c r="B286" s="156">
        <f t="shared" si="20"/>
        <v>1900</v>
      </c>
      <c r="C286" s="129">
        <f t="shared" si="21"/>
        <v>1900</v>
      </c>
      <c r="I286" s="29" t="str">
        <f>IFERROR(VLOOKUP(PA[[#This Row],[Date]],Raw_Data[[Date]:[Sunset Time (POA&lt;20 W/m2)]],3,0),"")</f>
        <v/>
      </c>
      <c r="J286" s="29" t="str">
        <f>IFERROR(VLOOKUP(PA[[#This Row],[Date]],Raw_Data[[Date]:[Sunset Time (POA&lt;20 W/m2)]],4,0),"")</f>
        <v/>
      </c>
      <c r="K286" s="27" t="str">
        <f>IFERROR((PA[[#This Row],[Sunset Time (POA&lt;20 W/m2)]]-PA[[#This Row],[Sunrise Time (POA&gt;20 W/m2)]])*24,"")</f>
        <v/>
      </c>
      <c r="M286" s="46" t="str">
        <f>IFERROR(VLOOKUP(PA[[#This Row],[Affceted Equipment]],'Basic Data'!$A$2:$B$114,2,0),"")</f>
        <v/>
      </c>
      <c r="N286" s="48" t="str">
        <f>IFERROR(VLOOKUP(PA[[#This Row],[Affceted Equipment]],'Basic Data'!$A$1:$C$118,3,0),"")</f>
        <v/>
      </c>
      <c r="W286" s="33">
        <f>IF(PA[[#This Row],[Acknowledgemnet Time ]]="NA","",(PA[[#This Row],[Acknowledgemnet Time ]]-PA[[#This Row],[Fault Time]])*24)</f>
        <v>0</v>
      </c>
      <c r="X286" s="33">
        <f>IF(PA[[#This Row],[Work Start time on Fault]]="NA","",(PA[[#This Row],[Work Start time on Fault]]-PA[[#This Row],[Fault Time]])*24)</f>
        <v>0</v>
      </c>
      <c r="Y286" s="35">
        <f>(PA[[#This Row],[Work Completiuon time on fualt]]-PA[[#This Row],[Fault Time]])*24</f>
        <v>0</v>
      </c>
      <c r="Z286" s="35">
        <f>IFERROR((PA[[#This Row],[Work Completiuon time on fualt]]-PA[[#This Row],[Fault Time]])*24,"")</f>
        <v>0</v>
      </c>
      <c r="AC286" s="47" t="str">
        <f>IFERROR(PA[[#This Row],[Breakdown Time]]*PA[[#This Row],[Plant Equivalent Weightage]],"")</f>
        <v/>
      </c>
      <c r="AE286" s="33" t="str">
        <f>IFERROR((_xlfn.XLOOKUP(PA[[#This Row],[Month Year]],'Modelling New'!D:D,'Modelling New'!$O:$O)*PA[[#This Row],[Lost PoA(Wh/m2)]]*PA[[#This Row],[DC Capacity Affceted (kW)]])/1000,"")</f>
        <v/>
      </c>
      <c r="AF286" s="35"/>
    </row>
    <row r="287" spans="1:32">
      <c r="A287" s="2">
        <f t="shared" si="22"/>
        <v>284</v>
      </c>
      <c r="B287" s="156">
        <f t="shared" si="20"/>
        <v>1900</v>
      </c>
      <c r="C287" s="129">
        <f t="shared" si="21"/>
        <v>1900</v>
      </c>
      <c r="I287" s="29" t="str">
        <f>IFERROR(VLOOKUP(PA[[#This Row],[Date]],Raw_Data[[Date]:[Sunset Time (POA&lt;20 W/m2)]],3,0),"")</f>
        <v/>
      </c>
      <c r="J287" s="29" t="str">
        <f>IFERROR(VLOOKUP(PA[[#This Row],[Date]],Raw_Data[[Date]:[Sunset Time (POA&lt;20 W/m2)]],4,0),"")</f>
        <v/>
      </c>
      <c r="K287" s="27" t="str">
        <f>IFERROR((PA[[#This Row],[Sunset Time (POA&lt;20 W/m2)]]-PA[[#This Row],[Sunrise Time (POA&gt;20 W/m2)]])*24,"")</f>
        <v/>
      </c>
      <c r="M287" s="46" t="str">
        <f>IFERROR(VLOOKUP(PA[[#This Row],[Affceted Equipment]],'Basic Data'!$A$2:$B$114,2,0),"")</f>
        <v/>
      </c>
      <c r="N287" s="48" t="str">
        <f>IFERROR(VLOOKUP(PA[[#This Row],[Affceted Equipment]],'Basic Data'!$A$1:$C$118,3,0),"")</f>
        <v/>
      </c>
      <c r="W287" s="33">
        <f>IF(PA[[#This Row],[Acknowledgemnet Time ]]="NA","",(PA[[#This Row],[Acknowledgemnet Time ]]-PA[[#This Row],[Fault Time]])*24)</f>
        <v>0</v>
      </c>
      <c r="X287" s="33">
        <f>IF(PA[[#This Row],[Work Start time on Fault]]="NA","",(PA[[#This Row],[Work Start time on Fault]]-PA[[#This Row],[Fault Time]])*24)</f>
        <v>0</v>
      </c>
      <c r="Y287" s="35">
        <f>(PA[[#This Row],[Work Completiuon time on fualt]]-PA[[#This Row],[Fault Time]])*24</f>
        <v>0</v>
      </c>
      <c r="Z287" s="35">
        <f>IFERROR((PA[[#This Row],[Work Completiuon time on fualt]]-PA[[#This Row],[Fault Time]])*24,"")</f>
        <v>0</v>
      </c>
      <c r="AC287" s="47" t="str">
        <f>IFERROR(PA[[#This Row],[Breakdown Time]]*PA[[#This Row],[Plant Equivalent Weightage]],"")</f>
        <v/>
      </c>
      <c r="AE287" s="33" t="str">
        <f>IFERROR((_xlfn.XLOOKUP(PA[[#This Row],[Month Year]],'Modelling New'!D:D,'Modelling New'!$O:$O)*PA[[#This Row],[Lost PoA(Wh/m2)]]*PA[[#This Row],[DC Capacity Affceted (kW)]])/1000,"")</f>
        <v/>
      </c>
      <c r="AF287" s="35"/>
    </row>
    <row r="288" spans="1:32">
      <c r="A288" s="2">
        <f t="shared" si="22"/>
        <v>285</v>
      </c>
      <c r="B288" s="156">
        <f t="shared" si="20"/>
        <v>1900</v>
      </c>
      <c r="C288" s="129">
        <f t="shared" si="21"/>
        <v>1900</v>
      </c>
      <c r="I288" s="29" t="str">
        <f>IFERROR(VLOOKUP(PA[[#This Row],[Date]],Raw_Data[[Date]:[Sunset Time (POA&lt;20 W/m2)]],3,0),"")</f>
        <v/>
      </c>
      <c r="J288" s="29" t="str">
        <f>IFERROR(VLOOKUP(PA[[#This Row],[Date]],Raw_Data[[Date]:[Sunset Time (POA&lt;20 W/m2)]],4,0),"")</f>
        <v/>
      </c>
      <c r="K288" s="27" t="str">
        <f>IFERROR((PA[[#This Row],[Sunset Time (POA&lt;20 W/m2)]]-PA[[#This Row],[Sunrise Time (POA&gt;20 W/m2)]])*24,"")</f>
        <v/>
      </c>
      <c r="M288" s="46" t="str">
        <f>IFERROR(VLOOKUP(PA[[#This Row],[Affceted Equipment]],'Basic Data'!$A$2:$B$114,2,0),"")</f>
        <v/>
      </c>
      <c r="N288" s="48" t="str">
        <f>IFERROR(VLOOKUP(PA[[#This Row],[Affceted Equipment]],'Basic Data'!$A$1:$C$118,3,0),"")</f>
        <v/>
      </c>
      <c r="W288" s="33">
        <f>IF(PA[[#This Row],[Acknowledgemnet Time ]]="NA","",(PA[[#This Row],[Acknowledgemnet Time ]]-PA[[#This Row],[Fault Time]])*24)</f>
        <v>0</v>
      </c>
      <c r="X288" s="33">
        <f>IF(PA[[#This Row],[Work Start time on Fault]]="NA","",(PA[[#This Row],[Work Start time on Fault]]-PA[[#This Row],[Fault Time]])*24)</f>
        <v>0</v>
      </c>
      <c r="Y288" s="35">
        <f>(PA[[#This Row],[Work Completiuon time on fualt]]-PA[[#This Row],[Fault Time]])*24</f>
        <v>0</v>
      </c>
      <c r="Z288" s="35">
        <f>IFERROR((PA[[#This Row],[Work Completiuon time on fualt]]-PA[[#This Row],[Fault Time]])*24,"")</f>
        <v>0</v>
      </c>
      <c r="AC288" s="47" t="str">
        <f>IFERROR(PA[[#This Row],[Breakdown Time]]*PA[[#This Row],[Plant Equivalent Weightage]],"")</f>
        <v/>
      </c>
      <c r="AE288" s="33" t="str">
        <f>IFERROR((_xlfn.XLOOKUP(PA[[#This Row],[Month Year]],'Modelling New'!D:D,'Modelling New'!$O:$O)*PA[[#This Row],[Lost PoA(Wh/m2)]]*PA[[#This Row],[DC Capacity Affceted (kW)]])/1000,"")</f>
        <v/>
      </c>
      <c r="AF288" s="35"/>
    </row>
    <row r="289" spans="1:32">
      <c r="A289" s="2">
        <f t="shared" si="22"/>
        <v>286</v>
      </c>
      <c r="B289" s="156">
        <f t="shared" si="20"/>
        <v>1900</v>
      </c>
      <c r="C289" s="129">
        <f t="shared" si="21"/>
        <v>1900</v>
      </c>
      <c r="I289" s="29" t="str">
        <f>IFERROR(VLOOKUP(PA[[#This Row],[Date]],Raw_Data[[Date]:[Sunset Time (POA&lt;20 W/m2)]],3,0),"")</f>
        <v/>
      </c>
      <c r="J289" s="29" t="str">
        <f>IFERROR(VLOOKUP(PA[[#This Row],[Date]],Raw_Data[[Date]:[Sunset Time (POA&lt;20 W/m2)]],4,0),"")</f>
        <v/>
      </c>
      <c r="K289" s="27" t="str">
        <f>IFERROR((PA[[#This Row],[Sunset Time (POA&lt;20 W/m2)]]-PA[[#This Row],[Sunrise Time (POA&gt;20 W/m2)]])*24,"")</f>
        <v/>
      </c>
      <c r="M289" s="46" t="str">
        <f>IFERROR(VLOOKUP(PA[[#This Row],[Affceted Equipment]],'Basic Data'!$A$2:$B$114,2,0),"")</f>
        <v/>
      </c>
      <c r="N289" s="48" t="str">
        <f>IFERROR(VLOOKUP(PA[[#This Row],[Affceted Equipment]],'Basic Data'!$A$1:$C$118,3,0),"")</f>
        <v/>
      </c>
      <c r="W289" s="33">
        <f>IF(PA[[#This Row],[Acknowledgemnet Time ]]="NA","",(PA[[#This Row],[Acknowledgemnet Time ]]-PA[[#This Row],[Fault Time]])*24)</f>
        <v>0</v>
      </c>
      <c r="X289" s="33">
        <f>IF(PA[[#This Row],[Work Start time on Fault]]="NA","",(PA[[#This Row],[Work Start time on Fault]]-PA[[#This Row],[Fault Time]])*24)</f>
        <v>0</v>
      </c>
      <c r="Y289" s="35">
        <f>(PA[[#This Row],[Work Completiuon time on fualt]]-PA[[#This Row],[Fault Time]])*24</f>
        <v>0</v>
      </c>
      <c r="Z289" s="35">
        <f>IFERROR((PA[[#This Row],[Work Completiuon time on fualt]]-PA[[#This Row],[Fault Time]])*24,"")</f>
        <v>0</v>
      </c>
      <c r="AC289" s="47" t="str">
        <f>IFERROR(PA[[#This Row],[Breakdown Time]]*PA[[#This Row],[Plant Equivalent Weightage]],"")</f>
        <v/>
      </c>
      <c r="AE289" s="33" t="str">
        <f>IFERROR((_xlfn.XLOOKUP(PA[[#This Row],[Month Year]],'Modelling New'!D:D,'Modelling New'!$O:$O)*PA[[#This Row],[Lost PoA(Wh/m2)]]*PA[[#This Row],[DC Capacity Affceted (kW)]])/1000,"")</f>
        <v/>
      </c>
      <c r="AF289" s="35"/>
    </row>
    <row r="290" spans="1:32">
      <c r="A290" s="2">
        <f t="shared" si="22"/>
        <v>287</v>
      </c>
      <c r="B290" s="156">
        <f t="shared" si="20"/>
        <v>1900</v>
      </c>
      <c r="C290" s="129">
        <f t="shared" si="21"/>
        <v>1900</v>
      </c>
      <c r="I290" s="29" t="str">
        <f>IFERROR(VLOOKUP(PA[[#This Row],[Date]],Raw_Data[[Date]:[Sunset Time (POA&lt;20 W/m2)]],3,0),"")</f>
        <v/>
      </c>
      <c r="J290" s="29" t="str">
        <f>IFERROR(VLOOKUP(PA[[#This Row],[Date]],Raw_Data[[Date]:[Sunset Time (POA&lt;20 W/m2)]],4,0),"")</f>
        <v/>
      </c>
      <c r="K290" s="27" t="str">
        <f>IFERROR((PA[[#This Row],[Sunset Time (POA&lt;20 W/m2)]]-PA[[#This Row],[Sunrise Time (POA&gt;20 W/m2)]])*24,"")</f>
        <v/>
      </c>
      <c r="M290" s="46" t="str">
        <f>IFERROR(VLOOKUP(PA[[#This Row],[Affceted Equipment]],'Basic Data'!$A$2:$B$114,2,0),"")</f>
        <v/>
      </c>
      <c r="N290" s="48" t="str">
        <f>IFERROR(VLOOKUP(PA[[#This Row],[Affceted Equipment]],'Basic Data'!$A$1:$C$118,3,0),"")</f>
        <v/>
      </c>
      <c r="W290" s="33">
        <f>IF(PA[[#This Row],[Acknowledgemnet Time ]]="NA","",(PA[[#This Row],[Acknowledgemnet Time ]]-PA[[#This Row],[Fault Time]])*24)</f>
        <v>0</v>
      </c>
      <c r="X290" s="33">
        <f>IF(PA[[#This Row],[Work Start time on Fault]]="NA","",(PA[[#This Row],[Work Start time on Fault]]-PA[[#This Row],[Fault Time]])*24)</f>
        <v>0</v>
      </c>
      <c r="Y290" s="35">
        <f>(PA[[#This Row],[Work Completiuon time on fualt]]-PA[[#This Row],[Fault Time]])*24</f>
        <v>0</v>
      </c>
      <c r="Z290" s="35">
        <f>IFERROR((PA[[#This Row],[Work Completiuon time on fualt]]-PA[[#This Row],[Fault Time]])*24,"")</f>
        <v>0</v>
      </c>
      <c r="AC290" s="47" t="str">
        <f>IFERROR(PA[[#This Row],[Breakdown Time]]*PA[[#This Row],[Plant Equivalent Weightage]],"")</f>
        <v/>
      </c>
      <c r="AE290" s="33" t="str">
        <f>IFERROR((_xlfn.XLOOKUP(PA[[#This Row],[Month Year]],'Modelling New'!D:D,'Modelling New'!$O:$O)*PA[[#This Row],[Lost PoA(Wh/m2)]]*PA[[#This Row],[DC Capacity Affceted (kW)]])/1000,"")</f>
        <v/>
      </c>
      <c r="AF290" s="35"/>
    </row>
    <row r="291" spans="1:32">
      <c r="A291" s="2">
        <f t="shared" si="22"/>
        <v>288</v>
      </c>
      <c r="B291" s="156">
        <f t="shared" si="20"/>
        <v>1900</v>
      </c>
      <c r="C291" s="129">
        <f t="shared" si="21"/>
        <v>1900</v>
      </c>
      <c r="I291" s="29" t="str">
        <f>IFERROR(VLOOKUP(PA[[#This Row],[Date]],Raw_Data[[Date]:[Sunset Time (POA&lt;20 W/m2)]],3,0),"")</f>
        <v/>
      </c>
      <c r="J291" s="29" t="str">
        <f>IFERROR(VLOOKUP(PA[[#This Row],[Date]],Raw_Data[[Date]:[Sunset Time (POA&lt;20 W/m2)]],4,0),"")</f>
        <v/>
      </c>
      <c r="K291" s="27" t="str">
        <f>IFERROR((PA[[#This Row],[Sunset Time (POA&lt;20 W/m2)]]-PA[[#This Row],[Sunrise Time (POA&gt;20 W/m2)]])*24,"")</f>
        <v/>
      </c>
      <c r="M291" s="46" t="str">
        <f>IFERROR(VLOOKUP(PA[[#This Row],[Affceted Equipment]],'Basic Data'!$A$2:$B$114,2,0),"")</f>
        <v/>
      </c>
      <c r="N291" s="48" t="str">
        <f>IFERROR(VLOOKUP(PA[[#This Row],[Affceted Equipment]],'Basic Data'!$A$1:$C$118,3,0),"")</f>
        <v/>
      </c>
      <c r="W291" s="33">
        <f>IF(PA[[#This Row],[Acknowledgemnet Time ]]="NA","",(PA[[#This Row],[Acknowledgemnet Time ]]-PA[[#This Row],[Fault Time]])*24)</f>
        <v>0</v>
      </c>
      <c r="X291" s="33">
        <f>IF(PA[[#This Row],[Work Start time on Fault]]="NA","",(PA[[#This Row],[Work Start time on Fault]]-PA[[#This Row],[Fault Time]])*24)</f>
        <v>0</v>
      </c>
      <c r="Y291" s="35">
        <f>(PA[[#This Row],[Work Completiuon time on fualt]]-PA[[#This Row],[Fault Time]])*24</f>
        <v>0</v>
      </c>
      <c r="Z291" s="35">
        <f>IFERROR((PA[[#This Row],[Work Completiuon time on fualt]]-PA[[#This Row],[Fault Time]])*24,"")</f>
        <v>0</v>
      </c>
      <c r="AC291" s="47" t="str">
        <f>IFERROR(PA[[#This Row],[Breakdown Time]]*PA[[#This Row],[Plant Equivalent Weightage]],"")</f>
        <v/>
      </c>
      <c r="AE291" s="33" t="str">
        <f>IFERROR((_xlfn.XLOOKUP(PA[[#This Row],[Month Year]],'Modelling New'!D:D,'Modelling New'!$O:$O)*PA[[#This Row],[Lost PoA(Wh/m2)]]*PA[[#This Row],[DC Capacity Affceted (kW)]])/1000,"")</f>
        <v/>
      </c>
      <c r="AF291" s="35"/>
    </row>
    <row r="292" spans="1:32">
      <c r="A292" s="2">
        <f t="shared" si="22"/>
        <v>289</v>
      </c>
      <c r="B292" s="156">
        <f t="shared" si="20"/>
        <v>1900</v>
      </c>
      <c r="C292" s="129">
        <f t="shared" si="21"/>
        <v>1900</v>
      </c>
      <c r="I292" s="29" t="str">
        <f>IFERROR(VLOOKUP(PA[[#This Row],[Date]],Raw_Data[[Date]:[Sunset Time (POA&lt;20 W/m2)]],3,0),"")</f>
        <v/>
      </c>
      <c r="J292" s="29" t="str">
        <f>IFERROR(VLOOKUP(PA[[#This Row],[Date]],Raw_Data[[Date]:[Sunset Time (POA&lt;20 W/m2)]],4,0),"")</f>
        <v/>
      </c>
      <c r="K292" s="27" t="str">
        <f>IFERROR((PA[[#This Row],[Sunset Time (POA&lt;20 W/m2)]]-PA[[#This Row],[Sunrise Time (POA&gt;20 W/m2)]])*24,"")</f>
        <v/>
      </c>
      <c r="M292" s="46" t="str">
        <f>IFERROR(VLOOKUP(PA[[#This Row],[Affceted Equipment]],'Basic Data'!$A$2:$B$114,2,0),"")</f>
        <v/>
      </c>
      <c r="N292" s="48" t="str">
        <f>IFERROR(VLOOKUP(PA[[#This Row],[Affceted Equipment]],'Basic Data'!$A$1:$C$118,3,0),"")</f>
        <v/>
      </c>
      <c r="W292" s="33">
        <f>IF(PA[[#This Row],[Acknowledgemnet Time ]]="NA","",(PA[[#This Row],[Acknowledgemnet Time ]]-PA[[#This Row],[Fault Time]])*24)</f>
        <v>0</v>
      </c>
      <c r="X292" s="33">
        <f>IF(PA[[#This Row],[Work Start time on Fault]]="NA","",(PA[[#This Row],[Work Start time on Fault]]-PA[[#This Row],[Fault Time]])*24)</f>
        <v>0</v>
      </c>
      <c r="Y292" s="35">
        <f>(PA[[#This Row],[Work Completiuon time on fualt]]-PA[[#This Row],[Fault Time]])*24</f>
        <v>0</v>
      </c>
      <c r="Z292" s="35">
        <f>IFERROR((PA[[#This Row],[Work Completiuon time on fualt]]-PA[[#This Row],[Fault Time]])*24,"")</f>
        <v>0</v>
      </c>
      <c r="AC292" s="47" t="str">
        <f>IFERROR(PA[[#This Row],[Breakdown Time]]*PA[[#This Row],[Plant Equivalent Weightage]],"")</f>
        <v/>
      </c>
      <c r="AE292" s="33" t="str">
        <f>IFERROR((_xlfn.XLOOKUP(PA[[#This Row],[Month Year]],'Modelling New'!D:D,'Modelling New'!$O:$O)*PA[[#This Row],[Lost PoA(Wh/m2)]]*PA[[#This Row],[DC Capacity Affceted (kW)]])/1000,"")</f>
        <v/>
      </c>
      <c r="AF292" s="35"/>
    </row>
    <row r="293" spans="1:32">
      <c r="A293" s="2">
        <f t="shared" si="22"/>
        <v>290</v>
      </c>
      <c r="B293" s="156">
        <f t="shared" si="20"/>
        <v>1900</v>
      </c>
      <c r="C293" s="129">
        <f t="shared" si="21"/>
        <v>1900</v>
      </c>
      <c r="I293" s="29" t="str">
        <f>IFERROR(VLOOKUP(PA[[#This Row],[Date]],Raw_Data[[Date]:[Sunset Time (POA&lt;20 W/m2)]],3,0),"")</f>
        <v/>
      </c>
      <c r="J293" s="29" t="str">
        <f>IFERROR(VLOOKUP(PA[[#This Row],[Date]],Raw_Data[[Date]:[Sunset Time (POA&lt;20 W/m2)]],4,0),"")</f>
        <v/>
      </c>
      <c r="K293" s="27" t="str">
        <f>IFERROR((PA[[#This Row],[Sunset Time (POA&lt;20 W/m2)]]-PA[[#This Row],[Sunrise Time (POA&gt;20 W/m2)]])*24,"")</f>
        <v/>
      </c>
      <c r="M293" s="46" t="str">
        <f>IFERROR(VLOOKUP(PA[[#This Row],[Affceted Equipment]],'Basic Data'!$A$2:$B$114,2,0),"")</f>
        <v/>
      </c>
      <c r="N293" s="48" t="str">
        <f>IFERROR(VLOOKUP(PA[[#This Row],[Affceted Equipment]],'Basic Data'!$A$1:$C$118,3,0),"")</f>
        <v/>
      </c>
      <c r="W293" s="33">
        <f>IF(PA[[#This Row],[Acknowledgemnet Time ]]="NA","",(PA[[#This Row],[Acknowledgemnet Time ]]-PA[[#This Row],[Fault Time]])*24)</f>
        <v>0</v>
      </c>
      <c r="X293" s="33">
        <f>IF(PA[[#This Row],[Work Start time on Fault]]="NA","",(PA[[#This Row],[Work Start time on Fault]]-PA[[#This Row],[Fault Time]])*24)</f>
        <v>0</v>
      </c>
      <c r="Y293" s="35">
        <f>(PA[[#This Row],[Work Completiuon time on fualt]]-PA[[#This Row],[Fault Time]])*24</f>
        <v>0</v>
      </c>
      <c r="Z293" s="35">
        <f>IFERROR((PA[[#This Row],[Work Completiuon time on fualt]]-PA[[#This Row],[Fault Time]])*24,"")</f>
        <v>0</v>
      </c>
      <c r="AC293" s="47" t="str">
        <f>IFERROR(PA[[#This Row],[Breakdown Time]]*PA[[#This Row],[Plant Equivalent Weightage]],"")</f>
        <v/>
      </c>
      <c r="AE293" s="33" t="str">
        <f>IFERROR((_xlfn.XLOOKUP(PA[[#This Row],[Month Year]],'Modelling New'!D:D,'Modelling New'!$O:$O)*PA[[#This Row],[Lost PoA(Wh/m2)]]*PA[[#This Row],[DC Capacity Affceted (kW)]])/1000,"")</f>
        <v/>
      </c>
      <c r="AF293" s="35"/>
    </row>
    <row r="294" spans="1:32">
      <c r="A294" s="2">
        <f t="shared" si="22"/>
        <v>291</v>
      </c>
      <c r="B294" s="156">
        <f t="shared" si="20"/>
        <v>1900</v>
      </c>
      <c r="C294" s="129">
        <f t="shared" si="21"/>
        <v>1900</v>
      </c>
      <c r="I294" s="29" t="str">
        <f>IFERROR(VLOOKUP(PA[[#This Row],[Date]],Raw_Data[[Date]:[Sunset Time (POA&lt;20 W/m2)]],3,0),"")</f>
        <v/>
      </c>
      <c r="J294" s="29" t="str">
        <f>IFERROR(VLOOKUP(PA[[#This Row],[Date]],Raw_Data[[Date]:[Sunset Time (POA&lt;20 W/m2)]],4,0),"")</f>
        <v/>
      </c>
      <c r="K294" s="27" t="str">
        <f>IFERROR((PA[[#This Row],[Sunset Time (POA&lt;20 W/m2)]]-PA[[#This Row],[Sunrise Time (POA&gt;20 W/m2)]])*24,"")</f>
        <v/>
      </c>
      <c r="M294" s="46" t="str">
        <f>IFERROR(VLOOKUP(PA[[#This Row],[Affceted Equipment]],'Basic Data'!$A$2:$B$114,2,0),"")</f>
        <v/>
      </c>
      <c r="N294" s="48" t="str">
        <f>IFERROR(VLOOKUP(PA[[#This Row],[Affceted Equipment]],'Basic Data'!$A$1:$C$118,3,0),"")</f>
        <v/>
      </c>
      <c r="W294" s="33">
        <f>IF(PA[[#This Row],[Acknowledgemnet Time ]]="NA","",(PA[[#This Row],[Acknowledgemnet Time ]]-PA[[#This Row],[Fault Time]])*24)</f>
        <v>0</v>
      </c>
      <c r="X294" s="33">
        <f>IF(PA[[#This Row],[Work Start time on Fault]]="NA","",(PA[[#This Row],[Work Start time on Fault]]-PA[[#This Row],[Fault Time]])*24)</f>
        <v>0</v>
      </c>
      <c r="Y294" s="35">
        <f>(PA[[#This Row],[Work Completiuon time on fualt]]-PA[[#This Row],[Fault Time]])*24</f>
        <v>0</v>
      </c>
      <c r="Z294" s="35">
        <f>IFERROR((PA[[#This Row],[Work Completiuon time on fualt]]-PA[[#This Row],[Fault Time]])*24,"")</f>
        <v>0</v>
      </c>
      <c r="AC294" s="47" t="str">
        <f>IFERROR(PA[[#This Row],[Breakdown Time]]*PA[[#This Row],[Plant Equivalent Weightage]],"")</f>
        <v/>
      </c>
      <c r="AE294" s="33" t="str">
        <f>IFERROR((_xlfn.XLOOKUP(PA[[#This Row],[Month Year]],'Modelling New'!D:D,'Modelling New'!$O:$O)*PA[[#This Row],[Lost PoA(Wh/m2)]]*PA[[#This Row],[DC Capacity Affceted (kW)]])/1000,"")</f>
        <v/>
      </c>
      <c r="AF294" s="35"/>
    </row>
    <row r="295" spans="1:32">
      <c r="A295" s="2">
        <f t="shared" si="22"/>
        <v>292</v>
      </c>
      <c r="B295" s="156">
        <f t="shared" si="20"/>
        <v>1900</v>
      </c>
      <c r="C295" s="129">
        <f t="shared" si="21"/>
        <v>1900</v>
      </c>
      <c r="I295" s="29" t="str">
        <f>IFERROR(VLOOKUP(PA[[#This Row],[Date]],Raw_Data[[Date]:[Sunset Time (POA&lt;20 W/m2)]],3,0),"")</f>
        <v/>
      </c>
      <c r="J295" s="29" t="str">
        <f>IFERROR(VLOOKUP(PA[[#This Row],[Date]],Raw_Data[[Date]:[Sunset Time (POA&lt;20 W/m2)]],4,0),"")</f>
        <v/>
      </c>
      <c r="K295" s="27" t="str">
        <f>IFERROR((PA[[#This Row],[Sunset Time (POA&lt;20 W/m2)]]-PA[[#This Row],[Sunrise Time (POA&gt;20 W/m2)]])*24,"")</f>
        <v/>
      </c>
      <c r="M295" s="46" t="str">
        <f>IFERROR(VLOOKUP(PA[[#This Row],[Affceted Equipment]],'Basic Data'!$A$2:$B$114,2,0),"")</f>
        <v/>
      </c>
      <c r="N295" s="48" t="str">
        <f>IFERROR(VLOOKUP(PA[[#This Row],[Affceted Equipment]],'Basic Data'!$A$1:$C$118,3,0),"")</f>
        <v/>
      </c>
      <c r="W295" s="33">
        <f>IF(PA[[#This Row],[Acknowledgemnet Time ]]="NA","",(PA[[#This Row],[Acknowledgemnet Time ]]-PA[[#This Row],[Fault Time]])*24)</f>
        <v>0</v>
      </c>
      <c r="X295" s="33">
        <f>IF(PA[[#This Row],[Work Start time on Fault]]="NA","",(PA[[#This Row],[Work Start time on Fault]]-PA[[#This Row],[Fault Time]])*24)</f>
        <v>0</v>
      </c>
      <c r="Y295" s="35">
        <f>(PA[[#This Row],[Work Completiuon time on fualt]]-PA[[#This Row],[Fault Time]])*24</f>
        <v>0</v>
      </c>
      <c r="Z295" s="35">
        <f>IFERROR((PA[[#This Row],[Work Completiuon time on fualt]]-PA[[#This Row],[Fault Time]])*24,"")</f>
        <v>0</v>
      </c>
      <c r="AC295" s="47" t="str">
        <f>IFERROR(PA[[#This Row],[Breakdown Time]]*PA[[#This Row],[Plant Equivalent Weightage]],"")</f>
        <v/>
      </c>
      <c r="AE295" s="33" t="str">
        <f>IFERROR((_xlfn.XLOOKUP(PA[[#This Row],[Month Year]],'Modelling New'!D:D,'Modelling New'!$O:$O)*PA[[#This Row],[Lost PoA(Wh/m2)]]*PA[[#This Row],[DC Capacity Affceted (kW)]])/1000,"")</f>
        <v/>
      </c>
      <c r="AF295" s="35"/>
    </row>
    <row r="296" spans="1:32">
      <c r="A296" s="2">
        <f t="shared" si="22"/>
        <v>293</v>
      </c>
      <c r="B296" s="156">
        <f t="shared" si="20"/>
        <v>1900</v>
      </c>
      <c r="C296" s="129">
        <f t="shared" si="21"/>
        <v>1900</v>
      </c>
      <c r="I296" s="29" t="str">
        <f>IFERROR(VLOOKUP(PA[[#This Row],[Date]],Raw_Data[[Date]:[Sunset Time (POA&lt;20 W/m2)]],3,0),"")</f>
        <v/>
      </c>
      <c r="J296" s="29" t="str">
        <f>IFERROR(VLOOKUP(PA[[#This Row],[Date]],Raw_Data[[Date]:[Sunset Time (POA&lt;20 W/m2)]],4,0),"")</f>
        <v/>
      </c>
      <c r="K296" s="27" t="str">
        <f>IFERROR((PA[[#This Row],[Sunset Time (POA&lt;20 W/m2)]]-PA[[#This Row],[Sunrise Time (POA&gt;20 W/m2)]])*24,"")</f>
        <v/>
      </c>
      <c r="M296" s="46" t="str">
        <f>IFERROR(VLOOKUP(PA[[#This Row],[Affceted Equipment]],'Basic Data'!$A$2:$B$114,2,0),"")</f>
        <v/>
      </c>
      <c r="N296" s="48" t="str">
        <f>IFERROR(VLOOKUP(PA[[#This Row],[Affceted Equipment]],'Basic Data'!$A$1:$C$118,3,0),"")</f>
        <v/>
      </c>
      <c r="W296" s="33">
        <f>IF(PA[[#This Row],[Acknowledgemnet Time ]]="NA","",(PA[[#This Row],[Acknowledgemnet Time ]]-PA[[#This Row],[Fault Time]])*24)</f>
        <v>0</v>
      </c>
      <c r="X296" s="33">
        <f>IF(PA[[#This Row],[Work Start time on Fault]]="NA","",(PA[[#This Row],[Work Start time on Fault]]-PA[[#This Row],[Fault Time]])*24)</f>
        <v>0</v>
      </c>
      <c r="Y296" s="35">
        <f>(PA[[#This Row],[Work Completiuon time on fualt]]-PA[[#This Row],[Fault Time]])*24</f>
        <v>0</v>
      </c>
      <c r="Z296" s="35">
        <f>IFERROR((PA[[#This Row],[Work Completiuon time on fualt]]-PA[[#This Row],[Fault Time]])*24,"")</f>
        <v>0</v>
      </c>
      <c r="AC296" s="47" t="str">
        <f>IFERROR(PA[[#This Row],[Breakdown Time]]*PA[[#This Row],[Plant Equivalent Weightage]],"")</f>
        <v/>
      </c>
      <c r="AE296" s="33" t="str">
        <f>IFERROR((_xlfn.XLOOKUP(PA[[#This Row],[Month Year]],'Modelling New'!D:D,'Modelling New'!$O:$O)*PA[[#This Row],[Lost PoA(Wh/m2)]]*PA[[#This Row],[DC Capacity Affceted (kW)]])/1000,"")</f>
        <v/>
      </c>
      <c r="AF296" s="35"/>
    </row>
    <row r="297" spans="1:32">
      <c r="A297" s="2">
        <f t="shared" si="22"/>
        <v>294</v>
      </c>
      <c r="B297" s="156">
        <f t="shared" si="20"/>
        <v>1900</v>
      </c>
      <c r="C297" s="129">
        <f t="shared" si="21"/>
        <v>1900</v>
      </c>
      <c r="I297" s="29" t="str">
        <f>IFERROR(VLOOKUP(PA[[#This Row],[Date]],Raw_Data[[Date]:[Sunset Time (POA&lt;20 W/m2)]],3,0),"")</f>
        <v/>
      </c>
      <c r="J297" s="29" t="str">
        <f>IFERROR(VLOOKUP(PA[[#This Row],[Date]],Raw_Data[[Date]:[Sunset Time (POA&lt;20 W/m2)]],4,0),"")</f>
        <v/>
      </c>
      <c r="K297" s="27" t="str">
        <f>IFERROR((PA[[#This Row],[Sunset Time (POA&lt;20 W/m2)]]-PA[[#This Row],[Sunrise Time (POA&gt;20 W/m2)]])*24,"")</f>
        <v/>
      </c>
      <c r="M297" s="46" t="str">
        <f>IFERROR(VLOOKUP(PA[[#This Row],[Affceted Equipment]],'Basic Data'!$A$2:$B$114,2,0),"")</f>
        <v/>
      </c>
      <c r="N297" s="48" t="str">
        <f>IFERROR(VLOOKUP(PA[[#This Row],[Affceted Equipment]],'Basic Data'!$A$1:$C$118,3,0),"")</f>
        <v/>
      </c>
      <c r="W297" s="33">
        <f>IF(PA[[#This Row],[Acknowledgemnet Time ]]="NA","",(PA[[#This Row],[Acknowledgemnet Time ]]-PA[[#This Row],[Fault Time]])*24)</f>
        <v>0</v>
      </c>
      <c r="X297" s="33">
        <f>IF(PA[[#This Row],[Work Start time on Fault]]="NA","",(PA[[#This Row],[Work Start time on Fault]]-PA[[#This Row],[Fault Time]])*24)</f>
        <v>0</v>
      </c>
      <c r="Y297" s="35">
        <f>(PA[[#This Row],[Work Completiuon time on fualt]]-PA[[#This Row],[Fault Time]])*24</f>
        <v>0</v>
      </c>
      <c r="Z297" s="35">
        <f>IFERROR((PA[[#This Row],[Work Completiuon time on fualt]]-PA[[#This Row],[Fault Time]])*24,"")</f>
        <v>0</v>
      </c>
      <c r="AC297" s="47" t="str">
        <f>IFERROR(PA[[#This Row],[Breakdown Time]]*PA[[#This Row],[Plant Equivalent Weightage]],"")</f>
        <v/>
      </c>
      <c r="AE297" s="33" t="str">
        <f>IFERROR((_xlfn.XLOOKUP(PA[[#This Row],[Month Year]],'Modelling New'!D:D,'Modelling New'!$O:$O)*PA[[#This Row],[Lost PoA(Wh/m2)]]*PA[[#This Row],[DC Capacity Affceted (kW)]])/1000,"")</f>
        <v/>
      </c>
      <c r="AF297" s="35"/>
    </row>
    <row r="298" spans="1:32">
      <c r="A298" s="2">
        <f t="shared" si="22"/>
        <v>295</v>
      </c>
      <c r="B298" s="156">
        <f t="shared" si="20"/>
        <v>1900</v>
      </c>
      <c r="C298" s="129">
        <f t="shared" si="21"/>
        <v>1900</v>
      </c>
      <c r="I298" s="29" t="str">
        <f>IFERROR(VLOOKUP(PA[[#This Row],[Date]],Raw_Data[[Date]:[Sunset Time (POA&lt;20 W/m2)]],3,0),"")</f>
        <v/>
      </c>
      <c r="J298" s="29" t="str">
        <f>IFERROR(VLOOKUP(PA[[#This Row],[Date]],Raw_Data[[Date]:[Sunset Time (POA&lt;20 W/m2)]],4,0),"")</f>
        <v/>
      </c>
      <c r="K298" s="27" t="str">
        <f>IFERROR((PA[[#This Row],[Sunset Time (POA&lt;20 W/m2)]]-PA[[#This Row],[Sunrise Time (POA&gt;20 W/m2)]])*24,"")</f>
        <v/>
      </c>
      <c r="M298" s="46" t="str">
        <f>IFERROR(VLOOKUP(PA[[#This Row],[Affceted Equipment]],'Basic Data'!$A$2:$B$114,2,0),"")</f>
        <v/>
      </c>
      <c r="N298" s="48" t="str">
        <f>IFERROR(VLOOKUP(PA[[#This Row],[Affceted Equipment]],'Basic Data'!$A$1:$C$118,3,0),"")</f>
        <v/>
      </c>
      <c r="W298" s="33">
        <f>IF(PA[[#This Row],[Acknowledgemnet Time ]]="NA","",(PA[[#This Row],[Acknowledgemnet Time ]]-PA[[#This Row],[Fault Time]])*24)</f>
        <v>0</v>
      </c>
      <c r="X298" s="33">
        <f>IF(PA[[#This Row],[Work Start time on Fault]]="NA","",(PA[[#This Row],[Work Start time on Fault]]-PA[[#This Row],[Fault Time]])*24)</f>
        <v>0</v>
      </c>
      <c r="Y298" s="35">
        <f>(PA[[#This Row],[Work Completiuon time on fualt]]-PA[[#This Row],[Fault Time]])*24</f>
        <v>0</v>
      </c>
      <c r="Z298" s="35">
        <f>IFERROR((PA[[#This Row],[Work Completiuon time on fualt]]-PA[[#This Row],[Fault Time]])*24,"")</f>
        <v>0</v>
      </c>
      <c r="AC298" s="47" t="str">
        <f>IFERROR(PA[[#This Row],[Breakdown Time]]*PA[[#This Row],[Plant Equivalent Weightage]],"")</f>
        <v/>
      </c>
      <c r="AE298" s="33" t="str">
        <f>IFERROR((_xlfn.XLOOKUP(PA[[#This Row],[Month Year]],'Modelling New'!D:D,'Modelling New'!$O:$O)*PA[[#This Row],[Lost PoA(Wh/m2)]]*PA[[#This Row],[DC Capacity Affceted (kW)]])/1000,"")</f>
        <v/>
      </c>
      <c r="AF298" s="35"/>
    </row>
    <row r="299" spans="1:32">
      <c r="A299" s="2">
        <f t="shared" si="22"/>
        <v>296</v>
      </c>
      <c r="B299" s="156">
        <f t="shared" si="20"/>
        <v>1900</v>
      </c>
      <c r="C299" s="129">
        <f t="shared" si="21"/>
        <v>1900</v>
      </c>
      <c r="I299" s="29" t="str">
        <f>IFERROR(VLOOKUP(PA[[#This Row],[Date]],Raw_Data[[Date]:[Sunset Time (POA&lt;20 W/m2)]],3,0),"")</f>
        <v/>
      </c>
      <c r="J299" s="29" t="str">
        <f>IFERROR(VLOOKUP(PA[[#This Row],[Date]],Raw_Data[[Date]:[Sunset Time (POA&lt;20 W/m2)]],4,0),"")</f>
        <v/>
      </c>
      <c r="K299" s="27" t="str">
        <f>IFERROR((PA[[#This Row],[Sunset Time (POA&lt;20 W/m2)]]-PA[[#This Row],[Sunrise Time (POA&gt;20 W/m2)]])*24,"")</f>
        <v/>
      </c>
      <c r="M299" s="46" t="str">
        <f>IFERROR(VLOOKUP(PA[[#This Row],[Affceted Equipment]],'Basic Data'!$A$2:$B$114,2,0),"")</f>
        <v/>
      </c>
      <c r="N299" s="48" t="str">
        <f>IFERROR(VLOOKUP(PA[[#This Row],[Affceted Equipment]],'Basic Data'!$A$1:$C$118,3,0),"")</f>
        <v/>
      </c>
      <c r="W299" s="33">
        <f>IF(PA[[#This Row],[Acknowledgemnet Time ]]="NA","",(PA[[#This Row],[Acknowledgemnet Time ]]-PA[[#This Row],[Fault Time]])*24)</f>
        <v>0</v>
      </c>
      <c r="X299" s="33">
        <f>IF(PA[[#This Row],[Work Start time on Fault]]="NA","",(PA[[#This Row],[Work Start time on Fault]]-PA[[#This Row],[Fault Time]])*24)</f>
        <v>0</v>
      </c>
      <c r="Y299" s="35">
        <f>(PA[[#This Row],[Work Completiuon time on fualt]]-PA[[#This Row],[Fault Time]])*24</f>
        <v>0</v>
      </c>
      <c r="Z299" s="35">
        <f>IFERROR((PA[[#This Row],[Work Completiuon time on fualt]]-PA[[#This Row],[Fault Time]])*24,"")</f>
        <v>0</v>
      </c>
      <c r="AC299" s="47" t="str">
        <f>IFERROR(PA[[#This Row],[Breakdown Time]]*PA[[#This Row],[Plant Equivalent Weightage]],"")</f>
        <v/>
      </c>
      <c r="AE299" s="33" t="str">
        <f>IFERROR((_xlfn.XLOOKUP(PA[[#This Row],[Month Year]],'Modelling New'!D:D,'Modelling New'!$O:$O)*PA[[#This Row],[Lost PoA(Wh/m2)]]*PA[[#This Row],[DC Capacity Affceted (kW)]])/1000,"")</f>
        <v/>
      </c>
      <c r="AF299" s="35"/>
    </row>
    <row r="300" spans="1:32">
      <c r="A300" s="2">
        <f t="shared" si="22"/>
        <v>297</v>
      </c>
      <c r="B300" s="156">
        <f t="shared" si="20"/>
        <v>1900</v>
      </c>
      <c r="C300" s="129">
        <f t="shared" si="21"/>
        <v>1900</v>
      </c>
      <c r="I300" s="29" t="str">
        <f>IFERROR(VLOOKUP(PA[[#This Row],[Date]],Raw_Data[[Date]:[Sunset Time (POA&lt;20 W/m2)]],3,0),"")</f>
        <v/>
      </c>
      <c r="J300" s="29" t="str">
        <f>IFERROR(VLOOKUP(PA[[#This Row],[Date]],Raw_Data[[Date]:[Sunset Time (POA&lt;20 W/m2)]],4,0),"")</f>
        <v/>
      </c>
      <c r="K300" s="27" t="str">
        <f>IFERROR((PA[[#This Row],[Sunset Time (POA&lt;20 W/m2)]]-PA[[#This Row],[Sunrise Time (POA&gt;20 W/m2)]])*24,"")</f>
        <v/>
      </c>
      <c r="M300" s="46" t="str">
        <f>IFERROR(VLOOKUP(PA[[#This Row],[Affceted Equipment]],'Basic Data'!$A$2:$B$114,2,0),"")</f>
        <v/>
      </c>
      <c r="N300" s="48" t="str">
        <f>IFERROR(VLOOKUP(PA[[#This Row],[Affceted Equipment]],'Basic Data'!$A$1:$C$118,3,0),"")</f>
        <v/>
      </c>
      <c r="W300" s="33">
        <f>IF(PA[[#This Row],[Acknowledgemnet Time ]]="NA","",(PA[[#This Row],[Acknowledgemnet Time ]]-PA[[#This Row],[Fault Time]])*24)</f>
        <v>0</v>
      </c>
      <c r="X300" s="33">
        <f>IF(PA[[#This Row],[Work Start time on Fault]]="NA","",(PA[[#This Row],[Work Start time on Fault]]-PA[[#This Row],[Fault Time]])*24)</f>
        <v>0</v>
      </c>
      <c r="Y300" s="35">
        <f>(PA[[#This Row],[Work Completiuon time on fualt]]-PA[[#This Row],[Fault Time]])*24</f>
        <v>0</v>
      </c>
      <c r="Z300" s="35">
        <f>IFERROR((PA[[#This Row],[Work Completiuon time on fualt]]-PA[[#This Row],[Fault Time]])*24,"")</f>
        <v>0</v>
      </c>
      <c r="AC300" s="47" t="str">
        <f>IFERROR(PA[[#This Row],[Breakdown Time]]*PA[[#This Row],[Plant Equivalent Weightage]],"")</f>
        <v/>
      </c>
      <c r="AE300" s="33" t="str">
        <f>IFERROR((_xlfn.XLOOKUP(PA[[#This Row],[Month Year]],'Modelling New'!D:D,'Modelling New'!$O:$O)*PA[[#This Row],[Lost PoA(Wh/m2)]]*PA[[#This Row],[DC Capacity Affceted (kW)]])/1000,"")</f>
        <v/>
      </c>
      <c r="AF300" s="35"/>
    </row>
    <row r="301" spans="1:32">
      <c r="A301" s="2">
        <f t="shared" si="22"/>
        <v>298</v>
      </c>
      <c r="B301" s="156">
        <f t="shared" si="20"/>
        <v>1900</v>
      </c>
      <c r="C301" s="129">
        <f t="shared" si="21"/>
        <v>1900</v>
      </c>
      <c r="I301" s="29" t="str">
        <f>IFERROR(VLOOKUP(PA[[#This Row],[Date]],Raw_Data[[Date]:[Sunset Time (POA&lt;20 W/m2)]],3,0),"")</f>
        <v/>
      </c>
      <c r="J301" s="29" t="str">
        <f>IFERROR(VLOOKUP(PA[[#This Row],[Date]],Raw_Data[[Date]:[Sunset Time (POA&lt;20 W/m2)]],4,0),"")</f>
        <v/>
      </c>
      <c r="K301" s="27" t="str">
        <f>IFERROR((PA[[#This Row],[Sunset Time (POA&lt;20 W/m2)]]-PA[[#This Row],[Sunrise Time (POA&gt;20 W/m2)]])*24,"")</f>
        <v/>
      </c>
      <c r="M301" s="46" t="str">
        <f>IFERROR(VLOOKUP(PA[[#This Row],[Affceted Equipment]],'Basic Data'!$A$2:$B$114,2,0),"")</f>
        <v/>
      </c>
      <c r="N301" s="48" t="str">
        <f>IFERROR(VLOOKUP(PA[[#This Row],[Affceted Equipment]],'Basic Data'!$A$1:$C$118,3,0),"")</f>
        <v/>
      </c>
      <c r="W301" s="33">
        <f>IF(PA[[#This Row],[Acknowledgemnet Time ]]="NA","",(PA[[#This Row],[Acknowledgemnet Time ]]-PA[[#This Row],[Fault Time]])*24)</f>
        <v>0</v>
      </c>
      <c r="X301" s="33">
        <f>IF(PA[[#This Row],[Work Start time on Fault]]="NA","",(PA[[#This Row],[Work Start time on Fault]]-PA[[#This Row],[Fault Time]])*24)</f>
        <v>0</v>
      </c>
      <c r="Y301" s="35">
        <f>(PA[[#This Row],[Work Completiuon time on fualt]]-PA[[#This Row],[Fault Time]])*24</f>
        <v>0</v>
      </c>
      <c r="Z301" s="35">
        <f>IFERROR((PA[[#This Row],[Work Completiuon time on fualt]]-PA[[#This Row],[Fault Time]])*24,"")</f>
        <v>0</v>
      </c>
      <c r="AC301" s="47" t="str">
        <f>IFERROR(PA[[#This Row],[Breakdown Time]]*PA[[#This Row],[Plant Equivalent Weightage]],"")</f>
        <v/>
      </c>
      <c r="AE301" s="33" t="str">
        <f>IFERROR((_xlfn.XLOOKUP(PA[[#This Row],[Month Year]],'Modelling New'!D:D,'Modelling New'!$O:$O)*PA[[#This Row],[Lost PoA(Wh/m2)]]*PA[[#This Row],[DC Capacity Affceted (kW)]])/1000,"")</f>
        <v/>
      </c>
      <c r="AF301" s="35"/>
    </row>
    <row r="302" spans="1:32">
      <c r="A302" s="2">
        <f t="shared" si="22"/>
        <v>299</v>
      </c>
      <c r="B302" s="156">
        <f t="shared" si="20"/>
        <v>1900</v>
      </c>
      <c r="C302" s="129">
        <f t="shared" si="21"/>
        <v>1900</v>
      </c>
      <c r="I302" s="29" t="str">
        <f>IFERROR(VLOOKUP(PA[[#This Row],[Date]],Raw_Data[[Date]:[Sunset Time (POA&lt;20 W/m2)]],3,0),"")</f>
        <v/>
      </c>
      <c r="J302" s="29" t="str">
        <f>IFERROR(VLOOKUP(PA[[#This Row],[Date]],Raw_Data[[Date]:[Sunset Time (POA&lt;20 W/m2)]],4,0),"")</f>
        <v/>
      </c>
      <c r="K302" s="27" t="str">
        <f>IFERROR((PA[[#This Row],[Sunset Time (POA&lt;20 W/m2)]]-PA[[#This Row],[Sunrise Time (POA&gt;20 W/m2)]])*24,"")</f>
        <v/>
      </c>
      <c r="M302" s="46" t="str">
        <f>IFERROR(VLOOKUP(PA[[#This Row],[Affceted Equipment]],'Basic Data'!$A$2:$B$114,2,0),"")</f>
        <v/>
      </c>
      <c r="N302" s="48" t="str">
        <f>IFERROR(VLOOKUP(PA[[#This Row],[Affceted Equipment]],'Basic Data'!$A$1:$C$118,3,0),"")</f>
        <v/>
      </c>
      <c r="W302" s="33">
        <f>IF(PA[[#This Row],[Acknowledgemnet Time ]]="NA","",(PA[[#This Row],[Acknowledgemnet Time ]]-PA[[#This Row],[Fault Time]])*24)</f>
        <v>0</v>
      </c>
      <c r="X302" s="33">
        <f>IF(PA[[#This Row],[Work Start time on Fault]]="NA","",(PA[[#This Row],[Work Start time on Fault]]-PA[[#This Row],[Fault Time]])*24)</f>
        <v>0</v>
      </c>
      <c r="Y302" s="35">
        <f>(PA[[#This Row],[Work Completiuon time on fualt]]-PA[[#This Row],[Fault Time]])*24</f>
        <v>0</v>
      </c>
      <c r="Z302" s="35">
        <f>IFERROR((PA[[#This Row],[Work Completiuon time on fualt]]-PA[[#This Row],[Fault Time]])*24,"")</f>
        <v>0</v>
      </c>
      <c r="AC302" s="47" t="str">
        <f>IFERROR(PA[[#This Row],[Breakdown Time]]*PA[[#This Row],[Plant Equivalent Weightage]],"")</f>
        <v/>
      </c>
      <c r="AE302" s="33" t="str">
        <f>IFERROR((_xlfn.XLOOKUP(PA[[#This Row],[Month Year]],'Modelling New'!D:D,'Modelling New'!$O:$O)*PA[[#This Row],[Lost PoA(Wh/m2)]]*PA[[#This Row],[DC Capacity Affceted (kW)]])/1000,"")</f>
        <v/>
      </c>
      <c r="AF302" s="35"/>
    </row>
    <row r="303" spans="1:32">
      <c r="A303" s="2">
        <f t="shared" si="22"/>
        <v>300</v>
      </c>
      <c r="B303" s="156">
        <f t="shared" si="20"/>
        <v>1900</v>
      </c>
      <c r="C303" s="129">
        <f t="shared" si="21"/>
        <v>1900</v>
      </c>
      <c r="I303" s="29" t="str">
        <f>IFERROR(VLOOKUP(PA[[#This Row],[Date]],Raw_Data[[Date]:[Sunset Time (POA&lt;20 W/m2)]],3,0),"")</f>
        <v/>
      </c>
      <c r="J303" s="29" t="str">
        <f>IFERROR(VLOOKUP(PA[[#This Row],[Date]],Raw_Data[[Date]:[Sunset Time (POA&lt;20 W/m2)]],4,0),"")</f>
        <v/>
      </c>
      <c r="K303" s="27" t="str">
        <f>IFERROR((PA[[#This Row],[Sunset Time (POA&lt;20 W/m2)]]-PA[[#This Row],[Sunrise Time (POA&gt;20 W/m2)]])*24,"")</f>
        <v/>
      </c>
      <c r="M303" s="46" t="str">
        <f>IFERROR(VLOOKUP(PA[[#This Row],[Affceted Equipment]],'Basic Data'!$A$2:$B$114,2,0),"")</f>
        <v/>
      </c>
      <c r="N303" s="48" t="str">
        <f>IFERROR(VLOOKUP(PA[[#This Row],[Affceted Equipment]],'Basic Data'!$A$1:$C$118,3,0),"")</f>
        <v/>
      </c>
      <c r="W303" s="33">
        <f>IF(PA[[#This Row],[Acknowledgemnet Time ]]="NA","",(PA[[#This Row],[Acknowledgemnet Time ]]-PA[[#This Row],[Fault Time]])*24)</f>
        <v>0</v>
      </c>
      <c r="X303" s="33">
        <f>IF(PA[[#This Row],[Work Start time on Fault]]="NA","",(PA[[#This Row],[Work Start time on Fault]]-PA[[#This Row],[Fault Time]])*24)</f>
        <v>0</v>
      </c>
      <c r="Y303" s="35">
        <f>(PA[[#This Row],[Work Completiuon time on fualt]]-PA[[#This Row],[Fault Time]])*24</f>
        <v>0</v>
      </c>
      <c r="Z303" s="35">
        <f>IFERROR((PA[[#This Row],[Work Completiuon time on fualt]]-PA[[#This Row],[Fault Time]])*24,"")</f>
        <v>0</v>
      </c>
      <c r="AC303" s="47" t="str">
        <f>IFERROR(PA[[#This Row],[Breakdown Time]]*PA[[#This Row],[Plant Equivalent Weightage]],"")</f>
        <v/>
      </c>
      <c r="AE303" s="33" t="str">
        <f>IFERROR((_xlfn.XLOOKUP(PA[[#This Row],[Month Year]],'Modelling New'!D:D,'Modelling New'!$O:$O)*PA[[#This Row],[Lost PoA(Wh/m2)]]*PA[[#This Row],[DC Capacity Affceted (kW)]])/1000,"")</f>
        <v/>
      </c>
      <c r="AF303" s="35"/>
    </row>
    <row r="304" spans="1:32">
      <c r="A304" s="2">
        <f t="shared" si="22"/>
        <v>301</v>
      </c>
      <c r="B304" s="156">
        <f t="shared" si="20"/>
        <v>1900</v>
      </c>
      <c r="C304" s="129">
        <f t="shared" si="21"/>
        <v>1900</v>
      </c>
      <c r="I304" s="29" t="str">
        <f>IFERROR(VLOOKUP(PA[[#This Row],[Date]],Raw_Data[[Date]:[Sunset Time (POA&lt;20 W/m2)]],3,0),"")</f>
        <v/>
      </c>
      <c r="J304" s="29" t="str">
        <f>IFERROR(VLOOKUP(PA[[#This Row],[Date]],Raw_Data[[Date]:[Sunset Time (POA&lt;20 W/m2)]],4,0),"")</f>
        <v/>
      </c>
      <c r="K304" s="27" t="str">
        <f>IFERROR((PA[[#This Row],[Sunset Time (POA&lt;20 W/m2)]]-PA[[#This Row],[Sunrise Time (POA&gt;20 W/m2)]])*24,"")</f>
        <v/>
      </c>
      <c r="M304" s="46" t="str">
        <f>IFERROR(VLOOKUP(PA[[#This Row],[Affceted Equipment]],'Basic Data'!$A$2:$B$114,2,0),"")</f>
        <v/>
      </c>
      <c r="N304" s="48" t="str">
        <f>IFERROR(VLOOKUP(PA[[#This Row],[Affceted Equipment]],'Basic Data'!$A$1:$C$118,3,0),"")</f>
        <v/>
      </c>
      <c r="W304" s="33">
        <f>IF(PA[[#This Row],[Acknowledgemnet Time ]]="NA","",(PA[[#This Row],[Acknowledgemnet Time ]]-PA[[#This Row],[Fault Time]])*24)</f>
        <v>0</v>
      </c>
      <c r="X304" s="33">
        <f>IF(PA[[#This Row],[Work Start time on Fault]]="NA","",(PA[[#This Row],[Work Start time on Fault]]-PA[[#This Row],[Fault Time]])*24)</f>
        <v>0</v>
      </c>
      <c r="Y304" s="35">
        <f>(PA[[#This Row],[Work Completiuon time on fualt]]-PA[[#This Row],[Fault Time]])*24</f>
        <v>0</v>
      </c>
      <c r="Z304" s="35">
        <f>IFERROR((PA[[#This Row],[Work Completiuon time on fualt]]-PA[[#This Row],[Fault Time]])*24,"")</f>
        <v>0</v>
      </c>
      <c r="AC304" s="47" t="str">
        <f>IFERROR(PA[[#This Row],[Breakdown Time]]*PA[[#This Row],[Plant Equivalent Weightage]],"")</f>
        <v/>
      </c>
      <c r="AE304" s="33" t="str">
        <f>IFERROR((_xlfn.XLOOKUP(PA[[#This Row],[Month Year]],'Modelling New'!D:D,'Modelling New'!$O:$O)*PA[[#This Row],[Lost PoA(Wh/m2)]]*PA[[#This Row],[DC Capacity Affceted (kW)]])/1000,"")</f>
        <v/>
      </c>
      <c r="AF304" s="35"/>
    </row>
    <row r="305" spans="1:32">
      <c r="A305" s="2">
        <f t="shared" si="22"/>
        <v>302</v>
      </c>
      <c r="B305" s="156">
        <f t="shared" si="20"/>
        <v>1900</v>
      </c>
      <c r="C305" s="129">
        <f t="shared" si="21"/>
        <v>1900</v>
      </c>
      <c r="I305" s="29" t="str">
        <f>IFERROR(VLOOKUP(PA[[#This Row],[Date]],Raw_Data[[Date]:[Sunset Time (POA&lt;20 W/m2)]],3,0),"")</f>
        <v/>
      </c>
      <c r="J305" s="29" t="str">
        <f>IFERROR(VLOOKUP(PA[[#This Row],[Date]],Raw_Data[[Date]:[Sunset Time (POA&lt;20 W/m2)]],4,0),"")</f>
        <v/>
      </c>
      <c r="K305" s="27" t="str">
        <f>IFERROR((PA[[#This Row],[Sunset Time (POA&lt;20 W/m2)]]-PA[[#This Row],[Sunrise Time (POA&gt;20 W/m2)]])*24,"")</f>
        <v/>
      </c>
      <c r="M305" s="46" t="str">
        <f>IFERROR(VLOOKUP(PA[[#This Row],[Affceted Equipment]],'Basic Data'!$A$2:$B$114,2,0),"")</f>
        <v/>
      </c>
      <c r="N305" s="48" t="str">
        <f>IFERROR(VLOOKUP(PA[[#This Row],[Affceted Equipment]],'Basic Data'!$A$1:$C$118,3,0),"")</f>
        <v/>
      </c>
      <c r="W305" s="33">
        <f>IF(PA[[#This Row],[Acknowledgemnet Time ]]="NA","",(PA[[#This Row],[Acknowledgemnet Time ]]-PA[[#This Row],[Fault Time]])*24)</f>
        <v>0</v>
      </c>
      <c r="X305" s="33">
        <f>IF(PA[[#This Row],[Work Start time on Fault]]="NA","",(PA[[#This Row],[Work Start time on Fault]]-PA[[#This Row],[Fault Time]])*24)</f>
        <v>0</v>
      </c>
      <c r="Y305" s="35">
        <f>(PA[[#This Row],[Work Completiuon time on fualt]]-PA[[#This Row],[Fault Time]])*24</f>
        <v>0</v>
      </c>
      <c r="Z305" s="35">
        <f>IFERROR((PA[[#This Row],[Work Completiuon time on fualt]]-PA[[#This Row],[Fault Time]])*24,"")</f>
        <v>0</v>
      </c>
      <c r="AC305" s="47" t="str">
        <f>IFERROR(PA[[#This Row],[Breakdown Time]]*PA[[#This Row],[Plant Equivalent Weightage]],"")</f>
        <v/>
      </c>
      <c r="AE305" s="33" t="str">
        <f>IFERROR((_xlfn.XLOOKUP(PA[[#This Row],[Month Year]],'Modelling New'!D:D,'Modelling New'!$O:$O)*PA[[#This Row],[Lost PoA(Wh/m2)]]*PA[[#This Row],[DC Capacity Affceted (kW)]])/1000,"")</f>
        <v/>
      </c>
      <c r="AF305" s="35"/>
    </row>
    <row r="306" spans="1:32">
      <c r="A306" s="2">
        <f t="shared" si="22"/>
        <v>303</v>
      </c>
      <c r="B306" s="156">
        <f t="shared" si="20"/>
        <v>1900</v>
      </c>
      <c r="C306" s="129">
        <f t="shared" si="21"/>
        <v>1900</v>
      </c>
      <c r="I306" s="29" t="str">
        <f>IFERROR(VLOOKUP(PA[[#This Row],[Date]],Raw_Data[[Date]:[Sunset Time (POA&lt;20 W/m2)]],3,0),"")</f>
        <v/>
      </c>
      <c r="J306" s="29" t="str">
        <f>IFERROR(VLOOKUP(PA[[#This Row],[Date]],Raw_Data[[Date]:[Sunset Time (POA&lt;20 W/m2)]],4,0),"")</f>
        <v/>
      </c>
      <c r="K306" s="27" t="str">
        <f>IFERROR((PA[[#This Row],[Sunset Time (POA&lt;20 W/m2)]]-PA[[#This Row],[Sunrise Time (POA&gt;20 W/m2)]])*24,"")</f>
        <v/>
      </c>
      <c r="M306" s="46" t="str">
        <f>IFERROR(VLOOKUP(PA[[#This Row],[Affceted Equipment]],'Basic Data'!$A$2:$B$114,2,0),"")</f>
        <v/>
      </c>
      <c r="N306" s="48" t="str">
        <f>IFERROR(VLOOKUP(PA[[#This Row],[Affceted Equipment]],'Basic Data'!$A$1:$C$118,3,0),"")</f>
        <v/>
      </c>
      <c r="W306" s="33">
        <f>IF(PA[[#This Row],[Acknowledgemnet Time ]]="NA","",(PA[[#This Row],[Acknowledgemnet Time ]]-PA[[#This Row],[Fault Time]])*24)</f>
        <v>0</v>
      </c>
      <c r="X306" s="33">
        <f>IF(PA[[#This Row],[Work Start time on Fault]]="NA","",(PA[[#This Row],[Work Start time on Fault]]-PA[[#This Row],[Fault Time]])*24)</f>
        <v>0</v>
      </c>
      <c r="Y306" s="35">
        <f>(PA[[#This Row],[Work Completiuon time on fualt]]-PA[[#This Row],[Fault Time]])*24</f>
        <v>0</v>
      </c>
      <c r="Z306" s="35">
        <f>IFERROR((PA[[#This Row],[Work Completiuon time on fualt]]-PA[[#This Row],[Fault Time]])*24,"")</f>
        <v>0</v>
      </c>
      <c r="AC306" s="47" t="str">
        <f>IFERROR(PA[[#This Row],[Breakdown Time]]*PA[[#This Row],[Plant Equivalent Weightage]],"")</f>
        <v/>
      </c>
      <c r="AE306" s="33" t="str">
        <f>IFERROR((_xlfn.XLOOKUP(PA[[#This Row],[Month Year]],'Modelling New'!D:D,'Modelling New'!$O:$O)*PA[[#This Row],[Lost PoA(Wh/m2)]]*PA[[#This Row],[DC Capacity Affceted (kW)]])/1000,"")</f>
        <v/>
      </c>
      <c r="AF306" s="35"/>
    </row>
    <row r="307" spans="1:32">
      <c r="A307" s="2">
        <f t="shared" si="22"/>
        <v>304</v>
      </c>
      <c r="B307" s="156">
        <f t="shared" si="20"/>
        <v>1900</v>
      </c>
      <c r="C307" s="129">
        <f t="shared" si="21"/>
        <v>1900</v>
      </c>
      <c r="I307" s="29" t="str">
        <f>IFERROR(VLOOKUP(PA[[#This Row],[Date]],Raw_Data[[Date]:[Sunset Time (POA&lt;20 W/m2)]],3,0),"")</f>
        <v/>
      </c>
      <c r="J307" s="29" t="str">
        <f>IFERROR(VLOOKUP(PA[[#This Row],[Date]],Raw_Data[[Date]:[Sunset Time (POA&lt;20 W/m2)]],4,0),"")</f>
        <v/>
      </c>
      <c r="K307" s="27" t="str">
        <f>IFERROR((PA[[#This Row],[Sunset Time (POA&lt;20 W/m2)]]-PA[[#This Row],[Sunrise Time (POA&gt;20 W/m2)]])*24,"")</f>
        <v/>
      </c>
      <c r="M307" s="46" t="str">
        <f>IFERROR(VLOOKUP(PA[[#This Row],[Affceted Equipment]],'Basic Data'!$A$2:$B$114,2,0),"")</f>
        <v/>
      </c>
      <c r="N307" s="48" t="str">
        <f>IFERROR(VLOOKUP(PA[[#This Row],[Affceted Equipment]],'Basic Data'!$A$1:$C$118,3,0),"")</f>
        <v/>
      </c>
      <c r="W307" s="33">
        <f>IF(PA[[#This Row],[Acknowledgemnet Time ]]="NA","",(PA[[#This Row],[Acknowledgemnet Time ]]-PA[[#This Row],[Fault Time]])*24)</f>
        <v>0</v>
      </c>
      <c r="X307" s="33">
        <f>IF(PA[[#This Row],[Work Start time on Fault]]="NA","",(PA[[#This Row],[Work Start time on Fault]]-PA[[#This Row],[Fault Time]])*24)</f>
        <v>0</v>
      </c>
      <c r="Y307" s="35">
        <f>(PA[[#This Row],[Work Completiuon time on fualt]]-PA[[#This Row],[Fault Time]])*24</f>
        <v>0</v>
      </c>
      <c r="Z307" s="35">
        <f>IFERROR((PA[[#This Row],[Work Completiuon time on fualt]]-PA[[#This Row],[Fault Time]])*24,"")</f>
        <v>0</v>
      </c>
      <c r="AC307" s="47" t="str">
        <f>IFERROR(PA[[#This Row],[Breakdown Time]]*PA[[#This Row],[Plant Equivalent Weightage]],"")</f>
        <v/>
      </c>
      <c r="AE307" s="33" t="str">
        <f>IFERROR((_xlfn.XLOOKUP(PA[[#This Row],[Month Year]],'Modelling New'!D:D,'Modelling New'!$O:$O)*PA[[#This Row],[Lost PoA(Wh/m2)]]*PA[[#This Row],[DC Capacity Affceted (kW)]])/1000,"")</f>
        <v/>
      </c>
      <c r="AF307" s="35"/>
    </row>
    <row r="308" spans="1:32">
      <c r="A308" s="2">
        <f t="shared" si="22"/>
        <v>305</v>
      </c>
      <c r="B308" s="156">
        <f t="shared" si="20"/>
        <v>1900</v>
      </c>
      <c r="C308" s="129">
        <f t="shared" si="21"/>
        <v>1900</v>
      </c>
      <c r="I308" s="29" t="str">
        <f>IFERROR(VLOOKUP(PA[[#This Row],[Date]],Raw_Data[[Date]:[Sunset Time (POA&lt;20 W/m2)]],3,0),"")</f>
        <v/>
      </c>
      <c r="J308" s="29" t="str">
        <f>IFERROR(VLOOKUP(PA[[#This Row],[Date]],Raw_Data[[Date]:[Sunset Time (POA&lt;20 W/m2)]],4,0),"")</f>
        <v/>
      </c>
      <c r="K308" s="27" t="str">
        <f>IFERROR((PA[[#This Row],[Sunset Time (POA&lt;20 W/m2)]]-PA[[#This Row],[Sunrise Time (POA&gt;20 W/m2)]])*24,"")</f>
        <v/>
      </c>
      <c r="M308" s="46" t="str">
        <f>IFERROR(VLOOKUP(PA[[#This Row],[Affceted Equipment]],'Basic Data'!$A$2:$B$114,2,0),"")</f>
        <v/>
      </c>
      <c r="N308" s="48" t="str">
        <f>IFERROR(VLOOKUP(PA[[#This Row],[Affceted Equipment]],'Basic Data'!$A$1:$C$118,3,0),"")</f>
        <v/>
      </c>
      <c r="W308" s="33">
        <f>IF(PA[[#This Row],[Acknowledgemnet Time ]]="NA","",(PA[[#This Row],[Acknowledgemnet Time ]]-PA[[#This Row],[Fault Time]])*24)</f>
        <v>0</v>
      </c>
      <c r="X308" s="33">
        <f>IF(PA[[#This Row],[Work Start time on Fault]]="NA","",(PA[[#This Row],[Work Start time on Fault]]-PA[[#This Row],[Fault Time]])*24)</f>
        <v>0</v>
      </c>
      <c r="Y308" s="35">
        <f>(PA[[#This Row],[Work Completiuon time on fualt]]-PA[[#This Row],[Fault Time]])*24</f>
        <v>0</v>
      </c>
      <c r="Z308" s="35">
        <f>IFERROR((PA[[#This Row],[Work Completiuon time on fualt]]-PA[[#This Row],[Fault Time]])*24,"")</f>
        <v>0</v>
      </c>
      <c r="AC308" s="47" t="str">
        <f>IFERROR(PA[[#This Row],[Breakdown Time]]*PA[[#This Row],[Plant Equivalent Weightage]],"")</f>
        <v/>
      </c>
      <c r="AE308" s="33" t="str">
        <f>IFERROR((_xlfn.XLOOKUP(PA[[#This Row],[Month Year]],'Modelling New'!D:D,'Modelling New'!$O:$O)*PA[[#This Row],[Lost PoA(Wh/m2)]]*PA[[#This Row],[DC Capacity Affceted (kW)]])/1000,"")</f>
        <v/>
      </c>
      <c r="AF308" s="35"/>
    </row>
    <row r="309" spans="1:32">
      <c r="A309" s="2">
        <f t="shared" si="22"/>
        <v>306</v>
      </c>
      <c r="B309" s="156">
        <f t="shared" si="20"/>
        <v>1900</v>
      </c>
      <c r="C309" s="129">
        <f t="shared" si="21"/>
        <v>1900</v>
      </c>
      <c r="I309" s="29" t="str">
        <f>IFERROR(VLOOKUP(PA[[#This Row],[Date]],Raw_Data[[Date]:[Sunset Time (POA&lt;20 W/m2)]],3,0),"")</f>
        <v/>
      </c>
      <c r="J309" s="29" t="str">
        <f>IFERROR(VLOOKUP(PA[[#This Row],[Date]],Raw_Data[[Date]:[Sunset Time (POA&lt;20 W/m2)]],4,0),"")</f>
        <v/>
      </c>
      <c r="K309" s="27" t="str">
        <f>IFERROR((PA[[#This Row],[Sunset Time (POA&lt;20 W/m2)]]-PA[[#This Row],[Sunrise Time (POA&gt;20 W/m2)]])*24,"")</f>
        <v/>
      </c>
      <c r="M309" s="46" t="str">
        <f>IFERROR(VLOOKUP(PA[[#This Row],[Affceted Equipment]],'Basic Data'!$A$2:$B$114,2,0),"")</f>
        <v/>
      </c>
      <c r="N309" s="48" t="str">
        <f>IFERROR(VLOOKUP(PA[[#This Row],[Affceted Equipment]],'Basic Data'!$A$1:$C$118,3,0),"")</f>
        <v/>
      </c>
      <c r="W309" s="33">
        <f>IF(PA[[#This Row],[Acknowledgemnet Time ]]="NA","",(PA[[#This Row],[Acknowledgemnet Time ]]-PA[[#This Row],[Fault Time]])*24)</f>
        <v>0</v>
      </c>
      <c r="X309" s="33">
        <f>IF(PA[[#This Row],[Work Start time on Fault]]="NA","",(PA[[#This Row],[Work Start time on Fault]]-PA[[#This Row],[Fault Time]])*24)</f>
        <v>0</v>
      </c>
      <c r="Y309" s="35">
        <f>(PA[[#This Row],[Work Completiuon time on fualt]]-PA[[#This Row],[Fault Time]])*24</f>
        <v>0</v>
      </c>
      <c r="Z309" s="35">
        <f>IFERROR((PA[[#This Row],[Work Completiuon time on fualt]]-PA[[#This Row],[Fault Time]])*24,"")</f>
        <v>0</v>
      </c>
      <c r="AC309" s="47" t="str">
        <f>IFERROR(PA[[#This Row],[Breakdown Time]]*PA[[#This Row],[Plant Equivalent Weightage]],"")</f>
        <v/>
      </c>
      <c r="AE309" s="33" t="str">
        <f>IFERROR((_xlfn.XLOOKUP(PA[[#This Row],[Month Year]],'Modelling New'!D:D,'Modelling New'!$O:$O)*PA[[#This Row],[Lost PoA(Wh/m2)]]*PA[[#This Row],[DC Capacity Affceted (kW)]])/1000,"")</f>
        <v/>
      </c>
      <c r="AF309" s="35"/>
    </row>
    <row r="310" spans="1:32">
      <c r="A310" s="2">
        <f t="shared" si="22"/>
        <v>307</v>
      </c>
      <c r="B310" s="156">
        <f t="shared" si="20"/>
        <v>1900</v>
      </c>
      <c r="C310" s="129">
        <f t="shared" si="21"/>
        <v>1900</v>
      </c>
      <c r="I310" s="29" t="str">
        <f>IFERROR(VLOOKUP(PA[[#This Row],[Date]],Raw_Data[[Date]:[Sunset Time (POA&lt;20 W/m2)]],3,0),"")</f>
        <v/>
      </c>
      <c r="J310" s="29" t="str">
        <f>IFERROR(VLOOKUP(PA[[#This Row],[Date]],Raw_Data[[Date]:[Sunset Time (POA&lt;20 W/m2)]],4,0),"")</f>
        <v/>
      </c>
      <c r="K310" s="27" t="str">
        <f>IFERROR((PA[[#This Row],[Sunset Time (POA&lt;20 W/m2)]]-PA[[#This Row],[Sunrise Time (POA&gt;20 W/m2)]])*24,"")</f>
        <v/>
      </c>
      <c r="M310" s="46" t="str">
        <f>IFERROR(VLOOKUP(PA[[#This Row],[Affceted Equipment]],'Basic Data'!$A$2:$B$114,2,0),"")</f>
        <v/>
      </c>
      <c r="N310" s="48" t="str">
        <f>IFERROR(VLOOKUP(PA[[#This Row],[Affceted Equipment]],'Basic Data'!$A$1:$C$118,3,0),"")</f>
        <v/>
      </c>
      <c r="W310" s="33">
        <f>IF(PA[[#This Row],[Acknowledgemnet Time ]]="NA","",(PA[[#This Row],[Acknowledgemnet Time ]]-PA[[#This Row],[Fault Time]])*24)</f>
        <v>0</v>
      </c>
      <c r="X310" s="33">
        <f>IF(PA[[#This Row],[Work Start time on Fault]]="NA","",(PA[[#This Row],[Work Start time on Fault]]-PA[[#This Row],[Fault Time]])*24)</f>
        <v>0</v>
      </c>
      <c r="Y310" s="35">
        <f>(PA[[#This Row],[Work Completiuon time on fualt]]-PA[[#This Row],[Fault Time]])*24</f>
        <v>0</v>
      </c>
      <c r="Z310" s="35">
        <f>IFERROR((PA[[#This Row],[Work Completiuon time on fualt]]-PA[[#This Row],[Fault Time]])*24,"")</f>
        <v>0</v>
      </c>
      <c r="AC310" s="47" t="str">
        <f>IFERROR(PA[[#This Row],[Breakdown Time]]*PA[[#This Row],[Plant Equivalent Weightage]],"")</f>
        <v/>
      </c>
      <c r="AE310" s="33" t="str">
        <f>IFERROR((_xlfn.XLOOKUP(PA[[#This Row],[Month Year]],'Modelling New'!D:D,'Modelling New'!$O:$O)*PA[[#This Row],[Lost PoA(Wh/m2)]]*PA[[#This Row],[DC Capacity Affceted (kW)]])/1000,"")</f>
        <v/>
      </c>
      <c r="AF310" s="35"/>
    </row>
    <row r="311" spans="1:32">
      <c r="A311" s="2">
        <f t="shared" si="22"/>
        <v>308</v>
      </c>
      <c r="B311" s="156">
        <f t="shared" si="20"/>
        <v>1900</v>
      </c>
      <c r="C311" s="129">
        <f t="shared" si="21"/>
        <v>1900</v>
      </c>
      <c r="I311" s="29" t="str">
        <f>IFERROR(VLOOKUP(PA[[#This Row],[Date]],Raw_Data[[Date]:[Sunset Time (POA&lt;20 W/m2)]],3,0),"")</f>
        <v/>
      </c>
      <c r="J311" s="29" t="str">
        <f>IFERROR(VLOOKUP(PA[[#This Row],[Date]],Raw_Data[[Date]:[Sunset Time (POA&lt;20 W/m2)]],4,0),"")</f>
        <v/>
      </c>
      <c r="K311" s="27" t="str">
        <f>IFERROR((PA[[#This Row],[Sunset Time (POA&lt;20 W/m2)]]-PA[[#This Row],[Sunrise Time (POA&gt;20 W/m2)]])*24,"")</f>
        <v/>
      </c>
      <c r="M311" s="46" t="str">
        <f>IFERROR(VLOOKUP(PA[[#This Row],[Affceted Equipment]],'Basic Data'!$A$2:$B$114,2,0),"")</f>
        <v/>
      </c>
      <c r="N311" s="48" t="str">
        <f>IFERROR(VLOOKUP(PA[[#This Row],[Affceted Equipment]],'Basic Data'!$A$1:$C$118,3,0),"")</f>
        <v/>
      </c>
      <c r="W311" s="33">
        <f>IF(PA[[#This Row],[Acknowledgemnet Time ]]="NA","",(PA[[#This Row],[Acknowledgemnet Time ]]-PA[[#This Row],[Fault Time]])*24)</f>
        <v>0</v>
      </c>
      <c r="X311" s="33">
        <f>IF(PA[[#This Row],[Work Start time on Fault]]="NA","",(PA[[#This Row],[Work Start time on Fault]]-PA[[#This Row],[Fault Time]])*24)</f>
        <v>0</v>
      </c>
      <c r="Y311" s="35">
        <f>(PA[[#This Row],[Work Completiuon time on fualt]]-PA[[#This Row],[Fault Time]])*24</f>
        <v>0</v>
      </c>
      <c r="Z311" s="35">
        <f>IFERROR((PA[[#This Row],[Work Completiuon time on fualt]]-PA[[#This Row],[Fault Time]])*24,"")</f>
        <v>0</v>
      </c>
      <c r="AC311" s="47" t="str">
        <f>IFERROR(PA[[#This Row],[Breakdown Time]]*PA[[#This Row],[Plant Equivalent Weightage]],"")</f>
        <v/>
      </c>
      <c r="AE311" s="33" t="str">
        <f>IFERROR((_xlfn.XLOOKUP(PA[[#This Row],[Month Year]],'Modelling New'!D:D,'Modelling New'!$O:$O)*PA[[#This Row],[Lost PoA(Wh/m2)]]*PA[[#This Row],[DC Capacity Affceted (kW)]])/1000,"")</f>
        <v/>
      </c>
      <c r="AF311" s="35"/>
    </row>
    <row r="312" spans="1:32">
      <c r="A312" s="2">
        <f t="shared" si="22"/>
        <v>309</v>
      </c>
      <c r="B312" s="156">
        <f t="shared" si="20"/>
        <v>1900</v>
      </c>
      <c r="C312" s="129">
        <f t="shared" si="21"/>
        <v>1900</v>
      </c>
      <c r="I312" s="29" t="str">
        <f>IFERROR(VLOOKUP(PA[[#This Row],[Date]],Raw_Data[[Date]:[Sunset Time (POA&lt;20 W/m2)]],3,0),"")</f>
        <v/>
      </c>
      <c r="J312" s="29" t="str">
        <f>IFERROR(VLOOKUP(PA[[#This Row],[Date]],Raw_Data[[Date]:[Sunset Time (POA&lt;20 W/m2)]],4,0),"")</f>
        <v/>
      </c>
      <c r="K312" s="27" t="str">
        <f>IFERROR((PA[[#This Row],[Sunset Time (POA&lt;20 W/m2)]]-PA[[#This Row],[Sunrise Time (POA&gt;20 W/m2)]])*24,"")</f>
        <v/>
      </c>
      <c r="M312" s="46" t="str">
        <f>IFERROR(VLOOKUP(PA[[#This Row],[Affceted Equipment]],'Basic Data'!$A$2:$B$114,2,0),"")</f>
        <v/>
      </c>
      <c r="N312" s="48" t="str">
        <f>IFERROR(VLOOKUP(PA[[#This Row],[Affceted Equipment]],'Basic Data'!$A$1:$C$118,3,0),"")</f>
        <v/>
      </c>
      <c r="W312" s="33">
        <f>IF(PA[[#This Row],[Acknowledgemnet Time ]]="NA","",(PA[[#This Row],[Acknowledgemnet Time ]]-PA[[#This Row],[Fault Time]])*24)</f>
        <v>0</v>
      </c>
      <c r="X312" s="33">
        <f>IF(PA[[#This Row],[Work Start time on Fault]]="NA","",(PA[[#This Row],[Work Start time on Fault]]-PA[[#This Row],[Fault Time]])*24)</f>
        <v>0</v>
      </c>
      <c r="Y312" s="35">
        <f>(PA[[#This Row],[Work Completiuon time on fualt]]-PA[[#This Row],[Fault Time]])*24</f>
        <v>0</v>
      </c>
      <c r="Z312" s="35">
        <f>IFERROR((PA[[#This Row],[Work Completiuon time on fualt]]-PA[[#This Row],[Fault Time]])*24,"")</f>
        <v>0</v>
      </c>
      <c r="AC312" s="47" t="str">
        <f>IFERROR(PA[[#This Row],[Breakdown Time]]*PA[[#This Row],[Plant Equivalent Weightage]],"")</f>
        <v/>
      </c>
      <c r="AE312" s="33" t="str">
        <f>IFERROR((_xlfn.XLOOKUP(PA[[#This Row],[Month Year]],'Modelling New'!D:D,'Modelling New'!$O:$O)*PA[[#This Row],[Lost PoA(Wh/m2)]]*PA[[#This Row],[DC Capacity Affceted (kW)]])/1000,"")</f>
        <v/>
      </c>
      <c r="AF312" s="35"/>
    </row>
    <row r="313" spans="1:32">
      <c r="A313" s="2">
        <f t="shared" si="22"/>
        <v>310</v>
      </c>
      <c r="B313" s="156">
        <f t="shared" si="20"/>
        <v>1900</v>
      </c>
      <c r="C313" s="129">
        <f t="shared" si="21"/>
        <v>1900</v>
      </c>
      <c r="I313" s="29" t="str">
        <f>IFERROR(VLOOKUP(PA[[#This Row],[Date]],Raw_Data[[Date]:[Sunset Time (POA&lt;20 W/m2)]],3,0),"")</f>
        <v/>
      </c>
      <c r="J313" s="29" t="str">
        <f>IFERROR(VLOOKUP(PA[[#This Row],[Date]],Raw_Data[[Date]:[Sunset Time (POA&lt;20 W/m2)]],4,0),"")</f>
        <v/>
      </c>
      <c r="K313" s="27" t="str">
        <f>IFERROR((PA[[#This Row],[Sunset Time (POA&lt;20 W/m2)]]-PA[[#This Row],[Sunrise Time (POA&gt;20 W/m2)]])*24,"")</f>
        <v/>
      </c>
      <c r="M313" s="46" t="str">
        <f>IFERROR(VLOOKUP(PA[[#This Row],[Affceted Equipment]],'Basic Data'!$A$2:$B$114,2,0),"")</f>
        <v/>
      </c>
      <c r="N313" s="48" t="str">
        <f>IFERROR(VLOOKUP(PA[[#This Row],[Affceted Equipment]],'Basic Data'!$A$1:$C$118,3,0),"")</f>
        <v/>
      </c>
      <c r="W313" s="33">
        <f>IF(PA[[#This Row],[Acknowledgemnet Time ]]="NA","",(PA[[#This Row],[Acknowledgemnet Time ]]-PA[[#This Row],[Fault Time]])*24)</f>
        <v>0</v>
      </c>
      <c r="X313" s="33">
        <f>IF(PA[[#This Row],[Work Start time on Fault]]="NA","",(PA[[#This Row],[Work Start time on Fault]]-PA[[#This Row],[Fault Time]])*24)</f>
        <v>0</v>
      </c>
      <c r="Y313" s="35">
        <f>(PA[[#This Row],[Work Completiuon time on fualt]]-PA[[#This Row],[Fault Time]])*24</f>
        <v>0</v>
      </c>
      <c r="Z313" s="35">
        <f>IFERROR((PA[[#This Row],[Work Completiuon time on fualt]]-PA[[#This Row],[Fault Time]])*24,"")</f>
        <v>0</v>
      </c>
      <c r="AC313" s="47" t="str">
        <f>IFERROR(PA[[#This Row],[Breakdown Time]]*PA[[#This Row],[Plant Equivalent Weightage]],"")</f>
        <v/>
      </c>
      <c r="AE313" s="33" t="str">
        <f>IFERROR((_xlfn.XLOOKUP(PA[[#This Row],[Month Year]],'Modelling New'!D:D,'Modelling New'!$O:$O)*PA[[#This Row],[Lost PoA(Wh/m2)]]*PA[[#This Row],[DC Capacity Affceted (kW)]])/1000,"")</f>
        <v/>
      </c>
      <c r="AF313" s="35"/>
    </row>
    <row r="314" spans="1:32">
      <c r="A314" s="2">
        <f t="shared" si="22"/>
        <v>311</v>
      </c>
      <c r="B314" s="156">
        <f t="shared" si="20"/>
        <v>1900</v>
      </c>
      <c r="C314" s="129">
        <f t="shared" si="21"/>
        <v>1900</v>
      </c>
      <c r="I314" s="29" t="str">
        <f>IFERROR(VLOOKUP(PA[[#This Row],[Date]],Raw_Data[[Date]:[Sunset Time (POA&lt;20 W/m2)]],3,0),"")</f>
        <v/>
      </c>
      <c r="J314" s="29" t="str">
        <f>IFERROR(VLOOKUP(PA[[#This Row],[Date]],Raw_Data[[Date]:[Sunset Time (POA&lt;20 W/m2)]],4,0),"")</f>
        <v/>
      </c>
      <c r="K314" s="27" t="str">
        <f>IFERROR((PA[[#This Row],[Sunset Time (POA&lt;20 W/m2)]]-PA[[#This Row],[Sunrise Time (POA&gt;20 W/m2)]])*24,"")</f>
        <v/>
      </c>
      <c r="M314" s="46" t="str">
        <f>IFERROR(VLOOKUP(PA[[#This Row],[Affceted Equipment]],'Basic Data'!$A$2:$B$114,2,0),"")</f>
        <v/>
      </c>
      <c r="N314" s="48" t="str">
        <f>IFERROR(VLOOKUP(PA[[#This Row],[Affceted Equipment]],'Basic Data'!$A$1:$C$118,3,0),"")</f>
        <v/>
      </c>
      <c r="W314" s="33">
        <f>IF(PA[[#This Row],[Acknowledgemnet Time ]]="NA","",(PA[[#This Row],[Acknowledgemnet Time ]]-PA[[#This Row],[Fault Time]])*24)</f>
        <v>0</v>
      </c>
      <c r="X314" s="33">
        <f>IF(PA[[#This Row],[Work Start time on Fault]]="NA","",(PA[[#This Row],[Work Start time on Fault]]-PA[[#This Row],[Fault Time]])*24)</f>
        <v>0</v>
      </c>
      <c r="Y314" s="35">
        <f>(PA[[#This Row],[Work Completiuon time on fualt]]-PA[[#This Row],[Fault Time]])*24</f>
        <v>0</v>
      </c>
      <c r="Z314" s="35">
        <f>IFERROR((PA[[#This Row],[Work Completiuon time on fualt]]-PA[[#This Row],[Fault Time]])*24,"")</f>
        <v>0</v>
      </c>
      <c r="AC314" s="47" t="str">
        <f>IFERROR(PA[[#This Row],[Breakdown Time]]*PA[[#This Row],[Plant Equivalent Weightage]],"")</f>
        <v/>
      </c>
      <c r="AE314" s="33" t="str">
        <f>IFERROR((_xlfn.XLOOKUP(PA[[#This Row],[Month Year]],'Modelling New'!D:D,'Modelling New'!$O:$O)*PA[[#This Row],[Lost PoA(Wh/m2)]]*PA[[#This Row],[DC Capacity Affceted (kW)]])/1000,"")</f>
        <v/>
      </c>
      <c r="AF314" s="35"/>
    </row>
    <row r="315" spans="1:32">
      <c r="A315" s="2">
        <f t="shared" si="22"/>
        <v>312</v>
      </c>
      <c r="B315" s="156">
        <f t="shared" si="20"/>
        <v>1900</v>
      </c>
      <c r="C315" s="129">
        <f t="shared" si="21"/>
        <v>1900</v>
      </c>
      <c r="I315" s="29" t="str">
        <f>IFERROR(VLOOKUP(PA[[#This Row],[Date]],Raw_Data[[Date]:[Sunset Time (POA&lt;20 W/m2)]],3,0),"")</f>
        <v/>
      </c>
      <c r="J315" s="29" t="str">
        <f>IFERROR(VLOOKUP(PA[[#This Row],[Date]],Raw_Data[[Date]:[Sunset Time (POA&lt;20 W/m2)]],4,0),"")</f>
        <v/>
      </c>
      <c r="K315" s="27" t="str">
        <f>IFERROR((PA[[#This Row],[Sunset Time (POA&lt;20 W/m2)]]-PA[[#This Row],[Sunrise Time (POA&gt;20 W/m2)]])*24,"")</f>
        <v/>
      </c>
      <c r="M315" s="46" t="str">
        <f>IFERROR(VLOOKUP(PA[[#This Row],[Affceted Equipment]],'Basic Data'!$A$2:$B$114,2,0),"")</f>
        <v/>
      </c>
      <c r="N315" s="48" t="str">
        <f>IFERROR(VLOOKUP(PA[[#This Row],[Affceted Equipment]],'Basic Data'!$A$1:$C$118,3,0),"")</f>
        <v/>
      </c>
      <c r="W315" s="33">
        <f>IF(PA[[#This Row],[Acknowledgemnet Time ]]="NA","",(PA[[#This Row],[Acknowledgemnet Time ]]-PA[[#This Row],[Fault Time]])*24)</f>
        <v>0</v>
      </c>
      <c r="X315" s="33">
        <f>IF(PA[[#This Row],[Work Start time on Fault]]="NA","",(PA[[#This Row],[Work Start time on Fault]]-PA[[#This Row],[Fault Time]])*24)</f>
        <v>0</v>
      </c>
      <c r="Y315" s="35">
        <f>(PA[[#This Row],[Work Completiuon time on fualt]]-PA[[#This Row],[Fault Time]])*24</f>
        <v>0</v>
      </c>
      <c r="Z315" s="35">
        <f>IFERROR((PA[[#This Row],[Work Completiuon time on fualt]]-PA[[#This Row],[Fault Time]])*24,"")</f>
        <v>0</v>
      </c>
      <c r="AC315" s="47" t="str">
        <f>IFERROR(PA[[#This Row],[Breakdown Time]]*PA[[#This Row],[Plant Equivalent Weightage]],"")</f>
        <v/>
      </c>
      <c r="AE315" s="33" t="str">
        <f>IFERROR((_xlfn.XLOOKUP(PA[[#This Row],[Month Year]],'Modelling New'!D:D,'Modelling New'!$O:$O)*PA[[#This Row],[Lost PoA(Wh/m2)]]*PA[[#This Row],[DC Capacity Affceted (kW)]])/1000,"")</f>
        <v/>
      </c>
      <c r="AF315" s="35"/>
    </row>
    <row r="316" spans="1:32">
      <c r="A316" s="2">
        <f t="shared" si="22"/>
        <v>313</v>
      </c>
      <c r="B316" s="156">
        <f t="shared" si="20"/>
        <v>1900</v>
      </c>
      <c r="C316" s="129">
        <f t="shared" si="21"/>
        <v>1900</v>
      </c>
      <c r="I316" s="29" t="str">
        <f>IFERROR(VLOOKUP(PA[[#This Row],[Date]],Raw_Data[[Date]:[Sunset Time (POA&lt;20 W/m2)]],3,0),"")</f>
        <v/>
      </c>
      <c r="J316" s="29" t="str">
        <f>IFERROR(VLOOKUP(PA[[#This Row],[Date]],Raw_Data[[Date]:[Sunset Time (POA&lt;20 W/m2)]],4,0),"")</f>
        <v/>
      </c>
      <c r="K316" s="27" t="str">
        <f>IFERROR((PA[[#This Row],[Sunset Time (POA&lt;20 W/m2)]]-PA[[#This Row],[Sunrise Time (POA&gt;20 W/m2)]])*24,"")</f>
        <v/>
      </c>
      <c r="M316" s="46" t="str">
        <f>IFERROR(VLOOKUP(PA[[#This Row],[Affceted Equipment]],'Basic Data'!$A$2:$B$114,2,0),"")</f>
        <v/>
      </c>
      <c r="N316" s="48" t="str">
        <f>IFERROR(VLOOKUP(PA[[#This Row],[Affceted Equipment]],'Basic Data'!$A$1:$C$118,3,0),"")</f>
        <v/>
      </c>
      <c r="W316" s="33">
        <f>IF(PA[[#This Row],[Acknowledgemnet Time ]]="NA","",(PA[[#This Row],[Acknowledgemnet Time ]]-PA[[#This Row],[Fault Time]])*24)</f>
        <v>0</v>
      </c>
      <c r="X316" s="33">
        <f>IF(PA[[#This Row],[Work Start time on Fault]]="NA","",(PA[[#This Row],[Work Start time on Fault]]-PA[[#This Row],[Fault Time]])*24)</f>
        <v>0</v>
      </c>
      <c r="Y316" s="35">
        <f>(PA[[#This Row],[Work Completiuon time on fualt]]-PA[[#This Row],[Fault Time]])*24</f>
        <v>0</v>
      </c>
      <c r="Z316" s="35">
        <f>IFERROR((PA[[#This Row],[Work Completiuon time on fualt]]-PA[[#This Row],[Fault Time]])*24,"")</f>
        <v>0</v>
      </c>
      <c r="AC316" s="47" t="str">
        <f>IFERROR(PA[[#This Row],[Breakdown Time]]*PA[[#This Row],[Plant Equivalent Weightage]],"")</f>
        <v/>
      </c>
      <c r="AE316" s="33" t="str">
        <f>IFERROR((_xlfn.XLOOKUP(PA[[#This Row],[Month Year]],'Modelling New'!D:D,'Modelling New'!$O:$O)*PA[[#This Row],[Lost PoA(Wh/m2)]]*PA[[#This Row],[DC Capacity Affceted (kW)]])/1000,"")</f>
        <v/>
      </c>
      <c r="AF316" s="35"/>
    </row>
    <row r="317" spans="1:32">
      <c r="A317" s="2">
        <f t="shared" si="22"/>
        <v>314</v>
      </c>
      <c r="B317" s="156">
        <f t="shared" si="20"/>
        <v>1900</v>
      </c>
      <c r="C317" s="129">
        <f t="shared" si="21"/>
        <v>1900</v>
      </c>
      <c r="I317" s="29" t="str">
        <f>IFERROR(VLOOKUP(PA[[#This Row],[Date]],Raw_Data[[Date]:[Sunset Time (POA&lt;20 W/m2)]],3,0),"")</f>
        <v/>
      </c>
      <c r="J317" s="29" t="str">
        <f>IFERROR(VLOOKUP(PA[[#This Row],[Date]],Raw_Data[[Date]:[Sunset Time (POA&lt;20 W/m2)]],4,0),"")</f>
        <v/>
      </c>
      <c r="K317" s="27" t="str">
        <f>IFERROR((PA[[#This Row],[Sunset Time (POA&lt;20 W/m2)]]-PA[[#This Row],[Sunrise Time (POA&gt;20 W/m2)]])*24,"")</f>
        <v/>
      </c>
      <c r="M317" s="46" t="str">
        <f>IFERROR(VLOOKUP(PA[[#This Row],[Affceted Equipment]],'Basic Data'!$A$2:$B$114,2,0),"")</f>
        <v/>
      </c>
      <c r="N317" s="48" t="str">
        <f>IFERROR(VLOOKUP(PA[[#This Row],[Affceted Equipment]],'Basic Data'!$A$1:$C$118,3,0),"")</f>
        <v/>
      </c>
      <c r="W317" s="33">
        <f>IF(PA[[#This Row],[Acknowledgemnet Time ]]="NA","",(PA[[#This Row],[Acknowledgemnet Time ]]-PA[[#This Row],[Fault Time]])*24)</f>
        <v>0</v>
      </c>
      <c r="X317" s="33">
        <f>IF(PA[[#This Row],[Work Start time on Fault]]="NA","",(PA[[#This Row],[Work Start time on Fault]]-PA[[#This Row],[Fault Time]])*24)</f>
        <v>0</v>
      </c>
      <c r="Y317" s="35">
        <f>(PA[[#This Row],[Work Completiuon time on fualt]]-PA[[#This Row],[Fault Time]])*24</f>
        <v>0</v>
      </c>
      <c r="Z317" s="35">
        <f>IFERROR((PA[[#This Row],[Work Completiuon time on fualt]]-PA[[#This Row],[Fault Time]])*24,"")</f>
        <v>0</v>
      </c>
      <c r="AC317" s="47" t="str">
        <f>IFERROR(PA[[#This Row],[Breakdown Time]]*PA[[#This Row],[Plant Equivalent Weightage]],"")</f>
        <v/>
      </c>
      <c r="AE317" s="33" t="str">
        <f>IFERROR((_xlfn.XLOOKUP(PA[[#This Row],[Month Year]],'Modelling New'!D:D,'Modelling New'!$O:$O)*PA[[#This Row],[Lost PoA(Wh/m2)]]*PA[[#This Row],[DC Capacity Affceted (kW)]])/1000,"")</f>
        <v/>
      </c>
      <c r="AF317" s="35"/>
    </row>
    <row r="318" spans="1:32">
      <c r="A318" s="2">
        <f t="shared" si="22"/>
        <v>315</v>
      </c>
      <c r="B318" s="156">
        <f t="shared" si="20"/>
        <v>1900</v>
      </c>
      <c r="C318" s="129">
        <f t="shared" si="21"/>
        <v>1900</v>
      </c>
      <c r="I318" s="29" t="str">
        <f>IFERROR(VLOOKUP(PA[[#This Row],[Date]],Raw_Data[[Date]:[Sunset Time (POA&lt;20 W/m2)]],3,0),"")</f>
        <v/>
      </c>
      <c r="J318" s="29" t="str">
        <f>IFERROR(VLOOKUP(PA[[#This Row],[Date]],Raw_Data[[Date]:[Sunset Time (POA&lt;20 W/m2)]],4,0),"")</f>
        <v/>
      </c>
      <c r="K318" s="27" t="str">
        <f>IFERROR((PA[[#This Row],[Sunset Time (POA&lt;20 W/m2)]]-PA[[#This Row],[Sunrise Time (POA&gt;20 W/m2)]])*24,"")</f>
        <v/>
      </c>
      <c r="M318" s="46" t="str">
        <f>IFERROR(VLOOKUP(PA[[#This Row],[Affceted Equipment]],'Basic Data'!$A$2:$B$114,2,0),"")</f>
        <v/>
      </c>
      <c r="N318" s="48" t="str">
        <f>IFERROR(VLOOKUP(PA[[#This Row],[Affceted Equipment]],'Basic Data'!$A$1:$C$118,3,0),"")</f>
        <v/>
      </c>
      <c r="W318" s="33">
        <f>IF(PA[[#This Row],[Acknowledgemnet Time ]]="NA","",(PA[[#This Row],[Acknowledgemnet Time ]]-PA[[#This Row],[Fault Time]])*24)</f>
        <v>0</v>
      </c>
      <c r="X318" s="33">
        <f>IF(PA[[#This Row],[Work Start time on Fault]]="NA","",(PA[[#This Row],[Work Start time on Fault]]-PA[[#This Row],[Fault Time]])*24)</f>
        <v>0</v>
      </c>
      <c r="Y318" s="35">
        <f>(PA[[#This Row],[Work Completiuon time on fualt]]-PA[[#This Row],[Fault Time]])*24</f>
        <v>0</v>
      </c>
      <c r="Z318" s="35">
        <f>IFERROR((PA[[#This Row],[Work Completiuon time on fualt]]-PA[[#This Row],[Fault Time]])*24,"")</f>
        <v>0</v>
      </c>
      <c r="AC318" s="47" t="str">
        <f>IFERROR(PA[[#This Row],[Breakdown Time]]*PA[[#This Row],[Plant Equivalent Weightage]],"")</f>
        <v/>
      </c>
      <c r="AE318" s="33" t="str">
        <f>IFERROR((_xlfn.XLOOKUP(PA[[#This Row],[Month Year]],'Modelling New'!D:D,'Modelling New'!$O:$O)*PA[[#This Row],[Lost PoA(Wh/m2)]]*PA[[#This Row],[DC Capacity Affceted (kW)]])/1000,"")</f>
        <v/>
      </c>
      <c r="AF318" s="35"/>
    </row>
    <row r="319" spans="1:32">
      <c r="A319" s="2">
        <f t="shared" si="22"/>
        <v>316</v>
      </c>
      <c r="B319" s="156">
        <f t="shared" si="20"/>
        <v>1900</v>
      </c>
      <c r="C319" s="129">
        <f t="shared" si="21"/>
        <v>1900</v>
      </c>
      <c r="I319" s="29" t="str">
        <f>IFERROR(VLOOKUP(PA[[#This Row],[Date]],Raw_Data[[Date]:[Sunset Time (POA&lt;20 W/m2)]],3,0),"")</f>
        <v/>
      </c>
      <c r="J319" s="29" t="str">
        <f>IFERROR(VLOOKUP(PA[[#This Row],[Date]],Raw_Data[[Date]:[Sunset Time (POA&lt;20 W/m2)]],4,0),"")</f>
        <v/>
      </c>
      <c r="K319" s="27" t="str">
        <f>IFERROR((PA[[#This Row],[Sunset Time (POA&lt;20 W/m2)]]-PA[[#This Row],[Sunrise Time (POA&gt;20 W/m2)]])*24,"")</f>
        <v/>
      </c>
      <c r="M319" s="46" t="str">
        <f>IFERROR(VLOOKUP(PA[[#This Row],[Affceted Equipment]],'Basic Data'!$A$2:$B$114,2,0),"")</f>
        <v/>
      </c>
      <c r="N319" s="48" t="str">
        <f>IFERROR(VLOOKUP(PA[[#This Row],[Affceted Equipment]],'Basic Data'!$A$1:$C$118,3,0),"")</f>
        <v/>
      </c>
      <c r="W319" s="33">
        <f>IF(PA[[#This Row],[Acknowledgemnet Time ]]="NA","",(PA[[#This Row],[Acknowledgemnet Time ]]-PA[[#This Row],[Fault Time]])*24)</f>
        <v>0</v>
      </c>
      <c r="X319" s="33">
        <f>IF(PA[[#This Row],[Work Start time on Fault]]="NA","",(PA[[#This Row],[Work Start time on Fault]]-PA[[#This Row],[Fault Time]])*24)</f>
        <v>0</v>
      </c>
      <c r="Y319" s="35">
        <f>(PA[[#This Row],[Work Completiuon time on fualt]]-PA[[#This Row],[Fault Time]])*24</f>
        <v>0</v>
      </c>
      <c r="Z319" s="35">
        <f>IFERROR((PA[[#This Row],[Work Completiuon time on fualt]]-PA[[#This Row],[Fault Time]])*24,"")</f>
        <v>0</v>
      </c>
      <c r="AC319" s="47" t="str">
        <f>IFERROR(PA[[#This Row],[Breakdown Time]]*PA[[#This Row],[Plant Equivalent Weightage]],"")</f>
        <v/>
      </c>
      <c r="AE319" s="33" t="str">
        <f>IFERROR((_xlfn.XLOOKUP(PA[[#This Row],[Month Year]],'Modelling New'!D:D,'Modelling New'!$O:$O)*PA[[#This Row],[Lost PoA(Wh/m2)]]*PA[[#This Row],[DC Capacity Affceted (kW)]])/1000,"")</f>
        <v/>
      </c>
      <c r="AF319" s="35"/>
    </row>
    <row r="320" spans="1:32">
      <c r="A320" s="2">
        <f t="shared" si="22"/>
        <v>317</v>
      </c>
      <c r="B320" s="156">
        <f t="shared" si="20"/>
        <v>1900</v>
      </c>
      <c r="C320" s="129">
        <f t="shared" si="21"/>
        <v>1900</v>
      </c>
      <c r="I320" s="29" t="str">
        <f>IFERROR(VLOOKUP(PA[[#This Row],[Date]],Raw_Data[[Date]:[Sunset Time (POA&lt;20 W/m2)]],3,0),"")</f>
        <v/>
      </c>
      <c r="J320" s="29" t="str">
        <f>IFERROR(VLOOKUP(PA[[#This Row],[Date]],Raw_Data[[Date]:[Sunset Time (POA&lt;20 W/m2)]],4,0),"")</f>
        <v/>
      </c>
      <c r="K320" s="27" t="str">
        <f>IFERROR((PA[[#This Row],[Sunset Time (POA&lt;20 W/m2)]]-PA[[#This Row],[Sunrise Time (POA&gt;20 W/m2)]])*24,"")</f>
        <v/>
      </c>
      <c r="M320" s="46" t="str">
        <f>IFERROR(VLOOKUP(PA[[#This Row],[Affceted Equipment]],'Basic Data'!$A$2:$B$114,2,0),"")</f>
        <v/>
      </c>
      <c r="N320" s="48" t="str">
        <f>IFERROR(VLOOKUP(PA[[#This Row],[Affceted Equipment]],'Basic Data'!$A$1:$C$118,3,0),"")</f>
        <v/>
      </c>
      <c r="W320" s="33">
        <f>IF(PA[[#This Row],[Acknowledgemnet Time ]]="NA","",(PA[[#This Row],[Acknowledgemnet Time ]]-PA[[#This Row],[Fault Time]])*24)</f>
        <v>0</v>
      </c>
      <c r="X320" s="33">
        <f>IF(PA[[#This Row],[Work Start time on Fault]]="NA","",(PA[[#This Row],[Work Start time on Fault]]-PA[[#This Row],[Fault Time]])*24)</f>
        <v>0</v>
      </c>
      <c r="Y320" s="35">
        <f>(PA[[#This Row],[Work Completiuon time on fualt]]-PA[[#This Row],[Fault Time]])*24</f>
        <v>0</v>
      </c>
      <c r="Z320" s="35">
        <f>IFERROR((PA[[#This Row],[Work Completiuon time on fualt]]-PA[[#This Row],[Fault Time]])*24,"")</f>
        <v>0</v>
      </c>
      <c r="AC320" s="47" t="str">
        <f>IFERROR(PA[[#This Row],[Breakdown Time]]*PA[[#This Row],[Plant Equivalent Weightage]],"")</f>
        <v/>
      </c>
      <c r="AE320" s="33" t="str">
        <f>IFERROR((_xlfn.XLOOKUP(PA[[#This Row],[Month Year]],'Modelling New'!D:D,'Modelling New'!$O:$O)*PA[[#This Row],[Lost PoA(Wh/m2)]]*PA[[#This Row],[DC Capacity Affceted (kW)]])/1000,"")</f>
        <v/>
      </c>
      <c r="AF320" s="35"/>
    </row>
    <row r="321" spans="1:32">
      <c r="A321" s="2">
        <f t="shared" si="22"/>
        <v>318</v>
      </c>
      <c r="B321" s="156">
        <f t="shared" si="20"/>
        <v>1900</v>
      </c>
      <c r="C321" s="129">
        <f t="shared" si="21"/>
        <v>1900</v>
      </c>
      <c r="I321" s="29" t="str">
        <f>IFERROR(VLOOKUP(PA[[#This Row],[Date]],Raw_Data[[Date]:[Sunset Time (POA&lt;20 W/m2)]],3,0),"")</f>
        <v/>
      </c>
      <c r="J321" s="29" t="str">
        <f>IFERROR(VLOOKUP(PA[[#This Row],[Date]],Raw_Data[[Date]:[Sunset Time (POA&lt;20 W/m2)]],4,0),"")</f>
        <v/>
      </c>
      <c r="K321" s="27" t="str">
        <f>IFERROR((PA[[#This Row],[Sunset Time (POA&lt;20 W/m2)]]-PA[[#This Row],[Sunrise Time (POA&gt;20 W/m2)]])*24,"")</f>
        <v/>
      </c>
      <c r="M321" s="46" t="str">
        <f>IFERROR(VLOOKUP(PA[[#This Row],[Affceted Equipment]],'Basic Data'!$A$2:$B$114,2,0),"")</f>
        <v/>
      </c>
      <c r="N321" s="48" t="str">
        <f>IFERROR(VLOOKUP(PA[[#This Row],[Affceted Equipment]],'Basic Data'!$A$1:$C$118,3,0),"")</f>
        <v/>
      </c>
      <c r="W321" s="33">
        <f>IF(PA[[#This Row],[Acknowledgemnet Time ]]="NA","",(PA[[#This Row],[Acknowledgemnet Time ]]-PA[[#This Row],[Fault Time]])*24)</f>
        <v>0</v>
      </c>
      <c r="X321" s="33">
        <f>IF(PA[[#This Row],[Work Start time on Fault]]="NA","",(PA[[#This Row],[Work Start time on Fault]]-PA[[#This Row],[Fault Time]])*24)</f>
        <v>0</v>
      </c>
      <c r="Y321" s="35">
        <f>(PA[[#This Row],[Work Completiuon time on fualt]]-PA[[#This Row],[Fault Time]])*24</f>
        <v>0</v>
      </c>
      <c r="Z321" s="35">
        <f>IFERROR((PA[[#This Row],[Work Completiuon time on fualt]]-PA[[#This Row],[Fault Time]])*24,"")</f>
        <v>0</v>
      </c>
      <c r="AC321" s="47" t="str">
        <f>IFERROR(PA[[#This Row],[Breakdown Time]]*PA[[#This Row],[Plant Equivalent Weightage]],"")</f>
        <v/>
      </c>
      <c r="AE321" s="33" t="str">
        <f>IFERROR((_xlfn.XLOOKUP(PA[[#This Row],[Month Year]],'Modelling New'!D:D,'Modelling New'!$O:$O)*PA[[#This Row],[Lost PoA(Wh/m2)]]*PA[[#This Row],[DC Capacity Affceted (kW)]])/1000,"")</f>
        <v/>
      </c>
      <c r="AF321" s="35"/>
    </row>
    <row r="322" spans="1:32">
      <c r="A322" s="2">
        <f t="shared" si="22"/>
        <v>319</v>
      </c>
      <c r="B322" s="156">
        <f t="shared" si="20"/>
        <v>1900</v>
      </c>
      <c r="C322" s="129">
        <f t="shared" si="21"/>
        <v>1900</v>
      </c>
      <c r="I322" s="29" t="str">
        <f>IFERROR(VLOOKUP(PA[[#This Row],[Date]],Raw_Data[[Date]:[Sunset Time (POA&lt;20 W/m2)]],3,0),"")</f>
        <v/>
      </c>
      <c r="J322" s="29" t="str">
        <f>IFERROR(VLOOKUP(PA[[#This Row],[Date]],Raw_Data[[Date]:[Sunset Time (POA&lt;20 W/m2)]],4,0),"")</f>
        <v/>
      </c>
      <c r="K322" s="27" t="str">
        <f>IFERROR((PA[[#This Row],[Sunset Time (POA&lt;20 W/m2)]]-PA[[#This Row],[Sunrise Time (POA&gt;20 W/m2)]])*24,"")</f>
        <v/>
      </c>
      <c r="M322" s="46" t="str">
        <f>IFERROR(VLOOKUP(PA[[#This Row],[Affceted Equipment]],'Basic Data'!$A$2:$B$114,2,0),"")</f>
        <v/>
      </c>
      <c r="N322" s="48" t="str">
        <f>IFERROR(VLOOKUP(PA[[#This Row],[Affceted Equipment]],'Basic Data'!$A$1:$C$118,3,0),"")</f>
        <v/>
      </c>
      <c r="W322" s="33">
        <f>IF(PA[[#This Row],[Acknowledgemnet Time ]]="NA","",(PA[[#This Row],[Acknowledgemnet Time ]]-PA[[#This Row],[Fault Time]])*24)</f>
        <v>0</v>
      </c>
      <c r="X322" s="33">
        <f>IF(PA[[#This Row],[Work Start time on Fault]]="NA","",(PA[[#This Row],[Work Start time on Fault]]-PA[[#This Row],[Fault Time]])*24)</f>
        <v>0</v>
      </c>
      <c r="Y322" s="35">
        <f>(PA[[#This Row],[Work Completiuon time on fualt]]-PA[[#This Row],[Fault Time]])*24</f>
        <v>0</v>
      </c>
      <c r="Z322" s="35">
        <f>IFERROR((PA[[#This Row],[Work Completiuon time on fualt]]-PA[[#This Row],[Fault Time]])*24,"")</f>
        <v>0</v>
      </c>
      <c r="AC322" s="47" t="str">
        <f>IFERROR(PA[[#This Row],[Breakdown Time]]*PA[[#This Row],[Plant Equivalent Weightage]],"")</f>
        <v/>
      </c>
      <c r="AE322" s="33" t="str">
        <f>IFERROR((_xlfn.XLOOKUP(PA[[#This Row],[Month Year]],'Modelling New'!D:D,'Modelling New'!$O:$O)*PA[[#This Row],[Lost PoA(Wh/m2)]]*PA[[#This Row],[DC Capacity Affceted (kW)]])/1000,"")</f>
        <v/>
      </c>
      <c r="AF322" s="35"/>
    </row>
    <row r="323" spans="1:32">
      <c r="A323" s="2">
        <f t="shared" si="22"/>
        <v>320</v>
      </c>
      <c r="B323" s="156">
        <f t="shared" si="20"/>
        <v>1900</v>
      </c>
      <c r="C323" s="129">
        <f t="shared" si="21"/>
        <v>1900</v>
      </c>
      <c r="I323" s="29" t="str">
        <f>IFERROR(VLOOKUP(PA[[#This Row],[Date]],Raw_Data[[Date]:[Sunset Time (POA&lt;20 W/m2)]],3,0),"")</f>
        <v/>
      </c>
      <c r="J323" s="29" t="str">
        <f>IFERROR(VLOOKUP(PA[[#This Row],[Date]],Raw_Data[[Date]:[Sunset Time (POA&lt;20 W/m2)]],4,0),"")</f>
        <v/>
      </c>
      <c r="K323" s="27" t="str">
        <f>IFERROR((PA[[#This Row],[Sunset Time (POA&lt;20 W/m2)]]-PA[[#This Row],[Sunrise Time (POA&gt;20 W/m2)]])*24,"")</f>
        <v/>
      </c>
      <c r="M323" s="46" t="str">
        <f>IFERROR(VLOOKUP(PA[[#This Row],[Affceted Equipment]],'Basic Data'!$A$2:$B$114,2,0),"")</f>
        <v/>
      </c>
      <c r="N323" s="48" t="str">
        <f>IFERROR(VLOOKUP(PA[[#This Row],[Affceted Equipment]],'Basic Data'!$A$1:$C$118,3,0),"")</f>
        <v/>
      </c>
      <c r="W323" s="33">
        <f>IF(PA[[#This Row],[Acknowledgemnet Time ]]="NA","",(PA[[#This Row],[Acknowledgemnet Time ]]-PA[[#This Row],[Fault Time]])*24)</f>
        <v>0</v>
      </c>
      <c r="X323" s="33">
        <f>IF(PA[[#This Row],[Work Start time on Fault]]="NA","",(PA[[#This Row],[Work Start time on Fault]]-PA[[#This Row],[Fault Time]])*24)</f>
        <v>0</v>
      </c>
      <c r="Y323" s="35">
        <f>(PA[[#This Row],[Work Completiuon time on fualt]]-PA[[#This Row],[Fault Time]])*24</f>
        <v>0</v>
      </c>
      <c r="Z323" s="35">
        <f>IFERROR((PA[[#This Row],[Work Completiuon time on fualt]]-PA[[#This Row],[Fault Time]])*24,"")</f>
        <v>0</v>
      </c>
      <c r="AC323" s="47" t="str">
        <f>IFERROR(PA[[#This Row],[Breakdown Time]]*PA[[#This Row],[Plant Equivalent Weightage]],"")</f>
        <v/>
      </c>
      <c r="AE323" s="33" t="str">
        <f>IFERROR((_xlfn.XLOOKUP(PA[[#This Row],[Month Year]],'Modelling New'!D:D,'Modelling New'!$O:$O)*PA[[#This Row],[Lost PoA(Wh/m2)]]*PA[[#This Row],[DC Capacity Affceted (kW)]])/1000,"")</f>
        <v/>
      </c>
      <c r="AF323" s="35"/>
    </row>
    <row r="324" spans="1:32">
      <c r="A324" s="2">
        <f t="shared" si="22"/>
        <v>321</v>
      </c>
      <c r="B324" s="156">
        <f t="shared" si="20"/>
        <v>1900</v>
      </c>
      <c r="C324" s="129">
        <f t="shared" si="21"/>
        <v>1900</v>
      </c>
      <c r="I324" s="29" t="str">
        <f>IFERROR(VLOOKUP(PA[[#This Row],[Date]],Raw_Data[[Date]:[Sunset Time (POA&lt;20 W/m2)]],3,0),"")</f>
        <v/>
      </c>
      <c r="J324" s="29" t="str">
        <f>IFERROR(VLOOKUP(PA[[#This Row],[Date]],Raw_Data[[Date]:[Sunset Time (POA&lt;20 W/m2)]],4,0),"")</f>
        <v/>
      </c>
      <c r="K324" s="27" t="str">
        <f>IFERROR((PA[[#This Row],[Sunset Time (POA&lt;20 W/m2)]]-PA[[#This Row],[Sunrise Time (POA&gt;20 W/m2)]])*24,"")</f>
        <v/>
      </c>
      <c r="M324" s="46" t="str">
        <f>IFERROR(VLOOKUP(PA[[#This Row],[Affceted Equipment]],'Basic Data'!$A$2:$B$114,2,0),"")</f>
        <v/>
      </c>
      <c r="N324" s="48" t="str">
        <f>IFERROR(VLOOKUP(PA[[#This Row],[Affceted Equipment]],'Basic Data'!$A$1:$C$118,3,0),"")</f>
        <v/>
      </c>
      <c r="W324" s="33">
        <f>IF(PA[[#This Row],[Acknowledgemnet Time ]]="NA","",(PA[[#This Row],[Acknowledgemnet Time ]]-PA[[#This Row],[Fault Time]])*24)</f>
        <v>0</v>
      </c>
      <c r="X324" s="33">
        <f>IF(PA[[#This Row],[Work Start time on Fault]]="NA","",(PA[[#This Row],[Work Start time on Fault]]-PA[[#This Row],[Fault Time]])*24)</f>
        <v>0</v>
      </c>
      <c r="Y324" s="35">
        <f>(PA[[#This Row],[Work Completiuon time on fualt]]-PA[[#This Row],[Fault Time]])*24</f>
        <v>0</v>
      </c>
      <c r="Z324" s="35">
        <f>IFERROR((PA[[#This Row],[Work Completiuon time on fualt]]-PA[[#This Row],[Fault Time]])*24,"")</f>
        <v>0</v>
      </c>
      <c r="AC324" s="47" t="str">
        <f>IFERROR(PA[[#This Row],[Breakdown Time]]*PA[[#This Row],[Plant Equivalent Weightage]],"")</f>
        <v/>
      </c>
      <c r="AE324" s="33" t="str">
        <f>IFERROR((_xlfn.XLOOKUP(PA[[#This Row],[Month Year]],'Modelling New'!D:D,'Modelling New'!$O:$O)*PA[[#This Row],[Lost PoA(Wh/m2)]]*PA[[#This Row],[DC Capacity Affceted (kW)]])/1000,"")</f>
        <v/>
      </c>
      <c r="AF324" s="35"/>
    </row>
    <row r="325" spans="1:32">
      <c r="A325" s="2">
        <f t="shared" si="22"/>
        <v>322</v>
      </c>
      <c r="B325" s="156">
        <f t="shared" ref="B325:B388" si="23">YEAR(H325)+IF(MONTH(H325)&gt;=4,1,0)</f>
        <v>1900</v>
      </c>
      <c r="C325" s="129">
        <f t="shared" ref="C325:C388" si="24">YEAR(H325)</f>
        <v>1900</v>
      </c>
      <c r="I325" s="29" t="str">
        <f>IFERROR(VLOOKUP(PA[[#This Row],[Date]],Raw_Data[[Date]:[Sunset Time (POA&lt;20 W/m2)]],3,0),"")</f>
        <v/>
      </c>
      <c r="J325" s="29" t="str">
        <f>IFERROR(VLOOKUP(PA[[#This Row],[Date]],Raw_Data[[Date]:[Sunset Time (POA&lt;20 W/m2)]],4,0),"")</f>
        <v/>
      </c>
      <c r="K325" s="27" t="str">
        <f>IFERROR((PA[[#This Row],[Sunset Time (POA&lt;20 W/m2)]]-PA[[#This Row],[Sunrise Time (POA&gt;20 W/m2)]])*24,"")</f>
        <v/>
      </c>
      <c r="M325" s="46" t="str">
        <f>IFERROR(VLOOKUP(PA[[#This Row],[Affceted Equipment]],'Basic Data'!$A$2:$B$114,2,0),"")</f>
        <v/>
      </c>
      <c r="N325" s="48" t="str">
        <f>IFERROR(VLOOKUP(PA[[#This Row],[Affceted Equipment]],'Basic Data'!$A$1:$C$118,3,0),"")</f>
        <v/>
      </c>
      <c r="W325" s="33">
        <f>IF(PA[[#This Row],[Acknowledgemnet Time ]]="NA","",(PA[[#This Row],[Acknowledgemnet Time ]]-PA[[#This Row],[Fault Time]])*24)</f>
        <v>0</v>
      </c>
      <c r="X325" s="33">
        <f>IF(PA[[#This Row],[Work Start time on Fault]]="NA","",(PA[[#This Row],[Work Start time on Fault]]-PA[[#This Row],[Fault Time]])*24)</f>
        <v>0</v>
      </c>
      <c r="Y325" s="35">
        <f>(PA[[#This Row],[Work Completiuon time on fualt]]-PA[[#This Row],[Fault Time]])*24</f>
        <v>0</v>
      </c>
      <c r="Z325" s="35">
        <f>IFERROR((PA[[#This Row],[Work Completiuon time on fualt]]-PA[[#This Row],[Fault Time]])*24,"")</f>
        <v>0</v>
      </c>
      <c r="AC325" s="47" t="str">
        <f>IFERROR(PA[[#This Row],[Breakdown Time]]*PA[[#This Row],[Plant Equivalent Weightage]],"")</f>
        <v/>
      </c>
      <c r="AE325" s="33" t="str">
        <f>IFERROR((_xlfn.XLOOKUP(PA[[#This Row],[Month Year]],'Modelling New'!D:D,'Modelling New'!$O:$O)*PA[[#This Row],[Lost PoA(Wh/m2)]]*PA[[#This Row],[DC Capacity Affceted (kW)]])/1000,"")</f>
        <v/>
      </c>
      <c r="AF325" s="35"/>
    </row>
    <row r="326" spans="1:32">
      <c r="A326" s="2">
        <f t="shared" si="22"/>
        <v>323</v>
      </c>
      <c r="B326" s="156">
        <f t="shared" si="23"/>
        <v>1900</v>
      </c>
      <c r="C326" s="129">
        <f t="shared" si="24"/>
        <v>1900</v>
      </c>
      <c r="I326" s="29" t="str">
        <f>IFERROR(VLOOKUP(PA[[#This Row],[Date]],Raw_Data[[Date]:[Sunset Time (POA&lt;20 W/m2)]],3,0),"")</f>
        <v/>
      </c>
      <c r="J326" s="29" t="str">
        <f>IFERROR(VLOOKUP(PA[[#This Row],[Date]],Raw_Data[[Date]:[Sunset Time (POA&lt;20 W/m2)]],4,0),"")</f>
        <v/>
      </c>
      <c r="K326" s="27" t="str">
        <f>IFERROR((PA[[#This Row],[Sunset Time (POA&lt;20 W/m2)]]-PA[[#This Row],[Sunrise Time (POA&gt;20 W/m2)]])*24,"")</f>
        <v/>
      </c>
      <c r="M326" s="46" t="str">
        <f>IFERROR(VLOOKUP(PA[[#This Row],[Affceted Equipment]],'Basic Data'!$A$2:$B$114,2,0),"")</f>
        <v/>
      </c>
      <c r="N326" s="48" t="str">
        <f>IFERROR(VLOOKUP(PA[[#This Row],[Affceted Equipment]],'Basic Data'!$A$1:$C$118,3,0),"")</f>
        <v/>
      </c>
      <c r="W326" s="33">
        <f>IF(PA[[#This Row],[Acknowledgemnet Time ]]="NA","",(PA[[#This Row],[Acknowledgemnet Time ]]-PA[[#This Row],[Fault Time]])*24)</f>
        <v>0</v>
      </c>
      <c r="X326" s="33">
        <f>IF(PA[[#This Row],[Work Start time on Fault]]="NA","",(PA[[#This Row],[Work Start time on Fault]]-PA[[#This Row],[Fault Time]])*24)</f>
        <v>0</v>
      </c>
      <c r="Y326" s="35">
        <f>(PA[[#This Row],[Work Completiuon time on fualt]]-PA[[#This Row],[Fault Time]])*24</f>
        <v>0</v>
      </c>
      <c r="Z326" s="35">
        <f>IFERROR((PA[[#This Row],[Work Completiuon time on fualt]]-PA[[#This Row],[Fault Time]])*24,"")</f>
        <v>0</v>
      </c>
      <c r="AC326" s="47" t="str">
        <f>IFERROR(PA[[#This Row],[Breakdown Time]]*PA[[#This Row],[Plant Equivalent Weightage]],"")</f>
        <v/>
      </c>
      <c r="AE326" s="33" t="str">
        <f>IFERROR((_xlfn.XLOOKUP(PA[[#This Row],[Month Year]],'Modelling New'!D:D,'Modelling New'!$O:$O)*PA[[#This Row],[Lost PoA(Wh/m2)]]*PA[[#This Row],[DC Capacity Affceted (kW)]])/1000,"")</f>
        <v/>
      </c>
      <c r="AF326" s="35"/>
    </row>
    <row r="327" spans="1:32">
      <c r="A327" s="2">
        <f t="shared" si="22"/>
        <v>324</v>
      </c>
      <c r="B327" s="156">
        <f t="shared" si="23"/>
        <v>1900</v>
      </c>
      <c r="C327" s="129">
        <f t="shared" si="24"/>
        <v>1900</v>
      </c>
      <c r="I327" s="29" t="str">
        <f>IFERROR(VLOOKUP(PA[[#This Row],[Date]],Raw_Data[[Date]:[Sunset Time (POA&lt;20 W/m2)]],3,0),"")</f>
        <v/>
      </c>
      <c r="J327" s="29" t="str">
        <f>IFERROR(VLOOKUP(PA[[#This Row],[Date]],Raw_Data[[Date]:[Sunset Time (POA&lt;20 W/m2)]],4,0),"")</f>
        <v/>
      </c>
      <c r="K327" s="27" t="str">
        <f>IFERROR((PA[[#This Row],[Sunset Time (POA&lt;20 W/m2)]]-PA[[#This Row],[Sunrise Time (POA&gt;20 W/m2)]])*24,"")</f>
        <v/>
      </c>
      <c r="M327" s="46" t="str">
        <f>IFERROR(VLOOKUP(PA[[#This Row],[Affceted Equipment]],'Basic Data'!$A$2:$B$114,2,0),"")</f>
        <v/>
      </c>
      <c r="N327" s="48" t="str">
        <f>IFERROR(VLOOKUP(PA[[#This Row],[Affceted Equipment]],'Basic Data'!$A$1:$C$118,3,0),"")</f>
        <v/>
      </c>
      <c r="W327" s="33">
        <f>IF(PA[[#This Row],[Acknowledgemnet Time ]]="NA","",(PA[[#This Row],[Acknowledgemnet Time ]]-PA[[#This Row],[Fault Time]])*24)</f>
        <v>0</v>
      </c>
      <c r="X327" s="33">
        <f>IF(PA[[#This Row],[Work Start time on Fault]]="NA","",(PA[[#This Row],[Work Start time on Fault]]-PA[[#This Row],[Fault Time]])*24)</f>
        <v>0</v>
      </c>
      <c r="Y327" s="35">
        <f>(PA[[#This Row],[Work Completiuon time on fualt]]-PA[[#This Row],[Fault Time]])*24</f>
        <v>0</v>
      </c>
      <c r="Z327" s="35">
        <f>IFERROR((PA[[#This Row],[Work Completiuon time on fualt]]-PA[[#This Row],[Fault Time]])*24,"")</f>
        <v>0</v>
      </c>
      <c r="AC327" s="47" t="str">
        <f>IFERROR(PA[[#This Row],[Breakdown Time]]*PA[[#This Row],[Plant Equivalent Weightage]],"")</f>
        <v/>
      </c>
      <c r="AE327" s="33" t="str">
        <f>IFERROR((_xlfn.XLOOKUP(PA[[#This Row],[Month Year]],'Modelling New'!D:D,'Modelling New'!$O:$O)*PA[[#This Row],[Lost PoA(Wh/m2)]]*PA[[#This Row],[DC Capacity Affceted (kW)]])/1000,"")</f>
        <v/>
      </c>
      <c r="AF327" s="35"/>
    </row>
    <row r="328" spans="1:32">
      <c r="A328" s="2">
        <f t="shared" si="22"/>
        <v>325</v>
      </c>
      <c r="B328" s="156">
        <f t="shared" si="23"/>
        <v>1900</v>
      </c>
      <c r="C328" s="129">
        <f t="shared" si="24"/>
        <v>1900</v>
      </c>
      <c r="I328" s="29" t="str">
        <f>IFERROR(VLOOKUP(PA[[#This Row],[Date]],Raw_Data[[Date]:[Sunset Time (POA&lt;20 W/m2)]],3,0),"")</f>
        <v/>
      </c>
      <c r="J328" s="29" t="str">
        <f>IFERROR(VLOOKUP(PA[[#This Row],[Date]],Raw_Data[[Date]:[Sunset Time (POA&lt;20 W/m2)]],4,0),"")</f>
        <v/>
      </c>
      <c r="K328" s="27" t="str">
        <f>IFERROR((PA[[#This Row],[Sunset Time (POA&lt;20 W/m2)]]-PA[[#This Row],[Sunrise Time (POA&gt;20 W/m2)]])*24,"")</f>
        <v/>
      </c>
      <c r="M328" s="46" t="str">
        <f>IFERROR(VLOOKUP(PA[[#This Row],[Affceted Equipment]],'Basic Data'!$A$2:$B$114,2,0),"")</f>
        <v/>
      </c>
      <c r="N328" s="48" t="str">
        <f>IFERROR(VLOOKUP(PA[[#This Row],[Affceted Equipment]],'Basic Data'!$A$1:$C$118,3,0),"")</f>
        <v/>
      </c>
      <c r="W328" s="33">
        <f>IF(PA[[#This Row],[Acknowledgemnet Time ]]="NA","",(PA[[#This Row],[Acknowledgemnet Time ]]-PA[[#This Row],[Fault Time]])*24)</f>
        <v>0</v>
      </c>
      <c r="X328" s="33">
        <f>IF(PA[[#This Row],[Work Start time on Fault]]="NA","",(PA[[#This Row],[Work Start time on Fault]]-PA[[#This Row],[Fault Time]])*24)</f>
        <v>0</v>
      </c>
      <c r="Y328" s="35">
        <f>(PA[[#This Row],[Work Completiuon time on fualt]]-PA[[#This Row],[Fault Time]])*24</f>
        <v>0</v>
      </c>
      <c r="Z328" s="35">
        <f>IFERROR((PA[[#This Row],[Work Completiuon time on fualt]]-PA[[#This Row],[Fault Time]])*24,"")</f>
        <v>0</v>
      </c>
      <c r="AC328" s="47" t="str">
        <f>IFERROR(PA[[#This Row],[Breakdown Time]]*PA[[#This Row],[Plant Equivalent Weightage]],"")</f>
        <v/>
      </c>
      <c r="AE328" s="33" t="str">
        <f>IFERROR((_xlfn.XLOOKUP(PA[[#This Row],[Month Year]],'Modelling New'!D:D,'Modelling New'!$O:$O)*PA[[#This Row],[Lost PoA(Wh/m2)]]*PA[[#This Row],[DC Capacity Affceted (kW)]])/1000,"")</f>
        <v/>
      </c>
      <c r="AF328" s="35"/>
    </row>
    <row r="329" spans="1:32">
      <c r="A329" s="2">
        <f t="shared" si="22"/>
        <v>326</v>
      </c>
      <c r="B329" s="156">
        <f t="shared" si="23"/>
        <v>1900</v>
      </c>
      <c r="C329" s="129">
        <f t="shared" si="24"/>
        <v>1900</v>
      </c>
      <c r="I329" s="29" t="str">
        <f>IFERROR(VLOOKUP(PA[[#This Row],[Date]],Raw_Data[[Date]:[Sunset Time (POA&lt;20 W/m2)]],3,0),"")</f>
        <v/>
      </c>
      <c r="J329" s="29" t="str">
        <f>IFERROR(VLOOKUP(PA[[#This Row],[Date]],Raw_Data[[Date]:[Sunset Time (POA&lt;20 W/m2)]],4,0),"")</f>
        <v/>
      </c>
      <c r="K329" s="27" t="str">
        <f>IFERROR((PA[[#This Row],[Sunset Time (POA&lt;20 W/m2)]]-PA[[#This Row],[Sunrise Time (POA&gt;20 W/m2)]])*24,"")</f>
        <v/>
      </c>
      <c r="M329" s="46" t="str">
        <f>IFERROR(VLOOKUP(PA[[#This Row],[Affceted Equipment]],'Basic Data'!$A$2:$B$114,2,0),"")</f>
        <v/>
      </c>
      <c r="N329" s="48" t="str">
        <f>IFERROR(VLOOKUP(PA[[#This Row],[Affceted Equipment]],'Basic Data'!$A$1:$C$118,3,0),"")</f>
        <v/>
      </c>
      <c r="W329" s="33">
        <f>IF(PA[[#This Row],[Acknowledgemnet Time ]]="NA","",(PA[[#This Row],[Acknowledgemnet Time ]]-PA[[#This Row],[Fault Time]])*24)</f>
        <v>0</v>
      </c>
      <c r="X329" s="33">
        <f>IF(PA[[#This Row],[Work Start time on Fault]]="NA","",(PA[[#This Row],[Work Start time on Fault]]-PA[[#This Row],[Fault Time]])*24)</f>
        <v>0</v>
      </c>
      <c r="Y329" s="35">
        <f>(PA[[#This Row],[Work Completiuon time on fualt]]-PA[[#This Row],[Fault Time]])*24</f>
        <v>0</v>
      </c>
      <c r="Z329" s="35">
        <f>IFERROR((PA[[#This Row],[Work Completiuon time on fualt]]-PA[[#This Row],[Fault Time]])*24,"")</f>
        <v>0</v>
      </c>
      <c r="AC329" s="47" t="str">
        <f>IFERROR(PA[[#This Row],[Breakdown Time]]*PA[[#This Row],[Plant Equivalent Weightage]],"")</f>
        <v/>
      </c>
      <c r="AE329" s="33" t="str">
        <f>IFERROR((_xlfn.XLOOKUP(PA[[#This Row],[Month Year]],'Modelling New'!D:D,'Modelling New'!$O:$O)*PA[[#This Row],[Lost PoA(Wh/m2)]]*PA[[#This Row],[DC Capacity Affceted (kW)]])/1000,"")</f>
        <v/>
      </c>
      <c r="AF329" s="35"/>
    </row>
    <row r="330" spans="1:32">
      <c r="A330" s="2">
        <f t="shared" ref="A330:A393" si="25">A329+1</f>
        <v>327</v>
      </c>
      <c r="B330" s="156">
        <f t="shared" si="23"/>
        <v>1900</v>
      </c>
      <c r="C330" s="129">
        <f t="shared" si="24"/>
        <v>1900</v>
      </c>
      <c r="I330" s="29" t="str">
        <f>IFERROR(VLOOKUP(PA[[#This Row],[Date]],Raw_Data[[Date]:[Sunset Time (POA&lt;20 W/m2)]],3,0),"")</f>
        <v/>
      </c>
      <c r="J330" s="29" t="str">
        <f>IFERROR(VLOOKUP(PA[[#This Row],[Date]],Raw_Data[[Date]:[Sunset Time (POA&lt;20 W/m2)]],4,0),"")</f>
        <v/>
      </c>
      <c r="K330" s="27" t="str">
        <f>IFERROR((PA[[#This Row],[Sunset Time (POA&lt;20 W/m2)]]-PA[[#This Row],[Sunrise Time (POA&gt;20 W/m2)]])*24,"")</f>
        <v/>
      </c>
      <c r="M330" s="46" t="str">
        <f>IFERROR(VLOOKUP(PA[[#This Row],[Affceted Equipment]],'Basic Data'!$A$2:$B$114,2,0),"")</f>
        <v/>
      </c>
      <c r="N330" s="48" t="str">
        <f>IFERROR(VLOOKUP(PA[[#This Row],[Affceted Equipment]],'Basic Data'!$A$1:$C$118,3,0),"")</f>
        <v/>
      </c>
      <c r="W330" s="33">
        <f>IF(PA[[#This Row],[Acknowledgemnet Time ]]="NA","",(PA[[#This Row],[Acknowledgemnet Time ]]-PA[[#This Row],[Fault Time]])*24)</f>
        <v>0</v>
      </c>
      <c r="X330" s="33">
        <f>IF(PA[[#This Row],[Work Start time on Fault]]="NA","",(PA[[#This Row],[Work Start time on Fault]]-PA[[#This Row],[Fault Time]])*24)</f>
        <v>0</v>
      </c>
      <c r="Y330" s="35">
        <f>(PA[[#This Row],[Work Completiuon time on fualt]]-PA[[#This Row],[Fault Time]])*24</f>
        <v>0</v>
      </c>
      <c r="Z330" s="35">
        <f>IFERROR((PA[[#This Row],[Work Completiuon time on fualt]]-PA[[#This Row],[Fault Time]])*24,"")</f>
        <v>0</v>
      </c>
      <c r="AC330" s="47" t="str">
        <f>IFERROR(PA[[#This Row],[Breakdown Time]]*PA[[#This Row],[Plant Equivalent Weightage]],"")</f>
        <v/>
      </c>
      <c r="AE330" s="33" t="str">
        <f>IFERROR((_xlfn.XLOOKUP(PA[[#This Row],[Month Year]],'Modelling New'!D:D,'Modelling New'!$O:$O)*PA[[#This Row],[Lost PoA(Wh/m2)]]*PA[[#This Row],[DC Capacity Affceted (kW)]])/1000,"")</f>
        <v/>
      </c>
      <c r="AF330" s="35"/>
    </row>
    <row r="331" spans="1:32">
      <c r="A331" s="2">
        <f t="shared" si="25"/>
        <v>328</v>
      </c>
      <c r="B331" s="156">
        <f t="shared" si="23"/>
        <v>1900</v>
      </c>
      <c r="C331" s="129">
        <f t="shared" si="24"/>
        <v>1900</v>
      </c>
      <c r="I331" s="29" t="str">
        <f>IFERROR(VLOOKUP(PA[[#This Row],[Date]],Raw_Data[[Date]:[Sunset Time (POA&lt;20 W/m2)]],3,0),"")</f>
        <v/>
      </c>
      <c r="J331" s="29" t="str">
        <f>IFERROR(VLOOKUP(PA[[#This Row],[Date]],Raw_Data[[Date]:[Sunset Time (POA&lt;20 W/m2)]],4,0),"")</f>
        <v/>
      </c>
      <c r="K331" s="27" t="str">
        <f>IFERROR((PA[[#This Row],[Sunset Time (POA&lt;20 W/m2)]]-PA[[#This Row],[Sunrise Time (POA&gt;20 W/m2)]])*24,"")</f>
        <v/>
      </c>
      <c r="M331" s="46" t="str">
        <f>IFERROR(VLOOKUP(PA[[#This Row],[Affceted Equipment]],'Basic Data'!$A$2:$B$114,2,0),"")</f>
        <v/>
      </c>
      <c r="N331" s="48" t="str">
        <f>IFERROR(VLOOKUP(PA[[#This Row],[Affceted Equipment]],'Basic Data'!$A$1:$C$118,3,0),"")</f>
        <v/>
      </c>
      <c r="W331" s="33">
        <f>IF(PA[[#This Row],[Acknowledgemnet Time ]]="NA","",(PA[[#This Row],[Acknowledgemnet Time ]]-PA[[#This Row],[Fault Time]])*24)</f>
        <v>0</v>
      </c>
      <c r="X331" s="33">
        <f>IF(PA[[#This Row],[Work Start time on Fault]]="NA","",(PA[[#This Row],[Work Start time on Fault]]-PA[[#This Row],[Fault Time]])*24)</f>
        <v>0</v>
      </c>
      <c r="Y331" s="35">
        <f>(PA[[#This Row],[Work Completiuon time on fualt]]-PA[[#This Row],[Fault Time]])*24</f>
        <v>0</v>
      </c>
      <c r="Z331" s="35">
        <f>IFERROR((PA[[#This Row],[Work Completiuon time on fualt]]-PA[[#This Row],[Fault Time]])*24,"")</f>
        <v>0</v>
      </c>
      <c r="AC331" s="47" t="str">
        <f>IFERROR(PA[[#This Row],[Breakdown Time]]*PA[[#This Row],[Plant Equivalent Weightage]],"")</f>
        <v/>
      </c>
      <c r="AE331" s="33" t="str">
        <f>IFERROR((_xlfn.XLOOKUP(PA[[#This Row],[Month Year]],'Modelling New'!D:D,'Modelling New'!$O:$O)*PA[[#This Row],[Lost PoA(Wh/m2)]]*PA[[#This Row],[DC Capacity Affceted (kW)]])/1000,"")</f>
        <v/>
      </c>
      <c r="AF331" s="35"/>
    </row>
    <row r="332" spans="1:32">
      <c r="A332" s="2">
        <f t="shared" si="25"/>
        <v>329</v>
      </c>
      <c r="B332" s="156">
        <f t="shared" si="23"/>
        <v>1900</v>
      </c>
      <c r="C332" s="129">
        <f t="shared" si="24"/>
        <v>1900</v>
      </c>
      <c r="I332" s="29" t="str">
        <f>IFERROR(VLOOKUP(PA[[#This Row],[Date]],Raw_Data[[Date]:[Sunset Time (POA&lt;20 W/m2)]],3,0),"")</f>
        <v/>
      </c>
      <c r="J332" s="29" t="str">
        <f>IFERROR(VLOOKUP(PA[[#This Row],[Date]],Raw_Data[[Date]:[Sunset Time (POA&lt;20 W/m2)]],4,0),"")</f>
        <v/>
      </c>
      <c r="K332" s="27" t="str">
        <f>IFERROR((PA[[#This Row],[Sunset Time (POA&lt;20 W/m2)]]-PA[[#This Row],[Sunrise Time (POA&gt;20 W/m2)]])*24,"")</f>
        <v/>
      </c>
      <c r="M332" s="46" t="str">
        <f>IFERROR(VLOOKUP(PA[[#This Row],[Affceted Equipment]],'Basic Data'!$A$2:$B$114,2,0),"")</f>
        <v/>
      </c>
      <c r="N332" s="48" t="str">
        <f>IFERROR(VLOOKUP(PA[[#This Row],[Affceted Equipment]],'Basic Data'!$A$1:$C$118,3,0),"")</f>
        <v/>
      </c>
      <c r="W332" s="33">
        <f>IF(PA[[#This Row],[Acknowledgemnet Time ]]="NA","",(PA[[#This Row],[Acknowledgemnet Time ]]-PA[[#This Row],[Fault Time]])*24)</f>
        <v>0</v>
      </c>
      <c r="X332" s="33">
        <f>IF(PA[[#This Row],[Work Start time on Fault]]="NA","",(PA[[#This Row],[Work Start time on Fault]]-PA[[#This Row],[Fault Time]])*24)</f>
        <v>0</v>
      </c>
      <c r="Y332" s="35">
        <f>(PA[[#This Row],[Work Completiuon time on fualt]]-PA[[#This Row],[Fault Time]])*24</f>
        <v>0</v>
      </c>
      <c r="Z332" s="35">
        <f>IFERROR((PA[[#This Row],[Work Completiuon time on fualt]]-PA[[#This Row],[Fault Time]])*24,"")</f>
        <v>0</v>
      </c>
      <c r="AC332" s="47" t="str">
        <f>IFERROR(PA[[#This Row],[Breakdown Time]]*PA[[#This Row],[Plant Equivalent Weightage]],"")</f>
        <v/>
      </c>
      <c r="AE332" s="33" t="str">
        <f>IFERROR((_xlfn.XLOOKUP(PA[[#This Row],[Month Year]],'Modelling New'!D:D,'Modelling New'!$O:$O)*PA[[#This Row],[Lost PoA(Wh/m2)]]*PA[[#This Row],[DC Capacity Affceted (kW)]])/1000,"")</f>
        <v/>
      </c>
      <c r="AF332" s="35"/>
    </row>
    <row r="333" spans="1:32">
      <c r="A333" s="2">
        <f t="shared" si="25"/>
        <v>330</v>
      </c>
      <c r="B333" s="156">
        <f t="shared" si="23"/>
        <v>1900</v>
      </c>
      <c r="C333" s="129">
        <f t="shared" si="24"/>
        <v>1900</v>
      </c>
      <c r="I333" s="29" t="str">
        <f>IFERROR(VLOOKUP(PA[[#This Row],[Date]],Raw_Data[[Date]:[Sunset Time (POA&lt;20 W/m2)]],3,0),"")</f>
        <v/>
      </c>
      <c r="J333" s="29" t="str">
        <f>IFERROR(VLOOKUP(PA[[#This Row],[Date]],Raw_Data[[Date]:[Sunset Time (POA&lt;20 W/m2)]],4,0),"")</f>
        <v/>
      </c>
      <c r="K333" s="27" t="str">
        <f>IFERROR((PA[[#This Row],[Sunset Time (POA&lt;20 W/m2)]]-PA[[#This Row],[Sunrise Time (POA&gt;20 W/m2)]])*24,"")</f>
        <v/>
      </c>
      <c r="M333" s="46" t="str">
        <f>IFERROR(VLOOKUP(PA[[#This Row],[Affceted Equipment]],'Basic Data'!$A$2:$B$114,2,0),"")</f>
        <v/>
      </c>
      <c r="N333" s="48" t="str">
        <f>IFERROR(VLOOKUP(PA[[#This Row],[Affceted Equipment]],'Basic Data'!$A$1:$C$118,3,0),"")</f>
        <v/>
      </c>
      <c r="W333" s="33">
        <f>IF(PA[[#This Row],[Acknowledgemnet Time ]]="NA","",(PA[[#This Row],[Acknowledgemnet Time ]]-PA[[#This Row],[Fault Time]])*24)</f>
        <v>0</v>
      </c>
      <c r="X333" s="33">
        <f>IF(PA[[#This Row],[Work Start time on Fault]]="NA","",(PA[[#This Row],[Work Start time on Fault]]-PA[[#This Row],[Fault Time]])*24)</f>
        <v>0</v>
      </c>
      <c r="Y333" s="35">
        <f>(PA[[#This Row],[Work Completiuon time on fualt]]-PA[[#This Row],[Fault Time]])*24</f>
        <v>0</v>
      </c>
      <c r="Z333" s="35">
        <f>IFERROR((PA[[#This Row],[Work Completiuon time on fualt]]-PA[[#This Row],[Fault Time]])*24,"")</f>
        <v>0</v>
      </c>
      <c r="AC333" s="47" t="str">
        <f>IFERROR(PA[[#This Row],[Breakdown Time]]*PA[[#This Row],[Plant Equivalent Weightage]],"")</f>
        <v/>
      </c>
      <c r="AE333" s="33" t="str">
        <f>IFERROR((_xlfn.XLOOKUP(PA[[#This Row],[Month Year]],'Modelling New'!D:D,'Modelling New'!$O:$O)*PA[[#This Row],[Lost PoA(Wh/m2)]]*PA[[#This Row],[DC Capacity Affceted (kW)]])/1000,"")</f>
        <v/>
      </c>
      <c r="AF333" s="35"/>
    </row>
    <row r="334" spans="1:32">
      <c r="A334" s="2">
        <f t="shared" si="25"/>
        <v>331</v>
      </c>
      <c r="B334" s="156">
        <f t="shared" si="23"/>
        <v>1900</v>
      </c>
      <c r="C334" s="129">
        <f t="shared" si="24"/>
        <v>1900</v>
      </c>
      <c r="I334" s="29" t="str">
        <f>IFERROR(VLOOKUP(PA[[#This Row],[Date]],Raw_Data[[Date]:[Sunset Time (POA&lt;20 W/m2)]],3,0),"")</f>
        <v/>
      </c>
      <c r="J334" s="29" t="str">
        <f>IFERROR(VLOOKUP(PA[[#This Row],[Date]],Raw_Data[[Date]:[Sunset Time (POA&lt;20 W/m2)]],4,0),"")</f>
        <v/>
      </c>
      <c r="K334" s="27" t="str">
        <f>IFERROR((PA[[#This Row],[Sunset Time (POA&lt;20 W/m2)]]-PA[[#This Row],[Sunrise Time (POA&gt;20 W/m2)]])*24,"")</f>
        <v/>
      </c>
      <c r="M334" s="46" t="str">
        <f>IFERROR(VLOOKUP(PA[[#This Row],[Affceted Equipment]],'Basic Data'!$A$2:$B$114,2,0),"")</f>
        <v/>
      </c>
      <c r="N334" s="48" t="str">
        <f>IFERROR(VLOOKUP(PA[[#This Row],[Affceted Equipment]],'Basic Data'!$A$1:$C$118,3,0),"")</f>
        <v/>
      </c>
      <c r="W334" s="33">
        <f>IF(PA[[#This Row],[Acknowledgemnet Time ]]="NA","",(PA[[#This Row],[Acknowledgemnet Time ]]-PA[[#This Row],[Fault Time]])*24)</f>
        <v>0</v>
      </c>
      <c r="X334" s="33">
        <f>IF(PA[[#This Row],[Work Start time on Fault]]="NA","",(PA[[#This Row],[Work Start time on Fault]]-PA[[#This Row],[Fault Time]])*24)</f>
        <v>0</v>
      </c>
      <c r="Y334" s="35">
        <f>(PA[[#This Row],[Work Completiuon time on fualt]]-PA[[#This Row],[Fault Time]])*24</f>
        <v>0</v>
      </c>
      <c r="Z334" s="35">
        <f>IFERROR((PA[[#This Row],[Work Completiuon time on fualt]]-PA[[#This Row],[Fault Time]])*24,"")</f>
        <v>0</v>
      </c>
      <c r="AC334" s="47" t="str">
        <f>IFERROR(PA[[#This Row],[Breakdown Time]]*PA[[#This Row],[Plant Equivalent Weightage]],"")</f>
        <v/>
      </c>
      <c r="AE334" s="33" t="str">
        <f>IFERROR((_xlfn.XLOOKUP(PA[[#This Row],[Month Year]],'Modelling New'!D:D,'Modelling New'!$O:$O)*PA[[#This Row],[Lost PoA(Wh/m2)]]*PA[[#This Row],[DC Capacity Affceted (kW)]])/1000,"")</f>
        <v/>
      </c>
      <c r="AF334" s="35"/>
    </row>
    <row r="335" spans="1:32">
      <c r="A335" s="2">
        <f t="shared" si="25"/>
        <v>332</v>
      </c>
      <c r="B335" s="156">
        <f t="shared" si="23"/>
        <v>1900</v>
      </c>
      <c r="C335" s="129">
        <f t="shared" si="24"/>
        <v>1900</v>
      </c>
      <c r="I335" s="29" t="str">
        <f>IFERROR(VLOOKUP(PA[[#This Row],[Date]],Raw_Data[[Date]:[Sunset Time (POA&lt;20 W/m2)]],3,0),"")</f>
        <v/>
      </c>
      <c r="J335" s="29" t="str">
        <f>IFERROR(VLOOKUP(PA[[#This Row],[Date]],Raw_Data[[Date]:[Sunset Time (POA&lt;20 W/m2)]],4,0),"")</f>
        <v/>
      </c>
      <c r="K335" s="27" t="str">
        <f>IFERROR((PA[[#This Row],[Sunset Time (POA&lt;20 W/m2)]]-PA[[#This Row],[Sunrise Time (POA&gt;20 W/m2)]])*24,"")</f>
        <v/>
      </c>
      <c r="M335" s="46" t="str">
        <f>IFERROR(VLOOKUP(PA[[#This Row],[Affceted Equipment]],'Basic Data'!$A$2:$B$114,2,0),"")</f>
        <v/>
      </c>
      <c r="N335" s="48" t="str">
        <f>IFERROR(VLOOKUP(PA[[#This Row],[Affceted Equipment]],'Basic Data'!$A$1:$C$118,3,0),"")</f>
        <v/>
      </c>
      <c r="W335" s="33">
        <f>IF(PA[[#This Row],[Acknowledgemnet Time ]]="NA","",(PA[[#This Row],[Acknowledgemnet Time ]]-PA[[#This Row],[Fault Time]])*24)</f>
        <v>0</v>
      </c>
      <c r="X335" s="33">
        <f>IF(PA[[#This Row],[Work Start time on Fault]]="NA","",(PA[[#This Row],[Work Start time on Fault]]-PA[[#This Row],[Fault Time]])*24)</f>
        <v>0</v>
      </c>
      <c r="Y335" s="35">
        <f>(PA[[#This Row],[Work Completiuon time on fualt]]-PA[[#This Row],[Fault Time]])*24</f>
        <v>0</v>
      </c>
      <c r="Z335" s="35">
        <f>IFERROR((PA[[#This Row],[Work Completiuon time on fualt]]-PA[[#This Row],[Fault Time]])*24,"")</f>
        <v>0</v>
      </c>
      <c r="AC335" s="47" t="str">
        <f>IFERROR(PA[[#This Row],[Breakdown Time]]*PA[[#This Row],[Plant Equivalent Weightage]],"")</f>
        <v/>
      </c>
      <c r="AE335" s="33" t="str">
        <f>IFERROR((_xlfn.XLOOKUP(PA[[#This Row],[Month Year]],'Modelling New'!D:D,'Modelling New'!$O:$O)*PA[[#This Row],[Lost PoA(Wh/m2)]]*PA[[#This Row],[DC Capacity Affceted (kW)]])/1000,"")</f>
        <v/>
      </c>
      <c r="AF335" s="35"/>
    </row>
    <row r="336" spans="1:32">
      <c r="A336" s="2">
        <f t="shared" si="25"/>
        <v>333</v>
      </c>
      <c r="B336" s="156">
        <f t="shared" si="23"/>
        <v>1900</v>
      </c>
      <c r="C336" s="129">
        <f t="shared" si="24"/>
        <v>1900</v>
      </c>
      <c r="I336" s="29" t="str">
        <f>IFERROR(VLOOKUP(PA[[#This Row],[Date]],Raw_Data[[Date]:[Sunset Time (POA&lt;20 W/m2)]],3,0),"")</f>
        <v/>
      </c>
      <c r="J336" s="29" t="str">
        <f>IFERROR(VLOOKUP(PA[[#This Row],[Date]],Raw_Data[[Date]:[Sunset Time (POA&lt;20 W/m2)]],4,0),"")</f>
        <v/>
      </c>
      <c r="K336" s="27" t="str">
        <f>IFERROR((PA[[#This Row],[Sunset Time (POA&lt;20 W/m2)]]-PA[[#This Row],[Sunrise Time (POA&gt;20 W/m2)]])*24,"")</f>
        <v/>
      </c>
      <c r="M336" s="46" t="str">
        <f>IFERROR(VLOOKUP(PA[[#This Row],[Affceted Equipment]],'Basic Data'!$A$2:$B$114,2,0),"")</f>
        <v/>
      </c>
      <c r="N336" s="48" t="str">
        <f>IFERROR(VLOOKUP(PA[[#This Row],[Affceted Equipment]],'Basic Data'!$A$1:$C$118,3,0),"")</f>
        <v/>
      </c>
      <c r="W336" s="33">
        <f>IF(PA[[#This Row],[Acknowledgemnet Time ]]="NA","",(PA[[#This Row],[Acknowledgemnet Time ]]-PA[[#This Row],[Fault Time]])*24)</f>
        <v>0</v>
      </c>
      <c r="X336" s="33">
        <f>IF(PA[[#This Row],[Work Start time on Fault]]="NA","",(PA[[#This Row],[Work Start time on Fault]]-PA[[#This Row],[Fault Time]])*24)</f>
        <v>0</v>
      </c>
      <c r="Y336" s="35">
        <f>(PA[[#This Row],[Work Completiuon time on fualt]]-PA[[#This Row],[Fault Time]])*24</f>
        <v>0</v>
      </c>
      <c r="Z336" s="35">
        <f>IFERROR((PA[[#This Row],[Work Completiuon time on fualt]]-PA[[#This Row],[Fault Time]])*24,"")</f>
        <v>0</v>
      </c>
      <c r="AC336" s="47" t="str">
        <f>IFERROR(PA[[#This Row],[Breakdown Time]]*PA[[#This Row],[Plant Equivalent Weightage]],"")</f>
        <v/>
      </c>
      <c r="AE336" s="33" t="str">
        <f>IFERROR((_xlfn.XLOOKUP(PA[[#This Row],[Month Year]],'Modelling New'!D:D,'Modelling New'!$O:$O)*PA[[#This Row],[Lost PoA(Wh/m2)]]*PA[[#This Row],[DC Capacity Affceted (kW)]])/1000,"")</f>
        <v/>
      </c>
      <c r="AF336" s="35"/>
    </row>
    <row r="337" spans="1:32">
      <c r="A337" s="2">
        <f t="shared" si="25"/>
        <v>334</v>
      </c>
      <c r="B337" s="156">
        <f t="shared" si="23"/>
        <v>1900</v>
      </c>
      <c r="C337" s="129">
        <f t="shared" si="24"/>
        <v>1900</v>
      </c>
      <c r="I337" s="29" t="str">
        <f>IFERROR(VLOOKUP(PA[[#This Row],[Date]],Raw_Data[[Date]:[Sunset Time (POA&lt;20 W/m2)]],3,0),"")</f>
        <v/>
      </c>
      <c r="J337" s="29" t="str">
        <f>IFERROR(VLOOKUP(PA[[#This Row],[Date]],Raw_Data[[Date]:[Sunset Time (POA&lt;20 W/m2)]],4,0),"")</f>
        <v/>
      </c>
      <c r="K337" s="27" t="str">
        <f>IFERROR((PA[[#This Row],[Sunset Time (POA&lt;20 W/m2)]]-PA[[#This Row],[Sunrise Time (POA&gt;20 W/m2)]])*24,"")</f>
        <v/>
      </c>
      <c r="M337" s="46" t="str">
        <f>IFERROR(VLOOKUP(PA[[#This Row],[Affceted Equipment]],'Basic Data'!$A$2:$B$114,2,0),"")</f>
        <v/>
      </c>
      <c r="N337" s="48" t="str">
        <f>IFERROR(VLOOKUP(PA[[#This Row],[Affceted Equipment]],'Basic Data'!$A$1:$C$118,3,0),"")</f>
        <v/>
      </c>
      <c r="W337" s="33">
        <f>IF(PA[[#This Row],[Acknowledgemnet Time ]]="NA","",(PA[[#This Row],[Acknowledgemnet Time ]]-PA[[#This Row],[Fault Time]])*24)</f>
        <v>0</v>
      </c>
      <c r="X337" s="33">
        <f>IF(PA[[#This Row],[Work Start time on Fault]]="NA","",(PA[[#This Row],[Work Start time on Fault]]-PA[[#This Row],[Fault Time]])*24)</f>
        <v>0</v>
      </c>
      <c r="Y337" s="35">
        <f>(PA[[#This Row],[Work Completiuon time on fualt]]-PA[[#This Row],[Fault Time]])*24</f>
        <v>0</v>
      </c>
      <c r="Z337" s="35">
        <f>IFERROR((PA[[#This Row],[Work Completiuon time on fualt]]-PA[[#This Row],[Fault Time]])*24,"")</f>
        <v>0</v>
      </c>
      <c r="AC337" s="47" t="str">
        <f>IFERROR(PA[[#This Row],[Breakdown Time]]*PA[[#This Row],[Plant Equivalent Weightage]],"")</f>
        <v/>
      </c>
      <c r="AE337" s="33" t="str">
        <f>IFERROR((_xlfn.XLOOKUP(PA[[#This Row],[Month Year]],'Modelling New'!D:D,'Modelling New'!$O:$O)*PA[[#This Row],[Lost PoA(Wh/m2)]]*PA[[#This Row],[DC Capacity Affceted (kW)]])/1000,"")</f>
        <v/>
      </c>
      <c r="AF337" s="35"/>
    </row>
    <row r="338" spans="1:32">
      <c r="A338" s="2">
        <f t="shared" si="25"/>
        <v>335</v>
      </c>
      <c r="B338" s="156">
        <f t="shared" si="23"/>
        <v>1900</v>
      </c>
      <c r="C338" s="129">
        <f t="shared" si="24"/>
        <v>1900</v>
      </c>
      <c r="I338" s="29" t="str">
        <f>IFERROR(VLOOKUP(PA[[#This Row],[Date]],Raw_Data[[Date]:[Sunset Time (POA&lt;20 W/m2)]],3,0),"")</f>
        <v/>
      </c>
      <c r="J338" s="29" t="str">
        <f>IFERROR(VLOOKUP(PA[[#This Row],[Date]],Raw_Data[[Date]:[Sunset Time (POA&lt;20 W/m2)]],4,0),"")</f>
        <v/>
      </c>
      <c r="K338" s="27" t="str">
        <f>IFERROR((PA[[#This Row],[Sunset Time (POA&lt;20 W/m2)]]-PA[[#This Row],[Sunrise Time (POA&gt;20 W/m2)]])*24,"")</f>
        <v/>
      </c>
      <c r="M338" s="46" t="str">
        <f>IFERROR(VLOOKUP(PA[[#This Row],[Affceted Equipment]],'Basic Data'!$A$2:$B$114,2,0),"")</f>
        <v/>
      </c>
      <c r="N338" s="48" t="str">
        <f>IFERROR(VLOOKUP(PA[[#This Row],[Affceted Equipment]],'Basic Data'!$A$1:$C$118,3,0),"")</f>
        <v/>
      </c>
      <c r="W338" s="33">
        <f>IF(PA[[#This Row],[Acknowledgemnet Time ]]="NA","",(PA[[#This Row],[Acknowledgemnet Time ]]-PA[[#This Row],[Fault Time]])*24)</f>
        <v>0</v>
      </c>
      <c r="X338" s="33">
        <f>IF(PA[[#This Row],[Work Start time on Fault]]="NA","",(PA[[#This Row],[Work Start time on Fault]]-PA[[#This Row],[Fault Time]])*24)</f>
        <v>0</v>
      </c>
      <c r="Y338" s="35">
        <f>(PA[[#This Row],[Work Completiuon time on fualt]]-PA[[#This Row],[Fault Time]])*24</f>
        <v>0</v>
      </c>
      <c r="Z338" s="35">
        <f>IFERROR((PA[[#This Row],[Work Completiuon time on fualt]]-PA[[#This Row],[Fault Time]])*24,"")</f>
        <v>0</v>
      </c>
      <c r="AC338" s="47" t="str">
        <f>IFERROR(PA[[#This Row],[Breakdown Time]]*PA[[#This Row],[Plant Equivalent Weightage]],"")</f>
        <v/>
      </c>
      <c r="AE338" s="33" t="str">
        <f>IFERROR((_xlfn.XLOOKUP(PA[[#This Row],[Month Year]],'Modelling New'!D:D,'Modelling New'!$O:$O)*PA[[#This Row],[Lost PoA(Wh/m2)]]*PA[[#This Row],[DC Capacity Affceted (kW)]])/1000,"")</f>
        <v/>
      </c>
      <c r="AF338" s="35"/>
    </row>
    <row r="339" spans="1:32">
      <c r="A339" s="2">
        <f t="shared" si="25"/>
        <v>336</v>
      </c>
      <c r="B339" s="156">
        <f t="shared" si="23"/>
        <v>1900</v>
      </c>
      <c r="C339" s="129">
        <f t="shared" si="24"/>
        <v>1900</v>
      </c>
      <c r="I339" s="29" t="str">
        <f>IFERROR(VLOOKUP(PA[[#This Row],[Date]],Raw_Data[[Date]:[Sunset Time (POA&lt;20 W/m2)]],3,0),"")</f>
        <v/>
      </c>
      <c r="J339" s="29" t="str">
        <f>IFERROR(VLOOKUP(PA[[#This Row],[Date]],Raw_Data[[Date]:[Sunset Time (POA&lt;20 W/m2)]],4,0),"")</f>
        <v/>
      </c>
      <c r="K339" s="27" t="str">
        <f>IFERROR((PA[[#This Row],[Sunset Time (POA&lt;20 W/m2)]]-PA[[#This Row],[Sunrise Time (POA&gt;20 W/m2)]])*24,"")</f>
        <v/>
      </c>
      <c r="M339" s="46" t="str">
        <f>IFERROR(VLOOKUP(PA[[#This Row],[Affceted Equipment]],'Basic Data'!$A$2:$B$114,2,0),"")</f>
        <v/>
      </c>
      <c r="N339" s="48" t="str">
        <f>IFERROR(VLOOKUP(PA[[#This Row],[Affceted Equipment]],'Basic Data'!$A$1:$C$118,3,0),"")</f>
        <v/>
      </c>
      <c r="W339" s="33">
        <f>IF(PA[[#This Row],[Acknowledgemnet Time ]]="NA","",(PA[[#This Row],[Acknowledgemnet Time ]]-PA[[#This Row],[Fault Time]])*24)</f>
        <v>0</v>
      </c>
      <c r="X339" s="33">
        <f>IF(PA[[#This Row],[Work Start time on Fault]]="NA","",(PA[[#This Row],[Work Start time on Fault]]-PA[[#This Row],[Fault Time]])*24)</f>
        <v>0</v>
      </c>
      <c r="Y339" s="35">
        <f>(PA[[#This Row],[Work Completiuon time on fualt]]-PA[[#This Row],[Fault Time]])*24</f>
        <v>0</v>
      </c>
      <c r="Z339" s="35">
        <f>IFERROR((PA[[#This Row],[Work Completiuon time on fualt]]-PA[[#This Row],[Fault Time]])*24,"")</f>
        <v>0</v>
      </c>
      <c r="AC339" s="47" t="str">
        <f>IFERROR(PA[[#This Row],[Breakdown Time]]*PA[[#This Row],[Plant Equivalent Weightage]],"")</f>
        <v/>
      </c>
      <c r="AE339" s="33" t="str">
        <f>IFERROR((_xlfn.XLOOKUP(PA[[#This Row],[Month Year]],'Modelling New'!D:D,'Modelling New'!$O:$O)*PA[[#This Row],[Lost PoA(Wh/m2)]]*PA[[#This Row],[DC Capacity Affceted (kW)]])/1000,"")</f>
        <v/>
      </c>
      <c r="AF339" s="35"/>
    </row>
    <row r="340" spans="1:32">
      <c r="A340" s="2">
        <f t="shared" si="25"/>
        <v>337</v>
      </c>
      <c r="B340" s="156">
        <f t="shared" si="23"/>
        <v>1900</v>
      </c>
      <c r="C340" s="129">
        <f t="shared" si="24"/>
        <v>1900</v>
      </c>
      <c r="I340" s="29" t="str">
        <f>IFERROR(VLOOKUP(PA[[#This Row],[Date]],Raw_Data[[Date]:[Sunset Time (POA&lt;20 W/m2)]],3,0),"")</f>
        <v/>
      </c>
      <c r="J340" s="29" t="str">
        <f>IFERROR(VLOOKUP(PA[[#This Row],[Date]],Raw_Data[[Date]:[Sunset Time (POA&lt;20 W/m2)]],4,0),"")</f>
        <v/>
      </c>
      <c r="K340" s="27" t="str">
        <f>IFERROR((PA[[#This Row],[Sunset Time (POA&lt;20 W/m2)]]-PA[[#This Row],[Sunrise Time (POA&gt;20 W/m2)]])*24,"")</f>
        <v/>
      </c>
      <c r="M340" s="46" t="str">
        <f>IFERROR(VLOOKUP(PA[[#This Row],[Affceted Equipment]],'Basic Data'!$A$2:$B$114,2,0),"")</f>
        <v/>
      </c>
      <c r="N340" s="48" t="str">
        <f>IFERROR(VLOOKUP(PA[[#This Row],[Affceted Equipment]],'Basic Data'!$A$1:$C$118,3,0),"")</f>
        <v/>
      </c>
      <c r="W340" s="33">
        <f>IF(PA[[#This Row],[Acknowledgemnet Time ]]="NA","",(PA[[#This Row],[Acknowledgemnet Time ]]-PA[[#This Row],[Fault Time]])*24)</f>
        <v>0</v>
      </c>
      <c r="X340" s="33">
        <f>IF(PA[[#This Row],[Work Start time on Fault]]="NA","",(PA[[#This Row],[Work Start time on Fault]]-PA[[#This Row],[Fault Time]])*24)</f>
        <v>0</v>
      </c>
      <c r="Y340" s="35">
        <f>(PA[[#This Row],[Work Completiuon time on fualt]]-PA[[#This Row],[Fault Time]])*24</f>
        <v>0</v>
      </c>
      <c r="Z340" s="35">
        <f>IFERROR((PA[[#This Row],[Work Completiuon time on fualt]]-PA[[#This Row],[Fault Time]])*24,"")</f>
        <v>0</v>
      </c>
      <c r="AC340" s="47" t="str">
        <f>IFERROR(PA[[#This Row],[Breakdown Time]]*PA[[#This Row],[Plant Equivalent Weightage]],"")</f>
        <v/>
      </c>
      <c r="AE340" s="33" t="str">
        <f>IFERROR((_xlfn.XLOOKUP(PA[[#This Row],[Month Year]],'Modelling New'!D:D,'Modelling New'!$O:$O)*PA[[#This Row],[Lost PoA(Wh/m2)]]*PA[[#This Row],[DC Capacity Affceted (kW)]])/1000,"")</f>
        <v/>
      </c>
      <c r="AF340" s="35"/>
    </row>
    <row r="341" spans="1:32">
      <c r="A341" s="2">
        <f t="shared" si="25"/>
        <v>338</v>
      </c>
      <c r="B341" s="156">
        <f t="shared" si="23"/>
        <v>1900</v>
      </c>
      <c r="C341" s="129">
        <f t="shared" si="24"/>
        <v>1900</v>
      </c>
      <c r="I341" s="29" t="str">
        <f>IFERROR(VLOOKUP(PA[[#This Row],[Date]],Raw_Data[[Date]:[Sunset Time (POA&lt;20 W/m2)]],3,0),"")</f>
        <v/>
      </c>
      <c r="J341" s="29" t="str">
        <f>IFERROR(VLOOKUP(PA[[#This Row],[Date]],Raw_Data[[Date]:[Sunset Time (POA&lt;20 W/m2)]],4,0),"")</f>
        <v/>
      </c>
      <c r="K341" s="27" t="str">
        <f>IFERROR((PA[[#This Row],[Sunset Time (POA&lt;20 W/m2)]]-PA[[#This Row],[Sunrise Time (POA&gt;20 W/m2)]])*24,"")</f>
        <v/>
      </c>
      <c r="M341" s="46" t="str">
        <f>IFERROR(VLOOKUP(PA[[#This Row],[Affceted Equipment]],'Basic Data'!$A$2:$B$114,2,0),"")</f>
        <v/>
      </c>
      <c r="N341" s="48" t="str">
        <f>IFERROR(VLOOKUP(PA[[#This Row],[Affceted Equipment]],'Basic Data'!$A$1:$C$118,3,0),"")</f>
        <v/>
      </c>
      <c r="W341" s="33">
        <f>IF(PA[[#This Row],[Acknowledgemnet Time ]]="NA","",(PA[[#This Row],[Acknowledgemnet Time ]]-PA[[#This Row],[Fault Time]])*24)</f>
        <v>0</v>
      </c>
      <c r="X341" s="33">
        <f>IF(PA[[#This Row],[Work Start time on Fault]]="NA","",(PA[[#This Row],[Work Start time on Fault]]-PA[[#This Row],[Fault Time]])*24)</f>
        <v>0</v>
      </c>
      <c r="Y341" s="35">
        <f>(PA[[#This Row],[Work Completiuon time on fualt]]-PA[[#This Row],[Fault Time]])*24</f>
        <v>0</v>
      </c>
      <c r="Z341" s="35">
        <f>IFERROR((PA[[#This Row],[Work Completiuon time on fualt]]-PA[[#This Row],[Fault Time]])*24,"")</f>
        <v>0</v>
      </c>
      <c r="AC341" s="47" t="str">
        <f>IFERROR(PA[[#This Row],[Breakdown Time]]*PA[[#This Row],[Plant Equivalent Weightage]],"")</f>
        <v/>
      </c>
      <c r="AE341" s="33" t="str">
        <f>IFERROR((_xlfn.XLOOKUP(PA[[#This Row],[Month Year]],'Modelling New'!D:D,'Modelling New'!$O:$O)*PA[[#This Row],[Lost PoA(Wh/m2)]]*PA[[#This Row],[DC Capacity Affceted (kW)]])/1000,"")</f>
        <v/>
      </c>
      <c r="AF341" s="35"/>
    </row>
    <row r="342" spans="1:32">
      <c r="A342" s="2">
        <f t="shared" si="25"/>
        <v>339</v>
      </c>
      <c r="B342" s="156">
        <f t="shared" si="23"/>
        <v>1900</v>
      </c>
      <c r="C342" s="129">
        <f t="shared" si="24"/>
        <v>1900</v>
      </c>
      <c r="I342" s="29" t="str">
        <f>IFERROR(VLOOKUP(PA[[#This Row],[Date]],Raw_Data[[Date]:[Sunset Time (POA&lt;20 W/m2)]],3,0),"")</f>
        <v/>
      </c>
      <c r="J342" s="29" t="str">
        <f>IFERROR(VLOOKUP(PA[[#This Row],[Date]],Raw_Data[[Date]:[Sunset Time (POA&lt;20 W/m2)]],4,0),"")</f>
        <v/>
      </c>
      <c r="K342" s="27" t="str">
        <f>IFERROR((PA[[#This Row],[Sunset Time (POA&lt;20 W/m2)]]-PA[[#This Row],[Sunrise Time (POA&gt;20 W/m2)]])*24,"")</f>
        <v/>
      </c>
      <c r="M342" s="46" t="str">
        <f>IFERROR(VLOOKUP(PA[[#This Row],[Affceted Equipment]],'Basic Data'!$A$2:$B$114,2,0),"")</f>
        <v/>
      </c>
      <c r="N342" s="48" t="str">
        <f>IFERROR(VLOOKUP(PA[[#This Row],[Affceted Equipment]],'Basic Data'!$A$1:$C$118,3,0),"")</f>
        <v/>
      </c>
      <c r="W342" s="33">
        <f>IF(PA[[#This Row],[Acknowledgemnet Time ]]="NA","",(PA[[#This Row],[Acknowledgemnet Time ]]-PA[[#This Row],[Fault Time]])*24)</f>
        <v>0</v>
      </c>
      <c r="X342" s="33">
        <f>IF(PA[[#This Row],[Work Start time on Fault]]="NA","",(PA[[#This Row],[Work Start time on Fault]]-PA[[#This Row],[Fault Time]])*24)</f>
        <v>0</v>
      </c>
      <c r="Y342" s="35">
        <f>(PA[[#This Row],[Work Completiuon time on fualt]]-PA[[#This Row],[Fault Time]])*24</f>
        <v>0</v>
      </c>
      <c r="Z342" s="35">
        <f>IFERROR((PA[[#This Row],[Work Completiuon time on fualt]]-PA[[#This Row],[Fault Time]])*24,"")</f>
        <v>0</v>
      </c>
      <c r="AC342" s="47" t="str">
        <f>IFERROR(PA[[#This Row],[Breakdown Time]]*PA[[#This Row],[Plant Equivalent Weightage]],"")</f>
        <v/>
      </c>
      <c r="AE342" s="33" t="str">
        <f>IFERROR((_xlfn.XLOOKUP(PA[[#This Row],[Month Year]],'Modelling New'!D:D,'Modelling New'!$O:$O)*PA[[#This Row],[Lost PoA(Wh/m2)]]*PA[[#This Row],[DC Capacity Affceted (kW)]])/1000,"")</f>
        <v/>
      </c>
      <c r="AF342" s="35"/>
    </row>
    <row r="343" spans="1:32">
      <c r="A343" s="2">
        <f t="shared" si="25"/>
        <v>340</v>
      </c>
      <c r="B343" s="156">
        <f t="shared" si="23"/>
        <v>1900</v>
      </c>
      <c r="C343" s="129">
        <f t="shared" si="24"/>
        <v>1900</v>
      </c>
      <c r="I343" s="29" t="str">
        <f>IFERROR(VLOOKUP(PA[[#This Row],[Date]],Raw_Data[[Date]:[Sunset Time (POA&lt;20 W/m2)]],3,0),"")</f>
        <v/>
      </c>
      <c r="J343" s="29" t="str">
        <f>IFERROR(VLOOKUP(PA[[#This Row],[Date]],Raw_Data[[Date]:[Sunset Time (POA&lt;20 W/m2)]],4,0),"")</f>
        <v/>
      </c>
      <c r="K343" s="27" t="str">
        <f>IFERROR((PA[[#This Row],[Sunset Time (POA&lt;20 W/m2)]]-PA[[#This Row],[Sunrise Time (POA&gt;20 W/m2)]])*24,"")</f>
        <v/>
      </c>
      <c r="M343" s="46" t="str">
        <f>IFERROR(VLOOKUP(PA[[#This Row],[Affceted Equipment]],'Basic Data'!$A$2:$B$114,2,0),"")</f>
        <v/>
      </c>
      <c r="N343" s="48" t="str">
        <f>IFERROR(VLOOKUP(PA[[#This Row],[Affceted Equipment]],'Basic Data'!$A$1:$C$118,3,0),"")</f>
        <v/>
      </c>
      <c r="W343" s="33">
        <f>IF(PA[[#This Row],[Acknowledgemnet Time ]]="NA","",(PA[[#This Row],[Acknowledgemnet Time ]]-PA[[#This Row],[Fault Time]])*24)</f>
        <v>0</v>
      </c>
      <c r="X343" s="33">
        <f>IF(PA[[#This Row],[Work Start time on Fault]]="NA","",(PA[[#This Row],[Work Start time on Fault]]-PA[[#This Row],[Fault Time]])*24)</f>
        <v>0</v>
      </c>
      <c r="Y343" s="35">
        <f>(PA[[#This Row],[Work Completiuon time on fualt]]-PA[[#This Row],[Fault Time]])*24</f>
        <v>0</v>
      </c>
      <c r="Z343" s="35">
        <f>IFERROR((PA[[#This Row],[Work Completiuon time on fualt]]-PA[[#This Row],[Fault Time]])*24,"")</f>
        <v>0</v>
      </c>
      <c r="AC343" s="47" t="str">
        <f>IFERROR(PA[[#This Row],[Breakdown Time]]*PA[[#This Row],[Plant Equivalent Weightage]],"")</f>
        <v/>
      </c>
      <c r="AE343" s="33" t="str">
        <f>IFERROR((_xlfn.XLOOKUP(PA[[#This Row],[Month Year]],'Modelling New'!D:D,'Modelling New'!$O:$O)*PA[[#This Row],[Lost PoA(Wh/m2)]]*PA[[#This Row],[DC Capacity Affceted (kW)]])/1000,"")</f>
        <v/>
      </c>
      <c r="AF343" s="35"/>
    </row>
    <row r="344" spans="1:32">
      <c r="A344" s="2">
        <f t="shared" si="25"/>
        <v>341</v>
      </c>
      <c r="B344" s="156">
        <f t="shared" si="23"/>
        <v>1900</v>
      </c>
      <c r="C344" s="129">
        <f t="shared" si="24"/>
        <v>1900</v>
      </c>
      <c r="I344" s="29" t="str">
        <f>IFERROR(VLOOKUP(PA[[#This Row],[Date]],Raw_Data[[Date]:[Sunset Time (POA&lt;20 W/m2)]],3,0),"")</f>
        <v/>
      </c>
      <c r="J344" s="29" t="str">
        <f>IFERROR(VLOOKUP(PA[[#This Row],[Date]],Raw_Data[[Date]:[Sunset Time (POA&lt;20 W/m2)]],4,0),"")</f>
        <v/>
      </c>
      <c r="K344" s="27" t="str">
        <f>IFERROR((PA[[#This Row],[Sunset Time (POA&lt;20 W/m2)]]-PA[[#This Row],[Sunrise Time (POA&gt;20 W/m2)]])*24,"")</f>
        <v/>
      </c>
      <c r="M344" s="46" t="str">
        <f>IFERROR(VLOOKUP(PA[[#This Row],[Affceted Equipment]],'Basic Data'!$A$2:$B$114,2,0),"")</f>
        <v/>
      </c>
      <c r="N344" s="48" t="str">
        <f>IFERROR(VLOOKUP(PA[[#This Row],[Affceted Equipment]],'Basic Data'!$A$1:$C$118,3,0),"")</f>
        <v/>
      </c>
      <c r="W344" s="33">
        <f>IF(PA[[#This Row],[Acknowledgemnet Time ]]="NA","",(PA[[#This Row],[Acknowledgemnet Time ]]-PA[[#This Row],[Fault Time]])*24)</f>
        <v>0</v>
      </c>
      <c r="X344" s="33">
        <f>IF(PA[[#This Row],[Work Start time on Fault]]="NA","",(PA[[#This Row],[Work Start time on Fault]]-PA[[#This Row],[Fault Time]])*24)</f>
        <v>0</v>
      </c>
      <c r="Y344" s="35">
        <f>(PA[[#This Row],[Work Completiuon time on fualt]]-PA[[#This Row],[Fault Time]])*24</f>
        <v>0</v>
      </c>
      <c r="Z344" s="35">
        <f>IFERROR((PA[[#This Row],[Work Completiuon time on fualt]]-PA[[#This Row],[Fault Time]])*24,"")</f>
        <v>0</v>
      </c>
      <c r="AC344" s="47" t="str">
        <f>IFERROR(PA[[#This Row],[Breakdown Time]]*PA[[#This Row],[Plant Equivalent Weightage]],"")</f>
        <v/>
      </c>
      <c r="AE344" s="33" t="str">
        <f>IFERROR((_xlfn.XLOOKUP(PA[[#This Row],[Month Year]],'Modelling New'!D:D,'Modelling New'!$O:$O)*PA[[#This Row],[Lost PoA(Wh/m2)]]*PA[[#This Row],[DC Capacity Affceted (kW)]])/1000,"")</f>
        <v/>
      </c>
      <c r="AF344" s="35"/>
    </row>
    <row r="345" spans="1:32">
      <c r="A345" s="2">
        <f t="shared" si="25"/>
        <v>342</v>
      </c>
      <c r="B345" s="156">
        <f t="shared" si="23"/>
        <v>1900</v>
      </c>
      <c r="C345" s="129">
        <f t="shared" si="24"/>
        <v>1900</v>
      </c>
      <c r="I345" s="29" t="str">
        <f>IFERROR(VLOOKUP(PA[[#This Row],[Date]],Raw_Data[[Date]:[Sunset Time (POA&lt;20 W/m2)]],3,0),"")</f>
        <v/>
      </c>
      <c r="J345" s="29" t="str">
        <f>IFERROR(VLOOKUP(PA[[#This Row],[Date]],Raw_Data[[Date]:[Sunset Time (POA&lt;20 W/m2)]],4,0),"")</f>
        <v/>
      </c>
      <c r="K345" s="27" t="str">
        <f>IFERROR((PA[[#This Row],[Sunset Time (POA&lt;20 W/m2)]]-PA[[#This Row],[Sunrise Time (POA&gt;20 W/m2)]])*24,"")</f>
        <v/>
      </c>
      <c r="M345" s="46" t="str">
        <f>IFERROR(VLOOKUP(PA[[#This Row],[Affceted Equipment]],'Basic Data'!$A$2:$B$114,2,0),"")</f>
        <v/>
      </c>
      <c r="N345" s="48" t="str">
        <f>IFERROR(VLOOKUP(PA[[#This Row],[Affceted Equipment]],'Basic Data'!$A$1:$C$118,3,0),"")</f>
        <v/>
      </c>
      <c r="W345" s="33">
        <f>IF(PA[[#This Row],[Acknowledgemnet Time ]]="NA","",(PA[[#This Row],[Acknowledgemnet Time ]]-PA[[#This Row],[Fault Time]])*24)</f>
        <v>0</v>
      </c>
      <c r="X345" s="33">
        <f>IF(PA[[#This Row],[Work Start time on Fault]]="NA","",(PA[[#This Row],[Work Start time on Fault]]-PA[[#This Row],[Fault Time]])*24)</f>
        <v>0</v>
      </c>
      <c r="Y345" s="35">
        <f>(PA[[#This Row],[Work Completiuon time on fualt]]-PA[[#This Row],[Fault Time]])*24</f>
        <v>0</v>
      </c>
      <c r="Z345" s="35">
        <f>IFERROR((PA[[#This Row],[Work Completiuon time on fualt]]-PA[[#This Row],[Fault Time]])*24,"")</f>
        <v>0</v>
      </c>
      <c r="AC345" s="47" t="str">
        <f>IFERROR(PA[[#This Row],[Breakdown Time]]*PA[[#This Row],[Plant Equivalent Weightage]],"")</f>
        <v/>
      </c>
      <c r="AE345" s="33" t="str">
        <f>IFERROR((_xlfn.XLOOKUP(PA[[#This Row],[Month Year]],'Modelling New'!D:D,'Modelling New'!$O:$O)*PA[[#This Row],[Lost PoA(Wh/m2)]]*PA[[#This Row],[DC Capacity Affceted (kW)]])/1000,"")</f>
        <v/>
      </c>
      <c r="AF345" s="35"/>
    </row>
    <row r="346" spans="1:32">
      <c r="A346" s="2">
        <f t="shared" si="25"/>
        <v>343</v>
      </c>
      <c r="B346" s="156">
        <f t="shared" si="23"/>
        <v>1900</v>
      </c>
      <c r="C346" s="129">
        <f t="shared" si="24"/>
        <v>1900</v>
      </c>
      <c r="I346" s="29" t="str">
        <f>IFERROR(VLOOKUP(PA[[#This Row],[Date]],Raw_Data[[Date]:[Sunset Time (POA&lt;20 W/m2)]],3,0),"")</f>
        <v/>
      </c>
      <c r="J346" s="29" t="str">
        <f>IFERROR(VLOOKUP(PA[[#This Row],[Date]],Raw_Data[[Date]:[Sunset Time (POA&lt;20 W/m2)]],4,0),"")</f>
        <v/>
      </c>
      <c r="K346" s="27" t="str">
        <f>IFERROR((PA[[#This Row],[Sunset Time (POA&lt;20 W/m2)]]-PA[[#This Row],[Sunrise Time (POA&gt;20 W/m2)]])*24,"")</f>
        <v/>
      </c>
      <c r="M346" s="46" t="str">
        <f>IFERROR(VLOOKUP(PA[[#This Row],[Affceted Equipment]],'Basic Data'!$A$2:$B$114,2,0),"")</f>
        <v/>
      </c>
      <c r="N346" s="48" t="str">
        <f>IFERROR(VLOOKUP(PA[[#This Row],[Affceted Equipment]],'Basic Data'!$A$1:$C$118,3,0),"")</f>
        <v/>
      </c>
      <c r="W346" s="33">
        <f>IF(PA[[#This Row],[Acknowledgemnet Time ]]="NA","",(PA[[#This Row],[Acknowledgemnet Time ]]-PA[[#This Row],[Fault Time]])*24)</f>
        <v>0</v>
      </c>
      <c r="X346" s="33">
        <f>IF(PA[[#This Row],[Work Start time on Fault]]="NA","",(PA[[#This Row],[Work Start time on Fault]]-PA[[#This Row],[Fault Time]])*24)</f>
        <v>0</v>
      </c>
      <c r="Y346" s="35">
        <f>(PA[[#This Row],[Work Completiuon time on fualt]]-PA[[#This Row],[Fault Time]])*24</f>
        <v>0</v>
      </c>
      <c r="Z346" s="35">
        <f>IFERROR((PA[[#This Row],[Work Completiuon time on fualt]]-PA[[#This Row],[Fault Time]])*24,"")</f>
        <v>0</v>
      </c>
      <c r="AC346" s="47" t="str">
        <f>IFERROR(PA[[#This Row],[Breakdown Time]]*PA[[#This Row],[Plant Equivalent Weightage]],"")</f>
        <v/>
      </c>
      <c r="AE346" s="33" t="str">
        <f>IFERROR((_xlfn.XLOOKUP(PA[[#This Row],[Month Year]],'Modelling New'!D:D,'Modelling New'!$O:$O)*PA[[#This Row],[Lost PoA(Wh/m2)]]*PA[[#This Row],[DC Capacity Affceted (kW)]])/1000,"")</f>
        <v/>
      </c>
      <c r="AF346" s="35"/>
    </row>
    <row r="347" spans="1:32">
      <c r="A347" s="2">
        <f t="shared" si="25"/>
        <v>344</v>
      </c>
      <c r="B347" s="156">
        <f t="shared" si="23"/>
        <v>1900</v>
      </c>
      <c r="C347" s="129">
        <f t="shared" si="24"/>
        <v>1900</v>
      </c>
      <c r="I347" s="29" t="str">
        <f>IFERROR(VLOOKUP(PA[[#This Row],[Date]],Raw_Data[[Date]:[Sunset Time (POA&lt;20 W/m2)]],3,0),"")</f>
        <v/>
      </c>
      <c r="J347" s="29" t="str">
        <f>IFERROR(VLOOKUP(PA[[#This Row],[Date]],Raw_Data[[Date]:[Sunset Time (POA&lt;20 W/m2)]],4,0),"")</f>
        <v/>
      </c>
      <c r="K347" s="27" t="str">
        <f>IFERROR((PA[[#This Row],[Sunset Time (POA&lt;20 W/m2)]]-PA[[#This Row],[Sunrise Time (POA&gt;20 W/m2)]])*24,"")</f>
        <v/>
      </c>
      <c r="M347" s="46" t="str">
        <f>IFERROR(VLOOKUP(PA[[#This Row],[Affceted Equipment]],'Basic Data'!$A$2:$B$114,2,0),"")</f>
        <v/>
      </c>
      <c r="N347" s="48" t="str">
        <f>IFERROR(VLOOKUP(PA[[#This Row],[Affceted Equipment]],'Basic Data'!$A$1:$C$118,3,0),"")</f>
        <v/>
      </c>
      <c r="W347" s="33">
        <f>IF(PA[[#This Row],[Acknowledgemnet Time ]]="NA","",(PA[[#This Row],[Acknowledgemnet Time ]]-PA[[#This Row],[Fault Time]])*24)</f>
        <v>0</v>
      </c>
      <c r="X347" s="33">
        <f>IF(PA[[#This Row],[Work Start time on Fault]]="NA","",(PA[[#This Row],[Work Start time on Fault]]-PA[[#This Row],[Fault Time]])*24)</f>
        <v>0</v>
      </c>
      <c r="Y347" s="35">
        <f>(PA[[#This Row],[Work Completiuon time on fualt]]-PA[[#This Row],[Fault Time]])*24</f>
        <v>0</v>
      </c>
      <c r="Z347" s="35">
        <f>IFERROR((PA[[#This Row],[Work Completiuon time on fualt]]-PA[[#This Row],[Fault Time]])*24,"")</f>
        <v>0</v>
      </c>
      <c r="AC347" s="47" t="str">
        <f>IFERROR(PA[[#This Row],[Breakdown Time]]*PA[[#This Row],[Plant Equivalent Weightage]],"")</f>
        <v/>
      </c>
      <c r="AE347" s="33" t="str">
        <f>IFERROR((_xlfn.XLOOKUP(PA[[#This Row],[Month Year]],'Modelling New'!D:D,'Modelling New'!$O:$O)*PA[[#This Row],[Lost PoA(Wh/m2)]]*PA[[#This Row],[DC Capacity Affceted (kW)]])/1000,"")</f>
        <v/>
      </c>
      <c r="AF347" s="35"/>
    </row>
    <row r="348" spans="1:32">
      <c r="A348" s="2">
        <f t="shared" si="25"/>
        <v>345</v>
      </c>
      <c r="B348" s="156">
        <f t="shared" si="23"/>
        <v>1900</v>
      </c>
      <c r="C348" s="129">
        <f t="shared" si="24"/>
        <v>1900</v>
      </c>
      <c r="I348" s="29" t="str">
        <f>IFERROR(VLOOKUP(PA[[#This Row],[Date]],Raw_Data[[Date]:[Sunset Time (POA&lt;20 W/m2)]],3,0),"")</f>
        <v/>
      </c>
      <c r="J348" s="29" t="str">
        <f>IFERROR(VLOOKUP(PA[[#This Row],[Date]],Raw_Data[[Date]:[Sunset Time (POA&lt;20 W/m2)]],4,0),"")</f>
        <v/>
      </c>
      <c r="K348" s="27" t="str">
        <f>IFERROR((PA[[#This Row],[Sunset Time (POA&lt;20 W/m2)]]-PA[[#This Row],[Sunrise Time (POA&gt;20 W/m2)]])*24,"")</f>
        <v/>
      </c>
      <c r="M348" s="46" t="str">
        <f>IFERROR(VLOOKUP(PA[[#This Row],[Affceted Equipment]],'Basic Data'!$A$2:$B$114,2,0),"")</f>
        <v/>
      </c>
      <c r="N348" s="48" t="str">
        <f>IFERROR(VLOOKUP(PA[[#This Row],[Affceted Equipment]],'Basic Data'!$A$1:$C$118,3,0),"")</f>
        <v/>
      </c>
      <c r="W348" s="33">
        <f>IF(PA[[#This Row],[Acknowledgemnet Time ]]="NA","",(PA[[#This Row],[Acknowledgemnet Time ]]-PA[[#This Row],[Fault Time]])*24)</f>
        <v>0</v>
      </c>
      <c r="X348" s="33">
        <f>IF(PA[[#This Row],[Work Start time on Fault]]="NA","",(PA[[#This Row],[Work Start time on Fault]]-PA[[#This Row],[Fault Time]])*24)</f>
        <v>0</v>
      </c>
      <c r="Y348" s="35">
        <f>(PA[[#This Row],[Work Completiuon time on fualt]]-PA[[#This Row],[Fault Time]])*24</f>
        <v>0</v>
      </c>
      <c r="Z348" s="35">
        <f>IFERROR((PA[[#This Row],[Work Completiuon time on fualt]]-PA[[#This Row],[Fault Time]])*24,"")</f>
        <v>0</v>
      </c>
      <c r="AC348" s="47" t="str">
        <f>IFERROR(PA[[#This Row],[Breakdown Time]]*PA[[#This Row],[Plant Equivalent Weightage]],"")</f>
        <v/>
      </c>
      <c r="AE348" s="33" t="str">
        <f>IFERROR((_xlfn.XLOOKUP(PA[[#This Row],[Month Year]],'Modelling New'!D:D,'Modelling New'!$O:$O)*PA[[#This Row],[Lost PoA(Wh/m2)]]*PA[[#This Row],[DC Capacity Affceted (kW)]])/1000,"")</f>
        <v/>
      </c>
      <c r="AF348" s="35"/>
    </row>
    <row r="349" spans="1:32">
      <c r="A349" s="2">
        <f t="shared" si="25"/>
        <v>346</v>
      </c>
      <c r="B349" s="156">
        <f t="shared" si="23"/>
        <v>1900</v>
      </c>
      <c r="C349" s="129">
        <f t="shared" si="24"/>
        <v>1900</v>
      </c>
      <c r="I349" s="29" t="str">
        <f>IFERROR(VLOOKUP(PA[[#This Row],[Date]],Raw_Data[[Date]:[Sunset Time (POA&lt;20 W/m2)]],3,0),"")</f>
        <v/>
      </c>
      <c r="J349" s="29" t="str">
        <f>IFERROR(VLOOKUP(PA[[#This Row],[Date]],Raw_Data[[Date]:[Sunset Time (POA&lt;20 W/m2)]],4,0),"")</f>
        <v/>
      </c>
      <c r="K349" s="27" t="str">
        <f>IFERROR((PA[[#This Row],[Sunset Time (POA&lt;20 W/m2)]]-PA[[#This Row],[Sunrise Time (POA&gt;20 W/m2)]])*24,"")</f>
        <v/>
      </c>
      <c r="M349" s="46" t="str">
        <f>IFERROR(VLOOKUP(PA[[#This Row],[Affceted Equipment]],'Basic Data'!$A$2:$B$114,2,0),"")</f>
        <v/>
      </c>
      <c r="N349" s="48" t="str">
        <f>IFERROR(VLOOKUP(PA[[#This Row],[Affceted Equipment]],'Basic Data'!$A$1:$C$118,3,0),"")</f>
        <v/>
      </c>
      <c r="W349" s="33">
        <f>IF(PA[[#This Row],[Acknowledgemnet Time ]]="NA","",(PA[[#This Row],[Acknowledgemnet Time ]]-PA[[#This Row],[Fault Time]])*24)</f>
        <v>0</v>
      </c>
      <c r="X349" s="33">
        <f>IF(PA[[#This Row],[Work Start time on Fault]]="NA","",(PA[[#This Row],[Work Start time on Fault]]-PA[[#This Row],[Fault Time]])*24)</f>
        <v>0</v>
      </c>
      <c r="Y349" s="35">
        <f>(PA[[#This Row],[Work Completiuon time on fualt]]-PA[[#This Row],[Fault Time]])*24</f>
        <v>0</v>
      </c>
      <c r="Z349" s="35">
        <f>IFERROR((PA[[#This Row],[Work Completiuon time on fualt]]-PA[[#This Row],[Fault Time]])*24,"")</f>
        <v>0</v>
      </c>
      <c r="AC349" s="47" t="str">
        <f>IFERROR(PA[[#This Row],[Breakdown Time]]*PA[[#This Row],[Plant Equivalent Weightage]],"")</f>
        <v/>
      </c>
      <c r="AE349" s="33" t="str">
        <f>IFERROR((_xlfn.XLOOKUP(PA[[#This Row],[Month Year]],'Modelling New'!D:D,'Modelling New'!$O:$O)*PA[[#This Row],[Lost PoA(Wh/m2)]]*PA[[#This Row],[DC Capacity Affceted (kW)]])/1000,"")</f>
        <v/>
      </c>
      <c r="AF349" s="35"/>
    </row>
    <row r="350" spans="1:32">
      <c r="A350" s="2">
        <f t="shared" si="25"/>
        <v>347</v>
      </c>
      <c r="B350" s="156">
        <f t="shared" si="23"/>
        <v>1900</v>
      </c>
      <c r="C350" s="129">
        <f t="shared" si="24"/>
        <v>1900</v>
      </c>
      <c r="I350" s="29" t="str">
        <f>IFERROR(VLOOKUP(PA[[#This Row],[Date]],Raw_Data[[Date]:[Sunset Time (POA&lt;20 W/m2)]],3,0),"")</f>
        <v/>
      </c>
      <c r="J350" s="29" t="str">
        <f>IFERROR(VLOOKUP(PA[[#This Row],[Date]],Raw_Data[[Date]:[Sunset Time (POA&lt;20 W/m2)]],4,0),"")</f>
        <v/>
      </c>
      <c r="K350" s="27" t="str">
        <f>IFERROR((PA[[#This Row],[Sunset Time (POA&lt;20 W/m2)]]-PA[[#This Row],[Sunrise Time (POA&gt;20 W/m2)]])*24,"")</f>
        <v/>
      </c>
      <c r="M350" s="46" t="str">
        <f>IFERROR(VLOOKUP(PA[[#This Row],[Affceted Equipment]],'Basic Data'!$A$2:$B$114,2,0),"")</f>
        <v/>
      </c>
      <c r="N350" s="48" t="str">
        <f>IFERROR(VLOOKUP(PA[[#This Row],[Affceted Equipment]],'Basic Data'!$A$1:$C$118,3,0),"")</f>
        <v/>
      </c>
      <c r="W350" s="33">
        <f>IF(PA[[#This Row],[Acknowledgemnet Time ]]="NA","",(PA[[#This Row],[Acknowledgemnet Time ]]-PA[[#This Row],[Fault Time]])*24)</f>
        <v>0</v>
      </c>
      <c r="X350" s="33">
        <f>IF(PA[[#This Row],[Work Start time on Fault]]="NA","",(PA[[#This Row],[Work Start time on Fault]]-PA[[#This Row],[Fault Time]])*24)</f>
        <v>0</v>
      </c>
      <c r="Y350" s="35">
        <f>(PA[[#This Row],[Work Completiuon time on fualt]]-PA[[#This Row],[Fault Time]])*24</f>
        <v>0</v>
      </c>
      <c r="Z350" s="35">
        <f>IFERROR((PA[[#This Row],[Work Completiuon time on fualt]]-PA[[#This Row],[Fault Time]])*24,"")</f>
        <v>0</v>
      </c>
      <c r="AC350" s="47" t="str">
        <f>IFERROR(PA[[#This Row],[Breakdown Time]]*PA[[#This Row],[Plant Equivalent Weightage]],"")</f>
        <v/>
      </c>
      <c r="AE350" s="33" t="str">
        <f>IFERROR((_xlfn.XLOOKUP(PA[[#This Row],[Month Year]],'Modelling New'!D:D,'Modelling New'!$O:$O)*PA[[#This Row],[Lost PoA(Wh/m2)]]*PA[[#This Row],[DC Capacity Affceted (kW)]])/1000,"")</f>
        <v/>
      </c>
      <c r="AF350" s="35"/>
    </row>
    <row r="351" spans="1:32">
      <c r="A351" s="2">
        <f t="shared" si="25"/>
        <v>348</v>
      </c>
      <c r="B351" s="156">
        <f t="shared" si="23"/>
        <v>1900</v>
      </c>
      <c r="C351" s="129">
        <f t="shared" si="24"/>
        <v>1900</v>
      </c>
      <c r="I351" s="29" t="str">
        <f>IFERROR(VLOOKUP(PA[[#This Row],[Date]],Raw_Data[[Date]:[Sunset Time (POA&lt;20 W/m2)]],3,0),"")</f>
        <v/>
      </c>
      <c r="J351" s="29" t="str">
        <f>IFERROR(VLOOKUP(PA[[#This Row],[Date]],Raw_Data[[Date]:[Sunset Time (POA&lt;20 W/m2)]],4,0),"")</f>
        <v/>
      </c>
      <c r="K351" s="27" t="str">
        <f>IFERROR((PA[[#This Row],[Sunset Time (POA&lt;20 W/m2)]]-PA[[#This Row],[Sunrise Time (POA&gt;20 W/m2)]])*24,"")</f>
        <v/>
      </c>
      <c r="M351" s="46" t="str">
        <f>IFERROR(VLOOKUP(PA[[#This Row],[Affceted Equipment]],'Basic Data'!$A$2:$B$114,2,0),"")</f>
        <v/>
      </c>
      <c r="N351" s="48" t="str">
        <f>IFERROR(VLOOKUP(PA[[#This Row],[Affceted Equipment]],'Basic Data'!$A$1:$C$118,3,0),"")</f>
        <v/>
      </c>
      <c r="W351" s="33">
        <f>IF(PA[[#This Row],[Acknowledgemnet Time ]]="NA","",(PA[[#This Row],[Acknowledgemnet Time ]]-PA[[#This Row],[Fault Time]])*24)</f>
        <v>0</v>
      </c>
      <c r="X351" s="33">
        <f>IF(PA[[#This Row],[Work Start time on Fault]]="NA","",(PA[[#This Row],[Work Start time on Fault]]-PA[[#This Row],[Fault Time]])*24)</f>
        <v>0</v>
      </c>
      <c r="Y351" s="35">
        <f>(PA[[#This Row],[Work Completiuon time on fualt]]-PA[[#This Row],[Fault Time]])*24</f>
        <v>0</v>
      </c>
      <c r="Z351" s="35">
        <f>IFERROR((PA[[#This Row],[Work Completiuon time on fualt]]-PA[[#This Row],[Fault Time]])*24,"")</f>
        <v>0</v>
      </c>
      <c r="AC351" s="47" t="str">
        <f>IFERROR(PA[[#This Row],[Breakdown Time]]*PA[[#This Row],[Plant Equivalent Weightage]],"")</f>
        <v/>
      </c>
      <c r="AE351" s="33" t="str">
        <f>IFERROR((_xlfn.XLOOKUP(PA[[#This Row],[Month Year]],'Modelling New'!D:D,'Modelling New'!$O:$O)*PA[[#This Row],[Lost PoA(Wh/m2)]]*PA[[#This Row],[DC Capacity Affceted (kW)]])/1000,"")</f>
        <v/>
      </c>
      <c r="AF351" s="35"/>
    </row>
    <row r="352" spans="1:32">
      <c r="A352" s="2">
        <f t="shared" si="25"/>
        <v>349</v>
      </c>
      <c r="B352" s="156">
        <f t="shared" si="23"/>
        <v>1900</v>
      </c>
      <c r="C352" s="129">
        <f t="shared" si="24"/>
        <v>1900</v>
      </c>
      <c r="I352" s="29" t="str">
        <f>IFERROR(VLOOKUP(PA[[#This Row],[Date]],Raw_Data[[Date]:[Sunset Time (POA&lt;20 W/m2)]],3,0),"")</f>
        <v/>
      </c>
      <c r="J352" s="29" t="str">
        <f>IFERROR(VLOOKUP(PA[[#This Row],[Date]],Raw_Data[[Date]:[Sunset Time (POA&lt;20 W/m2)]],4,0),"")</f>
        <v/>
      </c>
      <c r="K352" s="27" t="str">
        <f>IFERROR((PA[[#This Row],[Sunset Time (POA&lt;20 W/m2)]]-PA[[#This Row],[Sunrise Time (POA&gt;20 W/m2)]])*24,"")</f>
        <v/>
      </c>
      <c r="M352" s="46" t="str">
        <f>IFERROR(VLOOKUP(PA[[#This Row],[Affceted Equipment]],'Basic Data'!$A$2:$B$114,2,0),"")</f>
        <v/>
      </c>
      <c r="N352" s="48" t="str">
        <f>IFERROR(VLOOKUP(PA[[#This Row],[Affceted Equipment]],'Basic Data'!$A$1:$C$118,3,0),"")</f>
        <v/>
      </c>
      <c r="W352" s="33">
        <f>IF(PA[[#This Row],[Acknowledgemnet Time ]]="NA","",(PA[[#This Row],[Acknowledgemnet Time ]]-PA[[#This Row],[Fault Time]])*24)</f>
        <v>0</v>
      </c>
      <c r="X352" s="33">
        <f>IF(PA[[#This Row],[Work Start time on Fault]]="NA","",(PA[[#This Row],[Work Start time on Fault]]-PA[[#This Row],[Fault Time]])*24)</f>
        <v>0</v>
      </c>
      <c r="Y352" s="35">
        <f>(PA[[#This Row],[Work Completiuon time on fualt]]-PA[[#This Row],[Fault Time]])*24</f>
        <v>0</v>
      </c>
      <c r="Z352" s="35">
        <f>IFERROR((PA[[#This Row],[Work Completiuon time on fualt]]-PA[[#This Row],[Fault Time]])*24,"")</f>
        <v>0</v>
      </c>
      <c r="AC352" s="47" t="str">
        <f>IFERROR(PA[[#This Row],[Breakdown Time]]*PA[[#This Row],[Plant Equivalent Weightage]],"")</f>
        <v/>
      </c>
      <c r="AE352" s="33" t="str">
        <f>IFERROR((_xlfn.XLOOKUP(PA[[#This Row],[Month Year]],'Modelling New'!D:D,'Modelling New'!$O:$O)*PA[[#This Row],[Lost PoA(Wh/m2)]]*PA[[#This Row],[DC Capacity Affceted (kW)]])/1000,"")</f>
        <v/>
      </c>
      <c r="AF352" s="35"/>
    </row>
    <row r="353" spans="1:32">
      <c r="A353" s="2">
        <f t="shared" si="25"/>
        <v>350</v>
      </c>
      <c r="B353" s="156">
        <f t="shared" si="23"/>
        <v>1900</v>
      </c>
      <c r="C353" s="129">
        <f t="shared" si="24"/>
        <v>1900</v>
      </c>
      <c r="I353" s="29" t="str">
        <f>IFERROR(VLOOKUP(PA[[#This Row],[Date]],Raw_Data[[Date]:[Sunset Time (POA&lt;20 W/m2)]],3,0),"")</f>
        <v/>
      </c>
      <c r="J353" s="29" t="str">
        <f>IFERROR(VLOOKUP(PA[[#This Row],[Date]],Raw_Data[[Date]:[Sunset Time (POA&lt;20 W/m2)]],4,0),"")</f>
        <v/>
      </c>
      <c r="K353" s="27" t="str">
        <f>IFERROR((PA[[#This Row],[Sunset Time (POA&lt;20 W/m2)]]-PA[[#This Row],[Sunrise Time (POA&gt;20 W/m2)]])*24,"")</f>
        <v/>
      </c>
      <c r="M353" s="46" t="str">
        <f>IFERROR(VLOOKUP(PA[[#This Row],[Affceted Equipment]],'Basic Data'!$A$2:$B$114,2,0),"")</f>
        <v/>
      </c>
      <c r="N353" s="48" t="str">
        <f>IFERROR(VLOOKUP(PA[[#This Row],[Affceted Equipment]],'Basic Data'!$A$1:$C$118,3,0),"")</f>
        <v/>
      </c>
      <c r="W353" s="33">
        <f>IF(PA[[#This Row],[Acknowledgemnet Time ]]="NA","",(PA[[#This Row],[Acknowledgemnet Time ]]-PA[[#This Row],[Fault Time]])*24)</f>
        <v>0</v>
      </c>
      <c r="X353" s="33">
        <f>IF(PA[[#This Row],[Work Start time on Fault]]="NA","",(PA[[#This Row],[Work Start time on Fault]]-PA[[#This Row],[Fault Time]])*24)</f>
        <v>0</v>
      </c>
      <c r="Y353" s="35">
        <f>(PA[[#This Row],[Work Completiuon time on fualt]]-PA[[#This Row],[Fault Time]])*24</f>
        <v>0</v>
      </c>
      <c r="Z353" s="35">
        <f>IFERROR((PA[[#This Row],[Work Completiuon time on fualt]]-PA[[#This Row],[Fault Time]])*24,"")</f>
        <v>0</v>
      </c>
      <c r="AC353" s="47" t="str">
        <f>IFERROR(PA[[#This Row],[Breakdown Time]]*PA[[#This Row],[Plant Equivalent Weightage]],"")</f>
        <v/>
      </c>
      <c r="AE353" s="33" t="str">
        <f>IFERROR((_xlfn.XLOOKUP(PA[[#This Row],[Month Year]],'Modelling New'!D:D,'Modelling New'!$O:$O)*PA[[#This Row],[Lost PoA(Wh/m2)]]*PA[[#This Row],[DC Capacity Affceted (kW)]])/1000,"")</f>
        <v/>
      </c>
      <c r="AF353" s="35"/>
    </row>
    <row r="354" spans="1:32">
      <c r="A354" s="2">
        <f t="shared" si="25"/>
        <v>351</v>
      </c>
      <c r="B354" s="156">
        <f t="shared" si="23"/>
        <v>1900</v>
      </c>
      <c r="C354" s="129">
        <f t="shared" si="24"/>
        <v>1900</v>
      </c>
      <c r="I354" s="29" t="str">
        <f>IFERROR(VLOOKUP(PA[[#This Row],[Date]],Raw_Data[[Date]:[Sunset Time (POA&lt;20 W/m2)]],3,0),"")</f>
        <v/>
      </c>
      <c r="J354" s="29" t="str">
        <f>IFERROR(VLOOKUP(PA[[#This Row],[Date]],Raw_Data[[Date]:[Sunset Time (POA&lt;20 W/m2)]],4,0),"")</f>
        <v/>
      </c>
      <c r="K354" s="27" t="str">
        <f>IFERROR((PA[[#This Row],[Sunset Time (POA&lt;20 W/m2)]]-PA[[#This Row],[Sunrise Time (POA&gt;20 W/m2)]])*24,"")</f>
        <v/>
      </c>
      <c r="M354" s="46" t="str">
        <f>IFERROR(VLOOKUP(PA[[#This Row],[Affceted Equipment]],'Basic Data'!$A$2:$B$114,2,0),"")</f>
        <v/>
      </c>
      <c r="N354" s="48" t="str">
        <f>IFERROR(VLOOKUP(PA[[#This Row],[Affceted Equipment]],'Basic Data'!$A$1:$C$118,3,0),"")</f>
        <v/>
      </c>
      <c r="W354" s="33">
        <f>IF(PA[[#This Row],[Acknowledgemnet Time ]]="NA","",(PA[[#This Row],[Acknowledgemnet Time ]]-PA[[#This Row],[Fault Time]])*24)</f>
        <v>0</v>
      </c>
      <c r="X354" s="33">
        <f>IF(PA[[#This Row],[Work Start time on Fault]]="NA","",(PA[[#This Row],[Work Start time on Fault]]-PA[[#This Row],[Fault Time]])*24)</f>
        <v>0</v>
      </c>
      <c r="Y354" s="35">
        <f>(PA[[#This Row],[Work Completiuon time on fualt]]-PA[[#This Row],[Fault Time]])*24</f>
        <v>0</v>
      </c>
      <c r="Z354" s="35">
        <f>IFERROR((PA[[#This Row],[Work Completiuon time on fualt]]-PA[[#This Row],[Fault Time]])*24,"")</f>
        <v>0</v>
      </c>
      <c r="AC354" s="47" t="str">
        <f>IFERROR(PA[[#This Row],[Breakdown Time]]*PA[[#This Row],[Plant Equivalent Weightage]],"")</f>
        <v/>
      </c>
      <c r="AE354" s="33" t="str">
        <f>IFERROR((_xlfn.XLOOKUP(PA[[#This Row],[Month Year]],'Modelling New'!D:D,'Modelling New'!$O:$O)*PA[[#This Row],[Lost PoA(Wh/m2)]]*PA[[#This Row],[DC Capacity Affceted (kW)]])/1000,"")</f>
        <v/>
      </c>
      <c r="AF354" s="35"/>
    </row>
    <row r="355" spans="1:32">
      <c r="A355" s="2">
        <f t="shared" si="25"/>
        <v>352</v>
      </c>
      <c r="B355" s="156">
        <f t="shared" si="23"/>
        <v>1900</v>
      </c>
      <c r="C355" s="129">
        <f t="shared" si="24"/>
        <v>1900</v>
      </c>
      <c r="I355" s="29" t="str">
        <f>IFERROR(VLOOKUP(PA[[#This Row],[Date]],Raw_Data[[Date]:[Sunset Time (POA&lt;20 W/m2)]],3,0),"")</f>
        <v/>
      </c>
      <c r="J355" s="29" t="str">
        <f>IFERROR(VLOOKUP(PA[[#This Row],[Date]],Raw_Data[[Date]:[Sunset Time (POA&lt;20 W/m2)]],4,0),"")</f>
        <v/>
      </c>
      <c r="K355" s="27" t="str">
        <f>IFERROR((PA[[#This Row],[Sunset Time (POA&lt;20 W/m2)]]-PA[[#This Row],[Sunrise Time (POA&gt;20 W/m2)]])*24,"")</f>
        <v/>
      </c>
      <c r="M355" s="46" t="str">
        <f>IFERROR(VLOOKUP(PA[[#This Row],[Affceted Equipment]],'Basic Data'!$A$2:$B$114,2,0),"")</f>
        <v/>
      </c>
      <c r="N355" s="48" t="str">
        <f>IFERROR(VLOOKUP(PA[[#This Row],[Affceted Equipment]],'Basic Data'!$A$1:$C$118,3,0),"")</f>
        <v/>
      </c>
      <c r="W355" s="33">
        <f>IF(PA[[#This Row],[Acknowledgemnet Time ]]="NA","",(PA[[#This Row],[Acknowledgemnet Time ]]-PA[[#This Row],[Fault Time]])*24)</f>
        <v>0</v>
      </c>
      <c r="X355" s="33">
        <f>IF(PA[[#This Row],[Work Start time on Fault]]="NA","",(PA[[#This Row],[Work Start time on Fault]]-PA[[#This Row],[Fault Time]])*24)</f>
        <v>0</v>
      </c>
      <c r="Y355" s="35">
        <f>(PA[[#This Row],[Work Completiuon time on fualt]]-PA[[#This Row],[Fault Time]])*24</f>
        <v>0</v>
      </c>
      <c r="Z355" s="35">
        <f>IFERROR((PA[[#This Row],[Work Completiuon time on fualt]]-PA[[#This Row],[Fault Time]])*24,"")</f>
        <v>0</v>
      </c>
      <c r="AC355" s="47" t="str">
        <f>IFERROR(PA[[#This Row],[Breakdown Time]]*PA[[#This Row],[Plant Equivalent Weightage]],"")</f>
        <v/>
      </c>
      <c r="AE355" s="33" t="str">
        <f>IFERROR((_xlfn.XLOOKUP(PA[[#This Row],[Month Year]],'Modelling New'!D:D,'Modelling New'!$O:$O)*PA[[#This Row],[Lost PoA(Wh/m2)]]*PA[[#This Row],[DC Capacity Affceted (kW)]])/1000,"")</f>
        <v/>
      </c>
      <c r="AF355" s="35"/>
    </row>
    <row r="356" spans="1:32">
      <c r="A356" s="2">
        <f t="shared" si="25"/>
        <v>353</v>
      </c>
      <c r="B356" s="156">
        <f t="shared" si="23"/>
        <v>1900</v>
      </c>
      <c r="C356" s="129">
        <f t="shared" si="24"/>
        <v>1900</v>
      </c>
      <c r="I356" s="29" t="str">
        <f>IFERROR(VLOOKUP(PA[[#This Row],[Date]],Raw_Data[[Date]:[Sunset Time (POA&lt;20 W/m2)]],3,0),"")</f>
        <v/>
      </c>
      <c r="J356" s="29" t="str">
        <f>IFERROR(VLOOKUP(PA[[#This Row],[Date]],Raw_Data[[Date]:[Sunset Time (POA&lt;20 W/m2)]],4,0),"")</f>
        <v/>
      </c>
      <c r="K356" s="27" t="str">
        <f>IFERROR((PA[[#This Row],[Sunset Time (POA&lt;20 W/m2)]]-PA[[#This Row],[Sunrise Time (POA&gt;20 W/m2)]])*24,"")</f>
        <v/>
      </c>
      <c r="M356" s="46" t="str">
        <f>IFERROR(VLOOKUP(PA[[#This Row],[Affceted Equipment]],'Basic Data'!$A$2:$B$114,2,0),"")</f>
        <v/>
      </c>
      <c r="N356" s="48" t="str">
        <f>IFERROR(VLOOKUP(PA[[#This Row],[Affceted Equipment]],'Basic Data'!$A$1:$C$118,3,0),"")</f>
        <v/>
      </c>
      <c r="W356" s="33">
        <f>IF(PA[[#This Row],[Acknowledgemnet Time ]]="NA","",(PA[[#This Row],[Acknowledgemnet Time ]]-PA[[#This Row],[Fault Time]])*24)</f>
        <v>0</v>
      </c>
      <c r="X356" s="33">
        <f>IF(PA[[#This Row],[Work Start time on Fault]]="NA","",(PA[[#This Row],[Work Start time on Fault]]-PA[[#This Row],[Fault Time]])*24)</f>
        <v>0</v>
      </c>
      <c r="Y356" s="35">
        <f>(PA[[#This Row],[Work Completiuon time on fualt]]-PA[[#This Row],[Fault Time]])*24</f>
        <v>0</v>
      </c>
      <c r="Z356" s="35">
        <f>IFERROR((PA[[#This Row],[Work Completiuon time on fualt]]-PA[[#This Row],[Fault Time]])*24,"")</f>
        <v>0</v>
      </c>
      <c r="AC356" s="47" t="str">
        <f>IFERROR(PA[[#This Row],[Breakdown Time]]*PA[[#This Row],[Plant Equivalent Weightage]],"")</f>
        <v/>
      </c>
      <c r="AE356" s="33" t="str">
        <f>IFERROR((_xlfn.XLOOKUP(PA[[#This Row],[Month Year]],'Modelling New'!D:D,'Modelling New'!$O:$O)*PA[[#This Row],[Lost PoA(Wh/m2)]]*PA[[#This Row],[DC Capacity Affceted (kW)]])/1000,"")</f>
        <v/>
      </c>
      <c r="AF356" s="35"/>
    </row>
    <row r="357" spans="1:32">
      <c r="A357" s="2">
        <f t="shared" si="25"/>
        <v>354</v>
      </c>
      <c r="B357" s="156">
        <f t="shared" si="23"/>
        <v>1900</v>
      </c>
      <c r="C357" s="129">
        <f t="shared" si="24"/>
        <v>1900</v>
      </c>
      <c r="I357" s="29" t="str">
        <f>IFERROR(VLOOKUP(PA[[#This Row],[Date]],Raw_Data[[Date]:[Sunset Time (POA&lt;20 W/m2)]],3,0),"")</f>
        <v/>
      </c>
      <c r="J357" s="29" t="str">
        <f>IFERROR(VLOOKUP(PA[[#This Row],[Date]],Raw_Data[[Date]:[Sunset Time (POA&lt;20 W/m2)]],4,0),"")</f>
        <v/>
      </c>
      <c r="K357" s="27" t="str">
        <f>IFERROR((PA[[#This Row],[Sunset Time (POA&lt;20 W/m2)]]-PA[[#This Row],[Sunrise Time (POA&gt;20 W/m2)]])*24,"")</f>
        <v/>
      </c>
      <c r="M357" s="46" t="str">
        <f>IFERROR(VLOOKUP(PA[[#This Row],[Affceted Equipment]],'Basic Data'!$A$2:$B$114,2,0),"")</f>
        <v/>
      </c>
      <c r="N357" s="48" t="str">
        <f>IFERROR(VLOOKUP(PA[[#This Row],[Affceted Equipment]],'Basic Data'!$A$1:$C$118,3,0),"")</f>
        <v/>
      </c>
      <c r="W357" s="33">
        <f>IF(PA[[#This Row],[Acknowledgemnet Time ]]="NA","",(PA[[#This Row],[Acknowledgemnet Time ]]-PA[[#This Row],[Fault Time]])*24)</f>
        <v>0</v>
      </c>
      <c r="X357" s="33">
        <f>IF(PA[[#This Row],[Work Start time on Fault]]="NA","",(PA[[#This Row],[Work Start time on Fault]]-PA[[#This Row],[Fault Time]])*24)</f>
        <v>0</v>
      </c>
      <c r="Y357" s="35">
        <f>(PA[[#This Row],[Work Completiuon time on fualt]]-PA[[#This Row],[Fault Time]])*24</f>
        <v>0</v>
      </c>
      <c r="Z357" s="35">
        <f>IFERROR((PA[[#This Row],[Work Completiuon time on fualt]]-PA[[#This Row],[Fault Time]])*24,"")</f>
        <v>0</v>
      </c>
      <c r="AC357" s="47" t="str">
        <f>IFERROR(PA[[#This Row],[Breakdown Time]]*PA[[#This Row],[Plant Equivalent Weightage]],"")</f>
        <v/>
      </c>
      <c r="AE357" s="33" t="str">
        <f>IFERROR((_xlfn.XLOOKUP(PA[[#This Row],[Month Year]],'Modelling New'!D:D,'Modelling New'!$O:$O)*PA[[#This Row],[Lost PoA(Wh/m2)]]*PA[[#This Row],[DC Capacity Affceted (kW)]])/1000,"")</f>
        <v/>
      </c>
      <c r="AF357" s="35"/>
    </row>
    <row r="358" spans="1:32">
      <c r="A358" s="2">
        <f t="shared" si="25"/>
        <v>355</v>
      </c>
      <c r="B358" s="156">
        <f t="shared" si="23"/>
        <v>1900</v>
      </c>
      <c r="C358" s="129">
        <f t="shared" si="24"/>
        <v>1900</v>
      </c>
      <c r="I358" s="29" t="str">
        <f>IFERROR(VLOOKUP(PA[[#This Row],[Date]],Raw_Data[[Date]:[Sunset Time (POA&lt;20 W/m2)]],3,0),"")</f>
        <v/>
      </c>
      <c r="J358" s="29" t="str">
        <f>IFERROR(VLOOKUP(PA[[#This Row],[Date]],Raw_Data[[Date]:[Sunset Time (POA&lt;20 W/m2)]],4,0),"")</f>
        <v/>
      </c>
      <c r="K358" s="27" t="str">
        <f>IFERROR((PA[[#This Row],[Sunset Time (POA&lt;20 W/m2)]]-PA[[#This Row],[Sunrise Time (POA&gt;20 W/m2)]])*24,"")</f>
        <v/>
      </c>
      <c r="M358" s="46" t="str">
        <f>IFERROR(VLOOKUP(PA[[#This Row],[Affceted Equipment]],'Basic Data'!$A$2:$B$114,2,0),"")</f>
        <v/>
      </c>
      <c r="N358" s="48" t="str">
        <f>IFERROR(VLOOKUP(PA[[#This Row],[Affceted Equipment]],'Basic Data'!$A$1:$C$118,3,0),"")</f>
        <v/>
      </c>
      <c r="W358" s="33">
        <f>IF(PA[[#This Row],[Acknowledgemnet Time ]]="NA","",(PA[[#This Row],[Acknowledgemnet Time ]]-PA[[#This Row],[Fault Time]])*24)</f>
        <v>0</v>
      </c>
      <c r="X358" s="33">
        <f>IF(PA[[#This Row],[Work Start time on Fault]]="NA","",(PA[[#This Row],[Work Start time on Fault]]-PA[[#This Row],[Fault Time]])*24)</f>
        <v>0</v>
      </c>
      <c r="Y358" s="35">
        <f>(PA[[#This Row],[Work Completiuon time on fualt]]-PA[[#This Row],[Fault Time]])*24</f>
        <v>0</v>
      </c>
      <c r="Z358" s="35">
        <f>IFERROR((PA[[#This Row],[Work Completiuon time on fualt]]-PA[[#This Row],[Fault Time]])*24,"")</f>
        <v>0</v>
      </c>
      <c r="AC358" s="47" t="str">
        <f>IFERROR(PA[[#This Row],[Breakdown Time]]*PA[[#This Row],[Plant Equivalent Weightage]],"")</f>
        <v/>
      </c>
      <c r="AE358" s="33" t="str">
        <f>IFERROR((_xlfn.XLOOKUP(PA[[#This Row],[Month Year]],'Modelling New'!D:D,'Modelling New'!$O:$O)*PA[[#This Row],[Lost PoA(Wh/m2)]]*PA[[#This Row],[DC Capacity Affceted (kW)]])/1000,"")</f>
        <v/>
      </c>
      <c r="AF358" s="35"/>
    </row>
    <row r="359" spans="1:32">
      <c r="A359" s="2">
        <f t="shared" si="25"/>
        <v>356</v>
      </c>
      <c r="B359" s="156">
        <f t="shared" si="23"/>
        <v>1900</v>
      </c>
      <c r="C359" s="129">
        <f t="shared" si="24"/>
        <v>1900</v>
      </c>
      <c r="I359" s="29" t="str">
        <f>IFERROR(VLOOKUP(PA[[#This Row],[Date]],Raw_Data[[Date]:[Sunset Time (POA&lt;20 W/m2)]],3,0),"")</f>
        <v/>
      </c>
      <c r="J359" s="29" t="str">
        <f>IFERROR(VLOOKUP(PA[[#This Row],[Date]],Raw_Data[[Date]:[Sunset Time (POA&lt;20 W/m2)]],4,0),"")</f>
        <v/>
      </c>
      <c r="K359" s="27" t="str">
        <f>IFERROR((PA[[#This Row],[Sunset Time (POA&lt;20 W/m2)]]-PA[[#This Row],[Sunrise Time (POA&gt;20 W/m2)]])*24,"")</f>
        <v/>
      </c>
      <c r="M359" s="46" t="str">
        <f>IFERROR(VLOOKUP(PA[[#This Row],[Affceted Equipment]],'Basic Data'!$A$2:$B$114,2,0),"")</f>
        <v/>
      </c>
      <c r="N359" s="48" t="str">
        <f>IFERROR(VLOOKUP(PA[[#This Row],[Affceted Equipment]],'Basic Data'!$A$1:$C$118,3,0),"")</f>
        <v/>
      </c>
      <c r="W359" s="33">
        <f>IF(PA[[#This Row],[Acknowledgemnet Time ]]="NA","",(PA[[#This Row],[Acknowledgemnet Time ]]-PA[[#This Row],[Fault Time]])*24)</f>
        <v>0</v>
      </c>
      <c r="X359" s="33">
        <f>IF(PA[[#This Row],[Work Start time on Fault]]="NA","",(PA[[#This Row],[Work Start time on Fault]]-PA[[#This Row],[Fault Time]])*24)</f>
        <v>0</v>
      </c>
      <c r="Y359" s="35">
        <f>(PA[[#This Row],[Work Completiuon time on fualt]]-PA[[#This Row],[Fault Time]])*24</f>
        <v>0</v>
      </c>
      <c r="Z359" s="35">
        <f>IFERROR((PA[[#This Row],[Work Completiuon time on fualt]]-PA[[#This Row],[Fault Time]])*24,"")</f>
        <v>0</v>
      </c>
      <c r="AC359" s="47" t="str">
        <f>IFERROR(PA[[#This Row],[Breakdown Time]]*PA[[#This Row],[Plant Equivalent Weightage]],"")</f>
        <v/>
      </c>
      <c r="AE359" s="33" t="str">
        <f>IFERROR((_xlfn.XLOOKUP(PA[[#This Row],[Month Year]],'Modelling New'!D:D,'Modelling New'!$O:$O)*PA[[#This Row],[Lost PoA(Wh/m2)]]*PA[[#This Row],[DC Capacity Affceted (kW)]])/1000,"")</f>
        <v/>
      </c>
      <c r="AF359" s="35"/>
    </row>
    <row r="360" spans="1:32">
      <c r="A360" s="2">
        <f t="shared" si="25"/>
        <v>357</v>
      </c>
      <c r="B360" s="156">
        <f t="shared" si="23"/>
        <v>1900</v>
      </c>
      <c r="C360" s="129">
        <f t="shared" si="24"/>
        <v>1900</v>
      </c>
      <c r="I360" s="29" t="str">
        <f>IFERROR(VLOOKUP(PA[[#This Row],[Date]],Raw_Data[[Date]:[Sunset Time (POA&lt;20 W/m2)]],3,0),"")</f>
        <v/>
      </c>
      <c r="J360" s="29" t="str">
        <f>IFERROR(VLOOKUP(PA[[#This Row],[Date]],Raw_Data[[Date]:[Sunset Time (POA&lt;20 W/m2)]],4,0),"")</f>
        <v/>
      </c>
      <c r="K360" s="27" t="str">
        <f>IFERROR((PA[[#This Row],[Sunset Time (POA&lt;20 W/m2)]]-PA[[#This Row],[Sunrise Time (POA&gt;20 W/m2)]])*24,"")</f>
        <v/>
      </c>
      <c r="M360" s="46" t="str">
        <f>IFERROR(VLOOKUP(PA[[#This Row],[Affceted Equipment]],'Basic Data'!$A$2:$B$114,2,0),"")</f>
        <v/>
      </c>
      <c r="N360" s="48" t="str">
        <f>IFERROR(VLOOKUP(PA[[#This Row],[Affceted Equipment]],'Basic Data'!$A$1:$C$118,3,0),"")</f>
        <v/>
      </c>
      <c r="W360" s="33">
        <f>IF(PA[[#This Row],[Acknowledgemnet Time ]]="NA","",(PA[[#This Row],[Acknowledgemnet Time ]]-PA[[#This Row],[Fault Time]])*24)</f>
        <v>0</v>
      </c>
      <c r="X360" s="33">
        <f>IF(PA[[#This Row],[Work Start time on Fault]]="NA","",(PA[[#This Row],[Work Start time on Fault]]-PA[[#This Row],[Fault Time]])*24)</f>
        <v>0</v>
      </c>
      <c r="Y360" s="35">
        <f>(PA[[#This Row],[Work Completiuon time on fualt]]-PA[[#This Row],[Fault Time]])*24</f>
        <v>0</v>
      </c>
      <c r="Z360" s="35">
        <f>IFERROR((PA[[#This Row],[Work Completiuon time on fualt]]-PA[[#This Row],[Fault Time]])*24,"")</f>
        <v>0</v>
      </c>
      <c r="AC360" s="47" t="str">
        <f>IFERROR(PA[[#This Row],[Breakdown Time]]*PA[[#This Row],[Plant Equivalent Weightage]],"")</f>
        <v/>
      </c>
      <c r="AE360" s="33" t="str">
        <f>IFERROR((_xlfn.XLOOKUP(PA[[#This Row],[Month Year]],'Modelling New'!D:D,'Modelling New'!$O:$O)*PA[[#This Row],[Lost PoA(Wh/m2)]]*PA[[#This Row],[DC Capacity Affceted (kW)]])/1000,"")</f>
        <v/>
      </c>
      <c r="AF360" s="35"/>
    </row>
    <row r="361" spans="1:32">
      <c r="A361" s="2">
        <f t="shared" si="25"/>
        <v>358</v>
      </c>
      <c r="B361" s="156">
        <f t="shared" si="23"/>
        <v>1900</v>
      </c>
      <c r="C361" s="129">
        <f t="shared" si="24"/>
        <v>1900</v>
      </c>
      <c r="I361" s="29" t="str">
        <f>IFERROR(VLOOKUP(PA[[#This Row],[Date]],Raw_Data[[Date]:[Sunset Time (POA&lt;20 W/m2)]],3,0),"")</f>
        <v/>
      </c>
      <c r="J361" s="29" t="str">
        <f>IFERROR(VLOOKUP(PA[[#This Row],[Date]],Raw_Data[[Date]:[Sunset Time (POA&lt;20 W/m2)]],4,0),"")</f>
        <v/>
      </c>
      <c r="K361" s="27" t="str">
        <f>IFERROR((PA[[#This Row],[Sunset Time (POA&lt;20 W/m2)]]-PA[[#This Row],[Sunrise Time (POA&gt;20 W/m2)]])*24,"")</f>
        <v/>
      </c>
      <c r="M361" s="46" t="str">
        <f>IFERROR(VLOOKUP(PA[[#This Row],[Affceted Equipment]],'Basic Data'!$A$2:$B$114,2,0),"")</f>
        <v/>
      </c>
      <c r="N361" s="48" t="str">
        <f>IFERROR(VLOOKUP(PA[[#This Row],[Affceted Equipment]],'Basic Data'!$A$1:$C$118,3,0),"")</f>
        <v/>
      </c>
      <c r="W361" s="33">
        <f>IF(PA[[#This Row],[Acknowledgemnet Time ]]="NA","",(PA[[#This Row],[Acknowledgemnet Time ]]-PA[[#This Row],[Fault Time]])*24)</f>
        <v>0</v>
      </c>
      <c r="X361" s="33">
        <f>IF(PA[[#This Row],[Work Start time on Fault]]="NA","",(PA[[#This Row],[Work Start time on Fault]]-PA[[#This Row],[Fault Time]])*24)</f>
        <v>0</v>
      </c>
      <c r="Y361" s="35">
        <f>(PA[[#This Row],[Work Completiuon time on fualt]]-PA[[#This Row],[Fault Time]])*24</f>
        <v>0</v>
      </c>
      <c r="Z361" s="35">
        <f>IFERROR((PA[[#This Row],[Work Completiuon time on fualt]]-PA[[#This Row],[Fault Time]])*24,"")</f>
        <v>0</v>
      </c>
      <c r="AC361" s="47" t="str">
        <f>IFERROR(PA[[#This Row],[Breakdown Time]]*PA[[#This Row],[Plant Equivalent Weightage]],"")</f>
        <v/>
      </c>
      <c r="AE361" s="33" t="str">
        <f>IFERROR((_xlfn.XLOOKUP(PA[[#This Row],[Month Year]],'Modelling New'!D:D,'Modelling New'!$O:$O)*PA[[#This Row],[Lost PoA(Wh/m2)]]*PA[[#This Row],[DC Capacity Affceted (kW)]])/1000,"")</f>
        <v/>
      </c>
      <c r="AF361" s="35"/>
    </row>
    <row r="362" spans="1:32">
      <c r="A362" s="2">
        <f t="shared" si="25"/>
        <v>359</v>
      </c>
      <c r="B362" s="156">
        <f t="shared" si="23"/>
        <v>1900</v>
      </c>
      <c r="C362" s="129">
        <f t="shared" si="24"/>
        <v>1900</v>
      </c>
      <c r="I362" s="29" t="str">
        <f>IFERROR(VLOOKUP(PA[[#This Row],[Date]],Raw_Data[[Date]:[Sunset Time (POA&lt;20 W/m2)]],3,0),"")</f>
        <v/>
      </c>
      <c r="J362" s="29" t="str">
        <f>IFERROR(VLOOKUP(PA[[#This Row],[Date]],Raw_Data[[Date]:[Sunset Time (POA&lt;20 W/m2)]],4,0),"")</f>
        <v/>
      </c>
      <c r="K362" s="27" t="str">
        <f>IFERROR((PA[[#This Row],[Sunset Time (POA&lt;20 W/m2)]]-PA[[#This Row],[Sunrise Time (POA&gt;20 W/m2)]])*24,"")</f>
        <v/>
      </c>
      <c r="M362" s="46" t="str">
        <f>IFERROR(VLOOKUP(PA[[#This Row],[Affceted Equipment]],'Basic Data'!$A$2:$B$114,2,0),"")</f>
        <v/>
      </c>
      <c r="N362" s="48" t="str">
        <f>IFERROR(VLOOKUP(PA[[#This Row],[Affceted Equipment]],'Basic Data'!$A$1:$C$118,3,0),"")</f>
        <v/>
      </c>
      <c r="W362" s="33">
        <f>IF(PA[[#This Row],[Acknowledgemnet Time ]]="NA","",(PA[[#This Row],[Acknowledgemnet Time ]]-PA[[#This Row],[Fault Time]])*24)</f>
        <v>0</v>
      </c>
      <c r="X362" s="33">
        <f>IF(PA[[#This Row],[Work Start time on Fault]]="NA","",(PA[[#This Row],[Work Start time on Fault]]-PA[[#This Row],[Fault Time]])*24)</f>
        <v>0</v>
      </c>
      <c r="Y362" s="35">
        <f>(PA[[#This Row],[Work Completiuon time on fualt]]-PA[[#This Row],[Fault Time]])*24</f>
        <v>0</v>
      </c>
      <c r="Z362" s="35">
        <f>IFERROR((PA[[#This Row],[Work Completiuon time on fualt]]-PA[[#This Row],[Fault Time]])*24,"")</f>
        <v>0</v>
      </c>
      <c r="AC362" s="47" t="str">
        <f>IFERROR(PA[[#This Row],[Breakdown Time]]*PA[[#This Row],[Plant Equivalent Weightage]],"")</f>
        <v/>
      </c>
      <c r="AE362" s="33" t="str">
        <f>IFERROR((_xlfn.XLOOKUP(PA[[#This Row],[Month Year]],'Modelling New'!D:D,'Modelling New'!$O:$O)*PA[[#This Row],[Lost PoA(Wh/m2)]]*PA[[#This Row],[DC Capacity Affceted (kW)]])/1000,"")</f>
        <v/>
      </c>
      <c r="AF362" s="35"/>
    </row>
    <row r="363" spans="1:32">
      <c r="A363" s="2">
        <f t="shared" si="25"/>
        <v>360</v>
      </c>
      <c r="B363" s="156">
        <f t="shared" si="23"/>
        <v>1900</v>
      </c>
      <c r="C363" s="129">
        <f t="shared" si="24"/>
        <v>1900</v>
      </c>
      <c r="I363" s="29" t="str">
        <f>IFERROR(VLOOKUP(PA[[#This Row],[Date]],Raw_Data[[Date]:[Sunset Time (POA&lt;20 W/m2)]],3,0),"")</f>
        <v/>
      </c>
      <c r="J363" s="29" t="str">
        <f>IFERROR(VLOOKUP(PA[[#This Row],[Date]],Raw_Data[[Date]:[Sunset Time (POA&lt;20 W/m2)]],4,0),"")</f>
        <v/>
      </c>
      <c r="K363" s="27" t="str">
        <f>IFERROR((PA[[#This Row],[Sunset Time (POA&lt;20 W/m2)]]-PA[[#This Row],[Sunrise Time (POA&gt;20 W/m2)]])*24,"")</f>
        <v/>
      </c>
      <c r="M363" s="46" t="str">
        <f>IFERROR(VLOOKUP(PA[[#This Row],[Affceted Equipment]],'Basic Data'!$A$2:$B$114,2,0),"")</f>
        <v/>
      </c>
      <c r="N363" s="48" t="str">
        <f>IFERROR(VLOOKUP(PA[[#This Row],[Affceted Equipment]],'Basic Data'!$A$1:$C$118,3,0),"")</f>
        <v/>
      </c>
      <c r="W363" s="33">
        <f>IF(PA[[#This Row],[Acknowledgemnet Time ]]="NA","",(PA[[#This Row],[Acknowledgemnet Time ]]-PA[[#This Row],[Fault Time]])*24)</f>
        <v>0</v>
      </c>
      <c r="X363" s="33">
        <f>IF(PA[[#This Row],[Work Start time on Fault]]="NA","",(PA[[#This Row],[Work Start time on Fault]]-PA[[#This Row],[Fault Time]])*24)</f>
        <v>0</v>
      </c>
      <c r="Y363" s="35">
        <f>(PA[[#This Row],[Work Completiuon time on fualt]]-PA[[#This Row],[Fault Time]])*24</f>
        <v>0</v>
      </c>
      <c r="Z363" s="35">
        <f>IFERROR((PA[[#This Row],[Work Completiuon time on fualt]]-PA[[#This Row],[Fault Time]])*24,"")</f>
        <v>0</v>
      </c>
      <c r="AC363" s="47" t="str">
        <f>IFERROR(PA[[#This Row],[Breakdown Time]]*PA[[#This Row],[Plant Equivalent Weightage]],"")</f>
        <v/>
      </c>
      <c r="AE363" s="33" t="str">
        <f>IFERROR((_xlfn.XLOOKUP(PA[[#This Row],[Month Year]],'Modelling New'!D:D,'Modelling New'!$O:$O)*PA[[#This Row],[Lost PoA(Wh/m2)]]*PA[[#This Row],[DC Capacity Affceted (kW)]])/1000,"")</f>
        <v/>
      </c>
      <c r="AF363" s="35"/>
    </row>
    <row r="364" spans="1:32">
      <c r="A364" s="2">
        <f t="shared" si="25"/>
        <v>361</v>
      </c>
      <c r="B364" s="156">
        <f t="shared" si="23"/>
        <v>1900</v>
      </c>
      <c r="C364" s="129">
        <f t="shared" si="24"/>
        <v>1900</v>
      </c>
      <c r="I364" s="29" t="str">
        <f>IFERROR(VLOOKUP(PA[[#This Row],[Date]],Raw_Data[[Date]:[Sunset Time (POA&lt;20 W/m2)]],3,0),"")</f>
        <v/>
      </c>
      <c r="J364" s="29" t="str">
        <f>IFERROR(VLOOKUP(PA[[#This Row],[Date]],Raw_Data[[Date]:[Sunset Time (POA&lt;20 W/m2)]],4,0),"")</f>
        <v/>
      </c>
      <c r="K364" s="27" t="str">
        <f>IFERROR((PA[[#This Row],[Sunset Time (POA&lt;20 W/m2)]]-PA[[#This Row],[Sunrise Time (POA&gt;20 W/m2)]])*24,"")</f>
        <v/>
      </c>
      <c r="M364" s="46" t="str">
        <f>IFERROR(VLOOKUP(PA[[#This Row],[Affceted Equipment]],'Basic Data'!$A$2:$B$114,2,0),"")</f>
        <v/>
      </c>
      <c r="N364" s="48" t="str">
        <f>IFERROR(VLOOKUP(PA[[#This Row],[Affceted Equipment]],'Basic Data'!$A$1:$C$118,3,0),"")</f>
        <v/>
      </c>
      <c r="W364" s="33">
        <f>IF(PA[[#This Row],[Acknowledgemnet Time ]]="NA","",(PA[[#This Row],[Acknowledgemnet Time ]]-PA[[#This Row],[Fault Time]])*24)</f>
        <v>0</v>
      </c>
      <c r="X364" s="33">
        <f>IF(PA[[#This Row],[Work Start time on Fault]]="NA","",(PA[[#This Row],[Work Start time on Fault]]-PA[[#This Row],[Fault Time]])*24)</f>
        <v>0</v>
      </c>
      <c r="Y364" s="35">
        <f>(PA[[#This Row],[Work Completiuon time on fualt]]-PA[[#This Row],[Fault Time]])*24</f>
        <v>0</v>
      </c>
      <c r="Z364" s="35">
        <f>IFERROR((PA[[#This Row],[Work Completiuon time on fualt]]-PA[[#This Row],[Fault Time]])*24,"")</f>
        <v>0</v>
      </c>
      <c r="AC364" s="47" t="str">
        <f>IFERROR(PA[[#This Row],[Breakdown Time]]*PA[[#This Row],[Plant Equivalent Weightage]],"")</f>
        <v/>
      </c>
      <c r="AE364" s="33" t="str">
        <f>IFERROR((_xlfn.XLOOKUP(PA[[#This Row],[Month Year]],'Modelling New'!D:D,'Modelling New'!$O:$O)*PA[[#This Row],[Lost PoA(Wh/m2)]]*PA[[#This Row],[DC Capacity Affceted (kW)]])/1000,"")</f>
        <v/>
      </c>
      <c r="AF364" s="35"/>
    </row>
    <row r="365" spans="1:32">
      <c r="A365" s="2">
        <f t="shared" si="25"/>
        <v>362</v>
      </c>
      <c r="B365" s="156">
        <f t="shared" si="23"/>
        <v>1900</v>
      </c>
      <c r="C365" s="129">
        <f t="shared" si="24"/>
        <v>1900</v>
      </c>
      <c r="I365" s="29" t="str">
        <f>IFERROR(VLOOKUP(PA[[#This Row],[Date]],Raw_Data[[Date]:[Sunset Time (POA&lt;20 W/m2)]],3,0),"")</f>
        <v/>
      </c>
      <c r="J365" s="29" t="str">
        <f>IFERROR(VLOOKUP(PA[[#This Row],[Date]],Raw_Data[[Date]:[Sunset Time (POA&lt;20 W/m2)]],4,0),"")</f>
        <v/>
      </c>
      <c r="K365" s="27" t="str">
        <f>IFERROR((PA[[#This Row],[Sunset Time (POA&lt;20 W/m2)]]-PA[[#This Row],[Sunrise Time (POA&gt;20 W/m2)]])*24,"")</f>
        <v/>
      </c>
      <c r="M365" s="46" t="str">
        <f>IFERROR(VLOOKUP(PA[[#This Row],[Affceted Equipment]],'Basic Data'!$A$2:$B$114,2,0),"")</f>
        <v/>
      </c>
      <c r="N365" s="48" t="str">
        <f>IFERROR(VLOOKUP(PA[[#This Row],[Affceted Equipment]],'Basic Data'!$A$1:$C$118,3,0),"")</f>
        <v/>
      </c>
      <c r="W365" s="33">
        <f>IF(PA[[#This Row],[Acknowledgemnet Time ]]="NA","",(PA[[#This Row],[Acknowledgemnet Time ]]-PA[[#This Row],[Fault Time]])*24)</f>
        <v>0</v>
      </c>
      <c r="X365" s="33">
        <f>IF(PA[[#This Row],[Work Start time on Fault]]="NA","",(PA[[#This Row],[Work Start time on Fault]]-PA[[#This Row],[Fault Time]])*24)</f>
        <v>0</v>
      </c>
      <c r="Y365" s="35">
        <f>(PA[[#This Row],[Work Completiuon time on fualt]]-PA[[#This Row],[Fault Time]])*24</f>
        <v>0</v>
      </c>
      <c r="Z365" s="35">
        <f>IFERROR((PA[[#This Row],[Work Completiuon time on fualt]]-PA[[#This Row],[Fault Time]])*24,"")</f>
        <v>0</v>
      </c>
      <c r="AC365" s="47" t="str">
        <f>IFERROR(PA[[#This Row],[Breakdown Time]]*PA[[#This Row],[Plant Equivalent Weightage]],"")</f>
        <v/>
      </c>
      <c r="AE365" s="33" t="str">
        <f>IFERROR((_xlfn.XLOOKUP(PA[[#This Row],[Month Year]],'Modelling New'!D:D,'Modelling New'!$O:$O)*PA[[#This Row],[Lost PoA(Wh/m2)]]*PA[[#This Row],[DC Capacity Affceted (kW)]])/1000,"")</f>
        <v/>
      </c>
      <c r="AF365" s="35"/>
    </row>
    <row r="366" spans="1:32">
      <c r="A366" s="2">
        <f t="shared" si="25"/>
        <v>363</v>
      </c>
      <c r="B366" s="156">
        <f t="shared" si="23"/>
        <v>1900</v>
      </c>
      <c r="C366" s="129">
        <f t="shared" si="24"/>
        <v>1900</v>
      </c>
      <c r="I366" s="29" t="str">
        <f>IFERROR(VLOOKUP(PA[[#This Row],[Date]],Raw_Data[[Date]:[Sunset Time (POA&lt;20 W/m2)]],3,0),"")</f>
        <v/>
      </c>
      <c r="J366" s="29" t="str">
        <f>IFERROR(VLOOKUP(PA[[#This Row],[Date]],Raw_Data[[Date]:[Sunset Time (POA&lt;20 W/m2)]],4,0),"")</f>
        <v/>
      </c>
      <c r="K366" s="27" t="str">
        <f>IFERROR((PA[[#This Row],[Sunset Time (POA&lt;20 W/m2)]]-PA[[#This Row],[Sunrise Time (POA&gt;20 W/m2)]])*24,"")</f>
        <v/>
      </c>
      <c r="M366" s="46" t="str">
        <f>IFERROR(VLOOKUP(PA[[#This Row],[Affceted Equipment]],'Basic Data'!$A$2:$B$114,2,0),"")</f>
        <v/>
      </c>
      <c r="N366" s="48" t="str">
        <f>IFERROR(VLOOKUP(PA[[#This Row],[Affceted Equipment]],'Basic Data'!$A$1:$C$118,3,0),"")</f>
        <v/>
      </c>
      <c r="W366" s="33">
        <f>IF(PA[[#This Row],[Acknowledgemnet Time ]]="NA","",(PA[[#This Row],[Acknowledgemnet Time ]]-PA[[#This Row],[Fault Time]])*24)</f>
        <v>0</v>
      </c>
      <c r="X366" s="33">
        <f>IF(PA[[#This Row],[Work Start time on Fault]]="NA","",(PA[[#This Row],[Work Start time on Fault]]-PA[[#This Row],[Fault Time]])*24)</f>
        <v>0</v>
      </c>
      <c r="Y366" s="35">
        <f>(PA[[#This Row],[Work Completiuon time on fualt]]-PA[[#This Row],[Fault Time]])*24</f>
        <v>0</v>
      </c>
      <c r="Z366" s="35">
        <f>IFERROR((PA[[#This Row],[Work Completiuon time on fualt]]-PA[[#This Row],[Fault Time]])*24,"")</f>
        <v>0</v>
      </c>
      <c r="AC366" s="47" t="str">
        <f>IFERROR(PA[[#This Row],[Breakdown Time]]*PA[[#This Row],[Plant Equivalent Weightage]],"")</f>
        <v/>
      </c>
      <c r="AE366" s="33" t="str">
        <f>IFERROR((_xlfn.XLOOKUP(PA[[#This Row],[Month Year]],'Modelling New'!D:D,'Modelling New'!$O:$O)*PA[[#This Row],[Lost PoA(Wh/m2)]]*PA[[#This Row],[DC Capacity Affceted (kW)]])/1000,"")</f>
        <v/>
      </c>
      <c r="AF366" s="35"/>
    </row>
    <row r="367" spans="1:32">
      <c r="A367" s="2">
        <f t="shared" si="25"/>
        <v>364</v>
      </c>
      <c r="B367" s="156">
        <f t="shared" si="23"/>
        <v>1900</v>
      </c>
      <c r="C367" s="129">
        <f t="shared" si="24"/>
        <v>1900</v>
      </c>
      <c r="I367" s="29" t="str">
        <f>IFERROR(VLOOKUP(PA[[#This Row],[Date]],Raw_Data[[Date]:[Sunset Time (POA&lt;20 W/m2)]],3,0),"")</f>
        <v/>
      </c>
      <c r="J367" s="29" t="str">
        <f>IFERROR(VLOOKUP(PA[[#This Row],[Date]],Raw_Data[[Date]:[Sunset Time (POA&lt;20 W/m2)]],4,0),"")</f>
        <v/>
      </c>
      <c r="K367" s="27" t="str">
        <f>IFERROR((PA[[#This Row],[Sunset Time (POA&lt;20 W/m2)]]-PA[[#This Row],[Sunrise Time (POA&gt;20 W/m2)]])*24,"")</f>
        <v/>
      </c>
      <c r="M367" s="46" t="str">
        <f>IFERROR(VLOOKUP(PA[[#This Row],[Affceted Equipment]],'Basic Data'!$A$2:$B$114,2,0),"")</f>
        <v/>
      </c>
      <c r="N367" s="48" t="str">
        <f>IFERROR(VLOOKUP(PA[[#This Row],[Affceted Equipment]],'Basic Data'!$A$1:$C$118,3,0),"")</f>
        <v/>
      </c>
      <c r="W367" s="33">
        <f>IF(PA[[#This Row],[Acknowledgemnet Time ]]="NA","",(PA[[#This Row],[Acknowledgemnet Time ]]-PA[[#This Row],[Fault Time]])*24)</f>
        <v>0</v>
      </c>
      <c r="X367" s="33">
        <f>IF(PA[[#This Row],[Work Start time on Fault]]="NA","",(PA[[#This Row],[Work Start time on Fault]]-PA[[#This Row],[Fault Time]])*24)</f>
        <v>0</v>
      </c>
      <c r="Y367" s="35">
        <f>(PA[[#This Row],[Work Completiuon time on fualt]]-PA[[#This Row],[Fault Time]])*24</f>
        <v>0</v>
      </c>
      <c r="Z367" s="35">
        <f>IFERROR((PA[[#This Row],[Work Completiuon time on fualt]]-PA[[#This Row],[Fault Time]])*24,"")</f>
        <v>0</v>
      </c>
      <c r="AC367" s="47" t="str">
        <f>IFERROR(PA[[#This Row],[Breakdown Time]]*PA[[#This Row],[Plant Equivalent Weightage]],"")</f>
        <v/>
      </c>
      <c r="AE367" s="33" t="str">
        <f>IFERROR((_xlfn.XLOOKUP(PA[[#This Row],[Month Year]],'Modelling New'!D:D,'Modelling New'!$O:$O)*PA[[#This Row],[Lost PoA(Wh/m2)]]*PA[[#This Row],[DC Capacity Affceted (kW)]])/1000,"")</f>
        <v/>
      </c>
      <c r="AF367" s="35"/>
    </row>
    <row r="368" spans="1:32">
      <c r="A368" s="2">
        <f t="shared" si="25"/>
        <v>365</v>
      </c>
      <c r="B368" s="156">
        <f t="shared" si="23"/>
        <v>1900</v>
      </c>
      <c r="C368" s="129">
        <f t="shared" si="24"/>
        <v>1900</v>
      </c>
      <c r="I368" s="29" t="str">
        <f>IFERROR(VLOOKUP(PA[[#This Row],[Date]],Raw_Data[[Date]:[Sunset Time (POA&lt;20 W/m2)]],3,0),"")</f>
        <v/>
      </c>
      <c r="J368" s="29" t="str">
        <f>IFERROR(VLOOKUP(PA[[#This Row],[Date]],Raw_Data[[Date]:[Sunset Time (POA&lt;20 W/m2)]],4,0),"")</f>
        <v/>
      </c>
      <c r="K368" s="27" t="str">
        <f>IFERROR((PA[[#This Row],[Sunset Time (POA&lt;20 W/m2)]]-PA[[#This Row],[Sunrise Time (POA&gt;20 W/m2)]])*24,"")</f>
        <v/>
      </c>
      <c r="M368" s="46" t="str">
        <f>IFERROR(VLOOKUP(PA[[#This Row],[Affceted Equipment]],'Basic Data'!$A$2:$B$114,2,0),"")</f>
        <v/>
      </c>
      <c r="N368" s="48" t="str">
        <f>IFERROR(VLOOKUP(PA[[#This Row],[Affceted Equipment]],'Basic Data'!$A$1:$C$118,3,0),"")</f>
        <v/>
      </c>
      <c r="W368" s="33">
        <f>IF(PA[[#This Row],[Acknowledgemnet Time ]]="NA","",(PA[[#This Row],[Acknowledgemnet Time ]]-PA[[#This Row],[Fault Time]])*24)</f>
        <v>0</v>
      </c>
      <c r="X368" s="33">
        <f>IF(PA[[#This Row],[Work Start time on Fault]]="NA","",(PA[[#This Row],[Work Start time on Fault]]-PA[[#This Row],[Fault Time]])*24)</f>
        <v>0</v>
      </c>
      <c r="Y368" s="35">
        <f>(PA[[#This Row],[Work Completiuon time on fualt]]-PA[[#This Row],[Fault Time]])*24</f>
        <v>0</v>
      </c>
      <c r="Z368" s="35">
        <f>IFERROR((PA[[#This Row],[Work Completiuon time on fualt]]-PA[[#This Row],[Fault Time]])*24,"")</f>
        <v>0</v>
      </c>
      <c r="AC368" s="47" t="str">
        <f>IFERROR(PA[[#This Row],[Breakdown Time]]*PA[[#This Row],[Plant Equivalent Weightage]],"")</f>
        <v/>
      </c>
      <c r="AE368" s="33" t="str">
        <f>IFERROR((_xlfn.XLOOKUP(PA[[#This Row],[Month Year]],'Modelling New'!D:D,'Modelling New'!$O:$O)*PA[[#This Row],[Lost PoA(Wh/m2)]]*PA[[#This Row],[DC Capacity Affceted (kW)]])/1000,"")</f>
        <v/>
      </c>
      <c r="AF368" s="35"/>
    </row>
    <row r="369" spans="1:32">
      <c r="A369" s="2">
        <f t="shared" si="25"/>
        <v>366</v>
      </c>
      <c r="B369" s="156">
        <f t="shared" si="23"/>
        <v>1900</v>
      </c>
      <c r="C369" s="129">
        <f t="shared" si="24"/>
        <v>1900</v>
      </c>
      <c r="I369" s="29" t="str">
        <f>IFERROR(VLOOKUP(PA[[#This Row],[Date]],Raw_Data[[Date]:[Sunset Time (POA&lt;20 W/m2)]],3,0),"")</f>
        <v/>
      </c>
      <c r="J369" s="29" t="str">
        <f>IFERROR(VLOOKUP(PA[[#This Row],[Date]],Raw_Data[[Date]:[Sunset Time (POA&lt;20 W/m2)]],4,0),"")</f>
        <v/>
      </c>
      <c r="K369" s="27" t="str">
        <f>IFERROR((PA[[#This Row],[Sunset Time (POA&lt;20 W/m2)]]-PA[[#This Row],[Sunrise Time (POA&gt;20 W/m2)]])*24,"")</f>
        <v/>
      </c>
      <c r="M369" s="46" t="str">
        <f>IFERROR(VLOOKUP(PA[[#This Row],[Affceted Equipment]],'Basic Data'!$A$2:$B$114,2,0),"")</f>
        <v/>
      </c>
      <c r="N369" s="48" t="str">
        <f>IFERROR(VLOOKUP(PA[[#This Row],[Affceted Equipment]],'Basic Data'!$A$1:$C$118,3,0),"")</f>
        <v/>
      </c>
      <c r="W369" s="33">
        <f>IF(PA[[#This Row],[Acknowledgemnet Time ]]="NA","",(PA[[#This Row],[Acknowledgemnet Time ]]-PA[[#This Row],[Fault Time]])*24)</f>
        <v>0</v>
      </c>
      <c r="X369" s="33">
        <f>IF(PA[[#This Row],[Work Start time on Fault]]="NA","",(PA[[#This Row],[Work Start time on Fault]]-PA[[#This Row],[Fault Time]])*24)</f>
        <v>0</v>
      </c>
      <c r="Y369" s="35">
        <f>(PA[[#This Row],[Work Completiuon time on fualt]]-PA[[#This Row],[Fault Time]])*24</f>
        <v>0</v>
      </c>
      <c r="Z369" s="35">
        <f>IFERROR((PA[[#This Row],[Work Completiuon time on fualt]]-PA[[#This Row],[Fault Time]])*24,"")</f>
        <v>0</v>
      </c>
      <c r="AC369" s="47" t="str">
        <f>IFERROR(PA[[#This Row],[Breakdown Time]]*PA[[#This Row],[Plant Equivalent Weightage]],"")</f>
        <v/>
      </c>
      <c r="AE369" s="33" t="str">
        <f>IFERROR((_xlfn.XLOOKUP(PA[[#This Row],[Month Year]],'Modelling New'!D:D,'Modelling New'!$O:$O)*PA[[#This Row],[Lost PoA(Wh/m2)]]*PA[[#This Row],[DC Capacity Affceted (kW)]])/1000,"")</f>
        <v/>
      </c>
      <c r="AF369" s="35"/>
    </row>
    <row r="370" spans="1:32">
      <c r="A370" s="2">
        <f t="shared" si="25"/>
        <v>367</v>
      </c>
      <c r="B370" s="156">
        <f t="shared" si="23"/>
        <v>1900</v>
      </c>
      <c r="C370" s="129">
        <f t="shared" si="24"/>
        <v>1900</v>
      </c>
      <c r="I370" s="29" t="str">
        <f>IFERROR(VLOOKUP(PA[[#This Row],[Date]],Raw_Data[[Date]:[Sunset Time (POA&lt;20 W/m2)]],3,0),"")</f>
        <v/>
      </c>
      <c r="J370" s="29" t="str">
        <f>IFERROR(VLOOKUP(PA[[#This Row],[Date]],Raw_Data[[Date]:[Sunset Time (POA&lt;20 W/m2)]],4,0),"")</f>
        <v/>
      </c>
      <c r="K370" s="27" t="str">
        <f>IFERROR((PA[[#This Row],[Sunset Time (POA&lt;20 W/m2)]]-PA[[#This Row],[Sunrise Time (POA&gt;20 W/m2)]])*24,"")</f>
        <v/>
      </c>
      <c r="M370" s="46" t="str">
        <f>IFERROR(VLOOKUP(PA[[#This Row],[Affceted Equipment]],'Basic Data'!$A$2:$B$114,2,0),"")</f>
        <v/>
      </c>
      <c r="N370" s="48" t="str">
        <f>IFERROR(VLOOKUP(PA[[#This Row],[Affceted Equipment]],'Basic Data'!$A$1:$C$118,3,0),"")</f>
        <v/>
      </c>
      <c r="W370" s="33">
        <f>IF(PA[[#This Row],[Acknowledgemnet Time ]]="NA","",(PA[[#This Row],[Acknowledgemnet Time ]]-PA[[#This Row],[Fault Time]])*24)</f>
        <v>0</v>
      </c>
      <c r="X370" s="33">
        <f>IF(PA[[#This Row],[Work Start time on Fault]]="NA","",(PA[[#This Row],[Work Start time on Fault]]-PA[[#This Row],[Fault Time]])*24)</f>
        <v>0</v>
      </c>
      <c r="Y370" s="35">
        <f>(PA[[#This Row],[Work Completiuon time on fualt]]-PA[[#This Row],[Fault Time]])*24</f>
        <v>0</v>
      </c>
      <c r="Z370" s="35">
        <f>IFERROR((PA[[#This Row],[Work Completiuon time on fualt]]-PA[[#This Row],[Fault Time]])*24,"")</f>
        <v>0</v>
      </c>
      <c r="AC370" s="47" t="str">
        <f>IFERROR(PA[[#This Row],[Breakdown Time]]*PA[[#This Row],[Plant Equivalent Weightage]],"")</f>
        <v/>
      </c>
      <c r="AE370" s="33" t="str">
        <f>IFERROR((_xlfn.XLOOKUP(PA[[#This Row],[Month Year]],'Modelling New'!D:D,'Modelling New'!$O:$O)*PA[[#This Row],[Lost PoA(Wh/m2)]]*PA[[#This Row],[DC Capacity Affceted (kW)]])/1000,"")</f>
        <v/>
      </c>
      <c r="AF370" s="35"/>
    </row>
    <row r="371" spans="1:32">
      <c r="A371" s="2">
        <f t="shared" si="25"/>
        <v>368</v>
      </c>
      <c r="B371" s="156">
        <f t="shared" si="23"/>
        <v>1900</v>
      </c>
      <c r="C371" s="129">
        <f t="shared" si="24"/>
        <v>1900</v>
      </c>
      <c r="I371" s="29" t="str">
        <f>IFERROR(VLOOKUP(PA[[#This Row],[Date]],Raw_Data[[Date]:[Sunset Time (POA&lt;20 W/m2)]],3,0),"")</f>
        <v/>
      </c>
      <c r="J371" s="29" t="str">
        <f>IFERROR(VLOOKUP(PA[[#This Row],[Date]],Raw_Data[[Date]:[Sunset Time (POA&lt;20 W/m2)]],4,0),"")</f>
        <v/>
      </c>
      <c r="K371" s="27" t="str">
        <f>IFERROR((PA[[#This Row],[Sunset Time (POA&lt;20 W/m2)]]-PA[[#This Row],[Sunrise Time (POA&gt;20 W/m2)]])*24,"")</f>
        <v/>
      </c>
      <c r="M371" s="46" t="str">
        <f>IFERROR(VLOOKUP(PA[[#This Row],[Affceted Equipment]],'Basic Data'!$A$2:$B$114,2,0),"")</f>
        <v/>
      </c>
      <c r="N371" s="48" t="str">
        <f>IFERROR(VLOOKUP(PA[[#This Row],[Affceted Equipment]],'Basic Data'!$A$1:$C$118,3,0),"")</f>
        <v/>
      </c>
      <c r="W371" s="33">
        <f>IF(PA[[#This Row],[Acknowledgemnet Time ]]="NA","",(PA[[#This Row],[Acknowledgemnet Time ]]-PA[[#This Row],[Fault Time]])*24)</f>
        <v>0</v>
      </c>
      <c r="X371" s="33">
        <f>IF(PA[[#This Row],[Work Start time on Fault]]="NA","",(PA[[#This Row],[Work Start time on Fault]]-PA[[#This Row],[Fault Time]])*24)</f>
        <v>0</v>
      </c>
      <c r="Y371" s="35">
        <f>(PA[[#This Row],[Work Completiuon time on fualt]]-PA[[#This Row],[Fault Time]])*24</f>
        <v>0</v>
      </c>
      <c r="Z371" s="35">
        <f>IFERROR((PA[[#This Row],[Work Completiuon time on fualt]]-PA[[#This Row],[Fault Time]])*24,"")</f>
        <v>0</v>
      </c>
      <c r="AC371" s="47" t="str">
        <f>IFERROR(PA[[#This Row],[Breakdown Time]]*PA[[#This Row],[Plant Equivalent Weightage]],"")</f>
        <v/>
      </c>
      <c r="AE371" s="33" t="str">
        <f>IFERROR((_xlfn.XLOOKUP(PA[[#This Row],[Month Year]],'Modelling New'!D:D,'Modelling New'!$O:$O)*PA[[#This Row],[Lost PoA(Wh/m2)]]*PA[[#This Row],[DC Capacity Affceted (kW)]])/1000,"")</f>
        <v/>
      </c>
      <c r="AF371" s="35"/>
    </row>
    <row r="372" spans="1:32">
      <c r="A372" s="2">
        <f t="shared" si="25"/>
        <v>369</v>
      </c>
      <c r="B372" s="156">
        <f t="shared" si="23"/>
        <v>1900</v>
      </c>
      <c r="C372" s="129">
        <f t="shared" si="24"/>
        <v>1900</v>
      </c>
      <c r="I372" s="29" t="str">
        <f>IFERROR(VLOOKUP(PA[[#This Row],[Date]],Raw_Data[[Date]:[Sunset Time (POA&lt;20 W/m2)]],3,0),"")</f>
        <v/>
      </c>
      <c r="J372" s="29" t="str">
        <f>IFERROR(VLOOKUP(PA[[#This Row],[Date]],Raw_Data[[Date]:[Sunset Time (POA&lt;20 W/m2)]],4,0),"")</f>
        <v/>
      </c>
      <c r="K372" s="27" t="str">
        <f>IFERROR((PA[[#This Row],[Sunset Time (POA&lt;20 W/m2)]]-PA[[#This Row],[Sunrise Time (POA&gt;20 W/m2)]])*24,"")</f>
        <v/>
      </c>
      <c r="M372" s="46" t="str">
        <f>IFERROR(VLOOKUP(PA[[#This Row],[Affceted Equipment]],'Basic Data'!$A$2:$B$114,2,0),"")</f>
        <v/>
      </c>
      <c r="N372" s="48" t="str">
        <f>IFERROR(VLOOKUP(PA[[#This Row],[Affceted Equipment]],'Basic Data'!$A$1:$C$118,3,0),"")</f>
        <v/>
      </c>
      <c r="W372" s="33">
        <f>IF(PA[[#This Row],[Acknowledgemnet Time ]]="NA","",(PA[[#This Row],[Acknowledgemnet Time ]]-PA[[#This Row],[Fault Time]])*24)</f>
        <v>0</v>
      </c>
      <c r="X372" s="33">
        <f>IF(PA[[#This Row],[Work Start time on Fault]]="NA","",(PA[[#This Row],[Work Start time on Fault]]-PA[[#This Row],[Fault Time]])*24)</f>
        <v>0</v>
      </c>
      <c r="Y372" s="35">
        <f>(PA[[#This Row],[Work Completiuon time on fualt]]-PA[[#This Row],[Fault Time]])*24</f>
        <v>0</v>
      </c>
      <c r="Z372" s="35">
        <f>IFERROR((PA[[#This Row],[Work Completiuon time on fualt]]-PA[[#This Row],[Fault Time]])*24,"")</f>
        <v>0</v>
      </c>
      <c r="AC372" s="47" t="str">
        <f>IFERROR(PA[[#This Row],[Breakdown Time]]*PA[[#This Row],[Plant Equivalent Weightage]],"")</f>
        <v/>
      </c>
      <c r="AE372" s="33" t="str">
        <f>IFERROR((_xlfn.XLOOKUP(PA[[#This Row],[Month Year]],'Modelling New'!D:D,'Modelling New'!$O:$O)*PA[[#This Row],[Lost PoA(Wh/m2)]]*PA[[#This Row],[DC Capacity Affceted (kW)]])/1000,"")</f>
        <v/>
      </c>
      <c r="AF372" s="35"/>
    </row>
    <row r="373" spans="1:32">
      <c r="A373" s="2">
        <f t="shared" si="25"/>
        <v>370</v>
      </c>
      <c r="B373" s="156">
        <f t="shared" si="23"/>
        <v>1900</v>
      </c>
      <c r="C373" s="129">
        <f t="shared" si="24"/>
        <v>1900</v>
      </c>
      <c r="I373" s="29" t="str">
        <f>IFERROR(VLOOKUP(PA[[#This Row],[Date]],Raw_Data[[Date]:[Sunset Time (POA&lt;20 W/m2)]],3,0),"")</f>
        <v/>
      </c>
      <c r="J373" s="29" t="str">
        <f>IFERROR(VLOOKUP(PA[[#This Row],[Date]],Raw_Data[[Date]:[Sunset Time (POA&lt;20 W/m2)]],4,0),"")</f>
        <v/>
      </c>
      <c r="K373" s="27" t="str">
        <f>IFERROR((PA[[#This Row],[Sunset Time (POA&lt;20 W/m2)]]-PA[[#This Row],[Sunrise Time (POA&gt;20 W/m2)]])*24,"")</f>
        <v/>
      </c>
      <c r="M373" s="46" t="str">
        <f>IFERROR(VLOOKUP(PA[[#This Row],[Affceted Equipment]],'Basic Data'!$A$2:$B$114,2,0),"")</f>
        <v/>
      </c>
      <c r="N373" s="48" t="str">
        <f>IFERROR(VLOOKUP(PA[[#This Row],[Affceted Equipment]],'Basic Data'!$A$1:$C$118,3,0),"")</f>
        <v/>
      </c>
      <c r="W373" s="33">
        <f>IF(PA[[#This Row],[Acknowledgemnet Time ]]="NA","",(PA[[#This Row],[Acknowledgemnet Time ]]-PA[[#This Row],[Fault Time]])*24)</f>
        <v>0</v>
      </c>
      <c r="X373" s="33">
        <f>IF(PA[[#This Row],[Work Start time on Fault]]="NA","",(PA[[#This Row],[Work Start time on Fault]]-PA[[#This Row],[Fault Time]])*24)</f>
        <v>0</v>
      </c>
      <c r="Y373" s="35">
        <f>(PA[[#This Row],[Work Completiuon time on fualt]]-PA[[#This Row],[Fault Time]])*24</f>
        <v>0</v>
      </c>
      <c r="Z373" s="35">
        <f>IFERROR((PA[[#This Row],[Work Completiuon time on fualt]]-PA[[#This Row],[Fault Time]])*24,"")</f>
        <v>0</v>
      </c>
      <c r="AC373" s="47" t="str">
        <f>IFERROR(PA[[#This Row],[Breakdown Time]]*PA[[#This Row],[Plant Equivalent Weightage]],"")</f>
        <v/>
      </c>
      <c r="AE373" s="33" t="str">
        <f>IFERROR((_xlfn.XLOOKUP(PA[[#This Row],[Month Year]],'Modelling New'!D:D,'Modelling New'!$O:$O)*PA[[#This Row],[Lost PoA(Wh/m2)]]*PA[[#This Row],[DC Capacity Affceted (kW)]])/1000,"")</f>
        <v/>
      </c>
      <c r="AF373" s="35"/>
    </row>
    <row r="374" spans="1:32">
      <c r="A374" s="2">
        <f t="shared" si="25"/>
        <v>371</v>
      </c>
      <c r="B374" s="156">
        <f t="shared" si="23"/>
        <v>1900</v>
      </c>
      <c r="C374" s="129">
        <f t="shared" si="24"/>
        <v>1900</v>
      </c>
      <c r="I374" s="29" t="str">
        <f>IFERROR(VLOOKUP(PA[[#This Row],[Date]],Raw_Data[[Date]:[Sunset Time (POA&lt;20 W/m2)]],3,0),"")</f>
        <v/>
      </c>
      <c r="J374" s="29" t="str">
        <f>IFERROR(VLOOKUP(PA[[#This Row],[Date]],Raw_Data[[Date]:[Sunset Time (POA&lt;20 W/m2)]],4,0),"")</f>
        <v/>
      </c>
      <c r="K374" s="27" t="str">
        <f>IFERROR((PA[[#This Row],[Sunset Time (POA&lt;20 W/m2)]]-PA[[#This Row],[Sunrise Time (POA&gt;20 W/m2)]])*24,"")</f>
        <v/>
      </c>
      <c r="M374" s="46" t="str">
        <f>IFERROR(VLOOKUP(PA[[#This Row],[Affceted Equipment]],'Basic Data'!$A$2:$B$114,2,0),"")</f>
        <v/>
      </c>
      <c r="N374" s="48" t="str">
        <f>IFERROR(VLOOKUP(PA[[#This Row],[Affceted Equipment]],'Basic Data'!$A$1:$C$118,3,0),"")</f>
        <v/>
      </c>
      <c r="W374" s="33">
        <f>IF(PA[[#This Row],[Acknowledgemnet Time ]]="NA","",(PA[[#This Row],[Acknowledgemnet Time ]]-PA[[#This Row],[Fault Time]])*24)</f>
        <v>0</v>
      </c>
      <c r="X374" s="33">
        <f>IF(PA[[#This Row],[Work Start time on Fault]]="NA","",(PA[[#This Row],[Work Start time on Fault]]-PA[[#This Row],[Fault Time]])*24)</f>
        <v>0</v>
      </c>
      <c r="Y374" s="35">
        <f>(PA[[#This Row],[Work Completiuon time on fualt]]-PA[[#This Row],[Fault Time]])*24</f>
        <v>0</v>
      </c>
      <c r="Z374" s="35">
        <f>IFERROR((PA[[#This Row],[Work Completiuon time on fualt]]-PA[[#This Row],[Fault Time]])*24,"")</f>
        <v>0</v>
      </c>
      <c r="AC374" s="47" t="str">
        <f>IFERROR(PA[[#This Row],[Breakdown Time]]*PA[[#This Row],[Plant Equivalent Weightage]],"")</f>
        <v/>
      </c>
      <c r="AE374" s="33" t="str">
        <f>IFERROR((_xlfn.XLOOKUP(PA[[#This Row],[Month Year]],'Modelling New'!D:D,'Modelling New'!$O:$O)*PA[[#This Row],[Lost PoA(Wh/m2)]]*PA[[#This Row],[DC Capacity Affceted (kW)]])/1000,"")</f>
        <v/>
      </c>
      <c r="AF374" s="35"/>
    </row>
    <row r="375" spans="1:32">
      <c r="A375" s="2">
        <f t="shared" si="25"/>
        <v>372</v>
      </c>
      <c r="B375" s="156">
        <f t="shared" si="23"/>
        <v>1900</v>
      </c>
      <c r="C375" s="129">
        <f t="shared" si="24"/>
        <v>1900</v>
      </c>
      <c r="I375" s="29" t="str">
        <f>IFERROR(VLOOKUP(PA[[#This Row],[Date]],Raw_Data[[Date]:[Sunset Time (POA&lt;20 W/m2)]],3,0),"")</f>
        <v/>
      </c>
      <c r="J375" s="29" t="str">
        <f>IFERROR(VLOOKUP(PA[[#This Row],[Date]],Raw_Data[[Date]:[Sunset Time (POA&lt;20 W/m2)]],4,0),"")</f>
        <v/>
      </c>
      <c r="K375" s="27" t="str">
        <f>IFERROR((PA[[#This Row],[Sunset Time (POA&lt;20 W/m2)]]-PA[[#This Row],[Sunrise Time (POA&gt;20 W/m2)]])*24,"")</f>
        <v/>
      </c>
      <c r="M375" s="46" t="str">
        <f>IFERROR(VLOOKUP(PA[[#This Row],[Affceted Equipment]],'Basic Data'!$A$2:$B$114,2,0),"")</f>
        <v/>
      </c>
      <c r="N375" s="48" t="str">
        <f>IFERROR(VLOOKUP(PA[[#This Row],[Affceted Equipment]],'Basic Data'!$A$1:$C$118,3,0),"")</f>
        <v/>
      </c>
      <c r="W375" s="33">
        <f>IF(PA[[#This Row],[Acknowledgemnet Time ]]="NA","",(PA[[#This Row],[Acknowledgemnet Time ]]-PA[[#This Row],[Fault Time]])*24)</f>
        <v>0</v>
      </c>
      <c r="X375" s="33">
        <f>IF(PA[[#This Row],[Work Start time on Fault]]="NA","",(PA[[#This Row],[Work Start time on Fault]]-PA[[#This Row],[Fault Time]])*24)</f>
        <v>0</v>
      </c>
      <c r="Y375" s="35">
        <f>(PA[[#This Row],[Work Completiuon time on fualt]]-PA[[#This Row],[Fault Time]])*24</f>
        <v>0</v>
      </c>
      <c r="Z375" s="35">
        <f>IFERROR((PA[[#This Row],[Work Completiuon time on fualt]]-PA[[#This Row],[Fault Time]])*24,"")</f>
        <v>0</v>
      </c>
      <c r="AC375" s="47" t="str">
        <f>IFERROR(PA[[#This Row],[Breakdown Time]]*PA[[#This Row],[Plant Equivalent Weightage]],"")</f>
        <v/>
      </c>
      <c r="AE375" s="33" t="str">
        <f>IFERROR((_xlfn.XLOOKUP(PA[[#This Row],[Month Year]],'Modelling New'!D:D,'Modelling New'!$O:$O)*PA[[#This Row],[Lost PoA(Wh/m2)]]*PA[[#This Row],[DC Capacity Affceted (kW)]])/1000,"")</f>
        <v/>
      </c>
      <c r="AF375" s="35"/>
    </row>
    <row r="376" spans="1:32">
      <c r="A376" s="2">
        <f t="shared" si="25"/>
        <v>373</v>
      </c>
      <c r="B376" s="156">
        <f t="shared" si="23"/>
        <v>1900</v>
      </c>
      <c r="C376" s="129">
        <f t="shared" si="24"/>
        <v>1900</v>
      </c>
      <c r="I376" s="29" t="str">
        <f>IFERROR(VLOOKUP(PA[[#This Row],[Date]],Raw_Data[[Date]:[Sunset Time (POA&lt;20 W/m2)]],3,0),"")</f>
        <v/>
      </c>
      <c r="J376" s="29" t="str">
        <f>IFERROR(VLOOKUP(PA[[#This Row],[Date]],Raw_Data[[Date]:[Sunset Time (POA&lt;20 W/m2)]],4,0),"")</f>
        <v/>
      </c>
      <c r="K376" s="27" t="str">
        <f>IFERROR((PA[[#This Row],[Sunset Time (POA&lt;20 W/m2)]]-PA[[#This Row],[Sunrise Time (POA&gt;20 W/m2)]])*24,"")</f>
        <v/>
      </c>
      <c r="M376" s="46" t="str">
        <f>IFERROR(VLOOKUP(PA[[#This Row],[Affceted Equipment]],'Basic Data'!$A$2:$B$114,2,0),"")</f>
        <v/>
      </c>
      <c r="N376" s="48" t="str">
        <f>IFERROR(VLOOKUP(PA[[#This Row],[Affceted Equipment]],'Basic Data'!$A$1:$C$118,3,0),"")</f>
        <v/>
      </c>
      <c r="W376" s="33">
        <f>IF(PA[[#This Row],[Acknowledgemnet Time ]]="NA","",(PA[[#This Row],[Acknowledgemnet Time ]]-PA[[#This Row],[Fault Time]])*24)</f>
        <v>0</v>
      </c>
      <c r="X376" s="33">
        <f>IF(PA[[#This Row],[Work Start time on Fault]]="NA","",(PA[[#This Row],[Work Start time on Fault]]-PA[[#This Row],[Fault Time]])*24)</f>
        <v>0</v>
      </c>
      <c r="Y376" s="35">
        <f>(PA[[#This Row],[Work Completiuon time on fualt]]-PA[[#This Row],[Fault Time]])*24</f>
        <v>0</v>
      </c>
      <c r="Z376" s="35">
        <f>IFERROR((PA[[#This Row],[Work Completiuon time on fualt]]-PA[[#This Row],[Fault Time]])*24,"")</f>
        <v>0</v>
      </c>
      <c r="AC376" s="47" t="str">
        <f>IFERROR(PA[[#This Row],[Breakdown Time]]*PA[[#This Row],[Plant Equivalent Weightage]],"")</f>
        <v/>
      </c>
      <c r="AE376" s="33" t="str">
        <f>IFERROR((_xlfn.XLOOKUP(PA[[#This Row],[Month Year]],'Modelling New'!D:D,'Modelling New'!$O:$O)*PA[[#This Row],[Lost PoA(Wh/m2)]]*PA[[#This Row],[DC Capacity Affceted (kW)]])/1000,"")</f>
        <v/>
      </c>
      <c r="AF376" s="35"/>
    </row>
    <row r="377" spans="1:32">
      <c r="A377" s="2">
        <f t="shared" si="25"/>
        <v>374</v>
      </c>
      <c r="B377" s="156">
        <f t="shared" si="23"/>
        <v>1900</v>
      </c>
      <c r="C377" s="129">
        <f t="shared" si="24"/>
        <v>1900</v>
      </c>
      <c r="I377" s="29" t="str">
        <f>IFERROR(VLOOKUP(PA[[#This Row],[Date]],Raw_Data[[Date]:[Sunset Time (POA&lt;20 W/m2)]],3,0),"")</f>
        <v/>
      </c>
      <c r="J377" s="29" t="str">
        <f>IFERROR(VLOOKUP(PA[[#This Row],[Date]],Raw_Data[[Date]:[Sunset Time (POA&lt;20 W/m2)]],4,0),"")</f>
        <v/>
      </c>
      <c r="K377" s="27" t="str">
        <f>IFERROR((PA[[#This Row],[Sunset Time (POA&lt;20 W/m2)]]-PA[[#This Row],[Sunrise Time (POA&gt;20 W/m2)]])*24,"")</f>
        <v/>
      </c>
      <c r="M377" s="46" t="str">
        <f>IFERROR(VLOOKUP(PA[[#This Row],[Affceted Equipment]],'Basic Data'!$A$2:$B$114,2,0),"")</f>
        <v/>
      </c>
      <c r="N377" s="48" t="str">
        <f>IFERROR(VLOOKUP(PA[[#This Row],[Affceted Equipment]],'Basic Data'!$A$1:$C$118,3,0),"")</f>
        <v/>
      </c>
      <c r="W377" s="33">
        <f>IF(PA[[#This Row],[Acknowledgemnet Time ]]="NA","",(PA[[#This Row],[Acknowledgemnet Time ]]-PA[[#This Row],[Fault Time]])*24)</f>
        <v>0</v>
      </c>
      <c r="X377" s="33">
        <f>IF(PA[[#This Row],[Work Start time on Fault]]="NA","",(PA[[#This Row],[Work Start time on Fault]]-PA[[#This Row],[Fault Time]])*24)</f>
        <v>0</v>
      </c>
      <c r="Y377" s="35">
        <f>(PA[[#This Row],[Work Completiuon time on fualt]]-PA[[#This Row],[Fault Time]])*24</f>
        <v>0</v>
      </c>
      <c r="Z377" s="35">
        <f>IFERROR((PA[[#This Row],[Work Completiuon time on fualt]]-PA[[#This Row],[Fault Time]])*24,"")</f>
        <v>0</v>
      </c>
      <c r="AC377" s="47" t="str">
        <f>IFERROR(PA[[#This Row],[Breakdown Time]]*PA[[#This Row],[Plant Equivalent Weightage]],"")</f>
        <v/>
      </c>
      <c r="AE377" s="33" t="str">
        <f>IFERROR((_xlfn.XLOOKUP(PA[[#This Row],[Month Year]],'Modelling New'!D:D,'Modelling New'!$O:$O)*PA[[#This Row],[Lost PoA(Wh/m2)]]*PA[[#This Row],[DC Capacity Affceted (kW)]])/1000,"")</f>
        <v/>
      </c>
      <c r="AF377" s="35"/>
    </row>
    <row r="378" spans="1:32">
      <c r="A378" s="2">
        <f t="shared" si="25"/>
        <v>375</v>
      </c>
      <c r="B378" s="156">
        <f t="shared" si="23"/>
        <v>1900</v>
      </c>
      <c r="C378" s="129">
        <f t="shared" si="24"/>
        <v>1900</v>
      </c>
      <c r="I378" s="29" t="str">
        <f>IFERROR(VLOOKUP(PA[[#This Row],[Date]],Raw_Data[[Date]:[Sunset Time (POA&lt;20 W/m2)]],3,0),"")</f>
        <v/>
      </c>
      <c r="J378" s="29" t="str">
        <f>IFERROR(VLOOKUP(PA[[#This Row],[Date]],Raw_Data[[Date]:[Sunset Time (POA&lt;20 W/m2)]],4,0),"")</f>
        <v/>
      </c>
      <c r="K378" s="27" t="str">
        <f>IFERROR((PA[[#This Row],[Sunset Time (POA&lt;20 W/m2)]]-PA[[#This Row],[Sunrise Time (POA&gt;20 W/m2)]])*24,"")</f>
        <v/>
      </c>
      <c r="M378" s="46" t="str">
        <f>IFERROR(VLOOKUP(PA[[#This Row],[Affceted Equipment]],'Basic Data'!$A$2:$B$114,2,0),"")</f>
        <v/>
      </c>
      <c r="N378" s="48" t="str">
        <f>IFERROR(VLOOKUP(PA[[#This Row],[Affceted Equipment]],'Basic Data'!$A$1:$C$118,3,0),"")</f>
        <v/>
      </c>
      <c r="W378" s="33">
        <f>IF(PA[[#This Row],[Acknowledgemnet Time ]]="NA","",(PA[[#This Row],[Acknowledgemnet Time ]]-PA[[#This Row],[Fault Time]])*24)</f>
        <v>0</v>
      </c>
      <c r="X378" s="33">
        <f>IF(PA[[#This Row],[Work Start time on Fault]]="NA","",(PA[[#This Row],[Work Start time on Fault]]-PA[[#This Row],[Fault Time]])*24)</f>
        <v>0</v>
      </c>
      <c r="Y378" s="35">
        <f>(PA[[#This Row],[Work Completiuon time on fualt]]-PA[[#This Row],[Fault Time]])*24</f>
        <v>0</v>
      </c>
      <c r="Z378" s="35">
        <f>IFERROR((PA[[#This Row],[Work Completiuon time on fualt]]-PA[[#This Row],[Fault Time]])*24,"")</f>
        <v>0</v>
      </c>
      <c r="AC378" s="47" t="str">
        <f>IFERROR(PA[[#This Row],[Breakdown Time]]*PA[[#This Row],[Plant Equivalent Weightage]],"")</f>
        <v/>
      </c>
      <c r="AE378" s="33" t="str">
        <f>IFERROR((_xlfn.XLOOKUP(PA[[#This Row],[Month Year]],'Modelling New'!D:D,'Modelling New'!$O:$O)*PA[[#This Row],[Lost PoA(Wh/m2)]]*PA[[#This Row],[DC Capacity Affceted (kW)]])/1000,"")</f>
        <v/>
      </c>
      <c r="AF378" s="35"/>
    </row>
    <row r="379" spans="1:32">
      <c r="A379" s="2">
        <f t="shared" si="25"/>
        <v>376</v>
      </c>
      <c r="B379" s="156">
        <f t="shared" si="23"/>
        <v>1900</v>
      </c>
      <c r="C379" s="129">
        <f t="shared" si="24"/>
        <v>1900</v>
      </c>
      <c r="I379" s="29" t="str">
        <f>IFERROR(VLOOKUP(PA[[#This Row],[Date]],Raw_Data[[Date]:[Sunset Time (POA&lt;20 W/m2)]],3,0),"")</f>
        <v/>
      </c>
      <c r="J379" s="29" t="str">
        <f>IFERROR(VLOOKUP(PA[[#This Row],[Date]],Raw_Data[[Date]:[Sunset Time (POA&lt;20 W/m2)]],4,0),"")</f>
        <v/>
      </c>
      <c r="K379" s="27" t="str">
        <f>IFERROR((PA[[#This Row],[Sunset Time (POA&lt;20 W/m2)]]-PA[[#This Row],[Sunrise Time (POA&gt;20 W/m2)]])*24,"")</f>
        <v/>
      </c>
      <c r="M379" s="46" t="str">
        <f>IFERROR(VLOOKUP(PA[[#This Row],[Affceted Equipment]],'Basic Data'!$A$2:$B$114,2,0),"")</f>
        <v/>
      </c>
      <c r="N379" s="48" t="str">
        <f>IFERROR(VLOOKUP(PA[[#This Row],[Affceted Equipment]],'Basic Data'!$A$1:$C$118,3,0),"")</f>
        <v/>
      </c>
      <c r="W379" s="33">
        <f>IF(PA[[#This Row],[Acknowledgemnet Time ]]="NA","",(PA[[#This Row],[Acknowledgemnet Time ]]-PA[[#This Row],[Fault Time]])*24)</f>
        <v>0</v>
      </c>
      <c r="X379" s="33">
        <f>IF(PA[[#This Row],[Work Start time on Fault]]="NA","",(PA[[#This Row],[Work Start time on Fault]]-PA[[#This Row],[Fault Time]])*24)</f>
        <v>0</v>
      </c>
      <c r="Y379" s="35">
        <f>(PA[[#This Row],[Work Completiuon time on fualt]]-PA[[#This Row],[Fault Time]])*24</f>
        <v>0</v>
      </c>
      <c r="Z379" s="35">
        <f>IFERROR((PA[[#This Row],[Work Completiuon time on fualt]]-PA[[#This Row],[Fault Time]])*24,"")</f>
        <v>0</v>
      </c>
      <c r="AC379" s="47" t="str">
        <f>IFERROR(PA[[#This Row],[Breakdown Time]]*PA[[#This Row],[Plant Equivalent Weightage]],"")</f>
        <v/>
      </c>
      <c r="AE379" s="33" t="str">
        <f>IFERROR((_xlfn.XLOOKUP(PA[[#This Row],[Month Year]],'Modelling New'!D:D,'Modelling New'!$O:$O)*PA[[#This Row],[Lost PoA(Wh/m2)]]*PA[[#This Row],[DC Capacity Affceted (kW)]])/1000,"")</f>
        <v/>
      </c>
      <c r="AF379" s="35"/>
    </row>
    <row r="380" spans="1:32">
      <c r="A380" s="2">
        <f t="shared" si="25"/>
        <v>377</v>
      </c>
      <c r="B380" s="156">
        <f t="shared" si="23"/>
        <v>1900</v>
      </c>
      <c r="C380" s="129">
        <f t="shared" si="24"/>
        <v>1900</v>
      </c>
      <c r="I380" s="29" t="str">
        <f>IFERROR(VLOOKUP(PA[[#This Row],[Date]],Raw_Data[[Date]:[Sunset Time (POA&lt;20 W/m2)]],3,0),"")</f>
        <v/>
      </c>
      <c r="J380" s="29" t="str">
        <f>IFERROR(VLOOKUP(PA[[#This Row],[Date]],Raw_Data[[Date]:[Sunset Time (POA&lt;20 W/m2)]],4,0),"")</f>
        <v/>
      </c>
      <c r="K380" s="27" t="str">
        <f>IFERROR((PA[[#This Row],[Sunset Time (POA&lt;20 W/m2)]]-PA[[#This Row],[Sunrise Time (POA&gt;20 W/m2)]])*24,"")</f>
        <v/>
      </c>
      <c r="M380" s="46" t="str">
        <f>IFERROR(VLOOKUP(PA[[#This Row],[Affceted Equipment]],'Basic Data'!$A$2:$B$114,2,0),"")</f>
        <v/>
      </c>
      <c r="N380" s="48" t="str">
        <f>IFERROR(VLOOKUP(PA[[#This Row],[Affceted Equipment]],'Basic Data'!$A$1:$C$118,3,0),"")</f>
        <v/>
      </c>
      <c r="W380" s="33">
        <f>IF(PA[[#This Row],[Acknowledgemnet Time ]]="NA","",(PA[[#This Row],[Acknowledgemnet Time ]]-PA[[#This Row],[Fault Time]])*24)</f>
        <v>0</v>
      </c>
      <c r="X380" s="33">
        <f>IF(PA[[#This Row],[Work Start time on Fault]]="NA","",(PA[[#This Row],[Work Start time on Fault]]-PA[[#This Row],[Fault Time]])*24)</f>
        <v>0</v>
      </c>
      <c r="Y380" s="35">
        <f>(PA[[#This Row],[Work Completiuon time on fualt]]-PA[[#This Row],[Fault Time]])*24</f>
        <v>0</v>
      </c>
      <c r="Z380" s="35">
        <f>IFERROR((PA[[#This Row],[Work Completiuon time on fualt]]-PA[[#This Row],[Fault Time]])*24,"")</f>
        <v>0</v>
      </c>
      <c r="AC380" s="47" t="str">
        <f>IFERROR(PA[[#This Row],[Breakdown Time]]*PA[[#This Row],[Plant Equivalent Weightage]],"")</f>
        <v/>
      </c>
      <c r="AE380" s="33" t="str">
        <f>IFERROR((_xlfn.XLOOKUP(PA[[#This Row],[Month Year]],'Modelling New'!D:D,'Modelling New'!$O:$O)*PA[[#This Row],[Lost PoA(Wh/m2)]]*PA[[#This Row],[DC Capacity Affceted (kW)]])/1000,"")</f>
        <v/>
      </c>
      <c r="AF380" s="35"/>
    </row>
    <row r="381" spans="1:32">
      <c r="A381" s="2">
        <f t="shared" si="25"/>
        <v>378</v>
      </c>
      <c r="B381" s="156">
        <f t="shared" si="23"/>
        <v>1900</v>
      </c>
      <c r="C381" s="129">
        <f t="shared" si="24"/>
        <v>1900</v>
      </c>
      <c r="I381" s="29" t="str">
        <f>IFERROR(VLOOKUP(PA[[#This Row],[Date]],Raw_Data[[Date]:[Sunset Time (POA&lt;20 W/m2)]],3,0),"")</f>
        <v/>
      </c>
      <c r="J381" s="29" t="str">
        <f>IFERROR(VLOOKUP(PA[[#This Row],[Date]],Raw_Data[[Date]:[Sunset Time (POA&lt;20 W/m2)]],4,0),"")</f>
        <v/>
      </c>
      <c r="K381" s="27" t="str">
        <f>IFERROR((PA[[#This Row],[Sunset Time (POA&lt;20 W/m2)]]-PA[[#This Row],[Sunrise Time (POA&gt;20 W/m2)]])*24,"")</f>
        <v/>
      </c>
      <c r="M381" s="46" t="str">
        <f>IFERROR(VLOOKUP(PA[[#This Row],[Affceted Equipment]],'Basic Data'!$A$2:$B$114,2,0),"")</f>
        <v/>
      </c>
      <c r="N381" s="48" t="str">
        <f>IFERROR(VLOOKUP(PA[[#This Row],[Affceted Equipment]],'Basic Data'!$A$1:$C$118,3,0),"")</f>
        <v/>
      </c>
      <c r="W381" s="33">
        <f>IF(PA[[#This Row],[Acknowledgemnet Time ]]="NA","",(PA[[#This Row],[Acknowledgemnet Time ]]-PA[[#This Row],[Fault Time]])*24)</f>
        <v>0</v>
      </c>
      <c r="X381" s="33">
        <f>IF(PA[[#This Row],[Work Start time on Fault]]="NA","",(PA[[#This Row],[Work Start time on Fault]]-PA[[#This Row],[Fault Time]])*24)</f>
        <v>0</v>
      </c>
      <c r="Y381" s="35">
        <f>(PA[[#This Row],[Work Completiuon time on fualt]]-PA[[#This Row],[Fault Time]])*24</f>
        <v>0</v>
      </c>
      <c r="Z381" s="35">
        <f>IFERROR((PA[[#This Row],[Work Completiuon time on fualt]]-PA[[#This Row],[Fault Time]])*24,"")</f>
        <v>0</v>
      </c>
      <c r="AC381" s="47" t="str">
        <f>IFERROR(PA[[#This Row],[Breakdown Time]]*PA[[#This Row],[Plant Equivalent Weightage]],"")</f>
        <v/>
      </c>
      <c r="AE381" s="33" t="str">
        <f>IFERROR((_xlfn.XLOOKUP(PA[[#This Row],[Month Year]],'Modelling New'!D:D,'Modelling New'!$O:$O)*PA[[#This Row],[Lost PoA(Wh/m2)]]*PA[[#This Row],[DC Capacity Affceted (kW)]])/1000,"")</f>
        <v/>
      </c>
      <c r="AF381" s="35"/>
    </row>
    <row r="382" spans="1:32">
      <c r="A382" s="2">
        <f t="shared" si="25"/>
        <v>379</v>
      </c>
      <c r="B382" s="156">
        <f t="shared" si="23"/>
        <v>1900</v>
      </c>
      <c r="C382" s="129">
        <f t="shared" si="24"/>
        <v>1900</v>
      </c>
      <c r="I382" s="29" t="str">
        <f>IFERROR(VLOOKUP(PA[[#This Row],[Date]],Raw_Data[[Date]:[Sunset Time (POA&lt;20 W/m2)]],3,0),"")</f>
        <v/>
      </c>
      <c r="J382" s="29" t="str">
        <f>IFERROR(VLOOKUP(PA[[#This Row],[Date]],Raw_Data[[Date]:[Sunset Time (POA&lt;20 W/m2)]],4,0),"")</f>
        <v/>
      </c>
      <c r="K382" s="27" t="str">
        <f>IFERROR((PA[[#This Row],[Sunset Time (POA&lt;20 W/m2)]]-PA[[#This Row],[Sunrise Time (POA&gt;20 W/m2)]])*24,"")</f>
        <v/>
      </c>
      <c r="M382" s="46" t="str">
        <f>IFERROR(VLOOKUP(PA[[#This Row],[Affceted Equipment]],'Basic Data'!$A$2:$B$114,2,0),"")</f>
        <v/>
      </c>
      <c r="N382" s="48" t="str">
        <f>IFERROR(VLOOKUP(PA[[#This Row],[Affceted Equipment]],'Basic Data'!$A$1:$C$118,3,0),"")</f>
        <v/>
      </c>
      <c r="W382" s="33">
        <f>IF(PA[[#This Row],[Acknowledgemnet Time ]]="NA","",(PA[[#This Row],[Acknowledgemnet Time ]]-PA[[#This Row],[Fault Time]])*24)</f>
        <v>0</v>
      </c>
      <c r="X382" s="33">
        <f>IF(PA[[#This Row],[Work Start time on Fault]]="NA","",(PA[[#This Row],[Work Start time on Fault]]-PA[[#This Row],[Fault Time]])*24)</f>
        <v>0</v>
      </c>
      <c r="Y382" s="35">
        <f>(PA[[#This Row],[Work Completiuon time on fualt]]-PA[[#This Row],[Fault Time]])*24</f>
        <v>0</v>
      </c>
      <c r="Z382" s="35">
        <f>IFERROR((PA[[#This Row],[Work Completiuon time on fualt]]-PA[[#This Row],[Fault Time]])*24,"")</f>
        <v>0</v>
      </c>
      <c r="AC382" s="47" t="str">
        <f>IFERROR(PA[[#This Row],[Breakdown Time]]*PA[[#This Row],[Plant Equivalent Weightage]],"")</f>
        <v/>
      </c>
      <c r="AE382" s="33" t="str">
        <f>IFERROR((_xlfn.XLOOKUP(PA[[#This Row],[Month Year]],'Modelling New'!D:D,'Modelling New'!$O:$O)*PA[[#This Row],[Lost PoA(Wh/m2)]]*PA[[#This Row],[DC Capacity Affceted (kW)]])/1000,"")</f>
        <v/>
      </c>
      <c r="AF382" s="35"/>
    </row>
    <row r="383" spans="1:32">
      <c r="A383" s="2">
        <f t="shared" si="25"/>
        <v>380</v>
      </c>
      <c r="B383" s="156">
        <f t="shared" si="23"/>
        <v>1900</v>
      </c>
      <c r="C383" s="129">
        <f t="shared" si="24"/>
        <v>1900</v>
      </c>
      <c r="I383" s="29" t="str">
        <f>IFERROR(VLOOKUP(PA[[#This Row],[Date]],Raw_Data[[Date]:[Sunset Time (POA&lt;20 W/m2)]],3,0),"")</f>
        <v/>
      </c>
      <c r="J383" s="29" t="str">
        <f>IFERROR(VLOOKUP(PA[[#This Row],[Date]],Raw_Data[[Date]:[Sunset Time (POA&lt;20 W/m2)]],4,0),"")</f>
        <v/>
      </c>
      <c r="K383" s="27" t="str">
        <f>IFERROR((PA[[#This Row],[Sunset Time (POA&lt;20 W/m2)]]-PA[[#This Row],[Sunrise Time (POA&gt;20 W/m2)]])*24,"")</f>
        <v/>
      </c>
      <c r="M383" s="46" t="str">
        <f>IFERROR(VLOOKUP(PA[[#This Row],[Affceted Equipment]],'Basic Data'!$A$2:$B$114,2,0),"")</f>
        <v/>
      </c>
      <c r="N383" s="48" t="str">
        <f>IFERROR(VLOOKUP(PA[[#This Row],[Affceted Equipment]],'Basic Data'!$A$1:$C$118,3,0),"")</f>
        <v/>
      </c>
      <c r="W383" s="33">
        <f>IF(PA[[#This Row],[Acknowledgemnet Time ]]="NA","",(PA[[#This Row],[Acknowledgemnet Time ]]-PA[[#This Row],[Fault Time]])*24)</f>
        <v>0</v>
      </c>
      <c r="X383" s="33">
        <f>IF(PA[[#This Row],[Work Start time on Fault]]="NA","",(PA[[#This Row],[Work Start time on Fault]]-PA[[#This Row],[Fault Time]])*24)</f>
        <v>0</v>
      </c>
      <c r="Y383" s="35">
        <f>(PA[[#This Row],[Work Completiuon time on fualt]]-PA[[#This Row],[Fault Time]])*24</f>
        <v>0</v>
      </c>
      <c r="Z383" s="35">
        <f>IFERROR((PA[[#This Row],[Work Completiuon time on fualt]]-PA[[#This Row],[Fault Time]])*24,"")</f>
        <v>0</v>
      </c>
      <c r="AC383" s="47" t="str">
        <f>IFERROR(PA[[#This Row],[Breakdown Time]]*PA[[#This Row],[Plant Equivalent Weightage]],"")</f>
        <v/>
      </c>
      <c r="AE383" s="33" t="str">
        <f>IFERROR((_xlfn.XLOOKUP(PA[[#This Row],[Month Year]],'Modelling New'!D:D,'Modelling New'!$O:$O)*PA[[#This Row],[Lost PoA(Wh/m2)]]*PA[[#This Row],[DC Capacity Affceted (kW)]])/1000,"")</f>
        <v/>
      </c>
      <c r="AF383" s="35"/>
    </row>
    <row r="384" spans="1:32">
      <c r="A384" s="2">
        <f t="shared" si="25"/>
        <v>381</v>
      </c>
      <c r="B384" s="156">
        <f t="shared" si="23"/>
        <v>1900</v>
      </c>
      <c r="C384" s="129">
        <f t="shared" si="24"/>
        <v>1900</v>
      </c>
      <c r="I384" s="29" t="str">
        <f>IFERROR(VLOOKUP(PA[[#This Row],[Date]],Raw_Data[[Date]:[Sunset Time (POA&lt;20 W/m2)]],3,0),"")</f>
        <v/>
      </c>
      <c r="J384" s="29" t="str">
        <f>IFERROR(VLOOKUP(PA[[#This Row],[Date]],Raw_Data[[Date]:[Sunset Time (POA&lt;20 W/m2)]],4,0),"")</f>
        <v/>
      </c>
      <c r="K384" s="27" t="str">
        <f>IFERROR((PA[[#This Row],[Sunset Time (POA&lt;20 W/m2)]]-PA[[#This Row],[Sunrise Time (POA&gt;20 W/m2)]])*24,"")</f>
        <v/>
      </c>
      <c r="M384" s="46" t="str">
        <f>IFERROR(VLOOKUP(PA[[#This Row],[Affceted Equipment]],'Basic Data'!$A$2:$B$114,2,0),"")</f>
        <v/>
      </c>
      <c r="N384" s="48" t="str">
        <f>IFERROR(VLOOKUP(PA[[#This Row],[Affceted Equipment]],'Basic Data'!$A$1:$C$118,3,0),"")</f>
        <v/>
      </c>
      <c r="W384" s="33">
        <f>IF(PA[[#This Row],[Acknowledgemnet Time ]]="NA","",(PA[[#This Row],[Acknowledgemnet Time ]]-PA[[#This Row],[Fault Time]])*24)</f>
        <v>0</v>
      </c>
      <c r="X384" s="33">
        <f>IF(PA[[#This Row],[Work Start time on Fault]]="NA","",(PA[[#This Row],[Work Start time on Fault]]-PA[[#This Row],[Fault Time]])*24)</f>
        <v>0</v>
      </c>
      <c r="Y384" s="35">
        <f>(PA[[#This Row],[Work Completiuon time on fualt]]-PA[[#This Row],[Fault Time]])*24</f>
        <v>0</v>
      </c>
      <c r="Z384" s="35">
        <f>IFERROR((PA[[#This Row],[Work Completiuon time on fualt]]-PA[[#This Row],[Fault Time]])*24,"")</f>
        <v>0</v>
      </c>
      <c r="AC384" s="47" t="str">
        <f>IFERROR(PA[[#This Row],[Breakdown Time]]*PA[[#This Row],[Plant Equivalent Weightage]],"")</f>
        <v/>
      </c>
      <c r="AE384" s="33" t="str">
        <f>IFERROR((_xlfn.XLOOKUP(PA[[#This Row],[Month Year]],'Modelling New'!D:D,'Modelling New'!$O:$O)*PA[[#This Row],[Lost PoA(Wh/m2)]]*PA[[#This Row],[DC Capacity Affceted (kW)]])/1000,"")</f>
        <v/>
      </c>
      <c r="AF384" s="35"/>
    </row>
    <row r="385" spans="1:32">
      <c r="A385" s="2">
        <f t="shared" si="25"/>
        <v>382</v>
      </c>
      <c r="B385" s="156">
        <f t="shared" si="23"/>
        <v>1900</v>
      </c>
      <c r="C385" s="129">
        <f t="shared" si="24"/>
        <v>1900</v>
      </c>
      <c r="I385" s="29" t="str">
        <f>IFERROR(VLOOKUP(PA[[#This Row],[Date]],Raw_Data[[Date]:[Sunset Time (POA&lt;20 W/m2)]],3,0),"")</f>
        <v/>
      </c>
      <c r="J385" s="29" t="str">
        <f>IFERROR(VLOOKUP(PA[[#This Row],[Date]],Raw_Data[[Date]:[Sunset Time (POA&lt;20 W/m2)]],4,0),"")</f>
        <v/>
      </c>
      <c r="K385" s="27" t="str">
        <f>IFERROR((PA[[#This Row],[Sunset Time (POA&lt;20 W/m2)]]-PA[[#This Row],[Sunrise Time (POA&gt;20 W/m2)]])*24,"")</f>
        <v/>
      </c>
      <c r="M385" s="46" t="str">
        <f>IFERROR(VLOOKUP(PA[[#This Row],[Affceted Equipment]],'Basic Data'!$A$2:$B$114,2,0),"")</f>
        <v/>
      </c>
      <c r="N385" s="48" t="str">
        <f>IFERROR(VLOOKUP(PA[[#This Row],[Affceted Equipment]],'Basic Data'!$A$1:$C$118,3,0),"")</f>
        <v/>
      </c>
      <c r="W385" s="33">
        <f>IF(PA[[#This Row],[Acknowledgemnet Time ]]="NA","",(PA[[#This Row],[Acknowledgemnet Time ]]-PA[[#This Row],[Fault Time]])*24)</f>
        <v>0</v>
      </c>
      <c r="X385" s="33">
        <f>IF(PA[[#This Row],[Work Start time on Fault]]="NA","",(PA[[#This Row],[Work Start time on Fault]]-PA[[#This Row],[Fault Time]])*24)</f>
        <v>0</v>
      </c>
      <c r="Y385" s="35">
        <f>(PA[[#This Row],[Work Completiuon time on fualt]]-PA[[#This Row],[Fault Time]])*24</f>
        <v>0</v>
      </c>
      <c r="Z385" s="35">
        <f>IFERROR((PA[[#This Row],[Work Completiuon time on fualt]]-PA[[#This Row],[Fault Time]])*24,"")</f>
        <v>0</v>
      </c>
      <c r="AC385" s="47" t="str">
        <f>IFERROR(PA[[#This Row],[Breakdown Time]]*PA[[#This Row],[Plant Equivalent Weightage]],"")</f>
        <v/>
      </c>
      <c r="AE385" s="33" t="str">
        <f>IFERROR((_xlfn.XLOOKUP(PA[[#This Row],[Month Year]],'Modelling New'!D:D,'Modelling New'!$O:$O)*PA[[#This Row],[Lost PoA(Wh/m2)]]*PA[[#This Row],[DC Capacity Affceted (kW)]])/1000,"")</f>
        <v/>
      </c>
      <c r="AF385" s="35"/>
    </row>
    <row r="386" spans="1:32">
      <c r="A386" s="2">
        <f t="shared" si="25"/>
        <v>383</v>
      </c>
      <c r="B386" s="156">
        <f t="shared" si="23"/>
        <v>1900</v>
      </c>
      <c r="C386" s="129">
        <f t="shared" si="24"/>
        <v>1900</v>
      </c>
      <c r="I386" s="29" t="str">
        <f>IFERROR(VLOOKUP(PA[[#This Row],[Date]],Raw_Data[[Date]:[Sunset Time (POA&lt;20 W/m2)]],3,0),"")</f>
        <v/>
      </c>
      <c r="J386" s="29" t="str">
        <f>IFERROR(VLOOKUP(PA[[#This Row],[Date]],Raw_Data[[Date]:[Sunset Time (POA&lt;20 W/m2)]],4,0),"")</f>
        <v/>
      </c>
      <c r="K386" s="27" t="str">
        <f>IFERROR((PA[[#This Row],[Sunset Time (POA&lt;20 W/m2)]]-PA[[#This Row],[Sunrise Time (POA&gt;20 W/m2)]])*24,"")</f>
        <v/>
      </c>
      <c r="M386" s="46" t="str">
        <f>IFERROR(VLOOKUP(PA[[#This Row],[Affceted Equipment]],'Basic Data'!$A$2:$B$114,2,0),"")</f>
        <v/>
      </c>
      <c r="N386" s="48" t="str">
        <f>IFERROR(VLOOKUP(PA[[#This Row],[Affceted Equipment]],'Basic Data'!$A$1:$C$118,3,0),"")</f>
        <v/>
      </c>
      <c r="W386" s="33">
        <f>IF(PA[[#This Row],[Acknowledgemnet Time ]]="NA","",(PA[[#This Row],[Acknowledgemnet Time ]]-PA[[#This Row],[Fault Time]])*24)</f>
        <v>0</v>
      </c>
      <c r="X386" s="33">
        <f>IF(PA[[#This Row],[Work Start time on Fault]]="NA","",(PA[[#This Row],[Work Start time on Fault]]-PA[[#This Row],[Fault Time]])*24)</f>
        <v>0</v>
      </c>
      <c r="Y386" s="35">
        <f>(PA[[#This Row],[Work Completiuon time on fualt]]-PA[[#This Row],[Fault Time]])*24</f>
        <v>0</v>
      </c>
      <c r="Z386" s="35">
        <f>IFERROR((PA[[#This Row],[Work Completiuon time on fualt]]-PA[[#This Row],[Fault Time]])*24,"")</f>
        <v>0</v>
      </c>
      <c r="AC386" s="47" t="str">
        <f>IFERROR(PA[[#This Row],[Breakdown Time]]*PA[[#This Row],[Plant Equivalent Weightage]],"")</f>
        <v/>
      </c>
      <c r="AE386" s="33" t="str">
        <f>IFERROR((_xlfn.XLOOKUP(PA[[#This Row],[Month Year]],'Modelling New'!D:D,'Modelling New'!$O:$O)*PA[[#This Row],[Lost PoA(Wh/m2)]]*PA[[#This Row],[DC Capacity Affceted (kW)]])/1000,"")</f>
        <v/>
      </c>
      <c r="AF386" s="35"/>
    </row>
    <row r="387" spans="1:32">
      <c r="A387" s="2">
        <f t="shared" si="25"/>
        <v>384</v>
      </c>
      <c r="B387" s="156">
        <f t="shared" si="23"/>
        <v>1900</v>
      </c>
      <c r="C387" s="129">
        <f t="shared" si="24"/>
        <v>1900</v>
      </c>
      <c r="I387" s="29" t="str">
        <f>IFERROR(VLOOKUP(PA[[#This Row],[Date]],Raw_Data[[Date]:[Sunset Time (POA&lt;20 W/m2)]],3,0),"")</f>
        <v/>
      </c>
      <c r="J387" s="29" t="str">
        <f>IFERROR(VLOOKUP(PA[[#This Row],[Date]],Raw_Data[[Date]:[Sunset Time (POA&lt;20 W/m2)]],4,0),"")</f>
        <v/>
      </c>
      <c r="K387" s="27" t="str">
        <f>IFERROR((PA[[#This Row],[Sunset Time (POA&lt;20 W/m2)]]-PA[[#This Row],[Sunrise Time (POA&gt;20 W/m2)]])*24,"")</f>
        <v/>
      </c>
      <c r="M387" s="46" t="str">
        <f>IFERROR(VLOOKUP(PA[[#This Row],[Affceted Equipment]],'Basic Data'!$A$2:$B$114,2,0),"")</f>
        <v/>
      </c>
      <c r="N387" s="48" t="str">
        <f>IFERROR(VLOOKUP(PA[[#This Row],[Affceted Equipment]],'Basic Data'!$A$1:$C$118,3,0),"")</f>
        <v/>
      </c>
      <c r="W387" s="33">
        <f>IF(PA[[#This Row],[Acknowledgemnet Time ]]="NA","",(PA[[#This Row],[Acknowledgemnet Time ]]-PA[[#This Row],[Fault Time]])*24)</f>
        <v>0</v>
      </c>
      <c r="X387" s="33">
        <f>IF(PA[[#This Row],[Work Start time on Fault]]="NA","",(PA[[#This Row],[Work Start time on Fault]]-PA[[#This Row],[Fault Time]])*24)</f>
        <v>0</v>
      </c>
      <c r="Y387" s="35">
        <f>(PA[[#This Row],[Work Completiuon time on fualt]]-PA[[#This Row],[Fault Time]])*24</f>
        <v>0</v>
      </c>
      <c r="Z387" s="35">
        <f>IFERROR((PA[[#This Row],[Work Completiuon time on fualt]]-PA[[#This Row],[Fault Time]])*24,"")</f>
        <v>0</v>
      </c>
      <c r="AC387" s="47" t="str">
        <f>IFERROR(PA[[#This Row],[Breakdown Time]]*PA[[#This Row],[Plant Equivalent Weightage]],"")</f>
        <v/>
      </c>
      <c r="AE387" s="33" t="str">
        <f>IFERROR((_xlfn.XLOOKUP(PA[[#This Row],[Month Year]],'Modelling New'!D:D,'Modelling New'!$O:$O)*PA[[#This Row],[Lost PoA(Wh/m2)]]*PA[[#This Row],[DC Capacity Affceted (kW)]])/1000,"")</f>
        <v/>
      </c>
      <c r="AF387" s="35"/>
    </row>
    <row r="388" spans="1:32">
      <c r="A388" s="2">
        <f t="shared" si="25"/>
        <v>385</v>
      </c>
      <c r="B388" s="156">
        <f t="shared" si="23"/>
        <v>1900</v>
      </c>
      <c r="C388" s="129">
        <f t="shared" si="24"/>
        <v>1900</v>
      </c>
      <c r="I388" s="29" t="str">
        <f>IFERROR(VLOOKUP(PA[[#This Row],[Date]],Raw_Data[[Date]:[Sunset Time (POA&lt;20 W/m2)]],3,0),"")</f>
        <v/>
      </c>
      <c r="J388" s="29" t="str">
        <f>IFERROR(VLOOKUP(PA[[#This Row],[Date]],Raw_Data[[Date]:[Sunset Time (POA&lt;20 W/m2)]],4,0),"")</f>
        <v/>
      </c>
      <c r="K388" s="27" t="str">
        <f>IFERROR((PA[[#This Row],[Sunset Time (POA&lt;20 W/m2)]]-PA[[#This Row],[Sunrise Time (POA&gt;20 W/m2)]])*24,"")</f>
        <v/>
      </c>
      <c r="M388" s="46" t="str">
        <f>IFERROR(VLOOKUP(PA[[#This Row],[Affceted Equipment]],'Basic Data'!$A$2:$B$114,2,0),"")</f>
        <v/>
      </c>
      <c r="N388" s="48" t="str">
        <f>IFERROR(VLOOKUP(PA[[#This Row],[Affceted Equipment]],'Basic Data'!$A$1:$C$118,3,0),"")</f>
        <v/>
      </c>
      <c r="W388" s="33">
        <f>IF(PA[[#This Row],[Acknowledgemnet Time ]]="NA","",(PA[[#This Row],[Acknowledgemnet Time ]]-PA[[#This Row],[Fault Time]])*24)</f>
        <v>0</v>
      </c>
      <c r="X388" s="33">
        <f>IF(PA[[#This Row],[Work Start time on Fault]]="NA","",(PA[[#This Row],[Work Start time on Fault]]-PA[[#This Row],[Fault Time]])*24)</f>
        <v>0</v>
      </c>
      <c r="Y388" s="35">
        <f>(PA[[#This Row],[Work Completiuon time on fualt]]-PA[[#This Row],[Fault Time]])*24</f>
        <v>0</v>
      </c>
      <c r="Z388" s="35">
        <f>IFERROR((PA[[#This Row],[Work Completiuon time on fualt]]-PA[[#This Row],[Fault Time]])*24,"")</f>
        <v>0</v>
      </c>
      <c r="AC388" s="47" t="str">
        <f>IFERROR(PA[[#This Row],[Breakdown Time]]*PA[[#This Row],[Plant Equivalent Weightage]],"")</f>
        <v/>
      </c>
      <c r="AE388" s="33" t="str">
        <f>IFERROR((_xlfn.XLOOKUP(PA[[#This Row],[Month Year]],'Modelling New'!D:D,'Modelling New'!$O:$O)*PA[[#This Row],[Lost PoA(Wh/m2)]]*PA[[#This Row],[DC Capacity Affceted (kW)]])/1000,"")</f>
        <v/>
      </c>
      <c r="AF388" s="35"/>
    </row>
    <row r="389" spans="1:32">
      <c r="A389" s="2">
        <f t="shared" si="25"/>
        <v>386</v>
      </c>
      <c r="B389" s="156">
        <f t="shared" ref="B389:B452" si="26">YEAR(H389)+IF(MONTH(H389)&gt;=4,1,0)</f>
        <v>1900</v>
      </c>
      <c r="C389" s="129">
        <f t="shared" ref="C389:C452" si="27">YEAR(H389)</f>
        <v>1900</v>
      </c>
      <c r="I389" s="29" t="str">
        <f>IFERROR(VLOOKUP(PA[[#This Row],[Date]],Raw_Data[[Date]:[Sunset Time (POA&lt;20 W/m2)]],3,0),"")</f>
        <v/>
      </c>
      <c r="J389" s="29" t="str">
        <f>IFERROR(VLOOKUP(PA[[#This Row],[Date]],Raw_Data[[Date]:[Sunset Time (POA&lt;20 W/m2)]],4,0),"")</f>
        <v/>
      </c>
      <c r="K389" s="27" t="str">
        <f>IFERROR((PA[[#This Row],[Sunset Time (POA&lt;20 W/m2)]]-PA[[#This Row],[Sunrise Time (POA&gt;20 W/m2)]])*24,"")</f>
        <v/>
      </c>
      <c r="M389" s="46" t="str">
        <f>IFERROR(VLOOKUP(PA[[#This Row],[Affceted Equipment]],'Basic Data'!$A$2:$B$114,2,0),"")</f>
        <v/>
      </c>
      <c r="N389" s="48" t="str">
        <f>IFERROR(VLOOKUP(PA[[#This Row],[Affceted Equipment]],'Basic Data'!$A$1:$C$118,3,0),"")</f>
        <v/>
      </c>
      <c r="W389" s="33">
        <f>IF(PA[[#This Row],[Acknowledgemnet Time ]]="NA","",(PA[[#This Row],[Acknowledgemnet Time ]]-PA[[#This Row],[Fault Time]])*24)</f>
        <v>0</v>
      </c>
      <c r="X389" s="33">
        <f>IF(PA[[#This Row],[Work Start time on Fault]]="NA","",(PA[[#This Row],[Work Start time on Fault]]-PA[[#This Row],[Fault Time]])*24)</f>
        <v>0</v>
      </c>
      <c r="Y389" s="35">
        <f>(PA[[#This Row],[Work Completiuon time on fualt]]-PA[[#This Row],[Fault Time]])*24</f>
        <v>0</v>
      </c>
      <c r="Z389" s="35">
        <f>IFERROR((PA[[#This Row],[Work Completiuon time on fualt]]-PA[[#This Row],[Fault Time]])*24,"")</f>
        <v>0</v>
      </c>
      <c r="AC389" s="47" t="str">
        <f>IFERROR(PA[[#This Row],[Breakdown Time]]*PA[[#This Row],[Plant Equivalent Weightage]],"")</f>
        <v/>
      </c>
      <c r="AE389" s="33" t="str">
        <f>IFERROR((_xlfn.XLOOKUP(PA[[#This Row],[Month Year]],'Modelling New'!D:D,'Modelling New'!$O:$O)*PA[[#This Row],[Lost PoA(Wh/m2)]]*PA[[#This Row],[DC Capacity Affceted (kW)]])/1000,"")</f>
        <v/>
      </c>
      <c r="AF389" s="35"/>
    </row>
    <row r="390" spans="1:32">
      <c r="A390" s="2">
        <f t="shared" si="25"/>
        <v>387</v>
      </c>
      <c r="B390" s="156">
        <f t="shared" si="26"/>
        <v>1900</v>
      </c>
      <c r="C390" s="129">
        <f t="shared" si="27"/>
        <v>1900</v>
      </c>
      <c r="I390" s="29" t="str">
        <f>IFERROR(VLOOKUP(PA[[#This Row],[Date]],Raw_Data[[Date]:[Sunset Time (POA&lt;20 W/m2)]],3,0),"")</f>
        <v/>
      </c>
      <c r="J390" s="29" t="str">
        <f>IFERROR(VLOOKUP(PA[[#This Row],[Date]],Raw_Data[[Date]:[Sunset Time (POA&lt;20 W/m2)]],4,0),"")</f>
        <v/>
      </c>
      <c r="K390" s="27" t="str">
        <f>IFERROR((PA[[#This Row],[Sunset Time (POA&lt;20 W/m2)]]-PA[[#This Row],[Sunrise Time (POA&gt;20 W/m2)]])*24,"")</f>
        <v/>
      </c>
      <c r="M390" s="46" t="str">
        <f>IFERROR(VLOOKUP(PA[[#This Row],[Affceted Equipment]],'Basic Data'!$A$2:$B$114,2,0),"")</f>
        <v/>
      </c>
      <c r="N390" s="48" t="str">
        <f>IFERROR(VLOOKUP(PA[[#This Row],[Affceted Equipment]],'Basic Data'!$A$1:$C$118,3,0),"")</f>
        <v/>
      </c>
      <c r="W390" s="33">
        <f>IF(PA[[#This Row],[Acknowledgemnet Time ]]="NA","",(PA[[#This Row],[Acknowledgemnet Time ]]-PA[[#This Row],[Fault Time]])*24)</f>
        <v>0</v>
      </c>
      <c r="X390" s="33">
        <f>IF(PA[[#This Row],[Work Start time on Fault]]="NA","",(PA[[#This Row],[Work Start time on Fault]]-PA[[#This Row],[Fault Time]])*24)</f>
        <v>0</v>
      </c>
      <c r="Y390" s="35">
        <f>(PA[[#This Row],[Work Completiuon time on fualt]]-PA[[#This Row],[Fault Time]])*24</f>
        <v>0</v>
      </c>
      <c r="Z390" s="35">
        <f>IFERROR((PA[[#This Row],[Work Completiuon time on fualt]]-PA[[#This Row],[Fault Time]])*24,"")</f>
        <v>0</v>
      </c>
      <c r="AC390" s="47" t="str">
        <f>IFERROR(PA[[#This Row],[Breakdown Time]]*PA[[#This Row],[Plant Equivalent Weightage]],"")</f>
        <v/>
      </c>
      <c r="AE390" s="33" t="str">
        <f>IFERROR((_xlfn.XLOOKUP(PA[[#This Row],[Month Year]],'Modelling New'!D:D,'Modelling New'!$O:$O)*PA[[#This Row],[Lost PoA(Wh/m2)]]*PA[[#This Row],[DC Capacity Affceted (kW)]])/1000,"")</f>
        <v/>
      </c>
      <c r="AF390" s="35"/>
    </row>
    <row r="391" spans="1:32">
      <c r="A391" s="2">
        <f t="shared" si="25"/>
        <v>388</v>
      </c>
      <c r="B391" s="156">
        <f t="shared" si="26"/>
        <v>1900</v>
      </c>
      <c r="C391" s="129">
        <f t="shared" si="27"/>
        <v>1900</v>
      </c>
      <c r="I391" s="29" t="str">
        <f>IFERROR(VLOOKUP(PA[[#This Row],[Date]],Raw_Data[[Date]:[Sunset Time (POA&lt;20 W/m2)]],3,0),"")</f>
        <v/>
      </c>
      <c r="J391" s="29" t="str">
        <f>IFERROR(VLOOKUP(PA[[#This Row],[Date]],Raw_Data[[Date]:[Sunset Time (POA&lt;20 W/m2)]],4,0),"")</f>
        <v/>
      </c>
      <c r="K391" s="27" t="str">
        <f>IFERROR((PA[[#This Row],[Sunset Time (POA&lt;20 W/m2)]]-PA[[#This Row],[Sunrise Time (POA&gt;20 W/m2)]])*24,"")</f>
        <v/>
      </c>
      <c r="M391" s="46" t="str">
        <f>IFERROR(VLOOKUP(PA[[#This Row],[Affceted Equipment]],'Basic Data'!$A$2:$B$114,2,0),"")</f>
        <v/>
      </c>
      <c r="N391" s="48" t="str">
        <f>IFERROR(VLOOKUP(PA[[#This Row],[Affceted Equipment]],'Basic Data'!$A$1:$C$118,3,0),"")</f>
        <v/>
      </c>
      <c r="W391" s="33">
        <f>IF(PA[[#This Row],[Acknowledgemnet Time ]]="NA","",(PA[[#This Row],[Acknowledgemnet Time ]]-PA[[#This Row],[Fault Time]])*24)</f>
        <v>0</v>
      </c>
      <c r="X391" s="33">
        <f>IF(PA[[#This Row],[Work Start time on Fault]]="NA","",(PA[[#This Row],[Work Start time on Fault]]-PA[[#This Row],[Fault Time]])*24)</f>
        <v>0</v>
      </c>
      <c r="Y391" s="35">
        <f>(PA[[#This Row],[Work Completiuon time on fualt]]-PA[[#This Row],[Fault Time]])*24</f>
        <v>0</v>
      </c>
      <c r="Z391" s="35">
        <f>IFERROR((PA[[#This Row],[Work Completiuon time on fualt]]-PA[[#This Row],[Fault Time]])*24,"")</f>
        <v>0</v>
      </c>
      <c r="AC391" s="47" t="str">
        <f>IFERROR(PA[[#This Row],[Breakdown Time]]*PA[[#This Row],[Plant Equivalent Weightage]],"")</f>
        <v/>
      </c>
      <c r="AE391" s="33" t="str">
        <f>IFERROR((_xlfn.XLOOKUP(PA[[#This Row],[Month Year]],'Modelling New'!D:D,'Modelling New'!$O:$O)*PA[[#This Row],[Lost PoA(Wh/m2)]]*PA[[#This Row],[DC Capacity Affceted (kW)]])/1000,"")</f>
        <v/>
      </c>
      <c r="AF391" s="35"/>
    </row>
    <row r="392" spans="1:32">
      <c r="A392" s="2">
        <f t="shared" si="25"/>
        <v>389</v>
      </c>
      <c r="B392" s="156">
        <f t="shared" si="26"/>
        <v>1900</v>
      </c>
      <c r="C392" s="129">
        <f t="shared" si="27"/>
        <v>1900</v>
      </c>
      <c r="I392" s="29" t="str">
        <f>IFERROR(VLOOKUP(PA[[#This Row],[Date]],Raw_Data[[Date]:[Sunset Time (POA&lt;20 W/m2)]],3,0),"")</f>
        <v/>
      </c>
      <c r="J392" s="29" t="str">
        <f>IFERROR(VLOOKUP(PA[[#This Row],[Date]],Raw_Data[[Date]:[Sunset Time (POA&lt;20 W/m2)]],4,0),"")</f>
        <v/>
      </c>
      <c r="K392" s="27" t="str">
        <f>IFERROR((PA[[#This Row],[Sunset Time (POA&lt;20 W/m2)]]-PA[[#This Row],[Sunrise Time (POA&gt;20 W/m2)]])*24,"")</f>
        <v/>
      </c>
      <c r="M392" s="46" t="str">
        <f>IFERROR(VLOOKUP(PA[[#This Row],[Affceted Equipment]],'Basic Data'!$A$2:$B$114,2,0),"")</f>
        <v/>
      </c>
      <c r="N392" s="48" t="str">
        <f>IFERROR(VLOOKUP(PA[[#This Row],[Affceted Equipment]],'Basic Data'!$A$1:$C$118,3,0),"")</f>
        <v/>
      </c>
      <c r="W392" s="33">
        <f>IF(PA[[#This Row],[Acknowledgemnet Time ]]="NA","",(PA[[#This Row],[Acknowledgemnet Time ]]-PA[[#This Row],[Fault Time]])*24)</f>
        <v>0</v>
      </c>
      <c r="X392" s="33">
        <f>IF(PA[[#This Row],[Work Start time on Fault]]="NA","",(PA[[#This Row],[Work Start time on Fault]]-PA[[#This Row],[Fault Time]])*24)</f>
        <v>0</v>
      </c>
      <c r="Y392" s="35">
        <f>(PA[[#This Row],[Work Completiuon time on fualt]]-PA[[#This Row],[Fault Time]])*24</f>
        <v>0</v>
      </c>
      <c r="Z392" s="35">
        <f>IFERROR((PA[[#This Row],[Work Completiuon time on fualt]]-PA[[#This Row],[Fault Time]])*24,"")</f>
        <v>0</v>
      </c>
      <c r="AC392" s="47" t="str">
        <f>IFERROR(PA[[#This Row],[Breakdown Time]]*PA[[#This Row],[Plant Equivalent Weightage]],"")</f>
        <v/>
      </c>
      <c r="AE392" s="33" t="str">
        <f>IFERROR((_xlfn.XLOOKUP(PA[[#This Row],[Month Year]],'Modelling New'!D:D,'Modelling New'!$O:$O)*PA[[#This Row],[Lost PoA(Wh/m2)]]*PA[[#This Row],[DC Capacity Affceted (kW)]])/1000,"")</f>
        <v/>
      </c>
      <c r="AF392" s="35"/>
    </row>
    <row r="393" spans="1:32">
      <c r="A393" s="2">
        <f t="shared" si="25"/>
        <v>390</v>
      </c>
      <c r="B393" s="156">
        <f t="shared" si="26"/>
        <v>1900</v>
      </c>
      <c r="C393" s="129">
        <f t="shared" si="27"/>
        <v>1900</v>
      </c>
      <c r="I393" s="29" t="str">
        <f>IFERROR(VLOOKUP(PA[[#This Row],[Date]],Raw_Data[[Date]:[Sunset Time (POA&lt;20 W/m2)]],3,0),"")</f>
        <v/>
      </c>
      <c r="J393" s="29" t="str">
        <f>IFERROR(VLOOKUP(PA[[#This Row],[Date]],Raw_Data[[Date]:[Sunset Time (POA&lt;20 W/m2)]],4,0),"")</f>
        <v/>
      </c>
      <c r="K393" s="27" t="str">
        <f>IFERROR((PA[[#This Row],[Sunset Time (POA&lt;20 W/m2)]]-PA[[#This Row],[Sunrise Time (POA&gt;20 W/m2)]])*24,"")</f>
        <v/>
      </c>
      <c r="M393" s="46" t="str">
        <f>IFERROR(VLOOKUP(PA[[#This Row],[Affceted Equipment]],'Basic Data'!$A$2:$B$114,2,0),"")</f>
        <v/>
      </c>
      <c r="N393" s="48" t="str">
        <f>IFERROR(VLOOKUP(PA[[#This Row],[Affceted Equipment]],'Basic Data'!$A$1:$C$118,3,0),"")</f>
        <v/>
      </c>
      <c r="W393" s="33">
        <f>IF(PA[[#This Row],[Acknowledgemnet Time ]]="NA","",(PA[[#This Row],[Acknowledgemnet Time ]]-PA[[#This Row],[Fault Time]])*24)</f>
        <v>0</v>
      </c>
      <c r="X393" s="33">
        <f>IF(PA[[#This Row],[Work Start time on Fault]]="NA","",(PA[[#This Row],[Work Start time on Fault]]-PA[[#This Row],[Fault Time]])*24)</f>
        <v>0</v>
      </c>
      <c r="Y393" s="35">
        <f>(PA[[#This Row],[Work Completiuon time on fualt]]-PA[[#This Row],[Fault Time]])*24</f>
        <v>0</v>
      </c>
      <c r="Z393" s="35">
        <f>IFERROR((PA[[#This Row],[Work Completiuon time on fualt]]-PA[[#This Row],[Fault Time]])*24,"")</f>
        <v>0</v>
      </c>
      <c r="AC393" s="47" t="str">
        <f>IFERROR(PA[[#This Row],[Breakdown Time]]*PA[[#This Row],[Plant Equivalent Weightage]],"")</f>
        <v/>
      </c>
      <c r="AE393" s="33" t="str">
        <f>IFERROR((_xlfn.XLOOKUP(PA[[#This Row],[Month Year]],'Modelling New'!D:D,'Modelling New'!$O:$O)*PA[[#This Row],[Lost PoA(Wh/m2)]]*PA[[#This Row],[DC Capacity Affceted (kW)]])/1000,"")</f>
        <v/>
      </c>
      <c r="AF393" s="35"/>
    </row>
    <row r="394" spans="1:32">
      <c r="A394" s="2">
        <f t="shared" ref="A394:A457" si="28">A393+1</f>
        <v>391</v>
      </c>
      <c r="B394" s="156">
        <f t="shared" si="26"/>
        <v>1900</v>
      </c>
      <c r="C394" s="129">
        <f t="shared" si="27"/>
        <v>1900</v>
      </c>
      <c r="I394" s="29" t="str">
        <f>IFERROR(VLOOKUP(PA[[#This Row],[Date]],Raw_Data[[Date]:[Sunset Time (POA&lt;20 W/m2)]],3,0),"")</f>
        <v/>
      </c>
      <c r="J394" s="29" t="str">
        <f>IFERROR(VLOOKUP(PA[[#This Row],[Date]],Raw_Data[[Date]:[Sunset Time (POA&lt;20 W/m2)]],4,0),"")</f>
        <v/>
      </c>
      <c r="K394" s="27" t="str">
        <f>IFERROR((PA[[#This Row],[Sunset Time (POA&lt;20 W/m2)]]-PA[[#This Row],[Sunrise Time (POA&gt;20 W/m2)]])*24,"")</f>
        <v/>
      </c>
      <c r="M394" s="46" t="str">
        <f>IFERROR(VLOOKUP(PA[[#This Row],[Affceted Equipment]],'Basic Data'!$A$2:$B$114,2,0),"")</f>
        <v/>
      </c>
      <c r="N394" s="48" t="str">
        <f>IFERROR(VLOOKUP(PA[[#This Row],[Affceted Equipment]],'Basic Data'!$A$1:$C$118,3,0),"")</f>
        <v/>
      </c>
      <c r="W394" s="33">
        <f>IF(PA[[#This Row],[Acknowledgemnet Time ]]="NA","",(PA[[#This Row],[Acknowledgemnet Time ]]-PA[[#This Row],[Fault Time]])*24)</f>
        <v>0</v>
      </c>
      <c r="X394" s="33">
        <f>IF(PA[[#This Row],[Work Start time on Fault]]="NA","",(PA[[#This Row],[Work Start time on Fault]]-PA[[#This Row],[Fault Time]])*24)</f>
        <v>0</v>
      </c>
      <c r="Y394" s="35">
        <f>(PA[[#This Row],[Work Completiuon time on fualt]]-PA[[#This Row],[Fault Time]])*24</f>
        <v>0</v>
      </c>
      <c r="Z394" s="35">
        <f>IFERROR((PA[[#This Row],[Work Completiuon time on fualt]]-PA[[#This Row],[Fault Time]])*24,"")</f>
        <v>0</v>
      </c>
      <c r="AC394" s="47" t="str">
        <f>IFERROR(PA[[#This Row],[Breakdown Time]]*PA[[#This Row],[Plant Equivalent Weightage]],"")</f>
        <v/>
      </c>
      <c r="AE394" s="33" t="str">
        <f>IFERROR((_xlfn.XLOOKUP(PA[[#This Row],[Month Year]],'Modelling New'!D:D,'Modelling New'!$O:$O)*PA[[#This Row],[Lost PoA(Wh/m2)]]*PA[[#This Row],[DC Capacity Affceted (kW)]])/1000,"")</f>
        <v/>
      </c>
      <c r="AF394" s="35"/>
    </row>
    <row r="395" spans="1:32">
      <c r="A395" s="2">
        <f t="shared" si="28"/>
        <v>392</v>
      </c>
      <c r="B395" s="156">
        <f t="shared" si="26"/>
        <v>1900</v>
      </c>
      <c r="C395" s="129">
        <f t="shared" si="27"/>
        <v>1900</v>
      </c>
      <c r="I395" s="29" t="str">
        <f>IFERROR(VLOOKUP(PA[[#This Row],[Date]],Raw_Data[[Date]:[Sunset Time (POA&lt;20 W/m2)]],3,0),"")</f>
        <v/>
      </c>
      <c r="J395" s="29" t="str">
        <f>IFERROR(VLOOKUP(PA[[#This Row],[Date]],Raw_Data[[Date]:[Sunset Time (POA&lt;20 W/m2)]],4,0),"")</f>
        <v/>
      </c>
      <c r="K395" s="27" t="str">
        <f>IFERROR((PA[[#This Row],[Sunset Time (POA&lt;20 W/m2)]]-PA[[#This Row],[Sunrise Time (POA&gt;20 W/m2)]])*24,"")</f>
        <v/>
      </c>
      <c r="M395" s="46" t="str">
        <f>IFERROR(VLOOKUP(PA[[#This Row],[Affceted Equipment]],'Basic Data'!$A$2:$B$114,2,0),"")</f>
        <v/>
      </c>
      <c r="N395" s="48" t="str">
        <f>IFERROR(VLOOKUP(PA[[#This Row],[Affceted Equipment]],'Basic Data'!$A$1:$C$118,3,0),"")</f>
        <v/>
      </c>
      <c r="W395" s="33">
        <f>IF(PA[[#This Row],[Acknowledgemnet Time ]]="NA","",(PA[[#This Row],[Acknowledgemnet Time ]]-PA[[#This Row],[Fault Time]])*24)</f>
        <v>0</v>
      </c>
      <c r="X395" s="33">
        <f>IF(PA[[#This Row],[Work Start time on Fault]]="NA","",(PA[[#This Row],[Work Start time on Fault]]-PA[[#This Row],[Fault Time]])*24)</f>
        <v>0</v>
      </c>
      <c r="Y395" s="35">
        <f>(PA[[#This Row],[Work Completiuon time on fualt]]-PA[[#This Row],[Fault Time]])*24</f>
        <v>0</v>
      </c>
      <c r="Z395" s="35">
        <f>IFERROR((PA[[#This Row],[Work Completiuon time on fualt]]-PA[[#This Row],[Fault Time]])*24,"")</f>
        <v>0</v>
      </c>
      <c r="AC395" s="47" t="str">
        <f>IFERROR(PA[[#This Row],[Breakdown Time]]*PA[[#This Row],[Plant Equivalent Weightage]],"")</f>
        <v/>
      </c>
      <c r="AE395" s="33" t="str">
        <f>IFERROR((_xlfn.XLOOKUP(PA[[#This Row],[Month Year]],'Modelling New'!D:D,'Modelling New'!$O:$O)*PA[[#This Row],[Lost PoA(Wh/m2)]]*PA[[#This Row],[DC Capacity Affceted (kW)]])/1000,"")</f>
        <v/>
      </c>
      <c r="AF395" s="35"/>
    </row>
    <row r="396" spans="1:32">
      <c r="A396" s="2">
        <f t="shared" si="28"/>
        <v>393</v>
      </c>
      <c r="B396" s="156">
        <f t="shared" si="26"/>
        <v>1900</v>
      </c>
      <c r="C396" s="129">
        <f t="shared" si="27"/>
        <v>1900</v>
      </c>
      <c r="I396" s="29" t="str">
        <f>IFERROR(VLOOKUP(PA[[#This Row],[Date]],Raw_Data[[Date]:[Sunset Time (POA&lt;20 W/m2)]],3,0),"")</f>
        <v/>
      </c>
      <c r="J396" s="29" t="str">
        <f>IFERROR(VLOOKUP(PA[[#This Row],[Date]],Raw_Data[[Date]:[Sunset Time (POA&lt;20 W/m2)]],4,0),"")</f>
        <v/>
      </c>
      <c r="K396" s="27" t="str">
        <f>IFERROR((PA[[#This Row],[Sunset Time (POA&lt;20 W/m2)]]-PA[[#This Row],[Sunrise Time (POA&gt;20 W/m2)]])*24,"")</f>
        <v/>
      </c>
      <c r="M396" s="46" t="str">
        <f>IFERROR(VLOOKUP(PA[[#This Row],[Affceted Equipment]],'Basic Data'!$A$2:$B$114,2,0),"")</f>
        <v/>
      </c>
      <c r="N396" s="48" t="str">
        <f>IFERROR(VLOOKUP(PA[[#This Row],[Affceted Equipment]],'Basic Data'!$A$1:$C$118,3,0),"")</f>
        <v/>
      </c>
      <c r="W396" s="33">
        <f>IF(PA[[#This Row],[Acknowledgemnet Time ]]="NA","",(PA[[#This Row],[Acknowledgemnet Time ]]-PA[[#This Row],[Fault Time]])*24)</f>
        <v>0</v>
      </c>
      <c r="X396" s="33">
        <f>IF(PA[[#This Row],[Work Start time on Fault]]="NA","",(PA[[#This Row],[Work Start time on Fault]]-PA[[#This Row],[Fault Time]])*24)</f>
        <v>0</v>
      </c>
      <c r="Y396" s="35">
        <f>(PA[[#This Row],[Work Completiuon time on fualt]]-PA[[#This Row],[Fault Time]])*24</f>
        <v>0</v>
      </c>
      <c r="Z396" s="35">
        <f>IFERROR((PA[[#This Row],[Work Completiuon time on fualt]]-PA[[#This Row],[Fault Time]])*24,"")</f>
        <v>0</v>
      </c>
      <c r="AC396" s="47" t="str">
        <f>IFERROR(PA[[#This Row],[Breakdown Time]]*PA[[#This Row],[Plant Equivalent Weightage]],"")</f>
        <v/>
      </c>
      <c r="AE396" s="33" t="str">
        <f>IFERROR((_xlfn.XLOOKUP(PA[[#This Row],[Month Year]],'Modelling New'!D:D,'Modelling New'!$O:$O)*PA[[#This Row],[Lost PoA(Wh/m2)]]*PA[[#This Row],[DC Capacity Affceted (kW)]])/1000,"")</f>
        <v/>
      </c>
      <c r="AF396" s="35"/>
    </row>
    <row r="397" spans="1:32">
      <c r="A397" s="2">
        <f t="shared" si="28"/>
        <v>394</v>
      </c>
      <c r="B397" s="156">
        <f t="shared" si="26"/>
        <v>1900</v>
      </c>
      <c r="C397" s="129">
        <f t="shared" si="27"/>
        <v>1900</v>
      </c>
      <c r="I397" s="29" t="str">
        <f>IFERROR(VLOOKUP(PA[[#This Row],[Date]],Raw_Data[[Date]:[Sunset Time (POA&lt;20 W/m2)]],3,0),"")</f>
        <v/>
      </c>
      <c r="J397" s="29" t="str">
        <f>IFERROR(VLOOKUP(PA[[#This Row],[Date]],Raw_Data[[Date]:[Sunset Time (POA&lt;20 W/m2)]],4,0),"")</f>
        <v/>
      </c>
      <c r="K397" s="27" t="str">
        <f>IFERROR((PA[[#This Row],[Sunset Time (POA&lt;20 W/m2)]]-PA[[#This Row],[Sunrise Time (POA&gt;20 W/m2)]])*24,"")</f>
        <v/>
      </c>
      <c r="M397" s="46" t="str">
        <f>IFERROR(VLOOKUP(PA[[#This Row],[Affceted Equipment]],'Basic Data'!$A$2:$B$114,2,0),"")</f>
        <v/>
      </c>
      <c r="N397" s="48" t="str">
        <f>IFERROR(VLOOKUP(PA[[#This Row],[Affceted Equipment]],'Basic Data'!$A$1:$C$118,3,0),"")</f>
        <v/>
      </c>
      <c r="W397" s="33">
        <f>IF(PA[[#This Row],[Acknowledgemnet Time ]]="NA","",(PA[[#This Row],[Acknowledgemnet Time ]]-PA[[#This Row],[Fault Time]])*24)</f>
        <v>0</v>
      </c>
      <c r="X397" s="33">
        <f>IF(PA[[#This Row],[Work Start time on Fault]]="NA","",(PA[[#This Row],[Work Start time on Fault]]-PA[[#This Row],[Fault Time]])*24)</f>
        <v>0</v>
      </c>
      <c r="Y397" s="35">
        <f>(PA[[#This Row],[Work Completiuon time on fualt]]-PA[[#This Row],[Fault Time]])*24</f>
        <v>0</v>
      </c>
      <c r="Z397" s="35">
        <f>IFERROR((PA[[#This Row],[Work Completiuon time on fualt]]-PA[[#This Row],[Fault Time]])*24,"")</f>
        <v>0</v>
      </c>
      <c r="AC397" s="47" t="str">
        <f>IFERROR(PA[[#This Row],[Breakdown Time]]*PA[[#This Row],[Plant Equivalent Weightage]],"")</f>
        <v/>
      </c>
      <c r="AE397" s="33" t="str">
        <f>IFERROR((_xlfn.XLOOKUP(PA[[#This Row],[Month Year]],'Modelling New'!D:D,'Modelling New'!$O:$O)*PA[[#This Row],[Lost PoA(Wh/m2)]]*PA[[#This Row],[DC Capacity Affceted (kW)]])/1000,"")</f>
        <v/>
      </c>
      <c r="AF397" s="35"/>
    </row>
    <row r="398" spans="1:32">
      <c r="A398" s="2">
        <f t="shared" si="28"/>
        <v>395</v>
      </c>
      <c r="B398" s="156">
        <f t="shared" si="26"/>
        <v>1900</v>
      </c>
      <c r="C398" s="129">
        <f t="shared" si="27"/>
        <v>1900</v>
      </c>
      <c r="I398" s="29" t="str">
        <f>IFERROR(VLOOKUP(PA[[#This Row],[Date]],Raw_Data[[Date]:[Sunset Time (POA&lt;20 W/m2)]],3,0),"")</f>
        <v/>
      </c>
      <c r="J398" s="29" t="str">
        <f>IFERROR(VLOOKUP(PA[[#This Row],[Date]],Raw_Data[[Date]:[Sunset Time (POA&lt;20 W/m2)]],4,0),"")</f>
        <v/>
      </c>
      <c r="K398" s="27" t="str">
        <f>IFERROR((PA[[#This Row],[Sunset Time (POA&lt;20 W/m2)]]-PA[[#This Row],[Sunrise Time (POA&gt;20 W/m2)]])*24,"")</f>
        <v/>
      </c>
      <c r="M398" s="46" t="str">
        <f>IFERROR(VLOOKUP(PA[[#This Row],[Affceted Equipment]],'Basic Data'!$A$2:$B$114,2,0),"")</f>
        <v/>
      </c>
      <c r="N398" s="48" t="str">
        <f>IFERROR(VLOOKUP(PA[[#This Row],[Affceted Equipment]],'Basic Data'!$A$1:$C$118,3,0),"")</f>
        <v/>
      </c>
      <c r="W398" s="33">
        <f>IF(PA[[#This Row],[Acknowledgemnet Time ]]="NA","",(PA[[#This Row],[Acknowledgemnet Time ]]-PA[[#This Row],[Fault Time]])*24)</f>
        <v>0</v>
      </c>
      <c r="X398" s="33">
        <f>IF(PA[[#This Row],[Work Start time on Fault]]="NA","",(PA[[#This Row],[Work Start time on Fault]]-PA[[#This Row],[Fault Time]])*24)</f>
        <v>0</v>
      </c>
      <c r="Y398" s="35">
        <f>(PA[[#This Row],[Work Completiuon time on fualt]]-PA[[#This Row],[Fault Time]])*24</f>
        <v>0</v>
      </c>
      <c r="Z398" s="35">
        <f>IFERROR((PA[[#This Row],[Work Completiuon time on fualt]]-PA[[#This Row],[Fault Time]])*24,"")</f>
        <v>0</v>
      </c>
      <c r="AC398" s="47" t="str">
        <f>IFERROR(PA[[#This Row],[Breakdown Time]]*PA[[#This Row],[Plant Equivalent Weightage]],"")</f>
        <v/>
      </c>
      <c r="AE398" s="33" t="str">
        <f>IFERROR((_xlfn.XLOOKUP(PA[[#This Row],[Month Year]],'Modelling New'!D:D,'Modelling New'!$O:$O)*PA[[#This Row],[Lost PoA(Wh/m2)]]*PA[[#This Row],[DC Capacity Affceted (kW)]])/1000,"")</f>
        <v/>
      </c>
      <c r="AF398" s="35"/>
    </row>
    <row r="399" spans="1:32">
      <c r="A399" s="2">
        <f t="shared" si="28"/>
        <v>396</v>
      </c>
      <c r="B399" s="156">
        <f t="shared" si="26"/>
        <v>1900</v>
      </c>
      <c r="C399" s="129">
        <f t="shared" si="27"/>
        <v>1900</v>
      </c>
      <c r="I399" s="29" t="str">
        <f>IFERROR(VLOOKUP(PA[[#This Row],[Date]],Raw_Data[[Date]:[Sunset Time (POA&lt;20 W/m2)]],3,0),"")</f>
        <v/>
      </c>
      <c r="J399" s="29" t="str">
        <f>IFERROR(VLOOKUP(PA[[#This Row],[Date]],Raw_Data[[Date]:[Sunset Time (POA&lt;20 W/m2)]],4,0),"")</f>
        <v/>
      </c>
      <c r="K399" s="27" t="str">
        <f>IFERROR((PA[[#This Row],[Sunset Time (POA&lt;20 W/m2)]]-PA[[#This Row],[Sunrise Time (POA&gt;20 W/m2)]])*24,"")</f>
        <v/>
      </c>
      <c r="M399" s="46" t="str">
        <f>IFERROR(VLOOKUP(PA[[#This Row],[Affceted Equipment]],'Basic Data'!$A$2:$B$114,2,0),"")</f>
        <v/>
      </c>
      <c r="N399" s="48" t="str">
        <f>IFERROR(VLOOKUP(PA[[#This Row],[Affceted Equipment]],'Basic Data'!$A$1:$C$118,3,0),"")</f>
        <v/>
      </c>
      <c r="W399" s="33">
        <f>IF(PA[[#This Row],[Acknowledgemnet Time ]]="NA","",(PA[[#This Row],[Acknowledgemnet Time ]]-PA[[#This Row],[Fault Time]])*24)</f>
        <v>0</v>
      </c>
      <c r="X399" s="33">
        <f>IF(PA[[#This Row],[Work Start time on Fault]]="NA","",(PA[[#This Row],[Work Start time on Fault]]-PA[[#This Row],[Fault Time]])*24)</f>
        <v>0</v>
      </c>
      <c r="Y399" s="35">
        <f>(PA[[#This Row],[Work Completiuon time on fualt]]-PA[[#This Row],[Fault Time]])*24</f>
        <v>0</v>
      </c>
      <c r="Z399" s="35">
        <f>IFERROR((PA[[#This Row],[Work Completiuon time on fualt]]-PA[[#This Row],[Fault Time]])*24,"")</f>
        <v>0</v>
      </c>
      <c r="AC399" s="47" t="str">
        <f>IFERROR(PA[[#This Row],[Breakdown Time]]*PA[[#This Row],[Plant Equivalent Weightage]],"")</f>
        <v/>
      </c>
      <c r="AE399" s="33" t="str">
        <f>IFERROR((_xlfn.XLOOKUP(PA[[#This Row],[Month Year]],'Modelling New'!D:D,'Modelling New'!$O:$O)*PA[[#This Row],[Lost PoA(Wh/m2)]]*PA[[#This Row],[DC Capacity Affceted (kW)]])/1000,"")</f>
        <v/>
      </c>
      <c r="AF399" s="35"/>
    </row>
    <row r="400" spans="1:32">
      <c r="A400" s="2">
        <f t="shared" si="28"/>
        <v>397</v>
      </c>
      <c r="B400" s="156">
        <f t="shared" si="26"/>
        <v>1900</v>
      </c>
      <c r="C400" s="129">
        <f t="shared" si="27"/>
        <v>1900</v>
      </c>
      <c r="I400" s="29" t="str">
        <f>IFERROR(VLOOKUP(PA[[#This Row],[Date]],Raw_Data[[Date]:[Sunset Time (POA&lt;20 W/m2)]],3,0),"")</f>
        <v/>
      </c>
      <c r="J400" s="29" t="str">
        <f>IFERROR(VLOOKUP(PA[[#This Row],[Date]],Raw_Data[[Date]:[Sunset Time (POA&lt;20 W/m2)]],4,0),"")</f>
        <v/>
      </c>
      <c r="K400" s="27" t="str">
        <f>IFERROR((PA[[#This Row],[Sunset Time (POA&lt;20 W/m2)]]-PA[[#This Row],[Sunrise Time (POA&gt;20 W/m2)]])*24,"")</f>
        <v/>
      </c>
      <c r="M400" s="46" t="str">
        <f>IFERROR(VLOOKUP(PA[[#This Row],[Affceted Equipment]],'Basic Data'!$A$2:$B$114,2,0),"")</f>
        <v/>
      </c>
      <c r="N400" s="48" t="str">
        <f>IFERROR(VLOOKUP(PA[[#This Row],[Affceted Equipment]],'Basic Data'!$A$1:$C$118,3,0),"")</f>
        <v/>
      </c>
      <c r="W400" s="33">
        <f>IF(PA[[#This Row],[Acknowledgemnet Time ]]="NA","",(PA[[#This Row],[Acknowledgemnet Time ]]-PA[[#This Row],[Fault Time]])*24)</f>
        <v>0</v>
      </c>
      <c r="X400" s="33">
        <f>IF(PA[[#This Row],[Work Start time on Fault]]="NA","",(PA[[#This Row],[Work Start time on Fault]]-PA[[#This Row],[Fault Time]])*24)</f>
        <v>0</v>
      </c>
      <c r="Y400" s="35">
        <f>(PA[[#This Row],[Work Completiuon time on fualt]]-PA[[#This Row],[Fault Time]])*24</f>
        <v>0</v>
      </c>
      <c r="Z400" s="35">
        <f>IFERROR((PA[[#This Row],[Work Completiuon time on fualt]]-PA[[#This Row],[Fault Time]])*24,"")</f>
        <v>0</v>
      </c>
      <c r="AC400" s="47" t="str">
        <f>IFERROR(PA[[#This Row],[Breakdown Time]]*PA[[#This Row],[Plant Equivalent Weightage]],"")</f>
        <v/>
      </c>
      <c r="AE400" s="33" t="str">
        <f>IFERROR((_xlfn.XLOOKUP(PA[[#This Row],[Month Year]],'Modelling New'!D:D,'Modelling New'!$O:$O)*PA[[#This Row],[Lost PoA(Wh/m2)]]*PA[[#This Row],[DC Capacity Affceted (kW)]])/1000,"")</f>
        <v/>
      </c>
      <c r="AF400" s="35"/>
    </row>
    <row r="401" spans="1:32">
      <c r="A401" s="2">
        <f t="shared" si="28"/>
        <v>398</v>
      </c>
      <c r="B401" s="156">
        <f t="shared" si="26"/>
        <v>1900</v>
      </c>
      <c r="C401" s="129">
        <f t="shared" si="27"/>
        <v>1900</v>
      </c>
      <c r="I401" s="29" t="str">
        <f>IFERROR(VLOOKUP(PA[[#This Row],[Date]],Raw_Data[[Date]:[Sunset Time (POA&lt;20 W/m2)]],3,0),"")</f>
        <v/>
      </c>
      <c r="J401" s="29" t="str">
        <f>IFERROR(VLOOKUP(PA[[#This Row],[Date]],Raw_Data[[Date]:[Sunset Time (POA&lt;20 W/m2)]],4,0),"")</f>
        <v/>
      </c>
      <c r="K401" s="27" t="str">
        <f>IFERROR((PA[[#This Row],[Sunset Time (POA&lt;20 W/m2)]]-PA[[#This Row],[Sunrise Time (POA&gt;20 W/m2)]])*24,"")</f>
        <v/>
      </c>
      <c r="M401" s="46" t="str">
        <f>IFERROR(VLOOKUP(PA[[#This Row],[Affceted Equipment]],'Basic Data'!$A$2:$B$114,2,0),"")</f>
        <v/>
      </c>
      <c r="N401" s="48" t="str">
        <f>IFERROR(VLOOKUP(PA[[#This Row],[Affceted Equipment]],'Basic Data'!$A$1:$C$118,3,0),"")</f>
        <v/>
      </c>
      <c r="W401" s="33">
        <f>IF(PA[[#This Row],[Acknowledgemnet Time ]]="NA","",(PA[[#This Row],[Acknowledgemnet Time ]]-PA[[#This Row],[Fault Time]])*24)</f>
        <v>0</v>
      </c>
      <c r="X401" s="33">
        <f>IF(PA[[#This Row],[Work Start time on Fault]]="NA","",(PA[[#This Row],[Work Start time on Fault]]-PA[[#This Row],[Fault Time]])*24)</f>
        <v>0</v>
      </c>
      <c r="Y401" s="35">
        <f>(PA[[#This Row],[Work Completiuon time on fualt]]-PA[[#This Row],[Fault Time]])*24</f>
        <v>0</v>
      </c>
      <c r="Z401" s="35">
        <f>IFERROR((PA[[#This Row],[Work Completiuon time on fualt]]-PA[[#This Row],[Fault Time]])*24,"")</f>
        <v>0</v>
      </c>
      <c r="AC401" s="47" t="str">
        <f>IFERROR(PA[[#This Row],[Breakdown Time]]*PA[[#This Row],[Plant Equivalent Weightage]],"")</f>
        <v/>
      </c>
      <c r="AE401" s="33" t="str">
        <f>IFERROR((_xlfn.XLOOKUP(PA[[#This Row],[Month Year]],'Modelling New'!D:D,'Modelling New'!$O:$O)*PA[[#This Row],[Lost PoA(Wh/m2)]]*PA[[#This Row],[DC Capacity Affceted (kW)]])/1000,"")</f>
        <v/>
      </c>
      <c r="AF401" s="35"/>
    </row>
    <row r="402" spans="1:32">
      <c r="A402" s="2">
        <f t="shared" si="28"/>
        <v>399</v>
      </c>
      <c r="B402" s="156">
        <f t="shared" si="26"/>
        <v>1900</v>
      </c>
      <c r="C402" s="129">
        <f t="shared" si="27"/>
        <v>1900</v>
      </c>
      <c r="I402" s="29" t="str">
        <f>IFERROR(VLOOKUP(PA[[#This Row],[Date]],Raw_Data[[Date]:[Sunset Time (POA&lt;20 W/m2)]],3,0),"")</f>
        <v/>
      </c>
      <c r="J402" s="29" t="str">
        <f>IFERROR(VLOOKUP(PA[[#This Row],[Date]],Raw_Data[[Date]:[Sunset Time (POA&lt;20 W/m2)]],4,0),"")</f>
        <v/>
      </c>
      <c r="K402" s="27" t="str">
        <f>IFERROR((PA[[#This Row],[Sunset Time (POA&lt;20 W/m2)]]-PA[[#This Row],[Sunrise Time (POA&gt;20 W/m2)]])*24,"")</f>
        <v/>
      </c>
      <c r="M402" s="46" t="str">
        <f>IFERROR(VLOOKUP(PA[[#This Row],[Affceted Equipment]],'Basic Data'!$A$2:$B$114,2,0),"")</f>
        <v/>
      </c>
      <c r="N402" s="48" t="str">
        <f>IFERROR(VLOOKUP(PA[[#This Row],[Affceted Equipment]],'Basic Data'!$A$1:$C$118,3,0),"")</f>
        <v/>
      </c>
      <c r="W402" s="33">
        <f>IF(PA[[#This Row],[Acknowledgemnet Time ]]="NA","",(PA[[#This Row],[Acknowledgemnet Time ]]-PA[[#This Row],[Fault Time]])*24)</f>
        <v>0</v>
      </c>
      <c r="X402" s="33">
        <f>IF(PA[[#This Row],[Work Start time on Fault]]="NA","",(PA[[#This Row],[Work Start time on Fault]]-PA[[#This Row],[Fault Time]])*24)</f>
        <v>0</v>
      </c>
      <c r="Y402" s="35">
        <f>(PA[[#This Row],[Work Completiuon time on fualt]]-PA[[#This Row],[Fault Time]])*24</f>
        <v>0</v>
      </c>
      <c r="Z402" s="35">
        <f>IFERROR((PA[[#This Row],[Work Completiuon time on fualt]]-PA[[#This Row],[Fault Time]])*24,"")</f>
        <v>0</v>
      </c>
      <c r="AC402" s="47" t="str">
        <f>IFERROR(PA[[#This Row],[Breakdown Time]]*PA[[#This Row],[Plant Equivalent Weightage]],"")</f>
        <v/>
      </c>
      <c r="AE402" s="33" t="str">
        <f>IFERROR((_xlfn.XLOOKUP(PA[[#This Row],[Month Year]],'Modelling New'!D:D,'Modelling New'!$O:$O)*PA[[#This Row],[Lost PoA(Wh/m2)]]*PA[[#This Row],[DC Capacity Affceted (kW)]])/1000,"")</f>
        <v/>
      </c>
      <c r="AF402" s="35"/>
    </row>
    <row r="403" spans="1:32">
      <c r="A403" s="2">
        <f t="shared" si="28"/>
        <v>400</v>
      </c>
      <c r="B403" s="156">
        <f t="shared" si="26"/>
        <v>1900</v>
      </c>
      <c r="C403" s="129">
        <f t="shared" si="27"/>
        <v>1900</v>
      </c>
      <c r="I403" s="29" t="str">
        <f>IFERROR(VLOOKUP(PA[[#This Row],[Date]],Raw_Data[[Date]:[Sunset Time (POA&lt;20 W/m2)]],3,0),"")</f>
        <v/>
      </c>
      <c r="J403" s="29" t="str">
        <f>IFERROR(VLOOKUP(PA[[#This Row],[Date]],Raw_Data[[Date]:[Sunset Time (POA&lt;20 W/m2)]],4,0),"")</f>
        <v/>
      </c>
      <c r="K403" s="27" t="str">
        <f>IFERROR((PA[[#This Row],[Sunset Time (POA&lt;20 W/m2)]]-PA[[#This Row],[Sunrise Time (POA&gt;20 W/m2)]])*24,"")</f>
        <v/>
      </c>
      <c r="M403" s="46" t="str">
        <f>IFERROR(VLOOKUP(PA[[#This Row],[Affceted Equipment]],'Basic Data'!$A$2:$B$114,2,0),"")</f>
        <v/>
      </c>
      <c r="N403" s="48" t="str">
        <f>IFERROR(VLOOKUP(PA[[#This Row],[Affceted Equipment]],'Basic Data'!$A$1:$C$118,3,0),"")</f>
        <v/>
      </c>
      <c r="W403" s="33">
        <f>IF(PA[[#This Row],[Acknowledgemnet Time ]]="NA","",(PA[[#This Row],[Acknowledgemnet Time ]]-PA[[#This Row],[Fault Time]])*24)</f>
        <v>0</v>
      </c>
      <c r="X403" s="33">
        <f>IF(PA[[#This Row],[Work Start time on Fault]]="NA","",(PA[[#This Row],[Work Start time on Fault]]-PA[[#This Row],[Fault Time]])*24)</f>
        <v>0</v>
      </c>
      <c r="Y403" s="35">
        <f>(PA[[#This Row],[Work Completiuon time on fualt]]-PA[[#This Row],[Fault Time]])*24</f>
        <v>0</v>
      </c>
      <c r="Z403" s="35">
        <f>IFERROR((PA[[#This Row],[Work Completiuon time on fualt]]-PA[[#This Row],[Fault Time]])*24,"")</f>
        <v>0</v>
      </c>
      <c r="AC403" s="47" t="str">
        <f>IFERROR(PA[[#This Row],[Breakdown Time]]*PA[[#This Row],[Plant Equivalent Weightage]],"")</f>
        <v/>
      </c>
      <c r="AE403" s="33" t="str">
        <f>IFERROR((_xlfn.XLOOKUP(PA[[#This Row],[Month Year]],'Modelling New'!D:D,'Modelling New'!$O:$O)*PA[[#This Row],[Lost PoA(Wh/m2)]]*PA[[#This Row],[DC Capacity Affceted (kW)]])/1000,"")</f>
        <v/>
      </c>
      <c r="AF403" s="35"/>
    </row>
    <row r="404" spans="1:32">
      <c r="A404" s="2">
        <f t="shared" si="28"/>
        <v>401</v>
      </c>
      <c r="B404" s="156">
        <f t="shared" si="26"/>
        <v>1900</v>
      </c>
      <c r="C404" s="129">
        <f t="shared" si="27"/>
        <v>1900</v>
      </c>
      <c r="I404" s="29" t="str">
        <f>IFERROR(VLOOKUP(PA[[#This Row],[Date]],Raw_Data[[Date]:[Sunset Time (POA&lt;20 W/m2)]],3,0),"")</f>
        <v/>
      </c>
      <c r="J404" s="29" t="str">
        <f>IFERROR(VLOOKUP(PA[[#This Row],[Date]],Raw_Data[[Date]:[Sunset Time (POA&lt;20 W/m2)]],4,0),"")</f>
        <v/>
      </c>
      <c r="K404" s="27" t="str">
        <f>IFERROR((PA[[#This Row],[Sunset Time (POA&lt;20 W/m2)]]-PA[[#This Row],[Sunrise Time (POA&gt;20 W/m2)]])*24,"")</f>
        <v/>
      </c>
      <c r="M404" s="46" t="str">
        <f>IFERROR(VLOOKUP(PA[[#This Row],[Affceted Equipment]],'Basic Data'!$A$2:$B$114,2,0),"")</f>
        <v/>
      </c>
      <c r="N404" s="48" t="str">
        <f>IFERROR(VLOOKUP(PA[[#This Row],[Affceted Equipment]],'Basic Data'!$A$1:$C$118,3,0),"")</f>
        <v/>
      </c>
      <c r="W404" s="33">
        <f>IF(PA[[#This Row],[Acknowledgemnet Time ]]="NA","",(PA[[#This Row],[Acknowledgemnet Time ]]-PA[[#This Row],[Fault Time]])*24)</f>
        <v>0</v>
      </c>
      <c r="X404" s="33">
        <f>IF(PA[[#This Row],[Work Start time on Fault]]="NA","",(PA[[#This Row],[Work Start time on Fault]]-PA[[#This Row],[Fault Time]])*24)</f>
        <v>0</v>
      </c>
      <c r="Y404" s="35">
        <f>(PA[[#This Row],[Work Completiuon time on fualt]]-PA[[#This Row],[Fault Time]])*24</f>
        <v>0</v>
      </c>
      <c r="Z404" s="35">
        <f>IFERROR((PA[[#This Row],[Work Completiuon time on fualt]]-PA[[#This Row],[Fault Time]])*24,"")</f>
        <v>0</v>
      </c>
      <c r="AC404" s="47" t="str">
        <f>IFERROR(PA[[#This Row],[Breakdown Time]]*PA[[#This Row],[Plant Equivalent Weightage]],"")</f>
        <v/>
      </c>
      <c r="AE404" s="33" t="str">
        <f>IFERROR((_xlfn.XLOOKUP(PA[[#This Row],[Month Year]],'Modelling New'!D:D,'Modelling New'!$O:$O)*PA[[#This Row],[Lost PoA(Wh/m2)]]*PA[[#This Row],[DC Capacity Affceted (kW)]])/1000,"")</f>
        <v/>
      </c>
      <c r="AF404" s="35"/>
    </row>
    <row r="405" spans="1:32">
      <c r="A405" s="2">
        <f t="shared" si="28"/>
        <v>402</v>
      </c>
      <c r="B405" s="156">
        <f t="shared" si="26"/>
        <v>1900</v>
      </c>
      <c r="C405" s="129">
        <f t="shared" si="27"/>
        <v>1900</v>
      </c>
      <c r="I405" s="29" t="str">
        <f>IFERROR(VLOOKUP(PA[[#This Row],[Date]],Raw_Data[[Date]:[Sunset Time (POA&lt;20 W/m2)]],3,0),"")</f>
        <v/>
      </c>
      <c r="J405" s="29" t="str">
        <f>IFERROR(VLOOKUP(PA[[#This Row],[Date]],Raw_Data[[Date]:[Sunset Time (POA&lt;20 W/m2)]],4,0),"")</f>
        <v/>
      </c>
      <c r="K405" s="27" t="str">
        <f>IFERROR((PA[[#This Row],[Sunset Time (POA&lt;20 W/m2)]]-PA[[#This Row],[Sunrise Time (POA&gt;20 W/m2)]])*24,"")</f>
        <v/>
      </c>
      <c r="M405" s="46" t="str">
        <f>IFERROR(VLOOKUP(PA[[#This Row],[Affceted Equipment]],'Basic Data'!$A$2:$B$114,2,0),"")</f>
        <v/>
      </c>
      <c r="N405" s="48" t="str">
        <f>IFERROR(VLOOKUP(PA[[#This Row],[Affceted Equipment]],'Basic Data'!$A$1:$C$118,3,0),"")</f>
        <v/>
      </c>
      <c r="W405" s="33">
        <f>IF(PA[[#This Row],[Acknowledgemnet Time ]]="NA","",(PA[[#This Row],[Acknowledgemnet Time ]]-PA[[#This Row],[Fault Time]])*24)</f>
        <v>0</v>
      </c>
      <c r="X405" s="33">
        <f>IF(PA[[#This Row],[Work Start time on Fault]]="NA","",(PA[[#This Row],[Work Start time on Fault]]-PA[[#This Row],[Fault Time]])*24)</f>
        <v>0</v>
      </c>
      <c r="Y405" s="35">
        <f>(PA[[#This Row],[Work Completiuon time on fualt]]-PA[[#This Row],[Fault Time]])*24</f>
        <v>0</v>
      </c>
      <c r="Z405" s="35">
        <f>IFERROR((PA[[#This Row],[Work Completiuon time on fualt]]-PA[[#This Row],[Fault Time]])*24,"")</f>
        <v>0</v>
      </c>
      <c r="AC405" s="47" t="str">
        <f>IFERROR(PA[[#This Row],[Breakdown Time]]*PA[[#This Row],[Plant Equivalent Weightage]],"")</f>
        <v/>
      </c>
      <c r="AE405" s="33" t="str">
        <f>IFERROR((_xlfn.XLOOKUP(PA[[#This Row],[Month Year]],'Modelling New'!D:D,'Modelling New'!$O:$O)*PA[[#This Row],[Lost PoA(Wh/m2)]]*PA[[#This Row],[DC Capacity Affceted (kW)]])/1000,"")</f>
        <v/>
      </c>
      <c r="AF405" s="35"/>
    </row>
    <row r="406" spans="1:32">
      <c r="A406" s="2">
        <f t="shared" si="28"/>
        <v>403</v>
      </c>
      <c r="B406" s="156">
        <f t="shared" si="26"/>
        <v>1900</v>
      </c>
      <c r="C406" s="129">
        <f t="shared" si="27"/>
        <v>1900</v>
      </c>
      <c r="I406" s="29" t="str">
        <f>IFERROR(VLOOKUP(PA[[#This Row],[Date]],Raw_Data[[Date]:[Sunset Time (POA&lt;20 W/m2)]],3,0),"")</f>
        <v/>
      </c>
      <c r="J406" s="29" t="str">
        <f>IFERROR(VLOOKUP(PA[[#This Row],[Date]],Raw_Data[[Date]:[Sunset Time (POA&lt;20 W/m2)]],4,0),"")</f>
        <v/>
      </c>
      <c r="K406" s="27" t="str">
        <f>IFERROR((PA[[#This Row],[Sunset Time (POA&lt;20 W/m2)]]-PA[[#This Row],[Sunrise Time (POA&gt;20 W/m2)]])*24,"")</f>
        <v/>
      </c>
      <c r="M406" s="46" t="str">
        <f>IFERROR(VLOOKUP(PA[[#This Row],[Affceted Equipment]],'Basic Data'!$A$2:$B$114,2,0),"")</f>
        <v/>
      </c>
      <c r="N406" s="48" t="str">
        <f>IFERROR(VLOOKUP(PA[[#This Row],[Affceted Equipment]],'Basic Data'!$A$1:$C$118,3,0),"")</f>
        <v/>
      </c>
      <c r="W406" s="33">
        <f>IF(PA[[#This Row],[Acknowledgemnet Time ]]="NA","",(PA[[#This Row],[Acknowledgemnet Time ]]-PA[[#This Row],[Fault Time]])*24)</f>
        <v>0</v>
      </c>
      <c r="X406" s="33">
        <f>IF(PA[[#This Row],[Work Start time on Fault]]="NA","",(PA[[#This Row],[Work Start time on Fault]]-PA[[#This Row],[Fault Time]])*24)</f>
        <v>0</v>
      </c>
      <c r="Y406" s="35">
        <f>(PA[[#This Row],[Work Completiuon time on fualt]]-PA[[#This Row],[Fault Time]])*24</f>
        <v>0</v>
      </c>
      <c r="Z406" s="35">
        <f>IFERROR((PA[[#This Row],[Work Completiuon time on fualt]]-PA[[#This Row],[Fault Time]])*24,"")</f>
        <v>0</v>
      </c>
      <c r="AC406" s="47" t="str">
        <f>IFERROR(PA[[#This Row],[Breakdown Time]]*PA[[#This Row],[Plant Equivalent Weightage]],"")</f>
        <v/>
      </c>
      <c r="AE406" s="33" t="str">
        <f>IFERROR((_xlfn.XLOOKUP(PA[[#This Row],[Month Year]],'Modelling New'!D:D,'Modelling New'!$O:$O)*PA[[#This Row],[Lost PoA(Wh/m2)]]*PA[[#This Row],[DC Capacity Affceted (kW)]])/1000,"")</f>
        <v/>
      </c>
      <c r="AF406" s="35"/>
    </row>
    <row r="407" spans="1:32">
      <c r="A407" s="2">
        <f t="shared" si="28"/>
        <v>404</v>
      </c>
      <c r="B407" s="156">
        <f t="shared" si="26"/>
        <v>1900</v>
      </c>
      <c r="C407" s="129">
        <f t="shared" si="27"/>
        <v>1900</v>
      </c>
      <c r="I407" s="29" t="str">
        <f>IFERROR(VLOOKUP(PA[[#This Row],[Date]],Raw_Data[[Date]:[Sunset Time (POA&lt;20 W/m2)]],3,0),"")</f>
        <v/>
      </c>
      <c r="J407" s="29" t="str">
        <f>IFERROR(VLOOKUP(PA[[#This Row],[Date]],Raw_Data[[Date]:[Sunset Time (POA&lt;20 W/m2)]],4,0),"")</f>
        <v/>
      </c>
      <c r="K407" s="27" t="str">
        <f>IFERROR((PA[[#This Row],[Sunset Time (POA&lt;20 W/m2)]]-PA[[#This Row],[Sunrise Time (POA&gt;20 W/m2)]])*24,"")</f>
        <v/>
      </c>
      <c r="M407" s="46" t="str">
        <f>IFERROR(VLOOKUP(PA[[#This Row],[Affceted Equipment]],'Basic Data'!$A$2:$B$114,2,0),"")</f>
        <v/>
      </c>
      <c r="N407" s="48" t="str">
        <f>IFERROR(VLOOKUP(PA[[#This Row],[Affceted Equipment]],'Basic Data'!$A$1:$C$118,3,0),"")</f>
        <v/>
      </c>
      <c r="W407" s="33">
        <f>IF(PA[[#This Row],[Acknowledgemnet Time ]]="NA","",(PA[[#This Row],[Acknowledgemnet Time ]]-PA[[#This Row],[Fault Time]])*24)</f>
        <v>0</v>
      </c>
      <c r="X407" s="33">
        <f>IF(PA[[#This Row],[Work Start time on Fault]]="NA","",(PA[[#This Row],[Work Start time on Fault]]-PA[[#This Row],[Fault Time]])*24)</f>
        <v>0</v>
      </c>
      <c r="Y407" s="35">
        <f>(PA[[#This Row],[Work Completiuon time on fualt]]-PA[[#This Row],[Fault Time]])*24</f>
        <v>0</v>
      </c>
      <c r="Z407" s="35">
        <f>IFERROR((PA[[#This Row],[Work Completiuon time on fualt]]-PA[[#This Row],[Fault Time]])*24,"")</f>
        <v>0</v>
      </c>
      <c r="AC407" s="47" t="str">
        <f>IFERROR(PA[[#This Row],[Breakdown Time]]*PA[[#This Row],[Plant Equivalent Weightage]],"")</f>
        <v/>
      </c>
      <c r="AE407" s="33" t="str">
        <f>IFERROR((_xlfn.XLOOKUP(PA[[#This Row],[Month Year]],'Modelling New'!D:D,'Modelling New'!$O:$O)*PA[[#This Row],[Lost PoA(Wh/m2)]]*PA[[#This Row],[DC Capacity Affceted (kW)]])/1000,"")</f>
        <v/>
      </c>
      <c r="AF407" s="35"/>
    </row>
    <row r="408" spans="1:32">
      <c r="A408" s="2">
        <f t="shared" si="28"/>
        <v>405</v>
      </c>
      <c r="B408" s="156">
        <f t="shared" si="26"/>
        <v>1900</v>
      </c>
      <c r="C408" s="129">
        <f t="shared" si="27"/>
        <v>1900</v>
      </c>
      <c r="I408" s="29" t="str">
        <f>IFERROR(VLOOKUP(PA[[#This Row],[Date]],Raw_Data[[Date]:[Sunset Time (POA&lt;20 W/m2)]],3,0),"")</f>
        <v/>
      </c>
      <c r="J408" s="29" t="str">
        <f>IFERROR(VLOOKUP(PA[[#This Row],[Date]],Raw_Data[[Date]:[Sunset Time (POA&lt;20 W/m2)]],4,0),"")</f>
        <v/>
      </c>
      <c r="K408" s="27" t="str">
        <f>IFERROR((PA[[#This Row],[Sunset Time (POA&lt;20 W/m2)]]-PA[[#This Row],[Sunrise Time (POA&gt;20 W/m2)]])*24,"")</f>
        <v/>
      </c>
      <c r="M408" s="46" t="str">
        <f>IFERROR(VLOOKUP(PA[[#This Row],[Affceted Equipment]],'Basic Data'!$A$2:$B$114,2,0),"")</f>
        <v/>
      </c>
      <c r="N408" s="48" t="str">
        <f>IFERROR(VLOOKUP(PA[[#This Row],[Affceted Equipment]],'Basic Data'!$A$1:$C$118,3,0),"")</f>
        <v/>
      </c>
      <c r="W408" s="33">
        <f>IF(PA[[#This Row],[Acknowledgemnet Time ]]="NA","",(PA[[#This Row],[Acknowledgemnet Time ]]-PA[[#This Row],[Fault Time]])*24)</f>
        <v>0</v>
      </c>
      <c r="X408" s="33">
        <f>IF(PA[[#This Row],[Work Start time on Fault]]="NA","",(PA[[#This Row],[Work Start time on Fault]]-PA[[#This Row],[Fault Time]])*24)</f>
        <v>0</v>
      </c>
      <c r="Y408" s="35">
        <f>(PA[[#This Row],[Work Completiuon time on fualt]]-PA[[#This Row],[Fault Time]])*24</f>
        <v>0</v>
      </c>
      <c r="Z408" s="35">
        <f>IFERROR((PA[[#This Row],[Work Completiuon time on fualt]]-PA[[#This Row],[Fault Time]])*24,"")</f>
        <v>0</v>
      </c>
      <c r="AC408" s="47" t="str">
        <f>IFERROR(PA[[#This Row],[Breakdown Time]]*PA[[#This Row],[Plant Equivalent Weightage]],"")</f>
        <v/>
      </c>
      <c r="AE408" s="33" t="str">
        <f>IFERROR((_xlfn.XLOOKUP(PA[[#This Row],[Month Year]],'Modelling New'!D:D,'Modelling New'!$O:$O)*PA[[#This Row],[Lost PoA(Wh/m2)]]*PA[[#This Row],[DC Capacity Affceted (kW)]])/1000,"")</f>
        <v/>
      </c>
      <c r="AF408" s="35"/>
    </row>
    <row r="409" spans="1:32">
      <c r="A409" s="2">
        <f t="shared" si="28"/>
        <v>406</v>
      </c>
      <c r="B409" s="156">
        <f t="shared" si="26"/>
        <v>1900</v>
      </c>
      <c r="C409" s="129">
        <f t="shared" si="27"/>
        <v>1900</v>
      </c>
      <c r="I409" s="29" t="str">
        <f>IFERROR(VLOOKUP(PA[[#This Row],[Date]],Raw_Data[[Date]:[Sunset Time (POA&lt;20 W/m2)]],3,0),"")</f>
        <v/>
      </c>
      <c r="J409" s="29" t="str">
        <f>IFERROR(VLOOKUP(PA[[#This Row],[Date]],Raw_Data[[Date]:[Sunset Time (POA&lt;20 W/m2)]],4,0),"")</f>
        <v/>
      </c>
      <c r="K409" s="27" t="str">
        <f>IFERROR((PA[[#This Row],[Sunset Time (POA&lt;20 W/m2)]]-PA[[#This Row],[Sunrise Time (POA&gt;20 W/m2)]])*24,"")</f>
        <v/>
      </c>
      <c r="M409" s="46" t="str">
        <f>IFERROR(VLOOKUP(PA[[#This Row],[Affceted Equipment]],'Basic Data'!$A$2:$B$114,2,0),"")</f>
        <v/>
      </c>
      <c r="N409" s="48" t="str">
        <f>IFERROR(VLOOKUP(PA[[#This Row],[Affceted Equipment]],'Basic Data'!$A$1:$C$118,3,0),"")</f>
        <v/>
      </c>
      <c r="W409" s="33">
        <f>IF(PA[[#This Row],[Acknowledgemnet Time ]]="NA","",(PA[[#This Row],[Acknowledgemnet Time ]]-PA[[#This Row],[Fault Time]])*24)</f>
        <v>0</v>
      </c>
      <c r="X409" s="33">
        <f>IF(PA[[#This Row],[Work Start time on Fault]]="NA","",(PA[[#This Row],[Work Start time on Fault]]-PA[[#This Row],[Fault Time]])*24)</f>
        <v>0</v>
      </c>
      <c r="Y409" s="35">
        <f>(PA[[#This Row],[Work Completiuon time on fualt]]-PA[[#This Row],[Fault Time]])*24</f>
        <v>0</v>
      </c>
      <c r="Z409" s="35">
        <f>IFERROR((PA[[#This Row],[Work Completiuon time on fualt]]-PA[[#This Row],[Fault Time]])*24,"")</f>
        <v>0</v>
      </c>
      <c r="AC409" s="47" t="str">
        <f>IFERROR(PA[[#This Row],[Breakdown Time]]*PA[[#This Row],[Plant Equivalent Weightage]],"")</f>
        <v/>
      </c>
      <c r="AE409" s="33" t="str">
        <f>IFERROR((_xlfn.XLOOKUP(PA[[#This Row],[Month Year]],'Modelling New'!D:D,'Modelling New'!$O:$O)*PA[[#This Row],[Lost PoA(Wh/m2)]]*PA[[#This Row],[DC Capacity Affceted (kW)]])/1000,"")</f>
        <v/>
      </c>
      <c r="AF409" s="35"/>
    </row>
    <row r="410" spans="1:32">
      <c r="A410" s="2">
        <f t="shared" si="28"/>
        <v>407</v>
      </c>
      <c r="B410" s="156">
        <f t="shared" si="26"/>
        <v>1900</v>
      </c>
      <c r="C410" s="129">
        <f t="shared" si="27"/>
        <v>1900</v>
      </c>
      <c r="I410" s="29" t="str">
        <f>IFERROR(VLOOKUP(PA[[#This Row],[Date]],Raw_Data[[Date]:[Sunset Time (POA&lt;20 W/m2)]],3,0),"")</f>
        <v/>
      </c>
      <c r="J410" s="29" t="str">
        <f>IFERROR(VLOOKUP(PA[[#This Row],[Date]],Raw_Data[[Date]:[Sunset Time (POA&lt;20 W/m2)]],4,0),"")</f>
        <v/>
      </c>
      <c r="K410" s="27" t="str">
        <f>IFERROR((PA[[#This Row],[Sunset Time (POA&lt;20 W/m2)]]-PA[[#This Row],[Sunrise Time (POA&gt;20 W/m2)]])*24,"")</f>
        <v/>
      </c>
      <c r="M410" s="46" t="str">
        <f>IFERROR(VLOOKUP(PA[[#This Row],[Affceted Equipment]],'Basic Data'!$A$2:$B$114,2,0),"")</f>
        <v/>
      </c>
      <c r="N410" s="48" t="str">
        <f>IFERROR(VLOOKUP(PA[[#This Row],[Affceted Equipment]],'Basic Data'!$A$1:$C$118,3,0),"")</f>
        <v/>
      </c>
      <c r="W410" s="33">
        <f>IF(PA[[#This Row],[Acknowledgemnet Time ]]="NA","",(PA[[#This Row],[Acknowledgemnet Time ]]-PA[[#This Row],[Fault Time]])*24)</f>
        <v>0</v>
      </c>
      <c r="X410" s="33">
        <f>IF(PA[[#This Row],[Work Start time on Fault]]="NA","",(PA[[#This Row],[Work Start time on Fault]]-PA[[#This Row],[Fault Time]])*24)</f>
        <v>0</v>
      </c>
      <c r="Y410" s="35">
        <f>(PA[[#This Row],[Work Completiuon time on fualt]]-PA[[#This Row],[Fault Time]])*24</f>
        <v>0</v>
      </c>
      <c r="Z410" s="35">
        <f>IFERROR((PA[[#This Row],[Work Completiuon time on fualt]]-PA[[#This Row],[Fault Time]])*24,"")</f>
        <v>0</v>
      </c>
      <c r="AC410" s="47" t="str">
        <f>IFERROR(PA[[#This Row],[Breakdown Time]]*PA[[#This Row],[Plant Equivalent Weightage]],"")</f>
        <v/>
      </c>
      <c r="AE410" s="33" t="str">
        <f>IFERROR((_xlfn.XLOOKUP(PA[[#This Row],[Month Year]],'Modelling New'!D:D,'Modelling New'!$O:$O)*PA[[#This Row],[Lost PoA(Wh/m2)]]*PA[[#This Row],[DC Capacity Affceted (kW)]])/1000,"")</f>
        <v/>
      </c>
      <c r="AF410" s="35"/>
    </row>
    <row r="411" spans="1:32">
      <c r="A411" s="2">
        <f t="shared" si="28"/>
        <v>408</v>
      </c>
      <c r="B411" s="156">
        <f t="shared" si="26"/>
        <v>1900</v>
      </c>
      <c r="C411" s="129">
        <f t="shared" si="27"/>
        <v>1900</v>
      </c>
      <c r="I411" s="29" t="str">
        <f>IFERROR(VLOOKUP(PA[[#This Row],[Date]],Raw_Data[[Date]:[Sunset Time (POA&lt;20 W/m2)]],3,0),"")</f>
        <v/>
      </c>
      <c r="J411" s="29" t="str">
        <f>IFERROR(VLOOKUP(PA[[#This Row],[Date]],Raw_Data[[Date]:[Sunset Time (POA&lt;20 W/m2)]],4,0),"")</f>
        <v/>
      </c>
      <c r="K411" s="27" t="str">
        <f>IFERROR((PA[[#This Row],[Sunset Time (POA&lt;20 W/m2)]]-PA[[#This Row],[Sunrise Time (POA&gt;20 W/m2)]])*24,"")</f>
        <v/>
      </c>
      <c r="M411" s="46" t="str">
        <f>IFERROR(VLOOKUP(PA[[#This Row],[Affceted Equipment]],'Basic Data'!$A$2:$B$114,2,0),"")</f>
        <v/>
      </c>
      <c r="N411" s="48" t="str">
        <f>IFERROR(VLOOKUP(PA[[#This Row],[Affceted Equipment]],'Basic Data'!$A$1:$C$118,3,0),"")</f>
        <v/>
      </c>
      <c r="W411" s="33">
        <f>IF(PA[[#This Row],[Acknowledgemnet Time ]]="NA","",(PA[[#This Row],[Acknowledgemnet Time ]]-PA[[#This Row],[Fault Time]])*24)</f>
        <v>0</v>
      </c>
      <c r="X411" s="33">
        <f>IF(PA[[#This Row],[Work Start time on Fault]]="NA","",(PA[[#This Row],[Work Start time on Fault]]-PA[[#This Row],[Fault Time]])*24)</f>
        <v>0</v>
      </c>
      <c r="Y411" s="35">
        <f>(PA[[#This Row],[Work Completiuon time on fualt]]-PA[[#This Row],[Fault Time]])*24</f>
        <v>0</v>
      </c>
      <c r="Z411" s="35">
        <f>IFERROR((PA[[#This Row],[Work Completiuon time on fualt]]-PA[[#This Row],[Fault Time]])*24,"")</f>
        <v>0</v>
      </c>
      <c r="AC411" s="47" t="str">
        <f>IFERROR(PA[[#This Row],[Breakdown Time]]*PA[[#This Row],[Plant Equivalent Weightage]],"")</f>
        <v/>
      </c>
      <c r="AE411" s="33" t="str">
        <f>IFERROR((_xlfn.XLOOKUP(PA[[#This Row],[Month Year]],'Modelling New'!D:D,'Modelling New'!$O:$O)*PA[[#This Row],[Lost PoA(Wh/m2)]]*PA[[#This Row],[DC Capacity Affceted (kW)]])/1000,"")</f>
        <v/>
      </c>
      <c r="AF411" s="35"/>
    </row>
    <row r="412" spans="1:32">
      <c r="A412" s="2">
        <f t="shared" si="28"/>
        <v>409</v>
      </c>
      <c r="B412" s="156">
        <f t="shared" si="26"/>
        <v>1900</v>
      </c>
      <c r="C412" s="129">
        <f t="shared" si="27"/>
        <v>1900</v>
      </c>
      <c r="I412" s="29" t="str">
        <f>IFERROR(VLOOKUP(PA[[#This Row],[Date]],Raw_Data[[Date]:[Sunset Time (POA&lt;20 W/m2)]],3,0),"")</f>
        <v/>
      </c>
      <c r="J412" s="29" t="str">
        <f>IFERROR(VLOOKUP(PA[[#This Row],[Date]],Raw_Data[[Date]:[Sunset Time (POA&lt;20 W/m2)]],4,0),"")</f>
        <v/>
      </c>
      <c r="K412" s="27" t="str">
        <f>IFERROR((PA[[#This Row],[Sunset Time (POA&lt;20 W/m2)]]-PA[[#This Row],[Sunrise Time (POA&gt;20 W/m2)]])*24,"")</f>
        <v/>
      </c>
      <c r="M412" s="46" t="str">
        <f>IFERROR(VLOOKUP(PA[[#This Row],[Affceted Equipment]],'Basic Data'!$A$2:$B$114,2,0),"")</f>
        <v/>
      </c>
      <c r="N412" s="48" t="str">
        <f>IFERROR(VLOOKUP(PA[[#This Row],[Affceted Equipment]],'Basic Data'!$A$1:$C$118,3,0),"")</f>
        <v/>
      </c>
      <c r="W412" s="33">
        <f>IF(PA[[#This Row],[Acknowledgemnet Time ]]="NA","",(PA[[#This Row],[Acknowledgemnet Time ]]-PA[[#This Row],[Fault Time]])*24)</f>
        <v>0</v>
      </c>
      <c r="X412" s="33">
        <f>IF(PA[[#This Row],[Work Start time on Fault]]="NA","",(PA[[#This Row],[Work Start time on Fault]]-PA[[#This Row],[Fault Time]])*24)</f>
        <v>0</v>
      </c>
      <c r="Y412" s="35">
        <f>(PA[[#This Row],[Work Completiuon time on fualt]]-PA[[#This Row],[Fault Time]])*24</f>
        <v>0</v>
      </c>
      <c r="Z412" s="35">
        <f>IFERROR((PA[[#This Row],[Work Completiuon time on fualt]]-PA[[#This Row],[Fault Time]])*24,"")</f>
        <v>0</v>
      </c>
      <c r="AC412" s="47" t="str">
        <f>IFERROR(PA[[#This Row],[Breakdown Time]]*PA[[#This Row],[Plant Equivalent Weightage]],"")</f>
        <v/>
      </c>
      <c r="AE412" s="33" t="str">
        <f>IFERROR((_xlfn.XLOOKUP(PA[[#This Row],[Month Year]],'Modelling New'!D:D,'Modelling New'!$O:$O)*PA[[#This Row],[Lost PoA(Wh/m2)]]*PA[[#This Row],[DC Capacity Affceted (kW)]])/1000,"")</f>
        <v/>
      </c>
      <c r="AF412" s="35"/>
    </row>
    <row r="413" spans="1:32">
      <c r="A413" s="2">
        <f t="shared" si="28"/>
        <v>410</v>
      </c>
      <c r="B413" s="156">
        <f t="shared" si="26"/>
        <v>1900</v>
      </c>
      <c r="C413" s="129">
        <f t="shared" si="27"/>
        <v>1900</v>
      </c>
      <c r="I413" s="29" t="str">
        <f>IFERROR(VLOOKUP(PA[[#This Row],[Date]],Raw_Data[[Date]:[Sunset Time (POA&lt;20 W/m2)]],3,0),"")</f>
        <v/>
      </c>
      <c r="J413" s="29" t="str">
        <f>IFERROR(VLOOKUP(PA[[#This Row],[Date]],Raw_Data[[Date]:[Sunset Time (POA&lt;20 W/m2)]],4,0),"")</f>
        <v/>
      </c>
      <c r="K413" s="27" t="str">
        <f>IFERROR((PA[[#This Row],[Sunset Time (POA&lt;20 W/m2)]]-PA[[#This Row],[Sunrise Time (POA&gt;20 W/m2)]])*24,"")</f>
        <v/>
      </c>
      <c r="M413" s="46" t="str">
        <f>IFERROR(VLOOKUP(PA[[#This Row],[Affceted Equipment]],'Basic Data'!$A$2:$B$114,2,0),"")</f>
        <v/>
      </c>
      <c r="N413" s="48" t="str">
        <f>IFERROR(VLOOKUP(PA[[#This Row],[Affceted Equipment]],'Basic Data'!$A$1:$C$118,3,0),"")</f>
        <v/>
      </c>
      <c r="W413" s="33">
        <f>IF(PA[[#This Row],[Acknowledgemnet Time ]]="NA","",(PA[[#This Row],[Acknowledgemnet Time ]]-PA[[#This Row],[Fault Time]])*24)</f>
        <v>0</v>
      </c>
      <c r="X413" s="33">
        <f>IF(PA[[#This Row],[Work Start time on Fault]]="NA","",(PA[[#This Row],[Work Start time on Fault]]-PA[[#This Row],[Fault Time]])*24)</f>
        <v>0</v>
      </c>
      <c r="Y413" s="35">
        <f>(PA[[#This Row],[Work Completiuon time on fualt]]-PA[[#This Row],[Fault Time]])*24</f>
        <v>0</v>
      </c>
      <c r="Z413" s="35">
        <f>IFERROR((PA[[#This Row],[Work Completiuon time on fualt]]-PA[[#This Row],[Fault Time]])*24,"")</f>
        <v>0</v>
      </c>
      <c r="AC413" s="47" t="str">
        <f>IFERROR(PA[[#This Row],[Breakdown Time]]*PA[[#This Row],[Plant Equivalent Weightage]],"")</f>
        <v/>
      </c>
      <c r="AE413" s="33" t="str">
        <f>IFERROR((_xlfn.XLOOKUP(PA[[#This Row],[Month Year]],'Modelling New'!D:D,'Modelling New'!$O:$O)*PA[[#This Row],[Lost PoA(Wh/m2)]]*PA[[#This Row],[DC Capacity Affceted (kW)]])/1000,"")</f>
        <v/>
      </c>
      <c r="AF413" s="35"/>
    </row>
    <row r="414" spans="1:32">
      <c r="A414" s="2">
        <f t="shared" si="28"/>
        <v>411</v>
      </c>
      <c r="B414" s="156">
        <f t="shared" si="26"/>
        <v>1900</v>
      </c>
      <c r="C414" s="129">
        <f t="shared" si="27"/>
        <v>1900</v>
      </c>
      <c r="I414" s="29" t="str">
        <f>IFERROR(VLOOKUP(PA[[#This Row],[Date]],Raw_Data[[Date]:[Sunset Time (POA&lt;20 W/m2)]],3,0),"")</f>
        <v/>
      </c>
      <c r="J414" s="29" t="str">
        <f>IFERROR(VLOOKUP(PA[[#This Row],[Date]],Raw_Data[[Date]:[Sunset Time (POA&lt;20 W/m2)]],4,0),"")</f>
        <v/>
      </c>
      <c r="K414" s="27" t="str">
        <f>IFERROR((PA[[#This Row],[Sunset Time (POA&lt;20 W/m2)]]-PA[[#This Row],[Sunrise Time (POA&gt;20 W/m2)]])*24,"")</f>
        <v/>
      </c>
      <c r="M414" s="46" t="str">
        <f>IFERROR(VLOOKUP(PA[[#This Row],[Affceted Equipment]],'Basic Data'!$A$2:$B$114,2,0),"")</f>
        <v/>
      </c>
      <c r="N414" s="48" t="str">
        <f>IFERROR(VLOOKUP(PA[[#This Row],[Affceted Equipment]],'Basic Data'!$A$1:$C$118,3,0),"")</f>
        <v/>
      </c>
      <c r="W414" s="33">
        <f>IF(PA[[#This Row],[Acknowledgemnet Time ]]="NA","",(PA[[#This Row],[Acknowledgemnet Time ]]-PA[[#This Row],[Fault Time]])*24)</f>
        <v>0</v>
      </c>
      <c r="X414" s="33">
        <f>IF(PA[[#This Row],[Work Start time on Fault]]="NA","",(PA[[#This Row],[Work Start time on Fault]]-PA[[#This Row],[Fault Time]])*24)</f>
        <v>0</v>
      </c>
      <c r="Y414" s="35">
        <f>(PA[[#This Row],[Work Completiuon time on fualt]]-PA[[#This Row],[Fault Time]])*24</f>
        <v>0</v>
      </c>
      <c r="Z414" s="35">
        <f>IFERROR((PA[[#This Row],[Work Completiuon time on fualt]]-PA[[#This Row],[Fault Time]])*24,"")</f>
        <v>0</v>
      </c>
      <c r="AC414" s="47" t="str">
        <f>IFERROR(PA[[#This Row],[Breakdown Time]]*PA[[#This Row],[Plant Equivalent Weightage]],"")</f>
        <v/>
      </c>
      <c r="AE414" s="33" t="str">
        <f>IFERROR((_xlfn.XLOOKUP(PA[[#This Row],[Month Year]],'Modelling New'!D:D,'Modelling New'!$O:$O)*PA[[#This Row],[Lost PoA(Wh/m2)]]*PA[[#This Row],[DC Capacity Affceted (kW)]])/1000,"")</f>
        <v/>
      </c>
      <c r="AF414" s="35"/>
    </row>
    <row r="415" spans="1:32">
      <c r="A415" s="2">
        <f t="shared" si="28"/>
        <v>412</v>
      </c>
      <c r="B415" s="156">
        <f t="shared" si="26"/>
        <v>1900</v>
      </c>
      <c r="C415" s="129">
        <f t="shared" si="27"/>
        <v>1900</v>
      </c>
      <c r="I415" s="29" t="str">
        <f>IFERROR(VLOOKUP(PA[[#This Row],[Date]],Raw_Data[[Date]:[Sunset Time (POA&lt;20 W/m2)]],3,0),"")</f>
        <v/>
      </c>
      <c r="J415" s="29" t="str">
        <f>IFERROR(VLOOKUP(PA[[#This Row],[Date]],Raw_Data[[Date]:[Sunset Time (POA&lt;20 W/m2)]],4,0),"")</f>
        <v/>
      </c>
      <c r="K415" s="27" t="str">
        <f>IFERROR((PA[[#This Row],[Sunset Time (POA&lt;20 W/m2)]]-PA[[#This Row],[Sunrise Time (POA&gt;20 W/m2)]])*24,"")</f>
        <v/>
      </c>
      <c r="M415" s="46" t="str">
        <f>IFERROR(VLOOKUP(PA[[#This Row],[Affceted Equipment]],'Basic Data'!$A$2:$B$114,2,0),"")</f>
        <v/>
      </c>
      <c r="N415" s="48" t="str">
        <f>IFERROR(VLOOKUP(PA[[#This Row],[Affceted Equipment]],'Basic Data'!$A$1:$C$118,3,0),"")</f>
        <v/>
      </c>
      <c r="W415" s="33">
        <f>IF(PA[[#This Row],[Acknowledgemnet Time ]]="NA","",(PA[[#This Row],[Acknowledgemnet Time ]]-PA[[#This Row],[Fault Time]])*24)</f>
        <v>0</v>
      </c>
      <c r="X415" s="33">
        <f>IF(PA[[#This Row],[Work Start time on Fault]]="NA","",(PA[[#This Row],[Work Start time on Fault]]-PA[[#This Row],[Fault Time]])*24)</f>
        <v>0</v>
      </c>
      <c r="Y415" s="35">
        <f>(PA[[#This Row],[Work Completiuon time on fualt]]-PA[[#This Row],[Fault Time]])*24</f>
        <v>0</v>
      </c>
      <c r="Z415" s="35">
        <f>IFERROR((PA[[#This Row],[Work Completiuon time on fualt]]-PA[[#This Row],[Fault Time]])*24,"")</f>
        <v>0</v>
      </c>
      <c r="AC415" s="47" t="str">
        <f>IFERROR(PA[[#This Row],[Breakdown Time]]*PA[[#This Row],[Plant Equivalent Weightage]],"")</f>
        <v/>
      </c>
      <c r="AE415" s="33" t="str">
        <f>IFERROR((_xlfn.XLOOKUP(PA[[#This Row],[Month Year]],'Modelling New'!D:D,'Modelling New'!$O:$O)*PA[[#This Row],[Lost PoA(Wh/m2)]]*PA[[#This Row],[DC Capacity Affceted (kW)]])/1000,"")</f>
        <v/>
      </c>
      <c r="AF415" s="35"/>
    </row>
    <row r="416" spans="1:32">
      <c r="A416" s="2">
        <f t="shared" si="28"/>
        <v>413</v>
      </c>
      <c r="B416" s="156">
        <f t="shared" si="26"/>
        <v>1900</v>
      </c>
      <c r="C416" s="129">
        <f t="shared" si="27"/>
        <v>1900</v>
      </c>
      <c r="I416" s="29" t="str">
        <f>IFERROR(VLOOKUP(PA[[#This Row],[Date]],Raw_Data[[Date]:[Sunset Time (POA&lt;20 W/m2)]],3,0),"")</f>
        <v/>
      </c>
      <c r="J416" s="29" t="str">
        <f>IFERROR(VLOOKUP(PA[[#This Row],[Date]],Raw_Data[[Date]:[Sunset Time (POA&lt;20 W/m2)]],4,0),"")</f>
        <v/>
      </c>
      <c r="K416" s="27" t="str">
        <f>IFERROR((PA[[#This Row],[Sunset Time (POA&lt;20 W/m2)]]-PA[[#This Row],[Sunrise Time (POA&gt;20 W/m2)]])*24,"")</f>
        <v/>
      </c>
      <c r="M416" s="46" t="str">
        <f>IFERROR(VLOOKUP(PA[[#This Row],[Affceted Equipment]],'Basic Data'!$A$2:$B$114,2,0),"")</f>
        <v/>
      </c>
      <c r="N416" s="48" t="str">
        <f>IFERROR(VLOOKUP(PA[[#This Row],[Affceted Equipment]],'Basic Data'!$A$1:$C$118,3,0),"")</f>
        <v/>
      </c>
      <c r="W416" s="33">
        <f>IF(PA[[#This Row],[Acknowledgemnet Time ]]="NA","",(PA[[#This Row],[Acknowledgemnet Time ]]-PA[[#This Row],[Fault Time]])*24)</f>
        <v>0</v>
      </c>
      <c r="X416" s="33">
        <f>IF(PA[[#This Row],[Work Start time on Fault]]="NA","",(PA[[#This Row],[Work Start time on Fault]]-PA[[#This Row],[Fault Time]])*24)</f>
        <v>0</v>
      </c>
      <c r="Y416" s="35">
        <f>(PA[[#This Row],[Work Completiuon time on fualt]]-PA[[#This Row],[Fault Time]])*24</f>
        <v>0</v>
      </c>
      <c r="Z416" s="35">
        <f>IFERROR((PA[[#This Row],[Work Completiuon time on fualt]]-PA[[#This Row],[Fault Time]])*24,"")</f>
        <v>0</v>
      </c>
      <c r="AC416" s="47" t="str">
        <f>IFERROR(PA[[#This Row],[Breakdown Time]]*PA[[#This Row],[Plant Equivalent Weightage]],"")</f>
        <v/>
      </c>
      <c r="AE416" s="33" t="str">
        <f>IFERROR((_xlfn.XLOOKUP(PA[[#This Row],[Month Year]],'Modelling New'!D:D,'Modelling New'!$O:$O)*PA[[#This Row],[Lost PoA(Wh/m2)]]*PA[[#This Row],[DC Capacity Affceted (kW)]])/1000,"")</f>
        <v/>
      </c>
      <c r="AF416" s="35"/>
    </row>
    <row r="417" spans="1:32">
      <c r="A417" s="2">
        <f t="shared" si="28"/>
        <v>414</v>
      </c>
      <c r="B417" s="156">
        <f t="shared" si="26"/>
        <v>1900</v>
      </c>
      <c r="C417" s="129">
        <f t="shared" si="27"/>
        <v>1900</v>
      </c>
      <c r="I417" s="29" t="str">
        <f>IFERROR(VLOOKUP(PA[[#This Row],[Date]],Raw_Data[[Date]:[Sunset Time (POA&lt;20 W/m2)]],3,0),"")</f>
        <v/>
      </c>
      <c r="J417" s="29" t="str">
        <f>IFERROR(VLOOKUP(PA[[#This Row],[Date]],Raw_Data[[Date]:[Sunset Time (POA&lt;20 W/m2)]],4,0),"")</f>
        <v/>
      </c>
      <c r="K417" s="27" t="str">
        <f>IFERROR((PA[[#This Row],[Sunset Time (POA&lt;20 W/m2)]]-PA[[#This Row],[Sunrise Time (POA&gt;20 W/m2)]])*24,"")</f>
        <v/>
      </c>
      <c r="M417" s="46" t="str">
        <f>IFERROR(VLOOKUP(PA[[#This Row],[Affceted Equipment]],'Basic Data'!$A$2:$B$114,2,0),"")</f>
        <v/>
      </c>
      <c r="N417" s="48" t="str">
        <f>IFERROR(VLOOKUP(PA[[#This Row],[Affceted Equipment]],'Basic Data'!$A$1:$C$118,3,0),"")</f>
        <v/>
      </c>
      <c r="W417" s="33">
        <f>IF(PA[[#This Row],[Acknowledgemnet Time ]]="NA","",(PA[[#This Row],[Acknowledgemnet Time ]]-PA[[#This Row],[Fault Time]])*24)</f>
        <v>0</v>
      </c>
      <c r="X417" s="33">
        <f>IF(PA[[#This Row],[Work Start time on Fault]]="NA","",(PA[[#This Row],[Work Start time on Fault]]-PA[[#This Row],[Fault Time]])*24)</f>
        <v>0</v>
      </c>
      <c r="Y417" s="35">
        <f>(PA[[#This Row],[Work Completiuon time on fualt]]-PA[[#This Row],[Fault Time]])*24</f>
        <v>0</v>
      </c>
      <c r="Z417" s="35">
        <f>IFERROR((PA[[#This Row],[Work Completiuon time on fualt]]-PA[[#This Row],[Fault Time]])*24,"")</f>
        <v>0</v>
      </c>
      <c r="AC417" s="47" t="str">
        <f>IFERROR(PA[[#This Row],[Breakdown Time]]*PA[[#This Row],[Plant Equivalent Weightage]],"")</f>
        <v/>
      </c>
      <c r="AE417" s="33" t="str">
        <f>IFERROR((_xlfn.XLOOKUP(PA[[#This Row],[Month Year]],'Modelling New'!D:D,'Modelling New'!$O:$O)*PA[[#This Row],[Lost PoA(Wh/m2)]]*PA[[#This Row],[DC Capacity Affceted (kW)]])/1000,"")</f>
        <v/>
      </c>
      <c r="AF417" s="35"/>
    </row>
    <row r="418" spans="1:32">
      <c r="A418" s="2">
        <f t="shared" si="28"/>
        <v>415</v>
      </c>
      <c r="B418" s="156">
        <f t="shared" si="26"/>
        <v>1900</v>
      </c>
      <c r="C418" s="129">
        <f t="shared" si="27"/>
        <v>1900</v>
      </c>
      <c r="I418" s="29" t="str">
        <f>IFERROR(VLOOKUP(PA[[#This Row],[Date]],Raw_Data[[Date]:[Sunset Time (POA&lt;20 W/m2)]],3,0),"")</f>
        <v/>
      </c>
      <c r="J418" s="29" t="str">
        <f>IFERROR(VLOOKUP(PA[[#This Row],[Date]],Raw_Data[[Date]:[Sunset Time (POA&lt;20 W/m2)]],4,0),"")</f>
        <v/>
      </c>
      <c r="K418" s="27" t="str">
        <f>IFERROR((PA[[#This Row],[Sunset Time (POA&lt;20 W/m2)]]-PA[[#This Row],[Sunrise Time (POA&gt;20 W/m2)]])*24,"")</f>
        <v/>
      </c>
      <c r="M418" s="46" t="str">
        <f>IFERROR(VLOOKUP(PA[[#This Row],[Affceted Equipment]],'Basic Data'!$A$2:$B$114,2,0),"")</f>
        <v/>
      </c>
      <c r="N418" s="48" t="str">
        <f>IFERROR(VLOOKUP(PA[[#This Row],[Affceted Equipment]],'Basic Data'!$A$1:$C$118,3,0),"")</f>
        <v/>
      </c>
      <c r="W418" s="33">
        <f>IF(PA[[#This Row],[Acknowledgemnet Time ]]="NA","",(PA[[#This Row],[Acknowledgemnet Time ]]-PA[[#This Row],[Fault Time]])*24)</f>
        <v>0</v>
      </c>
      <c r="X418" s="33">
        <f>IF(PA[[#This Row],[Work Start time on Fault]]="NA","",(PA[[#This Row],[Work Start time on Fault]]-PA[[#This Row],[Fault Time]])*24)</f>
        <v>0</v>
      </c>
      <c r="Y418" s="35">
        <f>(PA[[#This Row],[Work Completiuon time on fualt]]-PA[[#This Row],[Fault Time]])*24</f>
        <v>0</v>
      </c>
      <c r="Z418" s="35">
        <f>IFERROR((PA[[#This Row],[Work Completiuon time on fualt]]-PA[[#This Row],[Fault Time]])*24,"")</f>
        <v>0</v>
      </c>
      <c r="AC418" s="47" t="str">
        <f>IFERROR(PA[[#This Row],[Breakdown Time]]*PA[[#This Row],[Plant Equivalent Weightage]],"")</f>
        <v/>
      </c>
      <c r="AE418" s="33" t="str">
        <f>IFERROR((_xlfn.XLOOKUP(PA[[#This Row],[Month Year]],'Modelling New'!D:D,'Modelling New'!$O:$O)*PA[[#This Row],[Lost PoA(Wh/m2)]]*PA[[#This Row],[DC Capacity Affceted (kW)]])/1000,"")</f>
        <v/>
      </c>
      <c r="AF418" s="35"/>
    </row>
    <row r="419" spans="1:32">
      <c r="A419" s="2">
        <f t="shared" si="28"/>
        <v>416</v>
      </c>
      <c r="B419" s="156">
        <f t="shared" si="26"/>
        <v>1900</v>
      </c>
      <c r="C419" s="129">
        <f t="shared" si="27"/>
        <v>1900</v>
      </c>
      <c r="I419" s="29" t="str">
        <f>IFERROR(VLOOKUP(PA[[#This Row],[Date]],Raw_Data[[Date]:[Sunset Time (POA&lt;20 W/m2)]],3,0),"")</f>
        <v/>
      </c>
      <c r="J419" s="29" t="str">
        <f>IFERROR(VLOOKUP(PA[[#This Row],[Date]],Raw_Data[[Date]:[Sunset Time (POA&lt;20 W/m2)]],4,0),"")</f>
        <v/>
      </c>
      <c r="K419" s="27" t="str">
        <f>IFERROR((PA[[#This Row],[Sunset Time (POA&lt;20 W/m2)]]-PA[[#This Row],[Sunrise Time (POA&gt;20 W/m2)]])*24,"")</f>
        <v/>
      </c>
      <c r="M419" s="46" t="str">
        <f>IFERROR(VLOOKUP(PA[[#This Row],[Affceted Equipment]],'Basic Data'!$A$2:$B$114,2,0),"")</f>
        <v/>
      </c>
      <c r="N419" s="48" t="str">
        <f>IFERROR(VLOOKUP(PA[[#This Row],[Affceted Equipment]],'Basic Data'!$A$1:$C$118,3,0),"")</f>
        <v/>
      </c>
      <c r="W419" s="33">
        <f>IF(PA[[#This Row],[Acknowledgemnet Time ]]="NA","",(PA[[#This Row],[Acknowledgemnet Time ]]-PA[[#This Row],[Fault Time]])*24)</f>
        <v>0</v>
      </c>
      <c r="X419" s="33">
        <f>IF(PA[[#This Row],[Work Start time on Fault]]="NA","",(PA[[#This Row],[Work Start time on Fault]]-PA[[#This Row],[Fault Time]])*24)</f>
        <v>0</v>
      </c>
      <c r="Y419" s="35">
        <f>(PA[[#This Row],[Work Completiuon time on fualt]]-PA[[#This Row],[Fault Time]])*24</f>
        <v>0</v>
      </c>
      <c r="Z419" s="35">
        <f>IFERROR((PA[[#This Row],[Work Completiuon time on fualt]]-PA[[#This Row],[Fault Time]])*24,"")</f>
        <v>0</v>
      </c>
      <c r="AC419" s="47" t="str">
        <f>IFERROR(PA[[#This Row],[Breakdown Time]]*PA[[#This Row],[Plant Equivalent Weightage]],"")</f>
        <v/>
      </c>
      <c r="AE419" s="33" t="str">
        <f>IFERROR((_xlfn.XLOOKUP(PA[[#This Row],[Month Year]],'Modelling New'!D:D,'Modelling New'!$O:$O)*PA[[#This Row],[Lost PoA(Wh/m2)]]*PA[[#This Row],[DC Capacity Affceted (kW)]])/1000,"")</f>
        <v/>
      </c>
      <c r="AF419" s="35"/>
    </row>
    <row r="420" spans="1:32">
      <c r="A420" s="2">
        <f t="shared" si="28"/>
        <v>417</v>
      </c>
      <c r="B420" s="156">
        <f t="shared" si="26"/>
        <v>1900</v>
      </c>
      <c r="C420" s="129">
        <f t="shared" si="27"/>
        <v>1900</v>
      </c>
      <c r="I420" s="29" t="str">
        <f>IFERROR(VLOOKUP(PA[[#This Row],[Date]],Raw_Data[[Date]:[Sunset Time (POA&lt;20 W/m2)]],3,0),"")</f>
        <v/>
      </c>
      <c r="J420" s="29" t="str">
        <f>IFERROR(VLOOKUP(PA[[#This Row],[Date]],Raw_Data[[Date]:[Sunset Time (POA&lt;20 W/m2)]],4,0),"")</f>
        <v/>
      </c>
      <c r="K420" s="27" t="str">
        <f>IFERROR((PA[[#This Row],[Sunset Time (POA&lt;20 W/m2)]]-PA[[#This Row],[Sunrise Time (POA&gt;20 W/m2)]])*24,"")</f>
        <v/>
      </c>
      <c r="M420" s="46" t="str">
        <f>IFERROR(VLOOKUP(PA[[#This Row],[Affceted Equipment]],'Basic Data'!$A$2:$B$114,2,0),"")</f>
        <v/>
      </c>
      <c r="N420" s="48" t="str">
        <f>IFERROR(VLOOKUP(PA[[#This Row],[Affceted Equipment]],'Basic Data'!$A$1:$C$118,3,0),"")</f>
        <v/>
      </c>
      <c r="W420" s="33">
        <f>IF(PA[[#This Row],[Acknowledgemnet Time ]]="NA","",(PA[[#This Row],[Acknowledgemnet Time ]]-PA[[#This Row],[Fault Time]])*24)</f>
        <v>0</v>
      </c>
      <c r="X420" s="33">
        <f>IF(PA[[#This Row],[Work Start time on Fault]]="NA","",(PA[[#This Row],[Work Start time on Fault]]-PA[[#This Row],[Fault Time]])*24)</f>
        <v>0</v>
      </c>
      <c r="Y420" s="35">
        <f>(PA[[#This Row],[Work Completiuon time on fualt]]-PA[[#This Row],[Fault Time]])*24</f>
        <v>0</v>
      </c>
      <c r="Z420" s="35">
        <f>IFERROR((PA[[#This Row],[Work Completiuon time on fualt]]-PA[[#This Row],[Fault Time]])*24,"")</f>
        <v>0</v>
      </c>
      <c r="AC420" s="47" t="str">
        <f>IFERROR(PA[[#This Row],[Breakdown Time]]*PA[[#This Row],[Plant Equivalent Weightage]],"")</f>
        <v/>
      </c>
      <c r="AE420" s="33" t="str">
        <f>IFERROR((_xlfn.XLOOKUP(PA[[#This Row],[Month Year]],'Modelling New'!D:D,'Modelling New'!$O:$O)*PA[[#This Row],[Lost PoA(Wh/m2)]]*PA[[#This Row],[DC Capacity Affceted (kW)]])/1000,"")</f>
        <v/>
      </c>
      <c r="AF420" s="35"/>
    </row>
    <row r="421" spans="1:32">
      <c r="A421" s="2">
        <f t="shared" si="28"/>
        <v>418</v>
      </c>
      <c r="B421" s="156">
        <f t="shared" si="26"/>
        <v>1900</v>
      </c>
      <c r="C421" s="129">
        <f t="shared" si="27"/>
        <v>1900</v>
      </c>
      <c r="I421" s="29" t="str">
        <f>IFERROR(VLOOKUP(PA[[#This Row],[Date]],Raw_Data[[Date]:[Sunset Time (POA&lt;20 W/m2)]],3,0),"")</f>
        <v/>
      </c>
      <c r="J421" s="29" t="str">
        <f>IFERROR(VLOOKUP(PA[[#This Row],[Date]],Raw_Data[[Date]:[Sunset Time (POA&lt;20 W/m2)]],4,0),"")</f>
        <v/>
      </c>
      <c r="K421" s="27" t="str">
        <f>IFERROR((PA[[#This Row],[Sunset Time (POA&lt;20 W/m2)]]-PA[[#This Row],[Sunrise Time (POA&gt;20 W/m2)]])*24,"")</f>
        <v/>
      </c>
      <c r="M421" s="46" t="str">
        <f>IFERROR(VLOOKUP(PA[[#This Row],[Affceted Equipment]],'Basic Data'!$A$2:$B$114,2,0),"")</f>
        <v/>
      </c>
      <c r="N421" s="48" t="str">
        <f>IFERROR(VLOOKUP(PA[[#This Row],[Affceted Equipment]],'Basic Data'!$A$1:$C$118,3,0),"")</f>
        <v/>
      </c>
      <c r="W421" s="33">
        <f>IF(PA[[#This Row],[Acknowledgemnet Time ]]="NA","",(PA[[#This Row],[Acknowledgemnet Time ]]-PA[[#This Row],[Fault Time]])*24)</f>
        <v>0</v>
      </c>
      <c r="X421" s="33">
        <f>IF(PA[[#This Row],[Work Start time on Fault]]="NA","",(PA[[#This Row],[Work Start time on Fault]]-PA[[#This Row],[Fault Time]])*24)</f>
        <v>0</v>
      </c>
      <c r="Y421" s="35">
        <f>(PA[[#This Row],[Work Completiuon time on fualt]]-PA[[#This Row],[Fault Time]])*24</f>
        <v>0</v>
      </c>
      <c r="Z421" s="35">
        <f>IFERROR((PA[[#This Row],[Work Completiuon time on fualt]]-PA[[#This Row],[Fault Time]])*24,"")</f>
        <v>0</v>
      </c>
      <c r="AC421" s="47" t="str">
        <f>IFERROR(PA[[#This Row],[Breakdown Time]]*PA[[#This Row],[Plant Equivalent Weightage]],"")</f>
        <v/>
      </c>
      <c r="AE421" s="33" t="str">
        <f>IFERROR((_xlfn.XLOOKUP(PA[[#This Row],[Month Year]],'Modelling New'!D:D,'Modelling New'!$O:$O)*PA[[#This Row],[Lost PoA(Wh/m2)]]*PA[[#This Row],[DC Capacity Affceted (kW)]])/1000,"")</f>
        <v/>
      </c>
      <c r="AF421" s="35"/>
    </row>
    <row r="422" spans="1:32">
      <c r="A422" s="2">
        <f t="shared" si="28"/>
        <v>419</v>
      </c>
      <c r="B422" s="156">
        <f t="shared" si="26"/>
        <v>1900</v>
      </c>
      <c r="C422" s="129">
        <f t="shared" si="27"/>
        <v>1900</v>
      </c>
      <c r="I422" s="29" t="str">
        <f>IFERROR(VLOOKUP(PA[[#This Row],[Date]],Raw_Data[[Date]:[Sunset Time (POA&lt;20 W/m2)]],3,0),"")</f>
        <v/>
      </c>
      <c r="J422" s="29" t="str">
        <f>IFERROR(VLOOKUP(PA[[#This Row],[Date]],Raw_Data[[Date]:[Sunset Time (POA&lt;20 W/m2)]],4,0),"")</f>
        <v/>
      </c>
      <c r="K422" s="27" t="str">
        <f>IFERROR((PA[[#This Row],[Sunset Time (POA&lt;20 W/m2)]]-PA[[#This Row],[Sunrise Time (POA&gt;20 W/m2)]])*24,"")</f>
        <v/>
      </c>
      <c r="M422" s="46" t="str">
        <f>IFERROR(VLOOKUP(PA[[#This Row],[Affceted Equipment]],'Basic Data'!$A$2:$B$114,2,0),"")</f>
        <v/>
      </c>
      <c r="N422" s="48" t="str">
        <f>IFERROR(VLOOKUP(PA[[#This Row],[Affceted Equipment]],'Basic Data'!$A$1:$C$118,3,0),"")</f>
        <v/>
      </c>
      <c r="W422" s="33">
        <f>IF(PA[[#This Row],[Acknowledgemnet Time ]]="NA","",(PA[[#This Row],[Acknowledgemnet Time ]]-PA[[#This Row],[Fault Time]])*24)</f>
        <v>0</v>
      </c>
      <c r="X422" s="33">
        <f>IF(PA[[#This Row],[Work Start time on Fault]]="NA","",(PA[[#This Row],[Work Start time on Fault]]-PA[[#This Row],[Fault Time]])*24)</f>
        <v>0</v>
      </c>
      <c r="Y422" s="35">
        <f>(PA[[#This Row],[Work Completiuon time on fualt]]-PA[[#This Row],[Fault Time]])*24</f>
        <v>0</v>
      </c>
      <c r="Z422" s="35">
        <f>IFERROR((PA[[#This Row],[Work Completiuon time on fualt]]-PA[[#This Row],[Fault Time]])*24,"")</f>
        <v>0</v>
      </c>
      <c r="AC422" s="47" t="str">
        <f>IFERROR(PA[[#This Row],[Breakdown Time]]*PA[[#This Row],[Plant Equivalent Weightage]],"")</f>
        <v/>
      </c>
      <c r="AE422" s="33" t="str">
        <f>IFERROR((_xlfn.XLOOKUP(PA[[#This Row],[Month Year]],'Modelling New'!D:D,'Modelling New'!$O:$O)*PA[[#This Row],[Lost PoA(Wh/m2)]]*PA[[#This Row],[DC Capacity Affceted (kW)]])/1000,"")</f>
        <v/>
      </c>
      <c r="AF422" s="35"/>
    </row>
    <row r="423" spans="1:32">
      <c r="A423" s="2">
        <f t="shared" si="28"/>
        <v>420</v>
      </c>
      <c r="B423" s="156">
        <f t="shared" si="26"/>
        <v>1900</v>
      </c>
      <c r="C423" s="129">
        <f t="shared" si="27"/>
        <v>1900</v>
      </c>
      <c r="I423" s="29" t="str">
        <f>IFERROR(VLOOKUP(PA[[#This Row],[Date]],Raw_Data[[Date]:[Sunset Time (POA&lt;20 W/m2)]],3,0),"")</f>
        <v/>
      </c>
      <c r="J423" s="29" t="str">
        <f>IFERROR(VLOOKUP(PA[[#This Row],[Date]],Raw_Data[[Date]:[Sunset Time (POA&lt;20 W/m2)]],4,0),"")</f>
        <v/>
      </c>
      <c r="K423" s="27" t="str">
        <f>IFERROR((PA[[#This Row],[Sunset Time (POA&lt;20 W/m2)]]-PA[[#This Row],[Sunrise Time (POA&gt;20 W/m2)]])*24,"")</f>
        <v/>
      </c>
      <c r="M423" s="46" t="str">
        <f>IFERROR(VLOOKUP(PA[[#This Row],[Affceted Equipment]],'Basic Data'!$A$2:$B$114,2,0),"")</f>
        <v/>
      </c>
      <c r="N423" s="48" t="str">
        <f>IFERROR(VLOOKUP(PA[[#This Row],[Affceted Equipment]],'Basic Data'!$A$1:$C$118,3,0),"")</f>
        <v/>
      </c>
      <c r="W423" s="33">
        <f>IF(PA[[#This Row],[Acknowledgemnet Time ]]="NA","",(PA[[#This Row],[Acknowledgemnet Time ]]-PA[[#This Row],[Fault Time]])*24)</f>
        <v>0</v>
      </c>
      <c r="X423" s="33">
        <f>IF(PA[[#This Row],[Work Start time on Fault]]="NA","",(PA[[#This Row],[Work Start time on Fault]]-PA[[#This Row],[Fault Time]])*24)</f>
        <v>0</v>
      </c>
      <c r="Y423" s="35">
        <f>(PA[[#This Row],[Work Completiuon time on fualt]]-PA[[#This Row],[Fault Time]])*24</f>
        <v>0</v>
      </c>
      <c r="Z423" s="35">
        <f>IFERROR((PA[[#This Row],[Work Completiuon time on fualt]]-PA[[#This Row],[Fault Time]])*24,"")</f>
        <v>0</v>
      </c>
      <c r="AC423" s="47" t="str">
        <f>IFERROR(PA[[#This Row],[Breakdown Time]]*PA[[#This Row],[Plant Equivalent Weightage]],"")</f>
        <v/>
      </c>
      <c r="AE423" s="33" t="str">
        <f>IFERROR((_xlfn.XLOOKUP(PA[[#This Row],[Month Year]],'Modelling New'!D:D,'Modelling New'!$O:$O)*PA[[#This Row],[Lost PoA(Wh/m2)]]*PA[[#This Row],[DC Capacity Affceted (kW)]])/1000,"")</f>
        <v/>
      </c>
      <c r="AF423" s="35"/>
    </row>
    <row r="424" spans="1:32">
      <c r="A424" s="2">
        <f t="shared" si="28"/>
        <v>421</v>
      </c>
      <c r="B424" s="156">
        <f t="shared" si="26"/>
        <v>1900</v>
      </c>
      <c r="C424" s="129">
        <f t="shared" si="27"/>
        <v>1900</v>
      </c>
      <c r="I424" s="29" t="str">
        <f>IFERROR(VLOOKUP(PA[[#This Row],[Date]],Raw_Data[[Date]:[Sunset Time (POA&lt;20 W/m2)]],3,0),"")</f>
        <v/>
      </c>
      <c r="J424" s="29" t="str">
        <f>IFERROR(VLOOKUP(PA[[#This Row],[Date]],Raw_Data[[Date]:[Sunset Time (POA&lt;20 W/m2)]],4,0),"")</f>
        <v/>
      </c>
      <c r="K424" s="27" t="str">
        <f>IFERROR((PA[[#This Row],[Sunset Time (POA&lt;20 W/m2)]]-PA[[#This Row],[Sunrise Time (POA&gt;20 W/m2)]])*24,"")</f>
        <v/>
      </c>
      <c r="M424" s="46" t="str">
        <f>IFERROR(VLOOKUP(PA[[#This Row],[Affceted Equipment]],'Basic Data'!$A$2:$B$114,2,0),"")</f>
        <v/>
      </c>
      <c r="N424" s="48" t="str">
        <f>IFERROR(VLOOKUP(PA[[#This Row],[Affceted Equipment]],'Basic Data'!$A$1:$C$118,3,0),"")</f>
        <v/>
      </c>
      <c r="W424" s="33">
        <f>IF(PA[[#This Row],[Acknowledgemnet Time ]]="NA","",(PA[[#This Row],[Acknowledgemnet Time ]]-PA[[#This Row],[Fault Time]])*24)</f>
        <v>0</v>
      </c>
      <c r="X424" s="33">
        <f>IF(PA[[#This Row],[Work Start time on Fault]]="NA","",(PA[[#This Row],[Work Start time on Fault]]-PA[[#This Row],[Fault Time]])*24)</f>
        <v>0</v>
      </c>
      <c r="Y424" s="35">
        <f>(PA[[#This Row],[Work Completiuon time on fualt]]-PA[[#This Row],[Fault Time]])*24</f>
        <v>0</v>
      </c>
      <c r="Z424" s="35">
        <f>IFERROR((PA[[#This Row],[Work Completiuon time on fualt]]-PA[[#This Row],[Fault Time]])*24,"")</f>
        <v>0</v>
      </c>
      <c r="AC424" s="47" t="str">
        <f>IFERROR(PA[[#This Row],[Breakdown Time]]*PA[[#This Row],[Plant Equivalent Weightage]],"")</f>
        <v/>
      </c>
      <c r="AE424" s="33" t="str">
        <f>IFERROR((_xlfn.XLOOKUP(PA[[#This Row],[Month Year]],'Modelling New'!D:D,'Modelling New'!$O:$O)*PA[[#This Row],[Lost PoA(Wh/m2)]]*PA[[#This Row],[DC Capacity Affceted (kW)]])/1000,"")</f>
        <v/>
      </c>
      <c r="AF424" s="35"/>
    </row>
    <row r="425" spans="1:32">
      <c r="A425" s="2">
        <f t="shared" si="28"/>
        <v>422</v>
      </c>
      <c r="B425" s="156">
        <f t="shared" si="26"/>
        <v>1900</v>
      </c>
      <c r="C425" s="129">
        <f t="shared" si="27"/>
        <v>1900</v>
      </c>
      <c r="I425" s="29" t="str">
        <f>IFERROR(VLOOKUP(PA[[#This Row],[Date]],Raw_Data[[Date]:[Sunset Time (POA&lt;20 W/m2)]],3,0),"")</f>
        <v/>
      </c>
      <c r="J425" s="29" t="str">
        <f>IFERROR(VLOOKUP(PA[[#This Row],[Date]],Raw_Data[[Date]:[Sunset Time (POA&lt;20 W/m2)]],4,0),"")</f>
        <v/>
      </c>
      <c r="K425" s="27" t="str">
        <f>IFERROR((PA[[#This Row],[Sunset Time (POA&lt;20 W/m2)]]-PA[[#This Row],[Sunrise Time (POA&gt;20 W/m2)]])*24,"")</f>
        <v/>
      </c>
      <c r="M425" s="46" t="str">
        <f>IFERROR(VLOOKUP(PA[[#This Row],[Affceted Equipment]],'Basic Data'!$A$2:$B$114,2,0),"")</f>
        <v/>
      </c>
      <c r="N425" s="48" t="str">
        <f>IFERROR(VLOOKUP(PA[[#This Row],[Affceted Equipment]],'Basic Data'!$A$1:$C$118,3,0),"")</f>
        <v/>
      </c>
      <c r="W425" s="33">
        <f>IF(PA[[#This Row],[Acknowledgemnet Time ]]="NA","",(PA[[#This Row],[Acknowledgemnet Time ]]-PA[[#This Row],[Fault Time]])*24)</f>
        <v>0</v>
      </c>
      <c r="X425" s="33">
        <f>IF(PA[[#This Row],[Work Start time on Fault]]="NA","",(PA[[#This Row],[Work Start time on Fault]]-PA[[#This Row],[Fault Time]])*24)</f>
        <v>0</v>
      </c>
      <c r="Y425" s="35">
        <f>(PA[[#This Row],[Work Completiuon time on fualt]]-PA[[#This Row],[Fault Time]])*24</f>
        <v>0</v>
      </c>
      <c r="Z425" s="35">
        <f>IFERROR((PA[[#This Row],[Work Completiuon time on fualt]]-PA[[#This Row],[Fault Time]])*24,"")</f>
        <v>0</v>
      </c>
      <c r="AC425" s="47" t="str">
        <f>IFERROR(PA[[#This Row],[Breakdown Time]]*PA[[#This Row],[Plant Equivalent Weightage]],"")</f>
        <v/>
      </c>
      <c r="AE425" s="33" t="str">
        <f>IFERROR((_xlfn.XLOOKUP(PA[[#This Row],[Month Year]],'Modelling New'!D:D,'Modelling New'!$O:$O)*PA[[#This Row],[Lost PoA(Wh/m2)]]*PA[[#This Row],[DC Capacity Affceted (kW)]])/1000,"")</f>
        <v/>
      </c>
      <c r="AF425" s="35"/>
    </row>
    <row r="426" spans="1:32">
      <c r="A426" s="2">
        <f t="shared" si="28"/>
        <v>423</v>
      </c>
      <c r="B426" s="156">
        <f t="shared" si="26"/>
        <v>1900</v>
      </c>
      <c r="C426" s="129">
        <f t="shared" si="27"/>
        <v>1900</v>
      </c>
      <c r="I426" s="29" t="str">
        <f>IFERROR(VLOOKUP(PA[[#This Row],[Date]],Raw_Data[[Date]:[Sunset Time (POA&lt;20 W/m2)]],3,0),"")</f>
        <v/>
      </c>
      <c r="J426" s="29" t="str">
        <f>IFERROR(VLOOKUP(PA[[#This Row],[Date]],Raw_Data[[Date]:[Sunset Time (POA&lt;20 W/m2)]],4,0),"")</f>
        <v/>
      </c>
      <c r="K426" s="27" t="str">
        <f>IFERROR((PA[[#This Row],[Sunset Time (POA&lt;20 W/m2)]]-PA[[#This Row],[Sunrise Time (POA&gt;20 W/m2)]])*24,"")</f>
        <v/>
      </c>
      <c r="M426" s="46" t="str">
        <f>IFERROR(VLOOKUP(PA[[#This Row],[Affceted Equipment]],'Basic Data'!$A$2:$B$114,2,0),"")</f>
        <v/>
      </c>
      <c r="N426" s="48" t="str">
        <f>IFERROR(VLOOKUP(PA[[#This Row],[Affceted Equipment]],'Basic Data'!$A$1:$C$118,3,0),"")</f>
        <v/>
      </c>
      <c r="W426" s="33">
        <f>IF(PA[[#This Row],[Acknowledgemnet Time ]]="NA","",(PA[[#This Row],[Acknowledgemnet Time ]]-PA[[#This Row],[Fault Time]])*24)</f>
        <v>0</v>
      </c>
      <c r="X426" s="33">
        <f>IF(PA[[#This Row],[Work Start time on Fault]]="NA","",(PA[[#This Row],[Work Start time on Fault]]-PA[[#This Row],[Fault Time]])*24)</f>
        <v>0</v>
      </c>
      <c r="Y426" s="35">
        <f>(PA[[#This Row],[Work Completiuon time on fualt]]-PA[[#This Row],[Fault Time]])*24</f>
        <v>0</v>
      </c>
      <c r="Z426" s="35">
        <f>IFERROR((PA[[#This Row],[Work Completiuon time on fualt]]-PA[[#This Row],[Fault Time]])*24,"")</f>
        <v>0</v>
      </c>
      <c r="AC426" s="47" t="str">
        <f>IFERROR(PA[[#This Row],[Breakdown Time]]*PA[[#This Row],[Plant Equivalent Weightage]],"")</f>
        <v/>
      </c>
      <c r="AE426" s="33" t="str">
        <f>IFERROR((_xlfn.XLOOKUP(PA[[#This Row],[Month Year]],'Modelling New'!D:D,'Modelling New'!$O:$O)*PA[[#This Row],[Lost PoA(Wh/m2)]]*PA[[#This Row],[DC Capacity Affceted (kW)]])/1000,"")</f>
        <v/>
      </c>
      <c r="AF426" s="35"/>
    </row>
    <row r="427" spans="1:32">
      <c r="A427" s="2">
        <f t="shared" si="28"/>
        <v>424</v>
      </c>
      <c r="B427" s="156">
        <f t="shared" si="26"/>
        <v>1900</v>
      </c>
      <c r="C427" s="129">
        <f t="shared" si="27"/>
        <v>1900</v>
      </c>
      <c r="I427" s="29" t="str">
        <f>IFERROR(VLOOKUP(PA[[#This Row],[Date]],Raw_Data[[Date]:[Sunset Time (POA&lt;20 W/m2)]],3,0),"")</f>
        <v/>
      </c>
      <c r="J427" s="29" t="str">
        <f>IFERROR(VLOOKUP(PA[[#This Row],[Date]],Raw_Data[[Date]:[Sunset Time (POA&lt;20 W/m2)]],4,0),"")</f>
        <v/>
      </c>
      <c r="K427" s="27" t="str">
        <f>IFERROR((PA[[#This Row],[Sunset Time (POA&lt;20 W/m2)]]-PA[[#This Row],[Sunrise Time (POA&gt;20 W/m2)]])*24,"")</f>
        <v/>
      </c>
      <c r="M427" s="46" t="str">
        <f>IFERROR(VLOOKUP(PA[[#This Row],[Affceted Equipment]],'Basic Data'!$A$2:$B$114,2,0),"")</f>
        <v/>
      </c>
      <c r="N427" s="48" t="str">
        <f>IFERROR(VLOOKUP(PA[[#This Row],[Affceted Equipment]],'Basic Data'!$A$1:$C$118,3,0),"")</f>
        <v/>
      </c>
      <c r="W427" s="33">
        <f>IF(PA[[#This Row],[Acknowledgemnet Time ]]="NA","",(PA[[#This Row],[Acknowledgemnet Time ]]-PA[[#This Row],[Fault Time]])*24)</f>
        <v>0</v>
      </c>
      <c r="X427" s="33">
        <f>IF(PA[[#This Row],[Work Start time on Fault]]="NA","",(PA[[#This Row],[Work Start time on Fault]]-PA[[#This Row],[Fault Time]])*24)</f>
        <v>0</v>
      </c>
      <c r="Y427" s="35">
        <f>(PA[[#This Row],[Work Completiuon time on fualt]]-PA[[#This Row],[Fault Time]])*24</f>
        <v>0</v>
      </c>
      <c r="Z427" s="35">
        <f>IFERROR((PA[[#This Row],[Work Completiuon time on fualt]]-PA[[#This Row],[Fault Time]])*24,"")</f>
        <v>0</v>
      </c>
      <c r="AC427" s="47" t="str">
        <f>IFERROR(PA[[#This Row],[Breakdown Time]]*PA[[#This Row],[Plant Equivalent Weightage]],"")</f>
        <v/>
      </c>
      <c r="AE427" s="33" t="str">
        <f>IFERROR((_xlfn.XLOOKUP(PA[[#This Row],[Month Year]],'Modelling New'!D:D,'Modelling New'!$O:$O)*PA[[#This Row],[Lost PoA(Wh/m2)]]*PA[[#This Row],[DC Capacity Affceted (kW)]])/1000,"")</f>
        <v/>
      </c>
      <c r="AF427" s="35"/>
    </row>
    <row r="428" spans="1:32">
      <c r="A428" s="2">
        <f t="shared" si="28"/>
        <v>425</v>
      </c>
      <c r="B428" s="156">
        <f t="shared" si="26"/>
        <v>1900</v>
      </c>
      <c r="C428" s="129">
        <f t="shared" si="27"/>
        <v>1900</v>
      </c>
      <c r="I428" s="29" t="str">
        <f>IFERROR(VLOOKUP(PA[[#This Row],[Date]],Raw_Data[[Date]:[Sunset Time (POA&lt;20 W/m2)]],3,0),"")</f>
        <v/>
      </c>
      <c r="J428" s="29" t="str">
        <f>IFERROR(VLOOKUP(PA[[#This Row],[Date]],Raw_Data[[Date]:[Sunset Time (POA&lt;20 W/m2)]],4,0),"")</f>
        <v/>
      </c>
      <c r="K428" s="27" t="str">
        <f>IFERROR((PA[[#This Row],[Sunset Time (POA&lt;20 W/m2)]]-PA[[#This Row],[Sunrise Time (POA&gt;20 W/m2)]])*24,"")</f>
        <v/>
      </c>
      <c r="M428" s="46" t="str">
        <f>IFERROR(VLOOKUP(PA[[#This Row],[Affceted Equipment]],'Basic Data'!$A$2:$B$114,2,0),"")</f>
        <v/>
      </c>
      <c r="N428" s="48" t="str">
        <f>IFERROR(VLOOKUP(PA[[#This Row],[Affceted Equipment]],'Basic Data'!$A$1:$C$118,3,0),"")</f>
        <v/>
      </c>
      <c r="W428" s="33">
        <f>IF(PA[[#This Row],[Acknowledgemnet Time ]]="NA","",(PA[[#This Row],[Acknowledgemnet Time ]]-PA[[#This Row],[Fault Time]])*24)</f>
        <v>0</v>
      </c>
      <c r="X428" s="33">
        <f>IF(PA[[#This Row],[Work Start time on Fault]]="NA","",(PA[[#This Row],[Work Start time on Fault]]-PA[[#This Row],[Fault Time]])*24)</f>
        <v>0</v>
      </c>
      <c r="Y428" s="35">
        <f>(PA[[#This Row],[Work Completiuon time on fualt]]-PA[[#This Row],[Fault Time]])*24</f>
        <v>0</v>
      </c>
      <c r="Z428" s="35">
        <f>IFERROR((PA[[#This Row],[Work Completiuon time on fualt]]-PA[[#This Row],[Fault Time]])*24,"")</f>
        <v>0</v>
      </c>
      <c r="AC428" s="47" t="str">
        <f>IFERROR(PA[[#This Row],[Breakdown Time]]*PA[[#This Row],[Plant Equivalent Weightage]],"")</f>
        <v/>
      </c>
      <c r="AE428" s="33" t="str">
        <f>IFERROR((_xlfn.XLOOKUP(PA[[#This Row],[Month Year]],'Modelling New'!D:D,'Modelling New'!$O:$O)*PA[[#This Row],[Lost PoA(Wh/m2)]]*PA[[#This Row],[DC Capacity Affceted (kW)]])/1000,"")</f>
        <v/>
      </c>
      <c r="AF428" s="35"/>
    </row>
    <row r="429" spans="1:32">
      <c r="A429" s="2">
        <f t="shared" si="28"/>
        <v>426</v>
      </c>
      <c r="B429" s="156">
        <f t="shared" si="26"/>
        <v>1900</v>
      </c>
      <c r="C429" s="129">
        <f t="shared" si="27"/>
        <v>1900</v>
      </c>
      <c r="I429" s="29" t="str">
        <f>IFERROR(VLOOKUP(PA[[#This Row],[Date]],Raw_Data[[Date]:[Sunset Time (POA&lt;20 W/m2)]],3,0),"")</f>
        <v/>
      </c>
      <c r="J429" s="29" t="str">
        <f>IFERROR(VLOOKUP(PA[[#This Row],[Date]],Raw_Data[[Date]:[Sunset Time (POA&lt;20 W/m2)]],4,0),"")</f>
        <v/>
      </c>
      <c r="K429" s="27" t="str">
        <f>IFERROR((PA[[#This Row],[Sunset Time (POA&lt;20 W/m2)]]-PA[[#This Row],[Sunrise Time (POA&gt;20 W/m2)]])*24,"")</f>
        <v/>
      </c>
      <c r="M429" s="46" t="str">
        <f>IFERROR(VLOOKUP(PA[[#This Row],[Affceted Equipment]],'Basic Data'!$A$2:$B$114,2,0),"")</f>
        <v/>
      </c>
      <c r="N429" s="48" t="str">
        <f>IFERROR(VLOOKUP(PA[[#This Row],[Affceted Equipment]],'Basic Data'!$A$1:$C$118,3,0),"")</f>
        <v/>
      </c>
      <c r="W429" s="33">
        <f>IF(PA[[#This Row],[Acknowledgemnet Time ]]="NA","",(PA[[#This Row],[Acknowledgemnet Time ]]-PA[[#This Row],[Fault Time]])*24)</f>
        <v>0</v>
      </c>
      <c r="X429" s="33">
        <f>IF(PA[[#This Row],[Work Start time on Fault]]="NA","",(PA[[#This Row],[Work Start time on Fault]]-PA[[#This Row],[Fault Time]])*24)</f>
        <v>0</v>
      </c>
      <c r="Y429" s="35">
        <f>(PA[[#This Row],[Work Completiuon time on fualt]]-PA[[#This Row],[Fault Time]])*24</f>
        <v>0</v>
      </c>
      <c r="Z429" s="35">
        <f>IFERROR((PA[[#This Row],[Work Completiuon time on fualt]]-PA[[#This Row],[Fault Time]])*24,"")</f>
        <v>0</v>
      </c>
      <c r="AC429" s="47" t="str">
        <f>IFERROR(PA[[#This Row],[Breakdown Time]]*PA[[#This Row],[Plant Equivalent Weightage]],"")</f>
        <v/>
      </c>
      <c r="AE429" s="33" t="str">
        <f>IFERROR((_xlfn.XLOOKUP(PA[[#This Row],[Month Year]],'Modelling New'!D:D,'Modelling New'!$O:$O)*PA[[#This Row],[Lost PoA(Wh/m2)]]*PA[[#This Row],[DC Capacity Affceted (kW)]])/1000,"")</f>
        <v/>
      </c>
      <c r="AF429" s="35"/>
    </row>
    <row r="430" spans="1:32">
      <c r="A430" s="2">
        <f t="shared" si="28"/>
        <v>427</v>
      </c>
      <c r="B430" s="156">
        <f t="shared" si="26"/>
        <v>1900</v>
      </c>
      <c r="C430" s="129">
        <f t="shared" si="27"/>
        <v>1900</v>
      </c>
      <c r="I430" s="29" t="str">
        <f>IFERROR(VLOOKUP(PA[[#This Row],[Date]],Raw_Data[[Date]:[Sunset Time (POA&lt;20 W/m2)]],3,0),"")</f>
        <v/>
      </c>
      <c r="J430" s="29" t="str">
        <f>IFERROR(VLOOKUP(PA[[#This Row],[Date]],Raw_Data[[Date]:[Sunset Time (POA&lt;20 W/m2)]],4,0),"")</f>
        <v/>
      </c>
      <c r="K430" s="27" t="str">
        <f>IFERROR((PA[[#This Row],[Sunset Time (POA&lt;20 W/m2)]]-PA[[#This Row],[Sunrise Time (POA&gt;20 W/m2)]])*24,"")</f>
        <v/>
      </c>
      <c r="M430" s="46" t="str">
        <f>IFERROR(VLOOKUP(PA[[#This Row],[Affceted Equipment]],'Basic Data'!$A$2:$B$114,2,0),"")</f>
        <v/>
      </c>
      <c r="N430" s="48" t="str">
        <f>IFERROR(VLOOKUP(PA[[#This Row],[Affceted Equipment]],'Basic Data'!$A$1:$C$118,3,0),"")</f>
        <v/>
      </c>
      <c r="W430" s="33">
        <f>IF(PA[[#This Row],[Acknowledgemnet Time ]]="NA","",(PA[[#This Row],[Acknowledgemnet Time ]]-PA[[#This Row],[Fault Time]])*24)</f>
        <v>0</v>
      </c>
      <c r="X430" s="33">
        <f>IF(PA[[#This Row],[Work Start time on Fault]]="NA","",(PA[[#This Row],[Work Start time on Fault]]-PA[[#This Row],[Fault Time]])*24)</f>
        <v>0</v>
      </c>
      <c r="Y430" s="35">
        <f>(PA[[#This Row],[Work Completiuon time on fualt]]-PA[[#This Row],[Fault Time]])*24</f>
        <v>0</v>
      </c>
      <c r="Z430" s="35">
        <f>IFERROR((PA[[#This Row],[Work Completiuon time on fualt]]-PA[[#This Row],[Fault Time]])*24,"")</f>
        <v>0</v>
      </c>
      <c r="AC430" s="47" t="str">
        <f>IFERROR(PA[[#This Row],[Breakdown Time]]*PA[[#This Row],[Plant Equivalent Weightage]],"")</f>
        <v/>
      </c>
      <c r="AE430" s="33" t="str">
        <f>IFERROR((_xlfn.XLOOKUP(PA[[#This Row],[Month Year]],'Modelling New'!D:D,'Modelling New'!$O:$O)*PA[[#This Row],[Lost PoA(Wh/m2)]]*PA[[#This Row],[DC Capacity Affceted (kW)]])/1000,"")</f>
        <v/>
      </c>
      <c r="AF430" s="35"/>
    </row>
    <row r="431" spans="1:32">
      <c r="A431" s="2">
        <f t="shared" si="28"/>
        <v>428</v>
      </c>
      <c r="B431" s="156">
        <f t="shared" si="26"/>
        <v>1900</v>
      </c>
      <c r="C431" s="129">
        <f t="shared" si="27"/>
        <v>1900</v>
      </c>
      <c r="I431" s="29" t="str">
        <f>IFERROR(VLOOKUP(PA[[#This Row],[Date]],Raw_Data[[Date]:[Sunset Time (POA&lt;20 W/m2)]],3,0),"")</f>
        <v/>
      </c>
      <c r="J431" s="29" t="str">
        <f>IFERROR(VLOOKUP(PA[[#This Row],[Date]],Raw_Data[[Date]:[Sunset Time (POA&lt;20 W/m2)]],4,0),"")</f>
        <v/>
      </c>
      <c r="K431" s="27" t="str">
        <f>IFERROR((PA[[#This Row],[Sunset Time (POA&lt;20 W/m2)]]-PA[[#This Row],[Sunrise Time (POA&gt;20 W/m2)]])*24,"")</f>
        <v/>
      </c>
      <c r="M431" s="46" t="str">
        <f>IFERROR(VLOOKUP(PA[[#This Row],[Affceted Equipment]],'Basic Data'!$A$2:$B$114,2,0),"")</f>
        <v/>
      </c>
      <c r="N431" s="48" t="str">
        <f>IFERROR(VLOOKUP(PA[[#This Row],[Affceted Equipment]],'Basic Data'!$A$1:$C$118,3,0),"")</f>
        <v/>
      </c>
      <c r="W431" s="33">
        <f>IF(PA[[#This Row],[Acknowledgemnet Time ]]="NA","",(PA[[#This Row],[Acknowledgemnet Time ]]-PA[[#This Row],[Fault Time]])*24)</f>
        <v>0</v>
      </c>
      <c r="X431" s="33">
        <f>IF(PA[[#This Row],[Work Start time on Fault]]="NA","",(PA[[#This Row],[Work Start time on Fault]]-PA[[#This Row],[Fault Time]])*24)</f>
        <v>0</v>
      </c>
      <c r="Y431" s="35">
        <f>(PA[[#This Row],[Work Completiuon time on fualt]]-PA[[#This Row],[Fault Time]])*24</f>
        <v>0</v>
      </c>
      <c r="Z431" s="35">
        <f>IFERROR((PA[[#This Row],[Work Completiuon time on fualt]]-PA[[#This Row],[Fault Time]])*24,"")</f>
        <v>0</v>
      </c>
      <c r="AC431" s="47" t="str">
        <f>IFERROR(PA[[#This Row],[Breakdown Time]]*PA[[#This Row],[Plant Equivalent Weightage]],"")</f>
        <v/>
      </c>
      <c r="AE431" s="33" t="str">
        <f>IFERROR((_xlfn.XLOOKUP(PA[[#This Row],[Month Year]],'Modelling New'!D:D,'Modelling New'!$O:$O)*PA[[#This Row],[Lost PoA(Wh/m2)]]*PA[[#This Row],[DC Capacity Affceted (kW)]])/1000,"")</f>
        <v/>
      </c>
      <c r="AF431" s="35"/>
    </row>
    <row r="432" spans="1:32">
      <c r="A432" s="2">
        <f t="shared" si="28"/>
        <v>429</v>
      </c>
      <c r="B432" s="156">
        <f t="shared" si="26"/>
        <v>1900</v>
      </c>
      <c r="C432" s="129">
        <f t="shared" si="27"/>
        <v>1900</v>
      </c>
      <c r="I432" s="29" t="str">
        <f>IFERROR(VLOOKUP(PA[[#This Row],[Date]],Raw_Data[[Date]:[Sunset Time (POA&lt;20 W/m2)]],3,0),"")</f>
        <v/>
      </c>
      <c r="J432" s="29" t="str">
        <f>IFERROR(VLOOKUP(PA[[#This Row],[Date]],Raw_Data[[Date]:[Sunset Time (POA&lt;20 W/m2)]],4,0),"")</f>
        <v/>
      </c>
      <c r="K432" s="27" t="str">
        <f>IFERROR((PA[[#This Row],[Sunset Time (POA&lt;20 W/m2)]]-PA[[#This Row],[Sunrise Time (POA&gt;20 W/m2)]])*24,"")</f>
        <v/>
      </c>
      <c r="M432" s="46" t="str">
        <f>IFERROR(VLOOKUP(PA[[#This Row],[Affceted Equipment]],'Basic Data'!$A$2:$B$114,2,0),"")</f>
        <v/>
      </c>
      <c r="N432" s="48" t="str">
        <f>IFERROR(VLOOKUP(PA[[#This Row],[Affceted Equipment]],'Basic Data'!$A$1:$C$118,3,0),"")</f>
        <v/>
      </c>
      <c r="W432" s="33">
        <f>IF(PA[[#This Row],[Acknowledgemnet Time ]]="NA","",(PA[[#This Row],[Acknowledgemnet Time ]]-PA[[#This Row],[Fault Time]])*24)</f>
        <v>0</v>
      </c>
      <c r="X432" s="33">
        <f>IF(PA[[#This Row],[Work Start time on Fault]]="NA","",(PA[[#This Row],[Work Start time on Fault]]-PA[[#This Row],[Fault Time]])*24)</f>
        <v>0</v>
      </c>
      <c r="Y432" s="35">
        <f>(PA[[#This Row],[Work Completiuon time on fualt]]-PA[[#This Row],[Fault Time]])*24</f>
        <v>0</v>
      </c>
      <c r="Z432" s="35">
        <f>IFERROR((PA[[#This Row],[Work Completiuon time on fualt]]-PA[[#This Row],[Fault Time]])*24,"")</f>
        <v>0</v>
      </c>
      <c r="AC432" s="47" t="str">
        <f>IFERROR(PA[[#This Row],[Breakdown Time]]*PA[[#This Row],[Plant Equivalent Weightage]],"")</f>
        <v/>
      </c>
      <c r="AE432" s="33" t="str">
        <f>IFERROR((_xlfn.XLOOKUP(PA[[#This Row],[Month Year]],'Modelling New'!D:D,'Modelling New'!$O:$O)*PA[[#This Row],[Lost PoA(Wh/m2)]]*PA[[#This Row],[DC Capacity Affceted (kW)]])/1000,"")</f>
        <v/>
      </c>
      <c r="AF432" s="35"/>
    </row>
    <row r="433" spans="1:32">
      <c r="A433" s="2">
        <f t="shared" si="28"/>
        <v>430</v>
      </c>
      <c r="B433" s="156">
        <f t="shared" si="26"/>
        <v>1900</v>
      </c>
      <c r="C433" s="129">
        <f t="shared" si="27"/>
        <v>1900</v>
      </c>
      <c r="I433" s="29" t="str">
        <f>IFERROR(VLOOKUP(PA[[#This Row],[Date]],Raw_Data[[Date]:[Sunset Time (POA&lt;20 W/m2)]],3,0),"")</f>
        <v/>
      </c>
      <c r="J433" s="29" t="str">
        <f>IFERROR(VLOOKUP(PA[[#This Row],[Date]],Raw_Data[[Date]:[Sunset Time (POA&lt;20 W/m2)]],4,0),"")</f>
        <v/>
      </c>
      <c r="K433" s="27" t="str">
        <f>IFERROR((PA[[#This Row],[Sunset Time (POA&lt;20 W/m2)]]-PA[[#This Row],[Sunrise Time (POA&gt;20 W/m2)]])*24,"")</f>
        <v/>
      </c>
      <c r="M433" s="46" t="str">
        <f>IFERROR(VLOOKUP(PA[[#This Row],[Affceted Equipment]],'Basic Data'!$A$2:$B$114,2,0),"")</f>
        <v/>
      </c>
      <c r="N433" s="48" t="str">
        <f>IFERROR(VLOOKUP(PA[[#This Row],[Affceted Equipment]],'Basic Data'!$A$1:$C$118,3,0),"")</f>
        <v/>
      </c>
      <c r="W433" s="33">
        <f>IF(PA[[#This Row],[Acknowledgemnet Time ]]="NA","",(PA[[#This Row],[Acknowledgemnet Time ]]-PA[[#This Row],[Fault Time]])*24)</f>
        <v>0</v>
      </c>
      <c r="X433" s="33">
        <f>IF(PA[[#This Row],[Work Start time on Fault]]="NA","",(PA[[#This Row],[Work Start time on Fault]]-PA[[#This Row],[Fault Time]])*24)</f>
        <v>0</v>
      </c>
      <c r="Y433" s="35">
        <f>(PA[[#This Row],[Work Completiuon time on fualt]]-PA[[#This Row],[Fault Time]])*24</f>
        <v>0</v>
      </c>
      <c r="Z433" s="35">
        <f>IFERROR((PA[[#This Row],[Work Completiuon time on fualt]]-PA[[#This Row],[Fault Time]])*24,"")</f>
        <v>0</v>
      </c>
      <c r="AC433" s="47" t="str">
        <f>IFERROR(PA[[#This Row],[Breakdown Time]]*PA[[#This Row],[Plant Equivalent Weightage]],"")</f>
        <v/>
      </c>
      <c r="AE433" s="33" t="str">
        <f>IFERROR((_xlfn.XLOOKUP(PA[[#This Row],[Month Year]],'Modelling New'!D:D,'Modelling New'!$O:$O)*PA[[#This Row],[Lost PoA(Wh/m2)]]*PA[[#This Row],[DC Capacity Affceted (kW)]])/1000,"")</f>
        <v/>
      </c>
      <c r="AF433" s="35"/>
    </row>
    <row r="434" spans="1:32">
      <c r="A434" s="2">
        <f t="shared" si="28"/>
        <v>431</v>
      </c>
      <c r="B434" s="156">
        <f t="shared" si="26"/>
        <v>1900</v>
      </c>
      <c r="C434" s="129">
        <f t="shared" si="27"/>
        <v>1900</v>
      </c>
      <c r="I434" s="29" t="str">
        <f>IFERROR(VLOOKUP(PA[[#This Row],[Date]],Raw_Data[[Date]:[Sunset Time (POA&lt;20 W/m2)]],3,0),"")</f>
        <v/>
      </c>
      <c r="J434" s="29" t="str">
        <f>IFERROR(VLOOKUP(PA[[#This Row],[Date]],Raw_Data[[Date]:[Sunset Time (POA&lt;20 W/m2)]],4,0),"")</f>
        <v/>
      </c>
      <c r="K434" s="27" t="str">
        <f>IFERROR((PA[[#This Row],[Sunset Time (POA&lt;20 W/m2)]]-PA[[#This Row],[Sunrise Time (POA&gt;20 W/m2)]])*24,"")</f>
        <v/>
      </c>
      <c r="M434" s="46" t="str">
        <f>IFERROR(VLOOKUP(PA[[#This Row],[Affceted Equipment]],'Basic Data'!$A$2:$B$114,2,0),"")</f>
        <v/>
      </c>
      <c r="N434" s="48" t="str">
        <f>IFERROR(VLOOKUP(PA[[#This Row],[Affceted Equipment]],'Basic Data'!$A$1:$C$118,3,0),"")</f>
        <v/>
      </c>
      <c r="W434" s="33">
        <f>IF(PA[[#This Row],[Acknowledgemnet Time ]]="NA","",(PA[[#This Row],[Acknowledgemnet Time ]]-PA[[#This Row],[Fault Time]])*24)</f>
        <v>0</v>
      </c>
      <c r="X434" s="33">
        <f>IF(PA[[#This Row],[Work Start time on Fault]]="NA","",(PA[[#This Row],[Work Start time on Fault]]-PA[[#This Row],[Fault Time]])*24)</f>
        <v>0</v>
      </c>
      <c r="Y434" s="35">
        <f>(PA[[#This Row],[Work Completiuon time on fualt]]-PA[[#This Row],[Fault Time]])*24</f>
        <v>0</v>
      </c>
      <c r="Z434" s="35">
        <f>IFERROR((PA[[#This Row],[Work Completiuon time on fualt]]-PA[[#This Row],[Fault Time]])*24,"")</f>
        <v>0</v>
      </c>
      <c r="AC434" s="47" t="str">
        <f>IFERROR(PA[[#This Row],[Breakdown Time]]*PA[[#This Row],[Plant Equivalent Weightage]],"")</f>
        <v/>
      </c>
      <c r="AE434" s="33" t="str">
        <f>IFERROR((_xlfn.XLOOKUP(PA[[#This Row],[Month Year]],'Modelling New'!D:D,'Modelling New'!$O:$O)*PA[[#This Row],[Lost PoA(Wh/m2)]]*PA[[#This Row],[DC Capacity Affceted (kW)]])/1000,"")</f>
        <v/>
      </c>
      <c r="AF434" s="35"/>
    </row>
    <row r="435" spans="1:32">
      <c r="A435" s="2">
        <f t="shared" si="28"/>
        <v>432</v>
      </c>
      <c r="B435" s="156">
        <f t="shared" si="26"/>
        <v>1900</v>
      </c>
      <c r="C435" s="129">
        <f t="shared" si="27"/>
        <v>1900</v>
      </c>
      <c r="I435" s="29" t="str">
        <f>IFERROR(VLOOKUP(PA[[#This Row],[Date]],Raw_Data[[Date]:[Sunset Time (POA&lt;20 W/m2)]],3,0),"")</f>
        <v/>
      </c>
      <c r="J435" s="29" t="str">
        <f>IFERROR(VLOOKUP(PA[[#This Row],[Date]],Raw_Data[[Date]:[Sunset Time (POA&lt;20 W/m2)]],4,0),"")</f>
        <v/>
      </c>
      <c r="K435" s="27" t="str">
        <f>IFERROR((PA[[#This Row],[Sunset Time (POA&lt;20 W/m2)]]-PA[[#This Row],[Sunrise Time (POA&gt;20 W/m2)]])*24,"")</f>
        <v/>
      </c>
      <c r="M435" s="46" t="str">
        <f>IFERROR(VLOOKUP(PA[[#This Row],[Affceted Equipment]],'Basic Data'!$A$2:$B$114,2,0),"")</f>
        <v/>
      </c>
      <c r="N435" s="48" t="str">
        <f>IFERROR(VLOOKUP(PA[[#This Row],[Affceted Equipment]],'Basic Data'!$A$1:$C$118,3,0),"")</f>
        <v/>
      </c>
      <c r="W435" s="33">
        <f>IF(PA[[#This Row],[Acknowledgemnet Time ]]="NA","",(PA[[#This Row],[Acknowledgemnet Time ]]-PA[[#This Row],[Fault Time]])*24)</f>
        <v>0</v>
      </c>
      <c r="X435" s="33">
        <f>IF(PA[[#This Row],[Work Start time on Fault]]="NA","",(PA[[#This Row],[Work Start time on Fault]]-PA[[#This Row],[Fault Time]])*24)</f>
        <v>0</v>
      </c>
      <c r="Y435" s="35">
        <f>(PA[[#This Row],[Work Completiuon time on fualt]]-PA[[#This Row],[Fault Time]])*24</f>
        <v>0</v>
      </c>
      <c r="Z435" s="35">
        <f>IFERROR((PA[[#This Row],[Work Completiuon time on fualt]]-PA[[#This Row],[Fault Time]])*24,"")</f>
        <v>0</v>
      </c>
      <c r="AC435" s="47" t="str">
        <f>IFERROR(PA[[#This Row],[Breakdown Time]]*PA[[#This Row],[Plant Equivalent Weightage]],"")</f>
        <v/>
      </c>
      <c r="AE435" s="33" t="str">
        <f>IFERROR((_xlfn.XLOOKUP(PA[[#This Row],[Month Year]],'Modelling New'!D:D,'Modelling New'!$O:$O)*PA[[#This Row],[Lost PoA(Wh/m2)]]*PA[[#This Row],[DC Capacity Affceted (kW)]])/1000,"")</f>
        <v/>
      </c>
      <c r="AF435" s="35"/>
    </row>
    <row r="436" spans="1:32">
      <c r="A436" s="2">
        <f t="shared" si="28"/>
        <v>433</v>
      </c>
      <c r="B436" s="156">
        <f t="shared" si="26"/>
        <v>1900</v>
      </c>
      <c r="C436" s="129">
        <f t="shared" si="27"/>
        <v>1900</v>
      </c>
      <c r="I436" s="29" t="str">
        <f>IFERROR(VLOOKUP(PA[[#This Row],[Date]],Raw_Data[[Date]:[Sunset Time (POA&lt;20 W/m2)]],3,0),"")</f>
        <v/>
      </c>
      <c r="J436" s="29" t="str">
        <f>IFERROR(VLOOKUP(PA[[#This Row],[Date]],Raw_Data[[Date]:[Sunset Time (POA&lt;20 W/m2)]],4,0),"")</f>
        <v/>
      </c>
      <c r="K436" s="27" t="str">
        <f>IFERROR((PA[[#This Row],[Sunset Time (POA&lt;20 W/m2)]]-PA[[#This Row],[Sunrise Time (POA&gt;20 W/m2)]])*24,"")</f>
        <v/>
      </c>
      <c r="M436" s="46" t="str">
        <f>IFERROR(VLOOKUP(PA[[#This Row],[Affceted Equipment]],'Basic Data'!$A$2:$B$114,2,0),"")</f>
        <v/>
      </c>
      <c r="N436" s="48" t="str">
        <f>IFERROR(VLOOKUP(PA[[#This Row],[Affceted Equipment]],'Basic Data'!$A$1:$C$118,3,0),"")</f>
        <v/>
      </c>
      <c r="W436" s="33">
        <f>IF(PA[[#This Row],[Acknowledgemnet Time ]]="NA","",(PA[[#This Row],[Acknowledgemnet Time ]]-PA[[#This Row],[Fault Time]])*24)</f>
        <v>0</v>
      </c>
      <c r="X436" s="33">
        <f>IF(PA[[#This Row],[Work Start time on Fault]]="NA","",(PA[[#This Row],[Work Start time on Fault]]-PA[[#This Row],[Fault Time]])*24)</f>
        <v>0</v>
      </c>
      <c r="Y436" s="35">
        <f>(PA[[#This Row],[Work Completiuon time on fualt]]-PA[[#This Row],[Fault Time]])*24</f>
        <v>0</v>
      </c>
      <c r="Z436" s="35">
        <f>IFERROR((PA[[#This Row],[Work Completiuon time on fualt]]-PA[[#This Row],[Fault Time]])*24,"")</f>
        <v>0</v>
      </c>
      <c r="AC436" s="47" t="str">
        <f>IFERROR(PA[[#This Row],[Breakdown Time]]*PA[[#This Row],[Plant Equivalent Weightage]],"")</f>
        <v/>
      </c>
      <c r="AE436" s="33" t="str">
        <f>IFERROR((_xlfn.XLOOKUP(PA[[#This Row],[Month Year]],'Modelling New'!D:D,'Modelling New'!$O:$O)*PA[[#This Row],[Lost PoA(Wh/m2)]]*PA[[#This Row],[DC Capacity Affceted (kW)]])/1000,"")</f>
        <v/>
      </c>
      <c r="AF436" s="35"/>
    </row>
    <row r="437" spans="1:32">
      <c r="A437" s="2">
        <f t="shared" si="28"/>
        <v>434</v>
      </c>
      <c r="B437" s="156">
        <f t="shared" si="26"/>
        <v>1900</v>
      </c>
      <c r="C437" s="129">
        <f t="shared" si="27"/>
        <v>1900</v>
      </c>
      <c r="I437" s="29" t="str">
        <f>IFERROR(VLOOKUP(PA[[#This Row],[Date]],Raw_Data[[Date]:[Sunset Time (POA&lt;20 W/m2)]],3,0),"")</f>
        <v/>
      </c>
      <c r="J437" s="29" t="str">
        <f>IFERROR(VLOOKUP(PA[[#This Row],[Date]],Raw_Data[[Date]:[Sunset Time (POA&lt;20 W/m2)]],4,0),"")</f>
        <v/>
      </c>
      <c r="K437" s="27" t="str">
        <f>IFERROR((PA[[#This Row],[Sunset Time (POA&lt;20 W/m2)]]-PA[[#This Row],[Sunrise Time (POA&gt;20 W/m2)]])*24,"")</f>
        <v/>
      </c>
      <c r="M437" s="46" t="str">
        <f>IFERROR(VLOOKUP(PA[[#This Row],[Affceted Equipment]],'Basic Data'!$A$2:$B$114,2,0),"")</f>
        <v/>
      </c>
      <c r="N437" s="48" t="str">
        <f>IFERROR(VLOOKUP(PA[[#This Row],[Affceted Equipment]],'Basic Data'!$A$1:$C$118,3,0),"")</f>
        <v/>
      </c>
      <c r="W437" s="33">
        <f>IF(PA[[#This Row],[Acknowledgemnet Time ]]="NA","",(PA[[#This Row],[Acknowledgemnet Time ]]-PA[[#This Row],[Fault Time]])*24)</f>
        <v>0</v>
      </c>
      <c r="X437" s="33">
        <f>IF(PA[[#This Row],[Work Start time on Fault]]="NA","",(PA[[#This Row],[Work Start time on Fault]]-PA[[#This Row],[Fault Time]])*24)</f>
        <v>0</v>
      </c>
      <c r="Y437" s="35">
        <f>(PA[[#This Row],[Work Completiuon time on fualt]]-PA[[#This Row],[Fault Time]])*24</f>
        <v>0</v>
      </c>
      <c r="Z437" s="35">
        <f>IFERROR((PA[[#This Row],[Work Completiuon time on fualt]]-PA[[#This Row],[Fault Time]])*24,"")</f>
        <v>0</v>
      </c>
      <c r="AC437" s="47" t="str">
        <f>IFERROR(PA[[#This Row],[Breakdown Time]]*PA[[#This Row],[Plant Equivalent Weightage]],"")</f>
        <v/>
      </c>
      <c r="AE437" s="33" t="str">
        <f>IFERROR((_xlfn.XLOOKUP(PA[[#This Row],[Month Year]],'Modelling New'!D:D,'Modelling New'!$O:$O)*PA[[#This Row],[Lost PoA(Wh/m2)]]*PA[[#This Row],[DC Capacity Affceted (kW)]])/1000,"")</f>
        <v/>
      </c>
      <c r="AF437" s="35"/>
    </row>
    <row r="438" spans="1:32">
      <c r="A438" s="2">
        <f t="shared" si="28"/>
        <v>435</v>
      </c>
      <c r="B438" s="156">
        <f t="shared" si="26"/>
        <v>1900</v>
      </c>
      <c r="C438" s="129">
        <f t="shared" si="27"/>
        <v>1900</v>
      </c>
      <c r="I438" s="29" t="str">
        <f>IFERROR(VLOOKUP(PA[[#This Row],[Date]],Raw_Data[[Date]:[Sunset Time (POA&lt;20 W/m2)]],3,0),"")</f>
        <v/>
      </c>
      <c r="J438" s="29" t="str">
        <f>IFERROR(VLOOKUP(PA[[#This Row],[Date]],Raw_Data[[Date]:[Sunset Time (POA&lt;20 W/m2)]],4,0),"")</f>
        <v/>
      </c>
      <c r="K438" s="27" t="str">
        <f>IFERROR((PA[[#This Row],[Sunset Time (POA&lt;20 W/m2)]]-PA[[#This Row],[Sunrise Time (POA&gt;20 W/m2)]])*24,"")</f>
        <v/>
      </c>
      <c r="M438" s="46" t="str">
        <f>IFERROR(VLOOKUP(PA[[#This Row],[Affceted Equipment]],'Basic Data'!$A$2:$B$114,2,0),"")</f>
        <v/>
      </c>
      <c r="N438" s="48" t="str">
        <f>IFERROR(VLOOKUP(PA[[#This Row],[Affceted Equipment]],'Basic Data'!$A$1:$C$118,3,0),"")</f>
        <v/>
      </c>
      <c r="W438" s="33">
        <f>IF(PA[[#This Row],[Acknowledgemnet Time ]]="NA","",(PA[[#This Row],[Acknowledgemnet Time ]]-PA[[#This Row],[Fault Time]])*24)</f>
        <v>0</v>
      </c>
      <c r="X438" s="33">
        <f>IF(PA[[#This Row],[Work Start time on Fault]]="NA","",(PA[[#This Row],[Work Start time on Fault]]-PA[[#This Row],[Fault Time]])*24)</f>
        <v>0</v>
      </c>
      <c r="Y438" s="35">
        <f>(PA[[#This Row],[Work Completiuon time on fualt]]-PA[[#This Row],[Fault Time]])*24</f>
        <v>0</v>
      </c>
      <c r="Z438" s="35">
        <f>IFERROR((PA[[#This Row],[Work Completiuon time on fualt]]-PA[[#This Row],[Fault Time]])*24,"")</f>
        <v>0</v>
      </c>
      <c r="AC438" s="47" t="str">
        <f>IFERROR(PA[[#This Row],[Breakdown Time]]*PA[[#This Row],[Plant Equivalent Weightage]],"")</f>
        <v/>
      </c>
      <c r="AE438" s="33" t="str">
        <f>IFERROR((_xlfn.XLOOKUP(PA[[#This Row],[Month Year]],'Modelling New'!D:D,'Modelling New'!$O:$O)*PA[[#This Row],[Lost PoA(Wh/m2)]]*PA[[#This Row],[DC Capacity Affceted (kW)]])/1000,"")</f>
        <v/>
      </c>
      <c r="AF438" s="35"/>
    </row>
    <row r="439" spans="1:32">
      <c r="A439" s="2">
        <f t="shared" si="28"/>
        <v>436</v>
      </c>
      <c r="B439" s="156">
        <f t="shared" si="26"/>
        <v>1900</v>
      </c>
      <c r="C439" s="129">
        <f t="shared" si="27"/>
        <v>1900</v>
      </c>
      <c r="I439" s="29" t="str">
        <f>IFERROR(VLOOKUP(PA[[#This Row],[Date]],Raw_Data[[Date]:[Sunset Time (POA&lt;20 W/m2)]],3,0),"")</f>
        <v/>
      </c>
      <c r="J439" s="29" t="str">
        <f>IFERROR(VLOOKUP(PA[[#This Row],[Date]],Raw_Data[[Date]:[Sunset Time (POA&lt;20 W/m2)]],4,0),"")</f>
        <v/>
      </c>
      <c r="K439" s="27" t="str">
        <f>IFERROR((PA[[#This Row],[Sunset Time (POA&lt;20 W/m2)]]-PA[[#This Row],[Sunrise Time (POA&gt;20 W/m2)]])*24,"")</f>
        <v/>
      </c>
      <c r="M439" s="46" t="str">
        <f>IFERROR(VLOOKUP(PA[[#This Row],[Affceted Equipment]],'Basic Data'!$A$2:$B$114,2,0),"")</f>
        <v/>
      </c>
      <c r="N439" s="48" t="str">
        <f>IFERROR(VLOOKUP(PA[[#This Row],[Affceted Equipment]],'Basic Data'!$A$1:$C$118,3,0),"")</f>
        <v/>
      </c>
      <c r="W439" s="33">
        <f>IF(PA[[#This Row],[Acknowledgemnet Time ]]="NA","",(PA[[#This Row],[Acknowledgemnet Time ]]-PA[[#This Row],[Fault Time]])*24)</f>
        <v>0</v>
      </c>
      <c r="X439" s="33">
        <f>IF(PA[[#This Row],[Work Start time on Fault]]="NA","",(PA[[#This Row],[Work Start time on Fault]]-PA[[#This Row],[Fault Time]])*24)</f>
        <v>0</v>
      </c>
      <c r="Y439" s="35">
        <f>(PA[[#This Row],[Work Completiuon time on fualt]]-PA[[#This Row],[Fault Time]])*24</f>
        <v>0</v>
      </c>
      <c r="Z439" s="35">
        <f>IFERROR((PA[[#This Row],[Work Completiuon time on fualt]]-PA[[#This Row],[Fault Time]])*24,"")</f>
        <v>0</v>
      </c>
      <c r="AC439" s="47" t="str">
        <f>IFERROR(PA[[#This Row],[Breakdown Time]]*PA[[#This Row],[Plant Equivalent Weightage]],"")</f>
        <v/>
      </c>
      <c r="AE439" s="33" t="str">
        <f>IFERROR((_xlfn.XLOOKUP(PA[[#This Row],[Month Year]],'Modelling New'!D:D,'Modelling New'!$O:$O)*PA[[#This Row],[Lost PoA(Wh/m2)]]*PA[[#This Row],[DC Capacity Affceted (kW)]])/1000,"")</f>
        <v/>
      </c>
      <c r="AF439" s="35"/>
    </row>
    <row r="440" spans="1:32">
      <c r="A440" s="2">
        <f t="shared" si="28"/>
        <v>437</v>
      </c>
      <c r="B440" s="156">
        <f t="shared" si="26"/>
        <v>1900</v>
      </c>
      <c r="C440" s="129">
        <f t="shared" si="27"/>
        <v>1900</v>
      </c>
      <c r="I440" s="29" t="str">
        <f>IFERROR(VLOOKUP(PA[[#This Row],[Date]],Raw_Data[[Date]:[Sunset Time (POA&lt;20 W/m2)]],3,0),"")</f>
        <v/>
      </c>
      <c r="J440" s="29" t="str">
        <f>IFERROR(VLOOKUP(PA[[#This Row],[Date]],Raw_Data[[Date]:[Sunset Time (POA&lt;20 W/m2)]],4,0),"")</f>
        <v/>
      </c>
      <c r="K440" s="27" t="str">
        <f>IFERROR((PA[[#This Row],[Sunset Time (POA&lt;20 W/m2)]]-PA[[#This Row],[Sunrise Time (POA&gt;20 W/m2)]])*24,"")</f>
        <v/>
      </c>
      <c r="M440" s="46" t="str">
        <f>IFERROR(VLOOKUP(PA[[#This Row],[Affceted Equipment]],'Basic Data'!$A$2:$B$114,2,0),"")</f>
        <v/>
      </c>
      <c r="N440" s="48" t="str">
        <f>IFERROR(VLOOKUP(PA[[#This Row],[Affceted Equipment]],'Basic Data'!$A$1:$C$118,3,0),"")</f>
        <v/>
      </c>
      <c r="W440" s="33">
        <f>IF(PA[[#This Row],[Acknowledgemnet Time ]]="NA","",(PA[[#This Row],[Acknowledgemnet Time ]]-PA[[#This Row],[Fault Time]])*24)</f>
        <v>0</v>
      </c>
      <c r="X440" s="33">
        <f>IF(PA[[#This Row],[Work Start time on Fault]]="NA","",(PA[[#This Row],[Work Start time on Fault]]-PA[[#This Row],[Fault Time]])*24)</f>
        <v>0</v>
      </c>
      <c r="Y440" s="35">
        <f>(PA[[#This Row],[Work Completiuon time on fualt]]-PA[[#This Row],[Fault Time]])*24</f>
        <v>0</v>
      </c>
      <c r="Z440" s="35">
        <f>IFERROR((PA[[#This Row],[Work Completiuon time on fualt]]-PA[[#This Row],[Fault Time]])*24,"")</f>
        <v>0</v>
      </c>
      <c r="AC440" s="47" t="str">
        <f>IFERROR(PA[[#This Row],[Breakdown Time]]*PA[[#This Row],[Plant Equivalent Weightage]],"")</f>
        <v/>
      </c>
      <c r="AE440" s="33" t="str">
        <f>IFERROR((_xlfn.XLOOKUP(PA[[#This Row],[Month Year]],'Modelling New'!D:D,'Modelling New'!$O:$O)*PA[[#This Row],[Lost PoA(Wh/m2)]]*PA[[#This Row],[DC Capacity Affceted (kW)]])/1000,"")</f>
        <v/>
      </c>
      <c r="AF440" s="35"/>
    </row>
    <row r="441" spans="1:32">
      <c r="A441" s="2">
        <f t="shared" si="28"/>
        <v>438</v>
      </c>
      <c r="B441" s="156">
        <f t="shared" si="26"/>
        <v>1900</v>
      </c>
      <c r="C441" s="129">
        <f t="shared" si="27"/>
        <v>1900</v>
      </c>
      <c r="I441" s="29" t="str">
        <f>IFERROR(VLOOKUP(PA[[#This Row],[Date]],Raw_Data[[Date]:[Sunset Time (POA&lt;20 W/m2)]],3,0),"")</f>
        <v/>
      </c>
      <c r="J441" s="29" t="str">
        <f>IFERROR(VLOOKUP(PA[[#This Row],[Date]],Raw_Data[[Date]:[Sunset Time (POA&lt;20 W/m2)]],4,0),"")</f>
        <v/>
      </c>
      <c r="K441" s="27" t="str">
        <f>IFERROR((PA[[#This Row],[Sunset Time (POA&lt;20 W/m2)]]-PA[[#This Row],[Sunrise Time (POA&gt;20 W/m2)]])*24,"")</f>
        <v/>
      </c>
      <c r="M441" s="46" t="str">
        <f>IFERROR(VLOOKUP(PA[[#This Row],[Affceted Equipment]],'Basic Data'!$A$2:$B$114,2,0),"")</f>
        <v/>
      </c>
      <c r="N441" s="48" t="str">
        <f>IFERROR(VLOOKUP(PA[[#This Row],[Affceted Equipment]],'Basic Data'!$A$1:$C$118,3,0),"")</f>
        <v/>
      </c>
      <c r="W441" s="33">
        <f>IF(PA[[#This Row],[Acknowledgemnet Time ]]="NA","",(PA[[#This Row],[Acknowledgemnet Time ]]-PA[[#This Row],[Fault Time]])*24)</f>
        <v>0</v>
      </c>
      <c r="X441" s="33">
        <f>IF(PA[[#This Row],[Work Start time on Fault]]="NA","",(PA[[#This Row],[Work Start time on Fault]]-PA[[#This Row],[Fault Time]])*24)</f>
        <v>0</v>
      </c>
      <c r="Y441" s="35">
        <f>(PA[[#This Row],[Work Completiuon time on fualt]]-PA[[#This Row],[Fault Time]])*24</f>
        <v>0</v>
      </c>
      <c r="Z441" s="35">
        <f>IFERROR((PA[[#This Row],[Work Completiuon time on fualt]]-PA[[#This Row],[Fault Time]])*24,"")</f>
        <v>0</v>
      </c>
      <c r="AC441" s="47" t="str">
        <f>IFERROR(PA[[#This Row],[Breakdown Time]]*PA[[#This Row],[Plant Equivalent Weightage]],"")</f>
        <v/>
      </c>
      <c r="AE441" s="33" t="str">
        <f>IFERROR((_xlfn.XLOOKUP(PA[[#This Row],[Month Year]],'Modelling New'!D:D,'Modelling New'!$O:$O)*PA[[#This Row],[Lost PoA(Wh/m2)]]*PA[[#This Row],[DC Capacity Affceted (kW)]])/1000,"")</f>
        <v/>
      </c>
      <c r="AF441" s="35"/>
    </row>
    <row r="442" spans="1:32">
      <c r="A442" s="2">
        <f t="shared" si="28"/>
        <v>439</v>
      </c>
      <c r="B442" s="156">
        <f t="shared" si="26"/>
        <v>1900</v>
      </c>
      <c r="C442" s="129">
        <f t="shared" si="27"/>
        <v>1900</v>
      </c>
      <c r="I442" s="29" t="str">
        <f>IFERROR(VLOOKUP(PA[[#This Row],[Date]],Raw_Data[[Date]:[Sunset Time (POA&lt;20 W/m2)]],3,0),"")</f>
        <v/>
      </c>
      <c r="J442" s="29" t="str">
        <f>IFERROR(VLOOKUP(PA[[#This Row],[Date]],Raw_Data[[Date]:[Sunset Time (POA&lt;20 W/m2)]],4,0),"")</f>
        <v/>
      </c>
      <c r="K442" s="27" t="str">
        <f>IFERROR((PA[[#This Row],[Sunset Time (POA&lt;20 W/m2)]]-PA[[#This Row],[Sunrise Time (POA&gt;20 W/m2)]])*24,"")</f>
        <v/>
      </c>
      <c r="M442" s="46" t="str">
        <f>IFERROR(VLOOKUP(PA[[#This Row],[Affceted Equipment]],'Basic Data'!$A$2:$B$114,2,0),"")</f>
        <v/>
      </c>
      <c r="N442" s="48" t="str">
        <f>IFERROR(VLOOKUP(PA[[#This Row],[Affceted Equipment]],'Basic Data'!$A$1:$C$118,3,0),"")</f>
        <v/>
      </c>
      <c r="W442" s="33">
        <f>IF(PA[[#This Row],[Acknowledgemnet Time ]]="NA","",(PA[[#This Row],[Acknowledgemnet Time ]]-PA[[#This Row],[Fault Time]])*24)</f>
        <v>0</v>
      </c>
      <c r="X442" s="33">
        <f>IF(PA[[#This Row],[Work Start time on Fault]]="NA","",(PA[[#This Row],[Work Start time on Fault]]-PA[[#This Row],[Fault Time]])*24)</f>
        <v>0</v>
      </c>
      <c r="Y442" s="35">
        <f>(PA[[#This Row],[Work Completiuon time on fualt]]-PA[[#This Row],[Fault Time]])*24</f>
        <v>0</v>
      </c>
      <c r="Z442" s="35">
        <f>IFERROR((PA[[#This Row],[Work Completiuon time on fualt]]-PA[[#This Row],[Fault Time]])*24,"")</f>
        <v>0</v>
      </c>
      <c r="AC442" s="47" t="str">
        <f>IFERROR(PA[[#This Row],[Breakdown Time]]*PA[[#This Row],[Plant Equivalent Weightage]],"")</f>
        <v/>
      </c>
      <c r="AE442" s="33" t="str">
        <f>IFERROR((_xlfn.XLOOKUP(PA[[#This Row],[Month Year]],'Modelling New'!D:D,'Modelling New'!$O:$O)*PA[[#This Row],[Lost PoA(Wh/m2)]]*PA[[#This Row],[DC Capacity Affceted (kW)]])/1000,"")</f>
        <v/>
      </c>
      <c r="AF442" s="35"/>
    </row>
    <row r="443" spans="1:32">
      <c r="A443" s="2">
        <f t="shared" si="28"/>
        <v>440</v>
      </c>
      <c r="B443" s="156">
        <f t="shared" si="26"/>
        <v>1900</v>
      </c>
      <c r="C443" s="129">
        <f t="shared" si="27"/>
        <v>1900</v>
      </c>
      <c r="I443" s="29" t="str">
        <f>IFERROR(VLOOKUP(PA[[#This Row],[Date]],Raw_Data[[Date]:[Sunset Time (POA&lt;20 W/m2)]],3,0),"")</f>
        <v/>
      </c>
      <c r="J443" s="29" t="str">
        <f>IFERROR(VLOOKUP(PA[[#This Row],[Date]],Raw_Data[[Date]:[Sunset Time (POA&lt;20 W/m2)]],4,0),"")</f>
        <v/>
      </c>
      <c r="K443" s="27" t="str">
        <f>IFERROR((PA[[#This Row],[Sunset Time (POA&lt;20 W/m2)]]-PA[[#This Row],[Sunrise Time (POA&gt;20 W/m2)]])*24,"")</f>
        <v/>
      </c>
      <c r="M443" s="46" t="str">
        <f>IFERROR(VLOOKUP(PA[[#This Row],[Affceted Equipment]],'Basic Data'!$A$2:$B$114,2,0),"")</f>
        <v/>
      </c>
      <c r="N443" s="48" t="str">
        <f>IFERROR(VLOOKUP(PA[[#This Row],[Affceted Equipment]],'Basic Data'!$A$1:$C$118,3,0),"")</f>
        <v/>
      </c>
      <c r="W443" s="33">
        <f>IF(PA[[#This Row],[Acknowledgemnet Time ]]="NA","",(PA[[#This Row],[Acknowledgemnet Time ]]-PA[[#This Row],[Fault Time]])*24)</f>
        <v>0</v>
      </c>
      <c r="X443" s="33">
        <f>IF(PA[[#This Row],[Work Start time on Fault]]="NA","",(PA[[#This Row],[Work Start time on Fault]]-PA[[#This Row],[Fault Time]])*24)</f>
        <v>0</v>
      </c>
      <c r="Y443" s="35">
        <f>(PA[[#This Row],[Work Completiuon time on fualt]]-PA[[#This Row],[Fault Time]])*24</f>
        <v>0</v>
      </c>
      <c r="Z443" s="35">
        <f>IFERROR((PA[[#This Row],[Work Completiuon time on fualt]]-PA[[#This Row],[Fault Time]])*24,"")</f>
        <v>0</v>
      </c>
      <c r="AC443" s="47" t="str">
        <f>IFERROR(PA[[#This Row],[Breakdown Time]]*PA[[#This Row],[Plant Equivalent Weightage]],"")</f>
        <v/>
      </c>
      <c r="AE443" s="33" t="str">
        <f>IFERROR((_xlfn.XLOOKUP(PA[[#This Row],[Month Year]],'Modelling New'!D:D,'Modelling New'!$O:$O)*PA[[#This Row],[Lost PoA(Wh/m2)]]*PA[[#This Row],[DC Capacity Affceted (kW)]])/1000,"")</f>
        <v/>
      </c>
      <c r="AF443" s="35"/>
    </row>
    <row r="444" spans="1:32">
      <c r="A444" s="2">
        <f t="shared" si="28"/>
        <v>441</v>
      </c>
      <c r="B444" s="156">
        <f t="shared" si="26"/>
        <v>1900</v>
      </c>
      <c r="C444" s="129">
        <f t="shared" si="27"/>
        <v>1900</v>
      </c>
      <c r="I444" s="29" t="str">
        <f>IFERROR(VLOOKUP(PA[[#This Row],[Date]],Raw_Data[[Date]:[Sunset Time (POA&lt;20 W/m2)]],3,0),"")</f>
        <v/>
      </c>
      <c r="J444" s="29" t="str">
        <f>IFERROR(VLOOKUP(PA[[#This Row],[Date]],Raw_Data[[Date]:[Sunset Time (POA&lt;20 W/m2)]],4,0),"")</f>
        <v/>
      </c>
      <c r="K444" s="27" t="str">
        <f>IFERROR((PA[[#This Row],[Sunset Time (POA&lt;20 W/m2)]]-PA[[#This Row],[Sunrise Time (POA&gt;20 W/m2)]])*24,"")</f>
        <v/>
      </c>
      <c r="M444" s="46" t="str">
        <f>IFERROR(VLOOKUP(PA[[#This Row],[Affceted Equipment]],'Basic Data'!$A$2:$B$114,2,0),"")</f>
        <v/>
      </c>
      <c r="N444" s="48" t="str">
        <f>IFERROR(VLOOKUP(PA[[#This Row],[Affceted Equipment]],'Basic Data'!$A$1:$C$118,3,0),"")</f>
        <v/>
      </c>
      <c r="W444" s="33">
        <f>IF(PA[[#This Row],[Acknowledgemnet Time ]]="NA","",(PA[[#This Row],[Acknowledgemnet Time ]]-PA[[#This Row],[Fault Time]])*24)</f>
        <v>0</v>
      </c>
      <c r="X444" s="33">
        <f>IF(PA[[#This Row],[Work Start time on Fault]]="NA","",(PA[[#This Row],[Work Start time on Fault]]-PA[[#This Row],[Fault Time]])*24)</f>
        <v>0</v>
      </c>
      <c r="Y444" s="35">
        <f>(PA[[#This Row],[Work Completiuon time on fualt]]-PA[[#This Row],[Fault Time]])*24</f>
        <v>0</v>
      </c>
      <c r="Z444" s="35">
        <f>IFERROR((PA[[#This Row],[Work Completiuon time on fualt]]-PA[[#This Row],[Fault Time]])*24,"")</f>
        <v>0</v>
      </c>
      <c r="AC444" s="47" t="str">
        <f>IFERROR(PA[[#This Row],[Breakdown Time]]*PA[[#This Row],[Plant Equivalent Weightage]],"")</f>
        <v/>
      </c>
      <c r="AE444" s="33" t="str">
        <f>IFERROR((_xlfn.XLOOKUP(PA[[#This Row],[Month Year]],'Modelling New'!D:D,'Modelling New'!$O:$O)*PA[[#This Row],[Lost PoA(Wh/m2)]]*PA[[#This Row],[DC Capacity Affceted (kW)]])/1000,"")</f>
        <v/>
      </c>
      <c r="AF444" s="35"/>
    </row>
    <row r="445" spans="1:32">
      <c r="A445" s="2">
        <f t="shared" si="28"/>
        <v>442</v>
      </c>
      <c r="B445" s="156">
        <f t="shared" si="26"/>
        <v>1900</v>
      </c>
      <c r="C445" s="129">
        <f t="shared" si="27"/>
        <v>1900</v>
      </c>
      <c r="I445" s="29" t="str">
        <f>IFERROR(VLOOKUP(PA[[#This Row],[Date]],Raw_Data[[Date]:[Sunset Time (POA&lt;20 W/m2)]],3,0),"")</f>
        <v/>
      </c>
      <c r="J445" s="29" t="str">
        <f>IFERROR(VLOOKUP(PA[[#This Row],[Date]],Raw_Data[[Date]:[Sunset Time (POA&lt;20 W/m2)]],4,0),"")</f>
        <v/>
      </c>
      <c r="K445" s="27" t="str">
        <f>IFERROR((PA[[#This Row],[Sunset Time (POA&lt;20 W/m2)]]-PA[[#This Row],[Sunrise Time (POA&gt;20 W/m2)]])*24,"")</f>
        <v/>
      </c>
      <c r="M445" s="46" t="str">
        <f>IFERROR(VLOOKUP(PA[[#This Row],[Affceted Equipment]],'Basic Data'!$A$2:$B$114,2,0),"")</f>
        <v/>
      </c>
      <c r="N445" s="48" t="str">
        <f>IFERROR(VLOOKUP(PA[[#This Row],[Affceted Equipment]],'Basic Data'!$A$1:$C$118,3,0),"")</f>
        <v/>
      </c>
      <c r="W445" s="33">
        <f>IF(PA[[#This Row],[Acknowledgemnet Time ]]="NA","",(PA[[#This Row],[Acknowledgemnet Time ]]-PA[[#This Row],[Fault Time]])*24)</f>
        <v>0</v>
      </c>
      <c r="X445" s="33">
        <f>IF(PA[[#This Row],[Work Start time on Fault]]="NA","",(PA[[#This Row],[Work Start time on Fault]]-PA[[#This Row],[Fault Time]])*24)</f>
        <v>0</v>
      </c>
      <c r="Y445" s="35">
        <f>(PA[[#This Row],[Work Completiuon time on fualt]]-PA[[#This Row],[Fault Time]])*24</f>
        <v>0</v>
      </c>
      <c r="Z445" s="35">
        <f>IFERROR((PA[[#This Row],[Work Completiuon time on fualt]]-PA[[#This Row],[Fault Time]])*24,"")</f>
        <v>0</v>
      </c>
      <c r="AC445" s="47" t="str">
        <f>IFERROR(PA[[#This Row],[Breakdown Time]]*PA[[#This Row],[Plant Equivalent Weightage]],"")</f>
        <v/>
      </c>
      <c r="AE445" s="33" t="str">
        <f>IFERROR((_xlfn.XLOOKUP(PA[[#This Row],[Month Year]],'Modelling New'!D:D,'Modelling New'!$O:$O)*PA[[#This Row],[Lost PoA(Wh/m2)]]*PA[[#This Row],[DC Capacity Affceted (kW)]])/1000,"")</f>
        <v/>
      </c>
      <c r="AF445" s="35"/>
    </row>
    <row r="446" spans="1:32">
      <c r="A446" s="2">
        <f t="shared" si="28"/>
        <v>443</v>
      </c>
      <c r="B446" s="156">
        <f t="shared" si="26"/>
        <v>1900</v>
      </c>
      <c r="C446" s="129">
        <f t="shared" si="27"/>
        <v>1900</v>
      </c>
      <c r="I446" s="29" t="str">
        <f>IFERROR(VLOOKUP(PA[[#This Row],[Date]],Raw_Data[[Date]:[Sunset Time (POA&lt;20 W/m2)]],3,0),"")</f>
        <v/>
      </c>
      <c r="J446" s="29" t="str">
        <f>IFERROR(VLOOKUP(PA[[#This Row],[Date]],Raw_Data[[Date]:[Sunset Time (POA&lt;20 W/m2)]],4,0),"")</f>
        <v/>
      </c>
      <c r="K446" s="27" t="str">
        <f>IFERROR((PA[[#This Row],[Sunset Time (POA&lt;20 W/m2)]]-PA[[#This Row],[Sunrise Time (POA&gt;20 W/m2)]])*24,"")</f>
        <v/>
      </c>
      <c r="M446" s="46" t="str">
        <f>IFERROR(VLOOKUP(PA[[#This Row],[Affceted Equipment]],'Basic Data'!$A$2:$B$114,2,0),"")</f>
        <v/>
      </c>
      <c r="N446" s="48" t="str">
        <f>IFERROR(VLOOKUP(PA[[#This Row],[Affceted Equipment]],'Basic Data'!$A$1:$C$118,3,0),"")</f>
        <v/>
      </c>
      <c r="W446" s="33">
        <f>IF(PA[[#This Row],[Acknowledgemnet Time ]]="NA","",(PA[[#This Row],[Acknowledgemnet Time ]]-PA[[#This Row],[Fault Time]])*24)</f>
        <v>0</v>
      </c>
      <c r="X446" s="33">
        <f>IF(PA[[#This Row],[Work Start time on Fault]]="NA","",(PA[[#This Row],[Work Start time on Fault]]-PA[[#This Row],[Fault Time]])*24)</f>
        <v>0</v>
      </c>
      <c r="Y446" s="35">
        <f>(PA[[#This Row],[Work Completiuon time on fualt]]-PA[[#This Row],[Fault Time]])*24</f>
        <v>0</v>
      </c>
      <c r="Z446" s="35">
        <f>IFERROR((PA[[#This Row],[Work Completiuon time on fualt]]-PA[[#This Row],[Fault Time]])*24,"")</f>
        <v>0</v>
      </c>
      <c r="AC446" s="47" t="str">
        <f>IFERROR(PA[[#This Row],[Breakdown Time]]*PA[[#This Row],[Plant Equivalent Weightage]],"")</f>
        <v/>
      </c>
      <c r="AE446" s="33" t="str">
        <f>IFERROR((_xlfn.XLOOKUP(PA[[#This Row],[Month Year]],'Modelling New'!D:D,'Modelling New'!$O:$O)*PA[[#This Row],[Lost PoA(Wh/m2)]]*PA[[#This Row],[DC Capacity Affceted (kW)]])/1000,"")</f>
        <v/>
      </c>
      <c r="AF446" s="35"/>
    </row>
    <row r="447" spans="1:32">
      <c r="A447" s="2">
        <f t="shared" si="28"/>
        <v>444</v>
      </c>
      <c r="B447" s="156">
        <f t="shared" si="26"/>
        <v>1900</v>
      </c>
      <c r="C447" s="129">
        <f t="shared" si="27"/>
        <v>1900</v>
      </c>
      <c r="I447" s="29" t="str">
        <f>IFERROR(VLOOKUP(PA[[#This Row],[Date]],Raw_Data[[Date]:[Sunset Time (POA&lt;20 W/m2)]],3,0),"")</f>
        <v/>
      </c>
      <c r="J447" s="29" t="str">
        <f>IFERROR(VLOOKUP(PA[[#This Row],[Date]],Raw_Data[[Date]:[Sunset Time (POA&lt;20 W/m2)]],4,0),"")</f>
        <v/>
      </c>
      <c r="K447" s="27" t="str">
        <f>IFERROR((PA[[#This Row],[Sunset Time (POA&lt;20 W/m2)]]-PA[[#This Row],[Sunrise Time (POA&gt;20 W/m2)]])*24,"")</f>
        <v/>
      </c>
      <c r="M447" s="46" t="str">
        <f>IFERROR(VLOOKUP(PA[[#This Row],[Affceted Equipment]],'Basic Data'!$A$2:$B$114,2,0),"")</f>
        <v/>
      </c>
      <c r="N447" s="48" t="str">
        <f>IFERROR(VLOOKUP(PA[[#This Row],[Affceted Equipment]],'Basic Data'!$A$1:$C$118,3,0),"")</f>
        <v/>
      </c>
      <c r="W447" s="33">
        <f>IF(PA[[#This Row],[Acknowledgemnet Time ]]="NA","",(PA[[#This Row],[Acknowledgemnet Time ]]-PA[[#This Row],[Fault Time]])*24)</f>
        <v>0</v>
      </c>
      <c r="X447" s="33">
        <f>IF(PA[[#This Row],[Work Start time on Fault]]="NA","",(PA[[#This Row],[Work Start time on Fault]]-PA[[#This Row],[Fault Time]])*24)</f>
        <v>0</v>
      </c>
      <c r="Y447" s="35">
        <f>(PA[[#This Row],[Work Completiuon time on fualt]]-PA[[#This Row],[Fault Time]])*24</f>
        <v>0</v>
      </c>
      <c r="Z447" s="35">
        <f>IFERROR((PA[[#This Row],[Work Completiuon time on fualt]]-PA[[#This Row],[Fault Time]])*24,"")</f>
        <v>0</v>
      </c>
      <c r="AC447" s="47" t="str">
        <f>IFERROR(PA[[#This Row],[Breakdown Time]]*PA[[#This Row],[Plant Equivalent Weightage]],"")</f>
        <v/>
      </c>
      <c r="AE447" s="33" t="str">
        <f>IFERROR((_xlfn.XLOOKUP(PA[[#This Row],[Month Year]],'Modelling New'!D:D,'Modelling New'!$O:$O)*PA[[#This Row],[Lost PoA(Wh/m2)]]*PA[[#This Row],[DC Capacity Affceted (kW)]])/1000,"")</f>
        <v/>
      </c>
      <c r="AF447" s="35"/>
    </row>
    <row r="448" spans="1:32">
      <c r="A448" s="2">
        <f t="shared" si="28"/>
        <v>445</v>
      </c>
      <c r="B448" s="156">
        <f t="shared" si="26"/>
        <v>1900</v>
      </c>
      <c r="C448" s="129">
        <f t="shared" si="27"/>
        <v>1900</v>
      </c>
      <c r="I448" s="29" t="str">
        <f>IFERROR(VLOOKUP(PA[[#This Row],[Date]],Raw_Data[[Date]:[Sunset Time (POA&lt;20 W/m2)]],3,0),"")</f>
        <v/>
      </c>
      <c r="J448" s="29" t="str">
        <f>IFERROR(VLOOKUP(PA[[#This Row],[Date]],Raw_Data[[Date]:[Sunset Time (POA&lt;20 W/m2)]],4,0),"")</f>
        <v/>
      </c>
      <c r="K448" s="27" t="str">
        <f>IFERROR((PA[[#This Row],[Sunset Time (POA&lt;20 W/m2)]]-PA[[#This Row],[Sunrise Time (POA&gt;20 W/m2)]])*24,"")</f>
        <v/>
      </c>
      <c r="M448" s="46" t="str">
        <f>IFERROR(VLOOKUP(PA[[#This Row],[Affceted Equipment]],'Basic Data'!$A$2:$B$114,2,0),"")</f>
        <v/>
      </c>
      <c r="N448" s="48" t="str">
        <f>IFERROR(VLOOKUP(PA[[#This Row],[Affceted Equipment]],'Basic Data'!$A$1:$C$118,3,0),"")</f>
        <v/>
      </c>
      <c r="W448" s="33">
        <f>IF(PA[[#This Row],[Acknowledgemnet Time ]]="NA","",(PA[[#This Row],[Acknowledgemnet Time ]]-PA[[#This Row],[Fault Time]])*24)</f>
        <v>0</v>
      </c>
      <c r="X448" s="33">
        <f>IF(PA[[#This Row],[Work Start time on Fault]]="NA","",(PA[[#This Row],[Work Start time on Fault]]-PA[[#This Row],[Fault Time]])*24)</f>
        <v>0</v>
      </c>
      <c r="Y448" s="35">
        <f>(PA[[#This Row],[Work Completiuon time on fualt]]-PA[[#This Row],[Fault Time]])*24</f>
        <v>0</v>
      </c>
      <c r="Z448" s="35">
        <f>IFERROR((PA[[#This Row],[Work Completiuon time on fualt]]-PA[[#This Row],[Fault Time]])*24,"")</f>
        <v>0</v>
      </c>
      <c r="AC448" s="47" t="str">
        <f>IFERROR(PA[[#This Row],[Breakdown Time]]*PA[[#This Row],[Plant Equivalent Weightage]],"")</f>
        <v/>
      </c>
      <c r="AE448" s="33" t="str">
        <f>IFERROR((_xlfn.XLOOKUP(PA[[#This Row],[Month Year]],'Modelling New'!D:D,'Modelling New'!$O:$O)*PA[[#This Row],[Lost PoA(Wh/m2)]]*PA[[#This Row],[DC Capacity Affceted (kW)]])/1000,"")</f>
        <v/>
      </c>
      <c r="AF448" s="35"/>
    </row>
    <row r="449" spans="1:32">
      <c r="A449" s="2">
        <f t="shared" si="28"/>
        <v>446</v>
      </c>
      <c r="B449" s="156">
        <f t="shared" si="26"/>
        <v>1900</v>
      </c>
      <c r="C449" s="129">
        <f t="shared" si="27"/>
        <v>1900</v>
      </c>
      <c r="I449" s="29" t="str">
        <f>IFERROR(VLOOKUP(PA[[#This Row],[Date]],Raw_Data[[Date]:[Sunset Time (POA&lt;20 W/m2)]],3,0),"")</f>
        <v/>
      </c>
      <c r="J449" s="29" t="str">
        <f>IFERROR(VLOOKUP(PA[[#This Row],[Date]],Raw_Data[[Date]:[Sunset Time (POA&lt;20 W/m2)]],4,0),"")</f>
        <v/>
      </c>
      <c r="K449" s="27" t="str">
        <f>IFERROR((PA[[#This Row],[Sunset Time (POA&lt;20 W/m2)]]-PA[[#This Row],[Sunrise Time (POA&gt;20 W/m2)]])*24,"")</f>
        <v/>
      </c>
      <c r="M449" s="46" t="str">
        <f>IFERROR(VLOOKUP(PA[[#This Row],[Affceted Equipment]],'Basic Data'!$A$2:$B$114,2,0),"")</f>
        <v/>
      </c>
      <c r="N449" s="48" t="str">
        <f>IFERROR(VLOOKUP(PA[[#This Row],[Affceted Equipment]],'Basic Data'!$A$1:$C$118,3,0),"")</f>
        <v/>
      </c>
      <c r="W449" s="33">
        <f>IF(PA[[#This Row],[Acknowledgemnet Time ]]="NA","",(PA[[#This Row],[Acknowledgemnet Time ]]-PA[[#This Row],[Fault Time]])*24)</f>
        <v>0</v>
      </c>
      <c r="X449" s="33">
        <f>IF(PA[[#This Row],[Work Start time on Fault]]="NA","",(PA[[#This Row],[Work Start time on Fault]]-PA[[#This Row],[Fault Time]])*24)</f>
        <v>0</v>
      </c>
      <c r="Y449" s="35">
        <f>(PA[[#This Row],[Work Completiuon time on fualt]]-PA[[#This Row],[Fault Time]])*24</f>
        <v>0</v>
      </c>
      <c r="Z449" s="35">
        <f>IFERROR((PA[[#This Row],[Work Completiuon time on fualt]]-PA[[#This Row],[Fault Time]])*24,"")</f>
        <v>0</v>
      </c>
      <c r="AC449" s="47" t="str">
        <f>IFERROR(PA[[#This Row],[Breakdown Time]]*PA[[#This Row],[Plant Equivalent Weightage]],"")</f>
        <v/>
      </c>
      <c r="AE449" s="33" t="str">
        <f>IFERROR((_xlfn.XLOOKUP(PA[[#This Row],[Month Year]],'Modelling New'!D:D,'Modelling New'!$O:$O)*PA[[#This Row],[Lost PoA(Wh/m2)]]*PA[[#This Row],[DC Capacity Affceted (kW)]])/1000,"")</f>
        <v/>
      </c>
      <c r="AF449" s="35"/>
    </row>
    <row r="450" spans="1:32">
      <c r="A450" s="2">
        <f t="shared" si="28"/>
        <v>447</v>
      </c>
      <c r="B450" s="156">
        <f t="shared" si="26"/>
        <v>1900</v>
      </c>
      <c r="C450" s="129">
        <f t="shared" si="27"/>
        <v>1900</v>
      </c>
      <c r="I450" s="31" t="str">
        <f>IFERROR(VLOOKUP(PA[[#This Row],[Date]],Raw_Data[[Date]:[Sunset Time (POA&lt;20 W/m2)]],3,0),"")</f>
        <v/>
      </c>
      <c r="J450" s="31" t="str">
        <f>IFERROR(VLOOKUP(PA[[#This Row],[Date]],Raw_Data[[Date]:[Sunset Time (POA&lt;20 W/m2)]],4,0),"")</f>
        <v/>
      </c>
      <c r="K450" s="49" t="str">
        <f>IFERROR((PA[[#This Row],[Sunset Time (POA&lt;20 W/m2)]]-PA[[#This Row],[Sunrise Time (POA&gt;20 W/m2)]])*24,"")</f>
        <v/>
      </c>
      <c r="M450" s="46" t="str">
        <f>IFERROR(VLOOKUP(PA[[#This Row],[Affceted Equipment]],'Basic Data'!$A$2:$B$114,2,0),"")</f>
        <v/>
      </c>
      <c r="N450" s="48" t="str">
        <f>IFERROR(VLOOKUP(PA[[#This Row],[Affceted Equipment]],'Basic Data'!$A$1:$C$118,3,0),"")</f>
        <v/>
      </c>
      <c r="W450" s="33">
        <f>IF(PA[[#This Row],[Acknowledgemnet Time ]]="NA","",(PA[[#This Row],[Acknowledgemnet Time ]]-PA[[#This Row],[Fault Time]])*24)</f>
        <v>0</v>
      </c>
      <c r="X450" s="33">
        <f>IF(PA[[#This Row],[Work Start time on Fault]]="NA","",(PA[[#This Row],[Work Start time on Fault]]-PA[[#This Row],[Fault Time]])*24)</f>
        <v>0</v>
      </c>
      <c r="Y450" s="35">
        <f>(PA[[#This Row],[Work Completiuon time on fualt]]-PA[[#This Row],[Fault Time]])*24</f>
        <v>0</v>
      </c>
      <c r="Z450" s="35">
        <f>IFERROR((PA[[#This Row],[Work Completiuon time on fualt]]-PA[[#This Row],[Fault Time]])*24,"")</f>
        <v>0</v>
      </c>
      <c r="AC450" s="47" t="str">
        <f>IFERROR(PA[[#This Row],[Breakdown Time]]*PA[[#This Row],[Plant Equivalent Weightage]],"")</f>
        <v/>
      </c>
      <c r="AE450" s="33" t="str">
        <f>IFERROR((_xlfn.XLOOKUP(PA[[#This Row],[Month Year]],'Modelling New'!D:D,'Modelling New'!$O:$O)*PA[[#This Row],[Lost PoA(Wh/m2)]]*PA[[#This Row],[DC Capacity Affceted (kW)]])/1000,"")</f>
        <v/>
      </c>
      <c r="AF450" s="35"/>
    </row>
    <row r="451" spans="1:32">
      <c r="A451" s="2">
        <f t="shared" si="28"/>
        <v>448</v>
      </c>
      <c r="B451" s="156">
        <f t="shared" si="26"/>
        <v>1900</v>
      </c>
      <c r="C451" s="129">
        <f t="shared" si="27"/>
        <v>1900</v>
      </c>
      <c r="I451" s="31" t="str">
        <f>IFERROR(VLOOKUP(PA[[#This Row],[Date]],Raw_Data[[Date]:[Sunset Time (POA&lt;20 W/m2)]],3,0),"")</f>
        <v/>
      </c>
      <c r="J451" s="31" t="str">
        <f>IFERROR(VLOOKUP(PA[[#This Row],[Date]],Raw_Data[[Date]:[Sunset Time (POA&lt;20 W/m2)]],4,0),"")</f>
        <v/>
      </c>
      <c r="K451" s="49" t="str">
        <f>IFERROR((PA[[#This Row],[Sunset Time (POA&lt;20 W/m2)]]-PA[[#This Row],[Sunrise Time (POA&gt;20 W/m2)]])*24,"")</f>
        <v/>
      </c>
      <c r="M451" s="46" t="str">
        <f>IFERROR(VLOOKUP(PA[[#This Row],[Affceted Equipment]],'Basic Data'!$A$2:$B$114,2,0),"")</f>
        <v/>
      </c>
      <c r="N451" s="48" t="str">
        <f>IFERROR(VLOOKUP(PA[[#This Row],[Affceted Equipment]],'Basic Data'!$A$1:$C$118,3,0),"")</f>
        <v/>
      </c>
      <c r="W451" s="33">
        <f>IF(PA[[#This Row],[Acknowledgemnet Time ]]="NA","",(PA[[#This Row],[Acknowledgemnet Time ]]-PA[[#This Row],[Fault Time]])*24)</f>
        <v>0</v>
      </c>
      <c r="X451" s="33">
        <f>IF(PA[[#This Row],[Work Start time on Fault]]="NA","",(PA[[#This Row],[Work Start time on Fault]]-PA[[#This Row],[Fault Time]])*24)</f>
        <v>0</v>
      </c>
      <c r="Y451" s="35">
        <f>(PA[[#This Row],[Work Completiuon time on fualt]]-PA[[#This Row],[Fault Time]])*24</f>
        <v>0</v>
      </c>
      <c r="Z451" s="35">
        <f>IFERROR((PA[[#This Row],[Work Completiuon time on fualt]]-PA[[#This Row],[Fault Time]])*24,"")</f>
        <v>0</v>
      </c>
      <c r="AC451" s="47" t="str">
        <f>IFERROR(PA[[#This Row],[Breakdown Time]]*PA[[#This Row],[Plant Equivalent Weightage]],"")</f>
        <v/>
      </c>
      <c r="AE451" s="33" t="str">
        <f>IFERROR((_xlfn.XLOOKUP(PA[[#This Row],[Month Year]],'Modelling New'!D:D,'Modelling New'!$O:$O)*PA[[#This Row],[Lost PoA(Wh/m2)]]*PA[[#This Row],[DC Capacity Affceted (kW)]])/1000,"")</f>
        <v/>
      </c>
      <c r="AF451" s="35"/>
    </row>
    <row r="452" spans="1:32">
      <c r="A452" s="2">
        <f t="shared" si="28"/>
        <v>449</v>
      </c>
      <c r="B452" s="156">
        <f t="shared" si="26"/>
        <v>1900</v>
      </c>
      <c r="C452" s="129">
        <f t="shared" si="27"/>
        <v>1900</v>
      </c>
      <c r="I452" s="31" t="str">
        <f>IFERROR(VLOOKUP(PA[[#This Row],[Date]],Raw_Data[[Date]:[Sunset Time (POA&lt;20 W/m2)]],3,0),"")</f>
        <v/>
      </c>
      <c r="J452" s="31" t="str">
        <f>IFERROR(VLOOKUP(PA[[#This Row],[Date]],Raw_Data[[Date]:[Sunset Time (POA&lt;20 W/m2)]],4,0),"")</f>
        <v/>
      </c>
      <c r="K452" s="49" t="str">
        <f>IFERROR((PA[[#This Row],[Sunset Time (POA&lt;20 W/m2)]]-PA[[#This Row],[Sunrise Time (POA&gt;20 W/m2)]])*24,"")</f>
        <v/>
      </c>
      <c r="M452" s="46" t="str">
        <f>IFERROR(VLOOKUP(PA[[#This Row],[Affceted Equipment]],'Basic Data'!$A$2:$B$114,2,0),"")</f>
        <v/>
      </c>
      <c r="N452" s="48" t="str">
        <f>IFERROR(VLOOKUP(PA[[#This Row],[Affceted Equipment]],'Basic Data'!$A$1:$C$118,3,0),"")</f>
        <v/>
      </c>
      <c r="W452" s="33">
        <f>IF(PA[[#This Row],[Acknowledgemnet Time ]]="NA","",(PA[[#This Row],[Acknowledgemnet Time ]]-PA[[#This Row],[Fault Time]])*24)</f>
        <v>0</v>
      </c>
      <c r="X452" s="33">
        <f>IF(PA[[#This Row],[Work Start time on Fault]]="NA","",(PA[[#This Row],[Work Start time on Fault]]-PA[[#This Row],[Fault Time]])*24)</f>
        <v>0</v>
      </c>
      <c r="Y452" s="35">
        <f>(PA[[#This Row],[Work Completiuon time on fualt]]-PA[[#This Row],[Fault Time]])*24</f>
        <v>0</v>
      </c>
      <c r="Z452" s="35">
        <f>IFERROR((PA[[#This Row],[Work Completiuon time on fualt]]-PA[[#This Row],[Fault Time]])*24,"")</f>
        <v>0</v>
      </c>
      <c r="AC452" s="47" t="str">
        <f>IFERROR(PA[[#This Row],[Breakdown Time]]*PA[[#This Row],[Plant Equivalent Weightage]],"")</f>
        <v/>
      </c>
      <c r="AE452" s="33" t="str">
        <f>IFERROR((_xlfn.XLOOKUP(PA[[#This Row],[Month Year]],'Modelling New'!D:D,'Modelling New'!$O:$O)*PA[[#This Row],[Lost PoA(Wh/m2)]]*PA[[#This Row],[DC Capacity Affceted (kW)]])/1000,"")</f>
        <v/>
      </c>
      <c r="AF452" s="35"/>
    </row>
    <row r="453" spans="1:32">
      <c r="A453" s="2">
        <f t="shared" si="28"/>
        <v>450</v>
      </c>
      <c r="B453" s="156">
        <f t="shared" ref="B453:B516" si="29">YEAR(H453)+IF(MONTH(H453)&gt;=4,1,0)</f>
        <v>1900</v>
      </c>
      <c r="C453" s="129">
        <f t="shared" ref="C453:C516" si="30">YEAR(H453)</f>
        <v>1900</v>
      </c>
      <c r="I453" s="31" t="str">
        <f>IFERROR(VLOOKUP(PA[[#This Row],[Date]],Raw_Data[[Date]:[Sunset Time (POA&lt;20 W/m2)]],3,0),"")</f>
        <v/>
      </c>
      <c r="J453" s="31" t="str">
        <f>IFERROR(VLOOKUP(PA[[#This Row],[Date]],Raw_Data[[Date]:[Sunset Time (POA&lt;20 W/m2)]],4,0),"")</f>
        <v/>
      </c>
      <c r="K453" s="49" t="str">
        <f>IFERROR((PA[[#This Row],[Sunset Time (POA&lt;20 W/m2)]]-PA[[#This Row],[Sunrise Time (POA&gt;20 W/m2)]])*24,"")</f>
        <v/>
      </c>
      <c r="M453" s="46" t="str">
        <f>IFERROR(VLOOKUP(PA[[#This Row],[Affceted Equipment]],'Basic Data'!$A$2:$B$114,2,0),"")</f>
        <v/>
      </c>
      <c r="N453" s="48" t="str">
        <f>IFERROR(VLOOKUP(PA[[#This Row],[Affceted Equipment]],'Basic Data'!$A$1:$C$118,3,0),"")</f>
        <v/>
      </c>
      <c r="W453" s="33">
        <f>IF(PA[[#This Row],[Acknowledgemnet Time ]]="NA","",(PA[[#This Row],[Acknowledgemnet Time ]]-PA[[#This Row],[Fault Time]])*24)</f>
        <v>0</v>
      </c>
      <c r="X453" s="33">
        <f>IF(PA[[#This Row],[Work Start time on Fault]]="NA","",(PA[[#This Row],[Work Start time on Fault]]-PA[[#This Row],[Fault Time]])*24)</f>
        <v>0</v>
      </c>
      <c r="Y453" s="35">
        <f>(PA[[#This Row],[Work Completiuon time on fualt]]-PA[[#This Row],[Fault Time]])*24</f>
        <v>0</v>
      </c>
      <c r="Z453" s="35">
        <f>IFERROR((PA[[#This Row],[Work Completiuon time on fualt]]-PA[[#This Row],[Fault Time]])*24,"")</f>
        <v>0</v>
      </c>
      <c r="AC453" s="47" t="str">
        <f>IFERROR(PA[[#This Row],[Breakdown Time]]*PA[[#This Row],[Plant Equivalent Weightage]],"")</f>
        <v/>
      </c>
      <c r="AE453" s="33" t="str">
        <f>IFERROR((_xlfn.XLOOKUP(PA[[#This Row],[Month Year]],'Modelling New'!D:D,'Modelling New'!$O:$O)*PA[[#This Row],[Lost PoA(Wh/m2)]]*PA[[#This Row],[DC Capacity Affceted (kW)]])/1000,"")</f>
        <v/>
      </c>
      <c r="AF453" s="35"/>
    </row>
    <row r="454" spans="1:32">
      <c r="A454" s="2">
        <f t="shared" si="28"/>
        <v>451</v>
      </c>
      <c r="B454" s="156">
        <f t="shared" si="29"/>
        <v>1900</v>
      </c>
      <c r="C454" s="129">
        <f t="shared" si="30"/>
        <v>1900</v>
      </c>
      <c r="I454" s="31" t="str">
        <f>IFERROR(VLOOKUP(PA[[#This Row],[Date]],Raw_Data[[Date]:[Sunset Time (POA&lt;20 W/m2)]],3,0),"")</f>
        <v/>
      </c>
      <c r="J454" s="31" t="str">
        <f>IFERROR(VLOOKUP(PA[[#This Row],[Date]],Raw_Data[[Date]:[Sunset Time (POA&lt;20 W/m2)]],4,0),"")</f>
        <v/>
      </c>
      <c r="K454" s="49" t="str">
        <f>IFERROR((PA[[#This Row],[Sunset Time (POA&lt;20 W/m2)]]-PA[[#This Row],[Sunrise Time (POA&gt;20 W/m2)]])*24,"")</f>
        <v/>
      </c>
      <c r="M454" s="46" t="str">
        <f>IFERROR(VLOOKUP(PA[[#This Row],[Affceted Equipment]],'Basic Data'!$A$2:$B$114,2,0),"")</f>
        <v/>
      </c>
      <c r="N454" s="48" t="str">
        <f>IFERROR(VLOOKUP(PA[[#This Row],[Affceted Equipment]],'Basic Data'!$A$1:$C$118,3,0),"")</f>
        <v/>
      </c>
      <c r="W454" s="33">
        <f>IF(PA[[#This Row],[Acknowledgemnet Time ]]="NA","",(PA[[#This Row],[Acknowledgemnet Time ]]-PA[[#This Row],[Fault Time]])*24)</f>
        <v>0</v>
      </c>
      <c r="X454" s="33">
        <f>IF(PA[[#This Row],[Work Start time on Fault]]="NA","",(PA[[#This Row],[Work Start time on Fault]]-PA[[#This Row],[Fault Time]])*24)</f>
        <v>0</v>
      </c>
      <c r="Y454" s="35">
        <f>(PA[[#This Row],[Work Completiuon time on fualt]]-PA[[#This Row],[Fault Time]])*24</f>
        <v>0</v>
      </c>
      <c r="Z454" s="35">
        <f>IFERROR((PA[[#This Row],[Work Completiuon time on fualt]]-PA[[#This Row],[Fault Time]])*24,"")</f>
        <v>0</v>
      </c>
      <c r="AC454" s="47" t="str">
        <f>IFERROR(PA[[#This Row],[Breakdown Time]]*PA[[#This Row],[Plant Equivalent Weightage]],"")</f>
        <v/>
      </c>
      <c r="AE454" s="33" t="str">
        <f>IFERROR((_xlfn.XLOOKUP(PA[[#This Row],[Month Year]],'Modelling New'!D:D,'Modelling New'!$O:$O)*PA[[#This Row],[Lost PoA(Wh/m2)]]*PA[[#This Row],[DC Capacity Affceted (kW)]])/1000,"")</f>
        <v/>
      </c>
      <c r="AF454" s="35"/>
    </row>
    <row r="455" spans="1:32">
      <c r="A455" s="2">
        <f t="shared" si="28"/>
        <v>452</v>
      </c>
      <c r="B455" s="156">
        <f t="shared" si="29"/>
        <v>1900</v>
      </c>
      <c r="C455" s="129">
        <f t="shared" si="30"/>
        <v>1900</v>
      </c>
      <c r="I455" s="31" t="str">
        <f>IFERROR(VLOOKUP(PA[[#This Row],[Date]],Raw_Data[[Date]:[Sunset Time (POA&lt;20 W/m2)]],3,0),"")</f>
        <v/>
      </c>
      <c r="J455" s="31" t="str">
        <f>IFERROR(VLOOKUP(PA[[#This Row],[Date]],Raw_Data[[Date]:[Sunset Time (POA&lt;20 W/m2)]],4,0),"")</f>
        <v/>
      </c>
      <c r="K455" s="49" t="str">
        <f>IFERROR((PA[[#This Row],[Sunset Time (POA&lt;20 W/m2)]]-PA[[#This Row],[Sunrise Time (POA&gt;20 W/m2)]])*24,"")</f>
        <v/>
      </c>
      <c r="M455" s="46" t="str">
        <f>IFERROR(VLOOKUP(PA[[#This Row],[Affceted Equipment]],'Basic Data'!$A$2:$B$114,2,0),"")</f>
        <v/>
      </c>
      <c r="N455" s="48" t="str">
        <f>IFERROR(VLOOKUP(PA[[#This Row],[Affceted Equipment]],'Basic Data'!$A$1:$C$118,3,0),"")</f>
        <v/>
      </c>
      <c r="W455" s="33">
        <f>IF(PA[[#This Row],[Acknowledgemnet Time ]]="NA","",(PA[[#This Row],[Acknowledgemnet Time ]]-PA[[#This Row],[Fault Time]])*24)</f>
        <v>0</v>
      </c>
      <c r="X455" s="33">
        <f>IF(PA[[#This Row],[Work Start time on Fault]]="NA","",(PA[[#This Row],[Work Start time on Fault]]-PA[[#This Row],[Fault Time]])*24)</f>
        <v>0</v>
      </c>
      <c r="Y455" s="35">
        <f>(PA[[#This Row],[Work Completiuon time on fualt]]-PA[[#This Row],[Fault Time]])*24</f>
        <v>0</v>
      </c>
      <c r="Z455" s="35">
        <f>IFERROR((PA[[#This Row],[Work Completiuon time on fualt]]-PA[[#This Row],[Fault Time]])*24,"")</f>
        <v>0</v>
      </c>
      <c r="AC455" s="47" t="str">
        <f>IFERROR(PA[[#This Row],[Breakdown Time]]*PA[[#This Row],[Plant Equivalent Weightage]],"")</f>
        <v/>
      </c>
      <c r="AE455" s="33" t="str">
        <f>IFERROR((_xlfn.XLOOKUP(PA[[#This Row],[Month Year]],'Modelling New'!D:D,'Modelling New'!$O:$O)*PA[[#This Row],[Lost PoA(Wh/m2)]]*PA[[#This Row],[DC Capacity Affceted (kW)]])/1000,"")</f>
        <v/>
      </c>
      <c r="AF455" s="35"/>
    </row>
    <row r="456" spans="1:32">
      <c r="A456" s="2">
        <f t="shared" si="28"/>
        <v>453</v>
      </c>
      <c r="B456" s="156">
        <f t="shared" si="29"/>
        <v>1900</v>
      </c>
      <c r="C456" s="129">
        <f t="shared" si="30"/>
        <v>1900</v>
      </c>
      <c r="I456" s="31" t="str">
        <f>IFERROR(VLOOKUP(PA[[#This Row],[Date]],Raw_Data[[Date]:[Sunset Time (POA&lt;20 W/m2)]],3,0),"")</f>
        <v/>
      </c>
      <c r="J456" s="31" t="str">
        <f>IFERROR(VLOOKUP(PA[[#This Row],[Date]],Raw_Data[[Date]:[Sunset Time (POA&lt;20 W/m2)]],4,0),"")</f>
        <v/>
      </c>
      <c r="K456" s="49" t="str">
        <f>IFERROR((PA[[#This Row],[Sunset Time (POA&lt;20 W/m2)]]-PA[[#This Row],[Sunrise Time (POA&gt;20 W/m2)]])*24,"")</f>
        <v/>
      </c>
      <c r="M456" s="46" t="str">
        <f>IFERROR(VLOOKUP(PA[[#This Row],[Affceted Equipment]],'Basic Data'!$A$2:$B$114,2,0),"")</f>
        <v/>
      </c>
      <c r="N456" s="48" t="str">
        <f>IFERROR(VLOOKUP(PA[[#This Row],[Affceted Equipment]],'Basic Data'!$A$1:$C$118,3,0),"")</f>
        <v/>
      </c>
      <c r="W456" s="33">
        <f>IF(PA[[#This Row],[Acknowledgemnet Time ]]="NA","",(PA[[#This Row],[Acknowledgemnet Time ]]-PA[[#This Row],[Fault Time]])*24)</f>
        <v>0</v>
      </c>
      <c r="X456" s="33">
        <f>IF(PA[[#This Row],[Work Start time on Fault]]="NA","",(PA[[#This Row],[Work Start time on Fault]]-PA[[#This Row],[Fault Time]])*24)</f>
        <v>0</v>
      </c>
      <c r="Y456" s="35">
        <f>(PA[[#This Row],[Work Completiuon time on fualt]]-PA[[#This Row],[Fault Time]])*24</f>
        <v>0</v>
      </c>
      <c r="Z456" s="35">
        <f>IFERROR((PA[[#This Row],[Work Completiuon time on fualt]]-PA[[#This Row],[Fault Time]])*24,"")</f>
        <v>0</v>
      </c>
      <c r="AC456" s="47" t="str">
        <f>IFERROR(PA[[#This Row],[Breakdown Time]]*PA[[#This Row],[Plant Equivalent Weightage]],"")</f>
        <v/>
      </c>
      <c r="AE456" s="33" t="str">
        <f>IFERROR((_xlfn.XLOOKUP(PA[[#This Row],[Month Year]],'Modelling New'!D:D,'Modelling New'!$O:$O)*PA[[#This Row],[Lost PoA(Wh/m2)]]*PA[[#This Row],[DC Capacity Affceted (kW)]])/1000,"")</f>
        <v/>
      </c>
      <c r="AF456" s="35"/>
    </row>
    <row r="457" spans="1:32">
      <c r="A457" s="2">
        <f t="shared" si="28"/>
        <v>454</v>
      </c>
      <c r="B457" s="156">
        <f t="shared" si="29"/>
        <v>1900</v>
      </c>
      <c r="C457" s="129">
        <f t="shared" si="30"/>
        <v>1900</v>
      </c>
      <c r="I457" s="31" t="str">
        <f>IFERROR(VLOOKUP(PA[[#This Row],[Date]],Raw_Data[[Date]:[Sunset Time (POA&lt;20 W/m2)]],3,0),"")</f>
        <v/>
      </c>
      <c r="J457" s="31" t="str">
        <f>IFERROR(VLOOKUP(PA[[#This Row],[Date]],Raw_Data[[Date]:[Sunset Time (POA&lt;20 W/m2)]],4,0),"")</f>
        <v/>
      </c>
      <c r="K457" s="49" t="str">
        <f>IFERROR((PA[[#This Row],[Sunset Time (POA&lt;20 W/m2)]]-PA[[#This Row],[Sunrise Time (POA&gt;20 W/m2)]])*24,"")</f>
        <v/>
      </c>
      <c r="M457" s="46" t="str">
        <f>IFERROR(VLOOKUP(PA[[#This Row],[Affceted Equipment]],'Basic Data'!$A$2:$B$114,2,0),"")</f>
        <v/>
      </c>
      <c r="N457" s="48" t="str">
        <f>IFERROR(VLOOKUP(PA[[#This Row],[Affceted Equipment]],'Basic Data'!$A$1:$C$118,3,0),"")</f>
        <v/>
      </c>
      <c r="W457" s="33">
        <f>IF(PA[[#This Row],[Acknowledgemnet Time ]]="NA","",(PA[[#This Row],[Acknowledgemnet Time ]]-PA[[#This Row],[Fault Time]])*24)</f>
        <v>0</v>
      </c>
      <c r="X457" s="33">
        <f>IF(PA[[#This Row],[Work Start time on Fault]]="NA","",(PA[[#This Row],[Work Start time on Fault]]-PA[[#This Row],[Fault Time]])*24)</f>
        <v>0</v>
      </c>
      <c r="Y457" s="35">
        <f>(PA[[#This Row],[Work Completiuon time on fualt]]-PA[[#This Row],[Fault Time]])*24</f>
        <v>0</v>
      </c>
      <c r="Z457" s="35">
        <f>IFERROR((PA[[#This Row],[Work Completiuon time on fualt]]-PA[[#This Row],[Fault Time]])*24,"")</f>
        <v>0</v>
      </c>
      <c r="AC457" s="47" t="str">
        <f>IFERROR(PA[[#This Row],[Breakdown Time]]*PA[[#This Row],[Plant Equivalent Weightage]],"")</f>
        <v/>
      </c>
      <c r="AE457" s="33" t="str">
        <f>IFERROR((_xlfn.XLOOKUP(PA[[#This Row],[Month Year]],'Modelling New'!D:D,'Modelling New'!$O:$O)*PA[[#This Row],[Lost PoA(Wh/m2)]]*PA[[#This Row],[DC Capacity Affceted (kW)]])/1000,"")</f>
        <v/>
      </c>
      <c r="AF457" s="35"/>
    </row>
    <row r="458" spans="1:32">
      <c r="A458" s="2">
        <f t="shared" ref="A458:A521" si="31">A457+1</f>
        <v>455</v>
      </c>
      <c r="B458" s="156">
        <f t="shared" si="29"/>
        <v>1900</v>
      </c>
      <c r="C458" s="129">
        <f t="shared" si="30"/>
        <v>1900</v>
      </c>
      <c r="I458" s="31" t="str">
        <f>IFERROR(VLOOKUP(PA[[#This Row],[Date]],Raw_Data[[Date]:[Sunset Time (POA&lt;20 W/m2)]],3,0),"")</f>
        <v/>
      </c>
      <c r="J458" s="31" t="str">
        <f>IFERROR(VLOOKUP(PA[[#This Row],[Date]],Raw_Data[[Date]:[Sunset Time (POA&lt;20 W/m2)]],4,0),"")</f>
        <v/>
      </c>
      <c r="K458" s="49" t="str">
        <f>IFERROR((PA[[#This Row],[Sunset Time (POA&lt;20 W/m2)]]-PA[[#This Row],[Sunrise Time (POA&gt;20 W/m2)]])*24,"")</f>
        <v/>
      </c>
      <c r="M458" s="46" t="str">
        <f>IFERROR(VLOOKUP(PA[[#This Row],[Affceted Equipment]],'Basic Data'!$A$2:$B$114,2,0),"")</f>
        <v/>
      </c>
      <c r="N458" s="48" t="str">
        <f>IFERROR(VLOOKUP(PA[[#This Row],[Affceted Equipment]],'Basic Data'!$A$1:$C$118,3,0),"")</f>
        <v/>
      </c>
      <c r="W458" s="33">
        <f>IF(PA[[#This Row],[Acknowledgemnet Time ]]="NA","",(PA[[#This Row],[Acknowledgemnet Time ]]-PA[[#This Row],[Fault Time]])*24)</f>
        <v>0</v>
      </c>
      <c r="X458" s="33">
        <f>IF(PA[[#This Row],[Work Start time on Fault]]="NA","",(PA[[#This Row],[Work Start time on Fault]]-PA[[#This Row],[Fault Time]])*24)</f>
        <v>0</v>
      </c>
      <c r="Y458" s="35">
        <f>(PA[[#This Row],[Work Completiuon time on fualt]]-PA[[#This Row],[Fault Time]])*24</f>
        <v>0</v>
      </c>
      <c r="Z458" s="35">
        <f>IFERROR((PA[[#This Row],[Work Completiuon time on fualt]]-PA[[#This Row],[Fault Time]])*24,"")</f>
        <v>0</v>
      </c>
      <c r="AC458" s="47" t="str">
        <f>IFERROR(PA[[#This Row],[Breakdown Time]]*PA[[#This Row],[Plant Equivalent Weightage]],"")</f>
        <v/>
      </c>
      <c r="AE458" s="33" t="str">
        <f>IFERROR((_xlfn.XLOOKUP(PA[[#This Row],[Month Year]],'Modelling New'!D:D,'Modelling New'!$O:$O)*PA[[#This Row],[Lost PoA(Wh/m2)]]*PA[[#This Row],[DC Capacity Affceted (kW)]])/1000,"")</f>
        <v/>
      </c>
      <c r="AF458" s="35"/>
    </row>
    <row r="459" spans="1:32">
      <c r="A459" s="2">
        <f t="shared" si="31"/>
        <v>456</v>
      </c>
      <c r="B459" s="156">
        <f t="shared" si="29"/>
        <v>1900</v>
      </c>
      <c r="C459" s="129">
        <f t="shared" si="30"/>
        <v>1900</v>
      </c>
      <c r="I459" s="31" t="str">
        <f>IFERROR(VLOOKUP(PA[[#This Row],[Date]],Raw_Data[[Date]:[Sunset Time (POA&lt;20 W/m2)]],3,0),"")</f>
        <v/>
      </c>
      <c r="J459" s="31" t="str">
        <f>IFERROR(VLOOKUP(PA[[#This Row],[Date]],Raw_Data[[Date]:[Sunset Time (POA&lt;20 W/m2)]],4,0),"")</f>
        <v/>
      </c>
      <c r="K459" s="49" t="str">
        <f>IFERROR((PA[[#This Row],[Sunset Time (POA&lt;20 W/m2)]]-PA[[#This Row],[Sunrise Time (POA&gt;20 W/m2)]])*24,"")</f>
        <v/>
      </c>
      <c r="M459" s="46" t="str">
        <f>IFERROR(VLOOKUP(PA[[#This Row],[Affceted Equipment]],'Basic Data'!$A$2:$B$114,2,0),"")</f>
        <v/>
      </c>
      <c r="N459" s="48" t="str">
        <f>IFERROR(VLOOKUP(PA[[#This Row],[Affceted Equipment]],'Basic Data'!$A$1:$C$118,3,0),"")</f>
        <v/>
      </c>
      <c r="W459" s="33">
        <f>IF(PA[[#This Row],[Acknowledgemnet Time ]]="NA","",(PA[[#This Row],[Acknowledgemnet Time ]]-PA[[#This Row],[Fault Time]])*24)</f>
        <v>0</v>
      </c>
      <c r="X459" s="33">
        <f>IF(PA[[#This Row],[Work Start time on Fault]]="NA","",(PA[[#This Row],[Work Start time on Fault]]-PA[[#This Row],[Fault Time]])*24)</f>
        <v>0</v>
      </c>
      <c r="Y459" s="35">
        <f>(PA[[#This Row],[Work Completiuon time on fualt]]-PA[[#This Row],[Fault Time]])*24</f>
        <v>0</v>
      </c>
      <c r="Z459" s="35">
        <f>IFERROR((PA[[#This Row],[Work Completiuon time on fualt]]-PA[[#This Row],[Fault Time]])*24,"")</f>
        <v>0</v>
      </c>
      <c r="AC459" s="47" t="str">
        <f>IFERROR(PA[[#This Row],[Breakdown Time]]*PA[[#This Row],[Plant Equivalent Weightage]],"")</f>
        <v/>
      </c>
      <c r="AE459" s="33" t="str">
        <f>IFERROR((_xlfn.XLOOKUP(PA[[#This Row],[Month Year]],'Modelling New'!D:D,'Modelling New'!$O:$O)*PA[[#This Row],[Lost PoA(Wh/m2)]]*PA[[#This Row],[DC Capacity Affceted (kW)]])/1000,"")</f>
        <v/>
      </c>
      <c r="AF459" s="35"/>
    </row>
    <row r="460" spans="1:32">
      <c r="A460" s="2">
        <f t="shared" si="31"/>
        <v>457</v>
      </c>
      <c r="B460" s="156">
        <f t="shared" si="29"/>
        <v>1900</v>
      </c>
      <c r="C460" s="129">
        <f t="shared" si="30"/>
        <v>1900</v>
      </c>
      <c r="I460" s="31" t="str">
        <f>IFERROR(VLOOKUP(PA[[#This Row],[Date]],Raw_Data[[Date]:[Sunset Time (POA&lt;20 W/m2)]],3,0),"")</f>
        <v/>
      </c>
      <c r="J460" s="31" t="str">
        <f>IFERROR(VLOOKUP(PA[[#This Row],[Date]],Raw_Data[[Date]:[Sunset Time (POA&lt;20 W/m2)]],4,0),"")</f>
        <v/>
      </c>
      <c r="K460" s="49" t="str">
        <f>IFERROR((PA[[#This Row],[Sunset Time (POA&lt;20 W/m2)]]-PA[[#This Row],[Sunrise Time (POA&gt;20 W/m2)]])*24,"")</f>
        <v/>
      </c>
      <c r="M460" s="46" t="str">
        <f>IFERROR(VLOOKUP(PA[[#This Row],[Affceted Equipment]],'Basic Data'!$A$2:$B$114,2,0),"")</f>
        <v/>
      </c>
      <c r="N460" s="48" t="str">
        <f>IFERROR(VLOOKUP(PA[[#This Row],[Affceted Equipment]],'Basic Data'!$A$1:$C$118,3,0),"")</f>
        <v/>
      </c>
      <c r="W460" s="33">
        <f>IF(PA[[#This Row],[Acknowledgemnet Time ]]="NA","",(PA[[#This Row],[Acknowledgemnet Time ]]-PA[[#This Row],[Fault Time]])*24)</f>
        <v>0</v>
      </c>
      <c r="X460" s="33">
        <f>IF(PA[[#This Row],[Work Start time on Fault]]="NA","",(PA[[#This Row],[Work Start time on Fault]]-PA[[#This Row],[Fault Time]])*24)</f>
        <v>0</v>
      </c>
      <c r="Y460" s="35">
        <f>(PA[[#This Row],[Work Completiuon time on fualt]]-PA[[#This Row],[Fault Time]])*24</f>
        <v>0</v>
      </c>
      <c r="Z460" s="35">
        <f>IFERROR((PA[[#This Row],[Work Completiuon time on fualt]]-PA[[#This Row],[Fault Time]])*24,"")</f>
        <v>0</v>
      </c>
      <c r="AC460" s="47" t="str">
        <f>IFERROR(PA[[#This Row],[Breakdown Time]]*PA[[#This Row],[Plant Equivalent Weightage]],"")</f>
        <v/>
      </c>
      <c r="AE460" s="33" t="str">
        <f>IFERROR((_xlfn.XLOOKUP(PA[[#This Row],[Month Year]],'Modelling New'!D:D,'Modelling New'!$O:$O)*PA[[#This Row],[Lost PoA(Wh/m2)]]*PA[[#This Row],[DC Capacity Affceted (kW)]])/1000,"")</f>
        <v/>
      </c>
      <c r="AF460" s="35"/>
    </row>
    <row r="461" spans="1:32">
      <c r="A461" s="2">
        <f t="shared" si="31"/>
        <v>458</v>
      </c>
      <c r="B461" s="156">
        <f t="shared" si="29"/>
        <v>1900</v>
      </c>
      <c r="C461" s="129">
        <f t="shared" si="30"/>
        <v>1900</v>
      </c>
      <c r="I461" s="31" t="str">
        <f>IFERROR(VLOOKUP(PA[[#This Row],[Date]],Raw_Data[[Date]:[Sunset Time (POA&lt;20 W/m2)]],3,0),"")</f>
        <v/>
      </c>
      <c r="J461" s="31" t="str">
        <f>IFERROR(VLOOKUP(PA[[#This Row],[Date]],Raw_Data[[Date]:[Sunset Time (POA&lt;20 W/m2)]],4,0),"")</f>
        <v/>
      </c>
      <c r="K461" s="49" t="str">
        <f>IFERROR((PA[[#This Row],[Sunset Time (POA&lt;20 W/m2)]]-PA[[#This Row],[Sunrise Time (POA&gt;20 W/m2)]])*24,"")</f>
        <v/>
      </c>
      <c r="M461" s="46" t="str">
        <f>IFERROR(VLOOKUP(PA[[#This Row],[Affceted Equipment]],'Basic Data'!$A$2:$B$114,2,0),"")</f>
        <v/>
      </c>
      <c r="N461" s="48" t="str">
        <f>IFERROR(VLOOKUP(PA[[#This Row],[Affceted Equipment]],'Basic Data'!$A$1:$C$118,3,0),"")</f>
        <v/>
      </c>
      <c r="W461" s="33">
        <f>IF(PA[[#This Row],[Acknowledgemnet Time ]]="NA","",(PA[[#This Row],[Acknowledgemnet Time ]]-PA[[#This Row],[Fault Time]])*24)</f>
        <v>0</v>
      </c>
      <c r="X461" s="33">
        <f>IF(PA[[#This Row],[Work Start time on Fault]]="NA","",(PA[[#This Row],[Work Start time on Fault]]-PA[[#This Row],[Fault Time]])*24)</f>
        <v>0</v>
      </c>
      <c r="Y461" s="35">
        <f>(PA[[#This Row],[Work Completiuon time on fualt]]-PA[[#This Row],[Fault Time]])*24</f>
        <v>0</v>
      </c>
      <c r="Z461" s="35">
        <f>IFERROR((PA[[#This Row],[Work Completiuon time on fualt]]-PA[[#This Row],[Fault Time]])*24,"")</f>
        <v>0</v>
      </c>
      <c r="AC461" s="47" t="str">
        <f>IFERROR(PA[[#This Row],[Breakdown Time]]*PA[[#This Row],[Plant Equivalent Weightage]],"")</f>
        <v/>
      </c>
      <c r="AE461" s="33" t="str">
        <f>IFERROR((_xlfn.XLOOKUP(PA[[#This Row],[Month Year]],'Modelling New'!D:D,'Modelling New'!$O:$O)*PA[[#This Row],[Lost PoA(Wh/m2)]]*PA[[#This Row],[DC Capacity Affceted (kW)]])/1000,"")</f>
        <v/>
      </c>
      <c r="AF461" s="35"/>
    </row>
    <row r="462" spans="1:32">
      <c r="A462" s="2">
        <f t="shared" si="31"/>
        <v>459</v>
      </c>
      <c r="B462" s="156">
        <f t="shared" si="29"/>
        <v>1900</v>
      </c>
      <c r="C462" s="129">
        <f t="shared" si="30"/>
        <v>1900</v>
      </c>
      <c r="I462" s="31" t="str">
        <f>IFERROR(VLOOKUP(PA[[#This Row],[Date]],Raw_Data[[Date]:[Sunset Time (POA&lt;20 W/m2)]],3,0),"")</f>
        <v/>
      </c>
      <c r="J462" s="31" t="str">
        <f>IFERROR(VLOOKUP(PA[[#This Row],[Date]],Raw_Data[[Date]:[Sunset Time (POA&lt;20 W/m2)]],4,0),"")</f>
        <v/>
      </c>
      <c r="K462" s="49" t="str">
        <f>IFERROR((PA[[#This Row],[Sunset Time (POA&lt;20 W/m2)]]-PA[[#This Row],[Sunrise Time (POA&gt;20 W/m2)]])*24,"")</f>
        <v/>
      </c>
      <c r="M462" s="46" t="str">
        <f>IFERROR(VLOOKUP(PA[[#This Row],[Affceted Equipment]],'Basic Data'!$A$2:$B$114,2,0),"")</f>
        <v/>
      </c>
      <c r="N462" s="48" t="str">
        <f>IFERROR(VLOOKUP(PA[[#This Row],[Affceted Equipment]],'Basic Data'!$A$1:$C$118,3,0),"")</f>
        <v/>
      </c>
      <c r="W462" s="33">
        <f>IF(PA[[#This Row],[Acknowledgemnet Time ]]="NA","",(PA[[#This Row],[Acknowledgemnet Time ]]-PA[[#This Row],[Fault Time]])*24)</f>
        <v>0</v>
      </c>
      <c r="X462" s="33">
        <f>IF(PA[[#This Row],[Work Start time on Fault]]="NA","",(PA[[#This Row],[Work Start time on Fault]]-PA[[#This Row],[Fault Time]])*24)</f>
        <v>0</v>
      </c>
      <c r="Y462" s="35">
        <f>(PA[[#This Row],[Work Completiuon time on fualt]]-PA[[#This Row],[Fault Time]])*24</f>
        <v>0</v>
      </c>
      <c r="Z462" s="35">
        <f>IFERROR((PA[[#This Row],[Work Completiuon time on fualt]]-PA[[#This Row],[Fault Time]])*24,"")</f>
        <v>0</v>
      </c>
      <c r="AC462" s="47" t="str">
        <f>IFERROR(PA[[#This Row],[Breakdown Time]]*PA[[#This Row],[Plant Equivalent Weightage]],"")</f>
        <v/>
      </c>
      <c r="AE462" s="33" t="str">
        <f>IFERROR((_xlfn.XLOOKUP(PA[[#This Row],[Month Year]],'Modelling New'!D:D,'Modelling New'!$O:$O)*PA[[#This Row],[Lost PoA(Wh/m2)]]*PA[[#This Row],[DC Capacity Affceted (kW)]])/1000,"")</f>
        <v/>
      </c>
      <c r="AF462" s="35"/>
    </row>
    <row r="463" spans="1:32">
      <c r="A463" s="2">
        <f t="shared" si="31"/>
        <v>460</v>
      </c>
      <c r="B463" s="156">
        <f t="shared" si="29"/>
        <v>1900</v>
      </c>
      <c r="C463" s="129">
        <f t="shared" si="30"/>
        <v>1900</v>
      </c>
      <c r="I463" s="31" t="str">
        <f>IFERROR(VLOOKUP(PA[[#This Row],[Date]],Raw_Data[[Date]:[Sunset Time (POA&lt;20 W/m2)]],3,0),"")</f>
        <v/>
      </c>
      <c r="J463" s="31" t="str">
        <f>IFERROR(VLOOKUP(PA[[#This Row],[Date]],Raw_Data[[Date]:[Sunset Time (POA&lt;20 W/m2)]],4,0),"")</f>
        <v/>
      </c>
      <c r="K463" s="49" t="str">
        <f>IFERROR((PA[[#This Row],[Sunset Time (POA&lt;20 W/m2)]]-PA[[#This Row],[Sunrise Time (POA&gt;20 W/m2)]])*24,"")</f>
        <v/>
      </c>
      <c r="M463" s="46" t="str">
        <f>IFERROR(VLOOKUP(PA[[#This Row],[Affceted Equipment]],'Basic Data'!$A$2:$B$114,2,0),"")</f>
        <v/>
      </c>
      <c r="N463" s="48" t="str">
        <f>IFERROR(VLOOKUP(PA[[#This Row],[Affceted Equipment]],'Basic Data'!$A$1:$C$118,3,0),"")</f>
        <v/>
      </c>
      <c r="W463" s="33">
        <f>IF(PA[[#This Row],[Acknowledgemnet Time ]]="NA","",(PA[[#This Row],[Acknowledgemnet Time ]]-PA[[#This Row],[Fault Time]])*24)</f>
        <v>0</v>
      </c>
      <c r="X463" s="33">
        <f>IF(PA[[#This Row],[Work Start time on Fault]]="NA","",(PA[[#This Row],[Work Start time on Fault]]-PA[[#This Row],[Fault Time]])*24)</f>
        <v>0</v>
      </c>
      <c r="Y463" s="35">
        <f>(PA[[#This Row],[Work Completiuon time on fualt]]-PA[[#This Row],[Fault Time]])*24</f>
        <v>0</v>
      </c>
      <c r="Z463" s="35">
        <f>IFERROR((PA[[#This Row],[Work Completiuon time on fualt]]-PA[[#This Row],[Fault Time]])*24,"")</f>
        <v>0</v>
      </c>
      <c r="AC463" s="47" t="str">
        <f>IFERROR(PA[[#This Row],[Breakdown Time]]*PA[[#This Row],[Plant Equivalent Weightage]],"")</f>
        <v/>
      </c>
      <c r="AE463" s="33" t="str">
        <f>IFERROR((_xlfn.XLOOKUP(PA[[#This Row],[Month Year]],'Modelling New'!D:D,'Modelling New'!$O:$O)*PA[[#This Row],[Lost PoA(Wh/m2)]]*PA[[#This Row],[DC Capacity Affceted (kW)]])/1000,"")</f>
        <v/>
      </c>
      <c r="AF463" s="35"/>
    </row>
    <row r="464" spans="1:32">
      <c r="A464" s="2">
        <f t="shared" si="31"/>
        <v>461</v>
      </c>
      <c r="B464" s="156">
        <f t="shared" si="29"/>
        <v>1900</v>
      </c>
      <c r="C464" s="129">
        <f t="shared" si="30"/>
        <v>1900</v>
      </c>
      <c r="I464" s="31" t="str">
        <f>IFERROR(VLOOKUP(PA[[#This Row],[Date]],Raw_Data[[Date]:[Sunset Time (POA&lt;20 W/m2)]],3,0),"")</f>
        <v/>
      </c>
      <c r="J464" s="31" t="str">
        <f>IFERROR(VLOOKUP(PA[[#This Row],[Date]],Raw_Data[[Date]:[Sunset Time (POA&lt;20 W/m2)]],4,0),"")</f>
        <v/>
      </c>
      <c r="K464" s="49" t="str">
        <f>IFERROR((PA[[#This Row],[Sunset Time (POA&lt;20 W/m2)]]-PA[[#This Row],[Sunrise Time (POA&gt;20 W/m2)]])*24,"")</f>
        <v/>
      </c>
      <c r="M464" s="46" t="str">
        <f>IFERROR(VLOOKUP(PA[[#This Row],[Affceted Equipment]],'Basic Data'!$A$2:$B$114,2,0),"")</f>
        <v/>
      </c>
      <c r="N464" s="48" t="str">
        <f>IFERROR(VLOOKUP(PA[[#This Row],[Affceted Equipment]],'Basic Data'!$A$1:$C$118,3,0),"")</f>
        <v/>
      </c>
      <c r="W464" s="33">
        <f>IF(PA[[#This Row],[Acknowledgemnet Time ]]="NA","",(PA[[#This Row],[Acknowledgemnet Time ]]-PA[[#This Row],[Fault Time]])*24)</f>
        <v>0</v>
      </c>
      <c r="X464" s="33">
        <f>IF(PA[[#This Row],[Work Start time on Fault]]="NA","",(PA[[#This Row],[Work Start time on Fault]]-PA[[#This Row],[Fault Time]])*24)</f>
        <v>0</v>
      </c>
      <c r="Y464" s="35">
        <f>(PA[[#This Row],[Work Completiuon time on fualt]]-PA[[#This Row],[Fault Time]])*24</f>
        <v>0</v>
      </c>
      <c r="Z464" s="35">
        <f>IFERROR((PA[[#This Row],[Work Completiuon time on fualt]]-PA[[#This Row],[Fault Time]])*24,"")</f>
        <v>0</v>
      </c>
      <c r="AC464" s="47" t="str">
        <f>IFERROR(PA[[#This Row],[Breakdown Time]]*PA[[#This Row],[Plant Equivalent Weightage]],"")</f>
        <v/>
      </c>
      <c r="AE464" s="33" t="str">
        <f>IFERROR((_xlfn.XLOOKUP(PA[[#This Row],[Month Year]],'Modelling New'!D:D,'Modelling New'!$O:$O)*PA[[#This Row],[Lost PoA(Wh/m2)]]*PA[[#This Row],[DC Capacity Affceted (kW)]])/1000,"")</f>
        <v/>
      </c>
      <c r="AF464" s="35"/>
    </row>
    <row r="465" spans="1:32">
      <c r="A465" s="2">
        <f t="shared" si="31"/>
        <v>462</v>
      </c>
      <c r="B465" s="156">
        <f t="shared" si="29"/>
        <v>1900</v>
      </c>
      <c r="C465" s="129">
        <f t="shared" si="30"/>
        <v>1900</v>
      </c>
      <c r="I465" s="31" t="str">
        <f>IFERROR(VLOOKUP(PA[[#This Row],[Date]],Raw_Data[[Date]:[Sunset Time (POA&lt;20 W/m2)]],3,0),"")</f>
        <v/>
      </c>
      <c r="J465" s="31" t="str">
        <f>IFERROR(VLOOKUP(PA[[#This Row],[Date]],Raw_Data[[Date]:[Sunset Time (POA&lt;20 W/m2)]],4,0),"")</f>
        <v/>
      </c>
      <c r="K465" s="49" t="str">
        <f>IFERROR((PA[[#This Row],[Sunset Time (POA&lt;20 W/m2)]]-PA[[#This Row],[Sunrise Time (POA&gt;20 W/m2)]])*24,"")</f>
        <v/>
      </c>
      <c r="M465" s="46" t="str">
        <f>IFERROR(VLOOKUP(PA[[#This Row],[Affceted Equipment]],'Basic Data'!$A$2:$B$114,2,0),"")</f>
        <v/>
      </c>
      <c r="N465" s="48" t="str">
        <f>IFERROR(VLOOKUP(PA[[#This Row],[Affceted Equipment]],'Basic Data'!$A$1:$C$118,3,0),"")</f>
        <v/>
      </c>
      <c r="W465" s="33">
        <f>IF(PA[[#This Row],[Acknowledgemnet Time ]]="NA","",(PA[[#This Row],[Acknowledgemnet Time ]]-PA[[#This Row],[Fault Time]])*24)</f>
        <v>0</v>
      </c>
      <c r="X465" s="33">
        <f>IF(PA[[#This Row],[Work Start time on Fault]]="NA","",(PA[[#This Row],[Work Start time on Fault]]-PA[[#This Row],[Fault Time]])*24)</f>
        <v>0</v>
      </c>
      <c r="Y465" s="35">
        <f>(PA[[#This Row],[Work Completiuon time on fualt]]-PA[[#This Row],[Fault Time]])*24</f>
        <v>0</v>
      </c>
      <c r="Z465" s="35">
        <f>IFERROR((PA[[#This Row],[Work Completiuon time on fualt]]-PA[[#This Row],[Fault Time]])*24,"")</f>
        <v>0</v>
      </c>
      <c r="AC465" s="47" t="str">
        <f>IFERROR(PA[[#This Row],[Breakdown Time]]*PA[[#This Row],[Plant Equivalent Weightage]],"")</f>
        <v/>
      </c>
      <c r="AE465" s="33" t="str">
        <f>IFERROR((_xlfn.XLOOKUP(PA[[#This Row],[Month Year]],'Modelling New'!D:D,'Modelling New'!$O:$O)*PA[[#This Row],[Lost PoA(Wh/m2)]]*PA[[#This Row],[DC Capacity Affceted (kW)]])/1000,"")</f>
        <v/>
      </c>
      <c r="AF465" s="35"/>
    </row>
    <row r="466" spans="1:32">
      <c r="A466" s="2">
        <f t="shared" si="31"/>
        <v>463</v>
      </c>
      <c r="B466" s="156">
        <f t="shared" si="29"/>
        <v>1900</v>
      </c>
      <c r="C466" s="129">
        <f t="shared" si="30"/>
        <v>1900</v>
      </c>
      <c r="I466" s="31" t="str">
        <f>IFERROR(VLOOKUP(PA[[#This Row],[Date]],Raw_Data[[Date]:[Sunset Time (POA&lt;20 W/m2)]],3,0),"")</f>
        <v/>
      </c>
      <c r="J466" s="31" t="str">
        <f>IFERROR(VLOOKUP(PA[[#This Row],[Date]],Raw_Data[[Date]:[Sunset Time (POA&lt;20 W/m2)]],4,0),"")</f>
        <v/>
      </c>
      <c r="K466" s="49" t="str">
        <f>IFERROR((PA[[#This Row],[Sunset Time (POA&lt;20 W/m2)]]-PA[[#This Row],[Sunrise Time (POA&gt;20 W/m2)]])*24,"")</f>
        <v/>
      </c>
      <c r="M466" s="46" t="str">
        <f>IFERROR(VLOOKUP(PA[[#This Row],[Affceted Equipment]],'Basic Data'!$A$2:$B$114,2,0),"")</f>
        <v/>
      </c>
      <c r="N466" s="48" t="str">
        <f>IFERROR(VLOOKUP(PA[[#This Row],[Affceted Equipment]],'Basic Data'!$A$1:$C$118,3,0),"")</f>
        <v/>
      </c>
      <c r="W466" s="33">
        <f>IF(PA[[#This Row],[Acknowledgemnet Time ]]="NA","",(PA[[#This Row],[Acknowledgemnet Time ]]-PA[[#This Row],[Fault Time]])*24)</f>
        <v>0</v>
      </c>
      <c r="X466" s="33">
        <f>IF(PA[[#This Row],[Work Start time on Fault]]="NA","",(PA[[#This Row],[Work Start time on Fault]]-PA[[#This Row],[Fault Time]])*24)</f>
        <v>0</v>
      </c>
      <c r="Y466" s="35">
        <f>(PA[[#This Row],[Work Completiuon time on fualt]]-PA[[#This Row],[Fault Time]])*24</f>
        <v>0</v>
      </c>
      <c r="Z466" s="35">
        <f>IFERROR((PA[[#This Row],[Work Completiuon time on fualt]]-PA[[#This Row],[Fault Time]])*24,"")</f>
        <v>0</v>
      </c>
      <c r="AC466" s="47" t="str">
        <f>IFERROR(PA[[#This Row],[Breakdown Time]]*PA[[#This Row],[Plant Equivalent Weightage]],"")</f>
        <v/>
      </c>
      <c r="AE466" s="33" t="str">
        <f>IFERROR((_xlfn.XLOOKUP(PA[[#This Row],[Month Year]],'Modelling New'!D:D,'Modelling New'!$O:$O)*PA[[#This Row],[Lost PoA(Wh/m2)]]*PA[[#This Row],[DC Capacity Affceted (kW)]])/1000,"")</f>
        <v/>
      </c>
      <c r="AF466" s="35"/>
    </row>
    <row r="467" spans="1:32">
      <c r="A467" s="2">
        <f t="shared" si="31"/>
        <v>464</v>
      </c>
      <c r="B467" s="156">
        <f t="shared" si="29"/>
        <v>1900</v>
      </c>
      <c r="C467" s="129">
        <f t="shared" si="30"/>
        <v>1900</v>
      </c>
      <c r="I467" s="31" t="str">
        <f>IFERROR(VLOOKUP(PA[[#This Row],[Date]],Raw_Data[[Date]:[Sunset Time (POA&lt;20 W/m2)]],3,0),"")</f>
        <v/>
      </c>
      <c r="J467" s="31" t="str">
        <f>IFERROR(VLOOKUP(PA[[#This Row],[Date]],Raw_Data[[Date]:[Sunset Time (POA&lt;20 W/m2)]],4,0),"")</f>
        <v/>
      </c>
      <c r="K467" s="49" t="str">
        <f>IFERROR((PA[[#This Row],[Sunset Time (POA&lt;20 W/m2)]]-PA[[#This Row],[Sunrise Time (POA&gt;20 W/m2)]])*24,"")</f>
        <v/>
      </c>
      <c r="M467" s="46" t="str">
        <f>IFERROR(VLOOKUP(PA[[#This Row],[Affceted Equipment]],'Basic Data'!$A$2:$B$114,2,0),"")</f>
        <v/>
      </c>
      <c r="N467" s="48" t="str">
        <f>IFERROR(VLOOKUP(PA[[#This Row],[Affceted Equipment]],'Basic Data'!$A$1:$C$118,3,0),"")</f>
        <v/>
      </c>
      <c r="W467" s="33">
        <f>IF(PA[[#This Row],[Acknowledgemnet Time ]]="NA","",(PA[[#This Row],[Acknowledgemnet Time ]]-PA[[#This Row],[Fault Time]])*24)</f>
        <v>0</v>
      </c>
      <c r="X467" s="33">
        <f>IF(PA[[#This Row],[Work Start time on Fault]]="NA","",(PA[[#This Row],[Work Start time on Fault]]-PA[[#This Row],[Fault Time]])*24)</f>
        <v>0</v>
      </c>
      <c r="Y467" s="35">
        <f>(PA[[#This Row],[Work Completiuon time on fualt]]-PA[[#This Row],[Fault Time]])*24</f>
        <v>0</v>
      </c>
      <c r="Z467" s="35">
        <f>IFERROR((PA[[#This Row],[Work Completiuon time on fualt]]-PA[[#This Row],[Fault Time]])*24,"")</f>
        <v>0</v>
      </c>
      <c r="AC467" s="47" t="str">
        <f>IFERROR(PA[[#This Row],[Breakdown Time]]*PA[[#This Row],[Plant Equivalent Weightage]],"")</f>
        <v/>
      </c>
      <c r="AE467" s="33" t="str">
        <f>IFERROR((_xlfn.XLOOKUP(PA[[#This Row],[Month Year]],'Modelling New'!D:D,'Modelling New'!$O:$O)*PA[[#This Row],[Lost PoA(Wh/m2)]]*PA[[#This Row],[DC Capacity Affceted (kW)]])/1000,"")</f>
        <v/>
      </c>
      <c r="AF467" s="35"/>
    </row>
    <row r="468" spans="1:32">
      <c r="A468" s="2">
        <f t="shared" si="31"/>
        <v>465</v>
      </c>
      <c r="B468" s="156">
        <f t="shared" si="29"/>
        <v>1900</v>
      </c>
      <c r="C468" s="129">
        <f t="shared" si="30"/>
        <v>1900</v>
      </c>
      <c r="I468" s="31" t="str">
        <f>IFERROR(VLOOKUP(PA[[#This Row],[Date]],Raw_Data[[Date]:[Sunset Time (POA&lt;20 W/m2)]],3,0),"")</f>
        <v/>
      </c>
      <c r="J468" s="31" t="str">
        <f>IFERROR(VLOOKUP(PA[[#This Row],[Date]],Raw_Data[[Date]:[Sunset Time (POA&lt;20 W/m2)]],4,0),"")</f>
        <v/>
      </c>
      <c r="K468" s="49" t="str">
        <f>IFERROR((PA[[#This Row],[Sunset Time (POA&lt;20 W/m2)]]-PA[[#This Row],[Sunrise Time (POA&gt;20 W/m2)]])*24,"")</f>
        <v/>
      </c>
      <c r="M468" s="46" t="str">
        <f>IFERROR(VLOOKUP(PA[[#This Row],[Affceted Equipment]],'Basic Data'!$A$2:$B$114,2,0),"")</f>
        <v/>
      </c>
      <c r="N468" s="48" t="str">
        <f>IFERROR(VLOOKUP(PA[[#This Row],[Affceted Equipment]],'Basic Data'!$A$1:$C$118,3,0),"")</f>
        <v/>
      </c>
      <c r="W468" s="33">
        <f>IF(PA[[#This Row],[Acknowledgemnet Time ]]="NA","",(PA[[#This Row],[Acknowledgemnet Time ]]-PA[[#This Row],[Fault Time]])*24)</f>
        <v>0</v>
      </c>
      <c r="X468" s="33">
        <f>IF(PA[[#This Row],[Work Start time on Fault]]="NA","",(PA[[#This Row],[Work Start time on Fault]]-PA[[#This Row],[Fault Time]])*24)</f>
        <v>0</v>
      </c>
      <c r="Y468" s="35">
        <f>(PA[[#This Row],[Work Completiuon time on fualt]]-PA[[#This Row],[Fault Time]])*24</f>
        <v>0</v>
      </c>
      <c r="Z468" s="35">
        <f>IFERROR((PA[[#This Row],[Work Completiuon time on fualt]]-PA[[#This Row],[Fault Time]])*24,"")</f>
        <v>0</v>
      </c>
      <c r="AC468" s="47" t="str">
        <f>IFERROR(PA[[#This Row],[Breakdown Time]]*PA[[#This Row],[Plant Equivalent Weightage]],"")</f>
        <v/>
      </c>
      <c r="AE468" s="33" t="str">
        <f>IFERROR((_xlfn.XLOOKUP(PA[[#This Row],[Month Year]],'Modelling New'!D:D,'Modelling New'!$O:$O)*PA[[#This Row],[Lost PoA(Wh/m2)]]*PA[[#This Row],[DC Capacity Affceted (kW)]])/1000,"")</f>
        <v/>
      </c>
      <c r="AF468" s="35"/>
    </row>
    <row r="469" spans="1:32">
      <c r="A469" s="2">
        <f t="shared" si="31"/>
        <v>466</v>
      </c>
      <c r="B469" s="156">
        <f t="shared" si="29"/>
        <v>1900</v>
      </c>
      <c r="C469" s="129">
        <f t="shared" si="30"/>
        <v>1900</v>
      </c>
      <c r="I469" s="31" t="str">
        <f>IFERROR(VLOOKUP(PA[[#This Row],[Date]],Raw_Data[[Date]:[Sunset Time (POA&lt;20 W/m2)]],3,0),"")</f>
        <v/>
      </c>
      <c r="J469" s="31" t="str">
        <f>IFERROR(VLOOKUP(PA[[#This Row],[Date]],Raw_Data[[Date]:[Sunset Time (POA&lt;20 W/m2)]],4,0),"")</f>
        <v/>
      </c>
      <c r="K469" s="49" t="str">
        <f>IFERROR((PA[[#This Row],[Sunset Time (POA&lt;20 W/m2)]]-PA[[#This Row],[Sunrise Time (POA&gt;20 W/m2)]])*24,"")</f>
        <v/>
      </c>
      <c r="M469" s="46" t="str">
        <f>IFERROR(VLOOKUP(PA[[#This Row],[Affceted Equipment]],'Basic Data'!$A$2:$B$114,2,0),"")</f>
        <v/>
      </c>
      <c r="N469" s="48" t="str">
        <f>IFERROR(VLOOKUP(PA[[#This Row],[Affceted Equipment]],'Basic Data'!$A$1:$C$118,3,0),"")</f>
        <v/>
      </c>
      <c r="W469" s="33">
        <f>IF(PA[[#This Row],[Acknowledgemnet Time ]]="NA","",(PA[[#This Row],[Acknowledgemnet Time ]]-PA[[#This Row],[Fault Time]])*24)</f>
        <v>0</v>
      </c>
      <c r="X469" s="33">
        <f>IF(PA[[#This Row],[Work Start time on Fault]]="NA","",(PA[[#This Row],[Work Start time on Fault]]-PA[[#This Row],[Fault Time]])*24)</f>
        <v>0</v>
      </c>
      <c r="Y469" s="35">
        <f>(PA[[#This Row],[Work Completiuon time on fualt]]-PA[[#This Row],[Fault Time]])*24</f>
        <v>0</v>
      </c>
      <c r="Z469" s="35">
        <f>IFERROR((PA[[#This Row],[Work Completiuon time on fualt]]-PA[[#This Row],[Fault Time]])*24,"")</f>
        <v>0</v>
      </c>
      <c r="AC469" s="47" t="str">
        <f>IFERROR(PA[[#This Row],[Breakdown Time]]*PA[[#This Row],[Plant Equivalent Weightage]],"")</f>
        <v/>
      </c>
      <c r="AE469" s="33" t="str">
        <f>IFERROR((_xlfn.XLOOKUP(PA[[#This Row],[Month Year]],'Modelling New'!D:D,'Modelling New'!$O:$O)*PA[[#This Row],[Lost PoA(Wh/m2)]]*PA[[#This Row],[DC Capacity Affceted (kW)]])/1000,"")</f>
        <v/>
      </c>
      <c r="AF469" s="35"/>
    </row>
    <row r="470" spans="1:32">
      <c r="A470" s="2">
        <f t="shared" si="31"/>
        <v>467</v>
      </c>
      <c r="B470" s="156">
        <f t="shared" si="29"/>
        <v>1900</v>
      </c>
      <c r="C470" s="129">
        <f t="shared" si="30"/>
        <v>1900</v>
      </c>
      <c r="I470" s="31" t="str">
        <f>IFERROR(VLOOKUP(PA[[#This Row],[Date]],Raw_Data[[Date]:[Sunset Time (POA&lt;20 W/m2)]],3,0),"")</f>
        <v/>
      </c>
      <c r="J470" s="31" t="str">
        <f>IFERROR(VLOOKUP(PA[[#This Row],[Date]],Raw_Data[[Date]:[Sunset Time (POA&lt;20 W/m2)]],4,0),"")</f>
        <v/>
      </c>
      <c r="K470" s="49" t="str">
        <f>IFERROR((PA[[#This Row],[Sunset Time (POA&lt;20 W/m2)]]-PA[[#This Row],[Sunrise Time (POA&gt;20 W/m2)]])*24,"")</f>
        <v/>
      </c>
      <c r="M470" s="46" t="str">
        <f>IFERROR(VLOOKUP(PA[[#This Row],[Affceted Equipment]],'Basic Data'!$A$2:$B$114,2,0),"")</f>
        <v/>
      </c>
      <c r="N470" s="48" t="str">
        <f>IFERROR(VLOOKUP(PA[[#This Row],[Affceted Equipment]],'Basic Data'!$A$1:$C$118,3,0),"")</f>
        <v/>
      </c>
      <c r="W470" s="33">
        <f>IF(PA[[#This Row],[Acknowledgemnet Time ]]="NA","",(PA[[#This Row],[Acknowledgemnet Time ]]-PA[[#This Row],[Fault Time]])*24)</f>
        <v>0</v>
      </c>
      <c r="X470" s="33">
        <f>IF(PA[[#This Row],[Work Start time on Fault]]="NA","",(PA[[#This Row],[Work Start time on Fault]]-PA[[#This Row],[Fault Time]])*24)</f>
        <v>0</v>
      </c>
      <c r="Y470" s="35">
        <f>(PA[[#This Row],[Work Completiuon time on fualt]]-PA[[#This Row],[Fault Time]])*24</f>
        <v>0</v>
      </c>
      <c r="Z470" s="35">
        <f>IFERROR((PA[[#This Row],[Work Completiuon time on fualt]]-PA[[#This Row],[Fault Time]])*24,"")</f>
        <v>0</v>
      </c>
      <c r="AC470" s="47" t="str">
        <f>IFERROR(PA[[#This Row],[Breakdown Time]]*PA[[#This Row],[Plant Equivalent Weightage]],"")</f>
        <v/>
      </c>
      <c r="AE470" s="33" t="str">
        <f>IFERROR((_xlfn.XLOOKUP(PA[[#This Row],[Month Year]],'Modelling New'!D:D,'Modelling New'!$O:$O)*PA[[#This Row],[Lost PoA(Wh/m2)]]*PA[[#This Row],[DC Capacity Affceted (kW)]])/1000,"")</f>
        <v/>
      </c>
      <c r="AF470" s="35"/>
    </row>
    <row r="471" spans="1:32">
      <c r="A471" s="2">
        <f t="shared" si="31"/>
        <v>468</v>
      </c>
      <c r="B471" s="156">
        <f t="shared" si="29"/>
        <v>1900</v>
      </c>
      <c r="C471" s="129">
        <f t="shared" si="30"/>
        <v>1900</v>
      </c>
      <c r="I471" s="31" t="str">
        <f>IFERROR(VLOOKUP(PA[[#This Row],[Date]],Raw_Data[[Date]:[Sunset Time (POA&lt;20 W/m2)]],3,0),"")</f>
        <v/>
      </c>
      <c r="J471" s="31" t="str">
        <f>IFERROR(VLOOKUP(PA[[#This Row],[Date]],Raw_Data[[Date]:[Sunset Time (POA&lt;20 W/m2)]],4,0),"")</f>
        <v/>
      </c>
      <c r="K471" s="49" t="str">
        <f>IFERROR((PA[[#This Row],[Sunset Time (POA&lt;20 W/m2)]]-PA[[#This Row],[Sunrise Time (POA&gt;20 W/m2)]])*24,"")</f>
        <v/>
      </c>
      <c r="M471" s="46" t="str">
        <f>IFERROR(VLOOKUP(PA[[#This Row],[Affceted Equipment]],'Basic Data'!$A$2:$B$114,2,0),"")</f>
        <v/>
      </c>
      <c r="N471" s="48" t="str">
        <f>IFERROR(VLOOKUP(PA[[#This Row],[Affceted Equipment]],'Basic Data'!$A$1:$C$118,3,0),"")</f>
        <v/>
      </c>
      <c r="W471" s="33">
        <f>IF(PA[[#This Row],[Acknowledgemnet Time ]]="NA","",(PA[[#This Row],[Acknowledgemnet Time ]]-PA[[#This Row],[Fault Time]])*24)</f>
        <v>0</v>
      </c>
      <c r="X471" s="33">
        <f>IF(PA[[#This Row],[Work Start time on Fault]]="NA","",(PA[[#This Row],[Work Start time on Fault]]-PA[[#This Row],[Fault Time]])*24)</f>
        <v>0</v>
      </c>
      <c r="Y471" s="35">
        <f>(PA[[#This Row],[Work Completiuon time on fualt]]-PA[[#This Row],[Fault Time]])*24</f>
        <v>0</v>
      </c>
      <c r="Z471" s="35">
        <f>IFERROR((PA[[#This Row],[Work Completiuon time on fualt]]-PA[[#This Row],[Fault Time]])*24,"")</f>
        <v>0</v>
      </c>
      <c r="AC471" s="47" t="str">
        <f>IFERROR(PA[[#This Row],[Breakdown Time]]*PA[[#This Row],[Plant Equivalent Weightage]],"")</f>
        <v/>
      </c>
      <c r="AE471" s="33" t="str">
        <f>IFERROR((_xlfn.XLOOKUP(PA[[#This Row],[Month Year]],'Modelling New'!D:D,'Modelling New'!$O:$O)*PA[[#This Row],[Lost PoA(Wh/m2)]]*PA[[#This Row],[DC Capacity Affceted (kW)]])/1000,"")</f>
        <v/>
      </c>
      <c r="AF471" s="35"/>
    </row>
    <row r="472" spans="1:32">
      <c r="A472" s="2">
        <f t="shared" si="31"/>
        <v>469</v>
      </c>
      <c r="B472" s="156">
        <f t="shared" si="29"/>
        <v>1900</v>
      </c>
      <c r="C472" s="129">
        <f t="shared" si="30"/>
        <v>1900</v>
      </c>
      <c r="I472" s="31" t="str">
        <f>IFERROR(VLOOKUP(PA[[#This Row],[Date]],Raw_Data[[Date]:[Sunset Time (POA&lt;20 W/m2)]],3,0),"")</f>
        <v/>
      </c>
      <c r="J472" s="31" t="str">
        <f>IFERROR(VLOOKUP(PA[[#This Row],[Date]],Raw_Data[[Date]:[Sunset Time (POA&lt;20 W/m2)]],4,0),"")</f>
        <v/>
      </c>
      <c r="K472" s="49" t="str">
        <f>IFERROR((PA[[#This Row],[Sunset Time (POA&lt;20 W/m2)]]-PA[[#This Row],[Sunrise Time (POA&gt;20 W/m2)]])*24,"")</f>
        <v/>
      </c>
      <c r="M472" s="46" t="str">
        <f>IFERROR(VLOOKUP(PA[[#This Row],[Affceted Equipment]],'Basic Data'!$A$2:$B$114,2,0),"")</f>
        <v/>
      </c>
      <c r="N472" s="48" t="str">
        <f>IFERROR(VLOOKUP(PA[[#This Row],[Affceted Equipment]],'Basic Data'!$A$1:$C$118,3,0),"")</f>
        <v/>
      </c>
      <c r="W472" s="33">
        <f>IF(PA[[#This Row],[Acknowledgemnet Time ]]="NA","",(PA[[#This Row],[Acknowledgemnet Time ]]-PA[[#This Row],[Fault Time]])*24)</f>
        <v>0</v>
      </c>
      <c r="X472" s="33">
        <f>IF(PA[[#This Row],[Work Start time on Fault]]="NA","",(PA[[#This Row],[Work Start time on Fault]]-PA[[#This Row],[Fault Time]])*24)</f>
        <v>0</v>
      </c>
      <c r="Y472" s="35">
        <f>(PA[[#This Row],[Work Completiuon time on fualt]]-PA[[#This Row],[Fault Time]])*24</f>
        <v>0</v>
      </c>
      <c r="Z472" s="35">
        <f>IFERROR((PA[[#This Row],[Work Completiuon time on fualt]]-PA[[#This Row],[Fault Time]])*24,"")</f>
        <v>0</v>
      </c>
      <c r="AC472" s="47" t="str">
        <f>IFERROR(PA[[#This Row],[Breakdown Time]]*PA[[#This Row],[Plant Equivalent Weightage]],"")</f>
        <v/>
      </c>
      <c r="AE472" s="33" t="str">
        <f>IFERROR((_xlfn.XLOOKUP(PA[[#This Row],[Month Year]],'Modelling New'!D:D,'Modelling New'!$O:$O)*PA[[#This Row],[Lost PoA(Wh/m2)]]*PA[[#This Row],[DC Capacity Affceted (kW)]])/1000,"")</f>
        <v/>
      </c>
      <c r="AF472" s="35"/>
    </row>
    <row r="473" spans="1:32">
      <c r="A473" s="2">
        <f t="shared" si="31"/>
        <v>470</v>
      </c>
      <c r="B473" s="156">
        <f t="shared" si="29"/>
        <v>1900</v>
      </c>
      <c r="C473" s="129">
        <f t="shared" si="30"/>
        <v>1900</v>
      </c>
      <c r="I473" s="31" t="str">
        <f>IFERROR(VLOOKUP(PA[[#This Row],[Date]],Raw_Data[[Date]:[Sunset Time (POA&lt;20 W/m2)]],3,0),"")</f>
        <v/>
      </c>
      <c r="J473" s="31" t="str">
        <f>IFERROR(VLOOKUP(PA[[#This Row],[Date]],Raw_Data[[Date]:[Sunset Time (POA&lt;20 W/m2)]],4,0),"")</f>
        <v/>
      </c>
      <c r="K473" s="49" t="str">
        <f>IFERROR((PA[[#This Row],[Sunset Time (POA&lt;20 W/m2)]]-PA[[#This Row],[Sunrise Time (POA&gt;20 W/m2)]])*24,"")</f>
        <v/>
      </c>
      <c r="M473" s="46" t="str">
        <f>IFERROR(VLOOKUP(PA[[#This Row],[Affceted Equipment]],'Basic Data'!$A$2:$B$114,2,0),"")</f>
        <v/>
      </c>
      <c r="N473" s="48" t="str">
        <f>IFERROR(VLOOKUP(PA[[#This Row],[Affceted Equipment]],'Basic Data'!$A$1:$C$118,3,0),"")</f>
        <v/>
      </c>
      <c r="W473" s="33">
        <f>IF(PA[[#This Row],[Acknowledgemnet Time ]]="NA","",(PA[[#This Row],[Acknowledgemnet Time ]]-PA[[#This Row],[Fault Time]])*24)</f>
        <v>0</v>
      </c>
      <c r="X473" s="33">
        <f>IF(PA[[#This Row],[Work Start time on Fault]]="NA","",(PA[[#This Row],[Work Start time on Fault]]-PA[[#This Row],[Fault Time]])*24)</f>
        <v>0</v>
      </c>
      <c r="Y473" s="35">
        <f>(PA[[#This Row],[Work Completiuon time on fualt]]-PA[[#This Row],[Fault Time]])*24</f>
        <v>0</v>
      </c>
      <c r="Z473" s="35">
        <f>IFERROR((PA[[#This Row],[Work Completiuon time on fualt]]-PA[[#This Row],[Fault Time]])*24,"")</f>
        <v>0</v>
      </c>
      <c r="AC473" s="47" t="str">
        <f>IFERROR(PA[[#This Row],[Breakdown Time]]*PA[[#This Row],[Plant Equivalent Weightage]],"")</f>
        <v/>
      </c>
      <c r="AE473" s="33" t="str">
        <f>IFERROR((_xlfn.XLOOKUP(PA[[#This Row],[Month Year]],'Modelling New'!D:D,'Modelling New'!$O:$O)*PA[[#This Row],[Lost PoA(Wh/m2)]]*PA[[#This Row],[DC Capacity Affceted (kW)]])/1000,"")</f>
        <v/>
      </c>
      <c r="AF473" s="35"/>
    </row>
    <row r="474" spans="1:32">
      <c r="A474" s="2">
        <f t="shared" si="31"/>
        <v>471</v>
      </c>
      <c r="B474" s="156">
        <f t="shared" si="29"/>
        <v>1900</v>
      </c>
      <c r="C474" s="129">
        <f t="shared" si="30"/>
        <v>1900</v>
      </c>
      <c r="I474" s="31" t="str">
        <f>IFERROR(VLOOKUP(PA[[#This Row],[Date]],Raw_Data[[Date]:[Sunset Time (POA&lt;20 W/m2)]],3,0),"")</f>
        <v/>
      </c>
      <c r="J474" s="31" t="str">
        <f>IFERROR(VLOOKUP(PA[[#This Row],[Date]],Raw_Data[[Date]:[Sunset Time (POA&lt;20 W/m2)]],4,0),"")</f>
        <v/>
      </c>
      <c r="K474" s="49" t="str">
        <f>IFERROR((PA[[#This Row],[Sunset Time (POA&lt;20 W/m2)]]-PA[[#This Row],[Sunrise Time (POA&gt;20 W/m2)]])*24,"")</f>
        <v/>
      </c>
      <c r="M474" s="46" t="str">
        <f>IFERROR(VLOOKUP(PA[[#This Row],[Affceted Equipment]],'Basic Data'!$A$2:$B$114,2,0),"")</f>
        <v/>
      </c>
      <c r="N474" s="48" t="str">
        <f>IFERROR(VLOOKUP(PA[[#This Row],[Affceted Equipment]],'Basic Data'!$A$1:$C$118,3,0),"")</f>
        <v/>
      </c>
      <c r="W474" s="33">
        <f>IF(PA[[#This Row],[Acknowledgemnet Time ]]="NA","",(PA[[#This Row],[Acknowledgemnet Time ]]-PA[[#This Row],[Fault Time]])*24)</f>
        <v>0</v>
      </c>
      <c r="X474" s="33">
        <f>IF(PA[[#This Row],[Work Start time on Fault]]="NA","",(PA[[#This Row],[Work Start time on Fault]]-PA[[#This Row],[Fault Time]])*24)</f>
        <v>0</v>
      </c>
      <c r="Y474" s="35">
        <f>(PA[[#This Row],[Work Completiuon time on fualt]]-PA[[#This Row],[Fault Time]])*24</f>
        <v>0</v>
      </c>
      <c r="Z474" s="35">
        <f>IFERROR((PA[[#This Row],[Work Completiuon time on fualt]]-PA[[#This Row],[Fault Time]])*24,"")</f>
        <v>0</v>
      </c>
      <c r="AC474" s="47" t="str">
        <f>IFERROR(PA[[#This Row],[Breakdown Time]]*PA[[#This Row],[Plant Equivalent Weightage]],"")</f>
        <v/>
      </c>
      <c r="AE474" s="33" t="str">
        <f>IFERROR((_xlfn.XLOOKUP(PA[[#This Row],[Month Year]],'Modelling New'!D:D,'Modelling New'!$O:$O)*PA[[#This Row],[Lost PoA(Wh/m2)]]*PA[[#This Row],[DC Capacity Affceted (kW)]])/1000,"")</f>
        <v/>
      </c>
      <c r="AF474" s="35"/>
    </row>
    <row r="475" spans="1:32">
      <c r="A475" s="2">
        <f t="shared" si="31"/>
        <v>472</v>
      </c>
      <c r="B475" s="156">
        <f t="shared" si="29"/>
        <v>1900</v>
      </c>
      <c r="C475" s="129">
        <f t="shared" si="30"/>
        <v>1900</v>
      </c>
      <c r="I475" s="31" t="str">
        <f>IFERROR(VLOOKUP(PA[[#This Row],[Date]],Raw_Data[[Date]:[Sunset Time (POA&lt;20 W/m2)]],3,0),"")</f>
        <v/>
      </c>
      <c r="J475" s="31" t="str">
        <f>IFERROR(VLOOKUP(PA[[#This Row],[Date]],Raw_Data[[Date]:[Sunset Time (POA&lt;20 W/m2)]],4,0),"")</f>
        <v/>
      </c>
      <c r="K475" s="49" t="str">
        <f>IFERROR((PA[[#This Row],[Sunset Time (POA&lt;20 W/m2)]]-PA[[#This Row],[Sunrise Time (POA&gt;20 W/m2)]])*24,"")</f>
        <v/>
      </c>
      <c r="M475" s="46" t="str">
        <f>IFERROR(VLOOKUP(PA[[#This Row],[Affceted Equipment]],'Basic Data'!$A$2:$B$114,2,0),"")</f>
        <v/>
      </c>
      <c r="N475" s="48" t="str">
        <f>IFERROR(VLOOKUP(PA[[#This Row],[Affceted Equipment]],'Basic Data'!$A$1:$C$118,3,0),"")</f>
        <v/>
      </c>
      <c r="W475" s="33">
        <f>IF(PA[[#This Row],[Acknowledgemnet Time ]]="NA","",(PA[[#This Row],[Acknowledgemnet Time ]]-PA[[#This Row],[Fault Time]])*24)</f>
        <v>0</v>
      </c>
      <c r="X475" s="33">
        <f>IF(PA[[#This Row],[Work Start time on Fault]]="NA","",(PA[[#This Row],[Work Start time on Fault]]-PA[[#This Row],[Fault Time]])*24)</f>
        <v>0</v>
      </c>
      <c r="Y475" s="35">
        <f>(PA[[#This Row],[Work Completiuon time on fualt]]-PA[[#This Row],[Fault Time]])*24</f>
        <v>0</v>
      </c>
      <c r="Z475" s="35">
        <f>IFERROR((PA[[#This Row],[Work Completiuon time on fualt]]-PA[[#This Row],[Fault Time]])*24,"")</f>
        <v>0</v>
      </c>
      <c r="AC475" s="47" t="str">
        <f>IFERROR(PA[[#This Row],[Breakdown Time]]*PA[[#This Row],[Plant Equivalent Weightage]],"")</f>
        <v/>
      </c>
      <c r="AE475" s="33" t="str">
        <f>IFERROR((_xlfn.XLOOKUP(PA[[#This Row],[Month Year]],'Modelling New'!D:D,'Modelling New'!$O:$O)*PA[[#This Row],[Lost PoA(Wh/m2)]]*PA[[#This Row],[DC Capacity Affceted (kW)]])/1000,"")</f>
        <v/>
      </c>
      <c r="AF475" s="35"/>
    </row>
    <row r="476" spans="1:32">
      <c r="A476" s="2">
        <f t="shared" si="31"/>
        <v>473</v>
      </c>
      <c r="B476" s="156">
        <f t="shared" si="29"/>
        <v>1900</v>
      </c>
      <c r="C476" s="129">
        <f t="shared" si="30"/>
        <v>1900</v>
      </c>
      <c r="I476" s="31" t="str">
        <f>IFERROR(VLOOKUP(PA[[#This Row],[Date]],Raw_Data[[Date]:[Sunset Time (POA&lt;20 W/m2)]],3,0),"")</f>
        <v/>
      </c>
      <c r="J476" s="31" t="str">
        <f>IFERROR(VLOOKUP(PA[[#This Row],[Date]],Raw_Data[[Date]:[Sunset Time (POA&lt;20 W/m2)]],4,0),"")</f>
        <v/>
      </c>
      <c r="K476" s="49" t="str">
        <f>IFERROR((PA[[#This Row],[Sunset Time (POA&lt;20 W/m2)]]-PA[[#This Row],[Sunrise Time (POA&gt;20 W/m2)]])*24,"")</f>
        <v/>
      </c>
      <c r="M476" s="46" t="str">
        <f>IFERROR(VLOOKUP(PA[[#This Row],[Affceted Equipment]],'Basic Data'!$A$2:$B$114,2,0),"")</f>
        <v/>
      </c>
      <c r="N476" s="48" t="str">
        <f>IFERROR(VLOOKUP(PA[[#This Row],[Affceted Equipment]],'Basic Data'!$A$1:$C$118,3,0),"")</f>
        <v/>
      </c>
      <c r="W476" s="33">
        <f>IF(PA[[#This Row],[Acknowledgemnet Time ]]="NA","",(PA[[#This Row],[Acknowledgemnet Time ]]-PA[[#This Row],[Fault Time]])*24)</f>
        <v>0</v>
      </c>
      <c r="X476" s="33">
        <f>IF(PA[[#This Row],[Work Start time on Fault]]="NA","",(PA[[#This Row],[Work Start time on Fault]]-PA[[#This Row],[Fault Time]])*24)</f>
        <v>0</v>
      </c>
      <c r="Y476" s="35">
        <f>(PA[[#This Row],[Work Completiuon time on fualt]]-PA[[#This Row],[Fault Time]])*24</f>
        <v>0</v>
      </c>
      <c r="Z476" s="35">
        <f>IFERROR((PA[[#This Row],[Work Completiuon time on fualt]]-PA[[#This Row],[Fault Time]])*24,"")</f>
        <v>0</v>
      </c>
      <c r="AC476" s="47" t="str">
        <f>IFERROR(PA[[#This Row],[Breakdown Time]]*PA[[#This Row],[Plant Equivalent Weightage]],"")</f>
        <v/>
      </c>
      <c r="AE476" s="33" t="str">
        <f>IFERROR((_xlfn.XLOOKUP(PA[[#This Row],[Month Year]],'Modelling New'!D:D,'Modelling New'!$O:$O)*PA[[#This Row],[Lost PoA(Wh/m2)]]*PA[[#This Row],[DC Capacity Affceted (kW)]])/1000,"")</f>
        <v/>
      </c>
      <c r="AF476" s="35"/>
    </row>
    <row r="477" spans="1:32">
      <c r="A477" s="2">
        <f t="shared" si="31"/>
        <v>474</v>
      </c>
      <c r="B477" s="156">
        <f t="shared" si="29"/>
        <v>1900</v>
      </c>
      <c r="C477" s="129">
        <f t="shared" si="30"/>
        <v>1900</v>
      </c>
      <c r="I477" s="31" t="str">
        <f>IFERROR(VLOOKUP(PA[[#This Row],[Date]],Raw_Data[[Date]:[Sunset Time (POA&lt;20 W/m2)]],3,0),"")</f>
        <v/>
      </c>
      <c r="J477" s="31" t="str">
        <f>IFERROR(VLOOKUP(PA[[#This Row],[Date]],Raw_Data[[Date]:[Sunset Time (POA&lt;20 W/m2)]],4,0),"")</f>
        <v/>
      </c>
      <c r="K477" s="49" t="str">
        <f>IFERROR((PA[[#This Row],[Sunset Time (POA&lt;20 W/m2)]]-PA[[#This Row],[Sunrise Time (POA&gt;20 W/m2)]])*24,"")</f>
        <v/>
      </c>
      <c r="M477" s="46" t="str">
        <f>IFERROR(VLOOKUP(PA[[#This Row],[Affceted Equipment]],'Basic Data'!$A$2:$B$114,2,0),"")</f>
        <v/>
      </c>
      <c r="N477" s="48" t="str">
        <f>IFERROR(VLOOKUP(PA[[#This Row],[Affceted Equipment]],'Basic Data'!$A$1:$C$118,3,0),"")</f>
        <v/>
      </c>
      <c r="W477" s="33">
        <f>IF(PA[[#This Row],[Acknowledgemnet Time ]]="NA","",(PA[[#This Row],[Acknowledgemnet Time ]]-PA[[#This Row],[Fault Time]])*24)</f>
        <v>0</v>
      </c>
      <c r="X477" s="33">
        <f>IF(PA[[#This Row],[Work Start time on Fault]]="NA","",(PA[[#This Row],[Work Start time on Fault]]-PA[[#This Row],[Fault Time]])*24)</f>
        <v>0</v>
      </c>
      <c r="Y477" s="35">
        <f>(PA[[#This Row],[Work Completiuon time on fualt]]-PA[[#This Row],[Fault Time]])*24</f>
        <v>0</v>
      </c>
      <c r="Z477" s="35">
        <f>IFERROR((PA[[#This Row],[Work Completiuon time on fualt]]-PA[[#This Row],[Fault Time]])*24,"")</f>
        <v>0</v>
      </c>
      <c r="AC477" s="47" t="str">
        <f>IFERROR(PA[[#This Row],[Breakdown Time]]*PA[[#This Row],[Plant Equivalent Weightage]],"")</f>
        <v/>
      </c>
      <c r="AE477" s="33" t="str">
        <f>IFERROR((_xlfn.XLOOKUP(PA[[#This Row],[Month Year]],'Modelling New'!D:D,'Modelling New'!$O:$O)*PA[[#This Row],[Lost PoA(Wh/m2)]]*PA[[#This Row],[DC Capacity Affceted (kW)]])/1000,"")</f>
        <v/>
      </c>
      <c r="AF477" s="35"/>
    </row>
    <row r="478" spans="1:32">
      <c r="A478" s="2">
        <f t="shared" si="31"/>
        <v>475</v>
      </c>
      <c r="B478" s="156">
        <f t="shared" si="29"/>
        <v>1900</v>
      </c>
      <c r="C478" s="129">
        <f t="shared" si="30"/>
        <v>1900</v>
      </c>
      <c r="I478" s="31" t="str">
        <f>IFERROR(VLOOKUP(PA[[#This Row],[Date]],Raw_Data[[Date]:[Sunset Time (POA&lt;20 W/m2)]],3,0),"")</f>
        <v/>
      </c>
      <c r="J478" s="31" t="str">
        <f>IFERROR(VLOOKUP(PA[[#This Row],[Date]],Raw_Data[[Date]:[Sunset Time (POA&lt;20 W/m2)]],4,0),"")</f>
        <v/>
      </c>
      <c r="K478" s="49" t="str">
        <f>IFERROR((PA[[#This Row],[Sunset Time (POA&lt;20 W/m2)]]-PA[[#This Row],[Sunrise Time (POA&gt;20 W/m2)]])*24,"")</f>
        <v/>
      </c>
      <c r="M478" s="46" t="str">
        <f>IFERROR(VLOOKUP(PA[[#This Row],[Affceted Equipment]],'Basic Data'!$A$2:$B$114,2,0),"")</f>
        <v/>
      </c>
      <c r="N478" s="48" t="str">
        <f>IFERROR(VLOOKUP(PA[[#This Row],[Affceted Equipment]],'Basic Data'!$A$1:$C$118,3,0),"")</f>
        <v/>
      </c>
      <c r="W478" s="33">
        <f>IF(PA[[#This Row],[Acknowledgemnet Time ]]="NA","",(PA[[#This Row],[Acknowledgemnet Time ]]-PA[[#This Row],[Fault Time]])*24)</f>
        <v>0</v>
      </c>
      <c r="X478" s="33">
        <f>IF(PA[[#This Row],[Work Start time on Fault]]="NA","",(PA[[#This Row],[Work Start time on Fault]]-PA[[#This Row],[Fault Time]])*24)</f>
        <v>0</v>
      </c>
      <c r="Y478" s="35">
        <f>(PA[[#This Row],[Work Completiuon time on fualt]]-PA[[#This Row],[Fault Time]])*24</f>
        <v>0</v>
      </c>
      <c r="Z478" s="35">
        <f>IFERROR((PA[[#This Row],[Work Completiuon time on fualt]]-PA[[#This Row],[Fault Time]])*24,"")</f>
        <v>0</v>
      </c>
      <c r="AC478" s="47" t="str">
        <f>IFERROR(PA[[#This Row],[Breakdown Time]]*PA[[#This Row],[Plant Equivalent Weightage]],"")</f>
        <v/>
      </c>
      <c r="AE478" s="33" t="str">
        <f>IFERROR((_xlfn.XLOOKUP(PA[[#This Row],[Month Year]],'Modelling New'!D:D,'Modelling New'!$O:$O)*PA[[#This Row],[Lost PoA(Wh/m2)]]*PA[[#This Row],[DC Capacity Affceted (kW)]])/1000,"")</f>
        <v/>
      </c>
      <c r="AF478" s="35"/>
    </row>
    <row r="479" spans="1:32">
      <c r="A479" s="2">
        <f t="shared" si="31"/>
        <v>476</v>
      </c>
      <c r="B479" s="156">
        <f t="shared" si="29"/>
        <v>1900</v>
      </c>
      <c r="C479" s="129">
        <f t="shared" si="30"/>
        <v>1900</v>
      </c>
      <c r="I479" s="31" t="str">
        <f>IFERROR(VLOOKUP(PA[[#This Row],[Date]],Raw_Data[[Date]:[Sunset Time (POA&lt;20 W/m2)]],3,0),"")</f>
        <v/>
      </c>
      <c r="J479" s="31" t="str">
        <f>IFERROR(VLOOKUP(PA[[#This Row],[Date]],Raw_Data[[Date]:[Sunset Time (POA&lt;20 W/m2)]],4,0),"")</f>
        <v/>
      </c>
      <c r="K479" s="49" t="str">
        <f>IFERROR((PA[[#This Row],[Sunset Time (POA&lt;20 W/m2)]]-PA[[#This Row],[Sunrise Time (POA&gt;20 W/m2)]])*24,"")</f>
        <v/>
      </c>
      <c r="M479" s="46" t="str">
        <f>IFERROR(VLOOKUP(PA[[#This Row],[Affceted Equipment]],'Basic Data'!$A$2:$B$114,2,0),"")</f>
        <v/>
      </c>
      <c r="N479" s="48" t="str">
        <f>IFERROR(VLOOKUP(PA[[#This Row],[Affceted Equipment]],'Basic Data'!$A$1:$C$118,3,0),"")</f>
        <v/>
      </c>
      <c r="W479" s="33">
        <f>IF(PA[[#This Row],[Acknowledgemnet Time ]]="NA","",(PA[[#This Row],[Acknowledgemnet Time ]]-PA[[#This Row],[Fault Time]])*24)</f>
        <v>0</v>
      </c>
      <c r="X479" s="33">
        <f>IF(PA[[#This Row],[Work Start time on Fault]]="NA","",(PA[[#This Row],[Work Start time on Fault]]-PA[[#This Row],[Fault Time]])*24)</f>
        <v>0</v>
      </c>
      <c r="Y479" s="35">
        <f>(PA[[#This Row],[Work Completiuon time on fualt]]-PA[[#This Row],[Fault Time]])*24</f>
        <v>0</v>
      </c>
      <c r="Z479" s="35">
        <f>IFERROR((PA[[#This Row],[Work Completiuon time on fualt]]-PA[[#This Row],[Fault Time]])*24,"")</f>
        <v>0</v>
      </c>
      <c r="AC479" s="47" t="str">
        <f>IFERROR(PA[[#This Row],[Breakdown Time]]*PA[[#This Row],[Plant Equivalent Weightage]],"")</f>
        <v/>
      </c>
      <c r="AE479" s="33" t="str">
        <f>IFERROR((_xlfn.XLOOKUP(PA[[#This Row],[Month Year]],'Modelling New'!D:D,'Modelling New'!$O:$O)*PA[[#This Row],[Lost PoA(Wh/m2)]]*PA[[#This Row],[DC Capacity Affceted (kW)]])/1000,"")</f>
        <v/>
      </c>
      <c r="AF479" s="35"/>
    </row>
    <row r="480" spans="1:32">
      <c r="A480" s="2">
        <f t="shared" si="31"/>
        <v>477</v>
      </c>
      <c r="B480" s="156">
        <f t="shared" si="29"/>
        <v>1900</v>
      </c>
      <c r="C480" s="129">
        <f t="shared" si="30"/>
        <v>1900</v>
      </c>
      <c r="I480" s="31" t="str">
        <f>IFERROR(VLOOKUP(PA[[#This Row],[Date]],Raw_Data[[Date]:[Sunset Time (POA&lt;20 W/m2)]],3,0),"")</f>
        <v/>
      </c>
      <c r="J480" s="31" t="str">
        <f>IFERROR(VLOOKUP(PA[[#This Row],[Date]],Raw_Data[[Date]:[Sunset Time (POA&lt;20 W/m2)]],4,0),"")</f>
        <v/>
      </c>
      <c r="K480" s="49" t="str">
        <f>IFERROR((PA[[#This Row],[Sunset Time (POA&lt;20 W/m2)]]-PA[[#This Row],[Sunrise Time (POA&gt;20 W/m2)]])*24,"")</f>
        <v/>
      </c>
      <c r="M480" s="46" t="str">
        <f>IFERROR(VLOOKUP(PA[[#This Row],[Affceted Equipment]],'Basic Data'!$A$2:$B$114,2,0),"")</f>
        <v/>
      </c>
      <c r="N480" s="48" t="str">
        <f>IFERROR(VLOOKUP(PA[[#This Row],[Affceted Equipment]],'Basic Data'!$A$1:$C$118,3,0),"")</f>
        <v/>
      </c>
      <c r="W480" s="33">
        <f>IF(PA[[#This Row],[Acknowledgemnet Time ]]="NA","",(PA[[#This Row],[Acknowledgemnet Time ]]-PA[[#This Row],[Fault Time]])*24)</f>
        <v>0</v>
      </c>
      <c r="X480" s="33">
        <f>IF(PA[[#This Row],[Work Start time on Fault]]="NA","",(PA[[#This Row],[Work Start time on Fault]]-PA[[#This Row],[Fault Time]])*24)</f>
        <v>0</v>
      </c>
      <c r="Y480" s="35">
        <f>(PA[[#This Row],[Work Completiuon time on fualt]]-PA[[#This Row],[Fault Time]])*24</f>
        <v>0</v>
      </c>
      <c r="Z480" s="35">
        <f>IFERROR((PA[[#This Row],[Work Completiuon time on fualt]]-PA[[#This Row],[Fault Time]])*24,"")</f>
        <v>0</v>
      </c>
      <c r="AC480" s="47" t="str">
        <f>IFERROR(PA[[#This Row],[Breakdown Time]]*PA[[#This Row],[Plant Equivalent Weightage]],"")</f>
        <v/>
      </c>
      <c r="AE480" s="33" t="str">
        <f>IFERROR((_xlfn.XLOOKUP(PA[[#This Row],[Month Year]],'Modelling New'!D:D,'Modelling New'!$O:$O)*PA[[#This Row],[Lost PoA(Wh/m2)]]*PA[[#This Row],[DC Capacity Affceted (kW)]])/1000,"")</f>
        <v/>
      </c>
      <c r="AF480" s="35"/>
    </row>
    <row r="481" spans="1:32">
      <c r="A481" s="2">
        <f t="shared" si="31"/>
        <v>478</v>
      </c>
      <c r="B481" s="156">
        <f t="shared" si="29"/>
        <v>1900</v>
      </c>
      <c r="C481" s="129">
        <f t="shared" si="30"/>
        <v>1900</v>
      </c>
      <c r="I481" s="31" t="str">
        <f>IFERROR(VLOOKUP(PA[[#This Row],[Date]],Raw_Data[[Date]:[Sunset Time (POA&lt;20 W/m2)]],3,0),"")</f>
        <v/>
      </c>
      <c r="J481" s="31" t="str">
        <f>IFERROR(VLOOKUP(PA[[#This Row],[Date]],Raw_Data[[Date]:[Sunset Time (POA&lt;20 W/m2)]],4,0),"")</f>
        <v/>
      </c>
      <c r="K481" s="49" t="str">
        <f>IFERROR((PA[[#This Row],[Sunset Time (POA&lt;20 W/m2)]]-PA[[#This Row],[Sunrise Time (POA&gt;20 W/m2)]])*24,"")</f>
        <v/>
      </c>
      <c r="M481" s="46" t="str">
        <f>IFERROR(VLOOKUP(PA[[#This Row],[Affceted Equipment]],'Basic Data'!$A$2:$B$114,2,0),"")</f>
        <v/>
      </c>
      <c r="N481" s="48" t="str">
        <f>IFERROR(VLOOKUP(PA[[#This Row],[Affceted Equipment]],'Basic Data'!$A$1:$C$118,3,0),"")</f>
        <v/>
      </c>
      <c r="W481" s="33">
        <f>IF(PA[[#This Row],[Acknowledgemnet Time ]]="NA","",(PA[[#This Row],[Acknowledgemnet Time ]]-PA[[#This Row],[Fault Time]])*24)</f>
        <v>0</v>
      </c>
      <c r="X481" s="33">
        <f>IF(PA[[#This Row],[Work Start time on Fault]]="NA","",(PA[[#This Row],[Work Start time on Fault]]-PA[[#This Row],[Fault Time]])*24)</f>
        <v>0</v>
      </c>
      <c r="Y481" s="35">
        <f>(PA[[#This Row],[Work Completiuon time on fualt]]-PA[[#This Row],[Fault Time]])*24</f>
        <v>0</v>
      </c>
      <c r="Z481" s="35">
        <f>IFERROR((PA[[#This Row],[Work Completiuon time on fualt]]-PA[[#This Row],[Fault Time]])*24,"")</f>
        <v>0</v>
      </c>
      <c r="AC481" s="47" t="str">
        <f>IFERROR(PA[[#This Row],[Breakdown Time]]*PA[[#This Row],[Plant Equivalent Weightage]],"")</f>
        <v/>
      </c>
      <c r="AE481" s="33" t="str">
        <f>IFERROR((_xlfn.XLOOKUP(PA[[#This Row],[Month Year]],'Modelling New'!D:D,'Modelling New'!$O:$O)*PA[[#This Row],[Lost PoA(Wh/m2)]]*PA[[#This Row],[DC Capacity Affceted (kW)]])/1000,"")</f>
        <v/>
      </c>
      <c r="AF481" s="35"/>
    </row>
    <row r="482" spans="1:32">
      <c r="A482" s="2">
        <f t="shared" si="31"/>
        <v>479</v>
      </c>
      <c r="B482" s="156">
        <f t="shared" si="29"/>
        <v>1900</v>
      </c>
      <c r="C482" s="129">
        <f t="shared" si="30"/>
        <v>1900</v>
      </c>
      <c r="I482" s="31" t="str">
        <f>IFERROR(VLOOKUP(PA[[#This Row],[Date]],Raw_Data[[Date]:[Sunset Time (POA&lt;20 W/m2)]],3,0),"")</f>
        <v/>
      </c>
      <c r="J482" s="31" t="str">
        <f>IFERROR(VLOOKUP(PA[[#This Row],[Date]],Raw_Data[[Date]:[Sunset Time (POA&lt;20 W/m2)]],4,0),"")</f>
        <v/>
      </c>
      <c r="K482" s="49" t="str">
        <f>IFERROR((PA[[#This Row],[Sunset Time (POA&lt;20 W/m2)]]-PA[[#This Row],[Sunrise Time (POA&gt;20 W/m2)]])*24,"")</f>
        <v/>
      </c>
      <c r="M482" s="46" t="str">
        <f>IFERROR(VLOOKUP(PA[[#This Row],[Affceted Equipment]],'Basic Data'!$A$2:$B$114,2,0),"")</f>
        <v/>
      </c>
      <c r="N482" s="48" t="str">
        <f>IFERROR(VLOOKUP(PA[[#This Row],[Affceted Equipment]],'Basic Data'!$A$1:$C$118,3,0),"")</f>
        <v/>
      </c>
      <c r="W482" s="33">
        <f>IF(PA[[#This Row],[Acknowledgemnet Time ]]="NA","",(PA[[#This Row],[Acknowledgemnet Time ]]-PA[[#This Row],[Fault Time]])*24)</f>
        <v>0</v>
      </c>
      <c r="X482" s="33">
        <f>IF(PA[[#This Row],[Work Start time on Fault]]="NA","",(PA[[#This Row],[Work Start time on Fault]]-PA[[#This Row],[Fault Time]])*24)</f>
        <v>0</v>
      </c>
      <c r="Y482" s="35">
        <f>(PA[[#This Row],[Work Completiuon time on fualt]]-PA[[#This Row],[Fault Time]])*24</f>
        <v>0</v>
      </c>
      <c r="Z482" s="35">
        <f>IFERROR((PA[[#This Row],[Work Completiuon time on fualt]]-PA[[#This Row],[Fault Time]])*24,"")</f>
        <v>0</v>
      </c>
      <c r="AC482" s="47" t="str">
        <f>IFERROR(PA[[#This Row],[Breakdown Time]]*PA[[#This Row],[Plant Equivalent Weightage]],"")</f>
        <v/>
      </c>
      <c r="AE482" s="33" t="str">
        <f>IFERROR((_xlfn.XLOOKUP(PA[[#This Row],[Month Year]],'Modelling New'!D:D,'Modelling New'!$O:$O)*PA[[#This Row],[Lost PoA(Wh/m2)]]*PA[[#This Row],[DC Capacity Affceted (kW)]])/1000,"")</f>
        <v/>
      </c>
      <c r="AF482" s="35"/>
    </row>
    <row r="483" spans="1:32">
      <c r="A483" s="2">
        <f t="shared" si="31"/>
        <v>480</v>
      </c>
      <c r="B483" s="156">
        <f t="shared" si="29"/>
        <v>1900</v>
      </c>
      <c r="C483" s="129">
        <f t="shared" si="30"/>
        <v>1900</v>
      </c>
      <c r="I483" s="31" t="str">
        <f>IFERROR(VLOOKUP(PA[[#This Row],[Date]],Raw_Data[[Date]:[Sunset Time (POA&lt;20 W/m2)]],3,0),"")</f>
        <v/>
      </c>
      <c r="J483" s="31" t="str">
        <f>IFERROR(VLOOKUP(PA[[#This Row],[Date]],Raw_Data[[Date]:[Sunset Time (POA&lt;20 W/m2)]],4,0),"")</f>
        <v/>
      </c>
      <c r="K483" s="49" t="str">
        <f>IFERROR((PA[[#This Row],[Sunset Time (POA&lt;20 W/m2)]]-PA[[#This Row],[Sunrise Time (POA&gt;20 W/m2)]])*24,"")</f>
        <v/>
      </c>
      <c r="M483" s="46" t="str">
        <f>IFERROR(VLOOKUP(PA[[#This Row],[Affceted Equipment]],'Basic Data'!$A$2:$B$114,2,0),"")</f>
        <v/>
      </c>
      <c r="N483" s="48" t="str">
        <f>IFERROR(VLOOKUP(PA[[#This Row],[Affceted Equipment]],'Basic Data'!$A$1:$C$118,3,0),"")</f>
        <v/>
      </c>
      <c r="W483" s="33">
        <f>IF(PA[[#This Row],[Acknowledgemnet Time ]]="NA","",(PA[[#This Row],[Acknowledgemnet Time ]]-PA[[#This Row],[Fault Time]])*24)</f>
        <v>0</v>
      </c>
      <c r="X483" s="33">
        <f>IF(PA[[#This Row],[Work Start time on Fault]]="NA","",(PA[[#This Row],[Work Start time on Fault]]-PA[[#This Row],[Fault Time]])*24)</f>
        <v>0</v>
      </c>
      <c r="Y483" s="35">
        <f>(PA[[#This Row],[Work Completiuon time on fualt]]-PA[[#This Row],[Fault Time]])*24</f>
        <v>0</v>
      </c>
      <c r="Z483" s="35">
        <f>IFERROR((PA[[#This Row],[Work Completiuon time on fualt]]-PA[[#This Row],[Fault Time]])*24,"")</f>
        <v>0</v>
      </c>
      <c r="AC483" s="47" t="str">
        <f>IFERROR(PA[[#This Row],[Breakdown Time]]*PA[[#This Row],[Plant Equivalent Weightage]],"")</f>
        <v/>
      </c>
      <c r="AE483" s="33" t="str">
        <f>IFERROR((_xlfn.XLOOKUP(PA[[#This Row],[Month Year]],'Modelling New'!D:D,'Modelling New'!$O:$O)*PA[[#This Row],[Lost PoA(Wh/m2)]]*PA[[#This Row],[DC Capacity Affceted (kW)]])/1000,"")</f>
        <v/>
      </c>
      <c r="AF483" s="35"/>
    </row>
    <row r="484" spans="1:32">
      <c r="A484" s="2">
        <f t="shared" si="31"/>
        <v>481</v>
      </c>
      <c r="B484" s="156">
        <f t="shared" si="29"/>
        <v>1900</v>
      </c>
      <c r="C484" s="129">
        <f t="shared" si="30"/>
        <v>1900</v>
      </c>
      <c r="I484" s="31" t="str">
        <f>IFERROR(VLOOKUP(PA[[#This Row],[Date]],Raw_Data[[Date]:[Sunset Time (POA&lt;20 W/m2)]],3,0),"")</f>
        <v/>
      </c>
      <c r="J484" s="31" t="str">
        <f>IFERROR(VLOOKUP(PA[[#This Row],[Date]],Raw_Data[[Date]:[Sunset Time (POA&lt;20 W/m2)]],4,0),"")</f>
        <v/>
      </c>
      <c r="K484" s="49" t="str">
        <f>IFERROR((PA[[#This Row],[Sunset Time (POA&lt;20 W/m2)]]-PA[[#This Row],[Sunrise Time (POA&gt;20 W/m2)]])*24,"")</f>
        <v/>
      </c>
      <c r="M484" s="46" t="str">
        <f>IFERROR(VLOOKUP(PA[[#This Row],[Affceted Equipment]],'Basic Data'!$A$2:$B$114,2,0),"")</f>
        <v/>
      </c>
      <c r="N484" s="48" t="str">
        <f>IFERROR(VLOOKUP(PA[[#This Row],[Affceted Equipment]],'Basic Data'!$A$1:$C$118,3,0),"")</f>
        <v/>
      </c>
      <c r="W484" s="33">
        <f>IF(PA[[#This Row],[Acknowledgemnet Time ]]="NA","",(PA[[#This Row],[Acknowledgemnet Time ]]-PA[[#This Row],[Fault Time]])*24)</f>
        <v>0</v>
      </c>
      <c r="X484" s="33">
        <f>IF(PA[[#This Row],[Work Start time on Fault]]="NA","",(PA[[#This Row],[Work Start time on Fault]]-PA[[#This Row],[Fault Time]])*24)</f>
        <v>0</v>
      </c>
      <c r="Y484" s="35">
        <f>(PA[[#This Row],[Work Completiuon time on fualt]]-PA[[#This Row],[Fault Time]])*24</f>
        <v>0</v>
      </c>
      <c r="Z484" s="35">
        <f>IFERROR((PA[[#This Row],[Work Completiuon time on fualt]]-PA[[#This Row],[Fault Time]])*24,"")</f>
        <v>0</v>
      </c>
      <c r="AC484" s="47" t="str">
        <f>IFERROR(PA[[#This Row],[Breakdown Time]]*PA[[#This Row],[Plant Equivalent Weightage]],"")</f>
        <v/>
      </c>
      <c r="AE484" s="33" t="str">
        <f>IFERROR((_xlfn.XLOOKUP(PA[[#This Row],[Month Year]],'Modelling New'!D:D,'Modelling New'!$O:$O)*PA[[#This Row],[Lost PoA(Wh/m2)]]*PA[[#This Row],[DC Capacity Affceted (kW)]])/1000,"")</f>
        <v/>
      </c>
      <c r="AF484" s="35"/>
    </row>
    <row r="485" spans="1:32">
      <c r="A485" s="2">
        <f t="shared" si="31"/>
        <v>482</v>
      </c>
      <c r="B485" s="156">
        <f t="shared" si="29"/>
        <v>1900</v>
      </c>
      <c r="C485" s="129">
        <f t="shared" si="30"/>
        <v>1900</v>
      </c>
      <c r="I485" s="31" t="str">
        <f>IFERROR(VLOOKUP(PA[[#This Row],[Date]],Raw_Data[[Date]:[Sunset Time (POA&lt;20 W/m2)]],3,0),"")</f>
        <v/>
      </c>
      <c r="J485" s="31" t="str">
        <f>IFERROR(VLOOKUP(PA[[#This Row],[Date]],Raw_Data[[Date]:[Sunset Time (POA&lt;20 W/m2)]],4,0),"")</f>
        <v/>
      </c>
      <c r="K485" s="49" t="str">
        <f>IFERROR((PA[[#This Row],[Sunset Time (POA&lt;20 W/m2)]]-PA[[#This Row],[Sunrise Time (POA&gt;20 W/m2)]])*24,"")</f>
        <v/>
      </c>
      <c r="M485" s="46" t="str">
        <f>IFERROR(VLOOKUP(PA[[#This Row],[Affceted Equipment]],'Basic Data'!$A$2:$B$114,2,0),"")</f>
        <v/>
      </c>
      <c r="N485" s="48" t="str">
        <f>IFERROR(VLOOKUP(PA[[#This Row],[Affceted Equipment]],'Basic Data'!$A$1:$C$118,3,0),"")</f>
        <v/>
      </c>
      <c r="W485" s="33">
        <f>IF(PA[[#This Row],[Acknowledgemnet Time ]]="NA","",(PA[[#This Row],[Acknowledgemnet Time ]]-PA[[#This Row],[Fault Time]])*24)</f>
        <v>0</v>
      </c>
      <c r="X485" s="33">
        <f>IF(PA[[#This Row],[Work Start time on Fault]]="NA","",(PA[[#This Row],[Work Start time on Fault]]-PA[[#This Row],[Fault Time]])*24)</f>
        <v>0</v>
      </c>
      <c r="Y485" s="35">
        <f>(PA[[#This Row],[Work Completiuon time on fualt]]-PA[[#This Row],[Fault Time]])*24</f>
        <v>0</v>
      </c>
      <c r="Z485" s="35">
        <f>IFERROR((PA[[#This Row],[Work Completiuon time on fualt]]-PA[[#This Row],[Fault Time]])*24,"")</f>
        <v>0</v>
      </c>
      <c r="AC485" s="47" t="str">
        <f>IFERROR(PA[[#This Row],[Breakdown Time]]*PA[[#This Row],[Plant Equivalent Weightage]],"")</f>
        <v/>
      </c>
      <c r="AE485" s="33" t="str">
        <f>IFERROR((_xlfn.XLOOKUP(PA[[#This Row],[Month Year]],'Modelling New'!D:D,'Modelling New'!$O:$O)*PA[[#This Row],[Lost PoA(Wh/m2)]]*PA[[#This Row],[DC Capacity Affceted (kW)]])/1000,"")</f>
        <v/>
      </c>
      <c r="AF485" s="35"/>
    </row>
    <row r="486" spans="1:32">
      <c r="A486" s="2">
        <f t="shared" si="31"/>
        <v>483</v>
      </c>
      <c r="B486" s="156">
        <f t="shared" si="29"/>
        <v>1900</v>
      </c>
      <c r="C486" s="129">
        <f t="shared" si="30"/>
        <v>1900</v>
      </c>
      <c r="I486" s="31" t="str">
        <f>IFERROR(VLOOKUP(PA[[#This Row],[Date]],Raw_Data[[Date]:[Sunset Time (POA&lt;20 W/m2)]],3,0),"")</f>
        <v/>
      </c>
      <c r="J486" s="31" t="str">
        <f>IFERROR(VLOOKUP(PA[[#This Row],[Date]],Raw_Data[[Date]:[Sunset Time (POA&lt;20 W/m2)]],4,0),"")</f>
        <v/>
      </c>
      <c r="K486" s="49" t="str">
        <f>IFERROR((PA[[#This Row],[Sunset Time (POA&lt;20 W/m2)]]-PA[[#This Row],[Sunrise Time (POA&gt;20 W/m2)]])*24,"")</f>
        <v/>
      </c>
      <c r="M486" s="46" t="str">
        <f>IFERROR(VLOOKUP(PA[[#This Row],[Affceted Equipment]],'Basic Data'!$A$2:$B$114,2,0),"")</f>
        <v/>
      </c>
      <c r="N486" s="48" t="str">
        <f>IFERROR(VLOOKUP(PA[[#This Row],[Affceted Equipment]],'Basic Data'!$A$1:$C$118,3,0),"")</f>
        <v/>
      </c>
      <c r="W486" s="33">
        <f>IF(PA[[#This Row],[Acknowledgemnet Time ]]="NA","",(PA[[#This Row],[Acknowledgemnet Time ]]-PA[[#This Row],[Fault Time]])*24)</f>
        <v>0</v>
      </c>
      <c r="X486" s="33">
        <f>IF(PA[[#This Row],[Work Start time on Fault]]="NA","",(PA[[#This Row],[Work Start time on Fault]]-PA[[#This Row],[Fault Time]])*24)</f>
        <v>0</v>
      </c>
      <c r="Y486" s="35">
        <f>(PA[[#This Row],[Work Completiuon time on fualt]]-PA[[#This Row],[Fault Time]])*24</f>
        <v>0</v>
      </c>
      <c r="Z486" s="35">
        <f>IFERROR((PA[[#This Row],[Work Completiuon time on fualt]]-PA[[#This Row],[Fault Time]])*24,"")</f>
        <v>0</v>
      </c>
      <c r="AC486" s="47" t="str">
        <f>IFERROR(PA[[#This Row],[Breakdown Time]]*PA[[#This Row],[Plant Equivalent Weightage]],"")</f>
        <v/>
      </c>
      <c r="AE486" s="33" t="str">
        <f>IFERROR((_xlfn.XLOOKUP(PA[[#This Row],[Month Year]],'Modelling New'!D:D,'Modelling New'!$O:$O)*PA[[#This Row],[Lost PoA(Wh/m2)]]*PA[[#This Row],[DC Capacity Affceted (kW)]])/1000,"")</f>
        <v/>
      </c>
      <c r="AF486" s="35"/>
    </row>
    <row r="487" spans="1:32">
      <c r="A487" s="2">
        <f t="shared" si="31"/>
        <v>484</v>
      </c>
      <c r="B487" s="156">
        <f t="shared" si="29"/>
        <v>1900</v>
      </c>
      <c r="C487" s="129">
        <f t="shared" si="30"/>
        <v>1900</v>
      </c>
      <c r="I487" s="31" t="str">
        <f>IFERROR(VLOOKUP(PA[[#This Row],[Date]],Raw_Data[[Date]:[Sunset Time (POA&lt;20 W/m2)]],3,0),"")</f>
        <v/>
      </c>
      <c r="J487" s="31" t="str">
        <f>IFERROR(VLOOKUP(PA[[#This Row],[Date]],Raw_Data[[Date]:[Sunset Time (POA&lt;20 W/m2)]],4,0),"")</f>
        <v/>
      </c>
      <c r="K487" s="49" t="str">
        <f>IFERROR((PA[[#This Row],[Sunset Time (POA&lt;20 W/m2)]]-PA[[#This Row],[Sunrise Time (POA&gt;20 W/m2)]])*24,"")</f>
        <v/>
      </c>
      <c r="M487" s="46" t="str">
        <f>IFERROR(VLOOKUP(PA[[#This Row],[Affceted Equipment]],'Basic Data'!$A$2:$B$114,2,0),"")</f>
        <v/>
      </c>
      <c r="N487" s="48" t="str">
        <f>IFERROR(VLOOKUP(PA[[#This Row],[Affceted Equipment]],'Basic Data'!$A$1:$C$118,3,0),"")</f>
        <v/>
      </c>
      <c r="W487" s="33">
        <f>IF(PA[[#This Row],[Acknowledgemnet Time ]]="NA","",(PA[[#This Row],[Acknowledgemnet Time ]]-PA[[#This Row],[Fault Time]])*24)</f>
        <v>0</v>
      </c>
      <c r="X487" s="33">
        <f>IF(PA[[#This Row],[Work Start time on Fault]]="NA","",(PA[[#This Row],[Work Start time on Fault]]-PA[[#This Row],[Fault Time]])*24)</f>
        <v>0</v>
      </c>
      <c r="Y487" s="35">
        <f>(PA[[#This Row],[Work Completiuon time on fualt]]-PA[[#This Row],[Fault Time]])*24</f>
        <v>0</v>
      </c>
      <c r="Z487" s="35">
        <f>IFERROR((PA[[#This Row],[Work Completiuon time on fualt]]-PA[[#This Row],[Fault Time]])*24,"")</f>
        <v>0</v>
      </c>
      <c r="AC487" s="47" t="str">
        <f>IFERROR(PA[[#This Row],[Breakdown Time]]*PA[[#This Row],[Plant Equivalent Weightage]],"")</f>
        <v/>
      </c>
      <c r="AE487" s="33" t="str">
        <f>IFERROR((_xlfn.XLOOKUP(PA[[#This Row],[Month Year]],'Modelling New'!D:D,'Modelling New'!$O:$O)*PA[[#This Row],[Lost PoA(Wh/m2)]]*PA[[#This Row],[DC Capacity Affceted (kW)]])/1000,"")</f>
        <v/>
      </c>
      <c r="AF487" s="35"/>
    </row>
    <row r="488" spans="1:32">
      <c r="A488" s="2">
        <f t="shared" si="31"/>
        <v>485</v>
      </c>
      <c r="B488" s="156">
        <f t="shared" si="29"/>
        <v>1900</v>
      </c>
      <c r="C488" s="129">
        <f t="shared" si="30"/>
        <v>1900</v>
      </c>
      <c r="I488" s="31" t="str">
        <f>IFERROR(VLOOKUP(PA[[#This Row],[Date]],Raw_Data[[Date]:[Sunset Time (POA&lt;20 W/m2)]],3,0),"")</f>
        <v/>
      </c>
      <c r="J488" s="31" t="str">
        <f>IFERROR(VLOOKUP(PA[[#This Row],[Date]],Raw_Data[[Date]:[Sunset Time (POA&lt;20 W/m2)]],4,0),"")</f>
        <v/>
      </c>
      <c r="K488" s="49" t="str">
        <f>IFERROR((PA[[#This Row],[Sunset Time (POA&lt;20 W/m2)]]-PA[[#This Row],[Sunrise Time (POA&gt;20 W/m2)]])*24,"")</f>
        <v/>
      </c>
      <c r="M488" s="46" t="str">
        <f>IFERROR(VLOOKUP(PA[[#This Row],[Affceted Equipment]],'Basic Data'!$A$2:$B$114,2,0),"")</f>
        <v/>
      </c>
      <c r="N488" s="48" t="str">
        <f>IFERROR(VLOOKUP(PA[[#This Row],[Affceted Equipment]],'Basic Data'!$A$1:$C$118,3,0),"")</f>
        <v/>
      </c>
      <c r="W488" s="33">
        <f>IF(PA[[#This Row],[Acknowledgemnet Time ]]="NA","",(PA[[#This Row],[Acknowledgemnet Time ]]-PA[[#This Row],[Fault Time]])*24)</f>
        <v>0</v>
      </c>
      <c r="X488" s="33">
        <f>IF(PA[[#This Row],[Work Start time on Fault]]="NA","",(PA[[#This Row],[Work Start time on Fault]]-PA[[#This Row],[Fault Time]])*24)</f>
        <v>0</v>
      </c>
      <c r="Y488" s="35">
        <f>(PA[[#This Row],[Work Completiuon time on fualt]]-PA[[#This Row],[Fault Time]])*24</f>
        <v>0</v>
      </c>
      <c r="Z488" s="35">
        <f>IFERROR((PA[[#This Row],[Work Completiuon time on fualt]]-PA[[#This Row],[Fault Time]])*24,"")</f>
        <v>0</v>
      </c>
      <c r="AC488" s="47" t="str">
        <f>IFERROR(PA[[#This Row],[Breakdown Time]]*PA[[#This Row],[Plant Equivalent Weightage]],"")</f>
        <v/>
      </c>
      <c r="AE488" s="33" t="str">
        <f>IFERROR((_xlfn.XLOOKUP(PA[[#This Row],[Month Year]],'Modelling New'!D:D,'Modelling New'!$O:$O)*PA[[#This Row],[Lost PoA(Wh/m2)]]*PA[[#This Row],[DC Capacity Affceted (kW)]])/1000,"")</f>
        <v/>
      </c>
      <c r="AF488" s="35"/>
    </row>
    <row r="489" spans="1:32">
      <c r="A489" s="2">
        <f t="shared" si="31"/>
        <v>486</v>
      </c>
      <c r="B489" s="156">
        <f t="shared" si="29"/>
        <v>1900</v>
      </c>
      <c r="C489" s="129">
        <f t="shared" si="30"/>
        <v>1900</v>
      </c>
      <c r="I489" s="31" t="str">
        <f>IFERROR(VLOOKUP(PA[[#This Row],[Date]],Raw_Data[[Date]:[Sunset Time (POA&lt;20 W/m2)]],3,0),"")</f>
        <v/>
      </c>
      <c r="J489" s="31" t="str">
        <f>IFERROR(VLOOKUP(PA[[#This Row],[Date]],Raw_Data[[Date]:[Sunset Time (POA&lt;20 W/m2)]],4,0),"")</f>
        <v/>
      </c>
      <c r="K489" s="49" t="str">
        <f>IFERROR((PA[[#This Row],[Sunset Time (POA&lt;20 W/m2)]]-PA[[#This Row],[Sunrise Time (POA&gt;20 W/m2)]])*24,"")</f>
        <v/>
      </c>
      <c r="M489" s="46" t="str">
        <f>IFERROR(VLOOKUP(PA[[#This Row],[Affceted Equipment]],'Basic Data'!$A$2:$B$114,2,0),"")</f>
        <v/>
      </c>
      <c r="N489" s="48" t="str">
        <f>IFERROR(VLOOKUP(PA[[#This Row],[Affceted Equipment]],'Basic Data'!$A$1:$C$118,3,0),"")</f>
        <v/>
      </c>
      <c r="W489" s="33">
        <f>IF(PA[[#This Row],[Acknowledgemnet Time ]]="NA","",(PA[[#This Row],[Acknowledgemnet Time ]]-PA[[#This Row],[Fault Time]])*24)</f>
        <v>0</v>
      </c>
      <c r="X489" s="33">
        <f>IF(PA[[#This Row],[Work Start time on Fault]]="NA","",(PA[[#This Row],[Work Start time on Fault]]-PA[[#This Row],[Fault Time]])*24)</f>
        <v>0</v>
      </c>
      <c r="Y489" s="35">
        <f>(PA[[#This Row],[Work Completiuon time on fualt]]-PA[[#This Row],[Fault Time]])*24</f>
        <v>0</v>
      </c>
      <c r="Z489" s="35">
        <f>IFERROR((PA[[#This Row],[Work Completiuon time on fualt]]-PA[[#This Row],[Fault Time]])*24,"")</f>
        <v>0</v>
      </c>
      <c r="AC489" s="47" t="str">
        <f>IFERROR(PA[[#This Row],[Breakdown Time]]*PA[[#This Row],[Plant Equivalent Weightage]],"")</f>
        <v/>
      </c>
      <c r="AE489" s="33" t="str">
        <f>IFERROR((_xlfn.XLOOKUP(PA[[#This Row],[Month Year]],'Modelling New'!D:D,'Modelling New'!$O:$O)*PA[[#This Row],[Lost PoA(Wh/m2)]]*PA[[#This Row],[DC Capacity Affceted (kW)]])/1000,"")</f>
        <v/>
      </c>
      <c r="AF489" s="35"/>
    </row>
    <row r="490" spans="1:32">
      <c r="A490" s="2">
        <f t="shared" si="31"/>
        <v>487</v>
      </c>
      <c r="B490" s="156">
        <f t="shared" si="29"/>
        <v>1900</v>
      </c>
      <c r="C490" s="129">
        <f t="shared" si="30"/>
        <v>1900</v>
      </c>
      <c r="I490" s="31" t="str">
        <f>IFERROR(VLOOKUP(PA[[#This Row],[Date]],Raw_Data[[Date]:[Sunset Time (POA&lt;20 W/m2)]],3,0),"")</f>
        <v/>
      </c>
      <c r="J490" s="31" t="str">
        <f>IFERROR(VLOOKUP(PA[[#This Row],[Date]],Raw_Data[[Date]:[Sunset Time (POA&lt;20 W/m2)]],4,0),"")</f>
        <v/>
      </c>
      <c r="K490" s="49" t="str">
        <f>IFERROR((PA[[#This Row],[Sunset Time (POA&lt;20 W/m2)]]-PA[[#This Row],[Sunrise Time (POA&gt;20 W/m2)]])*24,"")</f>
        <v/>
      </c>
      <c r="M490" s="46" t="str">
        <f>IFERROR(VLOOKUP(PA[[#This Row],[Affceted Equipment]],'Basic Data'!$A$2:$B$114,2,0),"")</f>
        <v/>
      </c>
      <c r="N490" s="48" t="str">
        <f>IFERROR(VLOOKUP(PA[[#This Row],[Affceted Equipment]],'Basic Data'!$A$1:$C$118,3,0),"")</f>
        <v/>
      </c>
      <c r="W490" s="33">
        <f>IF(PA[[#This Row],[Acknowledgemnet Time ]]="NA","",(PA[[#This Row],[Acknowledgemnet Time ]]-PA[[#This Row],[Fault Time]])*24)</f>
        <v>0</v>
      </c>
      <c r="X490" s="33">
        <f>IF(PA[[#This Row],[Work Start time on Fault]]="NA","",(PA[[#This Row],[Work Start time on Fault]]-PA[[#This Row],[Fault Time]])*24)</f>
        <v>0</v>
      </c>
      <c r="Y490" s="35">
        <f>(PA[[#This Row],[Work Completiuon time on fualt]]-PA[[#This Row],[Fault Time]])*24</f>
        <v>0</v>
      </c>
      <c r="Z490" s="35">
        <f>IFERROR((PA[[#This Row],[Work Completiuon time on fualt]]-PA[[#This Row],[Fault Time]])*24,"")</f>
        <v>0</v>
      </c>
      <c r="AC490" s="47" t="str">
        <f>IFERROR(PA[[#This Row],[Breakdown Time]]*PA[[#This Row],[Plant Equivalent Weightage]],"")</f>
        <v/>
      </c>
      <c r="AE490" s="33" t="str">
        <f>IFERROR((_xlfn.XLOOKUP(PA[[#This Row],[Month Year]],'Modelling New'!D:D,'Modelling New'!$O:$O)*PA[[#This Row],[Lost PoA(Wh/m2)]]*PA[[#This Row],[DC Capacity Affceted (kW)]])/1000,"")</f>
        <v/>
      </c>
      <c r="AF490" s="35"/>
    </row>
    <row r="491" spans="1:32">
      <c r="A491" s="2">
        <f t="shared" si="31"/>
        <v>488</v>
      </c>
      <c r="B491" s="156">
        <f t="shared" si="29"/>
        <v>1900</v>
      </c>
      <c r="C491" s="129">
        <f t="shared" si="30"/>
        <v>1900</v>
      </c>
      <c r="I491" s="31" t="str">
        <f>IFERROR(VLOOKUP(PA[[#This Row],[Date]],Raw_Data[[Date]:[Sunset Time (POA&lt;20 W/m2)]],3,0),"")</f>
        <v/>
      </c>
      <c r="J491" s="31" t="str">
        <f>IFERROR(VLOOKUP(PA[[#This Row],[Date]],Raw_Data[[Date]:[Sunset Time (POA&lt;20 W/m2)]],4,0),"")</f>
        <v/>
      </c>
      <c r="K491" s="49" t="str">
        <f>IFERROR((PA[[#This Row],[Sunset Time (POA&lt;20 W/m2)]]-PA[[#This Row],[Sunrise Time (POA&gt;20 W/m2)]])*24,"")</f>
        <v/>
      </c>
      <c r="M491" s="46" t="str">
        <f>IFERROR(VLOOKUP(PA[[#This Row],[Affceted Equipment]],'Basic Data'!$A$2:$B$114,2,0),"")</f>
        <v/>
      </c>
      <c r="N491" s="48" t="str">
        <f>IFERROR(VLOOKUP(PA[[#This Row],[Affceted Equipment]],'Basic Data'!$A$1:$C$118,3,0),"")</f>
        <v/>
      </c>
      <c r="W491" s="33">
        <f>IF(PA[[#This Row],[Acknowledgemnet Time ]]="NA","",(PA[[#This Row],[Acknowledgemnet Time ]]-PA[[#This Row],[Fault Time]])*24)</f>
        <v>0</v>
      </c>
      <c r="X491" s="33">
        <f>IF(PA[[#This Row],[Work Start time on Fault]]="NA","",(PA[[#This Row],[Work Start time on Fault]]-PA[[#This Row],[Fault Time]])*24)</f>
        <v>0</v>
      </c>
      <c r="Y491" s="35">
        <f>(PA[[#This Row],[Work Completiuon time on fualt]]-PA[[#This Row],[Fault Time]])*24</f>
        <v>0</v>
      </c>
      <c r="Z491" s="35">
        <f>IFERROR((PA[[#This Row],[Work Completiuon time on fualt]]-PA[[#This Row],[Fault Time]])*24,"")</f>
        <v>0</v>
      </c>
      <c r="AC491" s="47" t="str">
        <f>IFERROR(PA[[#This Row],[Breakdown Time]]*PA[[#This Row],[Plant Equivalent Weightage]],"")</f>
        <v/>
      </c>
      <c r="AE491" s="33" t="str">
        <f>IFERROR((_xlfn.XLOOKUP(PA[[#This Row],[Month Year]],'Modelling New'!D:D,'Modelling New'!$O:$O)*PA[[#This Row],[Lost PoA(Wh/m2)]]*PA[[#This Row],[DC Capacity Affceted (kW)]])/1000,"")</f>
        <v/>
      </c>
      <c r="AF491" s="35"/>
    </row>
    <row r="492" spans="1:32">
      <c r="A492" s="2">
        <f t="shared" si="31"/>
        <v>489</v>
      </c>
      <c r="B492" s="156">
        <f t="shared" si="29"/>
        <v>1900</v>
      </c>
      <c r="C492" s="129">
        <f t="shared" si="30"/>
        <v>1900</v>
      </c>
      <c r="I492" s="31" t="str">
        <f>IFERROR(VLOOKUP(PA[[#This Row],[Date]],Raw_Data[[Date]:[Sunset Time (POA&lt;20 W/m2)]],3,0),"")</f>
        <v/>
      </c>
      <c r="J492" s="31" t="str">
        <f>IFERROR(VLOOKUP(PA[[#This Row],[Date]],Raw_Data[[Date]:[Sunset Time (POA&lt;20 W/m2)]],4,0),"")</f>
        <v/>
      </c>
      <c r="K492" s="49" t="str">
        <f>IFERROR((PA[[#This Row],[Sunset Time (POA&lt;20 W/m2)]]-PA[[#This Row],[Sunrise Time (POA&gt;20 W/m2)]])*24,"")</f>
        <v/>
      </c>
      <c r="M492" s="46" t="str">
        <f>IFERROR(VLOOKUP(PA[[#This Row],[Affceted Equipment]],'Basic Data'!$A$2:$B$114,2,0),"")</f>
        <v/>
      </c>
      <c r="N492" s="48" t="str">
        <f>IFERROR(VLOOKUP(PA[[#This Row],[Affceted Equipment]],'Basic Data'!$A$1:$C$118,3,0),"")</f>
        <v/>
      </c>
      <c r="W492" s="33">
        <f>IF(PA[[#This Row],[Acknowledgemnet Time ]]="NA","",(PA[[#This Row],[Acknowledgemnet Time ]]-PA[[#This Row],[Fault Time]])*24)</f>
        <v>0</v>
      </c>
      <c r="X492" s="33">
        <f>IF(PA[[#This Row],[Work Start time on Fault]]="NA","",(PA[[#This Row],[Work Start time on Fault]]-PA[[#This Row],[Fault Time]])*24)</f>
        <v>0</v>
      </c>
      <c r="Y492" s="35">
        <f>(PA[[#This Row],[Work Completiuon time on fualt]]-PA[[#This Row],[Fault Time]])*24</f>
        <v>0</v>
      </c>
      <c r="Z492" s="35">
        <f>IFERROR((PA[[#This Row],[Work Completiuon time on fualt]]-PA[[#This Row],[Fault Time]])*24,"")</f>
        <v>0</v>
      </c>
      <c r="AC492" s="47" t="str">
        <f>IFERROR(PA[[#This Row],[Breakdown Time]]*PA[[#This Row],[Plant Equivalent Weightage]],"")</f>
        <v/>
      </c>
      <c r="AE492" s="33" t="str">
        <f>IFERROR((_xlfn.XLOOKUP(PA[[#This Row],[Month Year]],'Modelling New'!D:D,'Modelling New'!$O:$O)*PA[[#This Row],[Lost PoA(Wh/m2)]]*PA[[#This Row],[DC Capacity Affceted (kW)]])/1000,"")</f>
        <v/>
      </c>
      <c r="AF492" s="35"/>
    </row>
    <row r="493" spans="1:32">
      <c r="A493" s="2">
        <f t="shared" si="31"/>
        <v>490</v>
      </c>
      <c r="B493" s="156">
        <f t="shared" si="29"/>
        <v>1900</v>
      </c>
      <c r="C493" s="129">
        <f t="shared" si="30"/>
        <v>1900</v>
      </c>
      <c r="I493" s="31" t="str">
        <f>IFERROR(VLOOKUP(PA[[#This Row],[Date]],Raw_Data[[Date]:[Sunset Time (POA&lt;20 W/m2)]],3,0),"")</f>
        <v/>
      </c>
      <c r="J493" s="31" t="str">
        <f>IFERROR(VLOOKUP(PA[[#This Row],[Date]],Raw_Data[[Date]:[Sunset Time (POA&lt;20 W/m2)]],4,0),"")</f>
        <v/>
      </c>
      <c r="K493" s="49" t="str">
        <f>IFERROR((PA[[#This Row],[Sunset Time (POA&lt;20 W/m2)]]-PA[[#This Row],[Sunrise Time (POA&gt;20 W/m2)]])*24,"")</f>
        <v/>
      </c>
      <c r="M493" s="46" t="str">
        <f>IFERROR(VLOOKUP(PA[[#This Row],[Affceted Equipment]],'Basic Data'!$A$2:$B$114,2,0),"")</f>
        <v/>
      </c>
      <c r="N493" s="48" t="str">
        <f>IFERROR(VLOOKUP(PA[[#This Row],[Affceted Equipment]],'Basic Data'!$A$1:$C$118,3,0),"")</f>
        <v/>
      </c>
      <c r="W493" s="33">
        <f>IF(PA[[#This Row],[Acknowledgemnet Time ]]="NA","",(PA[[#This Row],[Acknowledgemnet Time ]]-PA[[#This Row],[Fault Time]])*24)</f>
        <v>0</v>
      </c>
      <c r="X493" s="33">
        <f>IF(PA[[#This Row],[Work Start time on Fault]]="NA","",(PA[[#This Row],[Work Start time on Fault]]-PA[[#This Row],[Fault Time]])*24)</f>
        <v>0</v>
      </c>
      <c r="Y493" s="35">
        <f>(PA[[#This Row],[Work Completiuon time on fualt]]-PA[[#This Row],[Fault Time]])*24</f>
        <v>0</v>
      </c>
      <c r="Z493" s="35">
        <f>IFERROR((PA[[#This Row],[Work Completiuon time on fualt]]-PA[[#This Row],[Fault Time]])*24,"")</f>
        <v>0</v>
      </c>
      <c r="AC493" s="47" t="str">
        <f>IFERROR(PA[[#This Row],[Breakdown Time]]*PA[[#This Row],[Plant Equivalent Weightage]],"")</f>
        <v/>
      </c>
      <c r="AE493" s="33" t="str">
        <f>IFERROR((_xlfn.XLOOKUP(PA[[#This Row],[Month Year]],'Modelling New'!D:D,'Modelling New'!$O:$O)*PA[[#This Row],[Lost PoA(Wh/m2)]]*PA[[#This Row],[DC Capacity Affceted (kW)]])/1000,"")</f>
        <v/>
      </c>
      <c r="AF493" s="35"/>
    </row>
    <row r="494" spans="1:32">
      <c r="A494" s="2">
        <f t="shared" si="31"/>
        <v>491</v>
      </c>
      <c r="B494" s="156">
        <f t="shared" si="29"/>
        <v>1900</v>
      </c>
      <c r="C494" s="129">
        <f t="shared" si="30"/>
        <v>1900</v>
      </c>
      <c r="I494" s="31" t="str">
        <f>IFERROR(VLOOKUP(PA[[#This Row],[Date]],Raw_Data[[Date]:[Sunset Time (POA&lt;20 W/m2)]],3,0),"")</f>
        <v/>
      </c>
      <c r="J494" s="31" t="str">
        <f>IFERROR(VLOOKUP(PA[[#This Row],[Date]],Raw_Data[[Date]:[Sunset Time (POA&lt;20 W/m2)]],4,0),"")</f>
        <v/>
      </c>
      <c r="K494" s="49" t="str">
        <f>IFERROR((PA[[#This Row],[Sunset Time (POA&lt;20 W/m2)]]-PA[[#This Row],[Sunrise Time (POA&gt;20 W/m2)]])*24,"")</f>
        <v/>
      </c>
      <c r="M494" s="46" t="str">
        <f>IFERROR(VLOOKUP(PA[[#This Row],[Affceted Equipment]],'Basic Data'!$A$2:$B$114,2,0),"")</f>
        <v/>
      </c>
      <c r="N494" s="48" t="str">
        <f>IFERROR(VLOOKUP(PA[[#This Row],[Affceted Equipment]],'Basic Data'!$A$1:$C$118,3,0),"")</f>
        <v/>
      </c>
      <c r="W494" s="33">
        <f>IF(PA[[#This Row],[Acknowledgemnet Time ]]="NA","",(PA[[#This Row],[Acknowledgemnet Time ]]-PA[[#This Row],[Fault Time]])*24)</f>
        <v>0</v>
      </c>
      <c r="X494" s="33">
        <f>IF(PA[[#This Row],[Work Start time on Fault]]="NA","",(PA[[#This Row],[Work Start time on Fault]]-PA[[#This Row],[Fault Time]])*24)</f>
        <v>0</v>
      </c>
      <c r="Y494" s="35">
        <f>(PA[[#This Row],[Work Completiuon time on fualt]]-PA[[#This Row],[Fault Time]])*24</f>
        <v>0</v>
      </c>
      <c r="Z494" s="35">
        <f>IFERROR((PA[[#This Row],[Work Completiuon time on fualt]]-PA[[#This Row],[Fault Time]])*24,"")</f>
        <v>0</v>
      </c>
      <c r="AC494" s="47" t="str">
        <f>IFERROR(PA[[#This Row],[Breakdown Time]]*PA[[#This Row],[Plant Equivalent Weightage]],"")</f>
        <v/>
      </c>
      <c r="AE494" s="33" t="str">
        <f>IFERROR((_xlfn.XLOOKUP(PA[[#This Row],[Month Year]],'Modelling New'!D:D,'Modelling New'!$O:$O)*PA[[#This Row],[Lost PoA(Wh/m2)]]*PA[[#This Row],[DC Capacity Affceted (kW)]])/1000,"")</f>
        <v/>
      </c>
      <c r="AF494" s="35"/>
    </row>
    <row r="495" spans="1:32">
      <c r="A495" s="2">
        <f t="shared" si="31"/>
        <v>492</v>
      </c>
      <c r="B495" s="156">
        <f t="shared" si="29"/>
        <v>1900</v>
      </c>
      <c r="C495" s="129">
        <f t="shared" si="30"/>
        <v>1900</v>
      </c>
      <c r="I495" s="31" t="str">
        <f>IFERROR(VLOOKUP(PA[[#This Row],[Date]],Raw_Data[[Date]:[Sunset Time (POA&lt;20 W/m2)]],3,0),"")</f>
        <v/>
      </c>
      <c r="J495" s="31" t="str">
        <f>IFERROR(VLOOKUP(PA[[#This Row],[Date]],Raw_Data[[Date]:[Sunset Time (POA&lt;20 W/m2)]],4,0),"")</f>
        <v/>
      </c>
      <c r="K495" s="49" t="str">
        <f>IFERROR((PA[[#This Row],[Sunset Time (POA&lt;20 W/m2)]]-PA[[#This Row],[Sunrise Time (POA&gt;20 W/m2)]])*24,"")</f>
        <v/>
      </c>
      <c r="M495" s="46" t="str">
        <f>IFERROR(VLOOKUP(PA[[#This Row],[Affceted Equipment]],'Basic Data'!$A$2:$B$114,2,0),"")</f>
        <v/>
      </c>
      <c r="N495" s="48" t="str">
        <f>IFERROR(VLOOKUP(PA[[#This Row],[Affceted Equipment]],'Basic Data'!$A$1:$C$118,3,0),"")</f>
        <v/>
      </c>
      <c r="W495" s="33">
        <f>IF(PA[[#This Row],[Acknowledgemnet Time ]]="NA","",(PA[[#This Row],[Acknowledgemnet Time ]]-PA[[#This Row],[Fault Time]])*24)</f>
        <v>0</v>
      </c>
      <c r="X495" s="33">
        <f>IF(PA[[#This Row],[Work Start time on Fault]]="NA","",(PA[[#This Row],[Work Start time on Fault]]-PA[[#This Row],[Fault Time]])*24)</f>
        <v>0</v>
      </c>
      <c r="Y495" s="35">
        <f>(PA[[#This Row],[Work Completiuon time on fualt]]-PA[[#This Row],[Fault Time]])*24</f>
        <v>0</v>
      </c>
      <c r="Z495" s="35">
        <f>IFERROR((PA[[#This Row],[Work Completiuon time on fualt]]-PA[[#This Row],[Fault Time]])*24,"")</f>
        <v>0</v>
      </c>
      <c r="AC495" s="47" t="str">
        <f>IFERROR(PA[[#This Row],[Breakdown Time]]*PA[[#This Row],[Plant Equivalent Weightage]],"")</f>
        <v/>
      </c>
      <c r="AE495" s="33" t="str">
        <f>IFERROR((_xlfn.XLOOKUP(PA[[#This Row],[Month Year]],'Modelling New'!D:D,'Modelling New'!$O:$O)*PA[[#This Row],[Lost PoA(Wh/m2)]]*PA[[#This Row],[DC Capacity Affceted (kW)]])/1000,"")</f>
        <v/>
      </c>
      <c r="AF495" s="35"/>
    </row>
    <row r="496" spans="1:32">
      <c r="A496" s="2">
        <f t="shared" si="31"/>
        <v>493</v>
      </c>
      <c r="B496" s="156">
        <f t="shared" si="29"/>
        <v>1900</v>
      </c>
      <c r="C496" s="129">
        <f t="shared" si="30"/>
        <v>1900</v>
      </c>
      <c r="I496" s="31" t="str">
        <f>IFERROR(VLOOKUP(PA[[#This Row],[Date]],Raw_Data[[Date]:[Sunset Time (POA&lt;20 W/m2)]],3,0),"")</f>
        <v/>
      </c>
      <c r="J496" s="31" t="str">
        <f>IFERROR(VLOOKUP(PA[[#This Row],[Date]],Raw_Data[[Date]:[Sunset Time (POA&lt;20 W/m2)]],4,0),"")</f>
        <v/>
      </c>
      <c r="K496" s="49" t="str">
        <f>IFERROR((PA[[#This Row],[Sunset Time (POA&lt;20 W/m2)]]-PA[[#This Row],[Sunrise Time (POA&gt;20 W/m2)]])*24,"")</f>
        <v/>
      </c>
      <c r="M496" s="46" t="str">
        <f>IFERROR(VLOOKUP(PA[[#This Row],[Affceted Equipment]],'Basic Data'!$A$2:$B$114,2,0),"")</f>
        <v/>
      </c>
      <c r="N496" s="48" t="str">
        <f>IFERROR(VLOOKUP(PA[[#This Row],[Affceted Equipment]],'Basic Data'!$A$1:$C$118,3,0),"")</f>
        <v/>
      </c>
      <c r="W496" s="33">
        <f>IF(PA[[#This Row],[Acknowledgemnet Time ]]="NA","",(PA[[#This Row],[Acknowledgemnet Time ]]-PA[[#This Row],[Fault Time]])*24)</f>
        <v>0</v>
      </c>
      <c r="X496" s="33">
        <f>IF(PA[[#This Row],[Work Start time on Fault]]="NA","",(PA[[#This Row],[Work Start time on Fault]]-PA[[#This Row],[Fault Time]])*24)</f>
        <v>0</v>
      </c>
      <c r="Y496" s="35">
        <f>(PA[[#This Row],[Work Completiuon time on fualt]]-PA[[#This Row],[Fault Time]])*24</f>
        <v>0</v>
      </c>
      <c r="Z496" s="35">
        <f>IFERROR((PA[[#This Row],[Work Completiuon time on fualt]]-PA[[#This Row],[Fault Time]])*24,"")</f>
        <v>0</v>
      </c>
      <c r="AC496" s="47" t="str">
        <f>IFERROR(PA[[#This Row],[Breakdown Time]]*PA[[#This Row],[Plant Equivalent Weightage]],"")</f>
        <v/>
      </c>
      <c r="AE496" s="33" t="str">
        <f>IFERROR((_xlfn.XLOOKUP(PA[[#This Row],[Month Year]],'Modelling New'!D:D,'Modelling New'!$O:$O)*PA[[#This Row],[Lost PoA(Wh/m2)]]*PA[[#This Row],[DC Capacity Affceted (kW)]])/1000,"")</f>
        <v/>
      </c>
      <c r="AF496" s="35"/>
    </row>
    <row r="497" spans="1:32">
      <c r="A497" s="2">
        <f t="shared" si="31"/>
        <v>494</v>
      </c>
      <c r="B497" s="156">
        <f t="shared" si="29"/>
        <v>1900</v>
      </c>
      <c r="C497" s="129">
        <f t="shared" si="30"/>
        <v>1900</v>
      </c>
      <c r="I497" s="31" t="str">
        <f>IFERROR(VLOOKUP(PA[[#This Row],[Date]],Raw_Data[[Date]:[Sunset Time (POA&lt;20 W/m2)]],3,0),"")</f>
        <v/>
      </c>
      <c r="J497" s="31" t="str">
        <f>IFERROR(VLOOKUP(PA[[#This Row],[Date]],Raw_Data[[Date]:[Sunset Time (POA&lt;20 W/m2)]],4,0),"")</f>
        <v/>
      </c>
      <c r="K497" s="49" t="str">
        <f>IFERROR((PA[[#This Row],[Sunset Time (POA&lt;20 W/m2)]]-PA[[#This Row],[Sunrise Time (POA&gt;20 W/m2)]])*24,"")</f>
        <v/>
      </c>
      <c r="M497" s="46" t="str">
        <f>IFERROR(VLOOKUP(PA[[#This Row],[Affceted Equipment]],'Basic Data'!$A$2:$B$114,2,0),"")</f>
        <v/>
      </c>
      <c r="N497" s="48" t="str">
        <f>IFERROR(VLOOKUP(PA[[#This Row],[Affceted Equipment]],'Basic Data'!$A$1:$C$118,3,0),"")</f>
        <v/>
      </c>
      <c r="W497" s="33">
        <f>IF(PA[[#This Row],[Acknowledgemnet Time ]]="NA","",(PA[[#This Row],[Acknowledgemnet Time ]]-PA[[#This Row],[Fault Time]])*24)</f>
        <v>0</v>
      </c>
      <c r="X497" s="33">
        <f>IF(PA[[#This Row],[Work Start time on Fault]]="NA","",(PA[[#This Row],[Work Start time on Fault]]-PA[[#This Row],[Fault Time]])*24)</f>
        <v>0</v>
      </c>
      <c r="Y497" s="35">
        <f>(PA[[#This Row],[Work Completiuon time on fualt]]-PA[[#This Row],[Fault Time]])*24</f>
        <v>0</v>
      </c>
      <c r="Z497" s="35">
        <f>IFERROR((PA[[#This Row],[Work Completiuon time on fualt]]-PA[[#This Row],[Fault Time]])*24,"")</f>
        <v>0</v>
      </c>
      <c r="AC497" s="47" t="str">
        <f>IFERROR(PA[[#This Row],[Breakdown Time]]*PA[[#This Row],[Plant Equivalent Weightage]],"")</f>
        <v/>
      </c>
      <c r="AE497" s="33" t="str">
        <f>IFERROR((_xlfn.XLOOKUP(PA[[#This Row],[Month Year]],'Modelling New'!D:D,'Modelling New'!$O:$O)*PA[[#This Row],[Lost PoA(Wh/m2)]]*PA[[#This Row],[DC Capacity Affceted (kW)]])/1000,"")</f>
        <v/>
      </c>
      <c r="AF497" s="35"/>
    </row>
    <row r="498" spans="1:32">
      <c r="A498" s="2">
        <f t="shared" si="31"/>
        <v>495</v>
      </c>
      <c r="B498" s="156">
        <f t="shared" si="29"/>
        <v>1900</v>
      </c>
      <c r="C498" s="129">
        <f t="shared" si="30"/>
        <v>1900</v>
      </c>
      <c r="I498" s="31" t="str">
        <f>IFERROR(VLOOKUP(PA[[#This Row],[Date]],Raw_Data[[Date]:[Sunset Time (POA&lt;20 W/m2)]],3,0),"")</f>
        <v/>
      </c>
      <c r="J498" s="31" t="str">
        <f>IFERROR(VLOOKUP(PA[[#This Row],[Date]],Raw_Data[[Date]:[Sunset Time (POA&lt;20 W/m2)]],4,0),"")</f>
        <v/>
      </c>
      <c r="K498" s="49" t="str">
        <f>IFERROR((PA[[#This Row],[Sunset Time (POA&lt;20 W/m2)]]-PA[[#This Row],[Sunrise Time (POA&gt;20 W/m2)]])*24,"")</f>
        <v/>
      </c>
      <c r="M498" s="46" t="str">
        <f>IFERROR(VLOOKUP(PA[[#This Row],[Affceted Equipment]],'Basic Data'!$A$2:$B$114,2,0),"")</f>
        <v/>
      </c>
      <c r="N498" s="48" t="str">
        <f>IFERROR(VLOOKUP(PA[[#This Row],[Affceted Equipment]],'Basic Data'!$A$1:$C$118,3,0),"")</f>
        <v/>
      </c>
      <c r="W498" s="33">
        <f>IF(PA[[#This Row],[Acknowledgemnet Time ]]="NA","",(PA[[#This Row],[Acknowledgemnet Time ]]-PA[[#This Row],[Fault Time]])*24)</f>
        <v>0</v>
      </c>
      <c r="X498" s="33">
        <f>IF(PA[[#This Row],[Work Start time on Fault]]="NA","",(PA[[#This Row],[Work Start time on Fault]]-PA[[#This Row],[Fault Time]])*24)</f>
        <v>0</v>
      </c>
      <c r="Y498" s="35">
        <f>(PA[[#This Row],[Work Completiuon time on fualt]]-PA[[#This Row],[Fault Time]])*24</f>
        <v>0</v>
      </c>
      <c r="Z498" s="35">
        <f>IFERROR((PA[[#This Row],[Work Completiuon time on fualt]]-PA[[#This Row],[Fault Time]])*24,"")</f>
        <v>0</v>
      </c>
      <c r="AC498" s="47" t="str">
        <f>IFERROR(PA[[#This Row],[Breakdown Time]]*PA[[#This Row],[Plant Equivalent Weightage]],"")</f>
        <v/>
      </c>
      <c r="AE498" s="33" t="str">
        <f>IFERROR((_xlfn.XLOOKUP(PA[[#This Row],[Month Year]],'Modelling New'!D:D,'Modelling New'!$O:$O)*PA[[#This Row],[Lost PoA(Wh/m2)]]*PA[[#This Row],[DC Capacity Affceted (kW)]])/1000,"")</f>
        <v/>
      </c>
      <c r="AF498" s="35"/>
    </row>
    <row r="499" spans="1:32">
      <c r="A499" s="2">
        <f t="shared" si="31"/>
        <v>496</v>
      </c>
      <c r="B499" s="156">
        <f t="shared" si="29"/>
        <v>1900</v>
      </c>
      <c r="C499" s="129">
        <f t="shared" si="30"/>
        <v>1900</v>
      </c>
      <c r="I499" s="31" t="str">
        <f>IFERROR(VLOOKUP(PA[[#This Row],[Date]],Raw_Data[[Date]:[Sunset Time (POA&lt;20 W/m2)]],3,0),"")</f>
        <v/>
      </c>
      <c r="J499" s="31" t="str">
        <f>IFERROR(VLOOKUP(PA[[#This Row],[Date]],Raw_Data[[Date]:[Sunset Time (POA&lt;20 W/m2)]],4,0),"")</f>
        <v/>
      </c>
      <c r="K499" s="49" t="str">
        <f>IFERROR((PA[[#This Row],[Sunset Time (POA&lt;20 W/m2)]]-PA[[#This Row],[Sunrise Time (POA&gt;20 W/m2)]])*24,"")</f>
        <v/>
      </c>
      <c r="M499" s="46" t="str">
        <f>IFERROR(VLOOKUP(PA[[#This Row],[Affceted Equipment]],'Basic Data'!$A$2:$B$114,2,0),"")</f>
        <v/>
      </c>
      <c r="N499" s="48" t="str">
        <f>IFERROR(VLOOKUP(PA[[#This Row],[Affceted Equipment]],'Basic Data'!$A$1:$C$118,3,0),"")</f>
        <v/>
      </c>
      <c r="W499" s="33">
        <f>IF(PA[[#This Row],[Acknowledgemnet Time ]]="NA","",(PA[[#This Row],[Acknowledgemnet Time ]]-PA[[#This Row],[Fault Time]])*24)</f>
        <v>0</v>
      </c>
      <c r="X499" s="33">
        <f>IF(PA[[#This Row],[Work Start time on Fault]]="NA","",(PA[[#This Row],[Work Start time on Fault]]-PA[[#This Row],[Fault Time]])*24)</f>
        <v>0</v>
      </c>
      <c r="Y499" s="35">
        <f>(PA[[#This Row],[Work Completiuon time on fualt]]-PA[[#This Row],[Fault Time]])*24</f>
        <v>0</v>
      </c>
      <c r="Z499" s="35">
        <f>IFERROR((PA[[#This Row],[Work Completiuon time on fualt]]-PA[[#This Row],[Fault Time]])*24,"")</f>
        <v>0</v>
      </c>
      <c r="AC499" s="47" t="str">
        <f>IFERROR(PA[[#This Row],[Breakdown Time]]*PA[[#This Row],[Plant Equivalent Weightage]],"")</f>
        <v/>
      </c>
      <c r="AE499" s="33" t="str">
        <f>IFERROR((_xlfn.XLOOKUP(PA[[#This Row],[Month Year]],'Modelling New'!D:D,'Modelling New'!$O:$O)*PA[[#This Row],[Lost PoA(Wh/m2)]]*PA[[#This Row],[DC Capacity Affceted (kW)]])/1000,"")</f>
        <v/>
      </c>
      <c r="AF499" s="35"/>
    </row>
    <row r="500" spans="1:32">
      <c r="A500" s="2">
        <f t="shared" si="31"/>
        <v>497</v>
      </c>
      <c r="B500" s="156">
        <f t="shared" si="29"/>
        <v>1900</v>
      </c>
      <c r="C500" s="129">
        <f t="shared" si="30"/>
        <v>1900</v>
      </c>
      <c r="I500" s="31" t="str">
        <f>IFERROR(VLOOKUP(PA[[#This Row],[Date]],Raw_Data[[Date]:[Sunset Time (POA&lt;20 W/m2)]],3,0),"")</f>
        <v/>
      </c>
      <c r="J500" s="31" t="str">
        <f>IFERROR(VLOOKUP(PA[[#This Row],[Date]],Raw_Data[[Date]:[Sunset Time (POA&lt;20 W/m2)]],4,0),"")</f>
        <v/>
      </c>
      <c r="K500" s="49" t="str">
        <f>IFERROR((PA[[#This Row],[Sunset Time (POA&lt;20 W/m2)]]-PA[[#This Row],[Sunrise Time (POA&gt;20 W/m2)]])*24,"")</f>
        <v/>
      </c>
      <c r="M500" s="46" t="str">
        <f>IFERROR(VLOOKUP(PA[[#This Row],[Affceted Equipment]],'Basic Data'!$A$2:$B$114,2,0),"")</f>
        <v/>
      </c>
      <c r="N500" s="48" t="str">
        <f>IFERROR(VLOOKUP(PA[[#This Row],[Affceted Equipment]],'Basic Data'!$A$1:$C$118,3,0),"")</f>
        <v/>
      </c>
      <c r="W500" s="33">
        <f>IF(PA[[#This Row],[Acknowledgemnet Time ]]="NA","",(PA[[#This Row],[Acknowledgemnet Time ]]-PA[[#This Row],[Fault Time]])*24)</f>
        <v>0</v>
      </c>
      <c r="X500" s="33">
        <f>IF(PA[[#This Row],[Work Start time on Fault]]="NA","",(PA[[#This Row],[Work Start time on Fault]]-PA[[#This Row],[Fault Time]])*24)</f>
        <v>0</v>
      </c>
      <c r="Y500" s="35">
        <f>(PA[[#This Row],[Work Completiuon time on fualt]]-PA[[#This Row],[Fault Time]])*24</f>
        <v>0</v>
      </c>
      <c r="Z500" s="35">
        <f>IFERROR((PA[[#This Row],[Work Completiuon time on fualt]]-PA[[#This Row],[Fault Time]])*24,"")</f>
        <v>0</v>
      </c>
      <c r="AC500" s="47" t="str">
        <f>IFERROR(PA[[#This Row],[Breakdown Time]]*PA[[#This Row],[Plant Equivalent Weightage]],"")</f>
        <v/>
      </c>
      <c r="AE500" s="33" t="str">
        <f>IFERROR((_xlfn.XLOOKUP(PA[[#This Row],[Month Year]],'Modelling New'!D:D,'Modelling New'!$O:$O)*PA[[#This Row],[Lost PoA(Wh/m2)]]*PA[[#This Row],[DC Capacity Affceted (kW)]])/1000,"")</f>
        <v/>
      </c>
      <c r="AF500" s="35"/>
    </row>
    <row r="501" spans="1:32">
      <c r="A501" s="2">
        <f t="shared" si="31"/>
        <v>498</v>
      </c>
      <c r="B501" s="156">
        <f t="shared" si="29"/>
        <v>1900</v>
      </c>
      <c r="C501" s="129">
        <f t="shared" si="30"/>
        <v>1900</v>
      </c>
      <c r="I501" s="31" t="str">
        <f>IFERROR(VLOOKUP(PA[[#This Row],[Date]],Raw_Data[[Date]:[Sunset Time (POA&lt;20 W/m2)]],3,0),"")</f>
        <v/>
      </c>
      <c r="J501" s="31" t="str">
        <f>IFERROR(VLOOKUP(PA[[#This Row],[Date]],Raw_Data[[Date]:[Sunset Time (POA&lt;20 W/m2)]],4,0),"")</f>
        <v/>
      </c>
      <c r="K501" s="49" t="str">
        <f>IFERROR((PA[[#This Row],[Sunset Time (POA&lt;20 W/m2)]]-PA[[#This Row],[Sunrise Time (POA&gt;20 W/m2)]])*24,"")</f>
        <v/>
      </c>
      <c r="M501" s="46" t="str">
        <f>IFERROR(VLOOKUP(PA[[#This Row],[Affceted Equipment]],'Basic Data'!$A$2:$B$114,2,0),"")</f>
        <v/>
      </c>
      <c r="N501" s="48" t="str">
        <f>IFERROR(VLOOKUP(PA[[#This Row],[Affceted Equipment]],'Basic Data'!$A$1:$C$118,3,0),"")</f>
        <v/>
      </c>
      <c r="W501" s="33">
        <f>IF(PA[[#This Row],[Acknowledgemnet Time ]]="NA","",(PA[[#This Row],[Acknowledgemnet Time ]]-PA[[#This Row],[Fault Time]])*24)</f>
        <v>0</v>
      </c>
      <c r="X501" s="33">
        <f>IF(PA[[#This Row],[Work Start time on Fault]]="NA","",(PA[[#This Row],[Work Start time on Fault]]-PA[[#This Row],[Fault Time]])*24)</f>
        <v>0</v>
      </c>
      <c r="Y501" s="35">
        <f>(PA[[#This Row],[Work Completiuon time on fualt]]-PA[[#This Row],[Fault Time]])*24</f>
        <v>0</v>
      </c>
      <c r="Z501" s="35">
        <f>IFERROR((PA[[#This Row],[Work Completiuon time on fualt]]-PA[[#This Row],[Fault Time]])*24,"")</f>
        <v>0</v>
      </c>
      <c r="AC501" s="47" t="str">
        <f>IFERROR(PA[[#This Row],[Breakdown Time]]*PA[[#This Row],[Plant Equivalent Weightage]],"")</f>
        <v/>
      </c>
      <c r="AE501" s="33" t="str">
        <f>IFERROR((_xlfn.XLOOKUP(PA[[#This Row],[Month Year]],'Modelling New'!D:D,'Modelling New'!$O:$O)*PA[[#This Row],[Lost PoA(Wh/m2)]]*PA[[#This Row],[DC Capacity Affceted (kW)]])/1000,"")</f>
        <v/>
      </c>
      <c r="AF501" s="35"/>
    </row>
    <row r="502" spans="1:32">
      <c r="A502" s="2">
        <f t="shared" si="31"/>
        <v>499</v>
      </c>
      <c r="B502" s="156">
        <f t="shared" si="29"/>
        <v>1900</v>
      </c>
      <c r="C502" s="129">
        <f t="shared" si="30"/>
        <v>1900</v>
      </c>
      <c r="I502" s="31" t="str">
        <f>IFERROR(VLOOKUP(PA[[#This Row],[Date]],Raw_Data[[Date]:[Sunset Time (POA&lt;20 W/m2)]],3,0),"")</f>
        <v/>
      </c>
      <c r="J502" s="31" t="str">
        <f>IFERROR(VLOOKUP(PA[[#This Row],[Date]],Raw_Data[[Date]:[Sunset Time (POA&lt;20 W/m2)]],4,0),"")</f>
        <v/>
      </c>
      <c r="K502" s="49" t="str">
        <f>IFERROR((PA[[#This Row],[Sunset Time (POA&lt;20 W/m2)]]-PA[[#This Row],[Sunrise Time (POA&gt;20 W/m2)]])*24,"")</f>
        <v/>
      </c>
      <c r="M502" s="46" t="str">
        <f>IFERROR(VLOOKUP(PA[[#This Row],[Affceted Equipment]],'Basic Data'!$A$2:$B$114,2,0),"")</f>
        <v/>
      </c>
      <c r="N502" s="48" t="str">
        <f>IFERROR(VLOOKUP(PA[[#This Row],[Affceted Equipment]],'Basic Data'!$A$1:$C$118,3,0),"")</f>
        <v/>
      </c>
      <c r="W502" s="33">
        <f>IF(PA[[#This Row],[Acknowledgemnet Time ]]="NA","",(PA[[#This Row],[Acknowledgemnet Time ]]-PA[[#This Row],[Fault Time]])*24)</f>
        <v>0</v>
      </c>
      <c r="X502" s="33">
        <f>IF(PA[[#This Row],[Work Start time on Fault]]="NA","",(PA[[#This Row],[Work Start time on Fault]]-PA[[#This Row],[Fault Time]])*24)</f>
        <v>0</v>
      </c>
      <c r="Y502" s="35">
        <f>(PA[[#This Row],[Work Completiuon time on fualt]]-PA[[#This Row],[Fault Time]])*24</f>
        <v>0</v>
      </c>
      <c r="Z502" s="35">
        <f>IFERROR((PA[[#This Row],[Work Completiuon time on fualt]]-PA[[#This Row],[Fault Time]])*24,"")</f>
        <v>0</v>
      </c>
      <c r="AC502" s="47" t="str">
        <f>IFERROR(PA[[#This Row],[Breakdown Time]]*PA[[#This Row],[Plant Equivalent Weightage]],"")</f>
        <v/>
      </c>
      <c r="AE502" s="33" t="str">
        <f>IFERROR((_xlfn.XLOOKUP(PA[[#This Row],[Month Year]],'Modelling New'!D:D,'Modelling New'!$O:$O)*PA[[#This Row],[Lost PoA(Wh/m2)]]*PA[[#This Row],[DC Capacity Affceted (kW)]])/1000,"")</f>
        <v/>
      </c>
      <c r="AF502" s="35"/>
    </row>
    <row r="503" spans="1:32">
      <c r="A503" s="2">
        <f t="shared" si="31"/>
        <v>500</v>
      </c>
      <c r="B503" s="156">
        <f t="shared" si="29"/>
        <v>1900</v>
      </c>
      <c r="C503" s="129">
        <f t="shared" si="30"/>
        <v>1900</v>
      </c>
      <c r="I503" s="31" t="str">
        <f>IFERROR(VLOOKUP(PA[[#This Row],[Date]],Raw_Data[[Date]:[Sunset Time (POA&lt;20 W/m2)]],3,0),"")</f>
        <v/>
      </c>
      <c r="J503" s="31" t="str">
        <f>IFERROR(VLOOKUP(PA[[#This Row],[Date]],Raw_Data[[Date]:[Sunset Time (POA&lt;20 W/m2)]],4,0),"")</f>
        <v/>
      </c>
      <c r="K503" s="49" t="str">
        <f>IFERROR((PA[[#This Row],[Sunset Time (POA&lt;20 W/m2)]]-PA[[#This Row],[Sunrise Time (POA&gt;20 W/m2)]])*24,"")</f>
        <v/>
      </c>
      <c r="M503" s="46" t="str">
        <f>IFERROR(VLOOKUP(PA[[#This Row],[Affceted Equipment]],'Basic Data'!$A$2:$B$114,2,0),"")</f>
        <v/>
      </c>
      <c r="N503" s="48" t="str">
        <f>IFERROR(VLOOKUP(PA[[#This Row],[Affceted Equipment]],'Basic Data'!$A$1:$C$118,3,0),"")</f>
        <v/>
      </c>
      <c r="W503" s="33">
        <f>IF(PA[[#This Row],[Acknowledgemnet Time ]]="NA","",(PA[[#This Row],[Acknowledgemnet Time ]]-PA[[#This Row],[Fault Time]])*24)</f>
        <v>0</v>
      </c>
      <c r="X503" s="33">
        <f>IF(PA[[#This Row],[Work Start time on Fault]]="NA","",(PA[[#This Row],[Work Start time on Fault]]-PA[[#This Row],[Fault Time]])*24)</f>
        <v>0</v>
      </c>
      <c r="Y503" s="35">
        <f>(PA[[#This Row],[Work Completiuon time on fualt]]-PA[[#This Row],[Fault Time]])*24</f>
        <v>0</v>
      </c>
      <c r="Z503" s="35">
        <f>IFERROR((PA[[#This Row],[Work Completiuon time on fualt]]-PA[[#This Row],[Fault Time]])*24,"")</f>
        <v>0</v>
      </c>
      <c r="AC503" s="47" t="str">
        <f>IFERROR(PA[[#This Row],[Breakdown Time]]*PA[[#This Row],[Plant Equivalent Weightage]],"")</f>
        <v/>
      </c>
      <c r="AE503" s="33" t="str">
        <f>IFERROR((_xlfn.XLOOKUP(PA[[#This Row],[Month Year]],'Modelling New'!D:D,'Modelling New'!$O:$O)*PA[[#This Row],[Lost PoA(Wh/m2)]]*PA[[#This Row],[DC Capacity Affceted (kW)]])/1000,"")</f>
        <v/>
      </c>
      <c r="AF503" s="35"/>
    </row>
    <row r="504" spans="1:32">
      <c r="A504" s="2">
        <f t="shared" si="31"/>
        <v>501</v>
      </c>
      <c r="B504" s="156">
        <f t="shared" si="29"/>
        <v>1900</v>
      </c>
      <c r="C504" s="129">
        <f t="shared" si="30"/>
        <v>1900</v>
      </c>
      <c r="I504" s="31" t="str">
        <f>IFERROR(VLOOKUP(PA[[#This Row],[Date]],Raw_Data[[Date]:[Sunset Time (POA&lt;20 W/m2)]],3,0),"")</f>
        <v/>
      </c>
      <c r="J504" s="31" t="str">
        <f>IFERROR(VLOOKUP(PA[[#This Row],[Date]],Raw_Data[[Date]:[Sunset Time (POA&lt;20 W/m2)]],4,0),"")</f>
        <v/>
      </c>
      <c r="K504" s="49" t="str">
        <f>IFERROR((PA[[#This Row],[Sunset Time (POA&lt;20 W/m2)]]-PA[[#This Row],[Sunrise Time (POA&gt;20 W/m2)]])*24,"")</f>
        <v/>
      </c>
      <c r="M504" s="46" t="str">
        <f>IFERROR(VLOOKUP(PA[[#This Row],[Affceted Equipment]],'Basic Data'!$A$2:$B$114,2,0),"")</f>
        <v/>
      </c>
      <c r="N504" s="48" t="str">
        <f>IFERROR(VLOOKUP(PA[[#This Row],[Affceted Equipment]],'Basic Data'!$A$1:$C$118,3,0),"")</f>
        <v/>
      </c>
      <c r="W504" s="33">
        <f>IF(PA[[#This Row],[Acknowledgemnet Time ]]="NA","",(PA[[#This Row],[Acknowledgemnet Time ]]-PA[[#This Row],[Fault Time]])*24)</f>
        <v>0</v>
      </c>
      <c r="X504" s="33">
        <f>IF(PA[[#This Row],[Work Start time on Fault]]="NA","",(PA[[#This Row],[Work Start time on Fault]]-PA[[#This Row],[Fault Time]])*24)</f>
        <v>0</v>
      </c>
      <c r="Y504" s="35">
        <f>(PA[[#This Row],[Work Completiuon time on fualt]]-PA[[#This Row],[Fault Time]])*24</f>
        <v>0</v>
      </c>
      <c r="Z504" s="35">
        <f>IFERROR((PA[[#This Row],[Work Completiuon time on fualt]]-PA[[#This Row],[Fault Time]])*24,"")</f>
        <v>0</v>
      </c>
      <c r="AC504" s="47" t="str">
        <f>IFERROR(PA[[#This Row],[Breakdown Time]]*PA[[#This Row],[Plant Equivalent Weightage]],"")</f>
        <v/>
      </c>
      <c r="AE504" s="33" t="str">
        <f>IFERROR((_xlfn.XLOOKUP(PA[[#This Row],[Month Year]],'Modelling New'!D:D,'Modelling New'!$O:$O)*PA[[#This Row],[Lost PoA(Wh/m2)]]*PA[[#This Row],[DC Capacity Affceted (kW)]])/1000,"")</f>
        <v/>
      </c>
      <c r="AF504" s="35"/>
    </row>
    <row r="505" spans="1:32">
      <c r="A505" s="2">
        <f t="shared" si="31"/>
        <v>502</v>
      </c>
      <c r="B505" s="156">
        <f t="shared" si="29"/>
        <v>1900</v>
      </c>
      <c r="C505" s="129">
        <f t="shared" si="30"/>
        <v>1900</v>
      </c>
      <c r="I505" s="31" t="str">
        <f>IFERROR(VLOOKUP(PA[[#This Row],[Date]],Raw_Data[[Date]:[Sunset Time (POA&lt;20 W/m2)]],3,0),"")</f>
        <v/>
      </c>
      <c r="J505" s="31" t="str">
        <f>IFERROR(VLOOKUP(PA[[#This Row],[Date]],Raw_Data[[Date]:[Sunset Time (POA&lt;20 W/m2)]],4,0),"")</f>
        <v/>
      </c>
      <c r="K505" s="49" t="str">
        <f>IFERROR((PA[[#This Row],[Sunset Time (POA&lt;20 W/m2)]]-PA[[#This Row],[Sunrise Time (POA&gt;20 W/m2)]])*24,"")</f>
        <v/>
      </c>
      <c r="M505" s="46" t="str">
        <f>IFERROR(VLOOKUP(PA[[#This Row],[Affceted Equipment]],'Basic Data'!$A$2:$B$114,2,0),"")</f>
        <v/>
      </c>
      <c r="N505" s="48" t="str">
        <f>IFERROR(VLOOKUP(PA[[#This Row],[Affceted Equipment]],'Basic Data'!$A$1:$C$118,3,0),"")</f>
        <v/>
      </c>
      <c r="W505" s="33">
        <f>IF(PA[[#This Row],[Acknowledgemnet Time ]]="NA","",(PA[[#This Row],[Acknowledgemnet Time ]]-PA[[#This Row],[Fault Time]])*24)</f>
        <v>0</v>
      </c>
      <c r="X505" s="33">
        <f>IF(PA[[#This Row],[Work Start time on Fault]]="NA","",(PA[[#This Row],[Work Start time on Fault]]-PA[[#This Row],[Fault Time]])*24)</f>
        <v>0</v>
      </c>
      <c r="Y505" s="35">
        <f>(PA[[#This Row],[Work Completiuon time on fualt]]-PA[[#This Row],[Fault Time]])*24</f>
        <v>0</v>
      </c>
      <c r="Z505" s="35">
        <f>IFERROR((PA[[#This Row],[Work Completiuon time on fualt]]-PA[[#This Row],[Fault Time]])*24,"")</f>
        <v>0</v>
      </c>
      <c r="AC505" s="47" t="str">
        <f>IFERROR(PA[[#This Row],[Breakdown Time]]*PA[[#This Row],[Plant Equivalent Weightage]],"")</f>
        <v/>
      </c>
      <c r="AE505" s="33" t="str">
        <f>IFERROR((_xlfn.XLOOKUP(PA[[#This Row],[Month Year]],'Modelling New'!D:D,'Modelling New'!$O:$O)*PA[[#This Row],[Lost PoA(Wh/m2)]]*PA[[#This Row],[DC Capacity Affceted (kW)]])/1000,"")</f>
        <v/>
      </c>
      <c r="AF505" s="35"/>
    </row>
    <row r="506" spans="1:32">
      <c r="A506" s="2">
        <f t="shared" si="31"/>
        <v>503</v>
      </c>
      <c r="B506" s="156">
        <f t="shared" si="29"/>
        <v>1900</v>
      </c>
      <c r="C506" s="129">
        <f t="shared" si="30"/>
        <v>1900</v>
      </c>
      <c r="I506" s="31" t="str">
        <f>IFERROR(VLOOKUP(PA[[#This Row],[Date]],Raw_Data[[Date]:[Sunset Time (POA&lt;20 W/m2)]],3,0),"")</f>
        <v/>
      </c>
      <c r="J506" s="31" t="str">
        <f>IFERROR(VLOOKUP(PA[[#This Row],[Date]],Raw_Data[[Date]:[Sunset Time (POA&lt;20 W/m2)]],4,0),"")</f>
        <v/>
      </c>
      <c r="K506" s="49" t="str">
        <f>IFERROR((PA[[#This Row],[Sunset Time (POA&lt;20 W/m2)]]-PA[[#This Row],[Sunrise Time (POA&gt;20 W/m2)]])*24,"")</f>
        <v/>
      </c>
      <c r="M506" s="46" t="str">
        <f>IFERROR(VLOOKUP(PA[[#This Row],[Affceted Equipment]],'Basic Data'!$A$2:$B$114,2,0),"")</f>
        <v/>
      </c>
      <c r="N506" s="48" t="str">
        <f>IFERROR(VLOOKUP(PA[[#This Row],[Affceted Equipment]],'Basic Data'!$A$1:$C$118,3,0),"")</f>
        <v/>
      </c>
      <c r="W506" s="33">
        <f>IF(PA[[#This Row],[Acknowledgemnet Time ]]="NA","",(PA[[#This Row],[Acknowledgemnet Time ]]-PA[[#This Row],[Fault Time]])*24)</f>
        <v>0</v>
      </c>
      <c r="X506" s="33">
        <f>IF(PA[[#This Row],[Work Start time on Fault]]="NA","",(PA[[#This Row],[Work Start time on Fault]]-PA[[#This Row],[Fault Time]])*24)</f>
        <v>0</v>
      </c>
      <c r="Y506" s="35">
        <f>(PA[[#This Row],[Work Completiuon time on fualt]]-PA[[#This Row],[Fault Time]])*24</f>
        <v>0</v>
      </c>
      <c r="Z506" s="35">
        <f>IFERROR((PA[[#This Row],[Work Completiuon time on fualt]]-PA[[#This Row],[Fault Time]])*24,"")</f>
        <v>0</v>
      </c>
      <c r="AC506" s="47" t="str">
        <f>IFERROR(PA[[#This Row],[Breakdown Time]]*PA[[#This Row],[Plant Equivalent Weightage]],"")</f>
        <v/>
      </c>
      <c r="AE506" s="33" t="str">
        <f>IFERROR((_xlfn.XLOOKUP(PA[[#This Row],[Month Year]],'Modelling New'!D:D,'Modelling New'!$O:$O)*PA[[#This Row],[Lost PoA(Wh/m2)]]*PA[[#This Row],[DC Capacity Affceted (kW)]])/1000,"")</f>
        <v/>
      </c>
      <c r="AF506" s="35"/>
    </row>
    <row r="507" spans="1:32">
      <c r="A507" s="2">
        <f t="shared" si="31"/>
        <v>504</v>
      </c>
      <c r="B507" s="156">
        <f t="shared" si="29"/>
        <v>1900</v>
      </c>
      <c r="C507" s="129">
        <f t="shared" si="30"/>
        <v>1900</v>
      </c>
      <c r="I507" s="31" t="str">
        <f>IFERROR(VLOOKUP(PA[[#This Row],[Date]],Raw_Data[[Date]:[Sunset Time (POA&lt;20 W/m2)]],3,0),"")</f>
        <v/>
      </c>
      <c r="J507" s="31" t="str">
        <f>IFERROR(VLOOKUP(PA[[#This Row],[Date]],Raw_Data[[Date]:[Sunset Time (POA&lt;20 W/m2)]],4,0),"")</f>
        <v/>
      </c>
      <c r="K507" s="49" t="str">
        <f>IFERROR((PA[[#This Row],[Sunset Time (POA&lt;20 W/m2)]]-PA[[#This Row],[Sunrise Time (POA&gt;20 W/m2)]])*24,"")</f>
        <v/>
      </c>
      <c r="M507" s="46" t="str">
        <f>IFERROR(VLOOKUP(PA[[#This Row],[Affceted Equipment]],'Basic Data'!$A$2:$B$114,2,0),"")</f>
        <v/>
      </c>
      <c r="N507" s="48" t="str">
        <f>IFERROR(VLOOKUP(PA[[#This Row],[Affceted Equipment]],'Basic Data'!$A$1:$C$118,3,0),"")</f>
        <v/>
      </c>
      <c r="W507" s="33">
        <f>IF(PA[[#This Row],[Acknowledgemnet Time ]]="NA","",(PA[[#This Row],[Acknowledgemnet Time ]]-PA[[#This Row],[Fault Time]])*24)</f>
        <v>0</v>
      </c>
      <c r="X507" s="33">
        <f>IF(PA[[#This Row],[Work Start time on Fault]]="NA","",(PA[[#This Row],[Work Start time on Fault]]-PA[[#This Row],[Fault Time]])*24)</f>
        <v>0</v>
      </c>
      <c r="Y507" s="35">
        <f>(PA[[#This Row],[Work Completiuon time on fualt]]-PA[[#This Row],[Fault Time]])*24</f>
        <v>0</v>
      </c>
      <c r="Z507" s="35">
        <f>IFERROR((PA[[#This Row],[Work Completiuon time on fualt]]-PA[[#This Row],[Fault Time]])*24,"")</f>
        <v>0</v>
      </c>
      <c r="AC507" s="47" t="str">
        <f>IFERROR(PA[[#This Row],[Breakdown Time]]*PA[[#This Row],[Plant Equivalent Weightage]],"")</f>
        <v/>
      </c>
      <c r="AE507" s="33" t="str">
        <f>IFERROR((_xlfn.XLOOKUP(PA[[#This Row],[Month Year]],'Modelling New'!D:D,'Modelling New'!$O:$O)*PA[[#This Row],[Lost PoA(Wh/m2)]]*PA[[#This Row],[DC Capacity Affceted (kW)]])/1000,"")</f>
        <v/>
      </c>
      <c r="AF507" s="35"/>
    </row>
    <row r="508" spans="1:32">
      <c r="A508" s="2">
        <f t="shared" si="31"/>
        <v>505</v>
      </c>
      <c r="B508" s="156">
        <f t="shared" si="29"/>
        <v>1900</v>
      </c>
      <c r="C508" s="129">
        <f t="shared" si="30"/>
        <v>1900</v>
      </c>
      <c r="I508" s="31" t="str">
        <f>IFERROR(VLOOKUP(PA[[#This Row],[Date]],Raw_Data[[Date]:[Sunset Time (POA&lt;20 W/m2)]],3,0),"")</f>
        <v/>
      </c>
      <c r="J508" s="31" t="str">
        <f>IFERROR(VLOOKUP(PA[[#This Row],[Date]],Raw_Data[[Date]:[Sunset Time (POA&lt;20 W/m2)]],4,0),"")</f>
        <v/>
      </c>
      <c r="K508" s="49" t="str">
        <f>IFERROR((PA[[#This Row],[Sunset Time (POA&lt;20 W/m2)]]-PA[[#This Row],[Sunrise Time (POA&gt;20 W/m2)]])*24,"")</f>
        <v/>
      </c>
      <c r="M508" s="46" t="str">
        <f>IFERROR(VLOOKUP(PA[[#This Row],[Affceted Equipment]],'Basic Data'!$A$2:$B$114,2,0),"")</f>
        <v/>
      </c>
      <c r="N508" s="48" t="str">
        <f>IFERROR(VLOOKUP(PA[[#This Row],[Affceted Equipment]],'Basic Data'!$A$1:$C$118,3,0),"")</f>
        <v/>
      </c>
      <c r="W508" s="33">
        <f>IF(PA[[#This Row],[Acknowledgemnet Time ]]="NA","",(PA[[#This Row],[Acknowledgemnet Time ]]-PA[[#This Row],[Fault Time]])*24)</f>
        <v>0</v>
      </c>
      <c r="X508" s="33">
        <f>IF(PA[[#This Row],[Work Start time on Fault]]="NA","",(PA[[#This Row],[Work Start time on Fault]]-PA[[#This Row],[Fault Time]])*24)</f>
        <v>0</v>
      </c>
      <c r="Y508" s="35">
        <f>(PA[[#This Row],[Work Completiuon time on fualt]]-PA[[#This Row],[Fault Time]])*24</f>
        <v>0</v>
      </c>
      <c r="Z508" s="35">
        <f>IFERROR((PA[[#This Row],[Work Completiuon time on fualt]]-PA[[#This Row],[Fault Time]])*24,"")</f>
        <v>0</v>
      </c>
      <c r="AC508" s="47" t="str">
        <f>IFERROR(PA[[#This Row],[Breakdown Time]]*PA[[#This Row],[Plant Equivalent Weightage]],"")</f>
        <v/>
      </c>
      <c r="AE508" s="33" t="str">
        <f>IFERROR((_xlfn.XLOOKUP(PA[[#This Row],[Month Year]],'Modelling New'!D:D,'Modelling New'!$O:$O)*PA[[#This Row],[Lost PoA(Wh/m2)]]*PA[[#This Row],[DC Capacity Affceted (kW)]])/1000,"")</f>
        <v/>
      </c>
      <c r="AF508" s="35"/>
    </row>
    <row r="509" spans="1:32">
      <c r="A509" s="2">
        <f t="shared" si="31"/>
        <v>506</v>
      </c>
      <c r="B509" s="156">
        <f t="shared" si="29"/>
        <v>1900</v>
      </c>
      <c r="C509" s="129">
        <f t="shared" si="30"/>
        <v>1900</v>
      </c>
      <c r="I509" s="31" t="str">
        <f>IFERROR(VLOOKUP(PA[[#This Row],[Date]],Raw_Data[[Date]:[Sunset Time (POA&lt;20 W/m2)]],3,0),"")</f>
        <v/>
      </c>
      <c r="J509" s="31" t="str">
        <f>IFERROR(VLOOKUP(PA[[#This Row],[Date]],Raw_Data[[Date]:[Sunset Time (POA&lt;20 W/m2)]],4,0),"")</f>
        <v/>
      </c>
      <c r="K509" s="49" t="str">
        <f>IFERROR((PA[[#This Row],[Sunset Time (POA&lt;20 W/m2)]]-PA[[#This Row],[Sunrise Time (POA&gt;20 W/m2)]])*24,"")</f>
        <v/>
      </c>
      <c r="M509" s="46" t="str">
        <f>IFERROR(VLOOKUP(PA[[#This Row],[Affceted Equipment]],'Basic Data'!$A$2:$B$114,2,0),"")</f>
        <v/>
      </c>
      <c r="N509" s="48" t="str">
        <f>IFERROR(VLOOKUP(PA[[#This Row],[Affceted Equipment]],'Basic Data'!$A$1:$C$118,3,0),"")</f>
        <v/>
      </c>
      <c r="W509" s="33">
        <f>IF(PA[[#This Row],[Acknowledgemnet Time ]]="NA","",(PA[[#This Row],[Acknowledgemnet Time ]]-PA[[#This Row],[Fault Time]])*24)</f>
        <v>0</v>
      </c>
      <c r="X509" s="33">
        <f>IF(PA[[#This Row],[Work Start time on Fault]]="NA","",(PA[[#This Row],[Work Start time on Fault]]-PA[[#This Row],[Fault Time]])*24)</f>
        <v>0</v>
      </c>
      <c r="Y509" s="35">
        <f>(PA[[#This Row],[Work Completiuon time on fualt]]-PA[[#This Row],[Fault Time]])*24</f>
        <v>0</v>
      </c>
      <c r="Z509" s="35">
        <f>IFERROR((PA[[#This Row],[Work Completiuon time on fualt]]-PA[[#This Row],[Fault Time]])*24,"")</f>
        <v>0</v>
      </c>
      <c r="AC509" s="47" t="str">
        <f>IFERROR(PA[[#This Row],[Breakdown Time]]*PA[[#This Row],[Plant Equivalent Weightage]],"")</f>
        <v/>
      </c>
      <c r="AE509" s="33" t="str">
        <f>IFERROR((_xlfn.XLOOKUP(PA[[#This Row],[Month Year]],'Modelling New'!D:D,'Modelling New'!$O:$O)*PA[[#This Row],[Lost PoA(Wh/m2)]]*PA[[#This Row],[DC Capacity Affceted (kW)]])/1000,"")</f>
        <v/>
      </c>
      <c r="AF509" s="35"/>
    </row>
    <row r="510" spans="1:32">
      <c r="A510" s="2">
        <f t="shared" si="31"/>
        <v>507</v>
      </c>
      <c r="B510" s="156">
        <f t="shared" si="29"/>
        <v>1900</v>
      </c>
      <c r="C510" s="129">
        <f t="shared" si="30"/>
        <v>1900</v>
      </c>
      <c r="I510" s="31" t="str">
        <f>IFERROR(VLOOKUP(PA[[#This Row],[Date]],Raw_Data[[Date]:[Sunset Time (POA&lt;20 W/m2)]],3,0),"")</f>
        <v/>
      </c>
      <c r="J510" s="31" t="str">
        <f>IFERROR(VLOOKUP(PA[[#This Row],[Date]],Raw_Data[[Date]:[Sunset Time (POA&lt;20 W/m2)]],4,0),"")</f>
        <v/>
      </c>
      <c r="K510" s="49" t="str">
        <f>IFERROR((PA[[#This Row],[Sunset Time (POA&lt;20 W/m2)]]-PA[[#This Row],[Sunrise Time (POA&gt;20 W/m2)]])*24,"")</f>
        <v/>
      </c>
      <c r="M510" s="46" t="str">
        <f>IFERROR(VLOOKUP(PA[[#This Row],[Affceted Equipment]],'Basic Data'!$A$2:$B$114,2,0),"")</f>
        <v/>
      </c>
      <c r="N510" s="48" t="str">
        <f>IFERROR(VLOOKUP(PA[[#This Row],[Affceted Equipment]],'Basic Data'!$A$1:$C$118,3,0),"")</f>
        <v/>
      </c>
      <c r="W510" s="33">
        <f>IF(PA[[#This Row],[Acknowledgemnet Time ]]="NA","",(PA[[#This Row],[Acknowledgemnet Time ]]-PA[[#This Row],[Fault Time]])*24)</f>
        <v>0</v>
      </c>
      <c r="X510" s="33">
        <f>IF(PA[[#This Row],[Work Start time on Fault]]="NA","",(PA[[#This Row],[Work Start time on Fault]]-PA[[#This Row],[Fault Time]])*24)</f>
        <v>0</v>
      </c>
      <c r="Y510" s="35">
        <f>(PA[[#This Row],[Work Completiuon time on fualt]]-PA[[#This Row],[Fault Time]])*24</f>
        <v>0</v>
      </c>
      <c r="Z510" s="35">
        <f>IFERROR((PA[[#This Row],[Work Completiuon time on fualt]]-PA[[#This Row],[Fault Time]])*24,"")</f>
        <v>0</v>
      </c>
      <c r="AC510" s="47" t="str">
        <f>IFERROR(PA[[#This Row],[Breakdown Time]]*PA[[#This Row],[Plant Equivalent Weightage]],"")</f>
        <v/>
      </c>
      <c r="AE510" s="33" t="str">
        <f>IFERROR((_xlfn.XLOOKUP(PA[[#This Row],[Month Year]],'Modelling New'!D:D,'Modelling New'!$O:$O)*PA[[#This Row],[Lost PoA(Wh/m2)]]*PA[[#This Row],[DC Capacity Affceted (kW)]])/1000,"")</f>
        <v/>
      </c>
      <c r="AF510" s="35"/>
    </row>
    <row r="511" spans="1:32">
      <c r="A511" s="2">
        <f t="shared" si="31"/>
        <v>508</v>
      </c>
      <c r="B511" s="156">
        <f t="shared" si="29"/>
        <v>1900</v>
      </c>
      <c r="C511" s="129">
        <f t="shared" si="30"/>
        <v>1900</v>
      </c>
      <c r="I511" s="31" t="str">
        <f>IFERROR(VLOOKUP(PA[[#This Row],[Date]],Raw_Data[[Date]:[Sunset Time (POA&lt;20 W/m2)]],3,0),"")</f>
        <v/>
      </c>
      <c r="J511" s="31" t="str">
        <f>IFERROR(VLOOKUP(PA[[#This Row],[Date]],Raw_Data[[Date]:[Sunset Time (POA&lt;20 W/m2)]],4,0),"")</f>
        <v/>
      </c>
      <c r="K511" s="49" t="str">
        <f>IFERROR((PA[[#This Row],[Sunset Time (POA&lt;20 W/m2)]]-PA[[#This Row],[Sunrise Time (POA&gt;20 W/m2)]])*24,"")</f>
        <v/>
      </c>
      <c r="M511" s="46" t="str">
        <f>IFERROR(VLOOKUP(PA[[#This Row],[Affceted Equipment]],'Basic Data'!$A$2:$B$114,2,0),"")</f>
        <v/>
      </c>
      <c r="N511" s="48" t="str">
        <f>IFERROR(VLOOKUP(PA[[#This Row],[Affceted Equipment]],'Basic Data'!$A$1:$C$118,3,0),"")</f>
        <v/>
      </c>
      <c r="W511" s="33">
        <f>IF(PA[[#This Row],[Acknowledgemnet Time ]]="NA","",(PA[[#This Row],[Acknowledgemnet Time ]]-PA[[#This Row],[Fault Time]])*24)</f>
        <v>0</v>
      </c>
      <c r="X511" s="33">
        <f>IF(PA[[#This Row],[Work Start time on Fault]]="NA","",(PA[[#This Row],[Work Start time on Fault]]-PA[[#This Row],[Fault Time]])*24)</f>
        <v>0</v>
      </c>
      <c r="Y511" s="35">
        <f>(PA[[#This Row],[Work Completiuon time on fualt]]-PA[[#This Row],[Fault Time]])*24</f>
        <v>0</v>
      </c>
      <c r="Z511" s="35">
        <f>IFERROR((PA[[#This Row],[Work Completiuon time on fualt]]-PA[[#This Row],[Fault Time]])*24,"")</f>
        <v>0</v>
      </c>
      <c r="AC511" s="47" t="str">
        <f>IFERROR(PA[[#This Row],[Breakdown Time]]*PA[[#This Row],[Plant Equivalent Weightage]],"")</f>
        <v/>
      </c>
      <c r="AE511" s="33" t="str">
        <f>IFERROR((_xlfn.XLOOKUP(PA[[#This Row],[Month Year]],'Modelling New'!D:D,'Modelling New'!$O:$O)*PA[[#This Row],[Lost PoA(Wh/m2)]]*PA[[#This Row],[DC Capacity Affceted (kW)]])/1000,"")</f>
        <v/>
      </c>
      <c r="AF511" s="35"/>
    </row>
    <row r="512" spans="1:32">
      <c r="A512" s="2">
        <f t="shared" si="31"/>
        <v>509</v>
      </c>
      <c r="B512" s="156">
        <f t="shared" si="29"/>
        <v>1900</v>
      </c>
      <c r="C512" s="129">
        <f t="shared" si="30"/>
        <v>1900</v>
      </c>
      <c r="I512" s="31" t="str">
        <f>IFERROR(VLOOKUP(PA[[#This Row],[Date]],Raw_Data[[Date]:[Sunset Time (POA&lt;20 W/m2)]],3,0),"")</f>
        <v/>
      </c>
      <c r="J512" s="31" t="str">
        <f>IFERROR(VLOOKUP(PA[[#This Row],[Date]],Raw_Data[[Date]:[Sunset Time (POA&lt;20 W/m2)]],4,0),"")</f>
        <v/>
      </c>
      <c r="K512" s="49" t="str">
        <f>IFERROR((PA[[#This Row],[Sunset Time (POA&lt;20 W/m2)]]-PA[[#This Row],[Sunrise Time (POA&gt;20 W/m2)]])*24,"")</f>
        <v/>
      </c>
      <c r="M512" s="46" t="str">
        <f>IFERROR(VLOOKUP(PA[[#This Row],[Affceted Equipment]],'Basic Data'!$A$2:$B$114,2,0),"")</f>
        <v/>
      </c>
      <c r="N512" s="48" t="str">
        <f>IFERROR(VLOOKUP(PA[[#This Row],[Affceted Equipment]],'Basic Data'!$A$1:$C$118,3,0),"")</f>
        <v/>
      </c>
      <c r="W512" s="33">
        <f>IF(PA[[#This Row],[Acknowledgemnet Time ]]="NA","",(PA[[#This Row],[Acknowledgemnet Time ]]-PA[[#This Row],[Fault Time]])*24)</f>
        <v>0</v>
      </c>
      <c r="X512" s="33">
        <f>IF(PA[[#This Row],[Work Start time on Fault]]="NA","",(PA[[#This Row],[Work Start time on Fault]]-PA[[#This Row],[Fault Time]])*24)</f>
        <v>0</v>
      </c>
      <c r="Y512" s="35">
        <f>(PA[[#This Row],[Work Completiuon time on fualt]]-PA[[#This Row],[Fault Time]])*24</f>
        <v>0</v>
      </c>
      <c r="Z512" s="35">
        <f>IFERROR((PA[[#This Row],[Work Completiuon time on fualt]]-PA[[#This Row],[Fault Time]])*24,"")</f>
        <v>0</v>
      </c>
      <c r="AC512" s="47" t="str">
        <f>IFERROR(PA[[#This Row],[Breakdown Time]]*PA[[#This Row],[Plant Equivalent Weightage]],"")</f>
        <v/>
      </c>
      <c r="AE512" s="33" t="str">
        <f>IFERROR((_xlfn.XLOOKUP(PA[[#This Row],[Month Year]],'Modelling New'!D:D,'Modelling New'!$O:$O)*PA[[#This Row],[Lost PoA(Wh/m2)]]*PA[[#This Row],[DC Capacity Affceted (kW)]])/1000,"")</f>
        <v/>
      </c>
      <c r="AF512" s="35"/>
    </row>
    <row r="513" spans="1:32">
      <c r="A513" s="2">
        <f t="shared" si="31"/>
        <v>510</v>
      </c>
      <c r="B513" s="156">
        <f t="shared" si="29"/>
        <v>1900</v>
      </c>
      <c r="C513" s="129">
        <f t="shared" si="30"/>
        <v>1900</v>
      </c>
      <c r="I513" s="31" t="str">
        <f>IFERROR(VLOOKUP(PA[[#This Row],[Date]],Raw_Data[[Date]:[Sunset Time (POA&lt;20 W/m2)]],3,0),"")</f>
        <v/>
      </c>
      <c r="J513" s="31" t="str">
        <f>IFERROR(VLOOKUP(PA[[#This Row],[Date]],Raw_Data[[Date]:[Sunset Time (POA&lt;20 W/m2)]],4,0),"")</f>
        <v/>
      </c>
      <c r="K513" s="49" t="str">
        <f>IFERROR((PA[[#This Row],[Sunset Time (POA&lt;20 W/m2)]]-PA[[#This Row],[Sunrise Time (POA&gt;20 W/m2)]])*24,"")</f>
        <v/>
      </c>
      <c r="M513" s="46" t="str">
        <f>IFERROR(VLOOKUP(PA[[#This Row],[Affceted Equipment]],'Basic Data'!$A$2:$B$114,2,0),"")</f>
        <v/>
      </c>
      <c r="N513" s="48" t="str">
        <f>IFERROR(VLOOKUP(PA[[#This Row],[Affceted Equipment]],'Basic Data'!$A$1:$C$118,3,0),"")</f>
        <v/>
      </c>
      <c r="W513" s="33">
        <f>IF(PA[[#This Row],[Acknowledgemnet Time ]]="NA","",(PA[[#This Row],[Acknowledgemnet Time ]]-PA[[#This Row],[Fault Time]])*24)</f>
        <v>0</v>
      </c>
      <c r="X513" s="33">
        <f>IF(PA[[#This Row],[Work Start time on Fault]]="NA","",(PA[[#This Row],[Work Start time on Fault]]-PA[[#This Row],[Fault Time]])*24)</f>
        <v>0</v>
      </c>
      <c r="Y513" s="35">
        <f>(PA[[#This Row],[Work Completiuon time on fualt]]-PA[[#This Row],[Fault Time]])*24</f>
        <v>0</v>
      </c>
      <c r="Z513" s="35">
        <f>IFERROR((PA[[#This Row],[Work Completiuon time on fualt]]-PA[[#This Row],[Fault Time]])*24,"")</f>
        <v>0</v>
      </c>
      <c r="AC513" s="47" t="str">
        <f>IFERROR(PA[[#This Row],[Breakdown Time]]*PA[[#This Row],[Plant Equivalent Weightage]],"")</f>
        <v/>
      </c>
      <c r="AE513" s="33" t="str">
        <f>IFERROR((_xlfn.XLOOKUP(PA[[#This Row],[Month Year]],'Modelling New'!D:D,'Modelling New'!$O:$O)*PA[[#This Row],[Lost PoA(Wh/m2)]]*PA[[#This Row],[DC Capacity Affceted (kW)]])/1000,"")</f>
        <v/>
      </c>
      <c r="AF513" s="35"/>
    </row>
    <row r="514" spans="1:32">
      <c r="A514" s="2">
        <f t="shared" si="31"/>
        <v>511</v>
      </c>
      <c r="B514" s="156">
        <f t="shared" si="29"/>
        <v>1900</v>
      </c>
      <c r="C514" s="129">
        <f t="shared" si="30"/>
        <v>1900</v>
      </c>
      <c r="I514" s="31" t="str">
        <f>IFERROR(VLOOKUP(PA[[#This Row],[Date]],Raw_Data[[Date]:[Sunset Time (POA&lt;20 W/m2)]],3,0),"")</f>
        <v/>
      </c>
      <c r="J514" s="31" t="str">
        <f>IFERROR(VLOOKUP(PA[[#This Row],[Date]],Raw_Data[[Date]:[Sunset Time (POA&lt;20 W/m2)]],4,0),"")</f>
        <v/>
      </c>
      <c r="K514" s="49" t="str">
        <f>IFERROR((PA[[#This Row],[Sunset Time (POA&lt;20 W/m2)]]-PA[[#This Row],[Sunrise Time (POA&gt;20 W/m2)]])*24,"")</f>
        <v/>
      </c>
      <c r="M514" s="46" t="str">
        <f>IFERROR(VLOOKUP(PA[[#This Row],[Affceted Equipment]],'Basic Data'!$A$2:$B$114,2,0),"")</f>
        <v/>
      </c>
      <c r="N514" s="48" t="str">
        <f>IFERROR(VLOOKUP(PA[[#This Row],[Affceted Equipment]],'Basic Data'!$A$1:$C$118,3,0),"")</f>
        <v/>
      </c>
      <c r="W514" s="33">
        <f>IF(PA[[#This Row],[Acknowledgemnet Time ]]="NA","",(PA[[#This Row],[Acknowledgemnet Time ]]-PA[[#This Row],[Fault Time]])*24)</f>
        <v>0</v>
      </c>
      <c r="X514" s="33">
        <f>IF(PA[[#This Row],[Work Start time on Fault]]="NA","",(PA[[#This Row],[Work Start time on Fault]]-PA[[#This Row],[Fault Time]])*24)</f>
        <v>0</v>
      </c>
      <c r="Y514" s="35">
        <f>(PA[[#This Row],[Work Completiuon time on fualt]]-PA[[#This Row],[Fault Time]])*24</f>
        <v>0</v>
      </c>
      <c r="Z514" s="35">
        <f>IFERROR((PA[[#This Row],[Work Completiuon time on fualt]]-PA[[#This Row],[Fault Time]])*24,"")</f>
        <v>0</v>
      </c>
      <c r="AC514" s="47" t="str">
        <f>IFERROR(PA[[#This Row],[Breakdown Time]]*PA[[#This Row],[Plant Equivalent Weightage]],"")</f>
        <v/>
      </c>
      <c r="AE514" s="33" t="str">
        <f>IFERROR((_xlfn.XLOOKUP(PA[[#This Row],[Month Year]],'Modelling New'!D:D,'Modelling New'!$O:$O)*PA[[#This Row],[Lost PoA(Wh/m2)]]*PA[[#This Row],[DC Capacity Affceted (kW)]])/1000,"")</f>
        <v/>
      </c>
      <c r="AF514" s="35"/>
    </row>
    <row r="515" spans="1:32">
      <c r="A515" s="2">
        <f t="shared" si="31"/>
        <v>512</v>
      </c>
      <c r="B515" s="156">
        <f t="shared" si="29"/>
        <v>1900</v>
      </c>
      <c r="C515" s="129">
        <f t="shared" si="30"/>
        <v>1900</v>
      </c>
      <c r="I515" s="31" t="str">
        <f>IFERROR(VLOOKUP(PA[[#This Row],[Date]],Raw_Data[[Date]:[Sunset Time (POA&lt;20 W/m2)]],3,0),"")</f>
        <v/>
      </c>
      <c r="J515" s="31" t="str">
        <f>IFERROR(VLOOKUP(PA[[#This Row],[Date]],Raw_Data[[Date]:[Sunset Time (POA&lt;20 W/m2)]],4,0),"")</f>
        <v/>
      </c>
      <c r="K515" s="49" t="str">
        <f>IFERROR((PA[[#This Row],[Sunset Time (POA&lt;20 W/m2)]]-PA[[#This Row],[Sunrise Time (POA&gt;20 W/m2)]])*24,"")</f>
        <v/>
      </c>
      <c r="M515" s="46" t="str">
        <f>IFERROR(VLOOKUP(PA[[#This Row],[Affceted Equipment]],'Basic Data'!$A$2:$B$114,2,0),"")</f>
        <v/>
      </c>
      <c r="N515" s="48" t="str">
        <f>IFERROR(VLOOKUP(PA[[#This Row],[Affceted Equipment]],'Basic Data'!$A$1:$C$118,3,0),"")</f>
        <v/>
      </c>
      <c r="W515" s="33">
        <f>IF(PA[[#This Row],[Acknowledgemnet Time ]]="NA","",(PA[[#This Row],[Acknowledgemnet Time ]]-PA[[#This Row],[Fault Time]])*24)</f>
        <v>0</v>
      </c>
      <c r="X515" s="33">
        <f>IF(PA[[#This Row],[Work Start time on Fault]]="NA","",(PA[[#This Row],[Work Start time on Fault]]-PA[[#This Row],[Fault Time]])*24)</f>
        <v>0</v>
      </c>
      <c r="Y515" s="35">
        <f>(PA[[#This Row],[Work Completiuon time on fualt]]-PA[[#This Row],[Fault Time]])*24</f>
        <v>0</v>
      </c>
      <c r="Z515" s="35">
        <f>IFERROR((PA[[#This Row],[Work Completiuon time on fualt]]-PA[[#This Row],[Fault Time]])*24,"")</f>
        <v>0</v>
      </c>
      <c r="AC515" s="47" t="str">
        <f>IFERROR(PA[[#This Row],[Breakdown Time]]*PA[[#This Row],[Plant Equivalent Weightage]],"")</f>
        <v/>
      </c>
      <c r="AE515" s="33" t="str">
        <f>IFERROR((_xlfn.XLOOKUP(PA[[#This Row],[Month Year]],'Modelling New'!D:D,'Modelling New'!$O:$O)*PA[[#This Row],[Lost PoA(Wh/m2)]]*PA[[#This Row],[DC Capacity Affceted (kW)]])/1000,"")</f>
        <v/>
      </c>
      <c r="AF515" s="35"/>
    </row>
    <row r="516" spans="1:32">
      <c r="A516" s="2">
        <f t="shared" si="31"/>
        <v>513</v>
      </c>
      <c r="B516" s="156">
        <f t="shared" si="29"/>
        <v>1900</v>
      </c>
      <c r="C516" s="129">
        <f t="shared" si="30"/>
        <v>1900</v>
      </c>
      <c r="I516" s="31" t="str">
        <f>IFERROR(VLOOKUP(PA[[#This Row],[Date]],Raw_Data[[Date]:[Sunset Time (POA&lt;20 W/m2)]],3,0),"")</f>
        <v/>
      </c>
      <c r="J516" s="31" t="str">
        <f>IFERROR(VLOOKUP(PA[[#This Row],[Date]],Raw_Data[[Date]:[Sunset Time (POA&lt;20 W/m2)]],4,0),"")</f>
        <v/>
      </c>
      <c r="K516" s="49" t="str">
        <f>IFERROR((PA[[#This Row],[Sunset Time (POA&lt;20 W/m2)]]-PA[[#This Row],[Sunrise Time (POA&gt;20 W/m2)]])*24,"")</f>
        <v/>
      </c>
      <c r="M516" s="46" t="str">
        <f>IFERROR(VLOOKUP(PA[[#This Row],[Affceted Equipment]],'Basic Data'!$A$2:$B$114,2,0),"")</f>
        <v/>
      </c>
      <c r="N516" s="48" t="str">
        <f>IFERROR(VLOOKUP(PA[[#This Row],[Affceted Equipment]],'Basic Data'!$A$1:$C$118,3,0),"")</f>
        <v/>
      </c>
      <c r="W516" s="33">
        <f>IF(PA[[#This Row],[Acknowledgemnet Time ]]="NA","",(PA[[#This Row],[Acknowledgemnet Time ]]-PA[[#This Row],[Fault Time]])*24)</f>
        <v>0</v>
      </c>
      <c r="X516" s="33">
        <f>IF(PA[[#This Row],[Work Start time on Fault]]="NA","",(PA[[#This Row],[Work Start time on Fault]]-PA[[#This Row],[Fault Time]])*24)</f>
        <v>0</v>
      </c>
      <c r="Y516" s="35">
        <f>(PA[[#This Row],[Work Completiuon time on fualt]]-PA[[#This Row],[Fault Time]])*24</f>
        <v>0</v>
      </c>
      <c r="Z516" s="35">
        <f>IFERROR((PA[[#This Row],[Work Completiuon time on fualt]]-PA[[#This Row],[Fault Time]])*24,"")</f>
        <v>0</v>
      </c>
      <c r="AC516" s="47" t="str">
        <f>IFERROR(PA[[#This Row],[Breakdown Time]]*PA[[#This Row],[Plant Equivalent Weightage]],"")</f>
        <v/>
      </c>
      <c r="AE516" s="33" t="str">
        <f>IFERROR((_xlfn.XLOOKUP(PA[[#This Row],[Month Year]],'Modelling New'!D:D,'Modelling New'!$O:$O)*PA[[#This Row],[Lost PoA(Wh/m2)]]*PA[[#This Row],[DC Capacity Affceted (kW)]])/1000,"")</f>
        <v/>
      </c>
      <c r="AF516" s="35"/>
    </row>
    <row r="517" spans="1:32">
      <c r="A517" s="2">
        <f t="shared" si="31"/>
        <v>514</v>
      </c>
      <c r="B517" s="156">
        <f t="shared" ref="B517:B557" si="32">YEAR(H517)+IF(MONTH(H517)&gt;=4,1,0)</f>
        <v>1900</v>
      </c>
      <c r="C517" s="129">
        <f t="shared" ref="C517:C557" si="33">YEAR(H517)</f>
        <v>1900</v>
      </c>
      <c r="I517" s="31" t="str">
        <f>IFERROR(VLOOKUP(PA[[#This Row],[Date]],Raw_Data[[Date]:[Sunset Time (POA&lt;20 W/m2)]],3,0),"")</f>
        <v/>
      </c>
      <c r="J517" s="31" t="str">
        <f>IFERROR(VLOOKUP(PA[[#This Row],[Date]],Raw_Data[[Date]:[Sunset Time (POA&lt;20 W/m2)]],4,0),"")</f>
        <v/>
      </c>
      <c r="K517" s="49" t="str">
        <f>IFERROR((PA[[#This Row],[Sunset Time (POA&lt;20 W/m2)]]-PA[[#This Row],[Sunrise Time (POA&gt;20 W/m2)]])*24,"")</f>
        <v/>
      </c>
      <c r="M517" s="46" t="str">
        <f>IFERROR(VLOOKUP(PA[[#This Row],[Affceted Equipment]],'Basic Data'!$A$2:$B$114,2,0),"")</f>
        <v/>
      </c>
      <c r="N517" s="48" t="str">
        <f>IFERROR(VLOOKUP(PA[[#This Row],[Affceted Equipment]],'Basic Data'!$A$1:$C$118,3,0),"")</f>
        <v/>
      </c>
      <c r="W517" s="33">
        <f>IF(PA[[#This Row],[Acknowledgemnet Time ]]="NA","",(PA[[#This Row],[Acknowledgemnet Time ]]-PA[[#This Row],[Fault Time]])*24)</f>
        <v>0</v>
      </c>
      <c r="X517" s="33">
        <f>IF(PA[[#This Row],[Work Start time on Fault]]="NA","",(PA[[#This Row],[Work Start time on Fault]]-PA[[#This Row],[Fault Time]])*24)</f>
        <v>0</v>
      </c>
      <c r="Y517" s="35">
        <f>(PA[[#This Row],[Work Completiuon time on fualt]]-PA[[#This Row],[Fault Time]])*24</f>
        <v>0</v>
      </c>
      <c r="Z517" s="35">
        <f>IFERROR((PA[[#This Row],[Work Completiuon time on fualt]]-PA[[#This Row],[Fault Time]])*24,"")</f>
        <v>0</v>
      </c>
      <c r="AC517" s="47" t="str">
        <f>IFERROR(PA[[#This Row],[Breakdown Time]]*PA[[#This Row],[Plant Equivalent Weightage]],"")</f>
        <v/>
      </c>
      <c r="AE517" s="33" t="str">
        <f>IFERROR((_xlfn.XLOOKUP(PA[[#This Row],[Month Year]],'Modelling New'!D:D,'Modelling New'!$O:$O)*PA[[#This Row],[Lost PoA(Wh/m2)]]*PA[[#This Row],[DC Capacity Affceted (kW)]])/1000,"")</f>
        <v/>
      </c>
      <c r="AF517" s="35"/>
    </row>
    <row r="518" spans="1:32">
      <c r="A518" s="2">
        <f t="shared" si="31"/>
        <v>515</v>
      </c>
      <c r="B518" s="156">
        <f t="shared" si="32"/>
        <v>1900</v>
      </c>
      <c r="C518" s="129">
        <f t="shared" si="33"/>
        <v>1900</v>
      </c>
      <c r="I518" s="31" t="str">
        <f>IFERROR(VLOOKUP(PA[[#This Row],[Date]],Raw_Data[[Date]:[Sunset Time (POA&lt;20 W/m2)]],3,0),"")</f>
        <v/>
      </c>
      <c r="J518" s="31" t="str">
        <f>IFERROR(VLOOKUP(PA[[#This Row],[Date]],Raw_Data[[Date]:[Sunset Time (POA&lt;20 W/m2)]],4,0),"")</f>
        <v/>
      </c>
      <c r="K518" s="49" t="str">
        <f>IFERROR((PA[[#This Row],[Sunset Time (POA&lt;20 W/m2)]]-PA[[#This Row],[Sunrise Time (POA&gt;20 W/m2)]])*24,"")</f>
        <v/>
      </c>
      <c r="M518" s="46" t="str">
        <f>IFERROR(VLOOKUP(PA[[#This Row],[Affceted Equipment]],'Basic Data'!$A$2:$B$114,2,0),"")</f>
        <v/>
      </c>
      <c r="N518" s="48" t="str">
        <f>IFERROR(VLOOKUP(PA[[#This Row],[Affceted Equipment]],'Basic Data'!$A$1:$C$118,3,0),"")</f>
        <v/>
      </c>
      <c r="W518" s="33">
        <f>IF(PA[[#This Row],[Acknowledgemnet Time ]]="NA","",(PA[[#This Row],[Acknowledgemnet Time ]]-PA[[#This Row],[Fault Time]])*24)</f>
        <v>0</v>
      </c>
      <c r="X518" s="33">
        <f>IF(PA[[#This Row],[Work Start time on Fault]]="NA","",(PA[[#This Row],[Work Start time on Fault]]-PA[[#This Row],[Fault Time]])*24)</f>
        <v>0</v>
      </c>
      <c r="Y518" s="35">
        <f>(PA[[#This Row],[Work Completiuon time on fualt]]-PA[[#This Row],[Fault Time]])*24</f>
        <v>0</v>
      </c>
      <c r="Z518" s="35">
        <f>IFERROR((PA[[#This Row],[Work Completiuon time on fualt]]-PA[[#This Row],[Fault Time]])*24,"")</f>
        <v>0</v>
      </c>
      <c r="AC518" s="47" t="str">
        <f>IFERROR(PA[[#This Row],[Breakdown Time]]*PA[[#This Row],[Plant Equivalent Weightage]],"")</f>
        <v/>
      </c>
      <c r="AE518" s="33" t="str">
        <f>IFERROR((_xlfn.XLOOKUP(PA[[#This Row],[Month Year]],'Modelling New'!D:D,'Modelling New'!$O:$O)*PA[[#This Row],[Lost PoA(Wh/m2)]]*PA[[#This Row],[DC Capacity Affceted (kW)]])/1000,"")</f>
        <v/>
      </c>
      <c r="AF518" s="35"/>
    </row>
    <row r="519" spans="1:32">
      <c r="A519" s="2">
        <f t="shared" si="31"/>
        <v>516</v>
      </c>
      <c r="B519" s="156">
        <f t="shared" si="32"/>
        <v>1900</v>
      </c>
      <c r="C519" s="129">
        <f t="shared" si="33"/>
        <v>1900</v>
      </c>
      <c r="I519" s="31" t="str">
        <f>IFERROR(VLOOKUP(PA[[#This Row],[Date]],Raw_Data[[Date]:[Sunset Time (POA&lt;20 W/m2)]],3,0),"")</f>
        <v/>
      </c>
      <c r="J519" s="31" t="str">
        <f>IFERROR(VLOOKUP(PA[[#This Row],[Date]],Raw_Data[[Date]:[Sunset Time (POA&lt;20 W/m2)]],4,0),"")</f>
        <v/>
      </c>
      <c r="K519" s="49" t="str">
        <f>IFERROR((PA[[#This Row],[Sunset Time (POA&lt;20 W/m2)]]-PA[[#This Row],[Sunrise Time (POA&gt;20 W/m2)]])*24,"")</f>
        <v/>
      </c>
      <c r="M519" s="46" t="str">
        <f>IFERROR(VLOOKUP(PA[[#This Row],[Affceted Equipment]],'Basic Data'!$A$2:$B$114,2,0),"")</f>
        <v/>
      </c>
      <c r="N519" s="48" t="str">
        <f>IFERROR(VLOOKUP(PA[[#This Row],[Affceted Equipment]],'Basic Data'!$A$1:$C$118,3,0),"")</f>
        <v/>
      </c>
      <c r="W519" s="33">
        <f>IF(PA[[#This Row],[Acknowledgemnet Time ]]="NA","",(PA[[#This Row],[Acknowledgemnet Time ]]-PA[[#This Row],[Fault Time]])*24)</f>
        <v>0</v>
      </c>
      <c r="X519" s="33">
        <f>IF(PA[[#This Row],[Work Start time on Fault]]="NA","",(PA[[#This Row],[Work Start time on Fault]]-PA[[#This Row],[Fault Time]])*24)</f>
        <v>0</v>
      </c>
      <c r="Y519" s="35">
        <f>(PA[[#This Row],[Work Completiuon time on fualt]]-PA[[#This Row],[Fault Time]])*24</f>
        <v>0</v>
      </c>
      <c r="Z519" s="35">
        <f>IFERROR((PA[[#This Row],[Work Completiuon time on fualt]]-PA[[#This Row],[Fault Time]])*24,"")</f>
        <v>0</v>
      </c>
      <c r="AC519" s="47" t="str">
        <f>IFERROR(PA[[#This Row],[Breakdown Time]]*PA[[#This Row],[Plant Equivalent Weightage]],"")</f>
        <v/>
      </c>
      <c r="AE519" s="33" t="str">
        <f>IFERROR((_xlfn.XLOOKUP(PA[[#This Row],[Month Year]],'Modelling New'!D:D,'Modelling New'!$O:$O)*PA[[#This Row],[Lost PoA(Wh/m2)]]*PA[[#This Row],[DC Capacity Affceted (kW)]])/1000,"")</f>
        <v/>
      </c>
      <c r="AF519" s="35"/>
    </row>
    <row r="520" spans="1:32">
      <c r="A520" s="2">
        <f t="shared" si="31"/>
        <v>517</v>
      </c>
      <c r="B520" s="156">
        <f t="shared" si="32"/>
        <v>1900</v>
      </c>
      <c r="C520" s="129">
        <f t="shared" si="33"/>
        <v>1900</v>
      </c>
      <c r="I520" s="31" t="str">
        <f>IFERROR(VLOOKUP(PA[[#This Row],[Date]],Raw_Data[[Date]:[Sunset Time (POA&lt;20 W/m2)]],3,0),"")</f>
        <v/>
      </c>
      <c r="J520" s="31" t="str">
        <f>IFERROR(VLOOKUP(PA[[#This Row],[Date]],Raw_Data[[Date]:[Sunset Time (POA&lt;20 W/m2)]],4,0),"")</f>
        <v/>
      </c>
      <c r="K520" s="49" t="str">
        <f>IFERROR((PA[[#This Row],[Sunset Time (POA&lt;20 W/m2)]]-PA[[#This Row],[Sunrise Time (POA&gt;20 W/m2)]])*24,"")</f>
        <v/>
      </c>
      <c r="M520" s="46" t="str">
        <f>IFERROR(VLOOKUP(PA[[#This Row],[Affceted Equipment]],'Basic Data'!$A$2:$B$114,2,0),"")</f>
        <v/>
      </c>
      <c r="N520" s="48" t="str">
        <f>IFERROR(VLOOKUP(PA[[#This Row],[Affceted Equipment]],'Basic Data'!$A$1:$C$118,3,0),"")</f>
        <v/>
      </c>
      <c r="W520" s="33">
        <f>IF(PA[[#This Row],[Acknowledgemnet Time ]]="NA","",(PA[[#This Row],[Acknowledgemnet Time ]]-PA[[#This Row],[Fault Time]])*24)</f>
        <v>0</v>
      </c>
      <c r="X520" s="33">
        <f>IF(PA[[#This Row],[Work Start time on Fault]]="NA","",(PA[[#This Row],[Work Start time on Fault]]-PA[[#This Row],[Fault Time]])*24)</f>
        <v>0</v>
      </c>
      <c r="Y520" s="35">
        <f>(PA[[#This Row],[Work Completiuon time on fualt]]-PA[[#This Row],[Fault Time]])*24</f>
        <v>0</v>
      </c>
      <c r="Z520" s="35">
        <f>IFERROR((PA[[#This Row],[Work Completiuon time on fualt]]-PA[[#This Row],[Fault Time]])*24,"")</f>
        <v>0</v>
      </c>
      <c r="AC520" s="47" t="str">
        <f>IFERROR(PA[[#This Row],[Breakdown Time]]*PA[[#This Row],[Plant Equivalent Weightage]],"")</f>
        <v/>
      </c>
      <c r="AE520" s="33" t="str">
        <f>IFERROR((_xlfn.XLOOKUP(PA[[#This Row],[Month Year]],'Modelling New'!D:D,'Modelling New'!$O:$O)*PA[[#This Row],[Lost PoA(Wh/m2)]]*PA[[#This Row],[DC Capacity Affceted (kW)]])/1000,"")</f>
        <v/>
      </c>
      <c r="AF520" s="35"/>
    </row>
    <row r="521" spans="1:32">
      <c r="A521" s="2">
        <f t="shared" si="31"/>
        <v>518</v>
      </c>
      <c r="B521" s="156">
        <f t="shared" si="32"/>
        <v>1900</v>
      </c>
      <c r="C521" s="129">
        <f t="shared" si="33"/>
        <v>1900</v>
      </c>
      <c r="I521" s="31" t="str">
        <f>IFERROR(VLOOKUP(PA[[#This Row],[Date]],Raw_Data[[Date]:[Sunset Time (POA&lt;20 W/m2)]],3,0),"")</f>
        <v/>
      </c>
      <c r="J521" s="31" t="str">
        <f>IFERROR(VLOOKUP(PA[[#This Row],[Date]],Raw_Data[[Date]:[Sunset Time (POA&lt;20 W/m2)]],4,0),"")</f>
        <v/>
      </c>
      <c r="K521" s="49" t="str">
        <f>IFERROR((PA[[#This Row],[Sunset Time (POA&lt;20 W/m2)]]-PA[[#This Row],[Sunrise Time (POA&gt;20 W/m2)]])*24,"")</f>
        <v/>
      </c>
      <c r="M521" s="46" t="str">
        <f>IFERROR(VLOOKUP(PA[[#This Row],[Affceted Equipment]],'Basic Data'!$A$2:$B$114,2,0),"")</f>
        <v/>
      </c>
      <c r="N521" s="48" t="str">
        <f>IFERROR(VLOOKUP(PA[[#This Row],[Affceted Equipment]],'Basic Data'!$A$1:$C$118,3,0),"")</f>
        <v/>
      </c>
      <c r="W521" s="33">
        <f>IF(PA[[#This Row],[Acknowledgemnet Time ]]="NA","",(PA[[#This Row],[Acknowledgemnet Time ]]-PA[[#This Row],[Fault Time]])*24)</f>
        <v>0</v>
      </c>
      <c r="X521" s="33">
        <f>IF(PA[[#This Row],[Work Start time on Fault]]="NA","",(PA[[#This Row],[Work Start time on Fault]]-PA[[#This Row],[Fault Time]])*24)</f>
        <v>0</v>
      </c>
      <c r="Y521" s="35">
        <f>(PA[[#This Row],[Work Completiuon time on fualt]]-PA[[#This Row],[Fault Time]])*24</f>
        <v>0</v>
      </c>
      <c r="Z521" s="35">
        <f>IFERROR((PA[[#This Row],[Work Completiuon time on fualt]]-PA[[#This Row],[Fault Time]])*24,"")</f>
        <v>0</v>
      </c>
      <c r="AC521" s="47" t="str">
        <f>IFERROR(PA[[#This Row],[Breakdown Time]]*PA[[#This Row],[Plant Equivalent Weightage]],"")</f>
        <v/>
      </c>
      <c r="AE521" s="33" t="str">
        <f>IFERROR((_xlfn.XLOOKUP(PA[[#This Row],[Month Year]],'Modelling New'!D:D,'Modelling New'!$O:$O)*PA[[#This Row],[Lost PoA(Wh/m2)]]*PA[[#This Row],[DC Capacity Affceted (kW)]])/1000,"")</f>
        <v/>
      </c>
      <c r="AF521" s="35"/>
    </row>
    <row r="522" spans="1:32">
      <c r="A522" s="2">
        <f t="shared" ref="A522:A557" si="34">A521+1</f>
        <v>519</v>
      </c>
      <c r="B522" s="156">
        <f t="shared" si="32"/>
        <v>1900</v>
      </c>
      <c r="C522" s="129">
        <f t="shared" si="33"/>
        <v>1900</v>
      </c>
      <c r="I522" s="31" t="str">
        <f>IFERROR(VLOOKUP(PA[[#This Row],[Date]],Raw_Data[[Date]:[Sunset Time (POA&lt;20 W/m2)]],3,0),"")</f>
        <v/>
      </c>
      <c r="J522" s="31" t="str">
        <f>IFERROR(VLOOKUP(PA[[#This Row],[Date]],Raw_Data[[Date]:[Sunset Time (POA&lt;20 W/m2)]],4,0),"")</f>
        <v/>
      </c>
      <c r="K522" s="49" t="str">
        <f>IFERROR((PA[[#This Row],[Sunset Time (POA&lt;20 W/m2)]]-PA[[#This Row],[Sunrise Time (POA&gt;20 W/m2)]])*24,"")</f>
        <v/>
      </c>
      <c r="M522" s="46" t="str">
        <f>IFERROR(VLOOKUP(PA[[#This Row],[Affceted Equipment]],'Basic Data'!$A$2:$B$114,2,0),"")</f>
        <v/>
      </c>
      <c r="N522" s="48" t="str">
        <f>IFERROR(VLOOKUP(PA[[#This Row],[Affceted Equipment]],'Basic Data'!$A$1:$C$118,3,0),"")</f>
        <v/>
      </c>
      <c r="W522" s="33">
        <f>IF(PA[[#This Row],[Acknowledgemnet Time ]]="NA","",(PA[[#This Row],[Acknowledgemnet Time ]]-PA[[#This Row],[Fault Time]])*24)</f>
        <v>0</v>
      </c>
      <c r="X522" s="33">
        <f>IF(PA[[#This Row],[Work Start time on Fault]]="NA","",(PA[[#This Row],[Work Start time on Fault]]-PA[[#This Row],[Fault Time]])*24)</f>
        <v>0</v>
      </c>
      <c r="Y522" s="35">
        <f>(PA[[#This Row],[Work Completiuon time on fualt]]-PA[[#This Row],[Fault Time]])*24</f>
        <v>0</v>
      </c>
      <c r="Z522" s="35">
        <f>IFERROR((PA[[#This Row],[Work Completiuon time on fualt]]-PA[[#This Row],[Fault Time]])*24,"")</f>
        <v>0</v>
      </c>
      <c r="AC522" s="47" t="str">
        <f>IFERROR(PA[[#This Row],[Breakdown Time]]*PA[[#This Row],[Plant Equivalent Weightage]],"")</f>
        <v/>
      </c>
      <c r="AE522" s="33" t="str">
        <f>IFERROR((_xlfn.XLOOKUP(PA[[#This Row],[Month Year]],'Modelling New'!D:D,'Modelling New'!$O:$O)*PA[[#This Row],[Lost PoA(Wh/m2)]]*PA[[#This Row],[DC Capacity Affceted (kW)]])/1000,"")</f>
        <v/>
      </c>
      <c r="AF522" s="35"/>
    </row>
    <row r="523" spans="1:32">
      <c r="A523" s="2">
        <f t="shared" si="34"/>
        <v>520</v>
      </c>
      <c r="B523" s="156">
        <f t="shared" si="32"/>
        <v>1900</v>
      </c>
      <c r="C523" s="129">
        <f t="shared" si="33"/>
        <v>1900</v>
      </c>
      <c r="I523" s="31" t="str">
        <f>IFERROR(VLOOKUP(PA[[#This Row],[Date]],Raw_Data[[Date]:[Sunset Time (POA&lt;20 W/m2)]],3,0),"")</f>
        <v/>
      </c>
      <c r="J523" s="31" t="str">
        <f>IFERROR(VLOOKUP(PA[[#This Row],[Date]],Raw_Data[[Date]:[Sunset Time (POA&lt;20 W/m2)]],4,0),"")</f>
        <v/>
      </c>
      <c r="K523" s="49" t="str">
        <f>IFERROR((PA[[#This Row],[Sunset Time (POA&lt;20 W/m2)]]-PA[[#This Row],[Sunrise Time (POA&gt;20 W/m2)]])*24,"")</f>
        <v/>
      </c>
      <c r="M523" s="46" t="str">
        <f>IFERROR(VLOOKUP(PA[[#This Row],[Affceted Equipment]],'Basic Data'!$A$2:$B$114,2,0),"")</f>
        <v/>
      </c>
      <c r="N523" s="48" t="str">
        <f>IFERROR(VLOOKUP(PA[[#This Row],[Affceted Equipment]],'Basic Data'!$A$1:$C$118,3,0),"")</f>
        <v/>
      </c>
      <c r="W523" s="33">
        <f>IF(PA[[#This Row],[Acknowledgemnet Time ]]="NA","",(PA[[#This Row],[Acknowledgemnet Time ]]-PA[[#This Row],[Fault Time]])*24)</f>
        <v>0</v>
      </c>
      <c r="X523" s="33">
        <f>IF(PA[[#This Row],[Work Start time on Fault]]="NA","",(PA[[#This Row],[Work Start time on Fault]]-PA[[#This Row],[Fault Time]])*24)</f>
        <v>0</v>
      </c>
      <c r="Y523" s="35">
        <f>(PA[[#This Row],[Work Completiuon time on fualt]]-PA[[#This Row],[Fault Time]])*24</f>
        <v>0</v>
      </c>
      <c r="Z523" s="35">
        <f>IFERROR((PA[[#This Row],[Work Completiuon time on fualt]]-PA[[#This Row],[Fault Time]])*24,"")</f>
        <v>0</v>
      </c>
      <c r="AC523" s="47" t="str">
        <f>IFERROR(PA[[#This Row],[Breakdown Time]]*PA[[#This Row],[Plant Equivalent Weightage]],"")</f>
        <v/>
      </c>
      <c r="AE523" s="33" t="str">
        <f>IFERROR((_xlfn.XLOOKUP(PA[[#This Row],[Month Year]],'Modelling New'!D:D,'Modelling New'!$O:$O)*PA[[#This Row],[Lost PoA(Wh/m2)]]*PA[[#This Row],[DC Capacity Affceted (kW)]])/1000,"")</f>
        <v/>
      </c>
      <c r="AF523" s="35"/>
    </row>
    <row r="524" spans="1:32">
      <c r="A524" s="2">
        <f t="shared" si="34"/>
        <v>521</v>
      </c>
      <c r="B524" s="156">
        <f t="shared" si="32"/>
        <v>1900</v>
      </c>
      <c r="C524" s="129">
        <f t="shared" si="33"/>
        <v>1900</v>
      </c>
      <c r="I524" s="31" t="str">
        <f>IFERROR(VLOOKUP(PA[[#This Row],[Date]],Raw_Data[[Date]:[Sunset Time (POA&lt;20 W/m2)]],3,0),"")</f>
        <v/>
      </c>
      <c r="J524" s="31" t="str">
        <f>IFERROR(VLOOKUP(PA[[#This Row],[Date]],Raw_Data[[Date]:[Sunset Time (POA&lt;20 W/m2)]],4,0),"")</f>
        <v/>
      </c>
      <c r="K524" s="49" t="str">
        <f>IFERROR((PA[[#This Row],[Sunset Time (POA&lt;20 W/m2)]]-PA[[#This Row],[Sunrise Time (POA&gt;20 W/m2)]])*24,"")</f>
        <v/>
      </c>
      <c r="M524" s="46" t="str">
        <f>IFERROR(VLOOKUP(PA[[#This Row],[Affceted Equipment]],'Basic Data'!$A$2:$B$114,2,0),"")</f>
        <v/>
      </c>
      <c r="N524" s="48" t="str">
        <f>IFERROR(VLOOKUP(PA[[#This Row],[Affceted Equipment]],'Basic Data'!$A$1:$C$118,3,0),"")</f>
        <v/>
      </c>
      <c r="W524" s="33">
        <f>IF(PA[[#This Row],[Acknowledgemnet Time ]]="NA","",(PA[[#This Row],[Acknowledgemnet Time ]]-PA[[#This Row],[Fault Time]])*24)</f>
        <v>0</v>
      </c>
      <c r="X524" s="33">
        <f>IF(PA[[#This Row],[Work Start time on Fault]]="NA","",(PA[[#This Row],[Work Start time on Fault]]-PA[[#This Row],[Fault Time]])*24)</f>
        <v>0</v>
      </c>
      <c r="Y524" s="35">
        <f>(PA[[#This Row],[Work Completiuon time on fualt]]-PA[[#This Row],[Fault Time]])*24</f>
        <v>0</v>
      </c>
      <c r="Z524" s="35">
        <f>IFERROR((PA[[#This Row],[Work Completiuon time on fualt]]-PA[[#This Row],[Fault Time]])*24,"")</f>
        <v>0</v>
      </c>
      <c r="AC524" s="47" t="str">
        <f>IFERROR(PA[[#This Row],[Breakdown Time]]*PA[[#This Row],[Plant Equivalent Weightage]],"")</f>
        <v/>
      </c>
      <c r="AE524" s="33" t="str">
        <f>IFERROR((_xlfn.XLOOKUP(PA[[#This Row],[Month Year]],'Modelling New'!D:D,'Modelling New'!$O:$O)*PA[[#This Row],[Lost PoA(Wh/m2)]]*PA[[#This Row],[DC Capacity Affceted (kW)]])/1000,"")</f>
        <v/>
      </c>
      <c r="AF524" s="35"/>
    </row>
    <row r="525" spans="1:32">
      <c r="A525" s="2">
        <f t="shared" si="34"/>
        <v>522</v>
      </c>
      <c r="B525" s="156">
        <f t="shared" si="32"/>
        <v>1900</v>
      </c>
      <c r="C525" s="129">
        <f t="shared" si="33"/>
        <v>1900</v>
      </c>
      <c r="I525" s="31" t="str">
        <f>IFERROR(VLOOKUP(PA[[#This Row],[Date]],Raw_Data[[Date]:[Sunset Time (POA&lt;20 W/m2)]],3,0),"")</f>
        <v/>
      </c>
      <c r="J525" s="31" t="str">
        <f>IFERROR(VLOOKUP(PA[[#This Row],[Date]],Raw_Data[[Date]:[Sunset Time (POA&lt;20 W/m2)]],4,0),"")</f>
        <v/>
      </c>
      <c r="K525" s="49" t="str">
        <f>IFERROR((PA[[#This Row],[Sunset Time (POA&lt;20 W/m2)]]-PA[[#This Row],[Sunrise Time (POA&gt;20 W/m2)]])*24,"")</f>
        <v/>
      </c>
      <c r="M525" s="46" t="str">
        <f>IFERROR(VLOOKUP(PA[[#This Row],[Affceted Equipment]],'Basic Data'!$A$2:$B$114,2,0),"")</f>
        <v/>
      </c>
      <c r="N525" s="48" t="str">
        <f>IFERROR(VLOOKUP(PA[[#This Row],[Affceted Equipment]],'Basic Data'!$A$1:$C$118,3,0),"")</f>
        <v/>
      </c>
      <c r="W525" s="33">
        <f>IF(PA[[#This Row],[Acknowledgemnet Time ]]="NA","",(PA[[#This Row],[Acknowledgemnet Time ]]-PA[[#This Row],[Fault Time]])*24)</f>
        <v>0</v>
      </c>
      <c r="X525" s="33">
        <f>IF(PA[[#This Row],[Work Start time on Fault]]="NA","",(PA[[#This Row],[Work Start time on Fault]]-PA[[#This Row],[Fault Time]])*24)</f>
        <v>0</v>
      </c>
      <c r="Y525" s="35">
        <f>(PA[[#This Row],[Work Completiuon time on fualt]]-PA[[#This Row],[Fault Time]])*24</f>
        <v>0</v>
      </c>
      <c r="Z525" s="35">
        <f>IFERROR((PA[[#This Row],[Work Completiuon time on fualt]]-PA[[#This Row],[Fault Time]])*24,"")</f>
        <v>0</v>
      </c>
      <c r="AC525" s="47" t="str">
        <f>IFERROR(PA[[#This Row],[Breakdown Time]]*PA[[#This Row],[Plant Equivalent Weightage]],"")</f>
        <v/>
      </c>
      <c r="AE525" s="33" t="str">
        <f>IFERROR((_xlfn.XLOOKUP(PA[[#This Row],[Month Year]],'Modelling New'!D:D,'Modelling New'!$O:$O)*PA[[#This Row],[Lost PoA(Wh/m2)]]*PA[[#This Row],[DC Capacity Affceted (kW)]])/1000,"")</f>
        <v/>
      </c>
      <c r="AF525" s="35"/>
    </row>
    <row r="526" spans="1:32">
      <c r="A526" s="2">
        <f t="shared" si="34"/>
        <v>523</v>
      </c>
      <c r="B526" s="156">
        <f t="shared" si="32"/>
        <v>1900</v>
      </c>
      <c r="C526" s="129">
        <f t="shared" si="33"/>
        <v>1900</v>
      </c>
      <c r="I526" s="31" t="str">
        <f>IFERROR(VLOOKUP(PA[[#This Row],[Date]],Raw_Data[[Date]:[Sunset Time (POA&lt;20 W/m2)]],3,0),"")</f>
        <v/>
      </c>
      <c r="J526" s="31" t="str">
        <f>IFERROR(VLOOKUP(PA[[#This Row],[Date]],Raw_Data[[Date]:[Sunset Time (POA&lt;20 W/m2)]],4,0),"")</f>
        <v/>
      </c>
      <c r="K526" s="49" t="str">
        <f>IFERROR((PA[[#This Row],[Sunset Time (POA&lt;20 W/m2)]]-PA[[#This Row],[Sunrise Time (POA&gt;20 W/m2)]])*24,"")</f>
        <v/>
      </c>
      <c r="M526" s="46" t="str">
        <f>IFERROR(VLOOKUP(PA[[#This Row],[Affceted Equipment]],'Basic Data'!$A$2:$B$114,2,0),"")</f>
        <v/>
      </c>
      <c r="N526" s="48" t="str">
        <f>IFERROR(VLOOKUP(PA[[#This Row],[Affceted Equipment]],'Basic Data'!$A$1:$C$118,3,0),"")</f>
        <v/>
      </c>
      <c r="W526" s="33">
        <f>IF(PA[[#This Row],[Acknowledgemnet Time ]]="NA","",(PA[[#This Row],[Acknowledgemnet Time ]]-PA[[#This Row],[Fault Time]])*24)</f>
        <v>0</v>
      </c>
      <c r="X526" s="33">
        <f>IF(PA[[#This Row],[Work Start time on Fault]]="NA","",(PA[[#This Row],[Work Start time on Fault]]-PA[[#This Row],[Fault Time]])*24)</f>
        <v>0</v>
      </c>
      <c r="Y526" s="35">
        <f>(PA[[#This Row],[Work Completiuon time on fualt]]-PA[[#This Row],[Fault Time]])*24</f>
        <v>0</v>
      </c>
      <c r="Z526" s="35">
        <f>IFERROR((PA[[#This Row],[Work Completiuon time on fualt]]-PA[[#This Row],[Fault Time]])*24,"")</f>
        <v>0</v>
      </c>
      <c r="AC526" s="47" t="str">
        <f>IFERROR(PA[[#This Row],[Breakdown Time]]*PA[[#This Row],[Plant Equivalent Weightage]],"")</f>
        <v/>
      </c>
      <c r="AE526" s="33" t="str">
        <f>IFERROR((_xlfn.XLOOKUP(PA[[#This Row],[Month Year]],'Modelling New'!D:D,'Modelling New'!$O:$O)*PA[[#This Row],[Lost PoA(Wh/m2)]]*PA[[#This Row],[DC Capacity Affceted (kW)]])/1000,"")</f>
        <v/>
      </c>
      <c r="AF526" s="35"/>
    </row>
    <row r="527" spans="1:32">
      <c r="A527" s="2">
        <f t="shared" si="34"/>
        <v>524</v>
      </c>
      <c r="B527" s="156">
        <f t="shared" si="32"/>
        <v>1900</v>
      </c>
      <c r="C527" s="129">
        <f t="shared" si="33"/>
        <v>1900</v>
      </c>
      <c r="I527" s="31" t="str">
        <f>IFERROR(VLOOKUP(PA[[#This Row],[Date]],Raw_Data[[Date]:[Sunset Time (POA&lt;20 W/m2)]],3,0),"")</f>
        <v/>
      </c>
      <c r="J527" s="31" t="str">
        <f>IFERROR(VLOOKUP(PA[[#This Row],[Date]],Raw_Data[[Date]:[Sunset Time (POA&lt;20 W/m2)]],4,0),"")</f>
        <v/>
      </c>
      <c r="K527" s="49" t="str">
        <f>IFERROR((PA[[#This Row],[Sunset Time (POA&lt;20 W/m2)]]-PA[[#This Row],[Sunrise Time (POA&gt;20 W/m2)]])*24,"")</f>
        <v/>
      </c>
      <c r="M527" s="46" t="str">
        <f>IFERROR(VLOOKUP(PA[[#This Row],[Affceted Equipment]],'Basic Data'!$A$2:$B$114,2,0),"")</f>
        <v/>
      </c>
      <c r="N527" s="48" t="str">
        <f>IFERROR(VLOOKUP(PA[[#This Row],[Affceted Equipment]],'Basic Data'!$A$1:$C$118,3,0),"")</f>
        <v/>
      </c>
      <c r="W527" s="33">
        <f>IF(PA[[#This Row],[Acknowledgemnet Time ]]="NA","",(PA[[#This Row],[Acknowledgemnet Time ]]-PA[[#This Row],[Fault Time]])*24)</f>
        <v>0</v>
      </c>
      <c r="X527" s="33">
        <f>IF(PA[[#This Row],[Work Start time on Fault]]="NA","",(PA[[#This Row],[Work Start time on Fault]]-PA[[#This Row],[Fault Time]])*24)</f>
        <v>0</v>
      </c>
      <c r="Y527" s="35">
        <f>(PA[[#This Row],[Work Completiuon time on fualt]]-PA[[#This Row],[Fault Time]])*24</f>
        <v>0</v>
      </c>
      <c r="Z527" s="35">
        <f>IFERROR((PA[[#This Row],[Work Completiuon time on fualt]]-PA[[#This Row],[Fault Time]])*24,"")</f>
        <v>0</v>
      </c>
      <c r="AC527" s="47" t="str">
        <f>IFERROR(PA[[#This Row],[Breakdown Time]]*PA[[#This Row],[Plant Equivalent Weightage]],"")</f>
        <v/>
      </c>
      <c r="AE527" s="33" t="str">
        <f>IFERROR((_xlfn.XLOOKUP(PA[[#This Row],[Month Year]],'Modelling New'!D:D,'Modelling New'!$O:$O)*PA[[#This Row],[Lost PoA(Wh/m2)]]*PA[[#This Row],[DC Capacity Affceted (kW)]])/1000,"")</f>
        <v/>
      </c>
      <c r="AF527" s="35"/>
    </row>
    <row r="528" spans="1:32">
      <c r="A528" s="2">
        <f t="shared" si="34"/>
        <v>525</v>
      </c>
      <c r="B528" s="156">
        <f t="shared" si="32"/>
        <v>1900</v>
      </c>
      <c r="C528" s="129">
        <f t="shared" si="33"/>
        <v>1900</v>
      </c>
      <c r="I528" s="31" t="str">
        <f>IFERROR(VLOOKUP(PA[[#This Row],[Date]],Raw_Data[[Date]:[Sunset Time (POA&lt;20 W/m2)]],3,0),"")</f>
        <v/>
      </c>
      <c r="J528" s="31" t="str">
        <f>IFERROR(VLOOKUP(PA[[#This Row],[Date]],Raw_Data[[Date]:[Sunset Time (POA&lt;20 W/m2)]],4,0),"")</f>
        <v/>
      </c>
      <c r="K528" s="49" t="str">
        <f>IFERROR((PA[[#This Row],[Sunset Time (POA&lt;20 W/m2)]]-PA[[#This Row],[Sunrise Time (POA&gt;20 W/m2)]])*24,"")</f>
        <v/>
      </c>
      <c r="M528" s="46" t="str">
        <f>IFERROR(VLOOKUP(PA[[#This Row],[Affceted Equipment]],'Basic Data'!$A$2:$B$114,2,0),"")</f>
        <v/>
      </c>
      <c r="N528" s="48" t="str">
        <f>IFERROR(VLOOKUP(PA[[#This Row],[Affceted Equipment]],'Basic Data'!$A$1:$C$118,3,0),"")</f>
        <v/>
      </c>
      <c r="W528" s="33">
        <f>IF(PA[[#This Row],[Acknowledgemnet Time ]]="NA","",(PA[[#This Row],[Acknowledgemnet Time ]]-PA[[#This Row],[Fault Time]])*24)</f>
        <v>0</v>
      </c>
      <c r="X528" s="33">
        <f>IF(PA[[#This Row],[Work Start time on Fault]]="NA","",(PA[[#This Row],[Work Start time on Fault]]-PA[[#This Row],[Fault Time]])*24)</f>
        <v>0</v>
      </c>
      <c r="Y528" s="35">
        <f>(PA[[#This Row],[Work Completiuon time on fualt]]-PA[[#This Row],[Fault Time]])*24</f>
        <v>0</v>
      </c>
      <c r="Z528" s="35">
        <f>IFERROR((PA[[#This Row],[Work Completiuon time on fualt]]-PA[[#This Row],[Fault Time]])*24,"")</f>
        <v>0</v>
      </c>
      <c r="AC528" s="47" t="str">
        <f>IFERROR(PA[[#This Row],[Breakdown Time]]*PA[[#This Row],[Plant Equivalent Weightage]],"")</f>
        <v/>
      </c>
      <c r="AE528" s="33" t="str">
        <f>IFERROR((_xlfn.XLOOKUP(PA[[#This Row],[Month Year]],'Modelling New'!D:D,'Modelling New'!$O:$O)*PA[[#This Row],[Lost PoA(Wh/m2)]]*PA[[#This Row],[DC Capacity Affceted (kW)]])/1000,"")</f>
        <v/>
      </c>
      <c r="AF528" s="35"/>
    </row>
    <row r="529" spans="1:32">
      <c r="A529" s="2">
        <f t="shared" si="34"/>
        <v>526</v>
      </c>
      <c r="B529" s="156">
        <f t="shared" si="32"/>
        <v>1900</v>
      </c>
      <c r="C529" s="129">
        <f t="shared" si="33"/>
        <v>1900</v>
      </c>
      <c r="I529" s="31" t="str">
        <f>IFERROR(VLOOKUP(PA[[#This Row],[Date]],Raw_Data[[Date]:[Sunset Time (POA&lt;20 W/m2)]],3,0),"")</f>
        <v/>
      </c>
      <c r="J529" s="31" t="str">
        <f>IFERROR(VLOOKUP(PA[[#This Row],[Date]],Raw_Data[[Date]:[Sunset Time (POA&lt;20 W/m2)]],4,0),"")</f>
        <v/>
      </c>
      <c r="K529" s="49" t="str">
        <f>IFERROR((PA[[#This Row],[Sunset Time (POA&lt;20 W/m2)]]-PA[[#This Row],[Sunrise Time (POA&gt;20 W/m2)]])*24,"")</f>
        <v/>
      </c>
      <c r="M529" s="46" t="str">
        <f>IFERROR(VLOOKUP(PA[[#This Row],[Affceted Equipment]],'Basic Data'!$A$2:$B$114,2,0),"")</f>
        <v/>
      </c>
      <c r="N529" s="48" t="str">
        <f>IFERROR(VLOOKUP(PA[[#This Row],[Affceted Equipment]],'Basic Data'!$A$1:$C$118,3,0),"")</f>
        <v/>
      </c>
      <c r="W529" s="33">
        <f>IF(PA[[#This Row],[Acknowledgemnet Time ]]="NA","",(PA[[#This Row],[Acknowledgemnet Time ]]-PA[[#This Row],[Fault Time]])*24)</f>
        <v>0</v>
      </c>
      <c r="X529" s="33">
        <f>IF(PA[[#This Row],[Work Start time on Fault]]="NA","",(PA[[#This Row],[Work Start time on Fault]]-PA[[#This Row],[Fault Time]])*24)</f>
        <v>0</v>
      </c>
      <c r="Y529" s="35">
        <f>(PA[[#This Row],[Work Completiuon time on fualt]]-PA[[#This Row],[Fault Time]])*24</f>
        <v>0</v>
      </c>
      <c r="Z529" s="35">
        <f>IFERROR((PA[[#This Row],[Work Completiuon time on fualt]]-PA[[#This Row],[Fault Time]])*24,"")</f>
        <v>0</v>
      </c>
      <c r="AC529" s="47" t="str">
        <f>IFERROR(PA[[#This Row],[Breakdown Time]]*PA[[#This Row],[Plant Equivalent Weightage]],"")</f>
        <v/>
      </c>
      <c r="AE529" s="33" t="str">
        <f>IFERROR((_xlfn.XLOOKUP(PA[[#This Row],[Month Year]],'Modelling New'!D:D,'Modelling New'!$O:$O)*PA[[#This Row],[Lost PoA(Wh/m2)]]*PA[[#This Row],[DC Capacity Affceted (kW)]])/1000,"")</f>
        <v/>
      </c>
      <c r="AF529" s="35"/>
    </row>
    <row r="530" spans="1:32">
      <c r="A530" s="2">
        <f t="shared" si="34"/>
        <v>527</v>
      </c>
      <c r="B530" s="156">
        <f t="shared" si="32"/>
        <v>1900</v>
      </c>
      <c r="C530" s="129">
        <f t="shared" si="33"/>
        <v>1900</v>
      </c>
      <c r="I530" s="31" t="str">
        <f>IFERROR(VLOOKUP(PA[[#This Row],[Date]],Raw_Data[[Date]:[Sunset Time (POA&lt;20 W/m2)]],3,0),"")</f>
        <v/>
      </c>
      <c r="J530" s="31" t="str">
        <f>IFERROR(VLOOKUP(PA[[#This Row],[Date]],Raw_Data[[Date]:[Sunset Time (POA&lt;20 W/m2)]],4,0),"")</f>
        <v/>
      </c>
      <c r="K530" s="49" t="str">
        <f>IFERROR((PA[[#This Row],[Sunset Time (POA&lt;20 W/m2)]]-PA[[#This Row],[Sunrise Time (POA&gt;20 W/m2)]])*24,"")</f>
        <v/>
      </c>
      <c r="M530" s="46" t="str">
        <f>IFERROR(VLOOKUP(PA[[#This Row],[Affceted Equipment]],'Basic Data'!$A$2:$B$114,2,0),"")</f>
        <v/>
      </c>
      <c r="N530" s="48" t="str">
        <f>IFERROR(VLOOKUP(PA[[#This Row],[Affceted Equipment]],'Basic Data'!$A$1:$C$118,3,0),"")</f>
        <v/>
      </c>
      <c r="W530" s="33">
        <f>IF(PA[[#This Row],[Acknowledgemnet Time ]]="NA","",(PA[[#This Row],[Acknowledgemnet Time ]]-PA[[#This Row],[Fault Time]])*24)</f>
        <v>0</v>
      </c>
      <c r="X530" s="33">
        <f>IF(PA[[#This Row],[Work Start time on Fault]]="NA","",(PA[[#This Row],[Work Start time on Fault]]-PA[[#This Row],[Fault Time]])*24)</f>
        <v>0</v>
      </c>
      <c r="Y530" s="35">
        <f>(PA[[#This Row],[Work Completiuon time on fualt]]-PA[[#This Row],[Fault Time]])*24</f>
        <v>0</v>
      </c>
      <c r="Z530" s="35">
        <f>IFERROR((PA[[#This Row],[Work Completiuon time on fualt]]-PA[[#This Row],[Fault Time]])*24,"")</f>
        <v>0</v>
      </c>
      <c r="AC530" s="47" t="str">
        <f>IFERROR(PA[[#This Row],[Breakdown Time]]*PA[[#This Row],[Plant Equivalent Weightage]],"")</f>
        <v/>
      </c>
      <c r="AE530" s="33" t="str">
        <f>IFERROR((_xlfn.XLOOKUP(PA[[#This Row],[Month Year]],'Modelling New'!D:D,'Modelling New'!$O:$O)*PA[[#This Row],[Lost PoA(Wh/m2)]]*PA[[#This Row],[DC Capacity Affceted (kW)]])/1000,"")</f>
        <v/>
      </c>
      <c r="AF530" s="35"/>
    </row>
    <row r="531" spans="1:32">
      <c r="A531" s="2">
        <f t="shared" si="34"/>
        <v>528</v>
      </c>
      <c r="B531" s="156">
        <f t="shared" si="32"/>
        <v>1900</v>
      </c>
      <c r="C531" s="129">
        <f t="shared" si="33"/>
        <v>1900</v>
      </c>
      <c r="I531" s="31" t="str">
        <f>IFERROR(VLOOKUP(PA[[#This Row],[Date]],Raw_Data[[Date]:[Sunset Time (POA&lt;20 W/m2)]],3,0),"")</f>
        <v/>
      </c>
      <c r="J531" s="31" t="str">
        <f>IFERROR(VLOOKUP(PA[[#This Row],[Date]],Raw_Data[[Date]:[Sunset Time (POA&lt;20 W/m2)]],4,0),"")</f>
        <v/>
      </c>
      <c r="K531" s="49" t="str">
        <f>IFERROR((PA[[#This Row],[Sunset Time (POA&lt;20 W/m2)]]-PA[[#This Row],[Sunrise Time (POA&gt;20 W/m2)]])*24,"")</f>
        <v/>
      </c>
      <c r="M531" s="46" t="str">
        <f>IFERROR(VLOOKUP(PA[[#This Row],[Affceted Equipment]],'Basic Data'!$A$2:$B$114,2,0),"")</f>
        <v/>
      </c>
      <c r="N531" s="48" t="str">
        <f>IFERROR(VLOOKUP(PA[[#This Row],[Affceted Equipment]],'Basic Data'!$A$1:$C$118,3,0),"")</f>
        <v/>
      </c>
      <c r="W531" s="33">
        <f>IF(PA[[#This Row],[Acknowledgemnet Time ]]="NA","",(PA[[#This Row],[Acknowledgemnet Time ]]-PA[[#This Row],[Fault Time]])*24)</f>
        <v>0</v>
      </c>
      <c r="X531" s="33">
        <f>IF(PA[[#This Row],[Work Start time on Fault]]="NA","",(PA[[#This Row],[Work Start time on Fault]]-PA[[#This Row],[Fault Time]])*24)</f>
        <v>0</v>
      </c>
      <c r="Y531" s="35">
        <f>(PA[[#This Row],[Work Completiuon time on fualt]]-PA[[#This Row],[Fault Time]])*24</f>
        <v>0</v>
      </c>
      <c r="Z531" s="35">
        <f>IFERROR((PA[[#This Row],[Work Completiuon time on fualt]]-PA[[#This Row],[Fault Time]])*24,"")</f>
        <v>0</v>
      </c>
      <c r="AC531" s="47" t="str">
        <f>IFERROR(PA[[#This Row],[Breakdown Time]]*PA[[#This Row],[Plant Equivalent Weightage]],"")</f>
        <v/>
      </c>
      <c r="AE531" s="33" t="str">
        <f>IFERROR((_xlfn.XLOOKUP(PA[[#This Row],[Month Year]],'Modelling New'!D:D,'Modelling New'!$O:$O)*PA[[#This Row],[Lost PoA(Wh/m2)]]*PA[[#This Row],[DC Capacity Affceted (kW)]])/1000,"")</f>
        <v/>
      </c>
      <c r="AF531" s="35"/>
    </row>
    <row r="532" spans="1:32">
      <c r="A532" s="2">
        <f t="shared" si="34"/>
        <v>529</v>
      </c>
      <c r="B532" s="156">
        <f t="shared" si="32"/>
        <v>1900</v>
      </c>
      <c r="C532" s="129">
        <f t="shared" si="33"/>
        <v>1900</v>
      </c>
      <c r="I532" s="31" t="str">
        <f>IFERROR(VLOOKUP(PA[[#This Row],[Date]],Raw_Data[[Date]:[Sunset Time (POA&lt;20 W/m2)]],3,0),"")</f>
        <v/>
      </c>
      <c r="J532" s="31" t="str">
        <f>IFERROR(VLOOKUP(PA[[#This Row],[Date]],Raw_Data[[Date]:[Sunset Time (POA&lt;20 W/m2)]],4,0),"")</f>
        <v/>
      </c>
      <c r="K532" s="49" t="str">
        <f>IFERROR((PA[[#This Row],[Sunset Time (POA&lt;20 W/m2)]]-PA[[#This Row],[Sunrise Time (POA&gt;20 W/m2)]])*24,"")</f>
        <v/>
      </c>
      <c r="M532" s="46" t="str">
        <f>IFERROR(VLOOKUP(PA[[#This Row],[Affceted Equipment]],'Basic Data'!$A$2:$B$114,2,0),"")</f>
        <v/>
      </c>
      <c r="N532" s="48" t="str">
        <f>IFERROR(VLOOKUP(PA[[#This Row],[Affceted Equipment]],'Basic Data'!$A$1:$C$118,3,0),"")</f>
        <v/>
      </c>
      <c r="W532" s="33">
        <f>IF(PA[[#This Row],[Acknowledgemnet Time ]]="NA","",(PA[[#This Row],[Acknowledgemnet Time ]]-PA[[#This Row],[Fault Time]])*24)</f>
        <v>0</v>
      </c>
      <c r="X532" s="33">
        <f>IF(PA[[#This Row],[Work Start time on Fault]]="NA","",(PA[[#This Row],[Work Start time on Fault]]-PA[[#This Row],[Fault Time]])*24)</f>
        <v>0</v>
      </c>
      <c r="Y532" s="35">
        <f>(PA[[#This Row],[Work Completiuon time on fualt]]-PA[[#This Row],[Fault Time]])*24</f>
        <v>0</v>
      </c>
      <c r="Z532" s="35">
        <f>IFERROR((PA[[#This Row],[Work Completiuon time on fualt]]-PA[[#This Row],[Fault Time]])*24,"")</f>
        <v>0</v>
      </c>
      <c r="AC532" s="47" t="str">
        <f>IFERROR(PA[[#This Row],[Breakdown Time]]*PA[[#This Row],[Plant Equivalent Weightage]],"")</f>
        <v/>
      </c>
      <c r="AE532" s="33" t="str">
        <f>IFERROR((_xlfn.XLOOKUP(PA[[#This Row],[Month Year]],'Modelling New'!D:D,'Modelling New'!$O:$O)*PA[[#This Row],[Lost PoA(Wh/m2)]]*PA[[#This Row],[DC Capacity Affceted (kW)]])/1000,"")</f>
        <v/>
      </c>
      <c r="AF532" s="35"/>
    </row>
    <row r="533" spans="1:32">
      <c r="A533" s="2">
        <f t="shared" si="34"/>
        <v>530</v>
      </c>
      <c r="B533" s="156">
        <f t="shared" si="32"/>
        <v>1900</v>
      </c>
      <c r="C533" s="129">
        <f t="shared" si="33"/>
        <v>1900</v>
      </c>
      <c r="I533" s="31" t="str">
        <f>IFERROR(VLOOKUP(PA[[#This Row],[Date]],Raw_Data[[Date]:[Sunset Time (POA&lt;20 W/m2)]],3,0),"")</f>
        <v/>
      </c>
      <c r="J533" s="31" t="str">
        <f>IFERROR(VLOOKUP(PA[[#This Row],[Date]],Raw_Data[[Date]:[Sunset Time (POA&lt;20 W/m2)]],4,0),"")</f>
        <v/>
      </c>
      <c r="K533" s="49" t="str">
        <f>IFERROR((PA[[#This Row],[Sunset Time (POA&lt;20 W/m2)]]-PA[[#This Row],[Sunrise Time (POA&gt;20 W/m2)]])*24,"")</f>
        <v/>
      </c>
      <c r="M533" s="46" t="str">
        <f>IFERROR(VLOOKUP(PA[[#This Row],[Affceted Equipment]],'Basic Data'!$A$2:$B$114,2,0),"")</f>
        <v/>
      </c>
      <c r="N533" s="48" t="str">
        <f>IFERROR(VLOOKUP(PA[[#This Row],[Affceted Equipment]],'Basic Data'!$A$1:$C$118,3,0),"")</f>
        <v/>
      </c>
      <c r="W533" s="33">
        <f>IF(PA[[#This Row],[Acknowledgemnet Time ]]="NA","",(PA[[#This Row],[Acknowledgemnet Time ]]-PA[[#This Row],[Fault Time]])*24)</f>
        <v>0</v>
      </c>
      <c r="X533" s="33">
        <f>IF(PA[[#This Row],[Work Start time on Fault]]="NA","",(PA[[#This Row],[Work Start time on Fault]]-PA[[#This Row],[Fault Time]])*24)</f>
        <v>0</v>
      </c>
      <c r="Y533" s="35">
        <f>(PA[[#This Row],[Work Completiuon time on fualt]]-PA[[#This Row],[Fault Time]])*24</f>
        <v>0</v>
      </c>
      <c r="Z533" s="35">
        <f>IFERROR((PA[[#This Row],[Work Completiuon time on fualt]]-PA[[#This Row],[Fault Time]])*24,"")</f>
        <v>0</v>
      </c>
      <c r="AC533" s="47" t="str">
        <f>IFERROR(PA[[#This Row],[Breakdown Time]]*PA[[#This Row],[Plant Equivalent Weightage]],"")</f>
        <v/>
      </c>
      <c r="AE533" s="33" t="str">
        <f>IFERROR((_xlfn.XLOOKUP(PA[[#This Row],[Month Year]],'Modelling New'!D:D,'Modelling New'!$O:$O)*PA[[#This Row],[Lost PoA(Wh/m2)]]*PA[[#This Row],[DC Capacity Affceted (kW)]])/1000,"")</f>
        <v/>
      </c>
      <c r="AF533" s="35"/>
    </row>
    <row r="534" spans="1:32">
      <c r="A534" s="2">
        <f t="shared" si="34"/>
        <v>531</v>
      </c>
      <c r="B534" s="156">
        <f t="shared" si="32"/>
        <v>1900</v>
      </c>
      <c r="C534" s="129">
        <f t="shared" si="33"/>
        <v>1900</v>
      </c>
      <c r="I534" s="31" t="str">
        <f>IFERROR(VLOOKUP(PA[[#This Row],[Date]],Raw_Data[[Date]:[Sunset Time (POA&lt;20 W/m2)]],3,0),"")</f>
        <v/>
      </c>
      <c r="J534" s="31" t="str">
        <f>IFERROR(VLOOKUP(PA[[#This Row],[Date]],Raw_Data[[Date]:[Sunset Time (POA&lt;20 W/m2)]],4,0),"")</f>
        <v/>
      </c>
      <c r="K534" s="49" t="str">
        <f>IFERROR((PA[[#This Row],[Sunset Time (POA&lt;20 W/m2)]]-PA[[#This Row],[Sunrise Time (POA&gt;20 W/m2)]])*24,"")</f>
        <v/>
      </c>
      <c r="M534" s="46" t="str">
        <f>IFERROR(VLOOKUP(PA[[#This Row],[Affceted Equipment]],'Basic Data'!$A$2:$B$114,2,0),"")</f>
        <v/>
      </c>
      <c r="N534" s="48" t="str">
        <f>IFERROR(VLOOKUP(PA[[#This Row],[Affceted Equipment]],'Basic Data'!$A$1:$C$118,3,0),"")</f>
        <v/>
      </c>
      <c r="W534" s="33">
        <f>IF(PA[[#This Row],[Acknowledgemnet Time ]]="NA","",(PA[[#This Row],[Acknowledgemnet Time ]]-PA[[#This Row],[Fault Time]])*24)</f>
        <v>0</v>
      </c>
      <c r="X534" s="33">
        <f>IF(PA[[#This Row],[Work Start time on Fault]]="NA","",(PA[[#This Row],[Work Start time on Fault]]-PA[[#This Row],[Fault Time]])*24)</f>
        <v>0</v>
      </c>
      <c r="Y534" s="35">
        <f>(PA[[#This Row],[Work Completiuon time on fualt]]-PA[[#This Row],[Fault Time]])*24</f>
        <v>0</v>
      </c>
      <c r="Z534" s="35">
        <f>IFERROR((PA[[#This Row],[Work Completiuon time on fualt]]-PA[[#This Row],[Fault Time]])*24,"")</f>
        <v>0</v>
      </c>
      <c r="AC534" s="47" t="str">
        <f>IFERROR(PA[[#This Row],[Breakdown Time]]*PA[[#This Row],[Plant Equivalent Weightage]],"")</f>
        <v/>
      </c>
      <c r="AE534" s="33" t="str">
        <f>IFERROR((_xlfn.XLOOKUP(PA[[#This Row],[Month Year]],'Modelling New'!D:D,'Modelling New'!$O:$O)*PA[[#This Row],[Lost PoA(Wh/m2)]]*PA[[#This Row],[DC Capacity Affceted (kW)]])/1000,"")</f>
        <v/>
      </c>
      <c r="AF534" s="35"/>
    </row>
    <row r="535" spans="1:32">
      <c r="A535" s="2">
        <f t="shared" si="34"/>
        <v>532</v>
      </c>
      <c r="B535" s="156">
        <f t="shared" si="32"/>
        <v>1900</v>
      </c>
      <c r="C535" s="129">
        <f t="shared" si="33"/>
        <v>1900</v>
      </c>
      <c r="I535" s="31" t="str">
        <f>IFERROR(VLOOKUP(PA[[#This Row],[Date]],Raw_Data[[Date]:[Sunset Time (POA&lt;20 W/m2)]],3,0),"")</f>
        <v/>
      </c>
      <c r="J535" s="31" t="str">
        <f>IFERROR(VLOOKUP(PA[[#This Row],[Date]],Raw_Data[[Date]:[Sunset Time (POA&lt;20 W/m2)]],4,0),"")</f>
        <v/>
      </c>
      <c r="K535" s="49" t="str">
        <f>IFERROR((PA[[#This Row],[Sunset Time (POA&lt;20 W/m2)]]-PA[[#This Row],[Sunrise Time (POA&gt;20 W/m2)]])*24,"")</f>
        <v/>
      </c>
      <c r="M535" s="46" t="str">
        <f>IFERROR(VLOOKUP(PA[[#This Row],[Affceted Equipment]],'Basic Data'!$A$2:$B$114,2,0),"")</f>
        <v/>
      </c>
      <c r="N535" s="48" t="str">
        <f>IFERROR(VLOOKUP(PA[[#This Row],[Affceted Equipment]],'Basic Data'!$A$1:$C$118,3,0),"")</f>
        <v/>
      </c>
      <c r="W535" s="33">
        <f>IF(PA[[#This Row],[Acknowledgemnet Time ]]="NA","",(PA[[#This Row],[Acknowledgemnet Time ]]-PA[[#This Row],[Fault Time]])*24)</f>
        <v>0</v>
      </c>
      <c r="X535" s="33">
        <f>IF(PA[[#This Row],[Work Start time on Fault]]="NA","",(PA[[#This Row],[Work Start time on Fault]]-PA[[#This Row],[Fault Time]])*24)</f>
        <v>0</v>
      </c>
      <c r="Y535" s="35">
        <f>(PA[[#This Row],[Work Completiuon time on fualt]]-PA[[#This Row],[Fault Time]])*24</f>
        <v>0</v>
      </c>
      <c r="Z535" s="35">
        <f>IFERROR((PA[[#This Row],[Work Completiuon time on fualt]]-PA[[#This Row],[Fault Time]])*24,"")</f>
        <v>0</v>
      </c>
      <c r="AC535" s="47" t="str">
        <f>IFERROR(PA[[#This Row],[Breakdown Time]]*PA[[#This Row],[Plant Equivalent Weightage]],"")</f>
        <v/>
      </c>
      <c r="AE535" s="33" t="str">
        <f>IFERROR((_xlfn.XLOOKUP(PA[[#This Row],[Month Year]],'Modelling New'!D:D,'Modelling New'!$O:$O)*PA[[#This Row],[Lost PoA(Wh/m2)]]*PA[[#This Row],[DC Capacity Affceted (kW)]])/1000,"")</f>
        <v/>
      </c>
      <c r="AF535" s="35"/>
    </row>
    <row r="536" spans="1:32">
      <c r="A536" s="2">
        <f t="shared" si="34"/>
        <v>533</v>
      </c>
      <c r="B536" s="156">
        <f t="shared" si="32"/>
        <v>1900</v>
      </c>
      <c r="C536" s="129">
        <f t="shared" si="33"/>
        <v>1900</v>
      </c>
      <c r="I536" s="31" t="str">
        <f>IFERROR(VLOOKUP(PA[[#This Row],[Date]],Raw_Data[[Date]:[Sunset Time (POA&lt;20 W/m2)]],3,0),"")</f>
        <v/>
      </c>
      <c r="J536" s="31" t="str">
        <f>IFERROR(VLOOKUP(PA[[#This Row],[Date]],Raw_Data[[Date]:[Sunset Time (POA&lt;20 W/m2)]],4,0),"")</f>
        <v/>
      </c>
      <c r="K536" s="49" t="str">
        <f>IFERROR((PA[[#This Row],[Sunset Time (POA&lt;20 W/m2)]]-PA[[#This Row],[Sunrise Time (POA&gt;20 W/m2)]])*24,"")</f>
        <v/>
      </c>
      <c r="M536" s="46" t="str">
        <f>IFERROR(VLOOKUP(PA[[#This Row],[Affceted Equipment]],'Basic Data'!$A$2:$B$114,2,0),"")</f>
        <v/>
      </c>
      <c r="N536" s="48" t="str">
        <f>IFERROR(VLOOKUP(PA[[#This Row],[Affceted Equipment]],'Basic Data'!$A$1:$C$118,3,0),"")</f>
        <v/>
      </c>
      <c r="W536" s="33">
        <f>IF(PA[[#This Row],[Acknowledgemnet Time ]]="NA","",(PA[[#This Row],[Acknowledgemnet Time ]]-PA[[#This Row],[Fault Time]])*24)</f>
        <v>0</v>
      </c>
      <c r="X536" s="33">
        <f>IF(PA[[#This Row],[Work Start time on Fault]]="NA","",(PA[[#This Row],[Work Start time on Fault]]-PA[[#This Row],[Fault Time]])*24)</f>
        <v>0</v>
      </c>
      <c r="Y536" s="35">
        <f>(PA[[#This Row],[Work Completiuon time on fualt]]-PA[[#This Row],[Fault Time]])*24</f>
        <v>0</v>
      </c>
      <c r="Z536" s="35">
        <f>IFERROR((PA[[#This Row],[Work Completiuon time on fualt]]-PA[[#This Row],[Fault Time]])*24,"")</f>
        <v>0</v>
      </c>
      <c r="AC536" s="47" t="str">
        <f>IFERROR(PA[[#This Row],[Breakdown Time]]*PA[[#This Row],[Plant Equivalent Weightage]],"")</f>
        <v/>
      </c>
      <c r="AE536" s="33" t="str">
        <f>IFERROR((_xlfn.XLOOKUP(PA[[#This Row],[Month Year]],'Modelling New'!D:D,'Modelling New'!$O:$O)*PA[[#This Row],[Lost PoA(Wh/m2)]]*PA[[#This Row],[DC Capacity Affceted (kW)]])/1000,"")</f>
        <v/>
      </c>
      <c r="AF536" s="35"/>
    </row>
    <row r="537" spans="1:32">
      <c r="A537" s="2">
        <f t="shared" si="34"/>
        <v>534</v>
      </c>
      <c r="B537" s="156">
        <f t="shared" si="32"/>
        <v>1900</v>
      </c>
      <c r="C537" s="129">
        <f t="shared" si="33"/>
        <v>1900</v>
      </c>
      <c r="I537" s="31" t="str">
        <f>IFERROR(VLOOKUP(PA[[#This Row],[Date]],Raw_Data[[Date]:[Sunset Time (POA&lt;20 W/m2)]],3,0),"")</f>
        <v/>
      </c>
      <c r="J537" s="31" t="str">
        <f>IFERROR(VLOOKUP(PA[[#This Row],[Date]],Raw_Data[[Date]:[Sunset Time (POA&lt;20 W/m2)]],4,0),"")</f>
        <v/>
      </c>
      <c r="K537" s="49" t="str">
        <f>IFERROR((PA[[#This Row],[Sunset Time (POA&lt;20 W/m2)]]-PA[[#This Row],[Sunrise Time (POA&gt;20 W/m2)]])*24,"")</f>
        <v/>
      </c>
      <c r="M537" s="46" t="str">
        <f>IFERROR(VLOOKUP(PA[[#This Row],[Affceted Equipment]],'Basic Data'!$A$2:$B$114,2,0),"")</f>
        <v/>
      </c>
      <c r="N537" s="48" t="str">
        <f>IFERROR(VLOOKUP(PA[[#This Row],[Affceted Equipment]],'Basic Data'!$A$1:$C$118,3,0),"")</f>
        <v/>
      </c>
      <c r="W537" s="33">
        <f>IF(PA[[#This Row],[Acknowledgemnet Time ]]="NA","",(PA[[#This Row],[Acknowledgemnet Time ]]-PA[[#This Row],[Fault Time]])*24)</f>
        <v>0</v>
      </c>
      <c r="X537" s="33">
        <f>IF(PA[[#This Row],[Work Start time on Fault]]="NA","",(PA[[#This Row],[Work Start time on Fault]]-PA[[#This Row],[Fault Time]])*24)</f>
        <v>0</v>
      </c>
      <c r="Y537" s="35">
        <f>(PA[[#This Row],[Work Completiuon time on fualt]]-PA[[#This Row],[Fault Time]])*24</f>
        <v>0</v>
      </c>
      <c r="Z537" s="35">
        <f>IFERROR((PA[[#This Row],[Work Completiuon time on fualt]]-PA[[#This Row],[Fault Time]])*24,"")</f>
        <v>0</v>
      </c>
      <c r="AC537" s="47" t="str">
        <f>IFERROR(PA[[#This Row],[Breakdown Time]]*PA[[#This Row],[Plant Equivalent Weightage]],"")</f>
        <v/>
      </c>
      <c r="AE537" s="33" t="str">
        <f>IFERROR((_xlfn.XLOOKUP(PA[[#This Row],[Month Year]],'Modelling New'!D:D,'Modelling New'!$O:$O)*PA[[#This Row],[Lost PoA(Wh/m2)]]*PA[[#This Row],[DC Capacity Affceted (kW)]])/1000,"")</f>
        <v/>
      </c>
      <c r="AF537" s="35"/>
    </row>
    <row r="538" spans="1:32">
      <c r="A538" s="2">
        <f t="shared" si="34"/>
        <v>535</v>
      </c>
      <c r="B538" s="156">
        <f t="shared" si="32"/>
        <v>1900</v>
      </c>
      <c r="C538" s="129">
        <f t="shared" si="33"/>
        <v>1900</v>
      </c>
      <c r="I538" s="31" t="str">
        <f>IFERROR(VLOOKUP(PA[[#This Row],[Date]],Raw_Data[[Date]:[Sunset Time (POA&lt;20 W/m2)]],3,0),"")</f>
        <v/>
      </c>
      <c r="J538" s="31" t="str">
        <f>IFERROR(VLOOKUP(PA[[#This Row],[Date]],Raw_Data[[Date]:[Sunset Time (POA&lt;20 W/m2)]],4,0),"")</f>
        <v/>
      </c>
      <c r="K538" s="49" t="str">
        <f>IFERROR((PA[[#This Row],[Sunset Time (POA&lt;20 W/m2)]]-PA[[#This Row],[Sunrise Time (POA&gt;20 W/m2)]])*24,"")</f>
        <v/>
      </c>
      <c r="M538" s="46" t="str">
        <f>IFERROR(VLOOKUP(PA[[#This Row],[Affceted Equipment]],'Basic Data'!$A$2:$B$114,2,0),"")</f>
        <v/>
      </c>
      <c r="N538" s="48" t="str">
        <f>IFERROR(VLOOKUP(PA[[#This Row],[Affceted Equipment]],'Basic Data'!$A$1:$C$118,3,0),"")</f>
        <v/>
      </c>
      <c r="W538" s="33">
        <f>IF(PA[[#This Row],[Acknowledgemnet Time ]]="NA","",(PA[[#This Row],[Acknowledgemnet Time ]]-PA[[#This Row],[Fault Time]])*24)</f>
        <v>0</v>
      </c>
      <c r="X538" s="33">
        <f>IF(PA[[#This Row],[Work Start time on Fault]]="NA","",(PA[[#This Row],[Work Start time on Fault]]-PA[[#This Row],[Fault Time]])*24)</f>
        <v>0</v>
      </c>
      <c r="Y538" s="35">
        <f>(PA[[#This Row],[Work Completiuon time on fualt]]-PA[[#This Row],[Fault Time]])*24</f>
        <v>0</v>
      </c>
      <c r="Z538" s="35">
        <f>IFERROR((PA[[#This Row],[Work Completiuon time on fualt]]-PA[[#This Row],[Fault Time]])*24,"")</f>
        <v>0</v>
      </c>
      <c r="AC538" s="47" t="str">
        <f>IFERROR(PA[[#This Row],[Breakdown Time]]*PA[[#This Row],[Plant Equivalent Weightage]],"")</f>
        <v/>
      </c>
      <c r="AE538" s="33" t="str">
        <f>IFERROR((_xlfn.XLOOKUP(PA[[#This Row],[Month Year]],'Modelling New'!D:D,'Modelling New'!$O:$O)*PA[[#This Row],[Lost PoA(Wh/m2)]]*PA[[#This Row],[DC Capacity Affceted (kW)]])/1000,"")</f>
        <v/>
      </c>
      <c r="AF538" s="35"/>
    </row>
    <row r="539" spans="1:32">
      <c r="A539" s="2">
        <f t="shared" si="34"/>
        <v>536</v>
      </c>
      <c r="B539" s="156">
        <f t="shared" si="32"/>
        <v>1900</v>
      </c>
      <c r="C539" s="129">
        <f t="shared" si="33"/>
        <v>1900</v>
      </c>
      <c r="I539" s="31" t="str">
        <f>IFERROR(VLOOKUP(PA[[#This Row],[Date]],Raw_Data[[Date]:[Sunset Time (POA&lt;20 W/m2)]],3,0),"")</f>
        <v/>
      </c>
      <c r="J539" s="31" t="str">
        <f>IFERROR(VLOOKUP(PA[[#This Row],[Date]],Raw_Data[[Date]:[Sunset Time (POA&lt;20 W/m2)]],4,0),"")</f>
        <v/>
      </c>
      <c r="K539" s="49" t="str">
        <f>IFERROR((PA[[#This Row],[Sunset Time (POA&lt;20 W/m2)]]-PA[[#This Row],[Sunrise Time (POA&gt;20 W/m2)]])*24,"")</f>
        <v/>
      </c>
      <c r="M539" s="46" t="str">
        <f>IFERROR(VLOOKUP(PA[[#This Row],[Affceted Equipment]],'Basic Data'!$A$2:$B$114,2,0),"")</f>
        <v/>
      </c>
      <c r="N539" s="48" t="str">
        <f>IFERROR(VLOOKUP(PA[[#This Row],[Affceted Equipment]],'Basic Data'!$A$1:$C$118,3,0),"")</f>
        <v/>
      </c>
      <c r="W539" s="33">
        <f>IF(PA[[#This Row],[Acknowledgemnet Time ]]="NA","",(PA[[#This Row],[Acknowledgemnet Time ]]-PA[[#This Row],[Fault Time]])*24)</f>
        <v>0</v>
      </c>
      <c r="X539" s="33">
        <f>IF(PA[[#This Row],[Work Start time on Fault]]="NA","",(PA[[#This Row],[Work Start time on Fault]]-PA[[#This Row],[Fault Time]])*24)</f>
        <v>0</v>
      </c>
      <c r="Y539" s="35">
        <f>(PA[[#This Row],[Work Completiuon time on fualt]]-PA[[#This Row],[Fault Time]])*24</f>
        <v>0</v>
      </c>
      <c r="Z539" s="35">
        <f>IFERROR((PA[[#This Row],[Work Completiuon time on fualt]]-PA[[#This Row],[Fault Time]])*24,"")</f>
        <v>0</v>
      </c>
      <c r="AC539" s="47" t="str">
        <f>IFERROR(PA[[#This Row],[Breakdown Time]]*PA[[#This Row],[Plant Equivalent Weightage]],"")</f>
        <v/>
      </c>
      <c r="AE539" s="33" t="str">
        <f>IFERROR((_xlfn.XLOOKUP(PA[[#This Row],[Month Year]],'Modelling New'!D:D,'Modelling New'!$O:$O)*PA[[#This Row],[Lost PoA(Wh/m2)]]*PA[[#This Row],[DC Capacity Affceted (kW)]])/1000,"")</f>
        <v/>
      </c>
      <c r="AF539" s="35"/>
    </row>
    <row r="540" spans="1:32">
      <c r="A540" s="2">
        <f t="shared" si="34"/>
        <v>537</v>
      </c>
      <c r="B540" s="156">
        <f t="shared" si="32"/>
        <v>1900</v>
      </c>
      <c r="C540" s="129">
        <f t="shared" si="33"/>
        <v>1900</v>
      </c>
      <c r="I540" s="31" t="str">
        <f>IFERROR(VLOOKUP(PA[[#This Row],[Date]],Raw_Data[[Date]:[Sunset Time (POA&lt;20 W/m2)]],3,0),"")</f>
        <v/>
      </c>
      <c r="J540" s="31" t="str">
        <f>IFERROR(VLOOKUP(PA[[#This Row],[Date]],Raw_Data[[Date]:[Sunset Time (POA&lt;20 W/m2)]],4,0),"")</f>
        <v/>
      </c>
      <c r="K540" s="49" t="str">
        <f>IFERROR((PA[[#This Row],[Sunset Time (POA&lt;20 W/m2)]]-PA[[#This Row],[Sunrise Time (POA&gt;20 W/m2)]])*24,"")</f>
        <v/>
      </c>
      <c r="M540" s="46" t="str">
        <f>IFERROR(VLOOKUP(PA[[#This Row],[Affceted Equipment]],'Basic Data'!$A$2:$B$114,2,0),"")</f>
        <v/>
      </c>
      <c r="N540" s="48" t="str">
        <f>IFERROR(VLOOKUP(PA[[#This Row],[Affceted Equipment]],'Basic Data'!$A$1:$C$118,3,0),"")</f>
        <v/>
      </c>
      <c r="W540" s="33">
        <f>IF(PA[[#This Row],[Acknowledgemnet Time ]]="NA","",(PA[[#This Row],[Acknowledgemnet Time ]]-PA[[#This Row],[Fault Time]])*24)</f>
        <v>0</v>
      </c>
      <c r="X540" s="33">
        <f>IF(PA[[#This Row],[Work Start time on Fault]]="NA","",(PA[[#This Row],[Work Start time on Fault]]-PA[[#This Row],[Fault Time]])*24)</f>
        <v>0</v>
      </c>
      <c r="Y540" s="35">
        <f>(PA[[#This Row],[Work Completiuon time on fualt]]-PA[[#This Row],[Fault Time]])*24</f>
        <v>0</v>
      </c>
      <c r="Z540" s="35">
        <f>IFERROR((PA[[#This Row],[Work Completiuon time on fualt]]-PA[[#This Row],[Fault Time]])*24,"")</f>
        <v>0</v>
      </c>
      <c r="AC540" s="47" t="str">
        <f>IFERROR(PA[[#This Row],[Breakdown Time]]*PA[[#This Row],[Plant Equivalent Weightage]],"")</f>
        <v/>
      </c>
      <c r="AE540" s="33" t="str">
        <f>IFERROR((_xlfn.XLOOKUP(PA[[#This Row],[Month Year]],'Modelling New'!D:D,'Modelling New'!$O:$O)*PA[[#This Row],[Lost PoA(Wh/m2)]]*PA[[#This Row],[DC Capacity Affceted (kW)]])/1000,"")</f>
        <v/>
      </c>
      <c r="AF540" s="35"/>
    </row>
    <row r="541" spans="1:32">
      <c r="A541" s="2">
        <f t="shared" si="34"/>
        <v>538</v>
      </c>
      <c r="B541" s="156">
        <f t="shared" si="32"/>
        <v>1900</v>
      </c>
      <c r="C541" s="129">
        <f t="shared" si="33"/>
        <v>1900</v>
      </c>
      <c r="I541" s="31" t="str">
        <f>IFERROR(VLOOKUP(PA[[#This Row],[Date]],Raw_Data[[Date]:[Sunset Time (POA&lt;20 W/m2)]],3,0),"")</f>
        <v/>
      </c>
      <c r="J541" s="31" t="str">
        <f>IFERROR(VLOOKUP(PA[[#This Row],[Date]],Raw_Data[[Date]:[Sunset Time (POA&lt;20 W/m2)]],4,0),"")</f>
        <v/>
      </c>
      <c r="K541" s="49" t="str">
        <f>IFERROR((PA[[#This Row],[Sunset Time (POA&lt;20 W/m2)]]-PA[[#This Row],[Sunrise Time (POA&gt;20 W/m2)]])*24,"")</f>
        <v/>
      </c>
      <c r="M541" s="46" t="str">
        <f>IFERROR(VLOOKUP(PA[[#This Row],[Affceted Equipment]],'Basic Data'!$A$2:$B$114,2,0),"")</f>
        <v/>
      </c>
      <c r="N541" s="48" t="str">
        <f>IFERROR(VLOOKUP(PA[[#This Row],[Affceted Equipment]],'Basic Data'!$A$1:$C$118,3,0),"")</f>
        <v/>
      </c>
      <c r="W541" s="33">
        <f>IF(PA[[#This Row],[Acknowledgemnet Time ]]="NA","",(PA[[#This Row],[Acknowledgemnet Time ]]-PA[[#This Row],[Fault Time]])*24)</f>
        <v>0</v>
      </c>
      <c r="X541" s="33">
        <f>IF(PA[[#This Row],[Work Start time on Fault]]="NA","",(PA[[#This Row],[Work Start time on Fault]]-PA[[#This Row],[Fault Time]])*24)</f>
        <v>0</v>
      </c>
      <c r="Y541" s="35">
        <f>(PA[[#This Row],[Work Completiuon time on fualt]]-PA[[#This Row],[Fault Time]])*24</f>
        <v>0</v>
      </c>
      <c r="Z541" s="35">
        <f>IFERROR((PA[[#This Row],[Work Completiuon time on fualt]]-PA[[#This Row],[Fault Time]])*24,"")</f>
        <v>0</v>
      </c>
      <c r="AC541" s="47" t="str">
        <f>IFERROR(PA[[#This Row],[Breakdown Time]]*PA[[#This Row],[Plant Equivalent Weightage]],"")</f>
        <v/>
      </c>
      <c r="AE541" s="33" t="str">
        <f>IFERROR((_xlfn.XLOOKUP(PA[[#This Row],[Month Year]],'Modelling New'!D:D,'Modelling New'!$O:$O)*PA[[#This Row],[Lost PoA(Wh/m2)]]*PA[[#This Row],[DC Capacity Affceted (kW)]])/1000,"")</f>
        <v/>
      </c>
      <c r="AF541" s="35"/>
    </row>
    <row r="542" spans="1:32">
      <c r="A542" s="2">
        <f t="shared" si="34"/>
        <v>539</v>
      </c>
      <c r="B542" s="156">
        <f t="shared" si="32"/>
        <v>1900</v>
      </c>
      <c r="C542" s="129">
        <f t="shared" si="33"/>
        <v>1900</v>
      </c>
      <c r="I542" s="31" t="str">
        <f>IFERROR(VLOOKUP(PA[[#This Row],[Date]],Raw_Data[[Date]:[Sunset Time (POA&lt;20 W/m2)]],3,0),"")</f>
        <v/>
      </c>
      <c r="J542" s="31" t="str">
        <f>IFERROR(VLOOKUP(PA[[#This Row],[Date]],Raw_Data[[Date]:[Sunset Time (POA&lt;20 W/m2)]],4,0),"")</f>
        <v/>
      </c>
      <c r="K542" s="49" t="str">
        <f>IFERROR((PA[[#This Row],[Sunset Time (POA&lt;20 W/m2)]]-PA[[#This Row],[Sunrise Time (POA&gt;20 W/m2)]])*24,"")</f>
        <v/>
      </c>
      <c r="M542" s="46" t="str">
        <f>IFERROR(VLOOKUP(PA[[#This Row],[Affceted Equipment]],'Basic Data'!$A$2:$B$114,2,0),"")</f>
        <v/>
      </c>
      <c r="N542" s="48" t="str">
        <f>IFERROR(VLOOKUP(PA[[#This Row],[Affceted Equipment]],'Basic Data'!$A$1:$C$118,3,0),"")</f>
        <v/>
      </c>
      <c r="W542" s="33">
        <f>IF(PA[[#This Row],[Acknowledgemnet Time ]]="NA","",(PA[[#This Row],[Acknowledgemnet Time ]]-PA[[#This Row],[Fault Time]])*24)</f>
        <v>0</v>
      </c>
      <c r="X542" s="33">
        <f>IF(PA[[#This Row],[Work Start time on Fault]]="NA","",(PA[[#This Row],[Work Start time on Fault]]-PA[[#This Row],[Fault Time]])*24)</f>
        <v>0</v>
      </c>
      <c r="Y542" s="35">
        <f>(PA[[#This Row],[Work Completiuon time on fualt]]-PA[[#This Row],[Fault Time]])*24</f>
        <v>0</v>
      </c>
      <c r="Z542" s="35">
        <f>IFERROR((PA[[#This Row],[Work Completiuon time on fualt]]-PA[[#This Row],[Fault Time]])*24,"")</f>
        <v>0</v>
      </c>
      <c r="AC542" s="47" t="str">
        <f>IFERROR(PA[[#This Row],[Breakdown Time]]*PA[[#This Row],[Plant Equivalent Weightage]],"")</f>
        <v/>
      </c>
      <c r="AE542" s="33" t="str">
        <f>IFERROR((_xlfn.XLOOKUP(PA[[#This Row],[Month Year]],'Modelling New'!D:D,'Modelling New'!$O:$O)*PA[[#This Row],[Lost PoA(Wh/m2)]]*PA[[#This Row],[DC Capacity Affceted (kW)]])/1000,"")</f>
        <v/>
      </c>
      <c r="AF542" s="35"/>
    </row>
    <row r="543" spans="1:32">
      <c r="A543" s="2">
        <f t="shared" si="34"/>
        <v>540</v>
      </c>
      <c r="B543" s="156">
        <f t="shared" si="32"/>
        <v>1900</v>
      </c>
      <c r="C543" s="129">
        <f t="shared" si="33"/>
        <v>1900</v>
      </c>
      <c r="I543" s="31" t="str">
        <f>IFERROR(VLOOKUP(PA[[#This Row],[Date]],Raw_Data[[Date]:[Sunset Time (POA&lt;20 W/m2)]],3,0),"")</f>
        <v/>
      </c>
      <c r="J543" s="31" t="str">
        <f>IFERROR(VLOOKUP(PA[[#This Row],[Date]],Raw_Data[[Date]:[Sunset Time (POA&lt;20 W/m2)]],4,0),"")</f>
        <v/>
      </c>
      <c r="K543" s="49" t="str">
        <f>IFERROR((PA[[#This Row],[Sunset Time (POA&lt;20 W/m2)]]-PA[[#This Row],[Sunrise Time (POA&gt;20 W/m2)]])*24,"")</f>
        <v/>
      </c>
      <c r="M543" s="46" t="str">
        <f>IFERROR(VLOOKUP(PA[[#This Row],[Affceted Equipment]],'Basic Data'!$A$2:$B$114,2,0),"")</f>
        <v/>
      </c>
      <c r="N543" s="48" t="str">
        <f>IFERROR(VLOOKUP(PA[[#This Row],[Affceted Equipment]],'Basic Data'!$A$1:$C$118,3,0),"")</f>
        <v/>
      </c>
      <c r="W543" s="33">
        <f>IF(PA[[#This Row],[Acknowledgemnet Time ]]="NA","",(PA[[#This Row],[Acknowledgemnet Time ]]-PA[[#This Row],[Fault Time]])*24)</f>
        <v>0</v>
      </c>
      <c r="X543" s="33">
        <f>IF(PA[[#This Row],[Work Start time on Fault]]="NA","",(PA[[#This Row],[Work Start time on Fault]]-PA[[#This Row],[Fault Time]])*24)</f>
        <v>0</v>
      </c>
      <c r="Y543" s="35">
        <f>(PA[[#This Row],[Work Completiuon time on fualt]]-PA[[#This Row],[Fault Time]])*24</f>
        <v>0</v>
      </c>
      <c r="Z543" s="35">
        <f>IFERROR((PA[[#This Row],[Work Completiuon time on fualt]]-PA[[#This Row],[Fault Time]])*24,"")</f>
        <v>0</v>
      </c>
      <c r="AC543" s="47" t="str">
        <f>IFERROR(PA[[#This Row],[Breakdown Time]]*PA[[#This Row],[Plant Equivalent Weightage]],"")</f>
        <v/>
      </c>
      <c r="AE543" s="33" t="str">
        <f>IFERROR((_xlfn.XLOOKUP(PA[[#This Row],[Month Year]],'Modelling New'!D:D,'Modelling New'!$O:$O)*PA[[#This Row],[Lost PoA(Wh/m2)]]*PA[[#This Row],[DC Capacity Affceted (kW)]])/1000,"")</f>
        <v/>
      </c>
      <c r="AF543" s="35"/>
    </row>
    <row r="544" spans="1:32">
      <c r="A544" s="2">
        <f t="shared" si="34"/>
        <v>541</v>
      </c>
      <c r="B544" s="156">
        <f t="shared" si="32"/>
        <v>1900</v>
      </c>
      <c r="C544" s="129">
        <f t="shared" si="33"/>
        <v>1900</v>
      </c>
      <c r="I544" s="31" t="str">
        <f>IFERROR(VLOOKUP(PA[[#This Row],[Date]],Raw_Data[[Date]:[Sunset Time (POA&lt;20 W/m2)]],3,0),"")</f>
        <v/>
      </c>
      <c r="J544" s="31" t="str">
        <f>IFERROR(VLOOKUP(PA[[#This Row],[Date]],Raw_Data[[Date]:[Sunset Time (POA&lt;20 W/m2)]],4,0),"")</f>
        <v/>
      </c>
      <c r="K544" s="49" t="str">
        <f>IFERROR((PA[[#This Row],[Sunset Time (POA&lt;20 W/m2)]]-PA[[#This Row],[Sunrise Time (POA&gt;20 W/m2)]])*24,"")</f>
        <v/>
      </c>
      <c r="M544" s="46" t="str">
        <f>IFERROR(VLOOKUP(PA[[#This Row],[Affceted Equipment]],'Basic Data'!$A$2:$B$114,2,0),"")</f>
        <v/>
      </c>
      <c r="N544" s="48" t="str">
        <f>IFERROR(VLOOKUP(PA[[#This Row],[Affceted Equipment]],'Basic Data'!$A$1:$C$118,3,0),"")</f>
        <v/>
      </c>
      <c r="W544" s="33">
        <f>IF(PA[[#This Row],[Acknowledgemnet Time ]]="NA","",(PA[[#This Row],[Acknowledgemnet Time ]]-PA[[#This Row],[Fault Time]])*24)</f>
        <v>0</v>
      </c>
      <c r="X544" s="33">
        <f>IF(PA[[#This Row],[Work Start time on Fault]]="NA","",(PA[[#This Row],[Work Start time on Fault]]-PA[[#This Row],[Fault Time]])*24)</f>
        <v>0</v>
      </c>
      <c r="Y544" s="35">
        <f>(PA[[#This Row],[Work Completiuon time on fualt]]-PA[[#This Row],[Fault Time]])*24</f>
        <v>0</v>
      </c>
      <c r="Z544" s="35">
        <f>IFERROR((PA[[#This Row],[Work Completiuon time on fualt]]-PA[[#This Row],[Fault Time]])*24,"")</f>
        <v>0</v>
      </c>
      <c r="AC544" s="47" t="str">
        <f>IFERROR(PA[[#This Row],[Breakdown Time]]*PA[[#This Row],[Plant Equivalent Weightage]],"")</f>
        <v/>
      </c>
      <c r="AE544" s="33" t="str">
        <f>IFERROR((_xlfn.XLOOKUP(PA[[#This Row],[Month Year]],'Modelling New'!D:D,'Modelling New'!$O:$O)*PA[[#This Row],[Lost PoA(Wh/m2)]]*PA[[#This Row],[DC Capacity Affceted (kW)]])/1000,"")</f>
        <v/>
      </c>
      <c r="AF544" s="35"/>
    </row>
    <row r="545" spans="1:32">
      <c r="A545" s="2">
        <f t="shared" si="34"/>
        <v>542</v>
      </c>
      <c r="B545" s="156">
        <f t="shared" si="32"/>
        <v>1900</v>
      </c>
      <c r="C545" s="129">
        <f t="shared" si="33"/>
        <v>1900</v>
      </c>
      <c r="I545" s="31" t="str">
        <f>IFERROR(VLOOKUP(PA[[#This Row],[Date]],Raw_Data[[Date]:[Sunset Time (POA&lt;20 W/m2)]],3,0),"")</f>
        <v/>
      </c>
      <c r="J545" s="31" t="str">
        <f>IFERROR(VLOOKUP(PA[[#This Row],[Date]],Raw_Data[[Date]:[Sunset Time (POA&lt;20 W/m2)]],4,0),"")</f>
        <v/>
      </c>
      <c r="K545" s="49" t="str">
        <f>IFERROR((PA[[#This Row],[Sunset Time (POA&lt;20 W/m2)]]-PA[[#This Row],[Sunrise Time (POA&gt;20 W/m2)]])*24,"")</f>
        <v/>
      </c>
      <c r="M545" s="46" t="str">
        <f>IFERROR(VLOOKUP(PA[[#This Row],[Affceted Equipment]],'Basic Data'!$A$2:$B$114,2,0),"")</f>
        <v/>
      </c>
      <c r="N545" s="48" t="str">
        <f>IFERROR(VLOOKUP(PA[[#This Row],[Affceted Equipment]],'Basic Data'!$A$1:$C$118,3,0),"")</f>
        <v/>
      </c>
      <c r="W545" s="33">
        <f>IF(PA[[#This Row],[Acknowledgemnet Time ]]="NA","",(PA[[#This Row],[Acknowledgemnet Time ]]-PA[[#This Row],[Fault Time]])*24)</f>
        <v>0</v>
      </c>
      <c r="X545" s="33">
        <f>IF(PA[[#This Row],[Work Start time on Fault]]="NA","",(PA[[#This Row],[Work Start time on Fault]]-PA[[#This Row],[Fault Time]])*24)</f>
        <v>0</v>
      </c>
      <c r="Y545" s="35">
        <f>(PA[[#This Row],[Work Completiuon time on fualt]]-PA[[#This Row],[Fault Time]])*24</f>
        <v>0</v>
      </c>
      <c r="Z545" s="35">
        <f>IFERROR((PA[[#This Row],[Work Completiuon time on fualt]]-PA[[#This Row],[Fault Time]])*24,"")</f>
        <v>0</v>
      </c>
      <c r="AC545" s="47" t="str">
        <f>IFERROR(PA[[#This Row],[Breakdown Time]]*PA[[#This Row],[Plant Equivalent Weightage]],"")</f>
        <v/>
      </c>
      <c r="AE545" s="33" t="str">
        <f>IFERROR((_xlfn.XLOOKUP(PA[[#This Row],[Month Year]],'Modelling New'!D:D,'Modelling New'!$O:$O)*PA[[#This Row],[Lost PoA(Wh/m2)]]*PA[[#This Row],[DC Capacity Affceted (kW)]])/1000,"")</f>
        <v/>
      </c>
      <c r="AF545" s="35"/>
    </row>
    <row r="546" spans="1:32">
      <c r="A546" s="2">
        <f t="shared" si="34"/>
        <v>543</v>
      </c>
      <c r="B546" s="156">
        <f t="shared" si="32"/>
        <v>1900</v>
      </c>
      <c r="C546" s="129">
        <f t="shared" si="33"/>
        <v>1900</v>
      </c>
      <c r="I546" s="31" t="str">
        <f>IFERROR(VLOOKUP(PA[[#This Row],[Date]],Raw_Data[[Date]:[Sunset Time (POA&lt;20 W/m2)]],3,0),"")</f>
        <v/>
      </c>
      <c r="J546" s="31" t="str">
        <f>IFERROR(VLOOKUP(PA[[#This Row],[Date]],Raw_Data[[Date]:[Sunset Time (POA&lt;20 W/m2)]],4,0),"")</f>
        <v/>
      </c>
      <c r="K546" s="49" t="str">
        <f>IFERROR((PA[[#This Row],[Sunset Time (POA&lt;20 W/m2)]]-PA[[#This Row],[Sunrise Time (POA&gt;20 W/m2)]])*24,"")</f>
        <v/>
      </c>
      <c r="M546" s="46" t="str">
        <f>IFERROR(VLOOKUP(PA[[#This Row],[Affceted Equipment]],'Basic Data'!$A$2:$B$114,2,0),"")</f>
        <v/>
      </c>
      <c r="N546" s="48" t="str">
        <f>IFERROR(VLOOKUP(PA[[#This Row],[Affceted Equipment]],'Basic Data'!$A$1:$C$118,3,0),"")</f>
        <v/>
      </c>
      <c r="W546" s="33">
        <f>IF(PA[[#This Row],[Acknowledgemnet Time ]]="NA","",(PA[[#This Row],[Acknowledgemnet Time ]]-PA[[#This Row],[Fault Time]])*24)</f>
        <v>0</v>
      </c>
      <c r="X546" s="33">
        <f>IF(PA[[#This Row],[Work Start time on Fault]]="NA","",(PA[[#This Row],[Work Start time on Fault]]-PA[[#This Row],[Fault Time]])*24)</f>
        <v>0</v>
      </c>
      <c r="Y546" s="35">
        <f>(PA[[#This Row],[Work Completiuon time on fualt]]-PA[[#This Row],[Fault Time]])*24</f>
        <v>0</v>
      </c>
      <c r="Z546" s="35">
        <f>IFERROR((PA[[#This Row],[Work Completiuon time on fualt]]-PA[[#This Row],[Fault Time]])*24,"")</f>
        <v>0</v>
      </c>
      <c r="AC546" s="47" t="str">
        <f>IFERROR(PA[[#This Row],[Breakdown Time]]*PA[[#This Row],[Plant Equivalent Weightage]],"")</f>
        <v/>
      </c>
      <c r="AE546" s="33" t="str">
        <f>IFERROR((_xlfn.XLOOKUP(PA[[#This Row],[Month Year]],'Modelling New'!D:D,'Modelling New'!$O:$O)*PA[[#This Row],[Lost PoA(Wh/m2)]]*PA[[#This Row],[DC Capacity Affceted (kW)]])/1000,"")</f>
        <v/>
      </c>
      <c r="AF546" s="35"/>
    </row>
    <row r="547" spans="1:32">
      <c r="A547" s="2">
        <f t="shared" si="34"/>
        <v>544</v>
      </c>
      <c r="B547" s="156">
        <f t="shared" si="32"/>
        <v>1900</v>
      </c>
      <c r="C547" s="129">
        <f t="shared" si="33"/>
        <v>1900</v>
      </c>
      <c r="I547" s="31" t="str">
        <f>IFERROR(VLOOKUP(PA[[#This Row],[Date]],Raw_Data[[Date]:[Sunset Time (POA&lt;20 W/m2)]],3,0),"")</f>
        <v/>
      </c>
      <c r="J547" s="31" t="str">
        <f>IFERROR(VLOOKUP(PA[[#This Row],[Date]],Raw_Data[[Date]:[Sunset Time (POA&lt;20 W/m2)]],4,0),"")</f>
        <v/>
      </c>
      <c r="K547" s="49" t="str">
        <f>IFERROR((PA[[#This Row],[Sunset Time (POA&lt;20 W/m2)]]-PA[[#This Row],[Sunrise Time (POA&gt;20 W/m2)]])*24,"")</f>
        <v/>
      </c>
      <c r="M547" s="46" t="str">
        <f>IFERROR(VLOOKUP(PA[[#This Row],[Affceted Equipment]],'Basic Data'!$A$2:$B$114,2,0),"")</f>
        <v/>
      </c>
      <c r="N547" s="48" t="str">
        <f>IFERROR(VLOOKUP(PA[[#This Row],[Affceted Equipment]],'Basic Data'!$A$1:$C$118,3,0),"")</f>
        <v/>
      </c>
      <c r="W547" s="33">
        <f>IF(PA[[#This Row],[Acknowledgemnet Time ]]="NA","",(PA[[#This Row],[Acknowledgemnet Time ]]-PA[[#This Row],[Fault Time]])*24)</f>
        <v>0</v>
      </c>
      <c r="X547" s="33">
        <f>IF(PA[[#This Row],[Work Start time on Fault]]="NA","",(PA[[#This Row],[Work Start time on Fault]]-PA[[#This Row],[Fault Time]])*24)</f>
        <v>0</v>
      </c>
      <c r="Y547" s="35">
        <f>(PA[[#This Row],[Work Completiuon time on fualt]]-PA[[#This Row],[Fault Time]])*24</f>
        <v>0</v>
      </c>
      <c r="Z547" s="35">
        <f>IFERROR((PA[[#This Row],[Work Completiuon time on fualt]]-PA[[#This Row],[Fault Time]])*24,"")</f>
        <v>0</v>
      </c>
      <c r="AC547" s="47" t="str">
        <f>IFERROR(PA[[#This Row],[Breakdown Time]]*PA[[#This Row],[Plant Equivalent Weightage]],"")</f>
        <v/>
      </c>
      <c r="AE547" s="33" t="str">
        <f>IFERROR((_xlfn.XLOOKUP(PA[[#This Row],[Month Year]],'Modelling New'!D:D,'Modelling New'!$O:$O)*PA[[#This Row],[Lost PoA(Wh/m2)]]*PA[[#This Row],[DC Capacity Affceted (kW)]])/1000,"")</f>
        <v/>
      </c>
      <c r="AF547" s="35"/>
    </row>
    <row r="548" spans="1:32">
      <c r="A548" s="2">
        <f t="shared" si="34"/>
        <v>545</v>
      </c>
      <c r="B548" s="156">
        <f t="shared" si="32"/>
        <v>1900</v>
      </c>
      <c r="C548" s="129">
        <f t="shared" si="33"/>
        <v>1900</v>
      </c>
      <c r="I548" s="31" t="str">
        <f>IFERROR(VLOOKUP(PA[[#This Row],[Date]],Raw_Data[[Date]:[Sunset Time (POA&lt;20 W/m2)]],3,0),"")</f>
        <v/>
      </c>
      <c r="J548" s="31" t="str">
        <f>IFERROR(VLOOKUP(PA[[#This Row],[Date]],Raw_Data[[Date]:[Sunset Time (POA&lt;20 W/m2)]],4,0),"")</f>
        <v/>
      </c>
      <c r="K548" s="49" t="str">
        <f>IFERROR((PA[[#This Row],[Sunset Time (POA&lt;20 W/m2)]]-PA[[#This Row],[Sunrise Time (POA&gt;20 W/m2)]])*24,"")</f>
        <v/>
      </c>
      <c r="M548" s="46" t="str">
        <f>IFERROR(VLOOKUP(PA[[#This Row],[Affceted Equipment]],'Basic Data'!$A$2:$B$114,2,0),"")</f>
        <v/>
      </c>
      <c r="N548" s="48" t="str">
        <f>IFERROR(VLOOKUP(PA[[#This Row],[Affceted Equipment]],'Basic Data'!$A$1:$C$118,3,0),"")</f>
        <v/>
      </c>
      <c r="W548" s="33">
        <f>IF(PA[[#This Row],[Acknowledgemnet Time ]]="NA","",(PA[[#This Row],[Acknowledgemnet Time ]]-PA[[#This Row],[Fault Time]])*24)</f>
        <v>0</v>
      </c>
      <c r="X548" s="33">
        <f>IF(PA[[#This Row],[Work Start time on Fault]]="NA","",(PA[[#This Row],[Work Start time on Fault]]-PA[[#This Row],[Fault Time]])*24)</f>
        <v>0</v>
      </c>
      <c r="Y548" s="35">
        <f>(PA[[#This Row],[Work Completiuon time on fualt]]-PA[[#This Row],[Fault Time]])*24</f>
        <v>0</v>
      </c>
      <c r="Z548" s="35">
        <f>IFERROR((PA[[#This Row],[Work Completiuon time on fualt]]-PA[[#This Row],[Fault Time]])*24,"")</f>
        <v>0</v>
      </c>
      <c r="AC548" s="47" t="str">
        <f>IFERROR(PA[[#This Row],[Breakdown Time]]*PA[[#This Row],[Plant Equivalent Weightage]],"")</f>
        <v/>
      </c>
      <c r="AE548" s="33" t="str">
        <f>IFERROR((_xlfn.XLOOKUP(PA[[#This Row],[Month Year]],'Modelling New'!D:D,'Modelling New'!$O:$O)*PA[[#This Row],[Lost PoA(Wh/m2)]]*PA[[#This Row],[DC Capacity Affceted (kW)]])/1000,"")</f>
        <v/>
      </c>
      <c r="AF548" s="35"/>
    </row>
    <row r="549" spans="1:32">
      <c r="A549" s="2">
        <f t="shared" si="34"/>
        <v>546</v>
      </c>
      <c r="B549" s="156">
        <f t="shared" si="32"/>
        <v>1900</v>
      </c>
      <c r="C549" s="129">
        <f t="shared" si="33"/>
        <v>1900</v>
      </c>
      <c r="I549" s="31" t="str">
        <f>IFERROR(VLOOKUP(PA[[#This Row],[Date]],Raw_Data[[Date]:[Sunset Time (POA&lt;20 W/m2)]],3,0),"")</f>
        <v/>
      </c>
      <c r="J549" s="31" t="str">
        <f>IFERROR(VLOOKUP(PA[[#This Row],[Date]],Raw_Data[[Date]:[Sunset Time (POA&lt;20 W/m2)]],4,0),"")</f>
        <v/>
      </c>
      <c r="K549" s="49" t="str">
        <f>IFERROR((PA[[#This Row],[Sunset Time (POA&lt;20 W/m2)]]-PA[[#This Row],[Sunrise Time (POA&gt;20 W/m2)]])*24,"")</f>
        <v/>
      </c>
      <c r="M549" s="46" t="str">
        <f>IFERROR(VLOOKUP(PA[[#This Row],[Affceted Equipment]],'Basic Data'!$A$2:$B$114,2,0),"")</f>
        <v/>
      </c>
      <c r="N549" s="48" t="str">
        <f>IFERROR(VLOOKUP(PA[[#This Row],[Affceted Equipment]],'Basic Data'!$A$1:$C$118,3,0),"")</f>
        <v/>
      </c>
      <c r="W549" s="33">
        <f>IF(PA[[#This Row],[Acknowledgemnet Time ]]="NA","",(PA[[#This Row],[Acknowledgemnet Time ]]-PA[[#This Row],[Fault Time]])*24)</f>
        <v>0</v>
      </c>
      <c r="X549" s="33">
        <f>IF(PA[[#This Row],[Work Start time on Fault]]="NA","",(PA[[#This Row],[Work Start time on Fault]]-PA[[#This Row],[Fault Time]])*24)</f>
        <v>0</v>
      </c>
      <c r="Y549" s="35">
        <f>(PA[[#This Row],[Work Completiuon time on fualt]]-PA[[#This Row],[Fault Time]])*24</f>
        <v>0</v>
      </c>
      <c r="Z549" s="35">
        <f>IFERROR((PA[[#This Row],[Work Completiuon time on fualt]]-PA[[#This Row],[Fault Time]])*24,"")</f>
        <v>0</v>
      </c>
      <c r="AC549" s="47" t="str">
        <f>IFERROR(PA[[#This Row],[Breakdown Time]]*PA[[#This Row],[Plant Equivalent Weightage]],"")</f>
        <v/>
      </c>
      <c r="AE549" s="33" t="str">
        <f>IFERROR((_xlfn.XLOOKUP(PA[[#This Row],[Month Year]],'Modelling New'!D:D,'Modelling New'!$O:$O)*PA[[#This Row],[Lost PoA(Wh/m2)]]*PA[[#This Row],[DC Capacity Affceted (kW)]])/1000,"")</f>
        <v/>
      </c>
      <c r="AF549" s="35"/>
    </row>
    <row r="550" spans="1:32">
      <c r="A550" s="2">
        <f t="shared" si="34"/>
        <v>547</v>
      </c>
      <c r="B550" s="156">
        <f t="shared" si="32"/>
        <v>1900</v>
      </c>
      <c r="C550" s="129">
        <f t="shared" si="33"/>
        <v>1900</v>
      </c>
      <c r="I550" s="31" t="str">
        <f>IFERROR(VLOOKUP(PA[[#This Row],[Date]],Raw_Data[[Date]:[Sunset Time (POA&lt;20 W/m2)]],3,0),"")</f>
        <v/>
      </c>
      <c r="J550" s="31" t="str">
        <f>IFERROR(VLOOKUP(PA[[#This Row],[Date]],Raw_Data[[Date]:[Sunset Time (POA&lt;20 W/m2)]],4,0),"")</f>
        <v/>
      </c>
      <c r="K550" s="49" t="str">
        <f>IFERROR((PA[[#This Row],[Sunset Time (POA&lt;20 W/m2)]]-PA[[#This Row],[Sunrise Time (POA&gt;20 W/m2)]])*24,"")</f>
        <v/>
      </c>
      <c r="M550" s="46" t="str">
        <f>IFERROR(VLOOKUP(PA[[#This Row],[Affceted Equipment]],'Basic Data'!$A$2:$B$114,2,0),"")</f>
        <v/>
      </c>
      <c r="N550" s="48" t="str">
        <f>IFERROR(VLOOKUP(PA[[#This Row],[Affceted Equipment]],'Basic Data'!$A$1:$C$118,3,0),"")</f>
        <v/>
      </c>
      <c r="W550" s="33">
        <f>IF(PA[[#This Row],[Acknowledgemnet Time ]]="NA","",(PA[[#This Row],[Acknowledgemnet Time ]]-PA[[#This Row],[Fault Time]])*24)</f>
        <v>0</v>
      </c>
      <c r="X550" s="33">
        <f>IF(PA[[#This Row],[Work Start time on Fault]]="NA","",(PA[[#This Row],[Work Start time on Fault]]-PA[[#This Row],[Fault Time]])*24)</f>
        <v>0</v>
      </c>
      <c r="Y550" s="35">
        <f>(PA[[#This Row],[Work Completiuon time on fualt]]-PA[[#This Row],[Fault Time]])*24</f>
        <v>0</v>
      </c>
      <c r="Z550" s="35">
        <f>IFERROR((PA[[#This Row],[Work Completiuon time on fualt]]-PA[[#This Row],[Fault Time]])*24,"")</f>
        <v>0</v>
      </c>
      <c r="AC550" s="47" t="str">
        <f>IFERROR(PA[[#This Row],[Breakdown Time]]*PA[[#This Row],[Plant Equivalent Weightage]],"")</f>
        <v/>
      </c>
      <c r="AE550" s="33" t="str">
        <f>IFERROR((_xlfn.XLOOKUP(PA[[#This Row],[Month Year]],'Modelling New'!D:D,'Modelling New'!$O:$O)*PA[[#This Row],[Lost PoA(Wh/m2)]]*PA[[#This Row],[DC Capacity Affceted (kW)]])/1000,"")</f>
        <v/>
      </c>
      <c r="AF550" s="35"/>
    </row>
    <row r="551" spans="1:32">
      <c r="A551" s="2">
        <f t="shared" si="34"/>
        <v>548</v>
      </c>
      <c r="B551" s="156">
        <f t="shared" si="32"/>
        <v>1900</v>
      </c>
      <c r="C551" s="129">
        <f t="shared" si="33"/>
        <v>1900</v>
      </c>
      <c r="I551" s="31" t="str">
        <f>IFERROR(VLOOKUP(PA[[#This Row],[Date]],Raw_Data[[Date]:[Sunset Time (POA&lt;20 W/m2)]],3,0),"")</f>
        <v/>
      </c>
      <c r="J551" s="31" t="str">
        <f>IFERROR(VLOOKUP(PA[[#This Row],[Date]],Raw_Data[[Date]:[Sunset Time (POA&lt;20 W/m2)]],4,0),"")</f>
        <v/>
      </c>
      <c r="K551" s="49" t="str">
        <f>IFERROR((PA[[#This Row],[Sunset Time (POA&lt;20 W/m2)]]-PA[[#This Row],[Sunrise Time (POA&gt;20 W/m2)]])*24,"")</f>
        <v/>
      </c>
      <c r="M551" s="46" t="str">
        <f>IFERROR(VLOOKUP(PA[[#This Row],[Affceted Equipment]],'Basic Data'!$A$2:$B$114,2,0),"")</f>
        <v/>
      </c>
      <c r="N551" s="48" t="str">
        <f>IFERROR(VLOOKUP(PA[[#This Row],[Affceted Equipment]],'Basic Data'!$A$1:$C$118,3,0),"")</f>
        <v/>
      </c>
      <c r="W551" s="33">
        <f>IF(PA[[#This Row],[Acknowledgemnet Time ]]="NA","",(PA[[#This Row],[Acknowledgemnet Time ]]-PA[[#This Row],[Fault Time]])*24)</f>
        <v>0</v>
      </c>
      <c r="X551" s="33">
        <f>IF(PA[[#This Row],[Work Start time on Fault]]="NA","",(PA[[#This Row],[Work Start time on Fault]]-PA[[#This Row],[Fault Time]])*24)</f>
        <v>0</v>
      </c>
      <c r="Y551" s="35">
        <f>(PA[[#This Row],[Work Completiuon time on fualt]]-PA[[#This Row],[Fault Time]])*24</f>
        <v>0</v>
      </c>
      <c r="Z551" s="35">
        <f>IFERROR((PA[[#This Row],[Work Completiuon time on fualt]]-PA[[#This Row],[Fault Time]])*24,"")</f>
        <v>0</v>
      </c>
      <c r="AC551" s="47" t="str">
        <f>IFERROR(PA[[#This Row],[Breakdown Time]]*PA[[#This Row],[Plant Equivalent Weightage]],"")</f>
        <v/>
      </c>
      <c r="AE551" s="33" t="str">
        <f>IFERROR((_xlfn.XLOOKUP(PA[[#This Row],[Month Year]],'Modelling New'!D:D,'Modelling New'!$O:$O)*PA[[#This Row],[Lost PoA(Wh/m2)]]*PA[[#This Row],[DC Capacity Affceted (kW)]])/1000,"")</f>
        <v/>
      </c>
      <c r="AF551" s="35"/>
    </row>
    <row r="552" spans="1:32">
      <c r="A552" s="2">
        <f t="shared" si="34"/>
        <v>549</v>
      </c>
      <c r="B552" s="156">
        <f t="shared" si="32"/>
        <v>1900</v>
      </c>
      <c r="C552" s="129">
        <f t="shared" si="33"/>
        <v>1900</v>
      </c>
      <c r="I552" s="31" t="str">
        <f>IFERROR(VLOOKUP(PA[[#This Row],[Date]],Raw_Data[[Date]:[Sunset Time (POA&lt;20 W/m2)]],3,0),"")</f>
        <v/>
      </c>
      <c r="J552" s="31" t="str">
        <f>IFERROR(VLOOKUP(PA[[#This Row],[Date]],Raw_Data[[Date]:[Sunset Time (POA&lt;20 W/m2)]],4,0),"")</f>
        <v/>
      </c>
      <c r="K552" s="49" t="str">
        <f>IFERROR((PA[[#This Row],[Sunset Time (POA&lt;20 W/m2)]]-PA[[#This Row],[Sunrise Time (POA&gt;20 W/m2)]])*24,"")</f>
        <v/>
      </c>
      <c r="M552" s="46" t="str">
        <f>IFERROR(VLOOKUP(PA[[#This Row],[Affceted Equipment]],'Basic Data'!$A$2:$B$114,2,0),"")</f>
        <v/>
      </c>
      <c r="N552" s="48" t="str">
        <f>IFERROR(VLOOKUP(PA[[#This Row],[Affceted Equipment]],'Basic Data'!$A$1:$C$118,3,0),"")</f>
        <v/>
      </c>
      <c r="W552" s="33">
        <f>IF(PA[[#This Row],[Acknowledgemnet Time ]]="NA","",(PA[[#This Row],[Acknowledgemnet Time ]]-PA[[#This Row],[Fault Time]])*24)</f>
        <v>0</v>
      </c>
      <c r="X552" s="33">
        <f>IF(PA[[#This Row],[Work Start time on Fault]]="NA","",(PA[[#This Row],[Work Start time on Fault]]-PA[[#This Row],[Fault Time]])*24)</f>
        <v>0</v>
      </c>
      <c r="Y552" s="35">
        <f>(PA[[#This Row],[Work Completiuon time on fualt]]-PA[[#This Row],[Fault Time]])*24</f>
        <v>0</v>
      </c>
      <c r="Z552" s="35">
        <f>IFERROR((PA[[#This Row],[Work Completiuon time on fualt]]-PA[[#This Row],[Fault Time]])*24,"")</f>
        <v>0</v>
      </c>
      <c r="AC552" s="47" t="str">
        <f>IFERROR(PA[[#This Row],[Breakdown Time]]*PA[[#This Row],[Plant Equivalent Weightage]],"")</f>
        <v/>
      </c>
      <c r="AE552" s="33" t="str">
        <f>IFERROR((_xlfn.XLOOKUP(PA[[#This Row],[Month Year]],'Modelling New'!D:D,'Modelling New'!$O:$O)*PA[[#This Row],[Lost PoA(Wh/m2)]]*PA[[#This Row],[DC Capacity Affceted (kW)]])/1000,"")</f>
        <v/>
      </c>
      <c r="AF552" s="35"/>
    </row>
    <row r="553" spans="1:32">
      <c r="A553" s="2">
        <f t="shared" si="34"/>
        <v>550</v>
      </c>
      <c r="B553" s="156">
        <f t="shared" si="32"/>
        <v>1900</v>
      </c>
      <c r="C553" s="129">
        <f t="shared" si="33"/>
        <v>1900</v>
      </c>
      <c r="I553" s="31" t="str">
        <f>IFERROR(VLOOKUP(PA[[#This Row],[Date]],Raw_Data[[Date]:[Sunset Time (POA&lt;20 W/m2)]],3,0),"")</f>
        <v/>
      </c>
      <c r="J553" s="31" t="str">
        <f>IFERROR(VLOOKUP(PA[[#This Row],[Date]],Raw_Data[[Date]:[Sunset Time (POA&lt;20 W/m2)]],4,0),"")</f>
        <v/>
      </c>
      <c r="K553" s="49" t="str">
        <f>IFERROR((PA[[#This Row],[Sunset Time (POA&lt;20 W/m2)]]-PA[[#This Row],[Sunrise Time (POA&gt;20 W/m2)]])*24,"")</f>
        <v/>
      </c>
      <c r="M553" s="46" t="str">
        <f>IFERROR(VLOOKUP(PA[[#This Row],[Affceted Equipment]],'Basic Data'!$A$2:$B$114,2,0),"")</f>
        <v/>
      </c>
      <c r="N553" s="48" t="str">
        <f>IFERROR(VLOOKUP(PA[[#This Row],[Affceted Equipment]],'Basic Data'!$A$1:$C$118,3,0),"")</f>
        <v/>
      </c>
      <c r="W553" s="33">
        <f>IF(PA[[#This Row],[Acknowledgemnet Time ]]="NA","",(PA[[#This Row],[Acknowledgemnet Time ]]-PA[[#This Row],[Fault Time]])*24)</f>
        <v>0</v>
      </c>
      <c r="X553" s="33">
        <f>IF(PA[[#This Row],[Work Start time on Fault]]="NA","",(PA[[#This Row],[Work Start time on Fault]]-PA[[#This Row],[Fault Time]])*24)</f>
        <v>0</v>
      </c>
      <c r="Y553" s="35">
        <f>(PA[[#This Row],[Work Completiuon time on fualt]]-PA[[#This Row],[Fault Time]])*24</f>
        <v>0</v>
      </c>
      <c r="Z553" s="35">
        <f>IFERROR((PA[[#This Row],[Work Completiuon time on fualt]]-PA[[#This Row],[Fault Time]])*24,"")</f>
        <v>0</v>
      </c>
      <c r="AC553" s="47" t="str">
        <f>IFERROR(PA[[#This Row],[Breakdown Time]]*PA[[#This Row],[Plant Equivalent Weightage]],"")</f>
        <v/>
      </c>
      <c r="AE553" s="33" t="str">
        <f>IFERROR((_xlfn.XLOOKUP(PA[[#This Row],[Month Year]],'Modelling New'!D:D,'Modelling New'!$O:$O)*PA[[#This Row],[Lost PoA(Wh/m2)]]*PA[[#This Row],[DC Capacity Affceted (kW)]])/1000,"")</f>
        <v/>
      </c>
      <c r="AF553" s="35"/>
    </row>
    <row r="554" spans="1:32">
      <c r="A554" s="2">
        <f t="shared" si="34"/>
        <v>551</v>
      </c>
      <c r="B554" s="156">
        <f t="shared" si="32"/>
        <v>1900</v>
      </c>
      <c r="C554" s="129">
        <f t="shared" si="33"/>
        <v>1900</v>
      </c>
      <c r="I554" s="31" t="str">
        <f>IFERROR(VLOOKUP(PA[[#This Row],[Date]],Raw_Data[[Date]:[Sunset Time (POA&lt;20 W/m2)]],3,0),"")</f>
        <v/>
      </c>
      <c r="J554" s="31" t="str">
        <f>IFERROR(VLOOKUP(PA[[#This Row],[Date]],Raw_Data[[Date]:[Sunset Time (POA&lt;20 W/m2)]],4,0),"")</f>
        <v/>
      </c>
      <c r="K554" s="49" t="str">
        <f>IFERROR((PA[[#This Row],[Sunset Time (POA&lt;20 W/m2)]]-PA[[#This Row],[Sunrise Time (POA&gt;20 W/m2)]])*24,"")</f>
        <v/>
      </c>
      <c r="M554" s="46" t="str">
        <f>IFERROR(VLOOKUP(PA[[#This Row],[Affceted Equipment]],'Basic Data'!$A$2:$B$114,2,0),"")</f>
        <v/>
      </c>
      <c r="N554" s="48" t="str">
        <f>IFERROR(VLOOKUP(PA[[#This Row],[Affceted Equipment]],'Basic Data'!$A$1:$C$118,3,0),"")</f>
        <v/>
      </c>
      <c r="W554" s="33">
        <f>IF(PA[[#This Row],[Acknowledgemnet Time ]]="NA","",(PA[[#This Row],[Acknowledgemnet Time ]]-PA[[#This Row],[Fault Time]])*24)</f>
        <v>0</v>
      </c>
      <c r="X554" s="33">
        <f>IF(PA[[#This Row],[Work Start time on Fault]]="NA","",(PA[[#This Row],[Work Start time on Fault]]-PA[[#This Row],[Fault Time]])*24)</f>
        <v>0</v>
      </c>
      <c r="Y554" s="35">
        <f>(PA[[#This Row],[Work Completiuon time on fualt]]-PA[[#This Row],[Fault Time]])*24</f>
        <v>0</v>
      </c>
      <c r="Z554" s="35">
        <f>IFERROR((PA[[#This Row],[Work Completiuon time on fualt]]-PA[[#This Row],[Fault Time]])*24,"")</f>
        <v>0</v>
      </c>
      <c r="AC554" s="47" t="str">
        <f>IFERROR(PA[[#This Row],[Breakdown Time]]*PA[[#This Row],[Plant Equivalent Weightage]],"")</f>
        <v/>
      </c>
      <c r="AE554" s="33" t="str">
        <f>IFERROR((_xlfn.XLOOKUP(PA[[#This Row],[Month Year]],'Modelling New'!D:D,'Modelling New'!$O:$O)*PA[[#This Row],[Lost PoA(Wh/m2)]]*PA[[#This Row],[DC Capacity Affceted (kW)]])/1000,"")</f>
        <v/>
      </c>
      <c r="AF554" s="35"/>
    </row>
    <row r="555" spans="1:32">
      <c r="A555" s="2">
        <f t="shared" si="34"/>
        <v>552</v>
      </c>
      <c r="B555" s="156">
        <f t="shared" si="32"/>
        <v>1900</v>
      </c>
      <c r="C555" s="129">
        <f t="shared" si="33"/>
        <v>1900</v>
      </c>
      <c r="I555" s="31" t="str">
        <f>IFERROR(VLOOKUP(PA[[#This Row],[Date]],Raw_Data[[Date]:[Sunset Time (POA&lt;20 W/m2)]],3,0),"")</f>
        <v/>
      </c>
      <c r="J555" s="31" t="str">
        <f>IFERROR(VLOOKUP(PA[[#This Row],[Date]],Raw_Data[[Date]:[Sunset Time (POA&lt;20 W/m2)]],4,0),"")</f>
        <v/>
      </c>
      <c r="K555" s="49" t="str">
        <f>IFERROR((PA[[#This Row],[Sunset Time (POA&lt;20 W/m2)]]-PA[[#This Row],[Sunrise Time (POA&gt;20 W/m2)]])*24,"")</f>
        <v/>
      </c>
      <c r="M555" s="46" t="str">
        <f>IFERROR(VLOOKUP(PA[[#This Row],[Affceted Equipment]],'Basic Data'!$A$2:$B$114,2,0),"")</f>
        <v/>
      </c>
      <c r="N555" s="48" t="str">
        <f>IFERROR(VLOOKUP(PA[[#This Row],[Affceted Equipment]],'Basic Data'!$A$1:$C$118,3,0),"")</f>
        <v/>
      </c>
      <c r="W555" s="33">
        <f>IF(PA[[#This Row],[Acknowledgemnet Time ]]="NA","",(PA[[#This Row],[Acknowledgemnet Time ]]-PA[[#This Row],[Fault Time]])*24)</f>
        <v>0</v>
      </c>
      <c r="X555" s="33">
        <f>IF(PA[[#This Row],[Work Start time on Fault]]="NA","",(PA[[#This Row],[Work Start time on Fault]]-PA[[#This Row],[Fault Time]])*24)</f>
        <v>0</v>
      </c>
      <c r="Y555" s="35">
        <f>(PA[[#This Row],[Work Completiuon time on fualt]]-PA[[#This Row],[Fault Time]])*24</f>
        <v>0</v>
      </c>
      <c r="Z555" s="35">
        <f>IFERROR((PA[[#This Row],[Work Completiuon time on fualt]]-PA[[#This Row],[Fault Time]])*24,"")</f>
        <v>0</v>
      </c>
      <c r="AC555" s="47" t="str">
        <f>IFERROR(PA[[#This Row],[Breakdown Time]]*PA[[#This Row],[Plant Equivalent Weightage]],"")</f>
        <v/>
      </c>
      <c r="AE555" s="33" t="str">
        <f>IFERROR((_xlfn.XLOOKUP(PA[[#This Row],[Month Year]],'Modelling New'!D:D,'Modelling New'!$O:$O)*PA[[#This Row],[Lost PoA(Wh/m2)]]*PA[[#This Row],[DC Capacity Affceted (kW)]])/1000,"")</f>
        <v/>
      </c>
      <c r="AF555" s="35"/>
    </row>
    <row r="556" spans="1:32">
      <c r="A556" s="2">
        <f t="shared" si="34"/>
        <v>553</v>
      </c>
      <c r="B556" s="156">
        <f t="shared" si="32"/>
        <v>1900</v>
      </c>
      <c r="C556" s="129">
        <f t="shared" si="33"/>
        <v>1900</v>
      </c>
      <c r="I556" s="31" t="str">
        <f>IFERROR(VLOOKUP(PA[[#This Row],[Date]],Raw_Data[[Date]:[Sunset Time (POA&lt;20 W/m2)]],3,0),"")</f>
        <v/>
      </c>
      <c r="J556" s="31" t="str">
        <f>IFERROR(VLOOKUP(PA[[#This Row],[Date]],Raw_Data[[Date]:[Sunset Time (POA&lt;20 W/m2)]],4,0),"")</f>
        <v/>
      </c>
      <c r="K556" s="49" t="str">
        <f>IFERROR((PA[[#This Row],[Sunset Time (POA&lt;20 W/m2)]]-PA[[#This Row],[Sunrise Time (POA&gt;20 W/m2)]])*24,"")</f>
        <v/>
      </c>
      <c r="M556" s="46" t="str">
        <f>IFERROR(VLOOKUP(PA[[#This Row],[Affceted Equipment]],'Basic Data'!$A$2:$B$114,2,0),"")</f>
        <v/>
      </c>
      <c r="N556" s="48" t="str">
        <f>IFERROR(VLOOKUP(PA[[#This Row],[Affceted Equipment]],'Basic Data'!$A$1:$C$118,3,0),"")</f>
        <v/>
      </c>
      <c r="W556" s="33">
        <f>IF(PA[[#This Row],[Acknowledgemnet Time ]]="NA","",(PA[[#This Row],[Acknowledgemnet Time ]]-PA[[#This Row],[Fault Time]])*24)</f>
        <v>0</v>
      </c>
      <c r="X556" s="33">
        <f>IF(PA[[#This Row],[Work Start time on Fault]]="NA","",(PA[[#This Row],[Work Start time on Fault]]-PA[[#This Row],[Fault Time]])*24)</f>
        <v>0</v>
      </c>
      <c r="Y556" s="35">
        <f>(PA[[#This Row],[Work Completiuon time on fualt]]-PA[[#This Row],[Fault Time]])*24</f>
        <v>0</v>
      </c>
      <c r="Z556" s="35">
        <f>IFERROR((PA[[#This Row],[Work Completiuon time on fualt]]-PA[[#This Row],[Fault Time]])*24,"")</f>
        <v>0</v>
      </c>
      <c r="AC556" s="47" t="str">
        <f>IFERROR(PA[[#This Row],[Breakdown Time]]*PA[[#This Row],[Plant Equivalent Weightage]],"")</f>
        <v/>
      </c>
      <c r="AE556" s="33" t="str">
        <f>IFERROR((_xlfn.XLOOKUP(PA[[#This Row],[Month Year]],'Modelling New'!D:D,'Modelling New'!$O:$O)*PA[[#This Row],[Lost PoA(Wh/m2)]]*PA[[#This Row],[DC Capacity Affceted (kW)]])/1000,"")</f>
        <v/>
      </c>
      <c r="AF556" s="35"/>
    </row>
    <row r="557" spans="1:32">
      <c r="A557" s="2">
        <f t="shared" si="34"/>
        <v>554</v>
      </c>
      <c r="B557" s="156">
        <f t="shared" si="32"/>
        <v>1900</v>
      </c>
      <c r="C557" s="129">
        <f t="shared" si="33"/>
        <v>1900</v>
      </c>
      <c r="I557" s="31" t="str">
        <f>IFERROR(VLOOKUP(PA[[#This Row],[Date]],Raw_Data[[Date]:[Sunset Time (POA&lt;20 W/m2)]],3,0),"")</f>
        <v/>
      </c>
      <c r="J557" s="31" t="str">
        <f>IFERROR(VLOOKUP(PA[[#This Row],[Date]],Raw_Data[[Date]:[Sunset Time (POA&lt;20 W/m2)]],4,0),"")</f>
        <v/>
      </c>
      <c r="K557" s="49" t="str">
        <f>IFERROR((PA[[#This Row],[Sunset Time (POA&lt;20 W/m2)]]-PA[[#This Row],[Sunrise Time (POA&gt;20 W/m2)]])*24,"")</f>
        <v/>
      </c>
      <c r="M557" s="46" t="str">
        <f>IFERROR(VLOOKUP(PA[[#This Row],[Affceted Equipment]],'Basic Data'!$A$2:$B$114,2,0),"")</f>
        <v/>
      </c>
      <c r="N557" s="48" t="str">
        <f>IFERROR(VLOOKUP(PA[[#This Row],[Affceted Equipment]],'Basic Data'!$A$1:$C$118,3,0),"")</f>
        <v/>
      </c>
      <c r="W557" s="33">
        <f>IF(PA[[#This Row],[Acknowledgemnet Time ]]="NA","",(PA[[#This Row],[Acknowledgemnet Time ]]-PA[[#This Row],[Fault Time]])*24)</f>
        <v>0</v>
      </c>
      <c r="X557" s="33">
        <f>IF(PA[[#This Row],[Work Start time on Fault]]="NA","",(PA[[#This Row],[Work Start time on Fault]]-PA[[#This Row],[Fault Time]])*24)</f>
        <v>0</v>
      </c>
      <c r="Y557" s="35">
        <f>(PA[[#This Row],[Work Completiuon time on fualt]]-PA[[#This Row],[Fault Time]])*24</f>
        <v>0</v>
      </c>
      <c r="Z557" s="35">
        <f>IFERROR((PA[[#This Row],[Work Completiuon time on fualt]]-PA[[#This Row],[Fault Time]])*24,"")</f>
        <v>0</v>
      </c>
      <c r="AC557" s="47" t="str">
        <f>IFERROR(PA[[#This Row],[Breakdown Time]]*PA[[#This Row],[Plant Equivalent Weightage]],"")</f>
        <v/>
      </c>
      <c r="AE557" s="33" t="str">
        <f>IFERROR((_xlfn.XLOOKUP(PA[[#This Row],[Month Year]],'Modelling New'!D:D,'Modelling New'!$O:$O)*PA[[#This Row],[Lost PoA(Wh/m2)]]*PA[[#This Row],[DC Capacity Affceted (kW)]])/1000,"")</f>
        <v/>
      </c>
      <c r="AF557" s="35"/>
    </row>
  </sheetData>
  <pageMargins left="0.7" right="0.7" top="0.75" bottom="0.75" header="0.3" footer="0.3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1000000}">
          <x14:formula1>
            <xm:f>'Basic Data'!$E$2:$E$35</xm:f>
          </x14:formula1>
          <xm:sqref>P27:P557</xm:sqref>
        </x14:dataValidation>
        <x14:dataValidation type="list" allowBlank="1" showInputMessage="1" showErrorMessage="1" xr:uid="{00000000-0002-0000-0900-000002000000}">
          <x14:formula1>
            <xm:f>'Basic Data'!$M$2:$M$4</xm:f>
          </x14:formula1>
          <xm:sqref>AB27:AB557</xm:sqref>
        </x14:dataValidation>
        <x14:dataValidation type="list" allowBlank="1" showInputMessage="1" showErrorMessage="1" xr:uid="{00000000-0002-0000-0900-000000000000}">
          <x14:formula1>
            <xm:f>'Basic Data'!$A$2:$A$115</xm:f>
          </x14:formula1>
          <xm:sqref>O4:O26 L4:L557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K1550"/>
  <sheetViews>
    <sheetView workbookViewId="0">
      <pane xSplit="8" ySplit="3" topLeftCell="U1537" activePane="bottomRight" state="frozen"/>
      <selection pane="topRight" activeCell="I1" sqref="I1"/>
      <selection pane="bottomLeft" activeCell="A4" sqref="A4"/>
      <selection pane="bottomRight" activeCell="W1543" sqref="W1543"/>
    </sheetView>
  </sheetViews>
  <sheetFormatPr defaultColWidth="9" defaultRowHeight="15"/>
  <cols>
    <col min="2" max="2" width="9.42578125" style="2" customWidth="1"/>
    <col min="3" max="5" width="8.7109375" style="2"/>
    <col min="6" max="6" width="10.85546875" style="2" customWidth="1"/>
    <col min="7" max="7" width="8.7109375" style="2"/>
    <col min="8" max="8" width="14.42578125" style="2" customWidth="1"/>
    <col min="9" max="10" width="10.7109375" style="2" customWidth="1"/>
    <col min="11" max="11" width="13.42578125" style="2" bestFit="1" customWidth="1"/>
    <col min="12" max="12" width="23.7109375" style="2" customWidth="1"/>
    <col min="13" max="13" width="8.7109375" style="2"/>
    <col min="14" max="14" width="9" customWidth="1"/>
    <col min="15" max="15" width="13" customWidth="1"/>
    <col min="20" max="20" width="13.42578125" customWidth="1"/>
    <col min="21" max="21" width="28.140625" customWidth="1"/>
    <col min="22" max="22" width="26.7109375" customWidth="1"/>
    <col min="24" max="24" width="10.28515625" customWidth="1"/>
    <col min="25" max="25" width="9.7109375" style="2" customWidth="1"/>
    <col min="26" max="26" width="10.7109375" style="2" customWidth="1"/>
    <col min="27" max="27" width="10.28515625" style="2" customWidth="1"/>
    <col min="28" max="28" width="9" style="2"/>
    <col min="29" max="29" width="13" style="2" customWidth="1"/>
    <col min="30" max="30" width="8.7109375" style="2" customWidth="1"/>
    <col min="31" max="31" width="61.5703125" customWidth="1"/>
    <col min="32" max="32" width="11.5703125" customWidth="1"/>
    <col min="33" max="33" width="13.28515625" customWidth="1"/>
    <col min="34" max="34" width="16.28515625" customWidth="1"/>
    <col min="35" max="35" width="11.7109375" customWidth="1"/>
    <col min="36" max="36" width="21.28515625" customWidth="1"/>
    <col min="37" max="37" width="20.7109375" customWidth="1"/>
  </cols>
  <sheetData>
    <row r="3" spans="1:37" ht="48">
      <c r="A3" s="37" t="s">
        <v>5</v>
      </c>
      <c r="B3" s="37" t="s">
        <v>82</v>
      </c>
      <c r="C3" s="37" t="s">
        <v>83</v>
      </c>
      <c r="D3" s="37" t="s">
        <v>278</v>
      </c>
      <c r="E3" s="37" t="s">
        <v>128</v>
      </c>
      <c r="F3" s="37" t="s">
        <v>84</v>
      </c>
      <c r="G3" s="37" t="s">
        <v>63</v>
      </c>
      <c r="H3" s="38" t="s">
        <v>34</v>
      </c>
      <c r="I3" s="40" t="s">
        <v>130</v>
      </c>
      <c r="J3" s="40" t="s">
        <v>131</v>
      </c>
      <c r="K3" s="37" t="s">
        <v>225</v>
      </c>
      <c r="L3" s="37" t="s">
        <v>279</v>
      </c>
      <c r="M3" s="37" t="s">
        <v>228</v>
      </c>
      <c r="N3" s="37" t="s">
        <v>280</v>
      </c>
      <c r="O3" s="37" t="s">
        <v>281</v>
      </c>
      <c r="P3" s="37" t="s">
        <v>282</v>
      </c>
      <c r="Q3" s="37" t="s">
        <v>283</v>
      </c>
      <c r="R3" s="37" t="s">
        <v>284</v>
      </c>
      <c r="S3" s="37" t="s">
        <v>285</v>
      </c>
      <c r="T3" s="37" t="s">
        <v>286</v>
      </c>
      <c r="U3" s="37" t="s">
        <v>231</v>
      </c>
      <c r="V3" s="37" t="s">
        <v>232</v>
      </c>
      <c r="W3" s="37" t="s">
        <v>233</v>
      </c>
      <c r="X3" s="37" t="s">
        <v>287</v>
      </c>
      <c r="Y3" s="37" t="s">
        <v>235</v>
      </c>
      <c r="Z3" s="37" t="s">
        <v>288</v>
      </c>
      <c r="AA3" s="37" t="s">
        <v>289</v>
      </c>
      <c r="AB3" s="37" t="s">
        <v>238</v>
      </c>
      <c r="AC3" s="37" t="s">
        <v>239</v>
      </c>
      <c r="AD3" s="37" t="s">
        <v>240</v>
      </c>
      <c r="AE3" s="37" t="s">
        <v>241</v>
      </c>
      <c r="AF3" s="37" t="s">
        <v>242</v>
      </c>
      <c r="AG3" s="37" t="s">
        <v>290</v>
      </c>
      <c r="AH3" s="37" t="s">
        <v>291</v>
      </c>
      <c r="AI3" s="43" t="s">
        <v>243</v>
      </c>
      <c r="AJ3" s="43" t="s">
        <v>292</v>
      </c>
      <c r="AK3" s="43" t="s">
        <v>293</v>
      </c>
    </row>
    <row r="4" spans="1:37">
      <c r="A4" s="2">
        <v>1</v>
      </c>
      <c r="B4" s="156">
        <f>YEAR(H4)+IF(MONTH(H4)&gt;=4,1,0)</f>
        <v>2025</v>
      </c>
      <c r="C4" s="129">
        <f>YEAR(H4)</f>
        <v>2025</v>
      </c>
      <c r="D4" s="2" t="s">
        <v>155</v>
      </c>
      <c r="E4" s="2" t="s">
        <v>155</v>
      </c>
      <c r="F4" s="39">
        <v>45717</v>
      </c>
      <c r="G4" s="2">
        <f>DAY(EOMONTH(TA[[#This Row],[Month Year]],0))</f>
        <v>31</v>
      </c>
      <c r="H4" s="21">
        <v>45745</v>
      </c>
      <c r="I4" s="41">
        <f>IFERROR(VLOOKUP(TA[[#This Row],[Date]],Raw_Data[[Date]:[Sunset Time (POA&lt;20 W/m2)]],3,0),"")</f>
        <v>0.2590277777777778</v>
      </c>
      <c r="J4" s="41">
        <f>IFERROR(VLOOKUP(TA[[#This Row],[Date]],Raw_Data[[Date]:[Sunset Time (POA&lt;20 W/m2)]],4,0),"")</f>
        <v>0.76180555555555551</v>
      </c>
      <c r="K4" s="35">
        <f>IFERROR((TA[[#This Row],[Sunset Time (POA&lt;20 W/m2)]]-TA[[#This Row],[Sunrise Time (POA&gt;20 W/m2)]])*24,"")</f>
        <v>12.066666666666666</v>
      </c>
      <c r="L4" s="2" t="s">
        <v>294</v>
      </c>
      <c r="M4" s="42">
        <f>IFERROR(VLOOKUP(TA[[#This Row],[Affected Equipment]],'Basic Data'!$I$2:$K$40,3,0),"")</f>
        <v>1.7241379310344799E-3</v>
      </c>
      <c r="N4">
        <v>-28</v>
      </c>
      <c r="O4" t="s">
        <v>135</v>
      </c>
      <c r="P4" s="127" t="s">
        <v>318</v>
      </c>
      <c r="Q4" s="126" t="s">
        <v>318</v>
      </c>
      <c r="R4">
        <v>130</v>
      </c>
      <c r="S4" s="2">
        <v>36</v>
      </c>
      <c r="T4" t="s">
        <v>295</v>
      </c>
      <c r="U4" t="s">
        <v>300</v>
      </c>
      <c r="V4" t="s">
        <v>298</v>
      </c>
      <c r="W4" s="41"/>
      <c r="X4" s="41"/>
      <c r="Y4" s="34"/>
      <c r="Z4" s="34"/>
      <c r="AA4" s="35">
        <f>IF(TA[[#This Row],[Work Start time on Fault]]="NA","",(TA[[#This Row],[Fault Acknowledgement Time ]]-TA[[#This Row],[Fault Time]])*24)</f>
        <v>0</v>
      </c>
      <c r="AB4" s="35">
        <f>(TA[[#This Row],[Work Start time on Fault]]-TA[[#This Row],[Fault Time]])*24</f>
        <v>0</v>
      </c>
      <c r="AC4" s="34">
        <f>(TA[[#This Row],[Work Completion time on fault]]-TA[[#This Row],[Fault Time]])*24</f>
        <v>0</v>
      </c>
      <c r="AD4" s="35">
        <f>IFERROR((TA[[#This Row],[Work Completion time on fault]]-TA[[#This Row],[Fault Time]])*24,"")</f>
        <v>0</v>
      </c>
      <c r="AE4" t="s">
        <v>328</v>
      </c>
      <c r="AF4" t="s">
        <v>256</v>
      </c>
      <c r="AG4" s="2"/>
      <c r="AH4" s="44">
        <f>1-COS(RADIANS(TA[[#This Row],[Avg. Target Angle during Fault Time (Radians)]]-TA[[#This Row],[Angle of affected equipment ]]))</f>
        <v>0.11705240714107301</v>
      </c>
      <c r="AI4" s="35">
        <f>IFERROR(TA[[#This Row],[Breakdown Time]]*TA[[#This Row],[Plant Equivalent Weightage]],"")</f>
        <v>0</v>
      </c>
    </row>
    <row r="5" spans="1:37">
      <c r="A5" s="2">
        <f t="shared" ref="A5:A34" si="0">A4+1</f>
        <v>2</v>
      </c>
      <c r="B5" s="156">
        <f t="shared" ref="B5:B68" si="1">YEAR(H5)+IF(MONTH(H5)&gt;=4,1,0)</f>
        <v>2025</v>
      </c>
      <c r="C5" s="129">
        <f t="shared" ref="C5:C68" si="2">YEAR(H5)</f>
        <v>2025</v>
      </c>
      <c r="D5" s="2" t="s">
        <v>155</v>
      </c>
      <c r="E5" s="2" t="s">
        <v>155</v>
      </c>
      <c r="F5" s="39">
        <v>45717</v>
      </c>
      <c r="G5" s="2">
        <f>DAY(EOMONTH(TA[[#This Row],[Month Year]],0))</f>
        <v>31</v>
      </c>
      <c r="H5" s="21">
        <v>45745</v>
      </c>
      <c r="I5" s="41">
        <f>IFERROR(VLOOKUP(TA[[#This Row],[Date]],Raw_Data[[Date]:[Sunset Time (POA&lt;20 W/m2)]],3,0),"")</f>
        <v>0.2590277777777778</v>
      </c>
      <c r="J5" s="41">
        <f>IFERROR(VLOOKUP(TA[[#This Row],[Date]],Raw_Data[[Date]:[Sunset Time (POA&lt;20 W/m2)]],4,0),"")</f>
        <v>0.76180555555555551</v>
      </c>
      <c r="K5" s="35">
        <f>IFERROR((TA[[#This Row],[Sunset Time (POA&lt;20 W/m2)]]-TA[[#This Row],[Sunrise Time (POA&gt;20 W/m2)]])*24,"")</f>
        <v>12.066666666666666</v>
      </c>
      <c r="L5" s="2" t="s">
        <v>294</v>
      </c>
      <c r="M5" s="42">
        <f>IFERROR(VLOOKUP(TA[[#This Row],[Affected Equipment]],'Basic Data'!$I$2:$K$40,3,0),"")</f>
        <v>1.7241379310344799E-3</v>
      </c>
      <c r="N5">
        <v>-28</v>
      </c>
      <c r="O5" t="s">
        <v>135</v>
      </c>
      <c r="P5" s="127" t="s">
        <v>318</v>
      </c>
      <c r="Q5" s="126" t="s">
        <v>318</v>
      </c>
      <c r="R5">
        <v>130</v>
      </c>
      <c r="S5" s="2">
        <v>37</v>
      </c>
      <c r="T5" t="s">
        <v>295</v>
      </c>
      <c r="U5" t="s">
        <v>300</v>
      </c>
      <c r="V5" t="s">
        <v>298</v>
      </c>
      <c r="W5" s="41"/>
      <c r="X5" s="41"/>
      <c r="Y5" s="34"/>
      <c r="Z5" s="34"/>
      <c r="AA5" s="35">
        <f>IF(TA[[#This Row],[Work Start time on Fault]]="NA","",(TA[[#This Row],[Fault Acknowledgement Time ]]-TA[[#This Row],[Fault Time]])*24)</f>
        <v>0</v>
      </c>
      <c r="AB5" s="35">
        <f>(TA[[#This Row],[Work Start time on Fault]]-TA[[#This Row],[Fault Time]])*24</f>
        <v>0</v>
      </c>
      <c r="AC5" s="34">
        <f>(TA[[#This Row],[Work Completion time on fault]]-TA[[#This Row],[Fault Time]])*24</f>
        <v>0</v>
      </c>
      <c r="AD5" s="35">
        <f>IFERROR((TA[[#This Row],[Work Completion time on fault]]-TA[[#This Row],[Fault Time]])*24,"")</f>
        <v>0</v>
      </c>
      <c r="AE5" t="s">
        <v>328</v>
      </c>
      <c r="AF5" t="s">
        <v>256</v>
      </c>
      <c r="AG5" s="2"/>
      <c r="AH5" s="44">
        <f>1-COS(RADIANS(TA[[#This Row],[Avg. Target Angle during Fault Time (Radians)]]-TA[[#This Row],[Angle of affected equipment ]]))</f>
        <v>0.11705240714107301</v>
      </c>
      <c r="AI5" s="35">
        <f>IFERROR(TA[[#This Row],[Breakdown Time]]*TA[[#This Row],[Plant Equivalent Weightage]],"")</f>
        <v>0</v>
      </c>
    </row>
    <row r="6" spans="1:37">
      <c r="A6" s="2">
        <f t="shared" si="0"/>
        <v>3</v>
      </c>
      <c r="B6" s="156">
        <f t="shared" si="1"/>
        <v>2025</v>
      </c>
      <c r="C6" s="129">
        <f t="shared" si="2"/>
        <v>2025</v>
      </c>
      <c r="D6" s="2" t="s">
        <v>155</v>
      </c>
      <c r="E6" s="2" t="s">
        <v>155</v>
      </c>
      <c r="F6" s="39">
        <v>45717</v>
      </c>
      <c r="G6" s="2">
        <f>DAY(EOMONTH(TA[[#This Row],[Month Year]],0))</f>
        <v>31</v>
      </c>
      <c r="H6" s="21">
        <v>45745</v>
      </c>
      <c r="I6" s="41">
        <f>IFERROR(VLOOKUP(TA[[#This Row],[Date]],Raw_Data[[Date]:[Sunset Time (POA&lt;20 W/m2)]],3,0),"")</f>
        <v>0.2590277777777778</v>
      </c>
      <c r="J6" s="41">
        <f>IFERROR(VLOOKUP(TA[[#This Row],[Date]],Raw_Data[[Date]:[Sunset Time (POA&lt;20 W/m2)]],4,0),"")</f>
        <v>0.76180555555555551</v>
      </c>
      <c r="K6" s="35">
        <f>IFERROR((TA[[#This Row],[Sunset Time (POA&lt;20 W/m2)]]-TA[[#This Row],[Sunrise Time (POA&gt;20 W/m2)]])*24,"")</f>
        <v>12.066666666666666</v>
      </c>
      <c r="L6" s="2" t="s">
        <v>294</v>
      </c>
      <c r="M6" s="42">
        <f>IFERROR(VLOOKUP(TA[[#This Row],[Affected Equipment]],'Basic Data'!$I$2:$K$40,3,0),"")</f>
        <v>1.7241379310344799E-3</v>
      </c>
      <c r="N6">
        <v>-28</v>
      </c>
      <c r="O6" t="s">
        <v>135</v>
      </c>
      <c r="P6" s="127" t="s">
        <v>318</v>
      </c>
      <c r="Q6" s="126" t="s">
        <v>318</v>
      </c>
      <c r="R6">
        <v>131</v>
      </c>
      <c r="S6" s="2">
        <v>38</v>
      </c>
      <c r="T6" t="s">
        <v>295</v>
      </c>
      <c r="U6" t="s">
        <v>300</v>
      </c>
      <c r="V6" t="s">
        <v>298</v>
      </c>
      <c r="W6" s="41"/>
      <c r="X6" s="41"/>
      <c r="Y6" s="34"/>
      <c r="Z6" s="34"/>
      <c r="AA6" s="35">
        <f>IF(TA[[#This Row],[Work Start time on Fault]]="NA","",(TA[[#This Row],[Fault Acknowledgement Time ]]-TA[[#This Row],[Fault Time]])*24)</f>
        <v>0</v>
      </c>
      <c r="AB6" s="35">
        <f>(TA[[#This Row],[Work Start time on Fault]]-TA[[#This Row],[Fault Time]])*24</f>
        <v>0</v>
      </c>
      <c r="AC6" s="34">
        <f>(TA[[#This Row],[Work Completion time on fault]]-TA[[#This Row],[Fault Time]])*24</f>
        <v>0</v>
      </c>
      <c r="AD6" s="35">
        <f>IFERROR((TA[[#This Row],[Work Completion time on fault]]-TA[[#This Row],[Fault Time]])*24,"")</f>
        <v>0</v>
      </c>
      <c r="AE6" t="s">
        <v>328</v>
      </c>
      <c r="AF6" t="s">
        <v>256</v>
      </c>
      <c r="AG6" s="2"/>
      <c r="AH6" s="44">
        <f>1-COS(RADIANS(TA[[#This Row],[Avg. Target Angle during Fault Time (Radians)]]-TA[[#This Row],[Angle of affected equipment ]]))</f>
        <v>0.11705240714107301</v>
      </c>
      <c r="AI6" s="35">
        <f>IFERROR(TA[[#This Row],[Breakdown Time]]*TA[[#This Row],[Plant Equivalent Weightage]],"")</f>
        <v>0</v>
      </c>
    </row>
    <row r="7" spans="1:37">
      <c r="A7" s="2">
        <f t="shared" si="0"/>
        <v>4</v>
      </c>
      <c r="B7" s="156">
        <f t="shared" si="1"/>
        <v>2025</v>
      </c>
      <c r="C7" s="129">
        <f t="shared" si="2"/>
        <v>2025</v>
      </c>
      <c r="D7" s="2" t="s">
        <v>155</v>
      </c>
      <c r="E7" s="2" t="s">
        <v>155</v>
      </c>
      <c r="F7" s="39">
        <v>45717</v>
      </c>
      <c r="G7" s="2">
        <f>DAY(EOMONTH(TA[[#This Row],[Month Year]],0))</f>
        <v>31</v>
      </c>
      <c r="H7" s="21">
        <v>45745</v>
      </c>
      <c r="I7" s="41">
        <f>IFERROR(VLOOKUP(TA[[#This Row],[Date]],Raw_Data[[Date]:[Sunset Time (POA&lt;20 W/m2)]],3,0),"")</f>
        <v>0.2590277777777778</v>
      </c>
      <c r="J7" s="41">
        <f>IFERROR(VLOOKUP(TA[[#This Row],[Date]],Raw_Data[[Date]:[Sunset Time (POA&lt;20 W/m2)]],4,0),"")</f>
        <v>0.76180555555555551</v>
      </c>
      <c r="K7" s="35">
        <f>IFERROR((TA[[#This Row],[Sunset Time (POA&lt;20 W/m2)]]-TA[[#This Row],[Sunrise Time (POA&gt;20 W/m2)]])*24,"")</f>
        <v>12.066666666666666</v>
      </c>
      <c r="L7" s="2" t="s">
        <v>294</v>
      </c>
      <c r="M7" s="42">
        <f>IFERROR(VLOOKUP(TA[[#This Row],[Affected Equipment]],'Basic Data'!$I$2:$K$40,3,0),"")</f>
        <v>1.7241379310344799E-3</v>
      </c>
      <c r="N7">
        <v>-28</v>
      </c>
      <c r="O7" t="s">
        <v>135</v>
      </c>
      <c r="P7" s="127" t="s">
        <v>318</v>
      </c>
      <c r="Q7" s="126" t="s">
        <v>318</v>
      </c>
      <c r="R7">
        <v>131</v>
      </c>
      <c r="S7" s="2">
        <v>39</v>
      </c>
      <c r="T7" t="s">
        <v>295</v>
      </c>
      <c r="U7" t="s">
        <v>300</v>
      </c>
      <c r="V7" t="s">
        <v>298</v>
      </c>
      <c r="W7" s="41"/>
      <c r="X7" s="41"/>
      <c r="Y7" s="34"/>
      <c r="Z7" s="34"/>
      <c r="AA7" s="35">
        <f>IF(TA[[#This Row],[Work Start time on Fault]]="NA","",(TA[[#This Row],[Fault Acknowledgement Time ]]-TA[[#This Row],[Fault Time]])*24)</f>
        <v>0</v>
      </c>
      <c r="AB7" s="35">
        <f>(TA[[#This Row],[Work Start time on Fault]]-TA[[#This Row],[Fault Time]])*24</f>
        <v>0</v>
      </c>
      <c r="AC7" s="34">
        <f>(TA[[#This Row],[Work Completion time on fault]]-TA[[#This Row],[Fault Time]])*24</f>
        <v>0</v>
      </c>
      <c r="AD7" s="35">
        <f>IFERROR((TA[[#This Row],[Work Completion time on fault]]-TA[[#This Row],[Fault Time]])*24,"")</f>
        <v>0</v>
      </c>
      <c r="AE7" t="s">
        <v>328</v>
      </c>
      <c r="AF7" t="s">
        <v>256</v>
      </c>
      <c r="AG7" s="2"/>
      <c r="AH7" s="44">
        <f>1-COS(RADIANS(TA[[#This Row],[Avg. Target Angle during Fault Time (Radians)]]-TA[[#This Row],[Angle of affected equipment ]]))</f>
        <v>0.11705240714107301</v>
      </c>
      <c r="AI7" s="35">
        <f>IFERROR(TA[[#This Row],[Breakdown Time]]*TA[[#This Row],[Plant Equivalent Weightage]],"")</f>
        <v>0</v>
      </c>
    </row>
    <row r="8" spans="1:37">
      <c r="A8" s="2">
        <f t="shared" si="0"/>
        <v>5</v>
      </c>
      <c r="B8" s="156">
        <f t="shared" si="1"/>
        <v>2025</v>
      </c>
      <c r="C8" s="129">
        <f t="shared" si="2"/>
        <v>2025</v>
      </c>
      <c r="D8" s="2" t="s">
        <v>155</v>
      </c>
      <c r="E8" s="2" t="s">
        <v>155</v>
      </c>
      <c r="F8" s="39">
        <v>45717</v>
      </c>
      <c r="G8" s="2">
        <f>DAY(EOMONTH(TA[[#This Row],[Month Year]],0))</f>
        <v>31</v>
      </c>
      <c r="H8" s="21">
        <v>45745</v>
      </c>
      <c r="I8" s="41">
        <f>IFERROR(VLOOKUP(TA[[#This Row],[Date]],Raw_Data[[Date]:[Sunset Time (POA&lt;20 W/m2)]],3,0),"")</f>
        <v>0.2590277777777778</v>
      </c>
      <c r="J8" s="41">
        <f>IFERROR(VLOOKUP(TA[[#This Row],[Date]],Raw_Data[[Date]:[Sunset Time (POA&lt;20 W/m2)]],4,0),"")</f>
        <v>0.76180555555555551</v>
      </c>
      <c r="K8" s="35">
        <f>IFERROR((TA[[#This Row],[Sunset Time (POA&lt;20 W/m2)]]-TA[[#This Row],[Sunrise Time (POA&gt;20 W/m2)]])*24,"")</f>
        <v>12.066666666666666</v>
      </c>
      <c r="L8" s="2" t="s">
        <v>296</v>
      </c>
      <c r="M8" s="42">
        <f>IFERROR(VLOOKUP(TA[[#This Row],[Affected Equipment]],'Basic Data'!$I$2:$K$40,3,0),"")</f>
        <v>8.6206896551724102E-3</v>
      </c>
      <c r="N8">
        <v>-28</v>
      </c>
      <c r="O8" t="s">
        <v>135</v>
      </c>
      <c r="P8" s="127" t="s">
        <v>318</v>
      </c>
      <c r="Q8" s="2" t="s">
        <v>321</v>
      </c>
      <c r="R8">
        <v>133</v>
      </c>
      <c r="S8" s="2">
        <v>26</v>
      </c>
      <c r="T8" t="s">
        <v>297</v>
      </c>
      <c r="U8" t="s">
        <v>300</v>
      </c>
      <c r="V8" t="s">
        <v>314</v>
      </c>
      <c r="W8" s="41"/>
      <c r="X8" s="41"/>
      <c r="Y8" s="34"/>
      <c r="Z8" s="34"/>
      <c r="AA8" s="35">
        <f>IF(TA[[#This Row],[Work Start time on Fault]]="NA","",(TA[[#This Row],[Fault Acknowledgement Time ]]-TA[[#This Row],[Fault Time]])*24)</f>
        <v>0</v>
      </c>
      <c r="AB8" s="35">
        <f>(TA[[#This Row],[Work Start time on Fault]]-TA[[#This Row],[Fault Time]])*24</f>
        <v>0</v>
      </c>
      <c r="AC8" s="34">
        <f>(TA[[#This Row],[Work Completion time on fault]]-TA[[#This Row],[Fault Time]])*24</f>
        <v>0</v>
      </c>
      <c r="AD8" s="35">
        <f>IFERROR((TA[[#This Row],[Work Completion time on fault]]-TA[[#This Row],[Fault Time]])*24,"")</f>
        <v>0</v>
      </c>
      <c r="AE8" t="s">
        <v>328</v>
      </c>
      <c r="AF8" t="s">
        <v>256</v>
      </c>
      <c r="AG8" s="2"/>
      <c r="AH8" s="44">
        <f>1-COS(RADIANS(TA[[#This Row],[Avg. Target Angle during Fault Time (Radians)]]-TA[[#This Row],[Angle of affected equipment ]]))</f>
        <v>0.11705240714107301</v>
      </c>
      <c r="AI8" s="35">
        <f>IFERROR(TA[[#This Row],[Breakdown Time]]*TA[[#This Row],[Plant Equivalent Weightage]],"")</f>
        <v>0</v>
      </c>
    </row>
    <row r="9" spans="1:37">
      <c r="A9" s="2">
        <f t="shared" si="0"/>
        <v>6</v>
      </c>
      <c r="B9" s="156">
        <f t="shared" si="1"/>
        <v>2025</v>
      </c>
      <c r="C9" s="129">
        <f t="shared" si="2"/>
        <v>2025</v>
      </c>
      <c r="D9" s="2" t="s">
        <v>155</v>
      </c>
      <c r="E9" s="2" t="s">
        <v>155</v>
      </c>
      <c r="F9" s="39">
        <v>45717</v>
      </c>
      <c r="G9" s="2">
        <f>DAY(EOMONTH(TA[[#This Row],[Month Year]],0))</f>
        <v>31</v>
      </c>
      <c r="H9" s="21">
        <v>45745</v>
      </c>
      <c r="I9" s="41">
        <f>IFERROR(VLOOKUP(TA[[#This Row],[Date]],Raw_Data[[Date]:[Sunset Time (POA&lt;20 W/m2)]],3,0),"")</f>
        <v>0.2590277777777778</v>
      </c>
      <c r="J9" s="41">
        <f>IFERROR(VLOOKUP(TA[[#This Row],[Date]],Raw_Data[[Date]:[Sunset Time (POA&lt;20 W/m2)]],4,0),"")</f>
        <v>0.76180555555555551</v>
      </c>
      <c r="K9" s="35">
        <f>IFERROR((TA[[#This Row],[Sunset Time (POA&lt;20 W/m2)]]-TA[[#This Row],[Sunrise Time (POA&gt;20 W/m2)]])*24,"")</f>
        <v>12.066666666666666</v>
      </c>
      <c r="L9" s="2" t="s">
        <v>294</v>
      </c>
      <c r="M9" s="42">
        <f>IFERROR(VLOOKUP(TA[[#This Row],[Affected Equipment]],'Basic Data'!$I$2:$K$40,3,0),"")</f>
        <v>1.7241379310344799E-3</v>
      </c>
      <c r="N9">
        <v>-28</v>
      </c>
      <c r="O9" t="s">
        <v>133</v>
      </c>
      <c r="P9" s="127" t="s">
        <v>316</v>
      </c>
      <c r="Q9" s="126" t="s">
        <v>317</v>
      </c>
      <c r="R9">
        <v>7</v>
      </c>
      <c r="S9" s="2">
        <v>32</v>
      </c>
      <c r="T9" t="s">
        <v>295</v>
      </c>
      <c r="U9" t="s">
        <v>300</v>
      </c>
      <c r="V9" t="s">
        <v>298</v>
      </c>
      <c r="W9" s="41"/>
      <c r="X9" s="41"/>
      <c r="Y9" s="34"/>
      <c r="Z9" s="34"/>
      <c r="AA9" s="35">
        <f>IF(TA[[#This Row],[Work Start time on Fault]]="NA","",(TA[[#This Row],[Fault Acknowledgement Time ]]-TA[[#This Row],[Fault Time]])*24)</f>
        <v>0</v>
      </c>
      <c r="AB9" s="35">
        <f>(TA[[#This Row],[Work Start time on Fault]]-TA[[#This Row],[Fault Time]])*24</f>
        <v>0</v>
      </c>
      <c r="AC9" s="34">
        <f>(TA[[#This Row],[Work Completion time on fault]]-TA[[#This Row],[Fault Time]])*24</f>
        <v>0</v>
      </c>
      <c r="AD9" s="35">
        <f>IFERROR((TA[[#This Row],[Work Completion time on fault]]-TA[[#This Row],[Fault Time]])*24,"")</f>
        <v>0</v>
      </c>
      <c r="AE9" t="s">
        <v>328</v>
      </c>
      <c r="AF9" t="s">
        <v>256</v>
      </c>
      <c r="AG9" s="2"/>
      <c r="AH9" s="44">
        <f>1-COS(RADIANS(TA[[#This Row],[Avg. Target Angle during Fault Time (Radians)]]-TA[[#This Row],[Angle of affected equipment ]]))</f>
        <v>0.11705240714107301</v>
      </c>
      <c r="AI9" s="35">
        <f>IFERROR(TA[[#This Row],[Breakdown Time]]*TA[[#This Row],[Plant Equivalent Weightage]],"")</f>
        <v>0</v>
      </c>
    </row>
    <row r="10" spans="1:37">
      <c r="A10" s="2">
        <f t="shared" si="0"/>
        <v>7</v>
      </c>
      <c r="B10" s="156">
        <f t="shared" si="1"/>
        <v>2025</v>
      </c>
      <c r="C10" s="129">
        <f t="shared" si="2"/>
        <v>2025</v>
      </c>
      <c r="D10" s="2" t="s">
        <v>155</v>
      </c>
      <c r="E10" s="2" t="s">
        <v>155</v>
      </c>
      <c r="F10" s="39">
        <v>45717</v>
      </c>
      <c r="G10" s="2">
        <f>DAY(EOMONTH(TA[[#This Row],[Month Year]],0))</f>
        <v>31</v>
      </c>
      <c r="H10" s="21">
        <v>45745</v>
      </c>
      <c r="I10" s="41">
        <f>IFERROR(VLOOKUP(TA[[#This Row],[Date]],Raw_Data[[Date]:[Sunset Time (POA&lt;20 W/m2)]],3,0),"")</f>
        <v>0.2590277777777778</v>
      </c>
      <c r="J10" s="41">
        <f>IFERROR(VLOOKUP(TA[[#This Row],[Date]],Raw_Data[[Date]:[Sunset Time (POA&lt;20 W/m2)]],4,0),"")</f>
        <v>0.76180555555555551</v>
      </c>
      <c r="K10" s="35">
        <f>IFERROR((TA[[#This Row],[Sunset Time (POA&lt;20 W/m2)]]-TA[[#This Row],[Sunrise Time (POA&gt;20 W/m2)]])*24,"")</f>
        <v>12.066666666666666</v>
      </c>
      <c r="L10" s="2" t="s">
        <v>294</v>
      </c>
      <c r="M10" s="42">
        <f>IFERROR(VLOOKUP(TA[[#This Row],[Affected Equipment]],'Basic Data'!$I$2:$K$40,3,0),"")</f>
        <v>1.7241379310344799E-3</v>
      </c>
      <c r="N10">
        <v>-28</v>
      </c>
      <c r="O10" t="s">
        <v>137</v>
      </c>
      <c r="P10" s="127" t="s">
        <v>315</v>
      </c>
      <c r="Q10" s="126" t="s">
        <v>319</v>
      </c>
      <c r="R10">
        <v>166</v>
      </c>
      <c r="S10" s="2">
        <v>91</v>
      </c>
      <c r="T10" t="s">
        <v>295</v>
      </c>
      <c r="U10" t="s">
        <v>300</v>
      </c>
      <c r="V10" t="s">
        <v>298</v>
      </c>
      <c r="W10" s="41"/>
      <c r="X10" s="41"/>
      <c r="Y10" s="34"/>
      <c r="Z10" s="34"/>
      <c r="AA10" s="35">
        <f>IF(TA[[#This Row],[Work Start time on Fault]]="NA","",(TA[[#This Row],[Fault Acknowledgement Time ]]-TA[[#This Row],[Fault Time]])*24)</f>
        <v>0</v>
      </c>
      <c r="AB10" s="35">
        <f>(TA[[#This Row],[Work Start time on Fault]]-TA[[#This Row],[Fault Time]])*24</f>
        <v>0</v>
      </c>
      <c r="AC10" s="34">
        <f>(TA[[#This Row],[Work Completion time on fault]]-TA[[#This Row],[Fault Time]])*24</f>
        <v>0</v>
      </c>
      <c r="AD10" s="35">
        <f>IFERROR((TA[[#This Row],[Work Completion time on fault]]-TA[[#This Row],[Fault Time]])*24,"")</f>
        <v>0</v>
      </c>
      <c r="AE10" t="s">
        <v>328</v>
      </c>
      <c r="AF10" t="s">
        <v>256</v>
      </c>
      <c r="AG10" s="2"/>
      <c r="AH10" s="44">
        <f>1-COS(RADIANS(TA[[#This Row],[Avg. Target Angle during Fault Time (Radians)]]-TA[[#This Row],[Angle of affected equipment ]]))</f>
        <v>0.11705240714107301</v>
      </c>
      <c r="AI10" s="35">
        <f>IFERROR(TA[[#This Row],[Breakdown Time]]*TA[[#This Row],[Plant Equivalent Weightage]],"")</f>
        <v>0</v>
      </c>
    </row>
    <row r="11" spans="1:37">
      <c r="A11" s="2">
        <f t="shared" si="0"/>
        <v>8</v>
      </c>
      <c r="B11" s="156">
        <f t="shared" si="1"/>
        <v>2025</v>
      </c>
      <c r="C11" s="129">
        <f t="shared" si="2"/>
        <v>2025</v>
      </c>
      <c r="D11" s="2" t="s">
        <v>155</v>
      </c>
      <c r="E11" s="2" t="s">
        <v>155</v>
      </c>
      <c r="F11" s="39">
        <v>45717</v>
      </c>
      <c r="G11" s="2">
        <f>DAY(EOMONTH(TA[[#This Row],[Month Year]],0))</f>
        <v>31</v>
      </c>
      <c r="H11" s="21">
        <v>45745</v>
      </c>
      <c r="I11" s="41">
        <f>IFERROR(VLOOKUP(TA[[#This Row],[Date]],Raw_Data[[Date]:[Sunset Time (POA&lt;20 W/m2)]],3,0),"")</f>
        <v>0.2590277777777778</v>
      </c>
      <c r="J11" s="41">
        <f>IFERROR(VLOOKUP(TA[[#This Row],[Date]],Raw_Data[[Date]:[Sunset Time (POA&lt;20 W/m2)]],4,0),"")</f>
        <v>0.76180555555555551</v>
      </c>
      <c r="K11" s="35">
        <f>IFERROR((TA[[#This Row],[Sunset Time (POA&lt;20 W/m2)]]-TA[[#This Row],[Sunrise Time (POA&gt;20 W/m2)]])*24,"")</f>
        <v>12.066666666666666</v>
      </c>
      <c r="L11" s="2" t="s">
        <v>294</v>
      </c>
      <c r="M11" s="42">
        <f>IFERROR(VLOOKUP(TA[[#This Row],[Affected Equipment]],'Basic Data'!$I$2:$K$40,3,0),"")</f>
        <v>1.7241379310344799E-3</v>
      </c>
      <c r="N11">
        <v>-28</v>
      </c>
      <c r="O11" t="s">
        <v>133</v>
      </c>
      <c r="P11" s="127" t="s">
        <v>316</v>
      </c>
      <c r="Q11" s="126" t="s">
        <v>316</v>
      </c>
      <c r="R11">
        <v>117</v>
      </c>
      <c r="S11" s="2">
        <v>20</v>
      </c>
      <c r="T11" t="s">
        <v>295</v>
      </c>
      <c r="U11" t="s">
        <v>300</v>
      </c>
      <c r="V11" t="s">
        <v>298</v>
      </c>
      <c r="W11" s="41"/>
      <c r="X11" s="41"/>
      <c r="Y11" s="34"/>
      <c r="Z11" s="34"/>
      <c r="AA11" s="35">
        <f>IF(TA[[#This Row],[Work Start time on Fault]]="NA","",(TA[[#This Row],[Fault Acknowledgement Time ]]-TA[[#This Row],[Fault Time]])*24)</f>
        <v>0</v>
      </c>
      <c r="AB11" s="35">
        <f>(TA[[#This Row],[Work Start time on Fault]]-TA[[#This Row],[Fault Time]])*24</f>
        <v>0</v>
      </c>
      <c r="AC11" s="34">
        <f>(TA[[#This Row],[Work Completion time on fault]]-TA[[#This Row],[Fault Time]])*24</f>
        <v>0</v>
      </c>
      <c r="AD11" s="35">
        <f>IFERROR((TA[[#This Row],[Work Completion time on fault]]-TA[[#This Row],[Fault Time]])*24,"")</f>
        <v>0</v>
      </c>
      <c r="AE11" t="s">
        <v>328</v>
      </c>
      <c r="AF11" t="s">
        <v>256</v>
      </c>
      <c r="AG11" s="2"/>
      <c r="AH11" s="44">
        <f>1-COS(RADIANS(TA[[#This Row],[Avg. Target Angle during Fault Time (Radians)]]-TA[[#This Row],[Angle of affected equipment ]]))</f>
        <v>0.11705240714107301</v>
      </c>
      <c r="AI11" s="35">
        <f>IFERROR(TA[[#This Row],[Breakdown Time]]*TA[[#This Row],[Plant Equivalent Weightage]],"")</f>
        <v>0</v>
      </c>
    </row>
    <row r="12" spans="1:37">
      <c r="A12" s="2">
        <f t="shared" si="0"/>
        <v>9</v>
      </c>
      <c r="B12" s="156">
        <f t="shared" si="1"/>
        <v>2025</v>
      </c>
      <c r="C12" s="129">
        <f t="shared" si="2"/>
        <v>2025</v>
      </c>
      <c r="D12" s="2" t="s">
        <v>155</v>
      </c>
      <c r="E12" s="2" t="s">
        <v>155</v>
      </c>
      <c r="F12" s="39">
        <v>45717</v>
      </c>
      <c r="G12" s="2">
        <f>DAY(EOMONTH(TA[[#This Row],[Month Year]],0))</f>
        <v>31</v>
      </c>
      <c r="H12" s="21">
        <v>45745</v>
      </c>
      <c r="I12" s="41">
        <f>IFERROR(VLOOKUP(TA[[#This Row],[Date]],Raw_Data[[Date]:[Sunset Time (POA&lt;20 W/m2)]],3,0),"")</f>
        <v>0.2590277777777778</v>
      </c>
      <c r="J12" s="41">
        <f>IFERROR(VLOOKUP(TA[[#This Row],[Date]],Raw_Data[[Date]:[Sunset Time (POA&lt;20 W/m2)]],4,0),"")</f>
        <v>0.76180555555555551</v>
      </c>
      <c r="K12" s="35">
        <f>IFERROR((TA[[#This Row],[Sunset Time (POA&lt;20 W/m2)]]-TA[[#This Row],[Sunrise Time (POA&gt;20 W/m2)]])*24,"")</f>
        <v>12.066666666666666</v>
      </c>
      <c r="L12" s="2" t="s">
        <v>294</v>
      </c>
      <c r="M12" s="42">
        <f>IFERROR(VLOOKUP(TA[[#This Row],[Affected Equipment]],'Basic Data'!$I$2:$K$40,3,0),"")</f>
        <v>1.7241379310344799E-3</v>
      </c>
      <c r="N12">
        <v>-28</v>
      </c>
      <c r="O12" t="s">
        <v>133</v>
      </c>
      <c r="P12" s="127" t="s">
        <v>316</v>
      </c>
      <c r="Q12" s="126" t="s">
        <v>316</v>
      </c>
      <c r="R12">
        <v>118</v>
      </c>
      <c r="S12" s="2">
        <v>22</v>
      </c>
      <c r="T12" t="s">
        <v>295</v>
      </c>
      <c r="U12" t="s">
        <v>300</v>
      </c>
      <c r="V12" t="s">
        <v>298</v>
      </c>
      <c r="W12" s="41"/>
      <c r="X12" s="41"/>
      <c r="Y12" s="34"/>
      <c r="Z12" s="34"/>
      <c r="AA12" s="35">
        <f>IF(TA[[#This Row],[Work Start time on Fault]]="NA","",(TA[[#This Row],[Fault Acknowledgement Time ]]-TA[[#This Row],[Fault Time]])*24)</f>
        <v>0</v>
      </c>
      <c r="AB12" s="35">
        <f>(TA[[#This Row],[Work Start time on Fault]]-TA[[#This Row],[Fault Time]])*24</f>
        <v>0</v>
      </c>
      <c r="AC12" s="34">
        <f>(TA[[#This Row],[Work Completion time on fault]]-TA[[#This Row],[Fault Time]])*24</f>
        <v>0</v>
      </c>
      <c r="AD12" s="35">
        <f>IFERROR((TA[[#This Row],[Work Completion time on fault]]-TA[[#This Row],[Fault Time]])*24,"")</f>
        <v>0</v>
      </c>
      <c r="AE12" t="s">
        <v>328</v>
      </c>
      <c r="AF12" t="s">
        <v>256</v>
      </c>
      <c r="AG12" s="2"/>
      <c r="AH12" s="44">
        <f>1-COS(RADIANS(TA[[#This Row],[Avg. Target Angle during Fault Time (Radians)]]-TA[[#This Row],[Angle of affected equipment ]]))</f>
        <v>0.11705240714107301</v>
      </c>
      <c r="AI12" s="35">
        <f>IFERROR(TA[[#This Row],[Breakdown Time]]*TA[[#This Row],[Plant Equivalent Weightage]],"")</f>
        <v>0</v>
      </c>
    </row>
    <row r="13" spans="1:37">
      <c r="A13" s="2">
        <f t="shared" si="0"/>
        <v>10</v>
      </c>
      <c r="B13" s="156">
        <f t="shared" si="1"/>
        <v>2025</v>
      </c>
      <c r="C13" s="129">
        <f t="shared" si="2"/>
        <v>2025</v>
      </c>
      <c r="D13" s="2" t="s">
        <v>155</v>
      </c>
      <c r="E13" s="2" t="s">
        <v>155</v>
      </c>
      <c r="F13" s="39">
        <v>45413</v>
      </c>
      <c r="G13" s="2">
        <f>DAY(EOMONTH(TA[[#This Row],[Month Year]],0))</f>
        <v>31</v>
      </c>
      <c r="H13" s="21">
        <v>45745</v>
      </c>
      <c r="I13" s="41">
        <f>IFERROR(VLOOKUP(TA[[#This Row],[Date]],Raw_Data[[Date]:[Sunset Time (POA&lt;20 W/m2)]],3,0),"")</f>
        <v>0.2590277777777778</v>
      </c>
      <c r="J13" s="41">
        <f>IFERROR(VLOOKUP(TA[[#This Row],[Date]],Raw_Data[[Date]:[Sunset Time (POA&lt;20 W/m2)]],4,0),"")</f>
        <v>0.76180555555555551</v>
      </c>
      <c r="K13" s="35">
        <f>IFERROR((TA[[#This Row],[Sunset Time (POA&lt;20 W/m2)]]-TA[[#This Row],[Sunrise Time (POA&gt;20 W/m2)]])*24,"")</f>
        <v>12.066666666666666</v>
      </c>
      <c r="L13" s="2" t="s">
        <v>296</v>
      </c>
      <c r="M13" s="42">
        <f>IFERROR(VLOOKUP(TA[[#This Row],[Affected Equipment]],'Basic Data'!$I$2:$K$40,3,0),"")</f>
        <v>8.6206896551724102E-3</v>
      </c>
      <c r="N13">
        <v>-28</v>
      </c>
      <c r="O13" t="s">
        <v>135</v>
      </c>
      <c r="P13" s="22" t="s">
        <v>323</v>
      </c>
      <c r="Q13" s="2" t="s">
        <v>329</v>
      </c>
      <c r="R13">
        <v>45</v>
      </c>
      <c r="S13" s="2">
        <v>8</v>
      </c>
      <c r="T13" t="s">
        <v>297</v>
      </c>
      <c r="U13" t="s">
        <v>326</v>
      </c>
      <c r="V13" t="s">
        <v>301</v>
      </c>
      <c r="W13" s="41">
        <f>IFERROR(VLOOKUP(TA[[#This Row],[Date]],Raw_Data[[Date]:[Sunset Time (POA&lt;20 W/m2)]],3,0),"")</f>
        <v>0.2590277777777778</v>
      </c>
      <c r="X13" s="41">
        <f>IFERROR(VLOOKUP(TA[[#This Row],[Date]],Raw_Data[[Date]:[Sunset Time (POA&lt;20 W/m2)]],3,0),"")</f>
        <v>0.2590277777777778</v>
      </c>
      <c r="Y13" s="34"/>
      <c r="Z13" s="34">
        <v>0.76041666666666663</v>
      </c>
      <c r="AA13" s="35">
        <f>IF(TA[[#This Row],[Work Start time on Fault]]="NA","",(TA[[#This Row],[Fault Acknowledgement Time ]]-TA[[#This Row],[Fault Time]])*24)</f>
        <v>0</v>
      </c>
      <c r="AB13" s="35">
        <f>(TA[[#This Row],[Work Start time on Fault]]-TA[[#This Row],[Fault Time]])*24</f>
        <v>-6.2166666666666668</v>
      </c>
      <c r="AC13" s="34">
        <f>(TA[[#This Row],[Work Completion time on fault]]-TA[[#This Row],[Fault Time]])*24</f>
        <v>12.033333333333333</v>
      </c>
      <c r="AD13" s="35">
        <f>IFERROR((TA[[#This Row],[Work Completion time on fault]]-TA[[#This Row],[Fault Time]])*24,"")</f>
        <v>12.033333333333333</v>
      </c>
      <c r="AE13" t="s">
        <v>309</v>
      </c>
      <c r="AF13" t="s">
        <v>256</v>
      </c>
      <c r="AG13" s="2"/>
      <c r="AH13" s="44">
        <f>1-COS(RADIANS(TA[[#This Row],[Avg. Target Angle during Fault Time (Radians)]]-TA[[#This Row],[Angle of affected equipment ]]))</f>
        <v>0.11705240714107301</v>
      </c>
      <c r="AI13" s="35">
        <f>IFERROR(TA[[#This Row],[Breakdown Time]]*TA[[#This Row],[Plant Equivalent Weightage]],"")</f>
        <v>0.10373563218390801</v>
      </c>
    </row>
    <row r="14" spans="1:37">
      <c r="A14" s="2">
        <f t="shared" si="0"/>
        <v>11</v>
      </c>
      <c r="B14" s="156">
        <f t="shared" si="1"/>
        <v>2025</v>
      </c>
      <c r="C14" s="129">
        <f t="shared" si="2"/>
        <v>2025</v>
      </c>
      <c r="D14" s="2" t="s">
        <v>155</v>
      </c>
      <c r="E14" s="2" t="s">
        <v>155</v>
      </c>
      <c r="F14" s="39">
        <v>45413</v>
      </c>
      <c r="G14" s="2">
        <f>DAY(EOMONTH(TA[[#This Row],[Month Year]],0))</f>
        <v>31</v>
      </c>
      <c r="H14" s="21">
        <v>45745</v>
      </c>
      <c r="I14" s="41">
        <f>IFERROR(VLOOKUP(TA[[#This Row],[Date]],Raw_Data[[Date]:[Sunset Time (POA&lt;20 W/m2)]],3,0),"")</f>
        <v>0.2590277777777778</v>
      </c>
      <c r="J14" s="41">
        <f>IFERROR(VLOOKUP(TA[[#This Row],[Date]],Raw_Data[[Date]:[Sunset Time (POA&lt;20 W/m2)]],4,0),"")</f>
        <v>0.76180555555555551</v>
      </c>
      <c r="K14" s="35">
        <f>IFERROR((TA[[#This Row],[Sunset Time (POA&lt;20 W/m2)]]-TA[[#This Row],[Sunrise Time (POA&gt;20 W/m2)]])*24,"")</f>
        <v>12.066666666666666</v>
      </c>
      <c r="L14" s="2" t="s">
        <v>296</v>
      </c>
      <c r="M14" s="42">
        <f>IFERROR(VLOOKUP(TA[[#This Row],[Affected Equipment]],'Basic Data'!$I$2:$K$40,3,0),"")</f>
        <v>8.6206896551724102E-3</v>
      </c>
      <c r="N14">
        <v>-28</v>
      </c>
      <c r="O14" t="s">
        <v>135</v>
      </c>
      <c r="P14" s="22" t="s">
        <v>323</v>
      </c>
      <c r="Q14" s="2" t="s">
        <v>329</v>
      </c>
      <c r="R14">
        <v>47</v>
      </c>
      <c r="S14" s="2">
        <v>18</v>
      </c>
      <c r="T14" t="s">
        <v>297</v>
      </c>
      <c r="U14" t="s">
        <v>326</v>
      </c>
      <c r="V14" t="s">
        <v>301</v>
      </c>
      <c r="W14" s="41">
        <f>IFERROR(VLOOKUP(TA[[#This Row],[Date]],Raw_Data[[Date]:[Sunset Time (POA&lt;20 W/m2)]],3,0),"")</f>
        <v>0.2590277777777778</v>
      </c>
      <c r="X14" s="41">
        <f>IFERROR(VLOOKUP(TA[[#This Row],[Date]],Raw_Data[[Date]:[Sunset Time (POA&lt;20 W/m2)]],3,0),"")</f>
        <v>0.2590277777777778</v>
      </c>
      <c r="Y14" s="34"/>
      <c r="Z14" s="34">
        <v>0.76041666666666663</v>
      </c>
      <c r="AA14" s="35">
        <f>IF(TA[[#This Row],[Work Start time on Fault]]="NA","",(TA[[#This Row],[Fault Acknowledgement Time ]]-TA[[#This Row],[Fault Time]])*24)</f>
        <v>0</v>
      </c>
      <c r="AB14" s="35">
        <f>(TA[[#This Row],[Work Start time on Fault]]-TA[[#This Row],[Fault Time]])*24</f>
        <v>-6.2166666666666668</v>
      </c>
      <c r="AC14" s="34">
        <f>(TA[[#This Row],[Work Completion time on fault]]-TA[[#This Row],[Fault Time]])*24</f>
        <v>12.033333333333333</v>
      </c>
      <c r="AD14" s="35">
        <f>IFERROR((TA[[#This Row],[Work Completion time on fault]]-TA[[#This Row],[Fault Time]])*24,"")</f>
        <v>12.033333333333333</v>
      </c>
      <c r="AE14" t="s">
        <v>309</v>
      </c>
      <c r="AF14" t="s">
        <v>256</v>
      </c>
      <c r="AG14" s="2"/>
      <c r="AH14" s="44">
        <f>1-COS(RADIANS(TA[[#This Row],[Avg. Target Angle during Fault Time (Radians)]]-TA[[#This Row],[Angle of affected equipment ]]))</f>
        <v>0.11705240714107301</v>
      </c>
      <c r="AI14" s="35">
        <f>IFERROR(TA[[#This Row],[Breakdown Time]]*TA[[#This Row],[Plant Equivalent Weightage]],"")</f>
        <v>0.10373563218390801</v>
      </c>
    </row>
    <row r="15" spans="1:37">
      <c r="A15" s="2">
        <f t="shared" si="0"/>
        <v>12</v>
      </c>
      <c r="B15" s="156">
        <f t="shared" si="1"/>
        <v>2025</v>
      </c>
      <c r="C15" s="129">
        <f t="shared" si="2"/>
        <v>2025</v>
      </c>
      <c r="D15" s="2" t="s">
        <v>155</v>
      </c>
      <c r="E15" s="2" t="s">
        <v>155</v>
      </c>
      <c r="F15" s="39">
        <v>45413</v>
      </c>
      <c r="G15" s="2">
        <f>DAY(EOMONTH(TA[[#This Row],[Month Year]],0))</f>
        <v>31</v>
      </c>
      <c r="H15" s="21">
        <v>45745</v>
      </c>
      <c r="I15" s="41">
        <f>IFERROR(VLOOKUP(TA[[#This Row],[Date]],Raw_Data[[Date]:[Sunset Time (POA&lt;20 W/m2)]],3,0),"")</f>
        <v>0.2590277777777778</v>
      </c>
      <c r="J15" s="41">
        <f>IFERROR(VLOOKUP(TA[[#This Row],[Date]],Raw_Data[[Date]:[Sunset Time (POA&lt;20 W/m2)]],4,0),"")</f>
        <v>0.76180555555555551</v>
      </c>
      <c r="K15" s="35">
        <f>IFERROR((TA[[#This Row],[Sunset Time (POA&lt;20 W/m2)]]-TA[[#This Row],[Sunrise Time (POA&gt;20 W/m2)]])*24,"")</f>
        <v>12.066666666666666</v>
      </c>
      <c r="L15" s="2" t="s">
        <v>296</v>
      </c>
      <c r="M15" s="42">
        <f>IFERROR(VLOOKUP(TA[[#This Row],[Affected Equipment]],'Basic Data'!$I$2:$K$40,3,0),"")</f>
        <v>8.6206896551724102E-3</v>
      </c>
      <c r="N15">
        <v>-28</v>
      </c>
      <c r="O15" t="s">
        <v>134</v>
      </c>
      <c r="P15" s="22" t="s">
        <v>330</v>
      </c>
      <c r="Q15" s="2" t="s">
        <v>323</v>
      </c>
      <c r="R15">
        <v>30</v>
      </c>
      <c r="S15" s="2">
        <v>57</v>
      </c>
      <c r="T15" t="s">
        <v>297</v>
      </c>
      <c r="U15" t="s">
        <v>326</v>
      </c>
      <c r="V15" t="s">
        <v>301</v>
      </c>
      <c r="W15" s="41">
        <f>IFERROR(VLOOKUP(TA[[#This Row],[Date]],Raw_Data[[Date]:[Sunset Time (POA&lt;20 W/m2)]],3,0),"")</f>
        <v>0.2590277777777778</v>
      </c>
      <c r="X15" s="41">
        <f>IFERROR(VLOOKUP(TA[[#This Row],[Date]],Raw_Data[[Date]:[Sunset Time (POA&lt;20 W/m2)]],3,0),"")</f>
        <v>0.2590277777777778</v>
      </c>
      <c r="Y15" s="34"/>
      <c r="Z15" s="34">
        <v>0.76041666666666663</v>
      </c>
      <c r="AA15" s="35">
        <f>IF(TA[[#This Row],[Work Start time on Fault]]="NA","",(TA[[#This Row],[Fault Acknowledgement Time ]]-TA[[#This Row],[Fault Time]])*24)</f>
        <v>0</v>
      </c>
      <c r="AB15" s="35">
        <f>(TA[[#This Row],[Work Start time on Fault]]-TA[[#This Row],[Fault Time]])*24</f>
        <v>-6.2166666666666668</v>
      </c>
      <c r="AC15" s="34">
        <f>(TA[[#This Row],[Work Completion time on fault]]-TA[[#This Row],[Fault Time]])*24</f>
        <v>12.033333333333333</v>
      </c>
      <c r="AD15" s="35">
        <f>IFERROR((TA[[#This Row],[Work Completion time on fault]]-TA[[#This Row],[Fault Time]])*24,"")</f>
        <v>12.033333333333333</v>
      </c>
      <c r="AE15" t="s">
        <v>309</v>
      </c>
      <c r="AF15" t="s">
        <v>256</v>
      </c>
      <c r="AG15" s="2"/>
      <c r="AH15" s="44">
        <f>1-COS(RADIANS(TA[[#This Row],[Avg. Target Angle during Fault Time (Radians)]]-TA[[#This Row],[Angle of affected equipment ]]))</f>
        <v>0.11705240714107301</v>
      </c>
      <c r="AI15" s="35">
        <f>IFERROR(TA[[#This Row],[Breakdown Time]]*TA[[#This Row],[Plant Equivalent Weightage]],"")</f>
        <v>0.10373563218390801</v>
      </c>
    </row>
    <row r="16" spans="1:37">
      <c r="A16" s="2">
        <f t="shared" si="0"/>
        <v>13</v>
      </c>
      <c r="B16" s="156">
        <f t="shared" si="1"/>
        <v>2025</v>
      </c>
      <c r="C16" s="129">
        <f t="shared" si="2"/>
        <v>2025</v>
      </c>
      <c r="D16" s="2" t="s">
        <v>155</v>
      </c>
      <c r="E16" s="2" t="s">
        <v>155</v>
      </c>
      <c r="F16" s="39">
        <v>45413</v>
      </c>
      <c r="G16" s="2">
        <f>DAY(EOMONTH(TA[[#This Row],[Month Year]],0))</f>
        <v>31</v>
      </c>
      <c r="H16" s="21">
        <v>45745</v>
      </c>
      <c r="I16" s="41">
        <f>IFERROR(VLOOKUP(TA[[#This Row],[Date]],Raw_Data[[Date]:[Sunset Time (POA&lt;20 W/m2)]],3,0),"")</f>
        <v>0.2590277777777778</v>
      </c>
      <c r="J16" s="41">
        <f>IFERROR(VLOOKUP(TA[[#This Row],[Date]],Raw_Data[[Date]:[Sunset Time (POA&lt;20 W/m2)]],4,0),"")</f>
        <v>0.76180555555555551</v>
      </c>
      <c r="K16" s="35">
        <f>IFERROR((TA[[#This Row],[Sunset Time (POA&lt;20 W/m2)]]-TA[[#This Row],[Sunrise Time (POA&gt;20 W/m2)]])*24,"")</f>
        <v>12.066666666666666</v>
      </c>
      <c r="L16" s="2" t="s">
        <v>296</v>
      </c>
      <c r="M16" s="42">
        <f>IFERROR(VLOOKUP(TA[[#This Row],[Affected Equipment]],'Basic Data'!$I$2:$K$40,3,0),"")</f>
        <v>8.6206896551724102E-3</v>
      </c>
      <c r="N16">
        <v>-28</v>
      </c>
      <c r="O16" t="s">
        <v>134</v>
      </c>
      <c r="P16" s="22" t="s">
        <v>330</v>
      </c>
      <c r="Q16" s="2" t="s">
        <v>323</v>
      </c>
      <c r="R16">
        <v>31</v>
      </c>
      <c r="S16" s="2">
        <v>61</v>
      </c>
      <c r="T16" t="s">
        <v>297</v>
      </c>
      <c r="U16" t="s">
        <v>326</v>
      </c>
      <c r="V16" t="s">
        <v>301</v>
      </c>
      <c r="W16" s="41">
        <f>IFERROR(VLOOKUP(TA[[#This Row],[Date]],Raw_Data[[Date]:[Sunset Time (POA&lt;20 W/m2)]],3,0),"")</f>
        <v>0.2590277777777778</v>
      </c>
      <c r="X16" s="41">
        <f>IFERROR(VLOOKUP(TA[[#This Row],[Date]],Raw_Data[[Date]:[Sunset Time (POA&lt;20 W/m2)]],3,0),"")</f>
        <v>0.2590277777777778</v>
      </c>
      <c r="Y16" s="34"/>
      <c r="Z16" s="34">
        <v>0.76041666666666663</v>
      </c>
      <c r="AA16" s="35">
        <f>IF(TA[[#This Row],[Work Start time on Fault]]="NA","",(TA[[#This Row],[Fault Acknowledgement Time ]]-TA[[#This Row],[Fault Time]])*24)</f>
        <v>0</v>
      </c>
      <c r="AB16" s="35">
        <f>(TA[[#This Row],[Work Start time on Fault]]-TA[[#This Row],[Fault Time]])*24</f>
        <v>-6.2166666666666668</v>
      </c>
      <c r="AC16" s="34">
        <f>(TA[[#This Row],[Work Completion time on fault]]-TA[[#This Row],[Fault Time]])*24</f>
        <v>12.033333333333333</v>
      </c>
      <c r="AD16" s="35">
        <f>IFERROR((TA[[#This Row],[Work Completion time on fault]]-TA[[#This Row],[Fault Time]])*24,"")</f>
        <v>12.033333333333333</v>
      </c>
      <c r="AE16" t="s">
        <v>309</v>
      </c>
      <c r="AF16" t="s">
        <v>256</v>
      </c>
      <c r="AG16" s="2"/>
      <c r="AH16" s="44">
        <f>1-COS(RADIANS(TA[[#This Row],[Avg. Target Angle during Fault Time (Radians)]]-TA[[#This Row],[Angle of affected equipment ]]))</f>
        <v>0.11705240714107301</v>
      </c>
      <c r="AI16" s="35">
        <f>IFERROR(TA[[#This Row],[Breakdown Time]]*TA[[#This Row],[Plant Equivalent Weightage]],"")</f>
        <v>0.10373563218390801</v>
      </c>
    </row>
    <row r="17" spans="1:35">
      <c r="A17" s="2">
        <f t="shared" si="0"/>
        <v>14</v>
      </c>
      <c r="B17" s="156">
        <f t="shared" si="1"/>
        <v>2025</v>
      </c>
      <c r="C17" s="129">
        <f t="shared" si="2"/>
        <v>2025</v>
      </c>
      <c r="D17" s="2" t="s">
        <v>155</v>
      </c>
      <c r="E17" s="2" t="s">
        <v>155</v>
      </c>
      <c r="F17" s="39">
        <v>45413</v>
      </c>
      <c r="G17" s="2">
        <f>DAY(EOMONTH(TA[[#This Row],[Month Year]],0))</f>
        <v>31</v>
      </c>
      <c r="H17" s="21">
        <v>45745</v>
      </c>
      <c r="I17" s="41">
        <f>IFERROR(VLOOKUP(TA[[#This Row],[Date]],Raw_Data[[Date]:[Sunset Time (POA&lt;20 W/m2)]],3,0),"")</f>
        <v>0.2590277777777778</v>
      </c>
      <c r="J17" s="41">
        <f>IFERROR(VLOOKUP(TA[[#This Row],[Date]],Raw_Data[[Date]:[Sunset Time (POA&lt;20 W/m2)]],4,0),"")</f>
        <v>0.76180555555555551</v>
      </c>
      <c r="K17" s="35">
        <f>IFERROR((TA[[#This Row],[Sunset Time (POA&lt;20 W/m2)]]-TA[[#This Row],[Sunrise Time (POA&gt;20 W/m2)]])*24,"")</f>
        <v>12.066666666666666</v>
      </c>
      <c r="L17" s="2" t="s">
        <v>312</v>
      </c>
      <c r="M17" s="42">
        <f>IFERROR(VLOOKUP(TA[[#This Row],[Affected Equipment]],'Basic Data'!$I$2:$K$40,3,0),"")</f>
        <v>5.74712643678161E-3</v>
      </c>
      <c r="N17">
        <v>-28</v>
      </c>
      <c r="O17" t="s">
        <v>133</v>
      </c>
      <c r="P17" s="22" t="s">
        <v>330</v>
      </c>
      <c r="Q17" s="2" t="s">
        <v>323</v>
      </c>
      <c r="R17">
        <v>26</v>
      </c>
      <c r="S17" s="2">
        <v>37</v>
      </c>
      <c r="T17" t="s">
        <v>297</v>
      </c>
      <c r="U17" t="s">
        <v>326</v>
      </c>
      <c r="V17" t="s">
        <v>301</v>
      </c>
      <c r="W17" s="41">
        <f>IFERROR(VLOOKUP(TA[[#This Row],[Date]],Raw_Data[[Date]:[Sunset Time (POA&lt;20 W/m2)]],3,0),"")</f>
        <v>0.2590277777777778</v>
      </c>
      <c r="X17" s="41">
        <f>IFERROR(VLOOKUP(TA[[#This Row],[Date]],Raw_Data[[Date]:[Sunset Time (POA&lt;20 W/m2)]],3,0),"")</f>
        <v>0.2590277777777778</v>
      </c>
      <c r="Y17" s="34"/>
      <c r="Z17" s="34">
        <v>0.76041666666666663</v>
      </c>
      <c r="AA17" s="35">
        <f>IF(TA[[#This Row],[Work Start time on Fault]]="NA","",(TA[[#This Row],[Fault Acknowledgement Time ]]-TA[[#This Row],[Fault Time]])*24)</f>
        <v>0</v>
      </c>
      <c r="AB17" s="35">
        <f>(TA[[#This Row],[Work Start time on Fault]]-TA[[#This Row],[Fault Time]])*24</f>
        <v>-6.2166666666666668</v>
      </c>
      <c r="AC17" s="34">
        <f>(TA[[#This Row],[Work Completion time on fault]]-TA[[#This Row],[Fault Time]])*24</f>
        <v>12.033333333333333</v>
      </c>
      <c r="AD17" s="35">
        <f>IFERROR((TA[[#This Row],[Work Completion time on fault]]-TA[[#This Row],[Fault Time]])*24,"")</f>
        <v>12.033333333333333</v>
      </c>
      <c r="AE17" t="s">
        <v>309</v>
      </c>
      <c r="AF17" t="s">
        <v>256</v>
      </c>
      <c r="AG17" s="2"/>
      <c r="AH17" s="44">
        <f>1-COS(RADIANS(TA[[#This Row],[Avg. Target Angle during Fault Time (Radians)]]-TA[[#This Row],[Angle of affected equipment ]]))</f>
        <v>0.11705240714107301</v>
      </c>
      <c r="AI17" s="35">
        <f>IFERROR(TA[[#This Row],[Breakdown Time]]*TA[[#This Row],[Plant Equivalent Weightage]],"")</f>
        <v>6.9157088122605376E-2</v>
      </c>
    </row>
    <row r="18" spans="1:35">
      <c r="A18" s="2">
        <f t="shared" si="0"/>
        <v>15</v>
      </c>
      <c r="B18" s="156">
        <f t="shared" si="1"/>
        <v>2025</v>
      </c>
      <c r="C18" s="129">
        <f t="shared" si="2"/>
        <v>2025</v>
      </c>
      <c r="D18" s="2" t="s">
        <v>155</v>
      </c>
      <c r="E18" s="2" t="s">
        <v>155</v>
      </c>
      <c r="F18" s="39">
        <v>45413</v>
      </c>
      <c r="G18" s="2">
        <f>DAY(EOMONTH(TA[[#This Row],[Month Year]],0))</f>
        <v>31</v>
      </c>
      <c r="H18" s="21">
        <v>45745</v>
      </c>
      <c r="I18" s="41">
        <f>IFERROR(VLOOKUP(TA[[#This Row],[Date]],Raw_Data[[Date]:[Sunset Time (POA&lt;20 W/m2)]],3,0),"")</f>
        <v>0.2590277777777778</v>
      </c>
      <c r="J18" s="41">
        <f>IFERROR(VLOOKUP(TA[[#This Row],[Date]],Raw_Data[[Date]:[Sunset Time (POA&lt;20 W/m2)]],4,0),"")</f>
        <v>0.76180555555555551</v>
      </c>
      <c r="K18" s="35">
        <f>IFERROR((TA[[#This Row],[Sunset Time (POA&lt;20 W/m2)]]-TA[[#This Row],[Sunrise Time (POA&gt;20 W/m2)]])*24,"")</f>
        <v>12.066666666666666</v>
      </c>
      <c r="L18" s="2" t="s">
        <v>312</v>
      </c>
      <c r="M18" s="42">
        <f>IFERROR(VLOOKUP(TA[[#This Row],[Affected Equipment]],'Basic Data'!$I$2:$K$40,3,0),"")</f>
        <v>5.74712643678161E-3</v>
      </c>
      <c r="N18">
        <v>-28</v>
      </c>
      <c r="O18" t="s">
        <v>133</v>
      </c>
      <c r="P18" s="22" t="s">
        <v>330</v>
      </c>
      <c r="Q18" s="2" t="s">
        <v>323</v>
      </c>
      <c r="R18">
        <v>27</v>
      </c>
      <c r="S18" s="2">
        <v>42</v>
      </c>
      <c r="T18" t="s">
        <v>297</v>
      </c>
      <c r="U18" t="s">
        <v>326</v>
      </c>
      <c r="V18" t="s">
        <v>301</v>
      </c>
      <c r="W18" s="41">
        <f>IFERROR(VLOOKUP(TA[[#This Row],[Date]],Raw_Data[[Date]:[Sunset Time (POA&lt;20 W/m2)]],3,0),"")</f>
        <v>0.2590277777777778</v>
      </c>
      <c r="X18" s="41">
        <f>IFERROR(VLOOKUP(TA[[#This Row],[Date]],Raw_Data[[Date]:[Sunset Time (POA&lt;20 W/m2)]],3,0),"")</f>
        <v>0.2590277777777778</v>
      </c>
      <c r="Y18" s="34"/>
      <c r="Z18" s="34">
        <v>0.76041666666666663</v>
      </c>
      <c r="AA18" s="35">
        <f>IF(TA[[#This Row],[Work Start time on Fault]]="NA","",(TA[[#This Row],[Fault Acknowledgement Time ]]-TA[[#This Row],[Fault Time]])*24)</f>
        <v>0</v>
      </c>
      <c r="AB18" s="35">
        <f>(TA[[#This Row],[Work Start time on Fault]]-TA[[#This Row],[Fault Time]])*24</f>
        <v>-6.2166666666666668</v>
      </c>
      <c r="AC18" s="34">
        <f>(TA[[#This Row],[Work Completion time on fault]]-TA[[#This Row],[Fault Time]])*24</f>
        <v>12.033333333333333</v>
      </c>
      <c r="AD18" s="35">
        <f>IFERROR((TA[[#This Row],[Work Completion time on fault]]-TA[[#This Row],[Fault Time]])*24,"")</f>
        <v>12.033333333333333</v>
      </c>
      <c r="AE18" t="s">
        <v>309</v>
      </c>
      <c r="AF18" t="s">
        <v>256</v>
      </c>
      <c r="AG18" s="2"/>
      <c r="AH18" s="44">
        <f>1-COS(RADIANS(TA[[#This Row],[Avg. Target Angle during Fault Time (Radians)]]-TA[[#This Row],[Angle of affected equipment ]]))</f>
        <v>0.11705240714107301</v>
      </c>
      <c r="AI18" s="35">
        <f>IFERROR(TA[[#This Row],[Breakdown Time]]*TA[[#This Row],[Plant Equivalent Weightage]],"")</f>
        <v>6.9157088122605376E-2</v>
      </c>
    </row>
    <row r="19" spans="1:35">
      <c r="A19" s="2">
        <f t="shared" si="0"/>
        <v>16</v>
      </c>
      <c r="B19" s="156">
        <f t="shared" si="1"/>
        <v>2025</v>
      </c>
      <c r="C19" s="129">
        <f t="shared" si="2"/>
        <v>2025</v>
      </c>
      <c r="D19" s="2" t="s">
        <v>155</v>
      </c>
      <c r="E19" s="2" t="s">
        <v>155</v>
      </c>
      <c r="F19" s="39">
        <v>45717</v>
      </c>
      <c r="G19" s="2">
        <f>DAY(EOMONTH(TA[[#This Row],[Month Year]],0))</f>
        <v>31</v>
      </c>
      <c r="H19" s="21">
        <v>45746</v>
      </c>
      <c r="I19" s="41">
        <f>IFERROR(VLOOKUP(TA[[#This Row],[Date]],Raw_Data[[Date]:[Sunset Time (POA&lt;20 W/m2)]],3,0),"")</f>
        <v>0.26944444444444443</v>
      </c>
      <c r="J19" s="41">
        <f>IFERROR(VLOOKUP(TA[[#This Row],[Date]],Raw_Data[[Date]:[Sunset Time (POA&lt;20 W/m2)]],4,0),"")</f>
        <v>0.7583333333333333</v>
      </c>
      <c r="K19" s="35">
        <f>IFERROR((TA[[#This Row],[Sunset Time (POA&lt;20 W/m2)]]-TA[[#This Row],[Sunrise Time (POA&gt;20 W/m2)]])*24,"")</f>
        <v>11.733333333333333</v>
      </c>
      <c r="L19" s="2" t="s">
        <v>294</v>
      </c>
      <c r="M19" s="42">
        <f>IFERROR(VLOOKUP(TA[[#This Row],[Affected Equipment]],'Basic Data'!$I$2:$K$40,3,0),"")</f>
        <v>1.7241379310344799E-3</v>
      </c>
      <c r="N19">
        <v>-28</v>
      </c>
      <c r="O19" t="s">
        <v>135</v>
      </c>
      <c r="P19" s="127" t="s">
        <v>318</v>
      </c>
      <c r="Q19" s="126" t="s">
        <v>318</v>
      </c>
      <c r="R19">
        <v>130</v>
      </c>
      <c r="S19" s="2">
        <v>36</v>
      </c>
      <c r="T19" t="s">
        <v>295</v>
      </c>
      <c r="U19" t="s">
        <v>300</v>
      </c>
      <c r="V19" t="s">
        <v>298</v>
      </c>
      <c r="W19" s="41"/>
      <c r="X19" s="41"/>
      <c r="Y19" s="34"/>
      <c r="Z19" s="34"/>
      <c r="AA19" s="35">
        <f>IF(TA[[#This Row],[Work Start time on Fault]]="NA","",(TA[[#This Row],[Fault Acknowledgement Time ]]-TA[[#This Row],[Fault Time]])*24)</f>
        <v>0</v>
      </c>
      <c r="AB19" s="35">
        <f>(TA[[#This Row],[Work Start time on Fault]]-TA[[#This Row],[Fault Time]])*24</f>
        <v>0</v>
      </c>
      <c r="AC19" s="34">
        <f>(TA[[#This Row],[Work Completion time on fault]]-TA[[#This Row],[Fault Time]])*24</f>
        <v>0</v>
      </c>
      <c r="AD19" s="35">
        <f>IFERROR((TA[[#This Row],[Work Completion time on fault]]-TA[[#This Row],[Fault Time]])*24,"")</f>
        <v>0</v>
      </c>
      <c r="AE19" t="s">
        <v>328</v>
      </c>
      <c r="AF19" t="s">
        <v>256</v>
      </c>
      <c r="AG19" s="2"/>
      <c r="AH19" s="44">
        <f>1-COS(RADIANS(TA[[#This Row],[Avg. Target Angle during Fault Time (Radians)]]-TA[[#This Row],[Angle of affected equipment ]]))</f>
        <v>0.11705240714107301</v>
      </c>
      <c r="AI19" s="35">
        <f>IFERROR(TA[[#This Row],[Breakdown Time]]*TA[[#This Row],[Plant Equivalent Weightage]],"")</f>
        <v>0</v>
      </c>
    </row>
    <row r="20" spans="1:35">
      <c r="A20" s="2">
        <f t="shared" si="0"/>
        <v>17</v>
      </c>
      <c r="B20" s="156">
        <f t="shared" si="1"/>
        <v>2025</v>
      </c>
      <c r="C20" s="129">
        <f t="shared" si="2"/>
        <v>2025</v>
      </c>
      <c r="D20" s="2" t="s">
        <v>155</v>
      </c>
      <c r="E20" s="2" t="s">
        <v>155</v>
      </c>
      <c r="F20" s="39">
        <v>45717</v>
      </c>
      <c r="G20" s="2">
        <f>DAY(EOMONTH(TA[[#This Row],[Month Year]],0))</f>
        <v>31</v>
      </c>
      <c r="H20" s="21">
        <v>45746</v>
      </c>
      <c r="I20" s="41">
        <f>IFERROR(VLOOKUP(TA[[#This Row],[Date]],Raw_Data[[Date]:[Sunset Time (POA&lt;20 W/m2)]],3,0),"")</f>
        <v>0.26944444444444443</v>
      </c>
      <c r="J20" s="41">
        <f>IFERROR(VLOOKUP(TA[[#This Row],[Date]],Raw_Data[[Date]:[Sunset Time (POA&lt;20 W/m2)]],4,0),"")</f>
        <v>0.7583333333333333</v>
      </c>
      <c r="K20" s="35">
        <f>IFERROR((TA[[#This Row],[Sunset Time (POA&lt;20 W/m2)]]-TA[[#This Row],[Sunrise Time (POA&gt;20 W/m2)]])*24,"")</f>
        <v>11.733333333333333</v>
      </c>
      <c r="L20" s="2" t="s">
        <v>294</v>
      </c>
      <c r="M20" s="42">
        <f>IFERROR(VLOOKUP(TA[[#This Row],[Affected Equipment]],'Basic Data'!$I$2:$K$40,3,0),"")</f>
        <v>1.7241379310344799E-3</v>
      </c>
      <c r="N20">
        <v>-28</v>
      </c>
      <c r="O20" t="s">
        <v>135</v>
      </c>
      <c r="P20" s="127" t="s">
        <v>318</v>
      </c>
      <c r="Q20" s="126" t="s">
        <v>318</v>
      </c>
      <c r="R20">
        <v>130</v>
      </c>
      <c r="S20" s="2">
        <v>37</v>
      </c>
      <c r="T20" t="s">
        <v>295</v>
      </c>
      <c r="U20" t="s">
        <v>300</v>
      </c>
      <c r="V20" t="s">
        <v>298</v>
      </c>
      <c r="W20" s="41"/>
      <c r="X20" s="41"/>
      <c r="Y20" s="34"/>
      <c r="Z20" s="34"/>
      <c r="AA20" s="35">
        <f>IF(TA[[#This Row],[Work Start time on Fault]]="NA","",(TA[[#This Row],[Fault Acknowledgement Time ]]-TA[[#This Row],[Fault Time]])*24)</f>
        <v>0</v>
      </c>
      <c r="AB20" s="35">
        <f>(TA[[#This Row],[Work Start time on Fault]]-TA[[#This Row],[Fault Time]])*24</f>
        <v>0</v>
      </c>
      <c r="AC20" s="34">
        <f>(TA[[#This Row],[Work Completion time on fault]]-TA[[#This Row],[Fault Time]])*24</f>
        <v>0</v>
      </c>
      <c r="AD20" s="35">
        <f>IFERROR((TA[[#This Row],[Work Completion time on fault]]-TA[[#This Row],[Fault Time]])*24,"")</f>
        <v>0</v>
      </c>
      <c r="AE20" t="s">
        <v>328</v>
      </c>
      <c r="AF20" t="s">
        <v>256</v>
      </c>
      <c r="AG20" s="2"/>
      <c r="AH20" s="44">
        <f>1-COS(RADIANS(TA[[#This Row],[Avg. Target Angle during Fault Time (Radians)]]-TA[[#This Row],[Angle of affected equipment ]]))</f>
        <v>0.11705240714107301</v>
      </c>
      <c r="AI20" s="35">
        <f>IFERROR(TA[[#This Row],[Breakdown Time]]*TA[[#This Row],[Plant Equivalent Weightage]],"")</f>
        <v>0</v>
      </c>
    </row>
    <row r="21" spans="1:35">
      <c r="A21" s="2">
        <f t="shared" si="0"/>
        <v>18</v>
      </c>
      <c r="B21" s="156">
        <f t="shared" si="1"/>
        <v>2025</v>
      </c>
      <c r="C21" s="129">
        <f t="shared" si="2"/>
        <v>2025</v>
      </c>
      <c r="D21" s="2" t="s">
        <v>155</v>
      </c>
      <c r="E21" s="2" t="s">
        <v>155</v>
      </c>
      <c r="F21" s="39">
        <v>45717</v>
      </c>
      <c r="G21" s="2">
        <f>DAY(EOMONTH(TA[[#This Row],[Month Year]],0))</f>
        <v>31</v>
      </c>
      <c r="H21" s="21">
        <v>45746</v>
      </c>
      <c r="I21" s="41">
        <f>IFERROR(VLOOKUP(TA[[#This Row],[Date]],Raw_Data[[Date]:[Sunset Time (POA&lt;20 W/m2)]],3,0),"")</f>
        <v>0.26944444444444443</v>
      </c>
      <c r="J21" s="41">
        <f>IFERROR(VLOOKUP(TA[[#This Row],[Date]],Raw_Data[[Date]:[Sunset Time (POA&lt;20 W/m2)]],4,0),"")</f>
        <v>0.7583333333333333</v>
      </c>
      <c r="K21" s="35">
        <f>IFERROR((TA[[#This Row],[Sunset Time (POA&lt;20 W/m2)]]-TA[[#This Row],[Sunrise Time (POA&gt;20 W/m2)]])*24,"")</f>
        <v>11.733333333333333</v>
      </c>
      <c r="L21" s="2" t="s">
        <v>294</v>
      </c>
      <c r="M21" s="42">
        <f>IFERROR(VLOOKUP(TA[[#This Row],[Affected Equipment]],'Basic Data'!$I$2:$K$40,3,0),"")</f>
        <v>1.7241379310344799E-3</v>
      </c>
      <c r="N21">
        <v>-28</v>
      </c>
      <c r="O21" t="s">
        <v>135</v>
      </c>
      <c r="P21" s="127" t="s">
        <v>318</v>
      </c>
      <c r="Q21" s="126" t="s">
        <v>318</v>
      </c>
      <c r="R21">
        <v>131</v>
      </c>
      <c r="S21" s="2">
        <v>38</v>
      </c>
      <c r="T21" t="s">
        <v>295</v>
      </c>
      <c r="U21" t="s">
        <v>300</v>
      </c>
      <c r="V21" t="s">
        <v>298</v>
      </c>
      <c r="W21" s="41"/>
      <c r="X21" s="41"/>
      <c r="Y21" s="34"/>
      <c r="Z21" s="34"/>
      <c r="AA21" s="35">
        <f>IF(TA[[#This Row],[Work Start time on Fault]]="NA","",(TA[[#This Row],[Fault Acknowledgement Time ]]-TA[[#This Row],[Fault Time]])*24)</f>
        <v>0</v>
      </c>
      <c r="AB21" s="35">
        <f>(TA[[#This Row],[Work Start time on Fault]]-TA[[#This Row],[Fault Time]])*24</f>
        <v>0</v>
      </c>
      <c r="AC21" s="34">
        <f>(TA[[#This Row],[Work Completion time on fault]]-TA[[#This Row],[Fault Time]])*24</f>
        <v>0</v>
      </c>
      <c r="AD21" s="35">
        <f>IFERROR((TA[[#This Row],[Work Completion time on fault]]-TA[[#This Row],[Fault Time]])*24,"")</f>
        <v>0</v>
      </c>
      <c r="AE21" t="s">
        <v>328</v>
      </c>
      <c r="AF21" t="s">
        <v>256</v>
      </c>
      <c r="AG21" s="2"/>
      <c r="AH21" s="44">
        <f>1-COS(RADIANS(TA[[#This Row],[Avg. Target Angle during Fault Time (Radians)]]-TA[[#This Row],[Angle of affected equipment ]]))</f>
        <v>0.11705240714107301</v>
      </c>
      <c r="AI21" s="35">
        <f>IFERROR(TA[[#This Row],[Breakdown Time]]*TA[[#This Row],[Plant Equivalent Weightage]],"")</f>
        <v>0</v>
      </c>
    </row>
    <row r="22" spans="1:35">
      <c r="A22" s="2">
        <f t="shared" si="0"/>
        <v>19</v>
      </c>
      <c r="B22" s="156">
        <f t="shared" si="1"/>
        <v>2025</v>
      </c>
      <c r="C22" s="129">
        <f t="shared" si="2"/>
        <v>2025</v>
      </c>
      <c r="D22" s="2" t="s">
        <v>155</v>
      </c>
      <c r="E22" s="2" t="s">
        <v>155</v>
      </c>
      <c r="F22" s="39">
        <v>45717</v>
      </c>
      <c r="G22" s="2">
        <f>DAY(EOMONTH(TA[[#This Row],[Month Year]],0))</f>
        <v>31</v>
      </c>
      <c r="H22" s="21">
        <v>45746</v>
      </c>
      <c r="I22" s="41">
        <f>IFERROR(VLOOKUP(TA[[#This Row],[Date]],Raw_Data[[Date]:[Sunset Time (POA&lt;20 W/m2)]],3,0),"")</f>
        <v>0.26944444444444443</v>
      </c>
      <c r="J22" s="41">
        <f>IFERROR(VLOOKUP(TA[[#This Row],[Date]],Raw_Data[[Date]:[Sunset Time (POA&lt;20 W/m2)]],4,0),"")</f>
        <v>0.7583333333333333</v>
      </c>
      <c r="K22" s="35">
        <f>IFERROR((TA[[#This Row],[Sunset Time (POA&lt;20 W/m2)]]-TA[[#This Row],[Sunrise Time (POA&gt;20 W/m2)]])*24,"")</f>
        <v>11.733333333333333</v>
      </c>
      <c r="L22" s="2" t="s">
        <v>294</v>
      </c>
      <c r="M22" s="42">
        <f>IFERROR(VLOOKUP(TA[[#This Row],[Affected Equipment]],'Basic Data'!$I$2:$K$40,3,0),"")</f>
        <v>1.7241379310344799E-3</v>
      </c>
      <c r="N22">
        <v>-28</v>
      </c>
      <c r="O22" t="s">
        <v>135</v>
      </c>
      <c r="P22" s="127" t="s">
        <v>318</v>
      </c>
      <c r="Q22" s="126" t="s">
        <v>318</v>
      </c>
      <c r="R22">
        <v>131</v>
      </c>
      <c r="S22" s="2">
        <v>39</v>
      </c>
      <c r="T22" t="s">
        <v>295</v>
      </c>
      <c r="U22" t="s">
        <v>300</v>
      </c>
      <c r="V22" t="s">
        <v>298</v>
      </c>
      <c r="W22" s="41"/>
      <c r="X22" s="41"/>
      <c r="Y22" s="34"/>
      <c r="Z22" s="34"/>
      <c r="AA22" s="35">
        <f>IF(TA[[#This Row],[Work Start time on Fault]]="NA","",(TA[[#This Row],[Fault Acknowledgement Time ]]-TA[[#This Row],[Fault Time]])*24)</f>
        <v>0</v>
      </c>
      <c r="AB22" s="35">
        <f>(TA[[#This Row],[Work Start time on Fault]]-TA[[#This Row],[Fault Time]])*24</f>
        <v>0</v>
      </c>
      <c r="AC22" s="34">
        <f>(TA[[#This Row],[Work Completion time on fault]]-TA[[#This Row],[Fault Time]])*24</f>
        <v>0</v>
      </c>
      <c r="AD22" s="35">
        <f>IFERROR((TA[[#This Row],[Work Completion time on fault]]-TA[[#This Row],[Fault Time]])*24,"")</f>
        <v>0</v>
      </c>
      <c r="AE22" t="s">
        <v>328</v>
      </c>
      <c r="AF22" t="s">
        <v>256</v>
      </c>
      <c r="AG22" s="2"/>
      <c r="AH22" s="44">
        <f>1-COS(RADIANS(TA[[#This Row],[Avg. Target Angle during Fault Time (Radians)]]-TA[[#This Row],[Angle of affected equipment ]]))</f>
        <v>0.11705240714107301</v>
      </c>
      <c r="AI22" s="35">
        <f>IFERROR(TA[[#This Row],[Breakdown Time]]*TA[[#This Row],[Plant Equivalent Weightage]],"")</f>
        <v>0</v>
      </c>
    </row>
    <row r="23" spans="1:35">
      <c r="A23" s="2">
        <f t="shared" si="0"/>
        <v>20</v>
      </c>
      <c r="B23" s="156">
        <f t="shared" si="1"/>
        <v>2025</v>
      </c>
      <c r="C23" s="129">
        <f t="shared" si="2"/>
        <v>2025</v>
      </c>
      <c r="D23" s="2" t="s">
        <v>155</v>
      </c>
      <c r="E23" s="2" t="s">
        <v>155</v>
      </c>
      <c r="F23" s="39">
        <v>45717</v>
      </c>
      <c r="G23" s="2">
        <f>DAY(EOMONTH(TA[[#This Row],[Month Year]],0))</f>
        <v>31</v>
      </c>
      <c r="H23" s="21">
        <v>45746</v>
      </c>
      <c r="I23" s="41">
        <f>IFERROR(VLOOKUP(TA[[#This Row],[Date]],Raw_Data[[Date]:[Sunset Time (POA&lt;20 W/m2)]],3,0),"")</f>
        <v>0.26944444444444443</v>
      </c>
      <c r="J23" s="41">
        <f>IFERROR(VLOOKUP(TA[[#This Row],[Date]],Raw_Data[[Date]:[Sunset Time (POA&lt;20 W/m2)]],4,0),"")</f>
        <v>0.7583333333333333</v>
      </c>
      <c r="K23" s="35">
        <f>IFERROR((TA[[#This Row],[Sunset Time (POA&lt;20 W/m2)]]-TA[[#This Row],[Sunrise Time (POA&gt;20 W/m2)]])*24,"")</f>
        <v>11.733333333333333</v>
      </c>
      <c r="L23" s="2" t="s">
        <v>296</v>
      </c>
      <c r="M23" s="42">
        <f>IFERROR(VLOOKUP(TA[[#This Row],[Affected Equipment]],'Basic Data'!$I$2:$K$40,3,0),"")</f>
        <v>8.6206896551724102E-3</v>
      </c>
      <c r="N23">
        <v>-28</v>
      </c>
      <c r="O23" t="s">
        <v>135</v>
      </c>
      <c r="P23" s="127" t="s">
        <v>318</v>
      </c>
      <c r="Q23" s="2" t="s">
        <v>321</v>
      </c>
      <c r="R23">
        <v>133</v>
      </c>
      <c r="S23" s="2">
        <v>26</v>
      </c>
      <c r="T23" t="s">
        <v>297</v>
      </c>
      <c r="U23" t="s">
        <v>300</v>
      </c>
      <c r="V23" t="s">
        <v>314</v>
      </c>
      <c r="W23" s="41"/>
      <c r="X23" s="41"/>
      <c r="Y23" s="34"/>
      <c r="Z23" s="34"/>
      <c r="AA23" s="35">
        <f>IF(TA[[#This Row],[Work Start time on Fault]]="NA","",(TA[[#This Row],[Fault Acknowledgement Time ]]-TA[[#This Row],[Fault Time]])*24)</f>
        <v>0</v>
      </c>
      <c r="AB23" s="35">
        <f>(TA[[#This Row],[Work Start time on Fault]]-TA[[#This Row],[Fault Time]])*24</f>
        <v>0</v>
      </c>
      <c r="AC23" s="34">
        <f>(TA[[#This Row],[Work Completion time on fault]]-TA[[#This Row],[Fault Time]])*24</f>
        <v>0</v>
      </c>
      <c r="AD23" s="35">
        <f>IFERROR((TA[[#This Row],[Work Completion time on fault]]-TA[[#This Row],[Fault Time]])*24,"")</f>
        <v>0</v>
      </c>
      <c r="AE23" t="s">
        <v>328</v>
      </c>
      <c r="AF23" t="s">
        <v>256</v>
      </c>
      <c r="AG23" s="2"/>
      <c r="AH23" s="44">
        <f>1-COS(RADIANS(TA[[#This Row],[Avg. Target Angle during Fault Time (Radians)]]-TA[[#This Row],[Angle of affected equipment ]]))</f>
        <v>0.11705240714107301</v>
      </c>
      <c r="AI23" s="35">
        <f>IFERROR(TA[[#This Row],[Breakdown Time]]*TA[[#This Row],[Plant Equivalent Weightage]],"")</f>
        <v>0</v>
      </c>
    </row>
    <row r="24" spans="1:35">
      <c r="A24" s="2">
        <f t="shared" si="0"/>
        <v>21</v>
      </c>
      <c r="B24" s="156">
        <f t="shared" si="1"/>
        <v>2025</v>
      </c>
      <c r="C24" s="129">
        <f t="shared" si="2"/>
        <v>2025</v>
      </c>
      <c r="D24" s="2" t="s">
        <v>155</v>
      </c>
      <c r="E24" s="2" t="s">
        <v>155</v>
      </c>
      <c r="F24" s="39">
        <v>45717</v>
      </c>
      <c r="G24" s="2">
        <f>DAY(EOMONTH(TA[[#This Row],[Month Year]],0))</f>
        <v>31</v>
      </c>
      <c r="H24" s="21">
        <v>45746</v>
      </c>
      <c r="I24" s="41">
        <f>IFERROR(VLOOKUP(TA[[#This Row],[Date]],Raw_Data[[Date]:[Sunset Time (POA&lt;20 W/m2)]],3,0),"")</f>
        <v>0.26944444444444443</v>
      </c>
      <c r="J24" s="41">
        <f>IFERROR(VLOOKUP(TA[[#This Row],[Date]],Raw_Data[[Date]:[Sunset Time (POA&lt;20 W/m2)]],4,0),"")</f>
        <v>0.7583333333333333</v>
      </c>
      <c r="K24" s="35">
        <f>IFERROR((TA[[#This Row],[Sunset Time (POA&lt;20 W/m2)]]-TA[[#This Row],[Sunrise Time (POA&gt;20 W/m2)]])*24,"")</f>
        <v>11.733333333333333</v>
      </c>
      <c r="L24" s="2" t="s">
        <v>294</v>
      </c>
      <c r="M24" s="42">
        <f>IFERROR(VLOOKUP(TA[[#This Row],[Affected Equipment]],'Basic Data'!$I$2:$K$40,3,0),"")</f>
        <v>1.7241379310344799E-3</v>
      </c>
      <c r="N24">
        <v>-28</v>
      </c>
      <c r="O24" t="s">
        <v>133</v>
      </c>
      <c r="P24" s="127" t="s">
        <v>316</v>
      </c>
      <c r="Q24" s="126" t="s">
        <v>317</v>
      </c>
      <c r="R24">
        <v>7</v>
      </c>
      <c r="S24" s="2">
        <v>32</v>
      </c>
      <c r="T24" t="s">
        <v>295</v>
      </c>
      <c r="U24" t="s">
        <v>300</v>
      </c>
      <c r="V24" t="s">
        <v>298</v>
      </c>
      <c r="W24" s="41"/>
      <c r="X24" s="41"/>
      <c r="Y24" s="34"/>
      <c r="Z24" s="34"/>
      <c r="AA24" s="35">
        <f>IF(TA[[#This Row],[Work Start time on Fault]]="NA","",(TA[[#This Row],[Fault Acknowledgement Time ]]-TA[[#This Row],[Fault Time]])*24)</f>
        <v>0</v>
      </c>
      <c r="AB24" s="35">
        <f>(TA[[#This Row],[Work Start time on Fault]]-TA[[#This Row],[Fault Time]])*24</f>
        <v>0</v>
      </c>
      <c r="AC24" s="34">
        <f>(TA[[#This Row],[Work Completion time on fault]]-TA[[#This Row],[Fault Time]])*24</f>
        <v>0</v>
      </c>
      <c r="AD24" s="35">
        <f>IFERROR((TA[[#This Row],[Work Completion time on fault]]-TA[[#This Row],[Fault Time]])*24,"")</f>
        <v>0</v>
      </c>
      <c r="AE24" t="s">
        <v>328</v>
      </c>
      <c r="AF24" t="s">
        <v>256</v>
      </c>
      <c r="AG24" s="2"/>
      <c r="AH24" s="44">
        <f>1-COS(RADIANS(TA[[#This Row],[Avg. Target Angle during Fault Time (Radians)]]-TA[[#This Row],[Angle of affected equipment ]]))</f>
        <v>0.11705240714107301</v>
      </c>
      <c r="AI24" s="35">
        <f>IFERROR(TA[[#This Row],[Breakdown Time]]*TA[[#This Row],[Plant Equivalent Weightage]],"")</f>
        <v>0</v>
      </c>
    </row>
    <row r="25" spans="1:35">
      <c r="A25" s="2">
        <f t="shared" si="0"/>
        <v>22</v>
      </c>
      <c r="B25" s="156">
        <f t="shared" si="1"/>
        <v>2025</v>
      </c>
      <c r="C25" s="129">
        <f t="shared" si="2"/>
        <v>2025</v>
      </c>
      <c r="D25" s="2" t="s">
        <v>155</v>
      </c>
      <c r="E25" s="2" t="s">
        <v>155</v>
      </c>
      <c r="F25" s="39">
        <v>45717</v>
      </c>
      <c r="G25" s="2">
        <f>DAY(EOMONTH(TA[[#This Row],[Month Year]],0))</f>
        <v>31</v>
      </c>
      <c r="H25" s="21">
        <v>45746</v>
      </c>
      <c r="I25" s="41">
        <f>IFERROR(VLOOKUP(TA[[#This Row],[Date]],Raw_Data[[Date]:[Sunset Time (POA&lt;20 W/m2)]],3,0),"")</f>
        <v>0.26944444444444443</v>
      </c>
      <c r="J25" s="41">
        <f>IFERROR(VLOOKUP(TA[[#This Row],[Date]],Raw_Data[[Date]:[Sunset Time (POA&lt;20 W/m2)]],4,0),"")</f>
        <v>0.7583333333333333</v>
      </c>
      <c r="K25" s="35">
        <f>IFERROR((TA[[#This Row],[Sunset Time (POA&lt;20 W/m2)]]-TA[[#This Row],[Sunrise Time (POA&gt;20 W/m2)]])*24,"")</f>
        <v>11.733333333333333</v>
      </c>
      <c r="L25" s="2" t="s">
        <v>294</v>
      </c>
      <c r="M25" s="42">
        <f>IFERROR(VLOOKUP(TA[[#This Row],[Affected Equipment]],'Basic Data'!$I$2:$K$40,3,0),"")</f>
        <v>1.7241379310344799E-3</v>
      </c>
      <c r="N25">
        <v>-28</v>
      </c>
      <c r="O25" t="s">
        <v>137</v>
      </c>
      <c r="P25" s="127" t="s">
        <v>315</v>
      </c>
      <c r="Q25" s="126" t="s">
        <v>319</v>
      </c>
      <c r="R25">
        <v>166</v>
      </c>
      <c r="S25" s="2">
        <v>91</v>
      </c>
      <c r="T25" t="s">
        <v>295</v>
      </c>
      <c r="U25" t="s">
        <v>300</v>
      </c>
      <c r="V25" t="s">
        <v>298</v>
      </c>
      <c r="W25" s="41"/>
      <c r="X25" s="41"/>
      <c r="Y25" s="34"/>
      <c r="Z25" s="34"/>
      <c r="AA25" s="35">
        <f>IF(TA[[#This Row],[Work Start time on Fault]]="NA","",(TA[[#This Row],[Fault Acknowledgement Time ]]-TA[[#This Row],[Fault Time]])*24)</f>
        <v>0</v>
      </c>
      <c r="AB25" s="35">
        <f>(TA[[#This Row],[Work Start time on Fault]]-TA[[#This Row],[Fault Time]])*24</f>
        <v>0</v>
      </c>
      <c r="AC25" s="34">
        <f>(TA[[#This Row],[Work Completion time on fault]]-TA[[#This Row],[Fault Time]])*24</f>
        <v>0</v>
      </c>
      <c r="AD25" s="35">
        <f>IFERROR((TA[[#This Row],[Work Completion time on fault]]-TA[[#This Row],[Fault Time]])*24,"")</f>
        <v>0</v>
      </c>
      <c r="AE25" t="s">
        <v>328</v>
      </c>
      <c r="AF25" t="s">
        <v>256</v>
      </c>
      <c r="AG25" s="2"/>
      <c r="AH25" s="44">
        <f>1-COS(RADIANS(TA[[#This Row],[Avg. Target Angle during Fault Time (Radians)]]-TA[[#This Row],[Angle of affected equipment ]]))</f>
        <v>0.11705240714107301</v>
      </c>
      <c r="AI25" s="35">
        <f>IFERROR(TA[[#This Row],[Breakdown Time]]*TA[[#This Row],[Plant Equivalent Weightage]],"")</f>
        <v>0</v>
      </c>
    </row>
    <row r="26" spans="1:35">
      <c r="A26" s="2">
        <f t="shared" si="0"/>
        <v>23</v>
      </c>
      <c r="B26" s="156">
        <f t="shared" si="1"/>
        <v>2025</v>
      </c>
      <c r="C26" s="129">
        <f t="shared" si="2"/>
        <v>2025</v>
      </c>
      <c r="D26" s="2" t="s">
        <v>155</v>
      </c>
      <c r="E26" s="2" t="s">
        <v>155</v>
      </c>
      <c r="F26" s="39">
        <v>45717</v>
      </c>
      <c r="G26" s="2">
        <f>DAY(EOMONTH(TA[[#This Row],[Month Year]],0))</f>
        <v>31</v>
      </c>
      <c r="H26" s="21">
        <v>45746</v>
      </c>
      <c r="I26" s="41">
        <f>IFERROR(VLOOKUP(TA[[#This Row],[Date]],Raw_Data[[Date]:[Sunset Time (POA&lt;20 W/m2)]],3,0),"")</f>
        <v>0.26944444444444443</v>
      </c>
      <c r="J26" s="41">
        <f>IFERROR(VLOOKUP(TA[[#This Row],[Date]],Raw_Data[[Date]:[Sunset Time (POA&lt;20 W/m2)]],4,0),"")</f>
        <v>0.7583333333333333</v>
      </c>
      <c r="K26" s="35">
        <f>IFERROR((TA[[#This Row],[Sunset Time (POA&lt;20 W/m2)]]-TA[[#This Row],[Sunrise Time (POA&gt;20 W/m2)]])*24,"")</f>
        <v>11.733333333333333</v>
      </c>
      <c r="L26" s="2" t="s">
        <v>294</v>
      </c>
      <c r="M26" s="42">
        <f>IFERROR(VLOOKUP(TA[[#This Row],[Affected Equipment]],'Basic Data'!$I$2:$K$40,3,0),"")</f>
        <v>1.7241379310344799E-3</v>
      </c>
      <c r="N26">
        <v>-28</v>
      </c>
      <c r="O26" t="s">
        <v>133</v>
      </c>
      <c r="P26" s="127" t="s">
        <v>316</v>
      </c>
      <c r="Q26" s="126" t="s">
        <v>316</v>
      </c>
      <c r="R26">
        <v>117</v>
      </c>
      <c r="S26" s="2">
        <v>20</v>
      </c>
      <c r="T26" t="s">
        <v>295</v>
      </c>
      <c r="U26" t="s">
        <v>300</v>
      </c>
      <c r="V26" t="s">
        <v>298</v>
      </c>
      <c r="W26" s="41"/>
      <c r="X26" s="41"/>
      <c r="Y26" s="34"/>
      <c r="Z26" s="34"/>
      <c r="AA26" s="35">
        <f>IF(TA[[#This Row],[Work Start time on Fault]]="NA","",(TA[[#This Row],[Fault Acknowledgement Time ]]-TA[[#This Row],[Fault Time]])*24)</f>
        <v>0</v>
      </c>
      <c r="AB26" s="35">
        <f>(TA[[#This Row],[Work Start time on Fault]]-TA[[#This Row],[Fault Time]])*24</f>
        <v>0</v>
      </c>
      <c r="AC26" s="34">
        <f>(TA[[#This Row],[Work Completion time on fault]]-TA[[#This Row],[Fault Time]])*24</f>
        <v>0</v>
      </c>
      <c r="AD26" s="35">
        <f>IFERROR((TA[[#This Row],[Work Completion time on fault]]-TA[[#This Row],[Fault Time]])*24,"")</f>
        <v>0</v>
      </c>
      <c r="AE26" t="s">
        <v>328</v>
      </c>
      <c r="AF26" t="s">
        <v>256</v>
      </c>
      <c r="AG26" s="2"/>
      <c r="AH26" s="44">
        <f>1-COS(RADIANS(TA[[#This Row],[Avg. Target Angle during Fault Time (Radians)]]-TA[[#This Row],[Angle of affected equipment ]]))</f>
        <v>0.11705240714107301</v>
      </c>
      <c r="AI26" s="35">
        <f>IFERROR(TA[[#This Row],[Breakdown Time]]*TA[[#This Row],[Plant Equivalent Weightage]],"")</f>
        <v>0</v>
      </c>
    </row>
    <row r="27" spans="1:35">
      <c r="A27" s="2">
        <f t="shared" si="0"/>
        <v>24</v>
      </c>
      <c r="B27" s="156">
        <f t="shared" si="1"/>
        <v>2025</v>
      </c>
      <c r="C27" s="129">
        <f t="shared" si="2"/>
        <v>2025</v>
      </c>
      <c r="D27" s="2" t="s">
        <v>155</v>
      </c>
      <c r="E27" s="2" t="s">
        <v>155</v>
      </c>
      <c r="F27" s="39">
        <v>45717</v>
      </c>
      <c r="G27" s="2">
        <f>DAY(EOMONTH(TA[[#This Row],[Month Year]],0))</f>
        <v>31</v>
      </c>
      <c r="H27" s="21">
        <v>45746</v>
      </c>
      <c r="I27" s="41">
        <f>IFERROR(VLOOKUP(TA[[#This Row],[Date]],Raw_Data[[Date]:[Sunset Time (POA&lt;20 W/m2)]],3,0),"")</f>
        <v>0.26944444444444443</v>
      </c>
      <c r="J27" s="41">
        <f>IFERROR(VLOOKUP(TA[[#This Row],[Date]],Raw_Data[[Date]:[Sunset Time (POA&lt;20 W/m2)]],4,0),"")</f>
        <v>0.7583333333333333</v>
      </c>
      <c r="K27" s="35">
        <f>IFERROR((TA[[#This Row],[Sunset Time (POA&lt;20 W/m2)]]-TA[[#This Row],[Sunrise Time (POA&gt;20 W/m2)]])*24,"")</f>
        <v>11.733333333333333</v>
      </c>
      <c r="L27" s="2" t="s">
        <v>294</v>
      </c>
      <c r="M27" s="42">
        <f>IFERROR(VLOOKUP(TA[[#This Row],[Affected Equipment]],'Basic Data'!$I$2:$K$40,3,0),"")</f>
        <v>1.7241379310344799E-3</v>
      </c>
      <c r="N27">
        <v>-28</v>
      </c>
      <c r="O27" t="s">
        <v>133</v>
      </c>
      <c r="P27" s="127" t="s">
        <v>316</v>
      </c>
      <c r="Q27" s="126" t="s">
        <v>316</v>
      </c>
      <c r="R27">
        <v>118</v>
      </c>
      <c r="S27" s="2">
        <v>22</v>
      </c>
      <c r="T27" t="s">
        <v>295</v>
      </c>
      <c r="U27" t="s">
        <v>300</v>
      </c>
      <c r="V27" t="s">
        <v>298</v>
      </c>
      <c r="W27" s="41"/>
      <c r="X27" s="41"/>
      <c r="Y27" s="34"/>
      <c r="Z27" s="34"/>
      <c r="AA27" s="35">
        <f>IF(TA[[#This Row],[Work Start time on Fault]]="NA","",(TA[[#This Row],[Fault Acknowledgement Time ]]-TA[[#This Row],[Fault Time]])*24)</f>
        <v>0</v>
      </c>
      <c r="AB27" s="35">
        <f>(TA[[#This Row],[Work Start time on Fault]]-TA[[#This Row],[Fault Time]])*24</f>
        <v>0</v>
      </c>
      <c r="AC27" s="34">
        <f>(TA[[#This Row],[Work Completion time on fault]]-TA[[#This Row],[Fault Time]])*24</f>
        <v>0</v>
      </c>
      <c r="AD27" s="35">
        <f>IFERROR((TA[[#This Row],[Work Completion time on fault]]-TA[[#This Row],[Fault Time]])*24,"")</f>
        <v>0</v>
      </c>
      <c r="AE27" t="s">
        <v>328</v>
      </c>
      <c r="AF27" t="s">
        <v>256</v>
      </c>
      <c r="AG27" s="2"/>
      <c r="AH27" s="44">
        <f>1-COS(RADIANS(TA[[#This Row],[Avg. Target Angle during Fault Time (Radians)]]-TA[[#This Row],[Angle of affected equipment ]]))</f>
        <v>0.11705240714107301</v>
      </c>
      <c r="AI27" s="35">
        <f>IFERROR(TA[[#This Row],[Breakdown Time]]*TA[[#This Row],[Plant Equivalent Weightage]],"")</f>
        <v>0</v>
      </c>
    </row>
    <row r="28" spans="1:35">
      <c r="A28" s="2">
        <f t="shared" si="0"/>
        <v>25</v>
      </c>
      <c r="B28" s="156">
        <f t="shared" si="1"/>
        <v>2025</v>
      </c>
      <c r="C28" s="129">
        <f t="shared" si="2"/>
        <v>2025</v>
      </c>
      <c r="D28" s="2" t="s">
        <v>155</v>
      </c>
      <c r="E28" s="2" t="s">
        <v>155</v>
      </c>
      <c r="F28" s="39">
        <v>45413</v>
      </c>
      <c r="G28" s="2">
        <f>DAY(EOMONTH(TA[[#This Row],[Month Year]],0))</f>
        <v>31</v>
      </c>
      <c r="H28" s="21">
        <v>45746</v>
      </c>
      <c r="I28" s="41">
        <f>IFERROR(VLOOKUP(TA[[#This Row],[Date]],Raw_Data[[Date]:[Sunset Time (POA&lt;20 W/m2)]],3,0),"")</f>
        <v>0.26944444444444443</v>
      </c>
      <c r="J28" s="41">
        <f>IFERROR(VLOOKUP(TA[[#This Row],[Date]],Raw_Data[[Date]:[Sunset Time (POA&lt;20 W/m2)]],4,0),"")</f>
        <v>0.7583333333333333</v>
      </c>
      <c r="K28" s="35">
        <f>IFERROR((TA[[#This Row],[Sunset Time (POA&lt;20 W/m2)]]-TA[[#This Row],[Sunrise Time (POA&gt;20 W/m2)]])*24,"")</f>
        <v>11.733333333333333</v>
      </c>
      <c r="L28" s="2" t="s">
        <v>296</v>
      </c>
      <c r="M28" s="42">
        <f>IFERROR(VLOOKUP(TA[[#This Row],[Affected Equipment]],'Basic Data'!$I$2:$K$40,3,0),"")</f>
        <v>8.6206896551724102E-3</v>
      </c>
      <c r="N28">
        <v>-28</v>
      </c>
      <c r="O28" t="s">
        <v>135</v>
      </c>
      <c r="P28" s="22" t="s">
        <v>323</v>
      </c>
      <c r="Q28" s="2" t="s">
        <v>329</v>
      </c>
      <c r="R28">
        <v>45</v>
      </c>
      <c r="S28" s="2">
        <v>8</v>
      </c>
      <c r="T28" t="s">
        <v>297</v>
      </c>
      <c r="U28" t="s">
        <v>326</v>
      </c>
      <c r="V28" t="s">
        <v>301</v>
      </c>
      <c r="W28" s="41">
        <f>IFERROR(VLOOKUP(TA[[#This Row],[Date]],Raw_Data[[Date]:[Sunset Time (POA&lt;20 W/m2)]],3,0),"")</f>
        <v>0.26944444444444443</v>
      </c>
      <c r="X28" s="41">
        <f>IFERROR(VLOOKUP(TA[[#This Row],[Date]],Raw_Data[[Date]:[Sunset Time (POA&lt;20 W/m2)]],3,0),"")</f>
        <v>0.26944444444444443</v>
      </c>
      <c r="Y28" s="34"/>
      <c r="Z28" s="34">
        <v>0.76041666666666663</v>
      </c>
      <c r="AA28" s="35">
        <f>IF(TA[[#This Row],[Work Start time on Fault]]="NA","",(TA[[#This Row],[Fault Acknowledgement Time ]]-TA[[#This Row],[Fault Time]])*24)</f>
        <v>0</v>
      </c>
      <c r="AB28" s="35">
        <f>(TA[[#This Row],[Work Start time on Fault]]-TA[[#This Row],[Fault Time]])*24</f>
        <v>-6.4666666666666668</v>
      </c>
      <c r="AC28" s="34">
        <f>(TA[[#This Row],[Work Completion time on fault]]-TA[[#This Row],[Fault Time]])*24</f>
        <v>11.783333333333333</v>
      </c>
      <c r="AD28" s="35">
        <f>IFERROR((TA[[#This Row],[Work Completion time on fault]]-TA[[#This Row],[Fault Time]])*24,"")</f>
        <v>11.783333333333333</v>
      </c>
      <c r="AE28" t="s">
        <v>309</v>
      </c>
      <c r="AF28" t="s">
        <v>256</v>
      </c>
      <c r="AG28" s="2"/>
      <c r="AH28" s="44">
        <f>1-COS(RADIANS(TA[[#This Row],[Avg. Target Angle during Fault Time (Radians)]]-TA[[#This Row],[Angle of affected equipment ]]))</f>
        <v>0.11705240714107301</v>
      </c>
      <c r="AI28" s="35">
        <f>IFERROR(TA[[#This Row],[Breakdown Time]]*TA[[#This Row],[Plant Equivalent Weightage]],"")</f>
        <v>0.1015804597701149</v>
      </c>
    </row>
    <row r="29" spans="1:35">
      <c r="A29" s="2">
        <f t="shared" si="0"/>
        <v>26</v>
      </c>
      <c r="B29" s="156">
        <f t="shared" si="1"/>
        <v>2025</v>
      </c>
      <c r="C29" s="129">
        <f t="shared" si="2"/>
        <v>2025</v>
      </c>
      <c r="D29" s="2" t="s">
        <v>155</v>
      </c>
      <c r="E29" s="2" t="s">
        <v>155</v>
      </c>
      <c r="F29" s="39">
        <v>45413</v>
      </c>
      <c r="G29" s="2">
        <f>DAY(EOMONTH(TA[[#This Row],[Month Year]],0))</f>
        <v>31</v>
      </c>
      <c r="H29" s="21">
        <v>45746</v>
      </c>
      <c r="I29" s="41">
        <f>IFERROR(VLOOKUP(TA[[#This Row],[Date]],Raw_Data[[Date]:[Sunset Time (POA&lt;20 W/m2)]],3,0),"")</f>
        <v>0.26944444444444443</v>
      </c>
      <c r="J29" s="41">
        <f>IFERROR(VLOOKUP(TA[[#This Row],[Date]],Raw_Data[[Date]:[Sunset Time (POA&lt;20 W/m2)]],4,0),"")</f>
        <v>0.7583333333333333</v>
      </c>
      <c r="K29" s="35">
        <f>IFERROR((TA[[#This Row],[Sunset Time (POA&lt;20 W/m2)]]-TA[[#This Row],[Sunrise Time (POA&gt;20 W/m2)]])*24,"")</f>
        <v>11.733333333333333</v>
      </c>
      <c r="L29" s="2" t="s">
        <v>296</v>
      </c>
      <c r="M29" s="42">
        <f>IFERROR(VLOOKUP(TA[[#This Row],[Affected Equipment]],'Basic Data'!$I$2:$K$40,3,0),"")</f>
        <v>8.6206896551724102E-3</v>
      </c>
      <c r="N29">
        <v>-28</v>
      </c>
      <c r="O29" t="s">
        <v>135</v>
      </c>
      <c r="P29" s="22" t="s">
        <v>323</v>
      </c>
      <c r="Q29" s="2" t="s">
        <v>329</v>
      </c>
      <c r="R29">
        <v>47</v>
      </c>
      <c r="S29" s="2">
        <v>18</v>
      </c>
      <c r="T29" t="s">
        <v>297</v>
      </c>
      <c r="U29" t="s">
        <v>326</v>
      </c>
      <c r="V29" t="s">
        <v>301</v>
      </c>
      <c r="W29" s="41">
        <f>IFERROR(VLOOKUP(TA[[#This Row],[Date]],Raw_Data[[Date]:[Sunset Time (POA&lt;20 W/m2)]],3,0),"")</f>
        <v>0.26944444444444443</v>
      </c>
      <c r="X29" s="41">
        <f>IFERROR(VLOOKUP(TA[[#This Row],[Date]],Raw_Data[[Date]:[Sunset Time (POA&lt;20 W/m2)]],3,0),"")</f>
        <v>0.26944444444444443</v>
      </c>
      <c r="Y29" s="34"/>
      <c r="Z29" s="34">
        <v>0.76041666666666663</v>
      </c>
      <c r="AA29" s="35">
        <f>IF(TA[[#This Row],[Work Start time on Fault]]="NA","",(TA[[#This Row],[Fault Acknowledgement Time ]]-TA[[#This Row],[Fault Time]])*24)</f>
        <v>0</v>
      </c>
      <c r="AB29" s="35">
        <f>(TA[[#This Row],[Work Start time on Fault]]-TA[[#This Row],[Fault Time]])*24</f>
        <v>-6.4666666666666668</v>
      </c>
      <c r="AC29" s="34">
        <f>(TA[[#This Row],[Work Completion time on fault]]-TA[[#This Row],[Fault Time]])*24</f>
        <v>11.783333333333333</v>
      </c>
      <c r="AD29" s="35">
        <f>IFERROR((TA[[#This Row],[Work Completion time on fault]]-TA[[#This Row],[Fault Time]])*24,"")</f>
        <v>11.783333333333333</v>
      </c>
      <c r="AE29" t="s">
        <v>309</v>
      </c>
      <c r="AF29" t="s">
        <v>256</v>
      </c>
      <c r="AG29" s="2"/>
      <c r="AH29" s="44">
        <f>1-COS(RADIANS(TA[[#This Row],[Avg. Target Angle during Fault Time (Radians)]]-TA[[#This Row],[Angle of affected equipment ]]))</f>
        <v>0.11705240714107301</v>
      </c>
      <c r="AI29" s="35">
        <f>IFERROR(TA[[#This Row],[Breakdown Time]]*TA[[#This Row],[Plant Equivalent Weightage]],"")</f>
        <v>0.1015804597701149</v>
      </c>
    </row>
    <row r="30" spans="1:35">
      <c r="A30" s="2">
        <f t="shared" si="0"/>
        <v>27</v>
      </c>
      <c r="B30" s="156">
        <f t="shared" si="1"/>
        <v>2025</v>
      </c>
      <c r="C30" s="129">
        <f t="shared" si="2"/>
        <v>2025</v>
      </c>
      <c r="D30" s="2" t="s">
        <v>155</v>
      </c>
      <c r="E30" s="2" t="s">
        <v>155</v>
      </c>
      <c r="F30" s="39">
        <v>45413</v>
      </c>
      <c r="G30" s="2">
        <f>DAY(EOMONTH(TA[[#This Row],[Month Year]],0))</f>
        <v>31</v>
      </c>
      <c r="H30" s="21">
        <v>45746</v>
      </c>
      <c r="I30" s="41">
        <f>IFERROR(VLOOKUP(TA[[#This Row],[Date]],Raw_Data[[Date]:[Sunset Time (POA&lt;20 W/m2)]],3,0),"")</f>
        <v>0.26944444444444443</v>
      </c>
      <c r="J30" s="41">
        <f>IFERROR(VLOOKUP(TA[[#This Row],[Date]],Raw_Data[[Date]:[Sunset Time (POA&lt;20 W/m2)]],4,0),"")</f>
        <v>0.7583333333333333</v>
      </c>
      <c r="K30" s="35">
        <f>IFERROR((TA[[#This Row],[Sunset Time (POA&lt;20 W/m2)]]-TA[[#This Row],[Sunrise Time (POA&gt;20 W/m2)]])*24,"")</f>
        <v>11.733333333333333</v>
      </c>
      <c r="L30" s="2" t="s">
        <v>296</v>
      </c>
      <c r="M30" s="42">
        <f>IFERROR(VLOOKUP(TA[[#This Row],[Affected Equipment]],'Basic Data'!$I$2:$K$40,3,0),"")</f>
        <v>8.6206896551724102E-3</v>
      </c>
      <c r="N30">
        <v>-28</v>
      </c>
      <c r="O30" t="s">
        <v>134</v>
      </c>
      <c r="P30" s="22" t="s">
        <v>330</v>
      </c>
      <c r="Q30" s="2" t="s">
        <v>323</v>
      </c>
      <c r="R30">
        <v>30</v>
      </c>
      <c r="S30" s="2">
        <v>57</v>
      </c>
      <c r="T30" t="s">
        <v>297</v>
      </c>
      <c r="U30" t="s">
        <v>326</v>
      </c>
      <c r="V30" t="s">
        <v>301</v>
      </c>
      <c r="W30" s="41">
        <f>IFERROR(VLOOKUP(TA[[#This Row],[Date]],Raw_Data[[Date]:[Sunset Time (POA&lt;20 W/m2)]],3,0),"")</f>
        <v>0.26944444444444443</v>
      </c>
      <c r="X30" s="41">
        <f>IFERROR(VLOOKUP(TA[[#This Row],[Date]],Raw_Data[[Date]:[Sunset Time (POA&lt;20 W/m2)]],3,0),"")</f>
        <v>0.26944444444444443</v>
      </c>
      <c r="Y30" s="34"/>
      <c r="Z30" s="34">
        <v>0.76041666666666663</v>
      </c>
      <c r="AA30" s="35">
        <f>IF(TA[[#This Row],[Work Start time on Fault]]="NA","",(TA[[#This Row],[Fault Acknowledgement Time ]]-TA[[#This Row],[Fault Time]])*24)</f>
        <v>0</v>
      </c>
      <c r="AB30" s="35">
        <f>(TA[[#This Row],[Work Start time on Fault]]-TA[[#This Row],[Fault Time]])*24</f>
        <v>-6.4666666666666668</v>
      </c>
      <c r="AC30" s="34">
        <f>(TA[[#This Row],[Work Completion time on fault]]-TA[[#This Row],[Fault Time]])*24</f>
        <v>11.783333333333333</v>
      </c>
      <c r="AD30" s="35">
        <f>IFERROR((TA[[#This Row],[Work Completion time on fault]]-TA[[#This Row],[Fault Time]])*24,"")</f>
        <v>11.783333333333333</v>
      </c>
      <c r="AE30" t="s">
        <v>309</v>
      </c>
      <c r="AF30" t="s">
        <v>256</v>
      </c>
      <c r="AG30" s="2"/>
      <c r="AH30" s="44">
        <f>1-COS(RADIANS(TA[[#This Row],[Avg. Target Angle during Fault Time (Radians)]]-TA[[#This Row],[Angle of affected equipment ]]))</f>
        <v>0.11705240714107301</v>
      </c>
      <c r="AI30" s="35">
        <f>IFERROR(TA[[#This Row],[Breakdown Time]]*TA[[#This Row],[Plant Equivalent Weightage]],"")</f>
        <v>0.1015804597701149</v>
      </c>
    </row>
    <row r="31" spans="1:35">
      <c r="A31" s="2">
        <f t="shared" si="0"/>
        <v>28</v>
      </c>
      <c r="B31" s="156">
        <f t="shared" si="1"/>
        <v>2025</v>
      </c>
      <c r="C31" s="129">
        <f t="shared" si="2"/>
        <v>2025</v>
      </c>
      <c r="D31" s="2" t="s">
        <v>155</v>
      </c>
      <c r="E31" s="2" t="s">
        <v>155</v>
      </c>
      <c r="F31" s="39">
        <v>45413</v>
      </c>
      <c r="G31" s="2">
        <f>DAY(EOMONTH(TA[[#This Row],[Month Year]],0))</f>
        <v>31</v>
      </c>
      <c r="H31" s="21">
        <v>45746</v>
      </c>
      <c r="I31" s="41">
        <f>IFERROR(VLOOKUP(TA[[#This Row],[Date]],Raw_Data[[Date]:[Sunset Time (POA&lt;20 W/m2)]],3,0),"")</f>
        <v>0.26944444444444443</v>
      </c>
      <c r="J31" s="41">
        <f>IFERROR(VLOOKUP(TA[[#This Row],[Date]],Raw_Data[[Date]:[Sunset Time (POA&lt;20 W/m2)]],4,0),"")</f>
        <v>0.7583333333333333</v>
      </c>
      <c r="K31" s="35">
        <f>IFERROR((TA[[#This Row],[Sunset Time (POA&lt;20 W/m2)]]-TA[[#This Row],[Sunrise Time (POA&gt;20 W/m2)]])*24,"")</f>
        <v>11.733333333333333</v>
      </c>
      <c r="L31" s="2" t="s">
        <v>296</v>
      </c>
      <c r="M31" s="42">
        <f>IFERROR(VLOOKUP(TA[[#This Row],[Affected Equipment]],'Basic Data'!$I$2:$K$40,3,0),"")</f>
        <v>8.6206896551724102E-3</v>
      </c>
      <c r="N31">
        <v>-28</v>
      </c>
      <c r="O31" t="s">
        <v>134</v>
      </c>
      <c r="P31" s="22" t="s">
        <v>330</v>
      </c>
      <c r="Q31" s="2" t="s">
        <v>323</v>
      </c>
      <c r="R31">
        <v>31</v>
      </c>
      <c r="S31" s="2">
        <v>61</v>
      </c>
      <c r="T31" t="s">
        <v>297</v>
      </c>
      <c r="U31" t="s">
        <v>326</v>
      </c>
      <c r="V31" t="s">
        <v>301</v>
      </c>
      <c r="W31" s="41">
        <f>IFERROR(VLOOKUP(TA[[#This Row],[Date]],Raw_Data[[Date]:[Sunset Time (POA&lt;20 W/m2)]],3,0),"")</f>
        <v>0.26944444444444443</v>
      </c>
      <c r="X31" s="41">
        <f>IFERROR(VLOOKUP(TA[[#This Row],[Date]],Raw_Data[[Date]:[Sunset Time (POA&lt;20 W/m2)]],3,0),"")</f>
        <v>0.26944444444444443</v>
      </c>
      <c r="Y31" s="34"/>
      <c r="Z31" s="34">
        <v>0.76041666666666663</v>
      </c>
      <c r="AA31" s="35">
        <f>IF(TA[[#This Row],[Work Start time on Fault]]="NA","",(TA[[#This Row],[Fault Acknowledgement Time ]]-TA[[#This Row],[Fault Time]])*24)</f>
        <v>0</v>
      </c>
      <c r="AB31" s="35">
        <f>(TA[[#This Row],[Work Start time on Fault]]-TA[[#This Row],[Fault Time]])*24</f>
        <v>-6.4666666666666668</v>
      </c>
      <c r="AC31" s="34">
        <f>(TA[[#This Row],[Work Completion time on fault]]-TA[[#This Row],[Fault Time]])*24</f>
        <v>11.783333333333333</v>
      </c>
      <c r="AD31" s="35">
        <f>IFERROR((TA[[#This Row],[Work Completion time on fault]]-TA[[#This Row],[Fault Time]])*24,"")</f>
        <v>11.783333333333333</v>
      </c>
      <c r="AE31" t="s">
        <v>309</v>
      </c>
      <c r="AF31" t="s">
        <v>256</v>
      </c>
      <c r="AG31" s="2"/>
      <c r="AH31" s="44">
        <f>1-COS(RADIANS(TA[[#This Row],[Avg. Target Angle during Fault Time (Radians)]]-TA[[#This Row],[Angle of affected equipment ]]))</f>
        <v>0.11705240714107301</v>
      </c>
      <c r="AI31" s="35">
        <f>IFERROR(TA[[#This Row],[Breakdown Time]]*TA[[#This Row],[Plant Equivalent Weightage]],"")</f>
        <v>0.1015804597701149</v>
      </c>
    </row>
    <row r="32" spans="1:35">
      <c r="A32" s="2">
        <f t="shared" si="0"/>
        <v>29</v>
      </c>
      <c r="B32" s="156">
        <f t="shared" si="1"/>
        <v>2025</v>
      </c>
      <c r="C32" s="129">
        <f t="shared" si="2"/>
        <v>2025</v>
      </c>
      <c r="D32" s="2" t="s">
        <v>155</v>
      </c>
      <c r="E32" s="2" t="s">
        <v>155</v>
      </c>
      <c r="F32" s="39">
        <v>45413</v>
      </c>
      <c r="G32" s="2">
        <f>DAY(EOMONTH(TA[[#This Row],[Month Year]],0))</f>
        <v>31</v>
      </c>
      <c r="H32" s="21">
        <v>45746</v>
      </c>
      <c r="I32" s="41">
        <f>IFERROR(VLOOKUP(TA[[#This Row],[Date]],Raw_Data[[Date]:[Sunset Time (POA&lt;20 W/m2)]],3,0),"")</f>
        <v>0.26944444444444443</v>
      </c>
      <c r="J32" s="41">
        <f>IFERROR(VLOOKUP(TA[[#This Row],[Date]],Raw_Data[[Date]:[Sunset Time (POA&lt;20 W/m2)]],4,0),"")</f>
        <v>0.7583333333333333</v>
      </c>
      <c r="K32" s="35">
        <f>IFERROR((TA[[#This Row],[Sunset Time (POA&lt;20 W/m2)]]-TA[[#This Row],[Sunrise Time (POA&gt;20 W/m2)]])*24,"")</f>
        <v>11.733333333333333</v>
      </c>
      <c r="L32" s="2" t="s">
        <v>312</v>
      </c>
      <c r="M32" s="42">
        <f>IFERROR(VLOOKUP(TA[[#This Row],[Affected Equipment]],'Basic Data'!$I$2:$K$40,3,0),"")</f>
        <v>5.74712643678161E-3</v>
      </c>
      <c r="N32">
        <v>-28</v>
      </c>
      <c r="O32" t="s">
        <v>133</v>
      </c>
      <c r="P32" s="22" t="s">
        <v>330</v>
      </c>
      <c r="Q32" s="2" t="s">
        <v>323</v>
      </c>
      <c r="R32">
        <v>26</v>
      </c>
      <c r="S32" s="2">
        <v>37</v>
      </c>
      <c r="T32" t="s">
        <v>297</v>
      </c>
      <c r="U32" t="s">
        <v>326</v>
      </c>
      <c r="V32" t="s">
        <v>301</v>
      </c>
      <c r="W32" s="41">
        <f>IFERROR(VLOOKUP(TA[[#This Row],[Date]],Raw_Data[[Date]:[Sunset Time (POA&lt;20 W/m2)]],3,0),"")</f>
        <v>0.26944444444444443</v>
      </c>
      <c r="X32" s="41">
        <f>IFERROR(VLOOKUP(TA[[#This Row],[Date]],Raw_Data[[Date]:[Sunset Time (POA&lt;20 W/m2)]],3,0),"")</f>
        <v>0.26944444444444443</v>
      </c>
      <c r="Y32" s="34"/>
      <c r="Z32" s="34">
        <v>0.76041666666666663</v>
      </c>
      <c r="AA32" s="35">
        <f>IF(TA[[#This Row],[Work Start time on Fault]]="NA","",(TA[[#This Row],[Fault Acknowledgement Time ]]-TA[[#This Row],[Fault Time]])*24)</f>
        <v>0</v>
      </c>
      <c r="AB32" s="35">
        <f>(TA[[#This Row],[Work Start time on Fault]]-TA[[#This Row],[Fault Time]])*24</f>
        <v>-6.4666666666666668</v>
      </c>
      <c r="AC32" s="34">
        <f>(TA[[#This Row],[Work Completion time on fault]]-TA[[#This Row],[Fault Time]])*24</f>
        <v>11.783333333333333</v>
      </c>
      <c r="AD32" s="35">
        <f>IFERROR((TA[[#This Row],[Work Completion time on fault]]-TA[[#This Row],[Fault Time]])*24,"")</f>
        <v>11.783333333333333</v>
      </c>
      <c r="AE32" t="s">
        <v>309</v>
      </c>
      <c r="AF32" t="s">
        <v>256</v>
      </c>
      <c r="AG32" s="2"/>
      <c r="AH32" s="44">
        <f>1-COS(RADIANS(TA[[#This Row],[Avg. Target Angle during Fault Time (Radians)]]-TA[[#This Row],[Angle of affected equipment ]]))</f>
        <v>0.11705240714107301</v>
      </c>
      <c r="AI32" s="35">
        <f>IFERROR(TA[[#This Row],[Breakdown Time]]*TA[[#This Row],[Plant Equivalent Weightage]],"")</f>
        <v>6.7720306513409975E-2</v>
      </c>
    </row>
    <row r="33" spans="1:35">
      <c r="A33" s="2">
        <f t="shared" ref="A33" si="3">A32+1</f>
        <v>30</v>
      </c>
      <c r="B33" s="156">
        <f t="shared" si="1"/>
        <v>2025</v>
      </c>
      <c r="C33" s="129">
        <f t="shared" si="2"/>
        <v>2025</v>
      </c>
      <c r="D33" s="2" t="s">
        <v>155</v>
      </c>
      <c r="E33" s="2" t="s">
        <v>155</v>
      </c>
      <c r="F33" s="39">
        <v>45413</v>
      </c>
      <c r="G33" s="2">
        <f>DAY(EOMONTH(TA[[#This Row],[Month Year]],0))</f>
        <v>31</v>
      </c>
      <c r="H33" s="21">
        <v>45746</v>
      </c>
      <c r="I33" s="41">
        <f>IFERROR(VLOOKUP(TA[[#This Row],[Date]],Raw_Data[[Date]:[Sunset Time (POA&lt;20 W/m2)]],3,0),"")</f>
        <v>0.26944444444444443</v>
      </c>
      <c r="J33" s="41">
        <f>IFERROR(VLOOKUP(TA[[#This Row],[Date]],Raw_Data[[Date]:[Sunset Time (POA&lt;20 W/m2)]],4,0),"")</f>
        <v>0.7583333333333333</v>
      </c>
      <c r="K33" s="35">
        <f>IFERROR((TA[[#This Row],[Sunset Time (POA&lt;20 W/m2)]]-TA[[#This Row],[Sunrise Time (POA&gt;20 W/m2)]])*24,"")</f>
        <v>11.733333333333333</v>
      </c>
      <c r="L33" s="2" t="s">
        <v>312</v>
      </c>
      <c r="M33" s="42">
        <f>IFERROR(VLOOKUP(TA[[#This Row],[Affected Equipment]],'Basic Data'!$I$2:$K$40,3,0),"")</f>
        <v>5.74712643678161E-3</v>
      </c>
      <c r="N33">
        <v>-28</v>
      </c>
      <c r="O33" t="s">
        <v>133</v>
      </c>
      <c r="P33" s="22" t="s">
        <v>330</v>
      </c>
      <c r="Q33" s="2" t="s">
        <v>323</v>
      </c>
      <c r="R33">
        <v>27</v>
      </c>
      <c r="S33" s="2">
        <v>42</v>
      </c>
      <c r="T33" t="s">
        <v>297</v>
      </c>
      <c r="U33" t="s">
        <v>326</v>
      </c>
      <c r="V33" t="s">
        <v>301</v>
      </c>
      <c r="W33" s="41">
        <f>IFERROR(VLOOKUP(TA[[#This Row],[Date]],Raw_Data[[Date]:[Sunset Time (POA&lt;20 W/m2)]],3,0),"")</f>
        <v>0.26944444444444443</v>
      </c>
      <c r="X33" s="41">
        <f>IFERROR(VLOOKUP(TA[[#This Row],[Date]],Raw_Data[[Date]:[Sunset Time (POA&lt;20 W/m2)]],3,0),"")</f>
        <v>0.26944444444444443</v>
      </c>
      <c r="Y33" s="34"/>
      <c r="Z33" s="34">
        <v>0.76041666666666663</v>
      </c>
      <c r="AA33" s="35">
        <f>IF(TA[[#This Row],[Work Start time on Fault]]="NA","",(TA[[#This Row],[Fault Acknowledgement Time ]]-TA[[#This Row],[Fault Time]])*24)</f>
        <v>0</v>
      </c>
      <c r="AB33" s="35">
        <f>(TA[[#This Row],[Work Start time on Fault]]-TA[[#This Row],[Fault Time]])*24</f>
        <v>-6.4666666666666668</v>
      </c>
      <c r="AC33" s="34">
        <f>(TA[[#This Row],[Work Completion time on fault]]-TA[[#This Row],[Fault Time]])*24</f>
        <v>11.783333333333333</v>
      </c>
      <c r="AD33" s="35">
        <f>IFERROR((TA[[#This Row],[Work Completion time on fault]]-TA[[#This Row],[Fault Time]])*24,"")</f>
        <v>11.783333333333333</v>
      </c>
      <c r="AE33" t="s">
        <v>309</v>
      </c>
      <c r="AF33" t="s">
        <v>256</v>
      </c>
      <c r="AG33" s="2"/>
      <c r="AH33" s="44">
        <f>1-COS(RADIANS(TA[[#This Row],[Avg. Target Angle during Fault Time (Radians)]]-TA[[#This Row],[Angle of affected equipment ]]))</f>
        <v>0.11705240714107301</v>
      </c>
      <c r="AI33" s="35">
        <f>IFERROR(TA[[#This Row],[Breakdown Time]]*TA[[#This Row],[Plant Equivalent Weightage]],"")</f>
        <v>6.7720306513409975E-2</v>
      </c>
    </row>
    <row r="34" spans="1:35">
      <c r="A34" s="2">
        <f t="shared" si="0"/>
        <v>31</v>
      </c>
      <c r="B34" s="156">
        <f t="shared" si="1"/>
        <v>2025</v>
      </c>
      <c r="C34" s="129">
        <f t="shared" si="2"/>
        <v>2025</v>
      </c>
      <c r="D34" s="2" t="s">
        <v>155</v>
      </c>
      <c r="E34" s="2" t="s">
        <v>155</v>
      </c>
      <c r="F34" s="39">
        <v>45717</v>
      </c>
      <c r="G34" s="2">
        <f>DAY(EOMONTH(TA[[#This Row],[Month Year]],0))</f>
        <v>31</v>
      </c>
      <c r="H34" s="21">
        <v>45747</v>
      </c>
      <c r="I34" s="41">
        <f>IFERROR(VLOOKUP(TA[[#This Row],[Date]],Raw_Data[[Date]:[Sunset Time (POA&lt;20 W/m2)]],3,0),"")</f>
        <v>0.27430555555555558</v>
      </c>
      <c r="J34" s="41">
        <f>IFERROR(VLOOKUP(TA[[#This Row],[Date]],Raw_Data[[Date]:[Sunset Time (POA&lt;20 W/m2)]],4,0),"")</f>
        <v>0.76388888888888884</v>
      </c>
      <c r="K34" s="35">
        <f>IFERROR((TA[[#This Row],[Sunset Time (POA&lt;20 W/m2)]]-TA[[#This Row],[Sunrise Time (POA&gt;20 W/m2)]])*24,"")</f>
        <v>11.749999999999998</v>
      </c>
      <c r="L34" s="2" t="s">
        <v>294</v>
      </c>
      <c r="M34" s="42">
        <f>IFERROR(VLOOKUP(TA[[#This Row],[Affected Equipment]],'Basic Data'!$I$2:$K$40,3,0),"")</f>
        <v>1.7241379310344799E-3</v>
      </c>
      <c r="N34">
        <v>-28</v>
      </c>
      <c r="O34" t="s">
        <v>135</v>
      </c>
      <c r="P34" s="127" t="s">
        <v>318</v>
      </c>
      <c r="Q34" s="126" t="s">
        <v>318</v>
      </c>
      <c r="R34">
        <v>130</v>
      </c>
      <c r="S34" s="2">
        <v>36</v>
      </c>
      <c r="T34" t="s">
        <v>295</v>
      </c>
      <c r="U34" t="s">
        <v>300</v>
      </c>
      <c r="V34" t="s">
        <v>298</v>
      </c>
      <c r="W34" s="41"/>
      <c r="X34" s="41"/>
      <c r="Y34" s="34"/>
      <c r="Z34" s="34"/>
      <c r="AA34" s="35">
        <f>IF(TA[[#This Row],[Work Start time on Fault]]="NA","",(TA[[#This Row],[Fault Acknowledgement Time ]]-TA[[#This Row],[Fault Time]])*24)</f>
        <v>0</v>
      </c>
      <c r="AB34" s="35">
        <f>(TA[[#This Row],[Work Start time on Fault]]-TA[[#This Row],[Fault Time]])*24</f>
        <v>0</v>
      </c>
      <c r="AC34" s="34">
        <f>(TA[[#This Row],[Work Completion time on fault]]-TA[[#This Row],[Fault Time]])*24</f>
        <v>0</v>
      </c>
      <c r="AD34" s="35">
        <f>IFERROR((TA[[#This Row],[Work Completion time on fault]]-TA[[#This Row],[Fault Time]])*24,"")</f>
        <v>0</v>
      </c>
      <c r="AE34" t="s">
        <v>328</v>
      </c>
      <c r="AF34" t="s">
        <v>256</v>
      </c>
      <c r="AG34" s="2"/>
      <c r="AH34" s="44">
        <f>1-COS(RADIANS(TA[[#This Row],[Avg. Target Angle during Fault Time (Radians)]]-TA[[#This Row],[Angle of affected equipment ]]))</f>
        <v>0.11705240714107301</v>
      </c>
      <c r="AI34" s="35">
        <f>IFERROR(TA[[#This Row],[Breakdown Time]]*TA[[#This Row],[Plant Equivalent Weightage]],"")</f>
        <v>0</v>
      </c>
    </row>
    <row r="35" spans="1:35">
      <c r="A35" s="2">
        <f t="shared" ref="A35:A98" si="4">A34+1</f>
        <v>32</v>
      </c>
      <c r="B35" s="156">
        <f t="shared" si="1"/>
        <v>2025</v>
      </c>
      <c r="C35" s="129">
        <f t="shared" si="2"/>
        <v>2025</v>
      </c>
      <c r="D35" s="2" t="s">
        <v>155</v>
      </c>
      <c r="E35" s="2" t="s">
        <v>155</v>
      </c>
      <c r="F35" s="39">
        <v>45717</v>
      </c>
      <c r="G35" s="2">
        <f>DAY(EOMONTH(TA[[#This Row],[Month Year]],0))</f>
        <v>31</v>
      </c>
      <c r="H35" s="21">
        <v>45747</v>
      </c>
      <c r="I35" s="41">
        <f>IFERROR(VLOOKUP(TA[[#This Row],[Date]],Raw_Data[[Date]:[Sunset Time (POA&lt;20 W/m2)]],3,0),"")</f>
        <v>0.27430555555555558</v>
      </c>
      <c r="J35" s="41">
        <f>IFERROR(VLOOKUP(TA[[#This Row],[Date]],Raw_Data[[Date]:[Sunset Time (POA&lt;20 W/m2)]],4,0),"")</f>
        <v>0.76388888888888884</v>
      </c>
      <c r="K35" s="35">
        <f>IFERROR((TA[[#This Row],[Sunset Time (POA&lt;20 W/m2)]]-TA[[#This Row],[Sunrise Time (POA&gt;20 W/m2)]])*24,"")</f>
        <v>11.749999999999998</v>
      </c>
      <c r="L35" s="2" t="s">
        <v>294</v>
      </c>
      <c r="M35" s="42">
        <f>IFERROR(VLOOKUP(TA[[#This Row],[Affected Equipment]],'Basic Data'!$I$2:$K$40,3,0),"")</f>
        <v>1.7241379310344799E-3</v>
      </c>
      <c r="N35">
        <v>-28</v>
      </c>
      <c r="O35" t="s">
        <v>135</v>
      </c>
      <c r="P35" s="127" t="s">
        <v>318</v>
      </c>
      <c r="Q35" s="126" t="s">
        <v>318</v>
      </c>
      <c r="R35">
        <v>130</v>
      </c>
      <c r="S35" s="2">
        <v>37</v>
      </c>
      <c r="T35" t="s">
        <v>295</v>
      </c>
      <c r="U35" t="s">
        <v>300</v>
      </c>
      <c r="V35" t="s">
        <v>298</v>
      </c>
      <c r="W35" s="41"/>
      <c r="X35" s="41"/>
      <c r="Y35" s="34"/>
      <c r="Z35" s="34"/>
      <c r="AA35" s="35">
        <f>IF(TA[[#This Row],[Work Start time on Fault]]="NA","",(TA[[#This Row],[Fault Acknowledgement Time ]]-TA[[#This Row],[Fault Time]])*24)</f>
        <v>0</v>
      </c>
      <c r="AB35" s="35">
        <f>(TA[[#This Row],[Work Start time on Fault]]-TA[[#This Row],[Fault Time]])*24</f>
        <v>0</v>
      </c>
      <c r="AC35" s="34">
        <f>(TA[[#This Row],[Work Completion time on fault]]-TA[[#This Row],[Fault Time]])*24</f>
        <v>0</v>
      </c>
      <c r="AD35" s="35">
        <f>IFERROR((TA[[#This Row],[Work Completion time on fault]]-TA[[#This Row],[Fault Time]])*24,"")</f>
        <v>0</v>
      </c>
      <c r="AE35" t="s">
        <v>328</v>
      </c>
      <c r="AF35" t="s">
        <v>256</v>
      </c>
      <c r="AG35" s="2"/>
      <c r="AH35" s="44">
        <f>1-COS(RADIANS(TA[[#This Row],[Avg. Target Angle during Fault Time (Radians)]]-TA[[#This Row],[Angle of affected equipment ]]))</f>
        <v>0.11705240714107301</v>
      </c>
      <c r="AI35" s="35">
        <f>IFERROR(TA[[#This Row],[Breakdown Time]]*TA[[#This Row],[Plant Equivalent Weightage]],"")</f>
        <v>0</v>
      </c>
    </row>
    <row r="36" spans="1:35">
      <c r="A36" s="2">
        <f t="shared" si="4"/>
        <v>33</v>
      </c>
      <c r="B36" s="156">
        <f t="shared" si="1"/>
        <v>2025</v>
      </c>
      <c r="C36" s="129">
        <f t="shared" si="2"/>
        <v>2025</v>
      </c>
      <c r="D36" s="2" t="s">
        <v>155</v>
      </c>
      <c r="E36" s="2" t="s">
        <v>155</v>
      </c>
      <c r="F36" s="39">
        <v>45717</v>
      </c>
      <c r="G36" s="2">
        <f>DAY(EOMONTH(TA[[#This Row],[Month Year]],0))</f>
        <v>31</v>
      </c>
      <c r="H36" s="21">
        <v>45747</v>
      </c>
      <c r="I36" s="41">
        <f>IFERROR(VLOOKUP(TA[[#This Row],[Date]],Raw_Data[[Date]:[Sunset Time (POA&lt;20 W/m2)]],3,0),"")</f>
        <v>0.27430555555555558</v>
      </c>
      <c r="J36" s="41">
        <f>IFERROR(VLOOKUP(TA[[#This Row],[Date]],Raw_Data[[Date]:[Sunset Time (POA&lt;20 W/m2)]],4,0),"")</f>
        <v>0.76388888888888884</v>
      </c>
      <c r="K36" s="35">
        <f>IFERROR((TA[[#This Row],[Sunset Time (POA&lt;20 W/m2)]]-TA[[#This Row],[Sunrise Time (POA&gt;20 W/m2)]])*24,"")</f>
        <v>11.749999999999998</v>
      </c>
      <c r="L36" s="2" t="s">
        <v>294</v>
      </c>
      <c r="M36" s="42">
        <f>IFERROR(VLOOKUP(TA[[#This Row],[Affected Equipment]],'Basic Data'!$I$2:$K$40,3,0),"")</f>
        <v>1.7241379310344799E-3</v>
      </c>
      <c r="N36">
        <v>-28</v>
      </c>
      <c r="O36" t="s">
        <v>135</v>
      </c>
      <c r="P36" s="127" t="s">
        <v>318</v>
      </c>
      <c r="Q36" s="126" t="s">
        <v>318</v>
      </c>
      <c r="R36">
        <v>131</v>
      </c>
      <c r="S36" s="2">
        <v>38</v>
      </c>
      <c r="T36" t="s">
        <v>295</v>
      </c>
      <c r="U36" t="s">
        <v>300</v>
      </c>
      <c r="V36" t="s">
        <v>298</v>
      </c>
      <c r="W36" s="41"/>
      <c r="X36" s="41"/>
      <c r="Y36" s="34"/>
      <c r="Z36" s="34"/>
      <c r="AA36" s="35">
        <f>IF(TA[[#This Row],[Work Start time on Fault]]="NA","",(TA[[#This Row],[Fault Acknowledgement Time ]]-TA[[#This Row],[Fault Time]])*24)</f>
        <v>0</v>
      </c>
      <c r="AB36" s="35">
        <f>(TA[[#This Row],[Work Start time on Fault]]-TA[[#This Row],[Fault Time]])*24</f>
        <v>0</v>
      </c>
      <c r="AC36" s="34">
        <f>(TA[[#This Row],[Work Completion time on fault]]-TA[[#This Row],[Fault Time]])*24</f>
        <v>0</v>
      </c>
      <c r="AD36" s="35">
        <f>IFERROR((TA[[#This Row],[Work Completion time on fault]]-TA[[#This Row],[Fault Time]])*24,"")</f>
        <v>0</v>
      </c>
      <c r="AE36" t="s">
        <v>328</v>
      </c>
      <c r="AF36" t="s">
        <v>256</v>
      </c>
      <c r="AG36" s="2"/>
      <c r="AH36" s="44">
        <f>1-COS(RADIANS(TA[[#This Row],[Avg. Target Angle during Fault Time (Radians)]]-TA[[#This Row],[Angle of affected equipment ]]))</f>
        <v>0.11705240714107301</v>
      </c>
      <c r="AI36" s="35">
        <f>IFERROR(TA[[#This Row],[Breakdown Time]]*TA[[#This Row],[Plant Equivalent Weightage]],"")</f>
        <v>0</v>
      </c>
    </row>
    <row r="37" spans="1:35">
      <c r="A37" s="2">
        <f t="shared" si="4"/>
        <v>34</v>
      </c>
      <c r="B37" s="156">
        <f t="shared" si="1"/>
        <v>2025</v>
      </c>
      <c r="C37" s="129">
        <f t="shared" si="2"/>
        <v>2025</v>
      </c>
      <c r="D37" s="2" t="s">
        <v>155</v>
      </c>
      <c r="E37" s="2" t="s">
        <v>155</v>
      </c>
      <c r="F37" s="39">
        <v>45717</v>
      </c>
      <c r="G37" s="2">
        <f>DAY(EOMONTH(TA[[#This Row],[Month Year]],0))</f>
        <v>31</v>
      </c>
      <c r="H37" s="21">
        <v>45747</v>
      </c>
      <c r="I37" s="41">
        <f>IFERROR(VLOOKUP(TA[[#This Row],[Date]],Raw_Data[[Date]:[Sunset Time (POA&lt;20 W/m2)]],3,0),"")</f>
        <v>0.27430555555555558</v>
      </c>
      <c r="J37" s="41">
        <f>IFERROR(VLOOKUP(TA[[#This Row],[Date]],Raw_Data[[Date]:[Sunset Time (POA&lt;20 W/m2)]],4,0),"")</f>
        <v>0.76388888888888884</v>
      </c>
      <c r="K37" s="35">
        <f>IFERROR((TA[[#This Row],[Sunset Time (POA&lt;20 W/m2)]]-TA[[#This Row],[Sunrise Time (POA&gt;20 W/m2)]])*24,"")</f>
        <v>11.749999999999998</v>
      </c>
      <c r="L37" s="2" t="s">
        <v>294</v>
      </c>
      <c r="M37" s="42">
        <f>IFERROR(VLOOKUP(TA[[#This Row],[Affected Equipment]],'Basic Data'!$I$2:$K$40,3,0),"")</f>
        <v>1.7241379310344799E-3</v>
      </c>
      <c r="N37">
        <v>-28</v>
      </c>
      <c r="O37" t="s">
        <v>135</v>
      </c>
      <c r="P37" s="127" t="s">
        <v>318</v>
      </c>
      <c r="Q37" s="126" t="s">
        <v>318</v>
      </c>
      <c r="R37">
        <v>131</v>
      </c>
      <c r="S37" s="2">
        <v>39</v>
      </c>
      <c r="T37" t="s">
        <v>295</v>
      </c>
      <c r="U37" t="s">
        <v>300</v>
      </c>
      <c r="V37" t="s">
        <v>298</v>
      </c>
      <c r="W37" s="41"/>
      <c r="X37" s="41"/>
      <c r="Y37" s="34"/>
      <c r="Z37" s="34"/>
      <c r="AA37" s="35">
        <f>IF(TA[[#This Row],[Work Start time on Fault]]="NA","",(TA[[#This Row],[Fault Acknowledgement Time ]]-TA[[#This Row],[Fault Time]])*24)</f>
        <v>0</v>
      </c>
      <c r="AB37" s="35">
        <f>(TA[[#This Row],[Work Start time on Fault]]-TA[[#This Row],[Fault Time]])*24</f>
        <v>0</v>
      </c>
      <c r="AC37" s="34">
        <f>(TA[[#This Row],[Work Completion time on fault]]-TA[[#This Row],[Fault Time]])*24</f>
        <v>0</v>
      </c>
      <c r="AD37" s="35">
        <f>IFERROR((TA[[#This Row],[Work Completion time on fault]]-TA[[#This Row],[Fault Time]])*24,"")</f>
        <v>0</v>
      </c>
      <c r="AE37" t="s">
        <v>328</v>
      </c>
      <c r="AF37" t="s">
        <v>256</v>
      </c>
      <c r="AG37" s="2"/>
      <c r="AH37" s="44">
        <f>1-COS(RADIANS(TA[[#This Row],[Avg. Target Angle during Fault Time (Radians)]]-TA[[#This Row],[Angle of affected equipment ]]))</f>
        <v>0.11705240714107301</v>
      </c>
      <c r="AI37" s="35">
        <f>IFERROR(TA[[#This Row],[Breakdown Time]]*TA[[#This Row],[Plant Equivalent Weightage]],"")</f>
        <v>0</v>
      </c>
    </row>
    <row r="38" spans="1:35">
      <c r="A38" s="2">
        <f t="shared" si="4"/>
        <v>35</v>
      </c>
      <c r="B38" s="156">
        <f t="shared" si="1"/>
        <v>2025</v>
      </c>
      <c r="C38" s="129">
        <f t="shared" si="2"/>
        <v>2025</v>
      </c>
      <c r="D38" s="2" t="s">
        <v>155</v>
      </c>
      <c r="E38" s="2" t="s">
        <v>155</v>
      </c>
      <c r="F38" s="39">
        <v>45717</v>
      </c>
      <c r="G38" s="2">
        <f>DAY(EOMONTH(TA[[#This Row],[Month Year]],0))</f>
        <v>31</v>
      </c>
      <c r="H38" s="21">
        <v>45747</v>
      </c>
      <c r="I38" s="41">
        <f>IFERROR(VLOOKUP(TA[[#This Row],[Date]],Raw_Data[[Date]:[Sunset Time (POA&lt;20 W/m2)]],3,0),"")</f>
        <v>0.27430555555555558</v>
      </c>
      <c r="J38" s="41">
        <f>IFERROR(VLOOKUP(TA[[#This Row],[Date]],Raw_Data[[Date]:[Sunset Time (POA&lt;20 W/m2)]],4,0),"")</f>
        <v>0.76388888888888884</v>
      </c>
      <c r="K38" s="35">
        <f>IFERROR((TA[[#This Row],[Sunset Time (POA&lt;20 W/m2)]]-TA[[#This Row],[Sunrise Time (POA&gt;20 W/m2)]])*24,"")</f>
        <v>11.749999999999998</v>
      </c>
      <c r="L38" s="2" t="s">
        <v>296</v>
      </c>
      <c r="M38" s="42">
        <f>IFERROR(VLOOKUP(TA[[#This Row],[Affected Equipment]],'Basic Data'!$I$2:$K$40,3,0),"")</f>
        <v>8.6206896551724102E-3</v>
      </c>
      <c r="N38">
        <v>-28</v>
      </c>
      <c r="O38" t="s">
        <v>135</v>
      </c>
      <c r="P38" s="127" t="s">
        <v>318</v>
      </c>
      <c r="Q38" s="2" t="s">
        <v>321</v>
      </c>
      <c r="R38">
        <v>133</v>
      </c>
      <c r="S38" s="2">
        <v>26</v>
      </c>
      <c r="T38" t="s">
        <v>297</v>
      </c>
      <c r="U38" t="s">
        <v>300</v>
      </c>
      <c r="V38" t="s">
        <v>314</v>
      </c>
      <c r="W38" s="41"/>
      <c r="X38" s="41"/>
      <c r="Y38" s="34"/>
      <c r="Z38" s="34"/>
      <c r="AA38" s="35">
        <f>IF(TA[[#This Row],[Work Start time on Fault]]="NA","",(TA[[#This Row],[Fault Acknowledgement Time ]]-TA[[#This Row],[Fault Time]])*24)</f>
        <v>0</v>
      </c>
      <c r="AB38" s="35">
        <f>(TA[[#This Row],[Work Start time on Fault]]-TA[[#This Row],[Fault Time]])*24</f>
        <v>0</v>
      </c>
      <c r="AC38" s="34">
        <f>(TA[[#This Row],[Work Completion time on fault]]-TA[[#This Row],[Fault Time]])*24</f>
        <v>0</v>
      </c>
      <c r="AD38" s="35">
        <f>IFERROR((TA[[#This Row],[Work Completion time on fault]]-TA[[#This Row],[Fault Time]])*24,"")</f>
        <v>0</v>
      </c>
      <c r="AE38" t="s">
        <v>328</v>
      </c>
      <c r="AF38" t="s">
        <v>256</v>
      </c>
      <c r="AG38" s="2"/>
      <c r="AH38" s="44">
        <f>1-COS(RADIANS(TA[[#This Row],[Avg. Target Angle during Fault Time (Radians)]]-TA[[#This Row],[Angle of affected equipment ]]))</f>
        <v>0.11705240714107301</v>
      </c>
      <c r="AI38" s="35">
        <f>IFERROR(TA[[#This Row],[Breakdown Time]]*TA[[#This Row],[Plant Equivalent Weightage]],"")</f>
        <v>0</v>
      </c>
    </row>
    <row r="39" spans="1:35">
      <c r="A39" s="2">
        <f t="shared" si="4"/>
        <v>36</v>
      </c>
      <c r="B39" s="156">
        <f t="shared" si="1"/>
        <v>2025</v>
      </c>
      <c r="C39" s="129">
        <f t="shared" si="2"/>
        <v>2025</v>
      </c>
      <c r="D39" s="2" t="s">
        <v>155</v>
      </c>
      <c r="E39" s="2" t="s">
        <v>155</v>
      </c>
      <c r="F39" s="39">
        <v>45717</v>
      </c>
      <c r="G39" s="2">
        <f>DAY(EOMONTH(TA[[#This Row],[Month Year]],0))</f>
        <v>31</v>
      </c>
      <c r="H39" s="21">
        <v>45747</v>
      </c>
      <c r="I39" s="41">
        <f>IFERROR(VLOOKUP(TA[[#This Row],[Date]],Raw_Data[[Date]:[Sunset Time (POA&lt;20 W/m2)]],3,0),"")</f>
        <v>0.27430555555555558</v>
      </c>
      <c r="J39" s="41">
        <f>IFERROR(VLOOKUP(TA[[#This Row],[Date]],Raw_Data[[Date]:[Sunset Time (POA&lt;20 W/m2)]],4,0),"")</f>
        <v>0.76388888888888884</v>
      </c>
      <c r="K39" s="35">
        <f>IFERROR((TA[[#This Row],[Sunset Time (POA&lt;20 W/m2)]]-TA[[#This Row],[Sunrise Time (POA&gt;20 W/m2)]])*24,"")</f>
        <v>11.749999999999998</v>
      </c>
      <c r="L39" s="2" t="s">
        <v>294</v>
      </c>
      <c r="M39" s="42">
        <f>IFERROR(VLOOKUP(TA[[#This Row],[Affected Equipment]],'Basic Data'!$I$2:$K$40,3,0),"")</f>
        <v>1.7241379310344799E-3</v>
      </c>
      <c r="N39">
        <v>-28</v>
      </c>
      <c r="O39" t="s">
        <v>133</v>
      </c>
      <c r="P39" s="127" t="s">
        <v>316</v>
      </c>
      <c r="Q39" s="126" t="s">
        <v>317</v>
      </c>
      <c r="R39">
        <v>7</v>
      </c>
      <c r="S39" s="2">
        <v>32</v>
      </c>
      <c r="T39" t="s">
        <v>295</v>
      </c>
      <c r="U39" t="s">
        <v>300</v>
      </c>
      <c r="V39" t="s">
        <v>298</v>
      </c>
      <c r="W39" s="41"/>
      <c r="X39" s="41"/>
      <c r="Y39" s="34"/>
      <c r="Z39" s="34"/>
      <c r="AA39" s="35">
        <f>IF(TA[[#This Row],[Work Start time on Fault]]="NA","",(TA[[#This Row],[Fault Acknowledgement Time ]]-TA[[#This Row],[Fault Time]])*24)</f>
        <v>0</v>
      </c>
      <c r="AB39" s="35">
        <f>(TA[[#This Row],[Work Start time on Fault]]-TA[[#This Row],[Fault Time]])*24</f>
        <v>0</v>
      </c>
      <c r="AC39" s="34">
        <f>(TA[[#This Row],[Work Completion time on fault]]-TA[[#This Row],[Fault Time]])*24</f>
        <v>0</v>
      </c>
      <c r="AD39" s="35">
        <f>IFERROR((TA[[#This Row],[Work Completion time on fault]]-TA[[#This Row],[Fault Time]])*24,"")</f>
        <v>0</v>
      </c>
      <c r="AE39" t="s">
        <v>328</v>
      </c>
      <c r="AF39" t="s">
        <v>256</v>
      </c>
      <c r="AG39" s="2"/>
      <c r="AH39" s="44">
        <f>1-COS(RADIANS(TA[[#This Row],[Avg. Target Angle during Fault Time (Radians)]]-TA[[#This Row],[Angle of affected equipment ]]))</f>
        <v>0.11705240714107301</v>
      </c>
      <c r="AI39" s="35">
        <f>IFERROR(TA[[#This Row],[Breakdown Time]]*TA[[#This Row],[Plant Equivalent Weightage]],"")</f>
        <v>0</v>
      </c>
    </row>
    <row r="40" spans="1:35">
      <c r="A40" s="2">
        <f t="shared" si="4"/>
        <v>37</v>
      </c>
      <c r="B40" s="156">
        <f t="shared" si="1"/>
        <v>2025</v>
      </c>
      <c r="C40" s="129">
        <f t="shared" si="2"/>
        <v>2025</v>
      </c>
      <c r="D40" s="2" t="s">
        <v>155</v>
      </c>
      <c r="E40" s="2" t="s">
        <v>155</v>
      </c>
      <c r="F40" s="39">
        <v>45717</v>
      </c>
      <c r="G40" s="2">
        <f>DAY(EOMONTH(TA[[#This Row],[Month Year]],0))</f>
        <v>31</v>
      </c>
      <c r="H40" s="21">
        <v>45747</v>
      </c>
      <c r="I40" s="41">
        <f>IFERROR(VLOOKUP(TA[[#This Row],[Date]],Raw_Data[[Date]:[Sunset Time (POA&lt;20 W/m2)]],3,0),"")</f>
        <v>0.27430555555555558</v>
      </c>
      <c r="J40" s="41">
        <f>IFERROR(VLOOKUP(TA[[#This Row],[Date]],Raw_Data[[Date]:[Sunset Time (POA&lt;20 W/m2)]],4,0),"")</f>
        <v>0.76388888888888884</v>
      </c>
      <c r="K40" s="35">
        <f>IFERROR((TA[[#This Row],[Sunset Time (POA&lt;20 W/m2)]]-TA[[#This Row],[Sunrise Time (POA&gt;20 W/m2)]])*24,"")</f>
        <v>11.749999999999998</v>
      </c>
      <c r="L40" s="2" t="s">
        <v>294</v>
      </c>
      <c r="M40" s="42">
        <f>IFERROR(VLOOKUP(TA[[#This Row],[Affected Equipment]],'Basic Data'!$I$2:$K$40,3,0),"")</f>
        <v>1.7241379310344799E-3</v>
      </c>
      <c r="N40">
        <v>-28</v>
      </c>
      <c r="O40" t="s">
        <v>137</v>
      </c>
      <c r="P40" s="127" t="s">
        <v>315</v>
      </c>
      <c r="Q40" s="126" t="s">
        <v>319</v>
      </c>
      <c r="R40">
        <v>166</v>
      </c>
      <c r="S40" s="2">
        <v>91</v>
      </c>
      <c r="T40" t="s">
        <v>295</v>
      </c>
      <c r="U40" t="s">
        <v>300</v>
      </c>
      <c r="V40" t="s">
        <v>298</v>
      </c>
      <c r="W40" s="41"/>
      <c r="X40" s="41"/>
      <c r="Y40" s="34"/>
      <c r="Z40" s="34"/>
      <c r="AA40" s="35">
        <f>IF(TA[[#This Row],[Work Start time on Fault]]="NA","",(TA[[#This Row],[Fault Acknowledgement Time ]]-TA[[#This Row],[Fault Time]])*24)</f>
        <v>0</v>
      </c>
      <c r="AB40" s="35">
        <f>(TA[[#This Row],[Work Start time on Fault]]-TA[[#This Row],[Fault Time]])*24</f>
        <v>0</v>
      </c>
      <c r="AC40" s="34">
        <f>(TA[[#This Row],[Work Completion time on fault]]-TA[[#This Row],[Fault Time]])*24</f>
        <v>0</v>
      </c>
      <c r="AD40" s="35">
        <f>IFERROR((TA[[#This Row],[Work Completion time on fault]]-TA[[#This Row],[Fault Time]])*24,"")</f>
        <v>0</v>
      </c>
      <c r="AE40" t="s">
        <v>328</v>
      </c>
      <c r="AF40" t="s">
        <v>256</v>
      </c>
      <c r="AG40" s="2"/>
      <c r="AH40" s="44">
        <f>1-COS(RADIANS(TA[[#This Row],[Avg. Target Angle during Fault Time (Radians)]]-TA[[#This Row],[Angle of affected equipment ]]))</f>
        <v>0.11705240714107301</v>
      </c>
      <c r="AI40" s="35">
        <f>IFERROR(TA[[#This Row],[Breakdown Time]]*TA[[#This Row],[Plant Equivalent Weightage]],"")</f>
        <v>0</v>
      </c>
    </row>
    <row r="41" spans="1:35">
      <c r="A41" s="2">
        <f t="shared" si="4"/>
        <v>38</v>
      </c>
      <c r="B41" s="156">
        <f t="shared" si="1"/>
        <v>2025</v>
      </c>
      <c r="C41" s="129">
        <f t="shared" si="2"/>
        <v>2025</v>
      </c>
      <c r="D41" s="2" t="s">
        <v>155</v>
      </c>
      <c r="E41" s="2" t="s">
        <v>155</v>
      </c>
      <c r="F41" s="39">
        <v>45717</v>
      </c>
      <c r="G41" s="2">
        <f>DAY(EOMONTH(TA[[#This Row],[Month Year]],0))</f>
        <v>31</v>
      </c>
      <c r="H41" s="21">
        <v>45747</v>
      </c>
      <c r="I41" s="41">
        <f>IFERROR(VLOOKUP(TA[[#This Row],[Date]],Raw_Data[[Date]:[Sunset Time (POA&lt;20 W/m2)]],3,0),"")</f>
        <v>0.27430555555555558</v>
      </c>
      <c r="J41" s="41">
        <f>IFERROR(VLOOKUP(TA[[#This Row],[Date]],Raw_Data[[Date]:[Sunset Time (POA&lt;20 W/m2)]],4,0),"")</f>
        <v>0.76388888888888884</v>
      </c>
      <c r="K41" s="35">
        <f>IFERROR((TA[[#This Row],[Sunset Time (POA&lt;20 W/m2)]]-TA[[#This Row],[Sunrise Time (POA&gt;20 W/m2)]])*24,"")</f>
        <v>11.749999999999998</v>
      </c>
      <c r="L41" s="2" t="s">
        <v>294</v>
      </c>
      <c r="M41" s="42">
        <f>IFERROR(VLOOKUP(TA[[#This Row],[Affected Equipment]],'Basic Data'!$I$2:$K$40,3,0),"")</f>
        <v>1.7241379310344799E-3</v>
      </c>
      <c r="N41">
        <v>-28</v>
      </c>
      <c r="O41" t="s">
        <v>133</v>
      </c>
      <c r="P41" s="127" t="s">
        <v>316</v>
      </c>
      <c r="Q41" s="126" t="s">
        <v>316</v>
      </c>
      <c r="R41">
        <v>117</v>
      </c>
      <c r="S41" s="2">
        <v>20</v>
      </c>
      <c r="T41" t="s">
        <v>295</v>
      </c>
      <c r="U41" t="s">
        <v>300</v>
      </c>
      <c r="V41" t="s">
        <v>298</v>
      </c>
      <c r="W41" s="41"/>
      <c r="X41" s="41"/>
      <c r="Y41" s="34"/>
      <c r="Z41" s="34"/>
      <c r="AA41" s="35">
        <f>IF(TA[[#This Row],[Work Start time on Fault]]="NA","",(TA[[#This Row],[Fault Acknowledgement Time ]]-TA[[#This Row],[Fault Time]])*24)</f>
        <v>0</v>
      </c>
      <c r="AB41" s="35">
        <f>(TA[[#This Row],[Work Start time on Fault]]-TA[[#This Row],[Fault Time]])*24</f>
        <v>0</v>
      </c>
      <c r="AC41" s="34">
        <f>(TA[[#This Row],[Work Completion time on fault]]-TA[[#This Row],[Fault Time]])*24</f>
        <v>0</v>
      </c>
      <c r="AD41" s="35">
        <f>IFERROR((TA[[#This Row],[Work Completion time on fault]]-TA[[#This Row],[Fault Time]])*24,"")</f>
        <v>0</v>
      </c>
      <c r="AE41" t="s">
        <v>328</v>
      </c>
      <c r="AF41" t="s">
        <v>256</v>
      </c>
      <c r="AG41" s="2"/>
      <c r="AH41" s="44">
        <f>1-COS(RADIANS(TA[[#This Row],[Avg. Target Angle during Fault Time (Radians)]]-TA[[#This Row],[Angle of affected equipment ]]))</f>
        <v>0.11705240714107301</v>
      </c>
      <c r="AI41" s="35">
        <f>IFERROR(TA[[#This Row],[Breakdown Time]]*TA[[#This Row],[Plant Equivalent Weightage]],"")</f>
        <v>0</v>
      </c>
    </row>
    <row r="42" spans="1:35">
      <c r="A42" s="2">
        <f t="shared" si="4"/>
        <v>39</v>
      </c>
      <c r="B42" s="156">
        <f t="shared" si="1"/>
        <v>2025</v>
      </c>
      <c r="C42" s="129">
        <f t="shared" si="2"/>
        <v>2025</v>
      </c>
      <c r="D42" s="2" t="s">
        <v>155</v>
      </c>
      <c r="E42" s="2" t="s">
        <v>155</v>
      </c>
      <c r="F42" s="39">
        <v>45717</v>
      </c>
      <c r="G42" s="2">
        <f>DAY(EOMONTH(TA[[#This Row],[Month Year]],0))</f>
        <v>31</v>
      </c>
      <c r="H42" s="21">
        <v>45747</v>
      </c>
      <c r="I42" s="41">
        <f>IFERROR(VLOOKUP(TA[[#This Row],[Date]],Raw_Data[[Date]:[Sunset Time (POA&lt;20 W/m2)]],3,0),"")</f>
        <v>0.27430555555555558</v>
      </c>
      <c r="J42" s="41">
        <f>IFERROR(VLOOKUP(TA[[#This Row],[Date]],Raw_Data[[Date]:[Sunset Time (POA&lt;20 W/m2)]],4,0),"")</f>
        <v>0.76388888888888884</v>
      </c>
      <c r="K42" s="35">
        <f>IFERROR((TA[[#This Row],[Sunset Time (POA&lt;20 W/m2)]]-TA[[#This Row],[Sunrise Time (POA&gt;20 W/m2)]])*24,"")</f>
        <v>11.749999999999998</v>
      </c>
      <c r="L42" s="2" t="s">
        <v>294</v>
      </c>
      <c r="M42" s="42">
        <f>IFERROR(VLOOKUP(TA[[#This Row],[Affected Equipment]],'Basic Data'!$I$2:$K$40,3,0),"")</f>
        <v>1.7241379310344799E-3</v>
      </c>
      <c r="N42">
        <v>-28</v>
      </c>
      <c r="O42" t="s">
        <v>133</v>
      </c>
      <c r="P42" s="127" t="s">
        <v>316</v>
      </c>
      <c r="Q42" s="126" t="s">
        <v>316</v>
      </c>
      <c r="R42">
        <v>118</v>
      </c>
      <c r="S42" s="2">
        <v>22</v>
      </c>
      <c r="T42" t="s">
        <v>295</v>
      </c>
      <c r="U42" t="s">
        <v>300</v>
      </c>
      <c r="V42" t="s">
        <v>298</v>
      </c>
      <c r="W42" s="41"/>
      <c r="X42" s="41"/>
      <c r="Y42" s="34"/>
      <c r="Z42" s="34"/>
      <c r="AA42" s="35">
        <f>IF(TA[[#This Row],[Work Start time on Fault]]="NA","",(TA[[#This Row],[Fault Acknowledgement Time ]]-TA[[#This Row],[Fault Time]])*24)</f>
        <v>0</v>
      </c>
      <c r="AB42" s="35">
        <f>(TA[[#This Row],[Work Start time on Fault]]-TA[[#This Row],[Fault Time]])*24</f>
        <v>0</v>
      </c>
      <c r="AC42" s="34">
        <f>(TA[[#This Row],[Work Completion time on fault]]-TA[[#This Row],[Fault Time]])*24</f>
        <v>0</v>
      </c>
      <c r="AD42" s="35">
        <f>IFERROR((TA[[#This Row],[Work Completion time on fault]]-TA[[#This Row],[Fault Time]])*24,"")</f>
        <v>0</v>
      </c>
      <c r="AE42" t="s">
        <v>328</v>
      </c>
      <c r="AF42" t="s">
        <v>256</v>
      </c>
      <c r="AG42" s="2"/>
      <c r="AH42" s="44">
        <f>1-COS(RADIANS(TA[[#This Row],[Avg. Target Angle during Fault Time (Radians)]]-TA[[#This Row],[Angle of affected equipment ]]))</f>
        <v>0.11705240714107301</v>
      </c>
      <c r="AI42" s="35">
        <f>IFERROR(TA[[#This Row],[Breakdown Time]]*TA[[#This Row],[Plant Equivalent Weightage]],"")</f>
        <v>0</v>
      </c>
    </row>
    <row r="43" spans="1:35">
      <c r="A43" s="2">
        <f t="shared" si="4"/>
        <v>40</v>
      </c>
      <c r="B43" s="156">
        <f t="shared" si="1"/>
        <v>2025</v>
      </c>
      <c r="C43" s="129">
        <f t="shared" si="2"/>
        <v>2025</v>
      </c>
      <c r="D43" s="2" t="s">
        <v>155</v>
      </c>
      <c r="E43" s="2" t="s">
        <v>155</v>
      </c>
      <c r="F43" s="39">
        <v>45413</v>
      </c>
      <c r="G43" s="2">
        <f>DAY(EOMONTH(TA[[#This Row],[Month Year]],0))</f>
        <v>31</v>
      </c>
      <c r="H43" s="21">
        <v>45747</v>
      </c>
      <c r="I43" s="41">
        <f>IFERROR(VLOOKUP(TA[[#This Row],[Date]],Raw_Data[[Date]:[Sunset Time (POA&lt;20 W/m2)]],3,0),"")</f>
        <v>0.27430555555555558</v>
      </c>
      <c r="J43" s="41">
        <f>IFERROR(VLOOKUP(TA[[#This Row],[Date]],Raw_Data[[Date]:[Sunset Time (POA&lt;20 W/m2)]],4,0),"")</f>
        <v>0.76388888888888884</v>
      </c>
      <c r="K43" s="35">
        <f>IFERROR((TA[[#This Row],[Sunset Time (POA&lt;20 W/m2)]]-TA[[#This Row],[Sunrise Time (POA&gt;20 W/m2)]])*24,"")</f>
        <v>11.749999999999998</v>
      </c>
      <c r="L43" s="2" t="s">
        <v>296</v>
      </c>
      <c r="M43" s="42">
        <f>IFERROR(VLOOKUP(TA[[#This Row],[Affected Equipment]],'Basic Data'!$I$2:$K$40,3,0),"")</f>
        <v>8.6206896551724102E-3</v>
      </c>
      <c r="N43">
        <v>-28</v>
      </c>
      <c r="O43" t="s">
        <v>135</v>
      </c>
      <c r="P43" s="22" t="s">
        <v>323</v>
      </c>
      <c r="Q43" s="2" t="s">
        <v>329</v>
      </c>
      <c r="R43">
        <v>45</v>
      </c>
      <c r="S43" s="2">
        <v>8</v>
      </c>
      <c r="T43" t="s">
        <v>297</v>
      </c>
      <c r="U43" t="s">
        <v>326</v>
      </c>
      <c r="V43" t="s">
        <v>301</v>
      </c>
      <c r="W43" s="41">
        <f>IFERROR(VLOOKUP(TA[[#This Row],[Date]],Raw_Data[[Date]:[Sunset Time (POA&lt;20 W/m2)]],3,0),"")</f>
        <v>0.27430555555555558</v>
      </c>
      <c r="X43" s="41">
        <f>IFERROR(VLOOKUP(TA[[#This Row],[Date]],Raw_Data[[Date]:[Sunset Time (POA&lt;20 W/m2)]],3,0),"")</f>
        <v>0.27430555555555558</v>
      </c>
      <c r="Y43" s="34"/>
      <c r="Z43" s="34">
        <v>0.76041666666666663</v>
      </c>
      <c r="AA43" s="35">
        <f>IF(TA[[#This Row],[Work Start time on Fault]]="NA","",(TA[[#This Row],[Fault Acknowledgement Time ]]-TA[[#This Row],[Fault Time]])*24)</f>
        <v>0</v>
      </c>
      <c r="AB43" s="35">
        <f>(TA[[#This Row],[Work Start time on Fault]]-TA[[#This Row],[Fault Time]])*24</f>
        <v>-6.5833333333333339</v>
      </c>
      <c r="AC43" s="34">
        <f>(TA[[#This Row],[Work Completion time on fault]]-TA[[#This Row],[Fault Time]])*24</f>
        <v>11.666666666666664</v>
      </c>
      <c r="AD43" s="35">
        <f>IFERROR((TA[[#This Row],[Work Completion time on fault]]-TA[[#This Row],[Fault Time]])*24,"")</f>
        <v>11.666666666666664</v>
      </c>
      <c r="AE43" t="s">
        <v>309</v>
      </c>
      <c r="AF43" t="s">
        <v>256</v>
      </c>
      <c r="AG43" s="2"/>
      <c r="AH43" s="44">
        <f>1-COS(RADIANS(TA[[#This Row],[Avg. Target Angle during Fault Time (Radians)]]-TA[[#This Row],[Angle of affected equipment ]]))</f>
        <v>0.11705240714107301</v>
      </c>
      <c r="AI43" s="35">
        <f>IFERROR(TA[[#This Row],[Breakdown Time]]*TA[[#This Row],[Plant Equivalent Weightage]],"")</f>
        <v>0.10057471264367809</v>
      </c>
    </row>
    <row r="44" spans="1:35">
      <c r="A44" s="2">
        <f t="shared" si="4"/>
        <v>41</v>
      </c>
      <c r="B44" s="156">
        <f t="shared" si="1"/>
        <v>2025</v>
      </c>
      <c r="C44" s="129">
        <f t="shared" si="2"/>
        <v>2025</v>
      </c>
      <c r="D44" s="2" t="s">
        <v>155</v>
      </c>
      <c r="E44" s="2" t="s">
        <v>155</v>
      </c>
      <c r="F44" s="39">
        <v>45413</v>
      </c>
      <c r="G44" s="2">
        <f>DAY(EOMONTH(TA[[#This Row],[Month Year]],0))</f>
        <v>31</v>
      </c>
      <c r="H44" s="21">
        <v>45747</v>
      </c>
      <c r="I44" s="41">
        <f>IFERROR(VLOOKUP(TA[[#This Row],[Date]],Raw_Data[[Date]:[Sunset Time (POA&lt;20 W/m2)]],3,0),"")</f>
        <v>0.27430555555555558</v>
      </c>
      <c r="J44" s="41">
        <f>IFERROR(VLOOKUP(TA[[#This Row],[Date]],Raw_Data[[Date]:[Sunset Time (POA&lt;20 W/m2)]],4,0),"")</f>
        <v>0.76388888888888884</v>
      </c>
      <c r="K44" s="35">
        <f>IFERROR((TA[[#This Row],[Sunset Time (POA&lt;20 W/m2)]]-TA[[#This Row],[Sunrise Time (POA&gt;20 W/m2)]])*24,"")</f>
        <v>11.749999999999998</v>
      </c>
      <c r="L44" s="2" t="s">
        <v>296</v>
      </c>
      <c r="M44" s="42">
        <f>IFERROR(VLOOKUP(TA[[#This Row],[Affected Equipment]],'Basic Data'!$I$2:$K$40,3,0),"")</f>
        <v>8.6206896551724102E-3</v>
      </c>
      <c r="N44">
        <v>-28</v>
      </c>
      <c r="O44" t="s">
        <v>135</v>
      </c>
      <c r="P44" s="22" t="s">
        <v>323</v>
      </c>
      <c r="Q44" s="2" t="s">
        <v>329</v>
      </c>
      <c r="R44">
        <v>47</v>
      </c>
      <c r="S44" s="2">
        <v>18</v>
      </c>
      <c r="T44" t="s">
        <v>297</v>
      </c>
      <c r="U44" t="s">
        <v>326</v>
      </c>
      <c r="V44" t="s">
        <v>301</v>
      </c>
      <c r="W44" s="41">
        <f>IFERROR(VLOOKUP(TA[[#This Row],[Date]],Raw_Data[[Date]:[Sunset Time (POA&lt;20 W/m2)]],3,0),"")</f>
        <v>0.27430555555555558</v>
      </c>
      <c r="X44" s="41">
        <f>IFERROR(VLOOKUP(TA[[#This Row],[Date]],Raw_Data[[Date]:[Sunset Time (POA&lt;20 W/m2)]],3,0),"")</f>
        <v>0.27430555555555558</v>
      </c>
      <c r="Y44" s="34"/>
      <c r="Z44" s="34">
        <v>0.76041666666666663</v>
      </c>
      <c r="AA44" s="35">
        <f>IF(TA[[#This Row],[Work Start time on Fault]]="NA","",(TA[[#This Row],[Fault Acknowledgement Time ]]-TA[[#This Row],[Fault Time]])*24)</f>
        <v>0</v>
      </c>
      <c r="AB44" s="35">
        <f>(TA[[#This Row],[Work Start time on Fault]]-TA[[#This Row],[Fault Time]])*24</f>
        <v>-6.5833333333333339</v>
      </c>
      <c r="AC44" s="34">
        <f>(TA[[#This Row],[Work Completion time on fault]]-TA[[#This Row],[Fault Time]])*24</f>
        <v>11.666666666666664</v>
      </c>
      <c r="AD44" s="35">
        <f>IFERROR((TA[[#This Row],[Work Completion time on fault]]-TA[[#This Row],[Fault Time]])*24,"")</f>
        <v>11.666666666666664</v>
      </c>
      <c r="AE44" t="s">
        <v>309</v>
      </c>
      <c r="AF44" t="s">
        <v>256</v>
      </c>
      <c r="AG44" s="2"/>
      <c r="AH44" s="44">
        <f>1-COS(RADIANS(TA[[#This Row],[Avg. Target Angle during Fault Time (Radians)]]-TA[[#This Row],[Angle of affected equipment ]]))</f>
        <v>0.11705240714107301</v>
      </c>
      <c r="AI44" s="35">
        <f>IFERROR(TA[[#This Row],[Breakdown Time]]*TA[[#This Row],[Plant Equivalent Weightage]],"")</f>
        <v>0.10057471264367809</v>
      </c>
    </row>
    <row r="45" spans="1:35">
      <c r="A45" s="2">
        <f t="shared" si="4"/>
        <v>42</v>
      </c>
      <c r="B45" s="156">
        <f t="shared" si="1"/>
        <v>2025</v>
      </c>
      <c r="C45" s="129">
        <f t="shared" si="2"/>
        <v>2025</v>
      </c>
      <c r="D45" s="2" t="s">
        <v>155</v>
      </c>
      <c r="E45" s="2" t="s">
        <v>155</v>
      </c>
      <c r="F45" s="39">
        <v>45413</v>
      </c>
      <c r="G45" s="2">
        <f>DAY(EOMONTH(TA[[#This Row],[Month Year]],0))</f>
        <v>31</v>
      </c>
      <c r="H45" s="21">
        <v>45747</v>
      </c>
      <c r="I45" s="41">
        <f>IFERROR(VLOOKUP(TA[[#This Row],[Date]],Raw_Data[[Date]:[Sunset Time (POA&lt;20 W/m2)]],3,0),"")</f>
        <v>0.27430555555555558</v>
      </c>
      <c r="J45" s="41">
        <f>IFERROR(VLOOKUP(TA[[#This Row],[Date]],Raw_Data[[Date]:[Sunset Time (POA&lt;20 W/m2)]],4,0),"")</f>
        <v>0.76388888888888884</v>
      </c>
      <c r="K45" s="35">
        <f>IFERROR((TA[[#This Row],[Sunset Time (POA&lt;20 W/m2)]]-TA[[#This Row],[Sunrise Time (POA&gt;20 W/m2)]])*24,"")</f>
        <v>11.749999999999998</v>
      </c>
      <c r="L45" s="2" t="s">
        <v>296</v>
      </c>
      <c r="M45" s="42">
        <f>IFERROR(VLOOKUP(TA[[#This Row],[Affected Equipment]],'Basic Data'!$I$2:$K$40,3,0),"")</f>
        <v>8.6206896551724102E-3</v>
      </c>
      <c r="N45">
        <v>-28</v>
      </c>
      <c r="O45" t="s">
        <v>134</v>
      </c>
      <c r="P45" s="22" t="s">
        <v>330</v>
      </c>
      <c r="Q45" s="2" t="s">
        <v>323</v>
      </c>
      <c r="R45">
        <v>30</v>
      </c>
      <c r="S45" s="2">
        <v>57</v>
      </c>
      <c r="T45" t="s">
        <v>297</v>
      </c>
      <c r="U45" t="s">
        <v>326</v>
      </c>
      <c r="V45" t="s">
        <v>301</v>
      </c>
      <c r="W45" s="41">
        <f>IFERROR(VLOOKUP(TA[[#This Row],[Date]],Raw_Data[[Date]:[Sunset Time (POA&lt;20 W/m2)]],3,0),"")</f>
        <v>0.27430555555555558</v>
      </c>
      <c r="X45" s="41">
        <f>IFERROR(VLOOKUP(TA[[#This Row],[Date]],Raw_Data[[Date]:[Sunset Time (POA&lt;20 W/m2)]],3,0),"")</f>
        <v>0.27430555555555558</v>
      </c>
      <c r="Y45" s="34"/>
      <c r="Z45" s="34">
        <v>0.76041666666666663</v>
      </c>
      <c r="AA45" s="35">
        <f>IF(TA[[#This Row],[Work Start time on Fault]]="NA","",(TA[[#This Row],[Fault Acknowledgement Time ]]-TA[[#This Row],[Fault Time]])*24)</f>
        <v>0</v>
      </c>
      <c r="AB45" s="35">
        <f>(TA[[#This Row],[Work Start time on Fault]]-TA[[#This Row],[Fault Time]])*24</f>
        <v>-6.5833333333333339</v>
      </c>
      <c r="AC45" s="34">
        <f>(TA[[#This Row],[Work Completion time on fault]]-TA[[#This Row],[Fault Time]])*24</f>
        <v>11.666666666666664</v>
      </c>
      <c r="AD45" s="35">
        <f>IFERROR((TA[[#This Row],[Work Completion time on fault]]-TA[[#This Row],[Fault Time]])*24,"")</f>
        <v>11.666666666666664</v>
      </c>
      <c r="AE45" t="s">
        <v>309</v>
      </c>
      <c r="AF45" t="s">
        <v>256</v>
      </c>
      <c r="AG45" s="2"/>
      <c r="AH45" s="44">
        <f>1-COS(RADIANS(TA[[#This Row],[Avg. Target Angle during Fault Time (Radians)]]-TA[[#This Row],[Angle of affected equipment ]]))</f>
        <v>0.11705240714107301</v>
      </c>
      <c r="AI45" s="35">
        <f>IFERROR(TA[[#This Row],[Breakdown Time]]*TA[[#This Row],[Plant Equivalent Weightage]],"")</f>
        <v>0.10057471264367809</v>
      </c>
    </row>
    <row r="46" spans="1:35">
      <c r="A46" s="2">
        <f t="shared" si="4"/>
        <v>43</v>
      </c>
      <c r="B46" s="156">
        <f t="shared" si="1"/>
        <v>2025</v>
      </c>
      <c r="C46" s="129">
        <f t="shared" si="2"/>
        <v>2025</v>
      </c>
      <c r="D46" s="2" t="s">
        <v>155</v>
      </c>
      <c r="E46" s="2" t="s">
        <v>155</v>
      </c>
      <c r="F46" s="39">
        <v>45413</v>
      </c>
      <c r="G46" s="2">
        <f>DAY(EOMONTH(TA[[#This Row],[Month Year]],0))</f>
        <v>31</v>
      </c>
      <c r="H46" s="21">
        <v>45747</v>
      </c>
      <c r="I46" s="41">
        <f>IFERROR(VLOOKUP(TA[[#This Row],[Date]],Raw_Data[[Date]:[Sunset Time (POA&lt;20 W/m2)]],3,0),"")</f>
        <v>0.27430555555555558</v>
      </c>
      <c r="J46" s="41">
        <f>IFERROR(VLOOKUP(TA[[#This Row],[Date]],Raw_Data[[Date]:[Sunset Time (POA&lt;20 W/m2)]],4,0),"")</f>
        <v>0.76388888888888884</v>
      </c>
      <c r="K46" s="35">
        <f>IFERROR((TA[[#This Row],[Sunset Time (POA&lt;20 W/m2)]]-TA[[#This Row],[Sunrise Time (POA&gt;20 W/m2)]])*24,"")</f>
        <v>11.749999999999998</v>
      </c>
      <c r="L46" s="2" t="s">
        <v>296</v>
      </c>
      <c r="M46" s="42">
        <f>IFERROR(VLOOKUP(TA[[#This Row],[Affected Equipment]],'Basic Data'!$I$2:$K$40,3,0),"")</f>
        <v>8.6206896551724102E-3</v>
      </c>
      <c r="N46">
        <v>-28</v>
      </c>
      <c r="O46" t="s">
        <v>134</v>
      </c>
      <c r="P46" s="22" t="s">
        <v>330</v>
      </c>
      <c r="Q46" s="2" t="s">
        <v>323</v>
      </c>
      <c r="R46">
        <v>31</v>
      </c>
      <c r="S46" s="2">
        <v>61</v>
      </c>
      <c r="T46" t="s">
        <v>297</v>
      </c>
      <c r="U46" t="s">
        <v>326</v>
      </c>
      <c r="V46" t="s">
        <v>301</v>
      </c>
      <c r="W46" s="41">
        <f>IFERROR(VLOOKUP(TA[[#This Row],[Date]],Raw_Data[[Date]:[Sunset Time (POA&lt;20 W/m2)]],3,0),"")</f>
        <v>0.27430555555555558</v>
      </c>
      <c r="X46" s="41">
        <f>IFERROR(VLOOKUP(TA[[#This Row],[Date]],Raw_Data[[Date]:[Sunset Time (POA&lt;20 W/m2)]],3,0),"")</f>
        <v>0.27430555555555558</v>
      </c>
      <c r="Y46" s="34"/>
      <c r="Z46" s="34">
        <v>0.76041666666666663</v>
      </c>
      <c r="AA46" s="35">
        <f>IF(TA[[#This Row],[Work Start time on Fault]]="NA","",(TA[[#This Row],[Fault Acknowledgement Time ]]-TA[[#This Row],[Fault Time]])*24)</f>
        <v>0</v>
      </c>
      <c r="AB46" s="35">
        <f>(TA[[#This Row],[Work Start time on Fault]]-TA[[#This Row],[Fault Time]])*24</f>
        <v>-6.5833333333333339</v>
      </c>
      <c r="AC46" s="34">
        <f>(TA[[#This Row],[Work Completion time on fault]]-TA[[#This Row],[Fault Time]])*24</f>
        <v>11.666666666666664</v>
      </c>
      <c r="AD46" s="35">
        <f>IFERROR((TA[[#This Row],[Work Completion time on fault]]-TA[[#This Row],[Fault Time]])*24,"")</f>
        <v>11.666666666666664</v>
      </c>
      <c r="AE46" t="s">
        <v>309</v>
      </c>
      <c r="AF46" t="s">
        <v>256</v>
      </c>
      <c r="AG46" s="2"/>
      <c r="AH46" s="44">
        <f>1-COS(RADIANS(TA[[#This Row],[Avg. Target Angle during Fault Time (Radians)]]-TA[[#This Row],[Angle of affected equipment ]]))</f>
        <v>0.11705240714107301</v>
      </c>
      <c r="AI46" s="35">
        <f>IFERROR(TA[[#This Row],[Breakdown Time]]*TA[[#This Row],[Plant Equivalent Weightage]],"")</f>
        <v>0.10057471264367809</v>
      </c>
    </row>
    <row r="47" spans="1:35">
      <c r="A47" s="2">
        <f t="shared" si="4"/>
        <v>44</v>
      </c>
      <c r="B47" s="156">
        <f t="shared" si="1"/>
        <v>2025</v>
      </c>
      <c r="C47" s="129">
        <f t="shared" si="2"/>
        <v>2025</v>
      </c>
      <c r="D47" s="2" t="s">
        <v>155</v>
      </c>
      <c r="E47" s="2" t="s">
        <v>155</v>
      </c>
      <c r="F47" s="39">
        <v>45413</v>
      </c>
      <c r="G47" s="2">
        <f>DAY(EOMONTH(TA[[#This Row],[Month Year]],0))</f>
        <v>31</v>
      </c>
      <c r="H47" s="21">
        <v>45747</v>
      </c>
      <c r="I47" s="41">
        <f>IFERROR(VLOOKUP(TA[[#This Row],[Date]],Raw_Data[[Date]:[Sunset Time (POA&lt;20 W/m2)]],3,0),"")</f>
        <v>0.27430555555555558</v>
      </c>
      <c r="J47" s="41">
        <f>IFERROR(VLOOKUP(TA[[#This Row],[Date]],Raw_Data[[Date]:[Sunset Time (POA&lt;20 W/m2)]],4,0),"")</f>
        <v>0.76388888888888884</v>
      </c>
      <c r="K47" s="35">
        <f>IFERROR((TA[[#This Row],[Sunset Time (POA&lt;20 W/m2)]]-TA[[#This Row],[Sunrise Time (POA&gt;20 W/m2)]])*24,"")</f>
        <v>11.749999999999998</v>
      </c>
      <c r="L47" s="2" t="s">
        <v>312</v>
      </c>
      <c r="M47" s="42">
        <f>IFERROR(VLOOKUP(TA[[#This Row],[Affected Equipment]],'Basic Data'!$I$2:$K$40,3,0),"")</f>
        <v>5.74712643678161E-3</v>
      </c>
      <c r="N47">
        <v>-28</v>
      </c>
      <c r="O47" t="s">
        <v>133</v>
      </c>
      <c r="P47" s="22" t="s">
        <v>330</v>
      </c>
      <c r="Q47" s="2" t="s">
        <v>323</v>
      </c>
      <c r="R47">
        <v>26</v>
      </c>
      <c r="S47" s="2">
        <v>37</v>
      </c>
      <c r="T47" t="s">
        <v>297</v>
      </c>
      <c r="U47" t="s">
        <v>326</v>
      </c>
      <c r="V47" t="s">
        <v>301</v>
      </c>
      <c r="W47" s="41">
        <f>IFERROR(VLOOKUP(TA[[#This Row],[Date]],Raw_Data[[Date]:[Sunset Time (POA&lt;20 W/m2)]],3,0),"")</f>
        <v>0.27430555555555558</v>
      </c>
      <c r="X47" s="41">
        <f>IFERROR(VLOOKUP(TA[[#This Row],[Date]],Raw_Data[[Date]:[Sunset Time (POA&lt;20 W/m2)]],3,0),"")</f>
        <v>0.27430555555555558</v>
      </c>
      <c r="Y47" s="34"/>
      <c r="Z47" s="34">
        <v>0.76041666666666663</v>
      </c>
      <c r="AA47" s="35">
        <f>IF(TA[[#This Row],[Work Start time on Fault]]="NA","",(TA[[#This Row],[Fault Acknowledgement Time ]]-TA[[#This Row],[Fault Time]])*24)</f>
        <v>0</v>
      </c>
      <c r="AB47" s="35">
        <f>(TA[[#This Row],[Work Start time on Fault]]-TA[[#This Row],[Fault Time]])*24</f>
        <v>-6.5833333333333339</v>
      </c>
      <c r="AC47" s="34">
        <f>(TA[[#This Row],[Work Completion time on fault]]-TA[[#This Row],[Fault Time]])*24</f>
        <v>11.666666666666664</v>
      </c>
      <c r="AD47" s="35">
        <f>IFERROR((TA[[#This Row],[Work Completion time on fault]]-TA[[#This Row],[Fault Time]])*24,"")</f>
        <v>11.666666666666664</v>
      </c>
      <c r="AE47" t="s">
        <v>309</v>
      </c>
      <c r="AF47" t="s">
        <v>256</v>
      </c>
      <c r="AG47" s="2"/>
      <c r="AH47" s="44">
        <f>1-COS(RADIANS(TA[[#This Row],[Avg. Target Angle during Fault Time (Radians)]]-TA[[#This Row],[Angle of affected equipment ]]))</f>
        <v>0.11705240714107301</v>
      </c>
      <c r="AI47" s="35">
        <f>IFERROR(TA[[#This Row],[Breakdown Time]]*TA[[#This Row],[Plant Equivalent Weightage]],"")</f>
        <v>6.7049808429118771E-2</v>
      </c>
    </row>
    <row r="48" spans="1:35">
      <c r="A48" s="2">
        <f t="shared" si="4"/>
        <v>45</v>
      </c>
      <c r="B48" s="156">
        <f t="shared" si="1"/>
        <v>2025</v>
      </c>
      <c r="C48" s="129">
        <f t="shared" si="2"/>
        <v>2025</v>
      </c>
      <c r="D48" s="2" t="s">
        <v>155</v>
      </c>
      <c r="E48" s="2" t="s">
        <v>155</v>
      </c>
      <c r="F48" s="39">
        <v>45413</v>
      </c>
      <c r="G48" s="2">
        <f>DAY(EOMONTH(TA[[#This Row],[Month Year]],0))</f>
        <v>31</v>
      </c>
      <c r="H48" s="21">
        <v>45747</v>
      </c>
      <c r="I48" s="41">
        <f>IFERROR(VLOOKUP(TA[[#This Row],[Date]],Raw_Data[[Date]:[Sunset Time (POA&lt;20 W/m2)]],3,0),"")</f>
        <v>0.27430555555555558</v>
      </c>
      <c r="J48" s="41">
        <f>IFERROR(VLOOKUP(TA[[#This Row],[Date]],Raw_Data[[Date]:[Sunset Time (POA&lt;20 W/m2)]],4,0),"")</f>
        <v>0.76388888888888884</v>
      </c>
      <c r="K48" s="35">
        <f>IFERROR((TA[[#This Row],[Sunset Time (POA&lt;20 W/m2)]]-TA[[#This Row],[Sunrise Time (POA&gt;20 W/m2)]])*24,"")</f>
        <v>11.749999999999998</v>
      </c>
      <c r="L48" s="2" t="s">
        <v>312</v>
      </c>
      <c r="M48" s="42">
        <f>IFERROR(VLOOKUP(TA[[#This Row],[Affected Equipment]],'Basic Data'!$I$2:$K$40,3,0),"")</f>
        <v>5.74712643678161E-3</v>
      </c>
      <c r="N48">
        <v>-28</v>
      </c>
      <c r="O48" t="s">
        <v>133</v>
      </c>
      <c r="P48" s="22" t="s">
        <v>330</v>
      </c>
      <c r="Q48" s="2" t="s">
        <v>323</v>
      </c>
      <c r="R48">
        <v>27</v>
      </c>
      <c r="S48" s="2">
        <v>42</v>
      </c>
      <c r="T48" t="s">
        <v>297</v>
      </c>
      <c r="U48" t="s">
        <v>326</v>
      </c>
      <c r="V48" t="s">
        <v>301</v>
      </c>
      <c r="W48" s="41">
        <f>IFERROR(VLOOKUP(TA[[#This Row],[Date]],Raw_Data[[Date]:[Sunset Time (POA&lt;20 W/m2)]],3,0),"")</f>
        <v>0.27430555555555558</v>
      </c>
      <c r="X48" s="41">
        <f>IFERROR(VLOOKUP(TA[[#This Row],[Date]],Raw_Data[[Date]:[Sunset Time (POA&lt;20 W/m2)]],3,0),"")</f>
        <v>0.27430555555555558</v>
      </c>
      <c r="Y48" s="34"/>
      <c r="Z48" s="34">
        <v>0.76041666666666663</v>
      </c>
      <c r="AA48" s="35">
        <f>IF(TA[[#This Row],[Work Start time on Fault]]="NA","",(TA[[#This Row],[Fault Acknowledgement Time ]]-TA[[#This Row],[Fault Time]])*24)</f>
        <v>0</v>
      </c>
      <c r="AB48" s="35">
        <f>(TA[[#This Row],[Work Start time on Fault]]-TA[[#This Row],[Fault Time]])*24</f>
        <v>-6.5833333333333339</v>
      </c>
      <c r="AC48" s="34">
        <f>(TA[[#This Row],[Work Completion time on fault]]-TA[[#This Row],[Fault Time]])*24</f>
        <v>11.666666666666664</v>
      </c>
      <c r="AD48" s="35">
        <f>IFERROR((TA[[#This Row],[Work Completion time on fault]]-TA[[#This Row],[Fault Time]])*24,"")</f>
        <v>11.666666666666664</v>
      </c>
      <c r="AE48" t="s">
        <v>309</v>
      </c>
      <c r="AF48" t="s">
        <v>256</v>
      </c>
      <c r="AG48" s="2"/>
      <c r="AH48" s="44">
        <f>1-COS(RADIANS(TA[[#This Row],[Avg. Target Angle during Fault Time (Radians)]]-TA[[#This Row],[Angle of affected equipment ]]))</f>
        <v>0.11705240714107301</v>
      </c>
      <c r="AI48" s="35">
        <f>IFERROR(TA[[#This Row],[Breakdown Time]]*TA[[#This Row],[Plant Equivalent Weightage]],"")</f>
        <v>6.7049808429118771E-2</v>
      </c>
    </row>
    <row r="49" spans="1:35">
      <c r="A49" s="2">
        <f t="shared" si="4"/>
        <v>46</v>
      </c>
      <c r="B49" s="156">
        <f t="shared" si="1"/>
        <v>2026</v>
      </c>
      <c r="C49" s="129">
        <f t="shared" si="2"/>
        <v>2025</v>
      </c>
      <c r="D49" s="2" t="s">
        <v>155</v>
      </c>
      <c r="E49" s="2" t="s">
        <v>155</v>
      </c>
      <c r="F49" s="39">
        <v>45748</v>
      </c>
      <c r="G49" s="2">
        <f>DAY(EOMONTH(TA[[#This Row],[Month Year]],0))</f>
        <v>30</v>
      </c>
      <c r="H49" s="21">
        <v>45748</v>
      </c>
      <c r="I49" s="41">
        <f>IFERROR(VLOOKUP(TA[[#This Row],[Date]],Raw_Data[[Date]:[Sunset Time (POA&lt;20 W/m2)]],3,0),"")</f>
        <v>0.26666666666666666</v>
      </c>
      <c r="J49" s="41">
        <f>IFERROR(VLOOKUP(TA[[#This Row],[Date]],Raw_Data[[Date]:[Sunset Time (POA&lt;20 W/m2)]],4,0),"")</f>
        <v>0.76180555555555551</v>
      </c>
      <c r="K49" s="35">
        <f>IFERROR((TA[[#This Row],[Sunset Time (POA&lt;20 W/m2)]]-TA[[#This Row],[Sunrise Time (POA&gt;20 W/m2)]])*24,"")</f>
        <v>11.883333333333333</v>
      </c>
      <c r="L49" s="2" t="s">
        <v>294</v>
      </c>
      <c r="M49" s="42">
        <f>IFERROR(VLOOKUP(TA[[#This Row],[Affected Equipment]],'Basic Data'!$I$2:$K$40,3,0),"")</f>
        <v>1.7241379310344799E-3</v>
      </c>
      <c r="N49">
        <v>-28</v>
      </c>
      <c r="O49" t="s">
        <v>135</v>
      </c>
      <c r="P49" s="127" t="s">
        <v>318</v>
      </c>
      <c r="Q49" s="126" t="s">
        <v>318</v>
      </c>
      <c r="R49">
        <v>130</v>
      </c>
      <c r="S49" s="2">
        <v>36</v>
      </c>
      <c r="T49" t="s">
        <v>295</v>
      </c>
      <c r="U49" t="s">
        <v>300</v>
      </c>
      <c r="V49" t="s">
        <v>298</v>
      </c>
      <c r="W49" s="41"/>
      <c r="X49" s="41"/>
      <c r="Y49" s="34"/>
      <c r="Z49" s="34"/>
      <c r="AA49" s="35">
        <f>IF(TA[[#This Row],[Work Start time on Fault]]="NA","",(TA[[#This Row],[Fault Acknowledgement Time ]]-TA[[#This Row],[Fault Time]])*24)</f>
        <v>0</v>
      </c>
      <c r="AB49" s="35">
        <f>(TA[[#This Row],[Work Start time on Fault]]-TA[[#This Row],[Fault Time]])*24</f>
        <v>0</v>
      </c>
      <c r="AC49" s="34">
        <f>(TA[[#This Row],[Work Completion time on fault]]-TA[[#This Row],[Fault Time]])*24</f>
        <v>0</v>
      </c>
      <c r="AD49" s="35">
        <f>IFERROR((TA[[#This Row],[Work Completion time on fault]]-TA[[#This Row],[Fault Time]])*24,"")</f>
        <v>0</v>
      </c>
      <c r="AE49" t="s">
        <v>328</v>
      </c>
      <c r="AF49" t="s">
        <v>256</v>
      </c>
      <c r="AG49" s="2"/>
      <c r="AH49" s="44">
        <f>1-COS(RADIANS(TA[[#This Row],[Avg. Target Angle during Fault Time (Radians)]]-TA[[#This Row],[Angle of affected equipment ]]))</f>
        <v>0.11705240714107301</v>
      </c>
      <c r="AI49" s="35">
        <f>IFERROR(TA[[#This Row],[Breakdown Time]]*TA[[#This Row],[Plant Equivalent Weightage]],"")</f>
        <v>0</v>
      </c>
    </row>
    <row r="50" spans="1:35">
      <c r="A50" s="2">
        <f t="shared" si="4"/>
        <v>47</v>
      </c>
      <c r="B50" s="156">
        <f t="shared" si="1"/>
        <v>2026</v>
      </c>
      <c r="C50" s="129">
        <f t="shared" si="2"/>
        <v>2025</v>
      </c>
      <c r="D50" s="2" t="s">
        <v>155</v>
      </c>
      <c r="E50" s="2" t="s">
        <v>155</v>
      </c>
      <c r="F50" s="39">
        <v>45748</v>
      </c>
      <c r="G50" s="2">
        <f>DAY(EOMONTH(TA[[#This Row],[Month Year]],0))</f>
        <v>30</v>
      </c>
      <c r="H50" s="21">
        <v>45748</v>
      </c>
      <c r="I50" s="41">
        <f>IFERROR(VLOOKUP(TA[[#This Row],[Date]],Raw_Data[[Date]:[Sunset Time (POA&lt;20 W/m2)]],3,0),"")</f>
        <v>0.26666666666666666</v>
      </c>
      <c r="J50" s="41">
        <f>IFERROR(VLOOKUP(TA[[#This Row],[Date]],Raw_Data[[Date]:[Sunset Time (POA&lt;20 W/m2)]],4,0),"")</f>
        <v>0.76180555555555551</v>
      </c>
      <c r="K50" s="35">
        <f>IFERROR((TA[[#This Row],[Sunset Time (POA&lt;20 W/m2)]]-TA[[#This Row],[Sunrise Time (POA&gt;20 W/m2)]])*24,"")</f>
        <v>11.883333333333333</v>
      </c>
      <c r="L50" s="2" t="s">
        <v>294</v>
      </c>
      <c r="M50" s="42">
        <f>IFERROR(VLOOKUP(TA[[#This Row],[Affected Equipment]],'Basic Data'!$I$2:$K$40,3,0),"")</f>
        <v>1.7241379310344799E-3</v>
      </c>
      <c r="N50">
        <v>-28</v>
      </c>
      <c r="O50" t="s">
        <v>135</v>
      </c>
      <c r="P50" s="127" t="s">
        <v>318</v>
      </c>
      <c r="Q50" s="126" t="s">
        <v>318</v>
      </c>
      <c r="R50">
        <v>130</v>
      </c>
      <c r="S50" s="2">
        <v>37</v>
      </c>
      <c r="T50" t="s">
        <v>295</v>
      </c>
      <c r="U50" t="s">
        <v>300</v>
      </c>
      <c r="V50" t="s">
        <v>298</v>
      </c>
      <c r="W50" s="41"/>
      <c r="X50" s="41"/>
      <c r="Y50" s="34"/>
      <c r="Z50" s="34"/>
      <c r="AA50" s="35">
        <f>IF(TA[[#This Row],[Work Start time on Fault]]="NA","",(TA[[#This Row],[Fault Acknowledgement Time ]]-TA[[#This Row],[Fault Time]])*24)</f>
        <v>0</v>
      </c>
      <c r="AB50" s="35">
        <f>(TA[[#This Row],[Work Start time on Fault]]-TA[[#This Row],[Fault Time]])*24</f>
        <v>0</v>
      </c>
      <c r="AC50" s="34">
        <f>(TA[[#This Row],[Work Completion time on fault]]-TA[[#This Row],[Fault Time]])*24</f>
        <v>0</v>
      </c>
      <c r="AD50" s="35">
        <f>IFERROR((TA[[#This Row],[Work Completion time on fault]]-TA[[#This Row],[Fault Time]])*24,"")</f>
        <v>0</v>
      </c>
      <c r="AE50" t="s">
        <v>328</v>
      </c>
      <c r="AF50" t="s">
        <v>256</v>
      </c>
      <c r="AG50" s="2"/>
      <c r="AH50" s="44">
        <f>1-COS(RADIANS(TA[[#This Row],[Avg. Target Angle during Fault Time (Radians)]]-TA[[#This Row],[Angle of affected equipment ]]))</f>
        <v>0.11705240714107301</v>
      </c>
      <c r="AI50" s="35">
        <f>IFERROR(TA[[#This Row],[Breakdown Time]]*TA[[#This Row],[Plant Equivalent Weightage]],"")</f>
        <v>0</v>
      </c>
    </row>
    <row r="51" spans="1:35">
      <c r="A51" s="2">
        <f t="shared" si="4"/>
        <v>48</v>
      </c>
      <c r="B51" s="156">
        <f t="shared" si="1"/>
        <v>2026</v>
      </c>
      <c r="C51" s="129">
        <f t="shared" si="2"/>
        <v>2025</v>
      </c>
      <c r="D51" s="2" t="s">
        <v>155</v>
      </c>
      <c r="E51" s="2" t="s">
        <v>155</v>
      </c>
      <c r="F51" s="39">
        <v>45748</v>
      </c>
      <c r="G51" s="2">
        <f>DAY(EOMONTH(TA[[#This Row],[Month Year]],0))</f>
        <v>30</v>
      </c>
      <c r="H51" s="21">
        <v>45748</v>
      </c>
      <c r="I51" s="41">
        <f>IFERROR(VLOOKUP(TA[[#This Row],[Date]],Raw_Data[[Date]:[Sunset Time (POA&lt;20 W/m2)]],3,0),"")</f>
        <v>0.26666666666666666</v>
      </c>
      <c r="J51" s="41">
        <f>IFERROR(VLOOKUP(TA[[#This Row],[Date]],Raw_Data[[Date]:[Sunset Time (POA&lt;20 W/m2)]],4,0),"")</f>
        <v>0.76180555555555551</v>
      </c>
      <c r="K51" s="35">
        <f>IFERROR((TA[[#This Row],[Sunset Time (POA&lt;20 W/m2)]]-TA[[#This Row],[Sunrise Time (POA&gt;20 W/m2)]])*24,"")</f>
        <v>11.883333333333333</v>
      </c>
      <c r="L51" s="2" t="s">
        <v>294</v>
      </c>
      <c r="M51" s="42">
        <f>IFERROR(VLOOKUP(TA[[#This Row],[Affected Equipment]],'Basic Data'!$I$2:$K$40,3,0),"")</f>
        <v>1.7241379310344799E-3</v>
      </c>
      <c r="N51">
        <v>-28</v>
      </c>
      <c r="O51" t="s">
        <v>135</v>
      </c>
      <c r="P51" s="127" t="s">
        <v>318</v>
      </c>
      <c r="Q51" s="126" t="s">
        <v>318</v>
      </c>
      <c r="R51">
        <v>131</v>
      </c>
      <c r="S51" s="2">
        <v>38</v>
      </c>
      <c r="T51" t="s">
        <v>295</v>
      </c>
      <c r="U51" t="s">
        <v>300</v>
      </c>
      <c r="V51" t="s">
        <v>298</v>
      </c>
      <c r="W51" s="41"/>
      <c r="X51" s="41"/>
      <c r="Y51" s="34"/>
      <c r="Z51" s="34"/>
      <c r="AA51" s="35">
        <f>IF(TA[[#This Row],[Work Start time on Fault]]="NA","",(TA[[#This Row],[Fault Acknowledgement Time ]]-TA[[#This Row],[Fault Time]])*24)</f>
        <v>0</v>
      </c>
      <c r="AB51" s="35">
        <f>(TA[[#This Row],[Work Start time on Fault]]-TA[[#This Row],[Fault Time]])*24</f>
        <v>0</v>
      </c>
      <c r="AC51" s="34">
        <f>(TA[[#This Row],[Work Completion time on fault]]-TA[[#This Row],[Fault Time]])*24</f>
        <v>0</v>
      </c>
      <c r="AD51" s="35">
        <f>IFERROR((TA[[#This Row],[Work Completion time on fault]]-TA[[#This Row],[Fault Time]])*24,"")</f>
        <v>0</v>
      </c>
      <c r="AE51" t="s">
        <v>328</v>
      </c>
      <c r="AF51" t="s">
        <v>256</v>
      </c>
      <c r="AG51" s="2"/>
      <c r="AH51" s="44">
        <f>1-COS(RADIANS(TA[[#This Row],[Avg. Target Angle during Fault Time (Radians)]]-TA[[#This Row],[Angle of affected equipment ]]))</f>
        <v>0.11705240714107301</v>
      </c>
      <c r="AI51" s="35">
        <f>IFERROR(TA[[#This Row],[Breakdown Time]]*TA[[#This Row],[Plant Equivalent Weightage]],"")</f>
        <v>0</v>
      </c>
    </row>
    <row r="52" spans="1:35">
      <c r="A52" s="2">
        <f t="shared" si="4"/>
        <v>49</v>
      </c>
      <c r="B52" s="156">
        <f t="shared" si="1"/>
        <v>2026</v>
      </c>
      <c r="C52" s="129">
        <f t="shared" si="2"/>
        <v>2025</v>
      </c>
      <c r="D52" s="2" t="s">
        <v>155</v>
      </c>
      <c r="E52" s="2" t="s">
        <v>155</v>
      </c>
      <c r="F52" s="39">
        <v>45748</v>
      </c>
      <c r="G52" s="2">
        <f>DAY(EOMONTH(TA[[#This Row],[Month Year]],0))</f>
        <v>30</v>
      </c>
      <c r="H52" s="21">
        <v>45748</v>
      </c>
      <c r="I52" s="41">
        <f>IFERROR(VLOOKUP(TA[[#This Row],[Date]],Raw_Data[[Date]:[Sunset Time (POA&lt;20 W/m2)]],3,0),"")</f>
        <v>0.26666666666666666</v>
      </c>
      <c r="J52" s="41">
        <f>IFERROR(VLOOKUP(TA[[#This Row],[Date]],Raw_Data[[Date]:[Sunset Time (POA&lt;20 W/m2)]],4,0),"")</f>
        <v>0.76180555555555551</v>
      </c>
      <c r="K52" s="35">
        <f>IFERROR((TA[[#This Row],[Sunset Time (POA&lt;20 W/m2)]]-TA[[#This Row],[Sunrise Time (POA&gt;20 W/m2)]])*24,"")</f>
        <v>11.883333333333333</v>
      </c>
      <c r="L52" s="2" t="s">
        <v>294</v>
      </c>
      <c r="M52" s="42">
        <f>IFERROR(VLOOKUP(TA[[#This Row],[Affected Equipment]],'Basic Data'!$I$2:$K$40,3,0),"")</f>
        <v>1.7241379310344799E-3</v>
      </c>
      <c r="N52">
        <v>-28</v>
      </c>
      <c r="O52" t="s">
        <v>135</v>
      </c>
      <c r="P52" s="127" t="s">
        <v>318</v>
      </c>
      <c r="Q52" s="126" t="s">
        <v>318</v>
      </c>
      <c r="R52">
        <v>131</v>
      </c>
      <c r="S52" s="2">
        <v>39</v>
      </c>
      <c r="T52" t="s">
        <v>295</v>
      </c>
      <c r="U52" t="s">
        <v>300</v>
      </c>
      <c r="V52" t="s">
        <v>298</v>
      </c>
      <c r="W52" s="41"/>
      <c r="X52" s="41"/>
      <c r="Y52" s="34"/>
      <c r="Z52" s="34"/>
      <c r="AA52" s="35">
        <f>IF(TA[[#This Row],[Work Start time on Fault]]="NA","",(TA[[#This Row],[Fault Acknowledgement Time ]]-TA[[#This Row],[Fault Time]])*24)</f>
        <v>0</v>
      </c>
      <c r="AB52" s="35">
        <f>(TA[[#This Row],[Work Start time on Fault]]-TA[[#This Row],[Fault Time]])*24</f>
        <v>0</v>
      </c>
      <c r="AC52" s="34">
        <f>(TA[[#This Row],[Work Completion time on fault]]-TA[[#This Row],[Fault Time]])*24</f>
        <v>0</v>
      </c>
      <c r="AD52" s="35">
        <f>IFERROR((TA[[#This Row],[Work Completion time on fault]]-TA[[#This Row],[Fault Time]])*24,"")</f>
        <v>0</v>
      </c>
      <c r="AE52" t="s">
        <v>328</v>
      </c>
      <c r="AF52" t="s">
        <v>256</v>
      </c>
      <c r="AG52" s="2"/>
      <c r="AH52" s="44">
        <f>1-COS(RADIANS(TA[[#This Row],[Avg. Target Angle during Fault Time (Radians)]]-TA[[#This Row],[Angle of affected equipment ]]))</f>
        <v>0.11705240714107301</v>
      </c>
      <c r="AI52" s="35">
        <f>IFERROR(TA[[#This Row],[Breakdown Time]]*TA[[#This Row],[Plant Equivalent Weightage]],"")</f>
        <v>0</v>
      </c>
    </row>
    <row r="53" spans="1:35">
      <c r="A53" s="2">
        <f t="shared" si="4"/>
        <v>50</v>
      </c>
      <c r="B53" s="156">
        <f t="shared" si="1"/>
        <v>2026</v>
      </c>
      <c r="C53" s="129">
        <f t="shared" si="2"/>
        <v>2025</v>
      </c>
      <c r="D53" s="2" t="s">
        <v>155</v>
      </c>
      <c r="E53" s="2" t="s">
        <v>155</v>
      </c>
      <c r="F53" s="39">
        <v>45748</v>
      </c>
      <c r="G53" s="2">
        <f>DAY(EOMONTH(TA[[#This Row],[Month Year]],0))</f>
        <v>30</v>
      </c>
      <c r="H53" s="21">
        <v>45748</v>
      </c>
      <c r="I53" s="41">
        <f>IFERROR(VLOOKUP(TA[[#This Row],[Date]],Raw_Data[[Date]:[Sunset Time (POA&lt;20 W/m2)]],3,0),"")</f>
        <v>0.26666666666666666</v>
      </c>
      <c r="J53" s="41">
        <f>IFERROR(VLOOKUP(TA[[#This Row],[Date]],Raw_Data[[Date]:[Sunset Time (POA&lt;20 W/m2)]],4,0),"")</f>
        <v>0.76180555555555551</v>
      </c>
      <c r="K53" s="35">
        <f>IFERROR((TA[[#This Row],[Sunset Time (POA&lt;20 W/m2)]]-TA[[#This Row],[Sunrise Time (POA&gt;20 W/m2)]])*24,"")</f>
        <v>11.883333333333333</v>
      </c>
      <c r="L53" s="2" t="s">
        <v>296</v>
      </c>
      <c r="M53" s="42">
        <f>IFERROR(VLOOKUP(TA[[#This Row],[Affected Equipment]],'Basic Data'!$I$2:$K$40,3,0),"")</f>
        <v>8.6206896551724102E-3</v>
      </c>
      <c r="N53">
        <v>-28</v>
      </c>
      <c r="O53" t="s">
        <v>135</v>
      </c>
      <c r="P53" s="127" t="s">
        <v>318</v>
      </c>
      <c r="Q53" s="2" t="s">
        <v>321</v>
      </c>
      <c r="R53">
        <v>133</v>
      </c>
      <c r="S53" s="2">
        <v>26</v>
      </c>
      <c r="T53" t="s">
        <v>297</v>
      </c>
      <c r="U53" t="s">
        <v>300</v>
      </c>
      <c r="V53" t="s">
        <v>314</v>
      </c>
      <c r="W53" s="41"/>
      <c r="X53" s="41"/>
      <c r="Y53" s="34"/>
      <c r="Z53" s="34"/>
      <c r="AA53" s="35">
        <f>IF(TA[[#This Row],[Work Start time on Fault]]="NA","",(TA[[#This Row],[Fault Acknowledgement Time ]]-TA[[#This Row],[Fault Time]])*24)</f>
        <v>0</v>
      </c>
      <c r="AB53" s="35">
        <f>(TA[[#This Row],[Work Start time on Fault]]-TA[[#This Row],[Fault Time]])*24</f>
        <v>0</v>
      </c>
      <c r="AC53" s="34">
        <f>(TA[[#This Row],[Work Completion time on fault]]-TA[[#This Row],[Fault Time]])*24</f>
        <v>0</v>
      </c>
      <c r="AD53" s="35">
        <f>IFERROR((TA[[#This Row],[Work Completion time on fault]]-TA[[#This Row],[Fault Time]])*24,"")</f>
        <v>0</v>
      </c>
      <c r="AE53" t="s">
        <v>328</v>
      </c>
      <c r="AF53" t="s">
        <v>256</v>
      </c>
      <c r="AG53" s="2"/>
      <c r="AH53" s="44">
        <f>1-COS(RADIANS(TA[[#This Row],[Avg. Target Angle during Fault Time (Radians)]]-TA[[#This Row],[Angle of affected equipment ]]))</f>
        <v>0.11705240714107301</v>
      </c>
      <c r="AI53" s="35">
        <f>IFERROR(TA[[#This Row],[Breakdown Time]]*TA[[#This Row],[Plant Equivalent Weightage]],"")</f>
        <v>0</v>
      </c>
    </row>
    <row r="54" spans="1:35">
      <c r="A54" s="2">
        <f t="shared" si="4"/>
        <v>51</v>
      </c>
      <c r="B54" s="156">
        <f t="shared" si="1"/>
        <v>2026</v>
      </c>
      <c r="C54" s="129">
        <f t="shared" si="2"/>
        <v>2025</v>
      </c>
      <c r="D54" s="2" t="s">
        <v>155</v>
      </c>
      <c r="E54" s="2" t="s">
        <v>155</v>
      </c>
      <c r="F54" s="39">
        <v>45748</v>
      </c>
      <c r="G54" s="2">
        <f>DAY(EOMONTH(TA[[#This Row],[Month Year]],0))</f>
        <v>30</v>
      </c>
      <c r="H54" s="21">
        <v>45748</v>
      </c>
      <c r="I54" s="41">
        <f>IFERROR(VLOOKUP(TA[[#This Row],[Date]],Raw_Data[[Date]:[Sunset Time (POA&lt;20 W/m2)]],3,0),"")</f>
        <v>0.26666666666666666</v>
      </c>
      <c r="J54" s="41">
        <f>IFERROR(VLOOKUP(TA[[#This Row],[Date]],Raw_Data[[Date]:[Sunset Time (POA&lt;20 W/m2)]],4,0),"")</f>
        <v>0.76180555555555551</v>
      </c>
      <c r="K54" s="35">
        <f>IFERROR((TA[[#This Row],[Sunset Time (POA&lt;20 W/m2)]]-TA[[#This Row],[Sunrise Time (POA&gt;20 W/m2)]])*24,"")</f>
        <v>11.883333333333333</v>
      </c>
      <c r="L54" s="2" t="s">
        <v>294</v>
      </c>
      <c r="M54" s="42">
        <f>IFERROR(VLOOKUP(TA[[#This Row],[Affected Equipment]],'Basic Data'!$I$2:$K$40,3,0),"")</f>
        <v>1.7241379310344799E-3</v>
      </c>
      <c r="N54">
        <v>-28</v>
      </c>
      <c r="O54" t="s">
        <v>133</v>
      </c>
      <c r="P54" s="127" t="s">
        <v>316</v>
      </c>
      <c r="Q54" s="126" t="s">
        <v>317</v>
      </c>
      <c r="R54">
        <v>7</v>
      </c>
      <c r="S54" s="2">
        <v>32</v>
      </c>
      <c r="T54" t="s">
        <v>295</v>
      </c>
      <c r="U54" t="s">
        <v>300</v>
      </c>
      <c r="V54" t="s">
        <v>298</v>
      </c>
      <c r="W54" s="41"/>
      <c r="X54" s="41"/>
      <c r="Y54" s="34"/>
      <c r="Z54" s="34"/>
      <c r="AA54" s="35">
        <f>IF(TA[[#This Row],[Work Start time on Fault]]="NA","",(TA[[#This Row],[Fault Acknowledgement Time ]]-TA[[#This Row],[Fault Time]])*24)</f>
        <v>0</v>
      </c>
      <c r="AB54" s="35">
        <f>(TA[[#This Row],[Work Start time on Fault]]-TA[[#This Row],[Fault Time]])*24</f>
        <v>0</v>
      </c>
      <c r="AC54" s="34">
        <f>(TA[[#This Row],[Work Completion time on fault]]-TA[[#This Row],[Fault Time]])*24</f>
        <v>0</v>
      </c>
      <c r="AD54" s="35">
        <f>IFERROR((TA[[#This Row],[Work Completion time on fault]]-TA[[#This Row],[Fault Time]])*24,"")</f>
        <v>0</v>
      </c>
      <c r="AE54" t="s">
        <v>328</v>
      </c>
      <c r="AF54" t="s">
        <v>256</v>
      </c>
      <c r="AG54" s="2"/>
      <c r="AH54" s="44">
        <f>1-COS(RADIANS(TA[[#This Row],[Avg. Target Angle during Fault Time (Radians)]]-TA[[#This Row],[Angle of affected equipment ]]))</f>
        <v>0.11705240714107301</v>
      </c>
      <c r="AI54" s="35">
        <f>IFERROR(TA[[#This Row],[Breakdown Time]]*TA[[#This Row],[Plant Equivalent Weightage]],"")</f>
        <v>0</v>
      </c>
    </row>
    <row r="55" spans="1:35">
      <c r="A55" s="2">
        <f t="shared" si="4"/>
        <v>52</v>
      </c>
      <c r="B55" s="156">
        <f t="shared" si="1"/>
        <v>2026</v>
      </c>
      <c r="C55" s="129">
        <f t="shared" si="2"/>
        <v>2025</v>
      </c>
      <c r="D55" s="2" t="s">
        <v>155</v>
      </c>
      <c r="E55" s="2" t="s">
        <v>155</v>
      </c>
      <c r="F55" s="39">
        <v>45748</v>
      </c>
      <c r="G55" s="2">
        <f>DAY(EOMONTH(TA[[#This Row],[Month Year]],0))</f>
        <v>30</v>
      </c>
      <c r="H55" s="21">
        <v>45748</v>
      </c>
      <c r="I55" s="41">
        <f>IFERROR(VLOOKUP(TA[[#This Row],[Date]],Raw_Data[[Date]:[Sunset Time (POA&lt;20 W/m2)]],3,0),"")</f>
        <v>0.26666666666666666</v>
      </c>
      <c r="J55" s="41">
        <f>IFERROR(VLOOKUP(TA[[#This Row],[Date]],Raw_Data[[Date]:[Sunset Time (POA&lt;20 W/m2)]],4,0),"")</f>
        <v>0.76180555555555551</v>
      </c>
      <c r="K55" s="35">
        <f>IFERROR((TA[[#This Row],[Sunset Time (POA&lt;20 W/m2)]]-TA[[#This Row],[Sunrise Time (POA&gt;20 W/m2)]])*24,"")</f>
        <v>11.883333333333333</v>
      </c>
      <c r="L55" s="2" t="s">
        <v>294</v>
      </c>
      <c r="M55" s="42">
        <f>IFERROR(VLOOKUP(TA[[#This Row],[Affected Equipment]],'Basic Data'!$I$2:$K$40,3,0),"")</f>
        <v>1.7241379310344799E-3</v>
      </c>
      <c r="N55">
        <v>-28</v>
      </c>
      <c r="O55" t="s">
        <v>137</v>
      </c>
      <c r="P55" s="127" t="s">
        <v>315</v>
      </c>
      <c r="Q55" s="126" t="s">
        <v>319</v>
      </c>
      <c r="R55">
        <v>166</v>
      </c>
      <c r="S55" s="2">
        <v>91</v>
      </c>
      <c r="T55" t="s">
        <v>295</v>
      </c>
      <c r="U55" t="s">
        <v>300</v>
      </c>
      <c r="V55" t="s">
        <v>298</v>
      </c>
      <c r="W55" s="41"/>
      <c r="X55" s="41"/>
      <c r="Y55" s="34"/>
      <c r="Z55" s="34"/>
      <c r="AA55" s="35">
        <f>IF(TA[[#This Row],[Work Start time on Fault]]="NA","",(TA[[#This Row],[Fault Acknowledgement Time ]]-TA[[#This Row],[Fault Time]])*24)</f>
        <v>0</v>
      </c>
      <c r="AB55" s="35">
        <f>(TA[[#This Row],[Work Start time on Fault]]-TA[[#This Row],[Fault Time]])*24</f>
        <v>0</v>
      </c>
      <c r="AC55" s="34">
        <f>(TA[[#This Row],[Work Completion time on fault]]-TA[[#This Row],[Fault Time]])*24</f>
        <v>0</v>
      </c>
      <c r="AD55" s="35">
        <f>IFERROR((TA[[#This Row],[Work Completion time on fault]]-TA[[#This Row],[Fault Time]])*24,"")</f>
        <v>0</v>
      </c>
      <c r="AE55" t="s">
        <v>328</v>
      </c>
      <c r="AF55" t="s">
        <v>256</v>
      </c>
      <c r="AG55" s="2"/>
      <c r="AH55" s="44">
        <f>1-COS(RADIANS(TA[[#This Row],[Avg. Target Angle during Fault Time (Radians)]]-TA[[#This Row],[Angle of affected equipment ]]))</f>
        <v>0.11705240714107301</v>
      </c>
      <c r="AI55" s="35">
        <f>IFERROR(TA[[#This Row],[Breakdown Time]]*TA[[#This Row],[Plant Equivalent Weightage]],"")</f>
        <v>0</v>
      </c>
    </row>
    <row r="56" spans="1:35">
      <c r="A56" s="2">
        <f t="shared" si="4"/>
        <v>53</v>
      </c>
      <c r="B56" s="156">
        <f t="shared" si="1"/>
        <v>2026</v>
      </c>
      <c r="C56" s="129">
        <f t="shared" si="2"/>
        <v>2025</v>
      </c>
      <c r="D56" s="2" t="s">
        <v>155</v>
      </c>
      <c r="E56" s="2" t="s">
        <v>155</v>
      </c>
      <c r="F56" s="39">
        <v>45748</v>
      </c>
      <c r="G56" s="2">
        <f>DAY(EOMONTH(TA[[#This Row],[Month Year]],0))</f>
        <v>30</v>
      </c>
      <c r="H56" s="21">
        <v>45748</v>
      </c>
      <c r="I56" s="41">
        <f>IFERROR(VLOOKUP(TA[[#This Row],[Date]],Raw_Data[[Date]:[Sunset Time (POA&lt;20 W/m2)]],3,0),"")</f>
        <v>0.26666666666666666</v>
      </c>
      <c r="J56" s="41">
        <f>IFERROR(VLOOKUP(TA[[#This Row],[Date]],Raw_Data[[Date]:[Sunset Time (POA&lt;20 W/m2)]],4,0),"")</f>
        <v>0.76180555555555551</v>
      </c>
      <c r="K56" s="35">
        <f>IFERROR((TA[[#This Row],[Sunset Time (POA&lt;20 W/m2)]]-TA[[#This Row],[Sunrise Time (POA&gt;20 W/m2)]])*24,"")</f>
        <v>11.883333333333333</v>
      </c>
      <c r="L56" s="2" t="s">
        <v>294</v>
      </c>
      <c r="M56" s="42">
        <f>IFERROR(VLOOKUP(TA[[#This Row],[Affected Equipment]],'Basic Data'!$I$2:$K$40,3,0),"")</f>
        <v>1.7241379310344799E-3</v>
      </c>
      <c r="N56">
        <v>-28</v>
      </c>
      <c r="O56" t="s">
        <v>133</v>
      </c>
      <c r="P56" s="127" t="s">
        <v>316</v>
      </c>
      <c r="Q56" s="126" t="s">
        <v>316</v>
      </c>
      <c r="R56">
        <v>117</v>
      </c>
      <c r="S56" s="2">
        <v>20</v>
      </c>
      <c r="T56" t="s">
        <v>295</v>
      </c>
      <c r="U56" t="s">
        <v>300</v>
      </c>
      <c r="V56" t="s">
        <v>298</v>
      </c>
      <c r="W56" s="41"/>
      <c r="X56" s="41"/>
      <c r="Y56" s="34"/>
      <c r="Z56" s="34"/>
      <c r="AA56" s="35">
        <f>IF(TA[[#This Row],[Work Start time on Fault]]="NA","",(TA[[#This Row],[Fault Acknowledgement Time ]]-TA[[#This Row],[Fault Time]])*24)</f>
        <v>0</v>
      </c>
      <c r="AB56" s="35">
        <f>(TA[[#This Row],[Work Start time on Fault]]-TA[[#This Row],[Fault Time]])*24</f>
        <v>0</v>
      </c>
      <c r="AC56" s="34">
        <f>(TA[[#This Row],[Work Completion time on fault]]-TA[[#This Row],[Fault Time]])*24</f>
        <v>0</v>
      </c>
      <c r="AD56" s="35">
        <f>IFERROR((TA[[#This Row],[Work Completion time on fault]]-TA[[#This Row],[Fault Time]])*24,"")</f>
        <v>0</v>
      </c>
      <c r="AE56" t="s">
        <v>328</v>
      </c>
      <c r="AF56" t="s">
        <v>256</v>
      </c>
      <c r="AG56" s="2"/>
      <c r="AH56" s="44">
        <f>1-COS(RADIANS(TA[[#This Row],[Avg. Target Angle during Fault Time (Radians)]]-TA[[#This Row],[Angle of affected equipment ]]))</f>
        <v>0.11705240714107301</v>
      </c>
      <c r="AI56" s="35">
        <f>IFERROR(TA[[#This Row],[Breakdown Time]]*TA[[#This Row],[Plant Equivalent Weightage]],"")</f>
        <v>0</v>
      </c>
    </row>
    <row r="57" spans="1:35">
      <c r="A57" s="2">
        <f t="shared" si="4"/>
        <v>54</v>
      </c>
      <c r="B57" s="156">
        <f t="shared" si="1"/>
        <v>2026</v>
      </c>
      <c r="C57" s="129">
        <f t="shared" si="2"/>
        <v>2025</v>
      </c>
      <c r="D57" s="2" t="s">
        <v>155</v>
      </c>
      <c r="E57" s="2" t="s">
        <v>155</v>
      </c>
      <c r="F57" s="39">
        <v>45748</v>
      </c>
      <c r="G57" s="2">
        <f>DAY(EOMONTH(TA[[#This Row],[Month Year]],0))</f>
        <v>30</v>
      </c>
      <c r="H57" s="21">
        <v>45748</v>
      </c>
      <c r="I57" s="41">
        <f>IFERROR(VLOOKUP(TA[[#This Row],[Date]],Raw_Data[[Date]:[Sunset Time (POA&lt;20 W/m2)]],3,0),"")</f>
        <v>0.26666666666666666</v>
      </c>
      <c r="J57" s="41">
        <f>IFERROR(VLOOKUP(TA[[#This Row],[Date]],Raw_Data[[Date]:[Sunset Time (POA&lt;20 W/m2)]],4,0),"")</f>
        <v>0.76180555555555551</v>
      </c>
      <c r="K57" s="35">
        <f>IFERROR((TA[[#This Row],[Sunset Time (POA&lt;20 W/m2)]]-TA[[#This Row],[Sunrise Time (POA&gt;20 W/m2)]])*24,"")</f>
        <v>11.883333333333333</v>
      </c>
      <c r="L57" s="2" t="s">
        <v>294</v>
      </c>
      <c r="M57" s="42">
        <f>IFERROR(VLOOKUP(TA[[#This Row],[Affected Equipment]],'Basic Data'!$I$2:$K$40,3,0),"")</f>
        <v>1.7241379310344799E-3</v>
      </c>
      <c r="N57">
        <v>-28</v>
      </c>
      <c r="O57" t="s">
        <v>133</v>
      </c>
      <c r="P57" s="127" t="s">
        <v>316</v>
      </c>
      <c r="Q57" s="126" t="s">
        <v>316</v>
      </c>
      <c r="R57">
        <v>118</v>
      </c>
      <c r="S57" s="2">
        <v>22</v>
      </c>
      <c r="T57" t="s">
        <v>295</v>
      </c>
      <c r="U57" t="s">
        <v>300</v>
      </c>
      <c r="V57" t="s">
        <v>298</v>
      </c>
      <c r="W57" s="41"/>
      <c r="X57" s="41"/>
      <c r="Y57" s="34"/>
      <c r="Z57" s="34"/>
      <c r="AA57" s="35">
        <f>IF(TA[[#This Row],[Work Start time on Fault]]="NA","",(TA[[#This Row],[Fault Acknowledgement Time ]]-TA[[#This Row],[Fault Time]])*24)</f>
        <v>0</v>
      </c>
      <c r="AB57" s="35">
        <f>(TA[[#This Row],[Work Start time on Fault]]-TA[[#This Row],[Fault Time]])*24</f>
        <v>0</v>
      </c>
      <c r="AC57" s="34">
        <f>(TA[[#This Row],[Work Completion time on fault]]-TA[[#This Row],[Fault Time]])*24</f>
        <v>0</v>
      </c>
      <c r="AD57" s="35">
        <f>IFERROR((TA[[#This Row],[Work Completion time on fault]]-TA[[#This Row],[Fault Time]])*24,"")</f>
        <v>0</v>
      </c>
      <c r="AE57" t="s">
        <v>328</v>
      </c>
      <c r="AF57" t="s">
        <v>256</v>
      </c>
      <c r="AG57" s="2"/>
      <c r="AH57" s="44">
        <f>1-COS(RADIANS(TA[[#This Row],[Avg. Target Angle during Fault Time (Radians)]]-TA[[#This Row],[Angle of affected equipment ]]))</f>
        <v>0.11705240714107301</v>
      </c>
      <c r="AI57" s="35">
        <f>IFERROR(TA[[#This Row],[Breakdown Time]]*TA[[#This Row],[Plant Equivalent Weightage]],"")</f>
        <v>0</v>
      </c>
    </row>
    <row r="58" spans="1:35">
      <c r="A58" s="2">
        <f t="shared" si="4"/>
        <v>55</v>
      </c>
      <c r="B58" s="156">
        <f t="shared" si="1"/>
        <v>2026</v>
      </c>
      <c r="C58" s="129">
        <f t="shared" si="2"/>
        <v>2025</v>
      </c>
      <c r="D58" s="2" t="s">
        <v>155</v>
      </c>
      <c r="E58" s="2" t="s">
        <v>155</v>
      </c>
      <c r="F58" s="39">
        <v>45748</v>
      </c>
      <c r="G58" s="2">
        <f>DAY(EOMONTH(TA[[#This Row],[Month Year]],0))</f>
        <v>30</v>
      </c>
      <c r="H58" s="21">
        <v>45748</v>
      </c>
      <c r="I58" s="41">
        <f>IFERROR(VLOOKUP(TA[[#This Row],[Date]],Raw_Data[[Date]:[Sunset Time (POA&lt;20 W/m2)]],3,0),"")</f>
        <v>0.26666666666666666</v>
      </c>
      <c r="J58" s="41">
        <f>IFERROR(VLOOKUP(TA[[#This Row],[Date]],Raw_Data[[Date]:[Sunset Time (POA&lt;20 W/m2)]],4,0),"")</f>
        <v>0.76180555555555551</v>
      </c>
      <c r="K58" s="35">
        <f>IFERROR((TA[[#This Row],[Sunset Time (POA&lt;20 W/m2)]]-TA[[#This Row],[Sunrise Time (POA&gt;20 W/m2)]])*24,"")</f>
        <v>11.883333333333333</v>
      </c>
      <c r="L58" s="2" t="s">
        <v>296</v>
      </c>
      <c r="M58" s="42">
        <f>IFERROR(VLOOKUP(TA[[#This Row],[Affected Equipment]],'Basic Data'!$I$2:$K$40,3,0),"")</f>
        <v>8.6206896551724102E-3</v>
      </c>
      <c r="N58">
        <v>-28</v>
      </c>
      <c r="O58" t="s">
        <v>135</v>
      </c>
      <c r="P58" s="22" t="s">
        <v>323</v>
      </c>
      <c r="Q58" s="2" t="s">
        <v>329</v>
      </c>
      <c r="R58">
        <v>45</v>
      </c>
      <c r="S58" s="2">
        <v>8</v>
      </c>
      <c r="T58" t="s">
        <v>297</v>
      </c>
      <c r="U58" t="s">
        <v>326</v>
      </c>
      <c r="V58" t="s">
        <v>301</v>
      </c>
      <c r="W58" s="41">
        <f>IFERROR(VLOOKUP(TA[[#This Row],[Date]],Raw_Data[[Date]:[Sunset Time (POA&lt;20 W/m2)]],3,0),"")</f>
        <v>0.26666666666666666</v>
      </c>
      <c r="X58" s="41">
        <f>IFERROR(VLOOKUP(TA[[#This Row],[Date]],Raw_Data[[Date]:[Sunset Time (POA&lt;20 W/m2)]],3,0),"")</f>
        <v>0.26666666666666666</v>
      </c>
      <c r="Y58" s="34"/>
      <c r="Z58" s="34">
        <v>0.76041666666666663</v>
      </c>
      <c r="AA58" s="35">
        <f>IF(TA[[#This Row],[Work Start time on Fault]]="NA","",(TA[[#This Row],[Fault Acknowledgement Time ]]-TA[[#This Row],[Fault Time]])*24)</f>
        <v>0</v>
      </c>
      <c r="AB58" s="35">
        <f>(TA[[#This Row],[Work Start time on Fault]]-TA[[#This Row],[Fault Time]])*24</f>
        <v>-6.4</v>
      </c>
      <c r="AC58" s="34">
        <f>(TA[[#This Row],[Work Completion time on fault]]-TA[[#This Row],[Fault Time]])*24</f>
        <v>11.85</v>
      </c>
      <c r="AD58" s="35">
        <f>IFERROR((TA[[#This Row],[Work Completion time on fault]]-TA[[#This Row],[Fault Time]])*24,"")</f>
        <v>11.85</v>
      </c>
      <c r="AE58" t="s">
        <v>309</v>
      </c>
      <c r="AF58" t="s">
        <v>256</v>
      </c>
      <c r="AG58" s="2"/>
      <c r="AH58" s="44">
        <f>1-COS(RADIANS(TA[[#This Row],[Avg. Target Angle during Fault Time (Radians)]]-TA[[#This Row],[Angle of affected equipment ]]))</f>
        <v>0.11705240714107301</v>
      </c>
      <c r="AI58" s="35">
        <f>IFERROR(TA[[#This Row],[Breakdown Time]]*TA[[#This Row],[Plant Equivalent Weightage]],"")</f>
        <v>0.10215517241379306</v>
      </c>
    </row>
    <row r="59" spans="1:35">
      <c r="A59" s="2">
        <f t="shared" si="4"/>
        <v>56</v>
      </c>
      <c r="B59" s="156">
        <f t="shared" si="1"/>
        <v>2026</v>
      </c>
      <c r="C59" s="129">
        <f t="shared" si="2"/>
        <v>2025</v>
      </c>
      <c r="D59" s="2" t="s">
        <v>155</v>
      </c>
      <c r="E59" s="2" t="s">
        <v>155</v>
      </c>
      <c r="F59" s="39">
        <v>45748</v>
      </c>
      <c r="G59" s="2">
        <f>DAY(EOMONTH(TA[[#This Row],[Month Year]],0))</f>
        <v>30</v>
      </c>
      <c r="H59" s="21">
        <v>45748</v>
      </c>
      <c r="I59" s="41">
        <f>IFERROR(VLOOKUP(TA[[#This Row],[Date]],Raw_Data[[Date]:[Sunset Time (POA&lt;20 W/m2)]],3,0),"")</f>
        <v>0.26666666666666666</v>
      </c>
      <c r="J59" s="41">
        <f>IFERROR(VLOOKUP(TA[[#This Row],[Date]],Raw_Data[[Date]:[Sunset Time (POA&lt;20 W/m2)]],4,0),"")</f>
        <v>0.76180555555555551</v>
      </c>
      <c r="K59" s="35">
        <f>IFERROR((TA[[#This Row],[Sunset Time (POA&lt;20 W/m2)]]-TA[[#This Row],[Sunrise Time (POA&gt;20 W/m2)]])*24,"")</f>
        <v>11.883333333333333</v>
      </c>
      <c r="L59" s="2" t="s">
        <v>296</v>
      </c>
      <c r="M59" s="42">
        <f>IFERROR(VLOOKUP(TA[[#This Row],[Affected Equipment]],'Basic Data'!$I$2:$K$40,3,0),"")</f>
        <v>8.6206896551724102E-3</v>
      </c>
      <c r="N59">
        <v>-28</v>
      </c>
      <c r="O59" t="s">
        <v>135</v>
      </c>
      <c r="P59" s="22" t="s">
        <v>323</v>
      </c>
      <c r="Q59" s="2" t="s">
        <v>329</v>
      </c>
      <c r="R59">
        <v>47</v>
      </c>
      <c r="S59" s="2">
        <v>18</v>
      </c>
      <c r="T59" t="s">
        <v>297</v>
      </c>
      <c r="U59" t="s">
        <v>326</v>
      </c>
      <c r="V59" t="s">
        <v>301</v>
      </c>
      <c r="W59" s="41">
        <f>IFERROR(VLOOKUP(TA[[#This Row],[Date]],Raw_Data[[Date]:[Sunset Time (POA&lt;20 W/m2)]],3,0),"")</f>
        <v>0.26666666666666666</v>
      </c>
      <c r="X59" s="41">
        <f>IFERROR(VLOOKUP(TA[[#This Row],[Date]],Raw_Data[[Date]:[Sunset Time (POA&lt;20 W/m2)]],3,0),"")</f>
        <v>0.26666666666666666</v>
      </c>
      <c r="Y59" s="34"/>
      <c r="Z59" s="34">
        <v>0.76041666666666663</v>
      </c>
      <c r="AA59" s="35">
        <f>IF(TA[[#This Row],[Work Start time on Fault]]="NA","",(TA[[#This Row],[Fault Acknowledgement Time ]]-TA[[#This Row],[Fault Time]])*24)</f>
        <v>0</v>
      </c>
      <c r="AB59" s="35">
        <f>(TA[[#This Row],[Work Start time on Fault]]-TA[[#This Row],[Fault Time]])*24</f>
        <v>-6.4</v>
      </c>
      <c r="AC59" s="34">
        <f>(TA[[#This Row],[Work Completion time on fault]]-TA[[#This Row],[Fault Time]])*24</f>
        <v>11.85</v>
      </c>
      <c r="AD59" s="35">
        <f>IFERROR((TA[[#This Row],[Work Completion time on fault]]-TA[[#This Row],[Fault Time]])*24,"")</f>
        <v>11.85</v>
      </c>
      <c r="AE59" t="s">
        <v>309</v>
      </c>
      <c r="AF59" t="s">
        <v>256</v>
      </c>
      <c r="AG59" s="2"/>
      <c r="AH59" s="44">
        <f>1-COS(RADIANS(TA[[#This Row],[Avg. Target Angle during Fault Time (Radians)]]-TA[[#This Row],[Angle of affected equipment ]]))</f>
        <v>0.11705240714107301</v>
      </c>
      <c r="AI59" s="35">
        <f>IFERROR(TA[[#This Row],[Breakdown Time]]*TA[[#This Row],[Plant Equivalent Weightage]],"")</f>
        <v>0.10215517241379306</v>
      </c>
    </row>
    <row r="60" spans="1:35">
      <c r="A60" s="2">
        <f t="shared" si="4"/>
        <v>57</v>
      </c>
      <c r="B60" s="156">
        <f t="shared" si="1"/>
        <v>2026</v>
      </c>
      <c r="C60" s="129">
        <f t="shared" si="2"/>
        <v>2025</v>
      </c>
      <c r="D60" s="2" t="s">
        <v>155</v>
      </c>
      <c r="E60" s="2" t="s">
        <v>155</v>
      </c>
      <c r="F60" s="39">
        <v>45748</v>
      </c>
      <c r="G60" s="2">
        <f>DAY(EOMONTH(TA[[#This Row],[Month Year]],0))</f>
        <v>30</v>
      </c>
      <c r="H60" s="21">
        <v>45748</v>
      </c>
      <c r="I60" s="41">
        <f>IFERROR(VLOOKUP(TA[[#This Row],[Date]],Raw_Data[[Date]:[Sunset Time (POA&lt;20 W/m2)]],3,0),"")</f>
        <v>0.26666666666666666</v>
      </c>
      <c r="J60" s="41">
        <f>IFERROR(VLOOKUP(TA[[#This Row],[Date]],Raw_Data[[Date]:[Sunset Time (POA&lt;20 W/m2)]],4,0),"")</f>
        <v>0.76180555555555551</v>
      </c>
      <c r="K60" s="35">
        <f>IFERROR((TA[[#This Row],[Sunset Time (POA&lt;20 W/m2)]]-TA[[#This Row],[Sunrise Time (POA&gt;20 W/m2)]])*24,"")</f>
        <v>11.883333333333333</v>
      </c>
      <c r="L60" s="2" t="s">
        <v>296</v>
      </c>
      <c r="M60" s="42">
        <f>IFERROR(VLOOKUP(TA[[#This Row],[Affected Equipment]],'Basic Data'!$I$2:$K$40,3,0),"")</f>
        <v>8.6206896551724102E-3</v>
      </c>
      <c r="N60">
        <v>-28</v>
      </c>
      <c r="O60" t="s">
        <v>134</v>
      </c>
      <c r="P60" s="22" t="s">
        <v>330</v>
      </c>
      <c r="Q60" s="2" t="s">
        <v>323</v>
      </c>
      <c r="R60">
        <v>30</v>
      </c>
      <c r="S60" s="2">
        <v>57</v>
      </c>
      <c r="T60" t="s">
        <v>297</v>
      </c>
      <c r="U60" t="s">
        <v>326</v>
      </c>
      <c r="V60" t="s">
        <v>301</v>
      </c>
      <c r="W60" s="41">
        <f>IFERROR(VLOOKUP(TA[[#This Row],[Date]],Raw_Data[[Date]:[Sunset Time (POA&lt;20 W/m2)]],3,0),"")</f>
        <v>0.26666666666666666</v>
      </c>
      <c r="X60" s="41">
        <f>IFERROR(VLOOKUP(TA[[#This Row],[Date]],Raw_Data[[Date]:[Sunset Time (POA&lt;20 W/m2)]],3,0),"")</f>
        <v>0.26666666666666666</v>
      </c>
      <c r="Y60" s="34"/>
      <c r="Z60" s="34">
        <v>0.76041666666666663</v>
      </c>
      <c r="AA60" s="35">
        <f>IF(TA[[#This Row],[Work Start time on Fault]]="NA","",(TA[[#This Row],[Fault Acknowledgement Time ]]-TA[[#This Row],[Fault Time]])*24)</f>
        <v>0</v>
      </c>
      <c r="AB60" s="35">
        <f>(TA[[#This Row],[Work Start time on Fault]]-TA[[#This Row],[Fault Time]])*24</f>
        <v>-6.4</v>
      </c>
      <c r="AC60" s="34">
        <f>(TA[[#This Row],[Work Completion time on fault]]-TA[[#This Row],[Fault Time]])*24</f>
        <v>11.85</v>
      </c>
      <c r="AD60" s="35">
        <f>IFERROR((TA[[#This Row],[Work Completion time on fault]]-TA[[#This Row],[Fault Time]])*24,"")</f>
        <v>11.85</v>
      </c>
      <c r="AE60" t="s">
        <v>309</v>
      </c>
      <c r="AF60" t="s">
        <v>256</v>
      </c>
      <c r="AG60" s="2"/>
      <c r="AH60" s="44">
        <f>1-COS(RADIANS(TA[[#This Row],[Avg. Target Angle during Fault Time (Radians)]]-TA[[#This Row],[Angle of affected equipment ]]))</f>
        <v>0.11705240714107301</v>
      </c>
      <c r="AI60" s="35">
        <f>IFERROR(TA[[#This Row],[Breakdown Time]]*TA[[#This Row],[Plant Equivalent Weightage]],"")</f>
        <v>0.10215517241379306</v>
      </c>
    </row>
    <row r="61" spans="1:35">
      <c r="A61" s="2">
        <f t="shared" si="4"/>
        <v>58</v>
      </c>
      <c r="B61" s="156">
        <f t="shared" si="1"/>
        <v>2026</v>
      </c>
      <c r="C61" s="129">
        <f t="shared" si="2"/>
        <v>2025</v>
      </c>
      <c r="D61" s="2" t="s">
        <v>155</v>
      </c>
      <c r="E61" s="2" t="s">
        <v>155</v>
      </c>
      <c r="F61" s="39">
        <v>45748</v>
      </c>
      <c r="G61" s="2">
        <f>DAY(EOMONTH(TA[[#This Row],[Month Year]],0))</f>
        <v>30</v>
      </c>
      <c r="H61" s="21">
        <v>45748</v>
      </c>
      <c r="I61" s="41">
        <f>IFERROR(VLOOKUP(TA[[#This Row],[Date]],Raw_Data[[Date]:[Sunset Time (POA&lt;20 W/m2)]],3,0),"")</f>
        <v>0.26666666666666666</v>
      </c>
      <c r="J61" s="41">
        <f>IFERROR(VLOOKUP(TA[[#This Row],[Date]],Raw_Data[[Date]:[Sunset Time (POA&lt;20 W/m2)]],4,0),"")</f>
        <v>0.76180555555555551</v>
      </c>
      <c r="K61" s="35">
        <f>IFERROR((TA[[#This Row],[Sunset Time (POA&lt;20 W/m2)]]-TA[[#This Row],[Sunrise Time (POA&gt;20 W/m2)]])*24,"")</f>
        <v>11.883333333333333</v>
      </c>
      <c r="L61" s="2" t="s">
        <v>296</v>
      </c>
      <c r="M61" s="42">
        <f>IFERROR(VLOOKUP(TA[[#This Row],[Affected Equipment]],'Basic Data'!$I$2:$K$40,3,0),"")</f>
        <v>8.6206896551724102E-3</v>
      </c>
      <c r="N61">
        <v>-28</v>
      </c>
      <c r="O61" t="s">
        <v>134</v>
      </c>
      <c r="P61" s="22" t="s">
        <v>330</v>
      </c>
      <c r="Q61" s="2" t="s">
        <v>323</v>
      </c>
      <c r="R61">
        <v>31</v>
      </c>
      <c r="S61" s="2">
        <v>61</v>
      </c>
      <c r="T61" t="s">
        <v>297</v>
      </c>
      <c r="U61" t="s">
        <v>326</v>
      </c>
      <c r="V61" t="s">
        <v>301</v>
      </c>
      <c r="W61" s="41">
        <f>IFERROR(VLOOKUP(TA[[#This Row],[Date]],Raw_Data[[Date]:[Sunset Time (POA&lt;20 W/m2)]],3,0),"")</f>
        <v>0.26666666666666666</v>
      </c>
      <c r="X61" s="41">
        <f>IFERROR(VLOOKUP(TA[[#This Row],[Date]],Raw_Data[[Date]:[Sunset Time (POA&lt;20 W/m2)]],3,0),"")</f>
        <v>0.26666666666666666</v>
      </c>
      <c r="Y61" s="34"/>
      <c r="Z61" s="34">
        <v>0.76041666666666663</v>
      </c>
      <c r="AA61" s="35">
        <f>IF(TA[[#This Row],[Work Start time on Fault]]="NA","",(TA[[#This Row],[Fault Acknowledgement Time ]]-TA[[#This Row],[Fault Time]])*24)</f>
        <v>0</v>
      </c>
      <c r="AB61" s="35">
        <f>(TA[[#This Row],[Work Start time on Fault]]-TA[[#This Row],[Fault Time]])*24</f>
        <v>-6.4</v>
      </c>
      <c r="AC61" s="34">
        <f>(TA[[#This Row],[Work Completion time on fault]]-TA[[#This Row],[Fault Time]])*24</f>
        <v>11.85</v>
      </c>
      <c r="AD61" s="35">
        <f>IFERROR((TA[[#This Row],[Work Completion time on fault]]-TA[[#This Row],[Fault Time]])*24,"")</f>
        <v>11.85</v>
      </c>
      <c r="AE61" t="s">
        <v>309</v>
      </c>
      <c r="AF61" t="s">
        <v>256</v>
      </c>
      <c r="AG61" s="2"/>
      <c r="AH61" s="44">
        <f>1-COS(RADIANS(TA[[#This Row],[Avg. Target Angle during Fault Time (Radians)]]-TA[[#This Row],[Angle of affected equipment ]]))</f>
        <v>0.11705240714107301</v>
      </c>
      <c r="AI61" s="35">
        <f>IFERROR(TA[[#This Row],[Breakdown Time]]*TA[[#This Row],[Plant Equivalent Weightage]],"")</f>
        <v>0.10215517241379306</v>
      </c>
    </row>
    <row r="62" spans="1:35">
      <c r="A62" s="2">
        <f t="shared" si="4"/>
        <v>59</v>
      </c>
      <c r="B62" s="156">
        <f t="shared" si="1"/>
        <v>2026</v>
      </c>
      <c r="C62" s="129">
        <f t="shared" si="2"/>
        <v>2025</v>
      </c>
      <c r="D62" s="2" t="s">
        <v>155</v>
      </c>
      <c r="E62" s="2" t="s">
        <v>155</v>
      </c>
      <c r="F62" s="39">
        <v>45748</v>
      </c>
      <c r="G62" s="2">
        <f>DAY(EOMONTH(TA[[#This Row],[Month Year]],0))</f>
        <v>30</v>
      </c>
      <c r="H62" s="21">
        <v>45748</v>
      </c>
      <c r="I62" s="41">
        <f>IFERROR(VLOOKUP(TA[[#This Row],[Date]],Raw_Data[[Date]:[Sunset Time (POA&lt;20 W/m2)]],3,0),"")</f>
        <v>0.26666666666666666</v>
      </c>
      <c r="J62" s="41">
        <f>IFERROR(VLOOKUP(TA[[#This Row],[Date]],Raw_Data[[Date]:[Sunset Time (POA&lt;20 W/m2)]],4,0),"")</f>
        <v>0.76180555555555551</v>
      </c>
      <c r="K62" s="35">
        <f>IFERROR((TA[[#This Row],[Sunset Time (POA&lt;20 W/m2)]]-TA[[#This Row],[Sunrise Time (POA&gt;20 W/m2)]])*24,"")</f>
        <v>11.883333333333333</v>
      </c>
      <c r="L62" s="2" t="s">
        <v>312</v>
      </c>
      <c r="M62" s="42">
        <f>IFERROR(VLOOKUP(TA[[#This Row],[Affected Equipment]],'Basic Data'!$I$2:$K$40,3,0),"")</f>
        <v>5.74712643678161E-3</v>
      </c>
      <c r="N62">
        <v>-28</v>
      </c>
      <c r="O62" t="s">
        <v>133</v>
      </c>
      <c r="P62" s="22" t="s">
        <v>330</v>
      </c>
      <c r="Q62" s="2" t="s">
        <v>323</v>
      </c>
      <c r="R62">
        <v>26</v>
      </c>
      <c r="S62" s="2">
        <v>37</v>
      </c>
      <c r="T62" t="s">
        <v>297</v>
      </c>
      <c r="U62" t="s">
        <v>326</v>
      </c>
      <c r="V62" t="s">
        <v>301</v>
      </c>
      <c r="W62" s="41">
        <f>IFERROR(VLOOKUP(TA[[#This Row],[Date]],Raw_Data[[Date]:[Sunset Time (POA&lt;20 W/m2)]],3,0),"")</f>
        <v>0.26666666666666666</v>
      </c>
      <c r="X62" s="41">
        <f>IFERROR(VLOOKUP(TA[[#This Row],[Date]],Raw_Data[[Date]:[Sunset Time (POA&lt;20 W/m2)]],3,0),"")</f>
        <v>0.26666666666666666</v>
      </c>
      <c r="Y62" s="34"/>
      <c r="Z62" s="34">
        <v>0.76041666666666663</v>
      </c>
      <c r="AA62" s="35">
        <f>IF(TA[[#This Row],[Work Start time on Fault]]="NA","",(TA[[#This Row],[Fault Acknowledgement Time ]]-TA[[#This Row],[Fault Time]])*24)</f>
        <v>0</v>
      </c>
      <c r="AB62" s="35">
        <f>(TA[[#This Row],[Work Start time on Fault]]-TA[[#This Row],[Fault Time]])*24</f>
        <v>-6.4</v>
      </c>
      <c r="AC62" s="34">
        <f>(TA[[#This Row],[Work Completion time on fault]]-TA[[#This Row],[Fault Time]])*24</f>
        <v>11.85</v>
      </c>
      <c r="AD62" s="35">
        <f>IFERROR((TA[[#This Row],[Work Completion time on fault]]-TA[[#This Row],[Fault Time]])*24,"")</f>
        <v>11.85</v>
      </c>
      <c r="AE62" t="s">
        <v>309</v>
      </c>
      <c r="AF62" t="s">
        <v>256</v>
      </c>
      <c r="AG62" s="2"/>
      <c r="AH62" s="44">
        <f>1-COS(RADIANS(TA[[#This Row],[Avg. Target Angle during Fault Time (Radians)]]-TA[[#This Row],[Angle of affected equipment ]]))</f>
        <v>0.11705240714107301</v>
      </c>
      <c r="AI62" s="35">
        <f>IFERROR(TA[[#This Row],[Breakdown Time]]*TA[[#This Row],[Plant Equivalent Weightage]],"")</f>
        <v>6.810344827586208E-2</v>
      </c>
    </row>
    <row r="63" spans="1:35">
      <c r="A63" s="2">
        <f t="shared" si="4"/>
        <v>60</v>
      </c>
      <c r="B63" s="156">
        <f t="shared" si="1"/>
        <v>2026</v>
      </c>
      <c r="C63" s="129">
        <f t="shared" si="2"/>
        <v>2025</v>
      </c>
      <c r="D63" s="2" t="s">
        <v>155</v>
      </c>
      <c r="E63" s="2" t="s">
        <v>155</v>
      </c>
      <c r="F63" s="39">
        <v>45748</v>
      </c>
      <c r="G63" s="2">
        <f>DAY(EOMONTH(TA[[#This Row],[Month Year]],0))</f>
        <v>30</v>
      </c>
      <c r="H63" s="21">
        <v>45748</v>
      </c>
      <c r="I63" s="41">
        <f>IFERROR(VLOOKUP(TA[[#This Row],[Date]],Raw_Data[[Date]:[Sunset Time (POA&lt;20 W/m2)]],3,0),"")</f>
        <v>0.26666666666666666</v>
      </c>
      <c r="J63" s="41">
        <f>IFERROR(VLOOKUP(TA[[#This Row],[Date]],Raw_Data[[Date]:[Sunset Time (POA&lt;20 W/m2)]],4,0),"")</f>
        <v>0.76180555555555551</v>
      </c>
      <c r="K63" s="35">
        <f>IFERROR((TA[[#This Row],[Sunset Time (POA&lt;20 W/m2)]]-TA[[#This Row],[Sunrise Time (POA&gt;20 W/m2)]])*24,"")</f>
        <v>11.883333333333333</v>
      </c>
      <c r="L63" s="2" t="s">
        <v>312</v>
      </c>
      <c r="M63" s="42">
        <f>IFERROR(VLOOKUP(TA[[#This Row],[Affected Equipment]],'Basic Data'!$I$2:$K$40,3,0),"")</f>
        <v>5.74712643678161E-3</v>
      </c>
      <c r="N63">
        <v>-28</v>
      </c>
      <c r="O63" t="s">
        <v>133</v>
      </c>
      <c r="P63" s="22" t="s">
        <v>330</v>
      </c>
      <c r="Q63" s="2" t="s">
        <v>323</v>
      </c>
      <c r="R63">
        <v>27</v>
      </c>
      <c r="S63" s="2">
        <v>42</v>
      </c>
      <c r="T63" t="s">
        <v>297</v>
      </c>
      <c r="U63" t="s">
        <v>326</v>
      </c>
      <c r="V63" t="s">
        <v>301</v>
      </c>
      <c r="W63" s="41">
        <f>IFERROR(VLOOKUP(TA[[#This Row],[Date]],Raw_Data[[Date]:[Sunset Time (POA&lt;20 W/m2)]],3,0),"")</f>
        <v>0.26666666666666666</v>
      </c>
      <c r="X63" s="41">
        <f>IFERROR(VLOOKUP(TA[[#This Row],[Date]],Raw_Data[[Date]:[Sunset Time (POA&lt;20 W/m2)]],3,0),"")</f>
        <v>0.26666666666666666</v>
      </c>
      <c r="Y63" s="34"/>
      <c r="Z63" s="34">
        <v>0.76041666666666663</v>
      </c>
      <c r="AA63" s="35">
        <f>IF(TA[[#This Row],[Work Start time on Fault]]="NA","",(TA[[#This Row],[Fault Acknowledgement Time ]]-TA[[#This Row],[Fault Time]])*24)</f>
        <v>0</v>
      </c>
      <c r="AB63" s="35">
        <f>(TA[[#This Row],[Work Start time on Fault]]-TA[[#This Row],[Fault Time]])*24</f>
        <v>-6.4</v>
      </c>
      <c r="AC63" s="34">
        <f>(TA[[#This Row],[Work Completion time on fault]]-TA[[#This Row],[Fault Time]])*24</f>
        <v>11.85</v>
      </c>
      <c r="AD63" s="35">
        <f>IFERROR((TA[[#This Row],[Work Completion time on fault]]-TA[[#This Row],[Fault Time]])*24,"")</f>
        <v>11.85</v>
      </c>
      <c r="AE63" t="s">
        <v>309</v>
      </c>
      <c r="AF63" t="s">
        <v>256</v>
      </c>
      <c r="AG63" s="2"/>
      <c r="AH63" s="44">
        <f>1-COS(RADIANS(TA[[#This Row],[Avg. Target Angle during Fault Time (Radians)]]-TA[[#This Row],[Angle of affected equipment ]]))</f>
        <v>0.11705240714107301</v>
      </c>
      <c r="AI63" s="35">
        <f>IFERROR(TA[[#This Row],[Breakdown Time]]*TA[[#This Row],[Plant Equivalent Weightage]],"")</f>
        <v>6.810344827586208E-2</v>
      </c>
    </row>
    <row r="64" spans="1:35">
      <c r="A64" s="2">
        <f t="shared" si="4"/>
        <v>61</v>
      </c>
      <c r="B64" s="156">
        <f t="shared" si="1"/>
        <v>2026</v>
      </c>
      <c r="C64" s="129">
        <f t="shared" si="2"/>
        <v>2025</v>
      </c>
      <c r="D64" s="2" t="s">
        <v>155</v>
      </c>
      <c r="E64" s="2" t="s">
        <v>155</v>
      </c>
      <c r="F64" s="39">
        <v>45748</v>
      </c>
      <c r="G64" s="2">
        <f>DAY(EOMONTH(TA[[#This Row],[Month Year]],0))</f>
        <v>30</v>
      </c>
      <c r="H64" s="21">
        <v>45749</v>
      </c>
      <c r="I64" s="41">
        <f>IFERROR(VLOOKUP(TA[[#This Row],[Date]],Raw_Data[[Date]:[Sunset Time (POA&lt;20 W/m2)]],3,0),"")</f>
        <v>0.26874999999999999</v>
      </c>
      <c r="J64" s="41">
        <f>IFERROR(VLOOKUP(TA[[#This Row],[Date]],Raw_Data[[Date]:[Sunset Time (POA&lt;20 W/m2)]],4,0),"")</f>
        <v>0.76249999999999996</v>
      </c>
      <c r="K64" s="35">
        <f>IFERROR((TA[[#This Row],[Sunset Time (POA&lt;20 W/m2)]]-TA[[#This Row],[Sunrise Time (POA&gt;20 W/m2)]])*24,"")</f>
        <v>11.85</v>
      </c>
      <c r="L64" s="2" t="s">
        <v>294</v>
      </c>
      <c r="M64" s="42">
        <f>IFERROR(VLOOKUP(TA[[#This Row],[Affected Equipment]],'Basic Data'!$I$2:$K$40,3,0),"")</f>
        <v>1.7241379310344799E-3</v>
      </c>
      <c r="N64">
        <v>-28</v>
      </c>
      <c r="O64" t="s">
        <v>135</v>
      </c>
      <c r="P64" s="127" t="s">
        <v>318</v>
      </c>
      <c r="Q64" s="126" t="s">
        <v>318</v>
      </c>
      <c r="R64">
        <v>130</v>
      </c>
      <c r="S64" s="2">
        <v>36</v>
      </c>
      <c r="T64" t="s">
        <v>295</v>
      </c>
      <c r="U64" t="s">
        <v>300</v>
      </c>
      <c r="V64" t="s">
        <v>298</v>
      </c>
      <c r="W64" s="41"/>
      <c r="X64" s="41"/>
      <c r="Y64" s="34"/>
      <c r="Z64" s="34"/>
      <c r="AA64" s="35">
        <f>IF(TA[[#This Row],[Work Start time on Fault]]="NA","",(TA[[#This Row],[Fault Acknowledgement Time ]]-TA[[#This Row],[Fault Time]])*24)</f>
        <v>0</v>
      </c>
      <c r="AB64" s="35">
        <f>(TA[[#This Row],[Work Start time on Fault]]-TA[[#This Row],[Fault Time]])*24</f>
        <v>0</v>
      </c>
      <c r="AC64" s="34">
        <f>(TA[[#This Row],[Work Completion time on fault]]-TA[[#This Row],[Fault Time]])*24</f>
        <v>0</v>
      </c>
      <c r="AD64" s="35">
        <f>IFERROR((TA[[#This Row],[Work Completion time on fault]]-TA[[#This Row],[Fault Time]])*24,"")</f>
        <v>0</v>
      </c>
      <c r="AE64" t="s">
        <v>328</v>
      </c>
      <c r="AF64" t="s">
        <v>256</v>
      </c>
      <c r="AG64" s="2"/>
      <c r="AH64" s="44">
        <f>1-COS(RADIANS(TA[[#This Row],[Avg. Target Angle during Fault Time (Radians)]]-TA[[#This Row],[Angle of affected equipment ]]))</f>
        <v>0.11705240714107301</v>
      </c>
      <c r="AI64" s="35">
        <f>IFERROR(TA[[#This Row],[Breakdown Time]]*TA[[#This Row],[Plant Equivalent Weightage]],"")</f>
        <v>0</v>
      </c>
    </row>
    <row r="65" spans="1:35">
      <c r="A65" s="2">
        <f t="shared" si="4"/>
        <v>62</v>
      </c>
      <c r="B65" s="156">
        <f t="shared" si="1"/>
        <v>2026</v>
      </c>
      <c r="C65" s="129">
        <f t="shared" si="2"/>
        <v>2025</v>
      </c>
      <c r="D65" s="2" t="s">
        <v>155</v>
      </c>
      <c r="E65" s="2" t="s">
        <v>155</v>
      </c>
      <c r="F65" s="39">
        <v>45748</v>
      </c>
      <c r="G65" s="2">
        <f>DAY(EOMONTH(TA[[#This Row],[Month Year]],0))</f>
        <v>30</v>
      </c>
      <c r="H65" s="21">
        <v>45749</v>
      </c>
      <c r="I65" s="41">
        <f>IFERROR(VLOOKUP(TA[[#This Row],[Date]],Raw_Data[[Date]:[Sunset Time (POA&lt;20 W/m2)]],3,0),"")</f>
        <v>0.26874999999999999</v>
      </c>
      <c r="J65" s="41">
        <f>IFERROR(VLOOKUP(TA[[#This Row],[Date]],Raw_Data[[Date]:[Sunset Time (POA&lt;20 W/m2)]],4,0),"")</f>
        <v>0.76249999999999996</v>
      </c>
      <c r="K65" s="35">
        <f>IFERROR((TA[[#This Row],[Sunset Time (POA&lt;20 W/m2)]]-TA[[#This Row],[Sunrise Time (POA&gt;20 W/m2)]])*24,"")</f>
        <v>11.85</v>
      </c>
      <c r="L65" s="2" t="s">
        <v>294</v>
      </c>
      <c r="M65" s="42">
        <f>IFERROR(VLOOKUP(TA[[#This Row],[Affected Equipment]],'Basic Data'!$I$2:$K$40,3,0),"")</f>
        <v>1.7241379310344799E-3</v>
      </c>
      <c r="N65">
        <v>-28</v>
      </c>
      <c r="O65" t="s">
        <v>135</v>
      </c>
      <c r="P65" s="127" t="s">
        <v>318</v>
      </c>
      <c r="Q65" s="126" t="s">
        <v>318</v>
      </c>
      <c r="R65">
        <v>130</v>
      </c>
      <c r="S65" s="2">
        <v>37</v>
      </c>
      <c r="T65" t="s">
        <v>295</v>
      </c>
      <c r="U65" t="s">
        <v>300</v>
      </c>
      <c r="V65" t="s">
        <v>298</v>
      </c>
      <c r="W65" s="41"/>
      <c r="X65" s="41"/>
      <c r="Y65" s="34"/>
      <c r="Z65" s="34"/>
      <c r="AA65" s="35">
        <f>IF(TA[[#This Row],[Work Start time on Fault]]="NA","",(TA[[#This Row],[Fault Acknowledgement Time ]]-TA[[#This Row],[Fault Time]])*24)</f>
        <v>0</v>
      </c>
      <c r="AB65" s="35">
        <f>(TA[[#This Row],[Work Start time on Fault]]-TA[[#This Row],[Fault Time]])*24</f>
        <v>0</v>
      </c>
      <c r="AC65" s="34">
        <f>(TA[[#This Row],[Work Completion time on fault]]-TA[[#This Row],[Fault Time]])*24</f>
        <v>0</v>
      </c>
      <c r="AD65" s="35">
        <f>IFERROR((TA[[#This Row],[Work Completion time on fault]]-TA[[#This Row],[Fault Time]])*24,"")</f>
        <v>0</v>
      </c>
      <c r="AE65" t="s">
        <v>328</v>
      </c>
      <c r="AF65" t="s">
        <v>256</v>
      </c>
      <c r="AG65" s="2"/>
      <c r="AH65" s="44">
        <f>1-COS(RADIANS(TA[[#This Row],[Avg. Target Angle during Fault Time (Radians)]]-TA[[#This Row],[Angle of affected equipment ]]))</f>
        <v>0.11705240714107301</v>
      </c>
      <c r="AI65" s="35">
        <f>IFERROR(TA[[#This Row],[Breakdown Time]]*TA[[#This Row],[Plant Equivalent Weightage]],"")</f>
        <v>0</v>
      </c>
    </row>
    <row r="66" spans="1:35">
      <c r="A66" s="2">
        <f t="shared" si="4"/>
        <v>63</v>
      </c>
      <c r="B66" s="156">
        <f t="shared" si="1"/>
        <v>2026</v>
      </c>
      <c r="C66" s="129">
        <f t="shared" si="2"/>
        <v>2025</v>
      </c>
      <c r="D66" s="2" t="s">
        <v>155</v>
      </c>
      <c r="E66" s="2" t="s">
        <v>155</v>
      </c>
      <c r="F66" s="39">
        <v>45748</v>
      </c>
      <c r="G66" s="2">
        <f>DAY(EOMONTH(TA[[#This Row],[Month Year]],0))</f>
        <v>30</v>
      </c>
      <c r="H66" s="21">
        <v>45749</v>
      </c>
      <c r="I66" s="41">
        <f>IFERROR(VLOOKUP(TA[[#This Row],[Date]],Raw_Data[[Date]:[Sunset Time (POA&lt;20 W/m2)]],3,0),"")</f>
        <v>0.26874999999999999</v>
      </c>
      <c r="J66" s="41">
        <f>IFERROR(VLOOKUP(TA[[#This Row],[Date]],Raw_Data[[Date]:[Sunset Time (POA&lt;20 W/m2)]],4,0),"")</f>
        <v>0.76249999999999996</v>
      </c>
      <c r="K66" s="35">
        <f>IFERROR((TA[[#This Row],[Sunset Time (POA&lt;20 W/m2)]]-TA[[#This Row],[Sunrise Time (POA&gt;20 W/m2)]])*24,"")</f>
        <v>11.85</v>
      </c>
      <c r="L66" s="2" t="s">
        <v>294</v>
      </c>
      <c r="M66" s="42">
        <f>IFERROR(VLOOKUP(TA[[#This Row],[Affected Equipment]],'Basic Data'!$I$2:$K$40,3,0),"")</f>
        <v>1.7241379310344799E-3</v>
      </c>
      <c r="N66">
        <v>-28</v>
      </c>
      <c r="O66" t="s">
        <v>135</v>
      </c>
      <c r="P66" s="127" t="s">
        <v>318</v>
      </c>
      <c r="Q66" s="126" t="s">
        <v>318</v>
      </c>
      <c r="R66">
        <v>131</v>
      </c>
      <c r="S66" s="2">
        <v>38</v>
      </c>
      <c r="T66" t="s">
        <v>295</v>
      </c>
      <c r="U66" t="s">
        <v>300</v>
      </c>
      <c r="V66" t="s">
        <v>298</v>
      </c>
      <c r="W66" s="41"/>
      <c r="X66" s="41"/>
      <c r="Y66" s="34"/>
      <c r="Z66" s="34"/>
      <c r="AA66" s="35">
        <f>IF(TA[[#This Row],[Work Start time on Fault]]="NA","",(TA[[#This Row],[Fault Acknowledgement Time ]]-TA[[#This Row],[Fault Time]])*24)</f>
        <v>0</v>
      </c>
      <c r="AB66" s="35">
        <f>(TA[[#This Row],[Work Start time on Fault]]-TA[[#This Row],[Fault Time]])*24</f>
        <v>0</v>
      </c>
      <c r="AC66" s="34">
        <f>(TA[[#This Row],[Work Completion time on fault]]-TA[[#This Row],[Fault Time]])*24</f>
        <v>0</v>
      </c>
      <c r="AD66" s="35">
        <f>IFERROR((TA[[#This Row],[Work Completion time on fault]]-TA[[#This Row],[Fault Time]])*24,"")</f>
        <v>0</v>
      </c>
      <c r="AE66" t="s">
        <v>328</v>
      </c>
      <c r="AF66" t="s">
        <v>256</v>
      </c>
      <c r="AG66" s="2"/>
      <c r="AH66" s="44">
        <f>1-COS(RADIANS(TA[[#This Row],[Avg. Target Angle during Fault Time (Radians)]]-TA[[#This Row],[Angle of affected equipment ]]))</f>
        <v>0.11705240714107301</v>
      </c>
      <c r="AI66" s="35">
        <f>IFERROR(TA[[#This Row],[Breakdown Time]]*TA[[#This Row],[Plant Equivalent Weightage]],"")</f>
        <v>0</v>
      </c>
    </row>
    <row r="67" spans="1:35">
      <c r="A67" s="2">
        <f t="shared" si="4"/>
        <v>64</v>
      </c>
      <c r="B67" s="156">
        <f t="shared" si="1"/>
        <v>2026</v>
      </c>
      <c r="C67" s="129">
        <f t="shared" si="2"/>
        <v>2025</v>
      </c>
      <c r="D67" s="2" t="s">
        <v>155</v>
      </c>
      <c r="E67" s="2" t="s">
        <v>155</v>
      </c>
      <c r="F67" s="39">
        <v>45748</v>
      </c>
      <c r="G67" s="2">
        <f>DAY(EOMONTH(TA[[#This Row],[Month Year]],0))</f>
        <v>30</v>
      </c>
      <c r="H67" s="21">
        <v>45749</v>
      </c>
      <c r="I67" s="41">
        <f>IFERROR(VLOOKUP(TA[[#This Row],[Date]],Raw_Data[[Date]:[Sunset Time (POA&lt;20 W/m2)]],3,0),"")</f>
        <v>0.26874999999999999</v>
      </c>
      <c r="J67" s="41">
        <f>IFERROR(VLOOKUP(TA[[#This Row],[Date]],Raw_Data[[Date]:[Sunset Time (POA&lt;20 W/m2)]],4,0),"")</f>
        <v>0.76249999999999996</v>
      </c>
      <c r="K67" s="35">
        <f>IFERROR((TA[[#This Row],[Sunset Time (POA&lt;20 W/m2)]]-TA[[#This Row],[Sunrise Time (POA&gt;20 W/m2)]])*24,"")</f>
        <v>11.85</v>
      </c>
      <c r="L67" s="2" t="s">
        <v>294</v>
      </c>
      <c r="M67" s="42">
        <f>IFERROR(VLOOKUP(TA[[#This Row],[Affected Equipment]],'Basic Data'!$I$2:$K$40,3,0),"")</f>
        <v>1.7241379310344799E-3</v>
      </c>
      <c r="N67">
        <v>-28</v>
      </c>
      <c r="O67" t="s">
        <v>135</v>
      </c>
      <c r="P67" s="127" t="s">
        <v>318</v>
      </c>
      <c r="Q67" s="126" t="s">
        <v>318</v>
      </c>
      <c r="R67">
        <v>131</v>
      </c>
      <c r="S67" s="2">
        <v>39</v>
      </c>
      <c r="T67" t="s">
        <v>295</v>
      </c>
      <c r="U67" t="s">
        <v>300</v>
      </c>
      <c r="V67" t="s">
        <v>298</v>
      </c>
      <c r="W67" s="41"/>
      <c r="X67" s="41"/>
      <c r="Y67" s="34"/>
      <c r="Z67" s="34"/>
      <c r="AA67" s="35">
        <f>IF(TA[[#This Row],[Work Start time on Fault]]="NA","",(TA[[#This Row],[Fault Acknowledgement Time ]]-TA[[#This Row],[Fault Time]])*24)</f>
        <v>0</v>
      </c>
      <c r="AB67" s="35">
        <f>(TA[[#This Row],[Work Start time on Fault]]-TA[[#This Row],[Fault Time]])*24</f>
        <v>0</v>
      </c>
      <c r="AC67" s="34">
        <f>(TA[[#This Row],[Work Completion time on fault]]-TA[[#This Row],[Fault Time]])*24</f>
        <v>0</v>
      </c>
      <c r="AD67" s="35">
        <f>IFERROR((TA[[#This Row],[Work Completion time on fault]]-TA[[#This Row],[Fault Time]])*24,"")</f>
        <v>0</v>
      </c>
      <c r="AE67" t="s">
        <v>328</v>
      </c>
      <c r="AF67" t="s">
        <v>256</v>
      </c>
      <c r="AG67" s="2"/>
      <c r="AH67" s="44">
        <f>1-COS(RADIANS(TA[[#This Row],[Avg. Target Angle during Fault Time (Radians)]]-TA[[#This Row],[Angle of affected equipment ]]))</f>
        <v>0.11705240714107301</v>
      </c>
      <c r="AI67" s="35">
        <f>IFERROR(TA[[#This Row],[Breakdown Time]]*TA[[#This Row],[Plant Equivalent Weightage]],"")</f>
        <v>0</v>
      </c>
    </row>
    <row r="68" spans="1:35">
      <c r="A68" s="2">
        <f t="shared" si="4"/>
        <v>65</v>
      </c>
      <c r="B68" s="156">
        <f t="shared" si="1"/>
        <v>2026</v>
      </c>
      <c r="C68" s="129">
        <f t="shared" si="2"/>
        <v>2025</v>
      </c>
      <c r="D68" s="2" t="s">
        <v>155</v>
      </c>
      <c r="E68" s="2" t="s">
        <v>155</v>
      </c>
      <c r="F68" s="39">
        <v>45748</v>
      </c>
      <c r="G68" s="2">
        <f>DAY(EOMONTH(TA[[#This Row],[Month Year]],0))</f>
        <v>30</v>
      </c>
      <c r="H68" s="21">
        <v>45749</v>
      </c>
      <c r="I68" s="41">
        <f>IFERROR(VLOOKUP(TA[[#This Row],[Date]],Raw_Data[[Date]:[Sunset Time (POA&lt;20 W/m2)]],3,0),"")</f>
        <v>0.26874999999999999</v>
      </c>
      <c r="J68" s="41">
        <f>IFERROR(VLOOKUP(TA[[#This Row],[Date]],Raw_Data[[Date]:[Sunset Time (POA&lt;20 W/m2)]],4,0),"")</f>
        <v>0.76249999999999996</v>
      </c>
      <c r="K68" s="35">
        <f>IFERROR((TA[[#This Row],[Sunset Time (POA&lt;20 W/m2)]]-TA[[#This Row],[Sunrise Time (POA&gt;20 W/m2)]])*24,"")</f>
        <v>11.85</v>
      </c>
      <c r="L68" s="2" t="s">
        <v>296</v>
      </c>
      <c r="M68" s="42">
        <f>IFERROR(VLOOKUP(TA[[#This Row],[Affected Equipment]],'Basic Data'!$I$2:$K$40,3,0),"")</f>
        <v>8.6206896551724102E-3</v>
      </c>
      <c r="N68">
        <v>-28</v>
      </c>
      <c r="O68" t="s">
        <v>135</v>
      </c>
      <c r="P68" s="127" t="s">
        <v>318</v>
      </c>
      <c r="Q68" s="2" t="s">
        <v>321</v>
      </c>
      <c r="R68">
        <v>133</v>
      </c>
      <c r="S68" s="2">
        <v>26</v>
      </c>
      <c r="T68" t="s">
        <v>297</v>
      </c>
      <c r="U68" t="s">
        <v>300</v>
      </c>
      <c r="V68" t="s">
        <v>314</v>
      </c>
      <c r="W68" s="41"/>
      <c r="X68" s="41"/>
      <c r="Y68" s="34"/>
      <c r="Z68" s="34"/>
      <c r="AA68" s="35">
        <f>IF(TA[[#This Row],[Work Start time on Fault]]="NA","",(TA[[#This Row],[Fault Acknowledgement Time ]]-TA[[#This Row],[Fault Time]])*24)</f>
        <v>0</v>
      </c>
      <c r="AB68" s="35">
        <f>(TA[[#This Row],[Work Start time on Fault]]-TA[[#This Row],[Fault Time]])*24</f>
        <v>0</v>
      </c>
      <c r="AC68" s="34">
        <f>(TA[[#This Row],[Work Completion time on fault]]-TA[[#This Row],[Fault Time]])*24</f>
        <v>0</v>
      </c>
      <c r="AD68" s="35">
        <f>IFERROR((TA[[#This Row],[Work Completion time on fault]]-TA[[#This Row],[Fault Time]])*24,"")</f>
        <v>0</v>
      </c>
      <c r="AE68" t="s">
        <v>328</v>
      </c>
      <c r="AF68" t="s">
        <v>256</v>
      </c>
      <c r="AG68" s="2"/>
      <c r="AH68" s="44">
        <f>1-COS(RADIANS(TA[[#This Row],[Avg. Target Angle during Fault Time (Radians)]]-TA[[#This Row],[Angle of affected equipment ]]))</f>
        <v>0.11705240714107301</v>
      </c>
      <c r="AI68" s="35">
        <f>IFERROR(TA[[#This Row],[Breakdown Time]]*TA[[#This Row],[Plant Equivalent Weightage]],"")</f>
        <v>0</v>
      </c>
    </row>
    <row r="69" spans="1:35">
      <c r="A69" s="2">
        <f t="shared" si="4"/>
        <v>66</v>
      </c>
      <c r="B69" s="156">
        <f t="shared" ref="B69:B132" si="5">YEAR(H69)+IF(MONTH(H69)&gt;=4,1,0)</f>
        <v>2026</v>
      </c>
      <c r="C69" s="129">
        <f t="shared" ref="C69:C132" si="6">YEAR(H69)</f>
        <v>2025</v>
      </c>
      <c r="D69" s="2" t="s">
        <v>155</v>
      </c>
      <c r="E69" s="2" t="s">
        <v>155</v>
      </c>
      <c r="F69" s="39">
        <v>45748</v>
      </c>
      <c r="G69" s="2">
        <f>DAY(EOMONTH(TA[[#This Row],[Month Year]],0))</f>
        <v>30</v>
      </c>
      <c r="H69" s="21">
        <v>45749</v>
      </c>
      <c r="I69" s="41">
        <f>IFERROR(VLOOKUP(TA[[#This Row],[Date]],Raw_Data[[Date]:[Sunset Time (POA&lt;20 W/m2)]],3,0),"")</f>
        <v>0.26874999999999999</v>
      </c>
      <c r="J69" s="41">
        <f>IFERROR(VLOOKUP(TA[[#This Row],[Date]],Raw_Data[[Date]:[Sunset Time (POA&lt;20 W/m2)]],4,0),"")</f>
        <v>0.76249999999999996</v>
      </c>
      <c r="K69" s="35">
        <f>IFERROR((TA[[#This Row],[Sunset Time (POA&lt;20 W/m2)]]-TA[[#This Row],[Sunrise Time (POA&gt;20 W/m2)]])*24,"")</f>
        <v>11.85</v>
      </c>
      <c r="L69" s="2" t="s">
        <v>294</v>
      </c>
      <c r="M69" s="42">
        <f>IFERROR(VLOOKUP(TA[[#This Row],[Affected Equipment]],'Basic Data'!$I$2:$K$40,3,0),"")</f>
        <v>1.7241379310344799E-3</v>
      </c>
      <c r="N69">
        <v>-28</v>
      </c>
      <c r="O69" t="s">
        <v>133</v>
      </c>
      <c r="P69" s="127" t="s">
        <v>316</v>
      </c>
      <c r="Q69" s="126" t="s">
        <v>317</v>
      </c>
      <c r="R69">
        <v>7</v>
      </c>
      <c r="S69" s="2">
        <v>32</v>
      </c>
      <c r="T69" t="s">
        <v>295</v>
      </c>
      <c r="U69" t="s">
        <v>300</v>
      </c>
      <c r="V69" t="s">
        <v>298</v>
      </c>
      <c r="W69" s="41"/>
      <c r="X69" s="41"/>
      <c r="Y69" s="34"/>
      <c r="Z69" s="34"/>
      <c r="AA69" s="35">
        <f>IF(TA[[#This Row],[Work Start time on Fault]]="NA","",(TA[[#This Row],[Fault Acknowledgement Time ]]-TA[[#This Row],[Fault Time]])*24)</f>
        <v>0</v>
      </c>
      <c r="AB69" s="35">
        <f>(TA[[#This Row],[Work Start time on Fault]]-TA[[#This Row],[Fault Time]])*24</f>
        <v>0</v>
      </c>
      <c r="AC69" s="34">
        <f>(TA[[#This Row],[Work Completion time on fault]]-TA[[#This Row],[Fault Time]])*24</f>
        <v>0</v>
      </c>
      <c r="AD69" s="35">
        <f>IFERROR((TA[[#This Row],[Work Completion time on fault]]-TA[[#This Row],[Fault Time]])*24,"")</f>
        <v>0</v>
      </c>
      <c r="AE69" t="s">
        <v>328</v>
      </c>
      <c r="AF69" t="s">
        <v>256</v>
      </c>
      <c r="AG69" s="2"/>
      <c r="AH69" s="44">
        <f>1-COS(RADIANS(TA[[#This Row],[Avg. Target Angle during Fault Time (Radians)]]-TA[[#This Row],[Angle of affected equipment ]]))</f>
        <v>0.11705240714107301</v>
      </c>
      <c r="AI69" s="35">
        <f>IFERROR(TA[[#This Row],[Breakdown Time]]*TA[[#This Row],[Plant Equivalent Weightage]],"")</f>
        <v>0</v>
      </c>
    </row>
    <row r="70" spans="1:35">
      <c r="A70" s="2">
        <f t="shared" si="4"/>
        <v>67</v>
      </c>
      <c r="B70" s="156">
        <f t="shared" si="5"/>
        <v>2026</v>
      </c>
      <c r="C70" s="129">
        <f t="shared" si="6"/>
        <v>2025</v>
      </c>
      <c r="D70" s="2" t="s">
        <v>155</v>
      </c>
      <c r="E70" s="2" t="s">
        <v>155</v>
      </c>
      <c r="F70" s="39">
        <v>45748</v>
      </c>
      <c r="G70" s="2">
        <f>DAY(EOMONTH(TA[[#This Row],[Month Year]],0))</f>
        <v>30</v>
      </c>
      <c r="H70" s="21">
        <v>45749</v>
      </c>
      <c r="I70" s="41">
        <f>IFERROR(VLOOKUP(TA[[#This Row],[Date]],Raw_Data[[Date]:[Sunset Time (POA&lt;20 W/m2)]],3,0),"")</f>
        <v>0.26874999999999999</v>
      </c>
      <c r="J70" s="41">
        <f>IFERROR(VLOOKUP(TA[[#This Row],[Date]],Raw_Data[[Date]:[Sunset Time (POA&lt;20 W/m2)]],4,0),"")</f>
        <v>0.76249999999999996</v>
      </c>
      <c r="K70" s="35">
        <f>IFERROR((TA[[#This Row],[Sunset Time (POA&lt;20 W/m2)]]-TA[[#This Row],[Sunrise Time (POA&gt;20 W/m2)]])*24,"")</f>
        <v>11.85</v>
      </c>
      <c r="L70" s="2" t="s">
        <v>294</v>
      </c>
      <c r="M70" s="42">
        <f>IFERROR(VLOOKUP(TA[[#This Row],[Affected Equipment]],'Basic Data'!$I$2:$K$40,3,0),"")</f>
        <v>1.7241379310344799E-3</v>
      </c>
      <c r="N70">
        <v>-28</v>
      </c>
      <c r="O70" t="s">
        <v>137</v>
      </c>
      <c r="P70" s="127" t="s">
        <v>315</v>
      </c>
      <c r="Q70" s="126" t="s">
        <v>319</v>
      </c>
      <c r="R70">
        <v>166</v>
      </c>
      <c r="S70" s="2">
        <v>91</v>
      </c>
      <c r="T70" t="s">
        <v>295</v>
      </c>
      <c r="U70" t="s">
        <v>300</v>
      </c>
      <c r="V70" t="s">
        <v>298</v>
      </c>
      <c r="W70" s="41"/>
      <c r="X70" s="41"/>
      <c r="Y70" s="34"/>
      <c r="Z70" s="34"/>
      <c r="AA70" s="35">
        <f>IF(TA[[#This Row],[Work Start time on Fault]]="NA","",(TA[[#This Row],[Fault Acknowledgement Time ]]-TA[[#This Row],[Fault Time]])*24)</f>
        <v>0</v>
      </c>
      <c r="AB70" s="35">
        <f>(TA[[#This Row],[Work Start time on Fault]]-TA[[#This Row],[Fault Time]])*24</f>
        <v>0</v>
      </c>
      <c r="AC70" s="34">
        <f>(TA[[#This Row],[Work Completion time on fault]]-TA[[#This Row],[Fault Time]])*24</f>
        <v>0</v>
      </c>
      <c r="AD70" s="35">
        <f>IFERROR((TA[[#This Row],[Work Completion time on fault]]-TA[[#This Row],[Fault Time]])*24,"")</f>
        <v>0</v>
      </c>
      <c r="AE70" t="s">
        <v>328</v>
      </c>
      <c r="AF70" t="s">
        <v>256</v>
      </c>
      <c r="AG70" s="2"/>
      <c r="AH70" s="44">
        <f>1-COS(RADIANS(TA[[#This Row],[Avg. Target Angle during Fault Time (Radians)]]-TA[[#This Row],[Angle of affected equipment ]]))</f>
        <v>0.11705240714107301</v>
      </c>
      <c r="AI70" s="35">
        <f>IFERROR(TA[[#This Row],[Breakdown Time]]*TA[[#This Row],[Plant Equivalent Weightage]],"")</f>
        <v>0</v>
      </c>
    </row>
    <row r="71" spans="1:35">
      <c r="A71" s="2">
        <f t="shared" si="4"/>
        <v>68</v>
      </c>
      <c r="B71" s="156">
        <f t="shared" si="5"/>
        <v>2026</v>
      </c>
      <c r="C71" s="129">
        <f t="shared" si="6"/>
        <v>2025</v>
      </c>
      <c r="D71" s="2" t="s">
        <v>155</v>
      </c>
      <c r="E71" s="2" t="s">
        <v>155</v>
      </c>
      <c r="F71" s="39">
        <v>45748</v>
      </c>
      <c r="G71" s="2">
        <f>DAY(EOMONTH(TA[[#This Row],[Month Year]],0))</f>
        <v>30</v>
      </c>
      <c r="H71" s="21">
        <v>45749</v>
      </c>
      <c r="I71" s="41">
        <f>IFERROR(VLOOKUP(TA[[#This Row],[Date]],Raw_Data[[Date]:[Sunset Time (POA&lt;20 W/m2)]],3,0),"")</f>
        <v>0.26874999999999999</v>
      </c>
      <c r="J71" s="41">
        <f>IFERROR(VLOOKUP(TA[[#This Row],[Date]],Raw_Data[[Date]:[Sunset Time (POA&lt;20 W/m2)]],4,0),"")</f>
        <v>0.76249999999999996</v>
      </c>
      <c r="K71" s="35">
        <f>IFERROR((TA[[#This Row],[Sunset Time (POA&lt;20 W/m2)]]-TA[[#This Row],[Sunrise Time (POA&gt;20 W/m2)]])*24,"")</f>
        <v>11.85</v>
      </c>
      <c r="L71" s="2" t="s">
        <v>294</v>
      </c>
      <c r="M71" s="42">
        <f>IFERROR(VLOOKUP(TA[[#This Row],[Affected Equipment]],'Basic Data'!$I$2:$K$40,3,0),"")</f>
        <v>1.7241379310344799E-3</v>
      </c>
      <c r="N71">
        <v>-28</v>
      </c>
      <c r="O71" t="s">
        <v>133</v>
      </c>
      <c r="P71" s="127" t="s">
        <v>316</v>
      </c>
      <c r="Q71" s="126" t="s">
        <v>316</v>
      </c>
      <c r="R71">
        <v>117</v>
      </c>
      <c r="S71" s="2">
        <v>20</v>
      </c>
      <c r="T71" t="s">
        <v>295</v>
      </c>
      <c r="U71" t="s">
        <v>300</v>
      </c>
      <c r="V71" t="s">
        <v>298</v>
      </c>
      <c r="W71" s="41"/>
      <c r="X71" s="41"/>
      <c r="Y71" s="34"/>
      <c r="Z71" s="34"/>
      <c r="AA71" s="35">
        <f>IF(TA[[#This Row],[Work Start time on Fault]]="NA","",(TA[[#This Row],[Fault Acknowledgement Time ]]-TA[[#This Row],[Fault Time]])*24)</f>
        <v>0</v>
      </c>
      <c r="AB71" s="35">
        <f>(TA[[#This Row],[Work Start time on Fault]]-TA[[#This Row],[Fault Time]])*24</f>
        <v>0</v>
      </c>
      <c r="AC71" s="34">
        <f>(TA[[#This Row],[Work Completion time on fault]]-TA[[#This Row],[Fault Time]])*24</f>
        <v>0</v>
      </c>
      <c r="AD71" s="35">
        <f>IFERROR((TA[[#This Row],[Work Completion time on fault]]-TA[[#This Row],[Fault Time]])*24,"")</f>
        <v>0</v>
      </c>
      <c r="AE71" t="s">
        <v>328</v>
      </c>
      <c r="AF71" t="s">
        <v>256</v>
      </c>
      <c r="AG71" s="2"/>
      <c r="AH71" s="44">
        <f>1-COS(RADIANS(TA[[#This Row],[Avg. Target Angle during Fault Time (Radians)]]-TA[[#This Row],[Angle of affected equipment ]]))</f>
        <v>0.11705240714107301</v>
      </c>
      <c r="AI71" s="35">
        <f>IFERROR(TA[[#This Row],[Breakdown Time]]*TA[[#This Row],[Plant Equivalent Weightage]],"")</f>
        <v>0</v>
      </c>
    </row>
    <row r="72" spans="1:35">
      <c r="A72" s="2">
        <f t="shared" si="4"/>
        <v>69</v>
      </c>
      <c r="B72" s="156">
        <f t="shared" si="5"/>
        <v>2026</v>
      </c>
      <c r="C72" s="129">
        <f t="shared" si="6"/>
        <v>2025</v>
      </c>
      <c r="D72" s="2" t="s">
        <v>155</v>
      </c>
      <c r="E72" s="2" t="s">
        <v>155</v>
      </c>
      <c r="F72" s="39">
        <v>45748</v>
      </c>
      <c r="G72" s="2">
        <f>DAY(EOMONTH(TA[[#This Row],[Month Year]],0))</f>
        <v>30</v>
      </c>
      <c r="H72" s="21">
        <v>45749</v>
      </c>
      <c r="I72" s="41">
        <f>IFERROR(VLOOKUP(TA[[#This Row],[Date]],Raw_Data[[Date]:[Sunset Time (POA&lt;20 W/m2)]],3,0),"")</f>
        <v>0.26874999999999999</v>
      </c>
      <c r="J72" s="41">
        <f>IFERROR(VLOOKUP(TA[[#This Row],[Date]],Raw_Data[[Date]:[Sunset Time (POA&lt;20 W/m2)]],4,0),"")</f>
        <v>0.76249999999999996</v>
      </c>
      <c r="K72" s="35">
        <f>IFERROR((TA[[#This Row],[Sunset Time (POA&lt;20 W/m2)]]-TA[[#This Row],[Sunrise Time (POA&gt;20 W/m2)]])*24,"")</f>
        <v>11.85</v>
      </c>
      <c r="L72" s="2" t="s">
        <v>294</v>
      </c>
      <c r="M72" s="42">
        <f>IFERROR(VLOOKUP(TA[[#This Row],[Affected Equipment]],'Basic Data'!$I$2:$K$40,3,0),"")</f>
        <v>1.7241379310344799E-3</v>
      </c>
      <c r="N72">
        <v>-28</v>
      </c>
      <c r="O72" t="s">
        <v>133</v>
      </c>
      <c r="P72" s="127" t="s">
        <v>316</v>
      </c>
      <c r="Q72" s="126" t="s">
        <v>316</v>
      </c>
      <c r="R72">
        <v>118</v>
      </c>
      <c r="S72" s="2">
        <v>22</v>
      </c>
      <c r="T72" t="s">
        <v>295</v>
      </c>
      <c r="U72" t="s">
        <v>300</v>
      </c>
      <c r="V72" t="s">
        <v>298</v>
      </c>
      <c r="W72" s="41"/>
      <c r="X72" s="41"/>
      <c r="Y72" s="34"/>
      <c r="Z72" s="34"/>
      <c r="AA72" s="35">
        <f>IF(TA[[#This Row],[Work Start time on Fault]]="NA","",(TA[[#This Row],[Fault Acknowledgement Time ]]-TA[[#This Row],[Fault Time]])*24)</f>
        <v>0</v>
      </c>
      <c r="AB72" s="35">
        <f>(TA[[#This Row],[Work Start time on Fault]]-TA[[#This Row],[Fault Time]])*24</f>
        <v>0</v>
      </c>
      <c r="AC72" s="34">
        <f>(TA[[#This Row],[Work Completion time on fault]]-TA[[#This Row],[Fault Time]])*24</f>
        <v>0</v>
      </c>
      <c r="AD72" s="35">
        <f>IFERROR((TA[[#This Row],[Work Completion time on fault]]-TA[[#This Row],[Fault Time]])*24,"")</f>
        <v>0</v>
      </c>
      <c r="AE72" t="s">
        <v>328</v>
      </c>
      <c r="AF72" t="s">
        <v>256</v>
      </c>
      <c r="AG72" s="2"/>
      <c r="AH72" s="44">
        <f>1-COS(RADIANS(TA[[#This Row],[Avg. Target Angle during Fault Time (Radians)]]-TA[[#This Row],[Angle of affected equipment ]]))</f>
        <v>0.11705240714107301</v>
      </c>
      <c r="AI72" s="35">
        <f>IFERROR(TA[[#This Row],[Breakdown Time]]*TA[[#This Row],[Plant Equivalent Weightage]],"")</f>
        <v>0</v>
      </c>
    </row>
    <row r="73" spans="1:35">
      <c r="A73" s="2">
        <f t="shared" si="4"/>
        <v>70</v>
      </c>
      <c r="B73" s="156">
        <f t="shared" si="5"/>
        <v>2026</v>
      </c>
      <c r="C73" s="129">
        <f t="shared" si="6"/>
        <v>2025</v>
      </c>
      <c r="D73" s="2" t="s">
        <v>155</v>
      </c>
      <c r="E73" s="2" t="s">
        <v>155</v>
      </c>
      <c r="F73" s="39">
        <v>45748</v>
      </c>
      <c r="G73" s="2">
        <f>DAY(EOMONTH(TA[[#This Row],[Month Year]],0))</f>
        <v>30</v>
      </c>
      <c r="H73" s="21">
        <v>45749</v>
      </c>
      <c r="I73" s="41">
        <f>IFERROR(VLOOKUP(TA[[#This Row],[Date]],Raw_Data[[Date]:[Sunset Time (POA&lt;20 W/m2)]],3,0),"")</f>
        <v>0.26874999999999999</v>
      </c>
      <c r="J73" s="41">
        <f>IFERROR(VLOOKUP(TA[[#This Row],[Date]],Raw_Data[[Date]:[Sunset Time (POA&lt;20 W/m2)]],4,0),"")</f>
        <v>0.76249999999999996</v>
      </c>
      <c r="K73" s="35">
        <f>IFERROR((TA[[#This Row],[Sunset Time (POA&lt;20 W/m2)]]-TA[[#This Row],[Sunrise Time (POA&gt;20 W/m2)]])*24,"")</f>
        <v>11.85</v>
      </c>
      <c r="L73" s="2" t="s">
        <v>296</v>
      </c>
      <c r="M73" s="42">
        <f>IFERROR(VLOOKUP(TA[[#This Row],[Affected Equipment]],'Basic Data'!$I$2:$K$40,3,0),"")</f>
        <v>8.6206896551724102E-3</v>
      </c>
      <c r="N73">
        <v>-28</v>
      </c>
      <c r="O73" t="s">
        <v>135</v>
      </c>
      <c r="P73" s="22" t="s">
        <v>323</v>
      </c>
      <c r="Q73" s="2" t="s">
        <v>329</v>
      </c>
      <c r="R73">
        <v>45</v>
      </c>
      <c r="S73" s="2">
        <v>8</v>
      </c>
      <c r="T73" t="s">
        <v>297</v>
      </c>
      <c r="U73" t="s">
        <v>326</v>
      </c>
      <c r="V73" t="s">
        <v>301</v>
      </c>
      <c r="W73" s="41">
        <f>IFERROR(VLOOKUP(TA[[#This Row],[Date]],Raw_Data[[Date]:[Sunset Time (POA&lt;20 W/m2)]],3,0),"")</f>
        <v>0.26874999999999999</v>
      </c>
      <c r="X73" s="41">
        <f>IFERROR(VLOOKUP(TA[[#This Row],[Date]],Raw_Data[[Date]:[Sunset Time (POA&lt;20 W/m2)]],3,0),"")</f>
        <v>0.26874999999999999</v>
      </c>
      <c r="Y73" s="34"/>
      <c r="Z73" s="34">
        <v>0.76041666666666663</v>
      </c>
      <c r="AA73" s="35">
        <f>IF(TA[[#This Row],[Work Start time on Fault]]="NA","",(TA[[#This Row],[Fault Acknowledgement Time ]]-TA[[#This Row],[Fault Time]])*24)</f>
        <v>0</v>
      </c>
      <c r="AB73" s="35">
        <f>(TA[[#This Row],[Work Start time on Fault]]-TA[[#This Row],[Fault Time]])*24</f>
        <v>-6.4499999999999993</v>
      </c>
      <c r="AC73" s="34">
        <f>(TA[[#This Row],[Work Completion time on fault]]-TA[[#This Row],[Fault Time]])*24</f>
        <v>11.799999999999999</v>
      </c>
      <c r="AD73" s="35">
        <f>IFERROR((TA[[#This Row],[Work Completion time on fault]]-TA[[#This Row],[Fault Time]])*24,"")</f>
        <v>11.799999999999999</v>
      </c>
      <c r="AE73" t="s">
        <v>309</v>
      </c>
      <c r="AF73" t="s">
        <v>256</v>
      </c>
      <c r="AG73" s="2"/>
      <c r="AH73" s="44">
        <f>1-COS(RADIANS(TA[[#This Row],[Avg. Target Angle during Fault Time (Radians)]]-TA[[#This Row],[Angle of affected equipment ]]))</f>
        <v>0.11705240714107301</v>
      </c>
      <c r="AI73" s="35">
        <f>IFERROR(TA[[#This Row],[Breakdown Time]]*TA[[#This Row],[Plant Equivalent Weightage]],"")</f>
        <v>0.10172413793103444</v>
      </c>
    </row>
    <row r="74" spans="1:35">
      <c r="A74" s="2">
        <f t="shared" si="4"/>
        <v>71</v>
      </c>
      <c r="B74" s="156">
        <f t="shared" si="5"/>
        <v>2026</v>
      </c>
      <c r="C74" s="129">
        <f t="shared" si="6"/>
        <v>2025</v>
      </c>
      <c r="D74" s="2" t="s">
        <v>155</v>
      </c>
      <c r="E74" s="2" t="s">
        <v>155</v>
      </c>
      <c r="F74" s="39">
        <v>45748</v>
      </c>
      <c r="G74" s="2">
        <f>DAY(EOMONTH(TA[[#This Row],[Month Year]],0))</f>
        <v>30</v>
      </c>
      <c r="H74" s="21">
        <v>45749</v>
      </c>
      <c r="I74" s="41">
        <f>IFERROR(VLOOKUP(TA[[#This Row],[Date]],Raw_Data[[Date]:[Sunset Time (POA&lt;20 W/m2)]],3,0),"")</f>
        <v>0.26874999999999999</v>
      </c>
      <c r="J74" s="41">
        <f>IFERROR(VLOOKUP(TA[[#This Row],[Date]],Raw_Data[[Date]:[Sunset Time (POA&lt;20 W/m2)]],4,0),"")</f>
        <v>0.76249999999999996</v>
      </c>
      <c r="K74" s="35">
        <f>IFERROR((TA[[#This Row],[Sunset Time (POA&lt;20 W/m2)]]-TA[[#This Row],[Sunrise Time (POA&gt;20 W/m2)]])*24,"")</f>
        <v>11.85</v>
      </c>
      <c r="L74" s="2" t="s">
        <v>296</v>
      </c>
      <c r="M74" s="42">
        <f>IFERROR(VLOOKUP(TA[[#This Row],[Affected Equipment]],'Basic Data'!$I$2:$K$40,3,0),"")</f>
        <v>8.6206896551724102E-3</v>
      </c>
      <c r="N74">
        <v>-28</v>
      </c>
      <c r="O74" t="s">
        <v>135</v>
      </c>
      <c r="P74" s="22" t="s">
        <v>323</v>
      </c>
      <c r="Q74" s="2" t="s">
        <v>329</v>
      </c>
      <c r="R74">
        <v>47</v>
      </c>
      <c r="S74" s="2">
        <v>18</v>
      </c>
      <c r="T74" t="s">
        <v>297</v>
      </c>
      <c r="U74" t="s">
        <v>326</v>
      </c>
      <c r="V74" t="s">
        <v>301</v>
      </c>
      <c r="W74" s="41">
        <f>IFERROR(VLOOKUP(TA[[#This Row],[Date]],Raw_Data[[Date]:[Sunset Time (POA&lt;20 W/m2)]],3,0),"")</f>
        <v>0.26874999999999999</v>
      </c>
      <c r="X74" s="41">
        <f>IFERROR(VLOOKUP(TA[[#This Row],[Date]],Raw_Data[[Date]:[Sunset Time (POA&lt;20 W/m2)]],3,0),"")</f>
        <v>0.26874999999999999</v>
      </c>
      <c r="Y74" s="34"/>
      <c r="Z74" s="34">
        <v>0.76041666666666663</v>
      </c>
      <c r="AA74" s="35">
        <f>IF(TA[[#This Row],[Work Start time on Fault]]="NA","",(TA[[#This Row],[Fault Acknowledgement Time ]]-TA[[#This Row],[Fault Time]])*24)</f>
        <v>0</v>
      </c>
      <c r="AB74" s="35">
        <f>(TA[[#This Row],[Work Start time on Fault]]-TA[[#This Row],[Fault Time]])*24</f>
        <v>-6.4499999999999993</v>
      </c>
      <c r="AC74" s="34">
        <f>(TA[[#This Row],[Work Completion time on fault]]-TA[[#This Row],[Fault Time]])*24</f>
        <v>11.799999999999999</v>
      </c>
      <c r="AD74" s="35">
        <f>IFERROR((TA[[#This Row],[Work Completion time on fault]]-TA[[#This Row],[Fault Time]])*24,"")</f>
        <v>11.799999999999999</v>
      </c>
      <c r="AE74" t="s">
        <v>309</v>
      </c>
      <c r="AF74" t="s">
        <v>256</v>
      </c>
      <c r="AG74" s="2"/>
      <c r="AH74" s="44">
        <f>1-COS(RADIANS(TA[[#This Row],[Avg. Target Angle during Fault Time (Radians)]]-TA[[#This Row],[Angle of affected equipment ]]))</f>
        <v>0.11705240714107301</v>
      </c>
      <c r="AI74" s="35">
        <f>IFERROR(TA[[#This Row],[Breakdown Time]]*TA[[#This Row],[Plant Equivalent Weightage]],"")</f>
        <v>0.10172413793103444</v>
      </c>
    </row>
    <row r="75" spans="1:35">
      <c r="A75" s="2">
        <f t="shared" si="4"/>
        <v>72</v>
      </c>
      <c r="B75" s="156">
        <f t="shared" si="5"/>
        <v>2026</v>
      </c>
      <c r="C75" s="129">
        <f t="shared" si="6"/>
        <v>2025</v>
      </c>
      <c r="D75" s="2" t="s">
        <v>155</v>
      </c>
      <c r="E75" s="2" t="s">
        <v>155</v>
      </c>
      <c r="F75" s="39">
        <v>45748</v>
      </c>
      <c r="G75" s="2">
        <f>DAY(EOMONTH(TA[[#This Row],[Month Year]],0))</f>
        <v>30</v>
      </c>
      <c r="H75" s="21">
        <v>45749</v>
      </c>
      <c r="I75" s="41">
        <f>IFERROR(VLOOKUP(TA[[#This Row],[Date]],Raw_Data[[Date]:[Sunset Time (POA&lt;20 W/m2)]],3,0),"")</f>
        <v>0.26874999999999999</v>
      </c>
      <c r="J75" s="41">
        <f>IFERROR(VLOOKUP(TA[[#This Row],[Date]],Raw_Data[[Date]:[Sunset Time (POA&lt;20 W/m2)]],4,0),"")</f>
        <v>0.76249999999999996</v>
      </c>
      <c r="K75" s="35">
        <f>IFERROR((TA[[#This Row],[Sunset Time (POA&lt;20 W/m2)]]-TA[[#This Row],[Sunrise Time (POA&gt;20 W/m2)]])*24,"")</f>
        <v>11.85</v>
      </c>
      <c r="L75" s="2" t="s">
        <v>296</v>
      </c>
      <c r="M75" s="42">
        <f>IFERROR(VLOOKUP(TA[[#This Row],[Affected Equipment]],'Basic Data'!$I$2:$K$40,3,0),"")</f>
        <v>8.6206896551724102E-3</v>
      </c>
      <c r="N75">
        <v>-28</v>
      </c>
      <c r="O75" t="s">
        <v>134</v>
      </c>
      <c r="P75" s="22" t="s">
        <v>330</v>
      </c>
      <c r="Q75" s="2" t="s">
        <v>323</v>
      </c>
      <c r="R75">
        <v>30</v>
      </c>
      <c r="S75" s="2">
        <v>57</v>
      </c>
      <c r="T75" t="s">
        <v>297</v>
      </c>
      <c r="U75" t="s">
        <v>326</v>
      </c>
      <c r="V75" t="s">
        <v>301</v>
      </c>
      <c r="W75" s="41">
        <f>IFERROR(VLOOKUP(TA[[#This Row],[Date]],Raw_Data[[Date]:[Sunset Time (POA&lt;20 W/m2)]],3,0),"")</f>
        <v>0.26874999999999999</v>
      </c>
      <c r="X75" s="41">
        <f>IFERROR(VLOOKUP(TA[[#This Row],[Date]],Raw_Data[[Date]:[Sunset Time (POA&lt;20 W/m2)]],3,0),"")</f>
        <v>0.26874999999999999</v>
      </c>
      <c r="Y75" s="34"/>
      <c r="Z75" s="34">
        <v>0.76041666666666663</v>
      </c>
      <c r="AA75" s="35">
        <f>IF(TA[[#This Row],[Work Start time on Fault]]="NA","",(TA[[#This Row],[Fault Acknowledgement Time ]]-TA[[#This Row],[Fault Time]])*24)</f>
        <v>0</v>
      </c>
      <c r="AB75" s="35">
        <f>(TA[[#This Row],[Work Start time on Fault]]-TA[[#This Row],[Fault Time]])*24</f>
        <v>-6.4499999999999993</v>
      </c>
      <c r="AC75" s="34">
        <f>(TA[[#This Row],[Work Completion time on fault]]-TA[[#This Row],[Fault Time]])*24</f>
        <v>11.799999999999999</v>
      </c>
      <c r="AD75" s="35">
        <f>IFERROR((TA[[#This Row],[Work Completion time on fault]]-TA[[#This Row],[Fault Time]])*24,"")</f>
        <v>11.799999999999999</v>
      </c>
      <c r="AE75" t="s">
        <v>309</v>
      </c>
      <c r="AF75" t="s">
        <v>256</v>
      </c>
      <c r="AG75" s="2"/>
      <c r="AH75" s="44">
        <f>1-COS(RADIANS(TA[[#This Row],[Avg. Target Angle during Fault Time (Radians)]]-TA[[#This Row],[Angle of affected equipment ]]))</f>
        <v>0.11705240714107301</v>
      </c>
      <c r="AI75" s="35">
        <f>IFERROR(TA[[#This Row],[Breakdown Time]]*TA[[#This Row],[Plant Equivalent Weightage]],"")</f>
        <v>0.10172413793103444</v>
      </c>
    </row>
    <row r="76" spans="1:35">
      <c r="A76" s="2">
        <f t="shared" si="4"/>
        <v>73</v>
      </c>
      <c r="B76" s="156">
        <f t="shared" si="5"/>
        <v>2026</v>
      </c>
      <c r="C76" s="129">
        <f t="shared" si="6"/>
        <v>2025</v>
      </c>
      <c r="D76" s="2" t="s">
        <v>155</v>
      </c>
      <c r="E76" s="2" t="s">
        <v>155</v>
      </c>
      <c r="F76" s="39">
        <v>45748</v>
      </c>
      <c r="G76" s="2">
        <f>DAY(EOMONTH(TA[[#This Row],[Month Year]],0))</f>
        <v>30</v>
      </c>
      <c r="H76" s="21">
        <v>45749</v>
      </c>
      <c r="I76" s="41">
        <f>IFERROR(VLOOKUP(TA[[#This Row],[Date]],Raw_Data[[Date]:[Sunset Time (POA&lt;20 W/m2)]],3,0),"")</f>
        <v>0.26874999999999999</v>
      </c>
      <c r="J76" s="41">
        <f>IFERROR(VLOOKUP(TA[[#This Row],[Date]],Raw_Data[[Date]:[Sunset Time (POA&lt;20 W/m2)]],4,0),"")</f>
        <v>0.76249999999999996</v>
      </c>
      <c r="K76" s="35">
        <f>IFERROR((TA[[#This Row],[Sunset Time (POA&lt;20 W/m2)]]-TA[[#This Row],[Sunrise Time (POA&gt;20 W/m2)]])*24,"")</f>
        <v>11.85</v>
      </c>
      <c r="L76" s="2" t="s">
        <v>296</v>
      </c>
      <c r="M76" s="42">
        <f>IFERROR(VLOOKUP(TA[[#This Row],[Affected Equipment]],'Basic Data'!$I$2:$K$40,3,0),"")</f>
        <v>8.6206896551724102E-3</v>
      </c>
      <c r="N76">
        <v>-28</v>
      </c>
      <c r="O76" t="s">
        <v>134</v>
      </c>
      <c r="P76" s="22" t="s">
        <v>330</v>
      </c>
      <c r="Q76" s="2" t="s">
        <v>323</v>
      </c>
      <c r="R76">
        <v>31</v>
      </c>
      <c r="S76" s="2">
        <v>61</v>
      </c>
      <c r="T76" t="s">
        <v>297</v>
      </c>
      <c r="U76" t="s">
        <v>326</v>
      </c>
      <c r="V76" t="s">
        <v>301</v>
      </c>
      <c r="W76" s="41">
        <f>IFERROR(VLOOKUP(TA[[#This Row],[Date]],Raw_Data[[Date]:[Sunset Time (POA&lt;20 W/m2)]],3,0),"")</f>
        <v>0.26874999999999999</v>
      </c>
      <c r="X76" s="41">
        <f>IFERROR(VLOOKUP(TA[[#This Row],[Date]],Raw_Data[[Date]:[Sunset Time (POA&lt;20 W/m2)]],3,0),"")</f>
        <v>0.26874999999999999</v>
      </c>
      <c r="Y76" s="34"/>
      <c r="Z76" s="34">
        <v>0.76041666666666663</v>
      </c>
      <c r="AA76" s="35">
        <f>IF(TA[[#This Row],[Work Start time on Fault]]="NA","",(TA[[#This Row],[Fault Acknowledgement Time ]]-TA[[#This Row],[Fault Time]])*24)</f>
        <v>0</v>
      </c>
      <c r="AB76" s="35">
        <f>(TA[[#This Row],[Work Start time on Fault]]-TA[[#This Row],[Fault Time]])*24</f>
        <v>-6.4499999999999993</v>
      </c>
      <c r="AC76" s="34">
        <f>(TA[[#This Row],[Work Completion time on fault]]-TA[[#This Row],[Fault Time]])*24</f>
        <v>11.799999999999999</v>
      </c>
      <c r="AD76" s="35">
        <f>IFERROR((TA[[#This Row],[Work Completion time on fault]]-TA[[#This Row],[Fault Time]])*24,"")</f>
        <v>11.799999999999999</v>
      </c>
      <c r="AE76" t="s">
        <v>309</v>
      </c>
      <c r="AF76" t="s">
        <v>256</v>
      </c>
      <c r="AG76" s="2"/>
      <c r="AH76" s="44">
        <f>1-COS(RADIANS(TA[[#This Row],[Avg. Target Angle during Fault Time (Radians)]]-TA[[#This Row],[Angle of affected equipment ]]))</f>
        <v>0.11705240714107301</v>
      </c>
      <c r="AI76" s="35">
        <f>IFERROR(TA[[#This Row],[Breakdown Time]]*TA[[#This Row],[Plant Equivalent Weightage]],"")</f>
        <v>0.10172413793103444</v>
      </c>
    </row>
    <row r="77" spans="1:35">
      <c r="A77" s="2">
        <f t="shared" si="4"/>
        <v>74</v>
      </c>
      <c r="B77" s="156">
        <f t="shared" si="5"/>
        <v>2026</v>
      </c>
      <c r="C77" s="129">
        <f t="shared" si="6"/>
        <v>2025</v>
      </c>
      <c r="D77" s="2" t="s">
        <v>155</v>
      </c>
      <c r="E77" s="2" t="s">
        <v>155</v>
      </c>
      <c r="F77" s="39">
        <v>45748</v>
      </c>
      <c r="G77" s="2">
        <f>DAY(EOMONTH(TA[[#This Row],[Month Year]],0))</f>
        <v>30</v>
      </c>
      <c r="H77" s="21">
        <v>45749</v>
      </c>
      <c r="I77" s="41">
        <f>IFERROR(VLOOKUP(TA[[#This Row],[Date]],Raw_Data[[Date]:[Sunset Time (POA&lt;20 W/m2)]],3,0),"")</f>
        <v>0.26874999999999999</v>
      </c>
      <c r="J77" s="41">
        <f>IFERROR(VLOOKUP(TA[[#This Row],[Date]],Raw_Data[[Date]:[Sunset Time (POA&lt;20 W/m2)]],4,0),"")</f>
        <v>0.76249999999999996</v>
      </c>
      <c r="K77" s="35">
        <f>IFERROR((TA[[#This Row],[Sunset Time (POA&lt;20 W/m2)]]-TA[[#This Row],[Sunrise Time (POA&gt;20 W/m2)]])*24,"")</f>
        <v>11.85</v>
      </c>
      <c r="L77" s="2" t="s">
        <v>312</v>
      </c>
      <c r="M77" s="42">
        <f>IFERROR(VLOOKUP(TA[[#This Row],[Affected Equipment]],'Basic Data'!$I$2:$K$40,3,0),"")</f>
        <v>5.74712643678161E-3</v>
      </c>
      <c r="N77">
        <v>-28</v>
      </c>
      <c r="O77" t="s">
        <v>133</v>
      </c>
      <c r="P77" s="22" t="s">
        <v>330</v>
      </c>
      <c r="Q77" s="2" t="s">
        <v>323</v>
      </c>
      <c r="R77">
        <v>26</v>
      </c>
      <c r="S77" s="2">
        <v>37</v>
      </c>
      <c r="T77" t="s">
        <v>297</v>
      </c>
      <c r="U77" t="s">
        <v>326</v>
      </c>
      <c r="V77" t="s">
        <v>301</v>
      </c>
      <c r="W77" s="41">
        <f>IFERROR(VLOOKUP(TA[[#This Row],[Date]],Raw_Data[[Date]:[Sunset Time (POA&lt;20 W/m2)]],3,0),"")</f>
        <v>0.26874999999999999</v>
      </c>
      <c r="X77" s="41">
        <f>IFERROR(VLOOKUP(TA[[#This Row],[Date]],Raw_Data[[Date]:[Sunset Time (POA&lt;20 W/m2)]],3,0),"")</f>
        <v>0.26874999999999999</v>
      </c>
      <c r="Y77" s="34"/>
      <c r="Z77" s="34">
        <v>0.76041666666666663</v>
      </c>
      <c r="AA77" s="35">
        <f>IF(TA[[#This Row],[Work Start time on Fault]]="NA","",(TA[[#This Row],[Fault Acknowledgement Time ]]-TA[[#This Row],[Fault Time]])*24)</f>
        <v>0</v>
      </c>
      <c r="AB77" s="35">
        <f>(TA[[#This Row],[Work Start time on Fault]]-TA[[#This Row],[Fault Time]])*24</f>
        <v>-6.4499999999999993</v>
      </c>
      <c r="AC77" s="34">
        <f>(TA[[#This Row],[Work Completion time on fault]]-TA[[#This Row],[Fault Time]])*24</f>
        <v>11.799999999999999</v>
      </c>
      <c r="AD77" s="35">
        <f>IFERROR((TA[[#This Row],[Work Completion time on fault]]-TA[[#This Row],[Fault Time]])*24,"")</f>
        <v>11.799999999999999</v>
      </c>
      <c r="AE77" t="s">
        <v>309</v>
      </c>
      <c r="AF77" t="s">
        <v>256</v>
      </c>
      <c r="AG77" s="2"/>
      <c r="AH77" s="44">
        <f>1-COS(RADIANS(TA[[#This Row],[Avg. Target Angle during Fault Time (Radians)]]-TA[[#This Row],[Angle of affected equipment ]]))</f>
        <v>0.11705240714107301</v>
      </c>
      <c r="AI77" s="35">
        <f>IFERROR(TA[[#This Row],[Breakdown Time]]*TA[[#This Row],[Plant Equivalent Weightage]],"")</f>
        <v>6.7816091954022995E-2</v>
      </c>
    </row>
    <row r="78" spans="1:35">
      <c r="A78" s="2">
        <f t="shared" si="4"/>
        <v>75</v>
      </c>
      <c r="B78" s="156">
        <f t="shared" si="5"/>
        <v>2026</v>
      </c>
      <c r="C78" s="129">
        <f t="shared" si="6"/>
        <v>2025</v>
      </c>
      <c r="D78" s="2" t="s">
        <v>155</v>
      </c>
      <c r="E78" s="2" t="s">
        <v>155</v>
      </c>
      <c r="F78" s="39">
        <v>45748</v>
      </c>
      <c r="G78" s="2">
        <f>DAY(EOMONTH(TA[[#This Row],[Month Year]],0))</f>
        <v>30</v>
      </c>
      <c r="H78" s="21">
        <v>45749</v>
      </c>
      <c r="I78" s="41">
        <f>IFERROR(VLOOKUP(TA[[#This Row],[Date]],Raw_Data[[Date]:[Sunset Time (POA&lt;20 W/m2)]],3,0),"")</f>
        <v>0.26874999999999999</v>
      </c>
      <c r="J78" s="41">
        <f>IFERROR(VLOOKUP(TA[[#This Row],[Date]],Raw_Data[[Date]:[Sunset Time (POA&lt;20 W/m2)]],4,0),"")</f>
        <v>0.76249999999999996</v>
      </c>
      <c r="K78" s="35">
        <f>IFERROR((TA[[#This Row],[Sunset Time (POA&lt;20 W/m2)]]-TA[[#This Row],[Sunrise Time (POA&gt;20 W/m2)]])*24,"")</f>
        <v>11.85</v>
      </c>
      <c r="L78" s="2" t="s">
        <v>312</v>
      </c>
      <c r="M78" s="42">
        <f>IFERROR(VLOOKUP(TA[[#This Row],[Affected Equipment]],'Basic Data'!$I$2:$K$40,3,0),"")</f>
        <v>5.74712643678161E-3</v>
      </c>
      <c r="N78">
        <v>-28</v>
      </c>
      <c r="O78" t="s">
        <v>133</v>
      </c>
      <c r="P78" s="22" t="s">
        <v>330</v>
      </c>
      <c r="Q78" s="2" t="s">
        <v>323</v>
      </c>
      <c r="R78">
        <v>27</v>
      </c>
      <c r="S78" s="2">
        <v>42</v>
      </c>
      <c r="T78" t="s">
        <v>297</v>
      </c>
      <c r="U78" t="s">
        <v>326</v>
      </c>
      <c r="V78" t="s">
        <v>301</v>
      </c>
      <c r="W78" s="41">
        <f>IFERROR(VLOOKUP(TA[[#This Row],[Date]],Raw_Data[[Date]:[Sunset Time (POA&lt;20 W/m2)]],3,0),"")</f>
        <v>0.26874999999999999</v>
      </c>
      <c r="X78" s="41">
        <f>IFERROR(VLOOKUP(TA[[#This Row],[Date]],Raw_Data[[Date]:[Sunset Time (POA&lt;20 W/m2)]],3,0),"")</f>
        <v>0.26874999999999999</v>
      </c>
      <c r="Y78" s="34"/>
      <c r="Z78" s="34">
        <v>0.76041666666666663</v>
      </c>
      <c r="AA78" s="35">
        <f>IF(TA[[#This Row],[Work Start time on Fault]]="NA","",(TA[[#This Row],[Fault Acknowledgement Time ]]-TA[[#This Row],[Fault Time]])*24)</f>
        <v>0</v>
      </c>
      <c r="AB78" s="35">
        <f>(TA[[#This Row],[Work Start time on Fault]]-TA[[#This Row],[Fault Time]])*24</f>
        <v>-6.4499999999999993</v>
      </c>
      <c r="AC78" s="34">
        <f>(TA[[#This Row],[Work Completion time on fault]]-TA[[#This Row],[Fault Time]])*24</f>
        <v>11.799999999999999</v>
      </c>
      <c r="AD78" s="35">
        <f>IFERROR((TA[[#This Row],[Work Completion time on fault]]-TA[[#This Row],[Fault Time]])*24,"")</f>
        <v>11.799999999999999</v>
      </c>
      <c r="AE78" t="s">
        <v>309</v>
      </c>
      <c r="AF78" t="s">
        <v>256</v>
      </c>
      <c r="AG78" s="2"/>
      <c r="AH78" s="44">
        <f>1-COS(RADIANS(TA[[#This Row],[Avg. Target Angle during Fault Time (Radians)]]-TA[[#This Row],[Angle of affected equipment ]]))</f>
        <v>0.11705240714107301</v>
      </c>
      <c r="AI78" s="35">
        <f>IFERROR(TA[[#This Row],[Breakdown Time]]*TA[[#This Row],[Plant Equivalent Weightage]],"")</f>
        <v>6.7816091954022995E-2</v>
      </c>
    </row>
    <row r="79" spans="1:35">
      <c r="A79" s="2">
        <f t="shared" si="4"/>
        <v>76</v>
      </c>
      <c r="B79" s="156">
        <f t="shared" si="5"/>
        <v>2026</v>
      </c>
      <c r="C79" s="129">
        <f t="shared" si="6"/>
        <v>2025</v>
      </c>
      <c r="D79" s="2" t="s">
        <v>155</v>
      </c>
      <c r="E79" s="2" t="s">
        <v>155</v>
      </c>
      <c r="F79" s="39">
        <v>45748</v>
      </c>
      <c r="G79" s="2">
        <f>DAY(EOMONTH(TA[[#This Row],[Month Year]],0))</f>
        <v>30</v>
      </c>
      <c r="H79" s="21">
        <v>45750</v>
      </c>
      <c r="I79" s="41">
        <f>IFERROR(VLOOKUP(TA[[#This Row],[Date]],Raw_Data[[Date]:[Sunset Time (POA&lt;20 W/m2)]],3,0),"")</f>
        <v>0.27638888888888891</v>
      </c>
      <c r="J79" s="41">
        <f>IFERROR(VLOOKUP(TA[[#This Row],[Date]],Raw_Data[[Date]:[Sunset Time (POA&lt;20 W/m2)]],4,0),"")</f>
        <v>0.76388888888888884</v>
      </c>
      <c r="K79" s="35">
        <f>IFERROR((TA[[#This Row],[Sunset Time (POA&lt;20 W/m2)]]-TA[[#This Row],[Sunrise Time (POA&gt;20 W/m2)]])*24,"")</f>
        <v>11.7</v>
      </c>
      <c r="L79" s="2" t="s">
        <v>294</v>
      </c>
      <c r="M79" s="42">
        <f>IFERROR(VLOOKUP(TA[[#This Row],[Affected Equipment]],'Basic Data'!$I$2:$K$40,3,0),"")</f>
        <v>1.7241379310344799E-3</v>
      </c>
      <c r="N79">
        <v>-28</v>
      </c>
      <c r="O79" t="s">
        <v>135</v>
      </c>
      <c r="P79" s="127" t="s">
        <v>318</v>
      </c>
      <c r="Q79" s="126" t="s">
        <v>318</v>
      </c>
      <c r="R79">
        <v>130</v>
      </c>
      <c r="S79" s="2">
        <v>36</v>
      </c>
      <c r="T79" t="s">
        <v>295</v>
      </c>
      <c r="U79" t="s">
        <v>300</v>
      </c>
      <c r="V79" t="s">
        <v>298</v>
      </c>
      <c r="W79" s="41"/>
      <c r="X79" s="41"/>
      <c r="Y79" s="34"/>
      <c r="Z79" s="34"/>
      <c r="AA79" s="35">
        <f>IF(TA[[#This Row],[Work Start time on Fault]]="NA","",(TA[[#This Row],[Fault Acknowledgement Time ]]-TA[[#This Row],[Fault Time]])*24)</f>
        <v>0</v>
      </c>
      <c r="AB79" s="35">
        <f>(TA[[#This Row],[Work Start time on Fault]]-TA[[#This Row],[Fault Time]])*24</f>
        <v>0</v>
      </c>
      <c r="AC79" s="34">
        <f>(TA[[#This Row],[Work Completion time on fault]]-TA[[#This Row],[Fault Time]])*24</f>
        <v>0</v>
      </c>
      <c r="AD79" s="35">
        <f>IFERROR((TA[[#This Row],[Work Completion time on fault]]-TA[[#This Row],[Fault Time]])*24,"")</f>
        <v>0</v>
      </c>
      <c r="AE79" t="s">
        <v>328</v>
      </c>
      <c r="AF79" t="s">
        <v>256</v>
      </c>
      <c r="AG79" s="2"/>
      <c r="AH79" s="44">
        <f>1-COS(RADIANS(TA[[#This Row],[Avg. Target Angle during Fault Time (Radians)]]-TA[[#This Row],[Angle of affected equipment ]]))</f>
        <v>0.11705240714107301</v>
      </c>
      <c r="AI79" s="35">
        <f>IFERROR(TA[[#This Row],[Breakdown Time]]*TA[[#This Row],[Plant Equivalent Weightage]],"")</f>
        <v>0</v>
      </c>
    </row>
    <row r="80" spans="1:35">
      <c r="A80" s="2">
        <f t="shared" si="4"/>
        <v>77</v>
      </c>
      <c r="B80" s="156">
        <f t="shared" si="5"/>
        <v>2026</v>
      </c>
      <c r="C80" s="129">
        <f t="shared" si="6"/>
        <v>2025</v>
      </c>
      <c r="D80" s="2" t="s">
        <v>155</v>
      </c>
      <c r="E80" s="2" t="s">
        <v>155</v>
      </c>
      <c r="F80" s="39">
        <v>45748</v>
      </c>
      <c r="G80" s="2">
        <f>DAY(EOMONTH(TA[[#This Row],[Month Year]],0))</f>
        <v>30</v>
      </c>
      <c r="H80" s="21">
        <v>45750</v>
      </c>
      <c r="I80" s="41">
        <f>IFERROR(VLOOKUP(TA[[#This Row],[Date]],Raw_Data[[Date]:[Sunset Time (POA&lt;20 W/m2)]],3,0),"")</f>
        <v>0.27638888888888891</v>
      </c>
      <c r="J80" s="41">
        <f>IFERROR(VLOOKUP(TA[[#This Row],[Date]],Raw_Data[[Date]:[Sunset Time (POA&lt;20 W/m2)]],4,0),"")</f>
        <v>0.76388888888888884</v>
      </c>
      <c r="K80" s="35">
        <f>IFERROR((TA[[#This Row],[Sunset Time (POA&lt;20 W/m2)]]-TA[[#This Row],[Sunrise Time (POA&gt;20 W/m2)]])*24,"")</f>
        <v>11.7</v>
      </c>
      <c r="L80" s="2" t="s">
        <v>294</v>
      </c>
      <c r="M80" s="42">
        <f>IFERROR(VLOOKUP(TA[[#This Row],[Affected Equipment]],'Basic Data'!$I$2:$K$40,3,0),"")</f>
        <v>1.7241379310344799E-3</v>
      </c>
      <c r="N80">
        <v>-28</v>
      </c>
      <c r="O80" t="s">
        <v>135</v>
      </c>
      <c r="P80" s="127" t="s">
        <v>318</v>
      </c>
      <c r="Q80" s="126" t="s">
        <v>318</v>
      </c>
      <c r="R80">
        <v>130</v>
      </c>
      <c r="S80" s="2">
        <v>37</v>
      </c>
      <c r="T80" t="s">
        <v>295</v>
      </c>
      <c r="U80" t="s">
        <v>300</v>
      </c>
      <c r="V80" t="s">
        <v>298</v>
      </c>
      <c r="W80" s="41"/>
      <c r="X80" s="41"/>
      <c r="Y80" s="34"/>
      <c r="Z80" s="34"/>
      <c r="AA80" s="35">
        <f>IF(TA[[#This Row],[Work Start time on Fault]]="NA","",(TA[[#This Row],[Fault Acknowledgement Time ]]-TA[[#This Row],[Fault Time]])*24)</f>
        <v>0</v>
      </c>
      <c r="AB80" s="35">
        <f>(TA[[#This Row],[Work Start time on Fault]]-TA[[#This Row],[Fault Time]])*24</f>
        <v>0</v>
      </c>
      <c r="AC80" s="34">
        <f>(TA[[#This Row],[Work Completion time on fault]]-TA[[#This Row],[Fault Time]])*24</f>
        <v>0</v>
      </c>
      <c r="AD80" s="35">
        <f>IFERROR((TA[[#This Row],[Work Completion time on fault]]-TA[[#This Row],[Fault Time]])*24,"")</f>
        <v>0</v>
      </c>
      <c r="AE80" t="s">
        <v>328</v>
      </c>
      <c r="AF80" t="s">
        <v>256</v>
      </c>
      <c r="AG80" s="2"/>
      <c r="AH80" s="44">
        <f>1-COS(RADIANS(TA[[#This Row],[Avg. Target Angle during Fault Time (Radians)]]-TA[[#This Row],[Angle of affected equipment ]]))</f>
        <v>0.11705240714107301</v>
      </c>
      <c r="AI80" s="35">
        <f>IFERROR(TA[[#This Row],[Breakdown Time]]*TA[[#This Row],[Plant Equivalent Weightage]],"")</f>
        <v>0</v>
      </c>
    </row>
    <row r="81" spans="1:35">
      <c r="A81" s="2">
        <f t="shared" si="4"/>
        <v>78</v>
      </c>
      <c r="B81" s="156">
        <f t="shared" si="5"/>
        <v>2026</v>
      </c>
      <c r="C81" s="129">
        <f t="shared" si="6"/>
        <v>2025</v>
      </c>
      <c r="D81" s="2" t="s">
        <v>155</v>
      </c>
      <c r="E81" s="2" t="s">
        <v>155</v>
      </c>
      <c r="F81" s="39">
        <v>45748</v>
      </c>
      <c r="G81" s="2">
        <f>DAY(EOMONTH(TA[[#This Row],[Month Year]],0))</f>
        <v>30</v>
      </c>
      <c r="H81" s="21">
        <v>45750</v>
      </c>
      <c r="I81" s="41">
        <f>IFERROR(VLOOKUP(TA[[#This Row],[Date]],Raw_Data[[Date]:[Sunset Time (POA&lt;20 W/m2)]],3,0),"")</f>
        <v>0.27638888888888891</v>
      </c>
      <c r="J81" s="41">
        <f>IFERROR(VLOOKUP(TA[[#This Row],[Date]],Raw_Data[[Date]:[Sunset Time (POA&lt;20 W/m2)]],4,0),"")</f>
        <v>0.76388888888888884</v>
      </c>
      <c r="K81" s="35">
        <f>IFERROR((TA[[#This Row],[Sunset Time (POA&lt;20 W/m2)]]-TA[[#This Row],[Sunrise Time (POA&gt;20 W/m2)]])*24,"")</f>
        <v>11.7</v>
      </c>
      <c r="L81" s="2" t="s">
        <v>294</v>
      </c>
      <c r="M81" s="42">
        <f>IFERROR(VLOOKUP(TA[[#This Row],[Affected Equipment]],'Basic Data'!$I$2:$K$40,3,0),"")</f>
        <v>1.7241379310344799E-3</v>
      </c>
      <c r="N81">
        <v>-28</v>
      </c>
      <c r="O81" t="s">
        <v>135</v>
      </c>
      <c r="P81" s="127" t="s">
        <v>318</v>
      </c>
      <c r="Q81" s="126" t="s">
        <v>318</v>
      </c>
      <c r="R81">
        <v>131</v>
      </c>
      <c r="S81" s="2">
        <v>38</v>
      </c>
      <c r="T81" t="s">
        <v>295</v>
      </c>
      <c r="U81" t="s">
        <v>300</v>
      </c>
      <c r="V81" t="s">
        <v>298</v>
      </c>
      <c r="W81" s="41"/>
      <c r="X81" s="41"/>
      <c r="Y81" s="34"/>
      <c r="Z81" s="34"/>
      <c r="AA81" s="35">
        <f>IF(TA[[#This Row],[Work Start time on Fault]]="NA","",(TA[[#This Row],[Fault Acknowledgement Time ]]-TA[[#This Row],[Fault Time]])*24)</f>
        <v>0</v>
      </c>
      <c r="AB81" s="35">
        <f>(TA[[#This Row],[Work Start time on Fault]]-TA[[#This Row],[Fault Time]])*24</f>
        <v>0</v>
      </c>
      <c r="AC81" s="34">
        <f>(TA[[#This Row],[Work Completion time on fault]]-TA[[#This Row],[Fault Time]])*24</f>
        <v>0</v>
      </c>
      <c r="AD81" s="35">
        <f>IFERROR((TA[[#This Row],[Work Completion time on fault]]-TA[[#This Row],[Fault Time]])*24,"")</f>
        <v>0</v>
      </c>
      <c r="AE81" t="s">
        <v>328</v>
      </c>
      <c r="AF81" t="s">
        <v>256</v>
      </c>
      <c r="AG81" s="2"/>
      <c r="AH81" s="44">
        <f>1-COS(RADIANS(TA[[#This Row],[Avg. Target Angle during Fault Time (Radians)]]-TA[[#This Row],[Angle of affected equipment ]]))</f>
        <v>0.11705240714107301</v>
      </c>
      <c r="AI81" s="35">
        <f>IFERROR(TA[[#This Row],[Breakdown Time]]*TA[[#This Row],[Plant Equivalent Weightage]],"")</f>
        <v>0</v>
      </c>
    </row>
    <row r="82" spans="1:35">
      <c r="A82" s="2">
        <f t="shared" si="4"/>
        <v>79</v>
      </c>
      <c r="B82" s="156">
        <f t="shared" si="5"/>
        <v>2026</v>
      </c>
      <c r="C82" s="129">
        <f t="shared" si="6"/>
        <v>2025</v>
      </c>
      <c r="D82" s="2" t="s">
        <v>155</v>
      </c>
      <c r="E82" s="2" t="s">
        <v>155</v>
      </c>
      <c r="F82" s="39">
        <v>45748</v>
      </c>
      <c r="G82" s="2">
        <f>DAY(EOMONTH(TA[[#This Row],[Month Year]],0))</f>
        <v>30</v>
      </c>
      <c r="H82" s="21">
        <v>45750</v>
      </c>
      <c r="I82" s="41">
        <f>IFERROR(VLOOKUP(TA[[#This Row],[Date]],Raw_Data[[Date]:[Sunset Time (POA&lt;20 W/m2)]],3,0),"")</f>
        <v>0.27638888888888891</v>
      </c>
      <c r="J82" s="41">
        <f>IFERROR(VLOOKUP(TA[[#This Row],[Date]],Raw_Data[[Date]:[Sunset Time (POA&lt;20 W/m2)]],4,0),"")</f>
        <v>0.76388888888888884</v>
      </c>
      <c r="K82" s="35">
        <f>IFERROR((TA[[#This Row],[Sunset Time (POA&lt;20 W/m2)]]-TA[[#This Row],[Sunrise Time (POA&gt;20 W/m2)]])*24,"")</f>
        <v>11.7</v>
      </c>
      <c r="L82" s="2" t="s">
        <v>294</v>
      </c>
      <c r="M82" s="42">
        <f>IFERROR(VLOOKUP(TA[[#This Row],[Affected Equipment]],'Basic Data'!$I$2:$K$40,3,0),"")</f>
        <v>1.7241379310344799E-3</v>
      </c>
      <c r="N82">
        <v>-28</v>
      </c>
      <c r="O82" t="s">
        <v>135</v>
      </c>
      <c r="P82" s="127" t="s">
        <v>318</v>
      </c>
      <c r="Q82" s="126" t="s">
        <v>318</v>
      </c>
      <c r="R82">
        <v>131</v>
      </c>
      <c r="S82" s="2">
        <v>39</v>
      </c>
      <c r="T82" t="s">
        <v>295</v>
      </c>
      <c r="U82" t="s">
        <v>300</v>
      </c>
      <c r="V82" t="s">
        <v>298</v>
      </c>
      <c r="W82" s="41"/>
      <c r="X82" s="41"/>
      <c r="Y82" s="34"/>
      <c r="Z82" s="34"/>
      <c r="AA82" s="35">
        <f>IF(TA[[#This Row],[Work Start time on Fault]]="NA","",(TA[[#This Row],[Fault Acknowledgement Time ]]-TA[[#This Row],[Fault Time]])*24)</f>
        <v>0</v>
      </c>
      <c r="AB82" s="35">
        <f>(TA[[#This Row],[Work Start time on Fault]]-TA[[#This Row],[Fault Time]])*24</f>
        <v>0</v>
      </c>
      <c r="AC82" s="34">
        <f>(TA[[#This Row],[Work Completion time on fault]]-TA[[#This Row],[Fault Time]])*24</f>
        <v>0</v>
      </c>
      <c r="AD82" s="35">
        <f>IFERROR((TA[[#This Row],[Work Completion time on fault]]-TA[[#This Row],[Fault Time]])*24,"")</f>
        <v>0</v>
      </c>
      <c r="AE82" t="s">
        <v>328</v>
      </c>
      <c r="AF82" t="s">
        <v>256</v>
      </c>
      <c r="AG82" s="2"/>
      <c r="AH82" s="44">
        <f>1-COS(RADIANS(TA[[#This Row],[Avg. Target Angle during Fault Time (Radians)]]-TA[[#This Row],[Angle of affected equipment ]]))</f>
        <v>0.11705240714107301</v>
      </c>
      <c r="AI82" s="35">
        <f>IFERROR(TA[[#This Row],[Breakdown Time]]*TA[[#This Row],[Plant Equivalent Weightage]],"")</f>
        <v>0</v>
      </c>
    </row>
    <row r="83" spans="1:35">
      <c r="A83" s="2">
        <f t="shared" si="4"/>
        <v>80</v>
      </c>
      <c r="B83" s="156">
        <f t="shared" si="5"/>
        <v>2026</v>
      </c>
      <c r="C83" s="129">
        <f t="shared" si="6"/>
        <v>2025</v>
      </c>
      <c r="D83" s="2" t="s">
        <v>155</v>
      </c>
      <c r="E83" s="2" t="s">
        <v>155</v>
      </c>
      <c r="F83" s="39">
        <v>45748</v>
      </c>
      <c r="G83" s="2">
        <f>DAY(EOMONTH(TA[[#This Row],[Month Year]],0))</f>
        <v>30</v>
      </c>
      <c r="H83" s="21">
        <v>45750</v>
      </c>
      <c r="I83" s="41">
        <f>IFERROR(VLOOKUP(TA[[#This Row],[Date]],Raw_Data[[Date]:[Sunset Time (POA&lt;20 W/m2)]],3,0),"")</f>
        <v>0.27638888888888891</v>
      </c>
      <c r="J83" s="41">
        <f>IFERROR(VLOOKUP(TA[[#This Row],[Date]],Raw_Data[[Date]:[Sunset Time (POA&lt;20 W/m2)]],4,0),"")</f>
        <v>0.76388888888888884</v>
      </c>
      <c r="K83" s="35">
        <f>IFERROR((TA[[#This Row],[Sunset Time (POA&lt;20 W/m2)]]-TA[[#This Row],[Sunrise Time (POA&gt;20 W/m2)]])*24,"")</f>
        <v>11.7</v>
      </c>
      <c r="L83" s="2" t="s">
        <v>296</v>
      </c>
      <c r="M83" s="42">
        <f>IFERROR(VLOOKUP(TA[[#This Row],[Affected Equipment]],'Basic Data'!$I$2:$K$40,3,0),"")</f>
        <v>8.6206896551724102E-3</v>
      </c>
      <c r="N83">
        <v>-28</v>
      </c>
      <c r="O83" t="s">
        <v>135</v>
      </c>
      <c r="P83" s="127" t="s">
        <v>318</v>
      </c>
      <c r="Q83" s="2" t="s">
        <v>321</v>
      </c>
      <c r="R83">
        <v>133</v>
      </c>
      <c r="S83" s="2">
        <v>26</v>
      </c>
      <c r="T83" t="s">
        <v>297</v>
      </c>
      <c r="U83" t="s">
        <v>300</v>
      </c>
      <c r="V83" t="s">
        <v>314</v>
      </c>
      <c r="W83" s="41"/>
      <c r="X83" s="41"/>
      <c r="Y83" s="34"/>
      <c r="Z83" s="34"/>
      <c r="AA83" s="35">
        <f>IF(TA[[#This Row],[Work Start time on Fault]]="NA","",(TA[[#This Row],[Fault Acknowledgement Time ]]-TA[[#This Row],[Fault Time]])*24)</f>
        <v>0</v>
      </c>
      <c r="AB83" s="35">
        <f>(TA[[#This Row],[Work Start time on Fault]]-TA[[#This Row],[Fault Time]])*24</f>
        <v>0</v>
      </c>
      <c r="AC83" s="34">
        <f>(TA[[#This Row],[Work Completion time on fault]]-TA[[#This Row],[Fault Time]])*24</f>
        <v>0</v>
      </c>
      <c r="AD83" s="35">
        <f>IFERROR((TA[[#This Row],[Work Completion time on fault]]-TA[[#This Row],[Fault Time]])*24,"")</f>
        <v>0</v>
      </c>
      <c r="AE83" t="s">
        <v>328</v>
      </c>
      <c r="AF83" t="s">
        <v>256</v>
      </c>
      <c r="AG83" s="2"/>
      <c r="AH83" s="44">
        <f>1-COS(RADIANS(TA[[#This Row],[Avg. Target Angle during Fault Time (Radians)]]-TA[[#This Row],[Angle of affected equipment ]]))</f>
        <v>0.11705240714107301</v>
      </c>
      <c r="AI83" s="35">
        <f>IFERROR(TA[[#This Row],[Breakdown Time]]*TA[[#This Row],[Plant Equivalent Weightage]],"")</f>
        <v>0</v>
      </c>
    </row>
    <row r="84" spans="1:35">
      <c r="A84" s="2">
        <f t="shared" si="4"/>
        <v>81</v>
      </c>
      <c r="B84" s="156">
        <f t="shared" si="5"/>
        <v>2026</v>
      </c>
      <c r="C84" s="129">
        <f t="shared" si="6"/>
        <v>2025</v>
      </c>
      <c r="D84" s="2" t="s">
        <v>155</v>
      </c>
      <c r="E84" s="2" t="s">
        <v>155</v>
      </c>
      <c r="F84" s="39">
        <v>45748</v>
      </c>
      <c r="G84" s="2">
        <f>DAY(EOMONTH(TA[[#This Row],[Month Year]],0))</f>
        <v>30</v>
      </c>
      <c r="H84" s="21">
        <v>45750</v>
      </c>
      <c r="I84" s="41">
        <f>IFERROR(VLOOKUP(TA[[#This Row],[Date]],Raw_Data[[Date]:[Sunset Time (POA&lt;20 W/m2)]],3,0),"")</f>
        <v>0.27638888888888891</v>
      </c>
      <c r="J84" s="41">
        <f>IFERROR(VLOOKUP(TA[[#This Row],[Date]],Raw_Data[[Date]:[Sunset Time (POA&lt;20 W/m2)]],4,0),"")</f>
        <v>0.76388888888888884</v>
      </c>
      <c r="K84" s="35">
        <f>IFERROR((TA[[#This Row],[Sunset Time (POA&lt;20 W/m2)]]-TA[[#This Row],[Sunrise Time (POA&gt;20 W/m2)]])*24,"")</f>
        <v>11.7</v>
      </c>
      <c r="L84" s="2" t="s">
        <v>294</v>
      </c>
      <c r="M84" s="42">
        <f>IFERROR(VLOOKUP(TA[[#This Row],[Affected Equipment]],'Basic Data'!$I$2:$K$40,3,0),"")</f>
        <v>1.7241379310344799E-3</v>
      </c>
      <c r="N84">
        <v>-28</v>
      </c>
      <c r="O84" t="s">
        <v>133</v>
      </c>
      <c r="P84" s="127" t="s">
        <v>316</v>
      </c>
      <c r="Q84" s="126" t="s">
        <v>317</v>
      </c>
      <c r="R84">
        <v>7</v>
      </c>
      <c r="S84" s="2">
        <v>32</v>
      </c>
      <c r="T84" t="s">
        <v>295</v>
      </c>
      <c r="U84" t="s">
        <v>300</v>
      </c>
      <c r="V84" t="s">
        <v>298</v>
      </c>
      <c r="W84" s="41"/>
      <c r="X84" s="41"/>
      <c r="Y84" s="34"/>
      <c r="Z84" s="34"/>
      <c r="AA84" s="35">
        <f>IF(TA[[#This Row],[Work Start time on Fault]]="NA","",(TA[[#This Row],[Fault Acknowledgement Time ]]-TA[[#This Row],[Fault Time]])*24)</f>
        <v>0</v>
      </c>
      <c r="AB84" s="35">
        <f>(TA[[#This Row],[Work Start time on Fault]]-TA[[#This Row],[Fault Time]])*24</f>
        <v>0</v>
      </c>
      <c r="AC84" s="34">
        <f>(TA[[#This Row],[Work Completion time on fault]]-TA[[#This Row],[Fault Time]])*24</f>
        <v>0</v>
      </c>
      <c r="AD84" s="35">
        <f>IFERROR((TA[[#This Row],[Work Completion time on fault]]-TA[[#This Row],[Fault Time]])*24,"")</f>
        <v>0</v>
      </c>
      <c r="AE84" t="s">
        <v>328</v>
      </c>
      <c r="AF84" t="s">
        <v>256</v>
      </c>
      <c r="AG84" s="2"/>
      <c r="AH84" s="44">
        <f>1-COS(RADIANS(TA[[#This Row],[Avg. Target Angle during Fault Time (Radians)]]-TA[[#This Row],[Angle of affected equipment ]]))</f>
        <v>0.11705240714107301</v>
      </c>
      <c r="AI84" s="35">
        <f>IFERROR(TA[[#This Row],[Breakdown Time]]*TA[[#This Row],[Plant Equivalent Weightage]],"")</f>
        <v>0</v>
      </c>
    </row>
    <row r="85" spans="1:35">
      <c r="A85" s="2">
        <f t="shared" si="4"/>
        <v>82</v>
      </c>
      <c r="B85" s="156">
        <f t="shared" si="5"/>
        <v>2026</v>
      </c>
      <c r="C85" s="129">
        <f t="shared" si="6"/>
        <v>2025</v>
      </c>
      <c r="D85" s="2" t="s">
        <v>155</v>
      </c>
      <c r="E85" s="2" t="s">
        <v>155</v>
      </c>
      <c r="F85" s="39">
        <v>45748</v>
      </c>
      <c r="G85" s="2">
        <f>DAY(EOMONTH(TA[[#This Row],[Month Year]],0))</f>
        <v>30</v>
      </c>
      <c r="H85" s="21">
        <v>45750</v>
      </c>
      <c r="I85" s="41">
        <f>IFERROR(VLOOKUP(TA[[#This Row],[Date]],Raw_Data[[Date]:[Sunset Time (POA&lt;20 W/m2)]],3,0),"")</f>
        <v>0.27638888888888891</v>
      </c>
      <c r="J85" s="41">
        <f>IFERROR(VLOOKUP(TA[[#This Row],[Date]],Raw_Data[[Date]:[Sunset Time (POA&lt;20 W/m2)]],4,0),"")</f>
        <v>0.76388888888888884</v>
      </c>
      <c r="K85" s="35">
        <f>IFERROR((TA[[#This Row],[Sunset Time (POA&lt;20 W/m2)]]-TA[[#This Row],[Sunrise Time (POA&gt;20 W/m2)]])*24,"")</f>
        <v>11.7</v>
      </c>
      <c r="L85" s="2" t="s">
        <v>294</v>
      </c>
      <c r="M85" s="42">
        <f>IFERROR(VLOOKUP(TA[[#This Row],[Affected Equipment]],'Basic Data'!$I$2:$K$40,3,0),"")</f>
        <v>1.7241379310344799E-3</v>
      </c>
      <c r="N85">
        <v>-28</v>
      </c>
      <c r="O85" t="s">
        <v>137</v>
      </c>
      <c r="P85" s="127" t="s">
        <v>315</v>
      </c>
      <c r="Q85" s="126" t="s">
        <v>319</v>
      </c>
      <c r="R85">
        <v>166</v>
      </c>
      <c r="S85" s="2">
        <v>91</v>
      </c>
      <c r="T85" t="s">
        <v>295</v>
      </c>
      <c r="U85" t="s">
        <v>300</v>
      </c>
      <c r="V85" t="s">
        <v>298</v>
      </c>
      <c r="W85" s="41"/>
      <c r="X85" s="41"/>
      <c r="Y85" s="34"/>
      <c r="Z85" s="34"/>
      <c r="AA85" s="35">
        <f>IF(TA[[#This Row],[Work Start time on Fault]]="NA","",(TA[[#This Row],[Fault Acknowledgement Time ]]-TA[[#This Row],[Fault Time]])*24)</f>
        <v>0</v>
      </c>
      <c r="AB85" s="35">
        <f>(TA[[#This Row],[Work Start time on Fault]]-TA[[#This Row],[Fault Time]])*24</f>
        <v>0</v>
      </c>
      <c r="AC85" s="34">
        <f>(TA[[#This Row],[Work Completion time on fault]]-TA[[#This Row],[Fault Time]])*24</f>
        <v>0</v>
      </c>
      <c r="AD85" s="35">
        <f>IFERROR((TA[[#This Row],[Work Completion time on fault]]-TA[[#This Row],[Fault Time]])*24,"")</f>
        <v>0</v>
      </c>
      <c r="AE85" t="s">
        <v>328</v>
      </c>
      <c r="AF85" t="s">
        <v>256</v>
      </c>
      <c r="AG85" s="2"/>
      <c r="AH85" s="44">
        <f>1-COS(RADIANS(TA[[#This Row],[Avg. Target Angle during Fault Time (Radians)]]-TA[[#This Row],[Angle of affected equipment ]]))</f>
        <v>0.11705240714107301</v>
      </c>
      <c r="AI85" s="35">
        <f>IFERROR(TA[[#This Row],[Breakdown Time]]*TA[[#This Row],[Plant Equivalent Weightage]],"")</f>
        <v>0</v>
      </c>
    </row>
    <row r="86" spans="1:35">
      <c r="A86" s="2">
        <f t="shared" si="4"/>
        <v>83</v>
      </c>
      <c r="B86" s="156">
        <f t="shared" si="5"/>
        <v>2026</v>
      </c>
      <c r="C86" s="129">
        <f t="shared" si="6"/>
        <v>2025</v>
      </c>
      <c r="D86" s="2" t="s">
        <v>155</v>
      </c>
      <c r="E86" s="2" t="s">
        <v>155</v>
      </c>
      <c r="F86" s="39">
        <v>45748</v>
      </c>
      <c r="G86" s="2">
        <f>DAY(EOMONTH(TA[[#This Row],[Month Year]],0))</f>
        <v>30</v>
      </c>
      <c r="H86" s="21">
        <v>45750</v>
      </c>
      <c r="I86" s="41">
        <f>IFERROR(VLOOKUP(TA[[#This Row],[Date]],Raw_Data[[Date]:[Sunset Time (POA&lt;20 W/m2)]],3,0),"")</f>
        <v>0.27638888888888891</v>
      </c>
      <c r="J86" s="41">
        <f>IFERROR(VLOOKUP(TA[[#This Row],[Date]],Raw_Data[[Date]:[Sunset Time (POA&lt;20 W/m2)]],4,0),"")</f>
        <v>0.76388888888888884</v>
      </c>
      <c r="K86" s="35">
        <f>IFERROR((TA[[#This Row],[Sunset Time (POA&lt;20 W/m2)]]-TA[[#This Row],[Sunrise Time (POA&gt;20 W/m2)]])*24,"")</f>
        <v>11.7</v>
      </c>
      <c r="L86" s="2" t="s">
        <v>294</v>
      </c>
      <c r="M86" s="42">
        <f>IFERROR(VLOOKUP(TA[[#This Row],[Affected Equipment]],'Basic Data'!$I$2:$K$40,3,0),"")</f>
        <v>1.7241379310344799E-3</v>
      </c>
      <c r="N86">
        <v>-28</v>
      </c>
      <c r="O86" t="s">
        <v>133</v>
      </c>
      <c r="P86" s="127" t="s">
        <v>316</v>
      </c>
      <c r="Q86" s="126" t="s">
        <v>316</v>
      </c>
      <c r="R86">
        <v>117</v>
      </c>
      <c r="S86" s="2">
        <v>20</v>
      </c>
      <c r="T86" t="s">
        <v>295</v>
      </c>
      <c r="U86" t="s">
        <v>300</v>
      </c>
      <c r="V86" t="s">
        <v>298</v>
      </c>
      <c r="W86" s="41"/>
      <c r="X86" s="41"/>
      <c r="Y86" s="34"/>
      <c r="Z86" s="34"/>
      <c r="AA86" s="35">
        <f>IF(TA[[#This Row],[Work Start time on Fault]]="NA","",(TA[[#This Row],[Fault Acknowledgement Time ]]-TA[[#This Row],[Fault Time]])*24)</f>
        <v>0</v>
      </c>
      <c r="AB86" s="35">
        <f>(TA[[#This Row],[Work Start time on Fault]]-TA[[#This Row],[Fault Time]])*24</f>
        <v>0</v>
      </c>
      <c r="AC86" s="34">
        <f>(TA[[#This Row],[Work Completion time on fault]]-TA[[#This Row],[Fault Time]])*24</f>
        <v>0</v>
      </c>
      <c r="AD86" s="35">
        <f>IFERROR((TA[[#This Row],[Work Completion time on fault]]-TA[[#This Row],[Fault Time]])*24,"")</f>
        <v>0</v>
      </c>
      <c r="AE86" t="s">
        <v>328</v>
      </c>
      <c r="AF86" t="s">
        <v>256</v>
      </c>
      <c r="AG86" s="2"/>
      <c r="AH86" s="44">
        <f>1-COS(RADIANS(TA[[#This Row],[Avg. Target Angle during Fault Time (Radians)]]-TA[[#This Row],[Angle of affected equipment ]]))</f>
        <v>0.11705240714107301</v>
      </c>
      <c r="AI86" s="35">
        <f>IFERROR(TA[[#This Row],[Breakdown Time]]*TA[[#This Row],[Plant Equivalent Weightage]],"")</f>
        <v>0</v>
      </c>
    </row>
    <row r="87" spans="1:35">
      <c r="A87" s="2">
        <f t="shared" si="4"/>
        <v>84</v>
      </c>
      <c r="B87" s="156">
        <f t="shared" si="5"/>
        <v>2026</v>
      </c>
      <c r="C87" s="129">
        <f t="shared" si="6"/>
        <v>2025</v>
      </c>
      <c r="D87" s="2" t="s">
        <v>155</v>
      </c>
      <c r="E87" s="2" t="s">
        <v>155</v>
      </c>
      <c r="F87" s="39">
        <v>45748</v>
      </c>
      <c r="G87" s="2">
        <f>DAY(EOMONTH(TA[[#This Row],[Month Year]],0))</f>
        <v>30</v>
      </c>
      <c r="H87" s="21">
        <v>45750</v>
      </c>
      <c r="I87" s="41">
        <f>IFERROR(VLOOKUP(TA[[#This Row],[Date]],Raw_Data[[Date]:[Sunset Time (POA&lt;20 W/m2)]],3,0),"")</f>
        <v>0.27638888888888891</v>
      </c>
      <c r="J87" s="41">
        <f>IFERROR(VLOOKUP(TA[[#This Row],[Date]],Raw_Data[[Date]:[Sunset Time (POA&lt;20 W/m2)]],4,0),"")</f>
        <v>0.76388888888888884</v>
      </c>
      <c r="K87" s="35">
        <f>IFERROR((TA[[#This Row],[Sunset Time (POA&lt;20 W/m2)]]-TA[[#This Row],[Sunrise Time (POA&gt;20 W/m2)]])*24,"")</f>
        <v>11.7</v>
      </c>
      <c r="L87" s="2" t="s">
        <v>294</v>
      </c>
      <c r="M87" s="42">
        <f>IFERROR(VLOOKUP(TA[[#This Row],[Affected Equipment]],'Basic Data'!$I$2:$K$40,3,0),"")</f>
        <v>1.7241379310344799E-3</v>
      </c>
      <c r="N87">
        <v>-28</v>
      </c>
      <c r="O87" t="s">
        <v>133</v>
      </c>
      <c r="P87" s="127" t="s">
        <v>316</v>
      </c>
      <c r="Q87" s="126" t="s">
        <v>316</v>
      </c>
      <c r="R87">
        <v>118</v>
      </c>
      <c r="S87" s="2">
        <v>22</v>
      </c>
      <c r="T87" t="s">
        <v>295</v>
      </c>
      <c r="U87" t="s">
        <v>300</v>
      </c>
      <c r="V87" t="s">
        <v>298</v>
      </c>
      <c r="W87" s="41"/>
      <c r="X87" s="41"/>
      <c r="Y87" s="34"/>
      <c r="Z87" s="34"/>
      <c r="AA87" s="35">
        <f>IF(TA[[#This Row],[Work Start time on Fault]]="NA","",(TA[[#This Row],[Fault Acknowledgement Time ]]-TA[[#This Row],[Fault Time]])*24)</f>
        <v>0</v>
      </c>
      <c r="AB87" s="35">
        <f>(TA[[#This Row],[Work Start time on Fault]]-TA[[#This Row],[Fault Time]])*24</f>
        <v>0</v>
      </c>
      <c r="AC87" s="34">
        <f>(TA[[#This Row],[Work Completion time on fault]]-TA[[#This Row],[Fault Time]])*24</f>
        <v>0</v>
      </c>
      <c r="AD87" s="35">
        <f>IFERROR((TA[[#This Row],[Work Completion time on fault]]-TA[[#This Row],[Fault Time]])*24,"")</f>
        <v>0</v>
      </c>
      <c r="AE87" t="s">
        <v>328</v>
      </c>
      <c r="AF87" t="s">
        <v>256</v>
      </c>
      <c r="AG87" s="2"/>
      <c r="AH87" s="44">
        <f>1-COS(RADIANS(TA[[#This Row],[Avg. Target Angle during Fault Time (Radians)]]-TA[[#This Row],[Angle of affected equipment ]]))</f>
        <v>0.11705240714107301</v>
      </c>
      <c r="AI87" s="35">
        <f>IFERROR(TA[[#This Row],[Breakdown Time]]*TA[[#This Row],[Plant Equivalent Weightage]],"")</f>
        <v>0</v>
      </c>
    </row>
    <row r="88" spans="1:35">
      <c r="A88" s="2">
        <f t="shared" si="4"/>
        <v>85</v>
      </c>
      <c r="B88" s="156">
        <f t="shared" si="5"/>
        <v>2026</v>
      </c>
      <c r="C88" s="129">
        <f t="shared" si="6"/>
        <v>2025</v>
      </c>
      <c r="D88" s="2" t="s">
        <v>155</v>
      </c>
      <c r="E88" s="2" t="s">
        <v>155</v>
      </c>
      <c r="F88" s="39">
        <v>45748</v>
      </c>
      <c r="G88" s="2">
        <f>DAY(EOMONTH(TA[[#This Row],[Month Year]],0))</f>
        <v>30</v>
      </c>
      <c r="H88" s="21">
        <v>45750</v>
      </c>
      <c r="I88" s="41">
        <f>IFERROR(VLOOKUP(TA[[#This Row],[Date]],Raw_Data[[Date]:[Sunset Time (POA&lt;20 W/m2)]],3,0),"")</f>
        <v>0.27638888888888891</v>
      </c>
      <c r="J88" s="41">
        <f>IFERROR(VLOOKUP(TA[[#This Row],[Date]],Raw_Data[[Date]:[Sunset Time (POA&lt;20 W/m2)]],4,0),"")</f>
        <v>0.76388888888888884</v>
      </c>
      <c r="K88" s="35">
        <f>IFERROR((TA[[#This Row],[Sunset Time (POA&lt;20 W/m2)]]-TA[[#This Row],[Sunrise Time (POA&gt;20 W/m2)]])*24,"")</f>
        <v>11.7</v>
      </c>
      <c r="L88" s="2" t="s">
        <v>296</v>
      </c>
      <c r="M88" s="42">
        <f>IFERROR(VLOOKUP(TA[[#This Row],[Affected Equipment]],'Basic Data'!$I$2:$K$40,3,0),"")</f>
        <v>8.6206896551724102E-3</v>
      </c>
      <c r="N88">
        <v>-28</v>
      </c>
      <c r="O88" t="s">
        <v>135</v>
      </c>
      <c r="P88" s="22" t="s">
        <v>323</v>
      </c>
      <c r="Q88" s="2" t="s">
        <v>329</v>
      </c>
      <c r="R88">
        <v>45</v>
      </c>
      <c r="S88" s="2">
        <v>8</v>
      </c>
      <c r="T88" t="s">
        <v>297</v>
      </c>
      <c r="U88" t="s">
        <v>326</v>
      </c>
      <c r="V88" t="s">
        <v>301</v>
      </c>
      <c r="W88" s="41">
        <f>IFERROR(VLOOKUP(TA[[#This Row],[Date]],Raw_Data[[Date]:[Sunset Time (POA&lt;20 W/m2)]],3,0),"")</f>
        <v>0.27638888888888891</v>
      </c>
      <c r="X88" s="41">
        <f>IFERROR(VLOOKUP(TA[[#This Row],[Date]],Raw_Data[[Date]:[Sunset Time (POA&lt;20 W/m2)]],3,0),"")</f>
        <v>0.27638888888888891</v>
      </c>
      <c r="Y88" s="34"/>
      <c r="Z88" s="34">
        <v>0.76041666666666663</v>
      </c>
      <c r="AA88" s="35">
        <f>IF(TA[[#This Row],[Work Start time on Fault]]="NA","",(TA[[#This Row],[Fault Acknowledgement Time ]]-TA[[#This Row],[Fault Time]])*24)</f>
        <v>0</v>
      </c>
      <c r="AB88" s="35">
        <f>(TA[[#This Row],[Work Start time on Fault]]-TA[[#This Row],[Fault Time]])*24</f>
        <v>-6.6333333333333337</v>
      </c>
      <c r="AC88" s="34">
        <f>(TA[[#This Row],[Work Completion time on fault]]-TA[[#This Row],[Fault Time]])*24</f>
        <v>11.616666666666665</v>
      </c>
      <c r="AD88" s="35">
        <f>IFERROR((TA[[#This Row],[Work Completion time on fault]]-TA[[#This Row],[Fault Time]])*24,"")</f>
        <v>11.616666666666665</v>
      </c>
      <c r="AE88" t="s">
        <v>309</v>
      </c>
      <c r="AF88" t="s">
        <v>256</v>
      </c>
      <c r="AG88" s="2"/>
      <c r="AH88" s="44">
        <f>1-COS(RADIANS(TA[[#This Row],[Avg. Target Angle during Fault Time (Radians)]]-TA[[#This Row],[Angle of affected equipment ]]))</f>
        <v>0.11705240714107301</v>
      </c>
      <c r="AI88" s="35">
        <f>IFERROR(TA[[#This Row],[Breakdown Time]]*TA[[#This Row],[Plant Equivalent Weightage]],"")</f>
        <v>0.10014367816091949</v>
      </c>
    </row>
    <row r="89" spans="1:35">
      <c r="A89" s="2">
        <f t="shared" si="4"/>
        <v>86</v>
      </c>
      <c r="B89" s="156">
        <f t="shared" si="5"/>
        <v>2026</v>
      </c>
      <c r="C89" s="129">
        <f t="shared" si="6"/>
        <v>2025</v>
      </c>
      <c r="D89" s="2" t="s">
        <v>155</v>
      </c>
      <c r="E89" s="2" t="s">
        <v>155</v>
      </c>
      <c r="F89" s="39">
        <v>45748</v>
      </c>
      <c r="G89" s="2">
        <f>DAY(EOMONTH(TA[[#This Row],[Month Year]],0))</f>
        <v>30</v>
      </c>
      <c r="H89" s="21">
        <v>45750</v>
      </c>
      <c r="I89" s="41">
        <f>IFERROR(VLOOKUP(TA[[#This Row],[Date]],Raw_Data[[Date]:[Sunset Time (POA&lt;20 W/m2)]],3,0),"")</f>
        <v>0.27638888888888891</v>
      </c>
      <c r="J89" s="41">
        <f>IFERROR(VLOOKUP(TA[[#This Row],[Date]],Raw_Data[[Date]:[Sunset Time (POA&lt;20 W/m2)]],4,0),"")</f>
        <v>0.76388888888888884</v>
      </c>
      <c r="K89" s="35">
        <f>IFERROR((TA[[#This Row],[Sunset Time (POA&lt;20 W/m2)]]-TA[[#This Row],[Sunrise Time (POA&gt;20 W/m2)]])*24,"")</f>
        <v>11.7</v>
      </c>
      <c r="L89" s="2" t="s">
        <v>296</v>
      </c>
      <c r="M89" s="42">
        <f>IFERROR(VLOOKUP(TA[[#This Row],[Affected Equipment]],'Basic Data'!$I$2:$K$40,3,0),"")</f>
        <v>8.6206896551724102E-3</v>
      </c>
      <c r="N89">
        <v>-28</v>
      </c>
      <c r="O89" t="s">
        <v>135</v>
      </c>
      <c r="P89" s="22" t="s">
        <v>323</v>
      </c>
      <c r="Q89" s="2" t="s">
        <v>329</v>
      </c>
      <c r="R89">
        <v>47</v>
      </c>
      <c r="S89" s="2">
        <v>18</v>
      </c>
      <c r="T89" t="s">
        <v>297</v>
      </c>
      <c r="U89" t="s">
        <v>326</v>
      </c>
      <c r="V89" t="s">
        <v>301</v>
      </c>
      <c r="W89" s="41">
        <f>IFERROR(VLOOKUP(TA[[#This Row],[Date]],Raw_Data[[Date]:[Sunset Time (POA&lt;20 W/m2)]],3,0),"")</f>
        <v>0.27638888888888891</v>
      </c>
      <c r="X89" s="41">
        <f>IFERROR(VLOOKUP(TA[[#This Row],[Date]],Raw_Data[[Date]:[Sunset Time (POA&lt;20 W/m2)]],3,0),"")</f>
        <v>0.27638888888888891</v>
      </c>
      <c r="Y89" s="34"/>
      <c r="Z89" s="34">
        <v>0.76041666666666663</v>
      </c>
      <c r="AA89" s="35">
        <f>IF(TA[[#This Row],[Work Start time on Fault]]="NA","",(TA[[#This Row],[Fault Acknowledgement Time ]]-TA[[#This Row],[Fault Time]])*24)</f>
        <v>0</v>
      </c>
      <c r="AB89" s="35">
        <f>(TA[[#This Row],[Work Start time on Fault]]-TA[[#This Row],[Fault Time]])*24</f>
        <v>-6.6333333333333337</v>
      </c>
      <c r="AC89" s="34">
        <f>(TA[[#This Row],[Work Completion time on fault]]-TA[[#This Row],[Fault Time]])*24</f>
        <v>11.616666666666665</v>
      </c>
      <c r="AD89" s="35">
        <f>IFERROR((TA[[#This Row],[Work Completion time on fault]]-TA[[#This Row],[Fault Time]])*24,"")</f>
        <v>11.616666666666665</v>
      </c>
      <c r="AE89" t="s">
        <v>309</v>
      </c>
      <c r="AF89" t="s">
        <v>256</v>
      </c>
      <c r="AG89" s="2"/>
      <c r="AH89" s="44">
        <f>1-COS(RADIANS(TA[[#This Row],[Avg. Target Angle during Fault Time (Radians)]]-TA[[#This Row],[Angle of affected equipment ]]))</f>
        <v>0.11705240714107301</v>
      </c>
      <c r="AI89" s="35">
        <f>IFERROR(TA[[#This Row],[Breakdown Time]]*TA[[#This Row],[Plant Equivalent Weightage]],"")</f>
        <v>0.10014367816091949</v>
      </c>
    </row>
    <row r="90" spans="1:35">
      <c r="A90" s="2">
        <f t="shared" si="4"/>
        <v>87</v>
      </c>
      <c r="B90" s="156">
        <f t="shared" si="5"/>
        <v>2026</v>
      </c>
      <c r="C90" s="129">
        <f t="shared" si="6"/>
        <v>2025</v>
      </c>
      <c r="D90" s="2" t="s">
        <v>155</v>
      </c>
      <c r="E90" s="2" t="s">
        <v>155</v>
      </c>
      <c r="F90" s="39">
        <v>45748</v>
      </c>
      <c r="G90" s="2">
        <f>DAY(EOMONTH(TA[[#This Row],[Month Year]],0))</f>
        <v>30</v>
      </c>
      <c r="H90" s="21">
        <v>45750</v>
      </c>
      <c r="I90" s="41">
        <f>IFERROR(VLOOKUP(TA[[#This Row],[Date]],Raw_Data[[Date]:[Sunset Time (POA&lt;20 W/m2)]],3,0),"")</f>
        <v>0.27638888888888891</v>
      </c>
      <c r="J90" s="41">
        <f>IFERROR(VLOOKUP(TA[[#This Row],[Date]],Raw_Data[[Date]:[Sunset Time (POA&lt;20 W/m2)]],4,0),"")</f>
        <v>0.76388888888888884</v>
      </c>
      <c r="K90" s="35">
        <f>IFERROR((TA[[#This Row],[Sunset Time (POA&lt;20 W/m2)]]-TA[[#This Row],[Sunrise Time (POA&gt;20 W/m2)]])*24,"")</f>
        <v>11.7</v>
      </c>
      <c r="L90" s="2" t="s">
        <v>296</v>
      </c>
      <c r="M90" s="42">
        <f>IFERROR(VLOOKUP(TA[[#This Row],[Affected Equipment]],'Basic Data'!$I$2:$K$40,3,0),"")</f>
        <v>8.6206896551724102E-3</v>
      </c>
      <c r="N90">
        <v>-28</v>
      </c>
      <c r="O90" t="s">
        <v>134</v>
      </c>
      <c r="P90" s="22" t="s">
        <v>330</v>
      </c>
      <c r="Q90" s="2" t="s">
        <v>323</v>
      </c>
      <c r="R90">
        <v>30</v>
      </c>
      <c r="S90" s="2">
        <v>57</v>
      </c>
      <c r="T90" t="s">
        <v>297</v>
      </c>
      <c r="U90" t="s">
        <v>326</v>
      </c>
      <c r="V90" t="s">
        <v>301</v>
      </c>
      <c r="W90" s="41">
        <f>IFERROR(VLOOKUP(TA[[#This Row],[Date]],Raw_Data[[Date]:[Sunset Time (POA&lt;20 W/m2)]],3,0),"")</f>
        <v>0.27638888888888891</v>
      </c>
      <c r="X90" s="41">
        <f>IFERROR(VLOOKUP(TA[[#This Row],[Date]],Raw_Data[[Date]:[Sunset Time (POA&lt;20 W/m2)]],3,0),"")</f>
        <v>0.27638888888888891</v>
      </c>
      <c r="Y90" s="34"/>
      <c r="Z90" s="34">
        <v>0.76041666666666663</v>
      </c>
      <c r="AA90" s="35">
        <f>IF(TA[[#This Row],[Work Start time on Fault]]="NA","",(TA[[#This Row],[Fault Acknowledgement Time ]]-TA[[#This Row],[Fault Time]])*24)</f>
        <v>0</v>
      </c>
      <c r="AB90" s="35">
        <f>(TA[[#This Row],[Work Start time on Fault]]-TA[[#This Row],[Fault Time]])*24</f>
        <v>-6.6333333333333337</v>
      </c>
      <c r="AC90" s="34">
        <f>(TA[[#This Row],[Work Completion time on fault]]-TA[[#This Row],[Fault Time]])*24</f>
        <v>11.616666666666665</v>
      </c>
      <c r="AD90" s="35">
        <f>IFERROR((TA[[#This Row],[Work Completion time on fault]]-TA[[#This Row],[Fault Time]])*24,"")</f>
        <v>11.616666666666665</v>
      </c>
      <c r="AE90" t="s">
        <v>309</v>
      </c>
      <c r="AF90" t="s">
        <v>256</v>
      </c>
      <c r="AG90" s="2"/>
      <c r="AH90" s="44">
        <f>1-COS(RADIANS(TA[[#This Row],[Avg. Target Angle during Fault Time (Radians)]]-TA[[#This Row],[Angle of affected equipment ]]))</f>
        <v>0.11705240714107301</v>
      </c>
      <c r="AI90" s="35">
        <f>IFERROR(TA[[#This Row],[Breakdown Time]]*TA[[#This Row],[Plant Equivalent Weightage]],"")</f>
        <v>0.10014367816091949</v>
      </c>
    </row>
    <row r="91" spans="1:35">
      <c r="A91" s="2">
        <f t="shared" si="4"/>
        <v>88</v>
      </c>
      <c r="B91" s="156">
        <f t="shared" si="5"/>
        <v>2026</v>
      </c>
      <c r="C91" s="129">
        <f t="shared" si="6"/>
        <v>2025</v>
      </c>
      <c r="D91" s="2" t="s">
        <v>155</v>
      </c>
      <c r="E91" s="2" t="s">
        <v>155</v>
      </c>
      <c r="F91" s="39">
        <v>45748</v>
      </c>
      <c r="G91" s="2">
        <f>DAY(EOMONTH(TA[[#This Row],[Month Year]],0))</f>
        <v>30</v>
      </c>
      <c r="H91" s="21">
        <v>45750</v>
      </c>
      <c r="I91" s="41">
        <f>IFERROR(VLOOKUP(TA[[#This Row],[Date]],Raw_Data[[Date]:[Sunset Time (POA&lt;20 W/m2)]],3,0),"")</f>
        <v>0.27638888888888891</v>
      </c>
      <c r="J91" s="41">
        <f>IFERROR(VLOOKUP(TA[[#This Row],[Date]],Raw_Data[[Date]:[Sunset Time (POA&lt;20 W/m2)]],4,0),"")</f>
        <v>0.76388888888888884</v>
      </c>
      <c r="K91" s="35">
        <f>IFERROR((TA[[#This Row],[Sunset Time (POA&lt;20 W/m2)]]-TA[[#This Row],[Sunrise Time (POA&gt;20 W/m2)]])*24,"")</f>
        <v>11.7</v>
      </c>
      <c r="L91" s="2" t="s">
        <v>296</v>
      </c>
      <c r="M91" s="42">
        <f>IFERROR(VLOOKUP(TA[[#This Row],[Affected Equipment]],'Basic Data'!$I$2:$K$40,3,0),"")</f>
        <v>8.6206896551724102E-3</v>
      </c>
      <c r="N91">
        <v>-28</v>
      </c>
      <c r="O91" t="s">
        <v>134</v>
      </c>
      <c r="P91" s="22" t="s">
        <v>330</v>
      </c>
      <c r="Q91" s="2" t="s">
        <v>323</v>
      </c>
      <c r="R91">
        <v>31</v>
      </c>
      <c r="S91" s="2">
        <v>61</v>
      </c>
      <c r="T91" t="s">
        <v>297</v>
      </c>
      <c r="U91" t="s">
        <v>326</v>
      </c>
      <c r="V91" t="s">
        <v>301</v>
      </c>
      <c r="W91" s="41">
        <f>IFERROR(VLOOKUP(TA[[#This Row],[Date]],Raw_Data[[Date]:[Sunset Time (POA&lt;20 W/m2)]],3,0),"")</f>
        <v>0.27638888888888891</v>
      </c>
      <c r="X91" s="41">
        <f>IFERROR(VLOOKUP(TA[[#This Row],[Date]],Raw_Data[[Date]:[Sunset Time (POA&lt;20 W/m2)]],3,0),"")</f>
        <v>0.27638888888888891</v>
      </c>
      <c r="Y91" s="34"/>
      <c r="Z91" s="34">
        <v>0.76041666666666663</v>
      </c>
      <c r="AA91" s="35">
        <f>IF(TA[[#This Row],[Work Start time on Fault]]="NA","",(TA[[#This Row],[Fault Acknowledgement Time ]]-TA[[#This Row],[Fault Time]])*24)</f>
        <v>0</v>
      </c>
      <c r="AB91" s="35">
        <f>(TA[[#This Row],[Work Start time on Fault]]-TA[[#This Row],[Fault Time]])*24</f>
        <v>-6.6333333333333337</v>
      </c>
      <c r="AC91" s="34">
        <f>(TA[[#This Row],[Work Completion time on fault]]-TA[[#This Row],[Fault Time]])*24</f>
        <v>11.616666666666665</v>
      </c>
      <c r="AD91" s="35">
        <f>IFERROR((TA[[#This Row],[Work Completion time on fault]]-TA[[#This Row],[Fault Time]])*24,"")</f>
        <v>11.616666666666665</v>
      </c>
      <c r="AE91" t="s">
        <v>309</v>
      </c>
      <c r="AF91" t="s">
        <v>256</v>
      </c>
      <c r="AG91" s="2"/>
      <c r="AH91" s="44">
        <f>1-COS(RADIANS(TA[[#This Row],[Avg. Target Angle during Fault Time (Radians)]]-TA[[#This Row],[Angle of affected equipment ]]))</f>
        <v>0.11705240714107301</v>
      </c>
      <c r="AI91" s="35">
        <f>IFERROR(TA[[#This Row],[Breakdown Time]]*TA[[#This Row],[Plant Equivalent Weightage]],"")</f>
        <v>0.10014367816091949</v>
      </c>
    </row>
    <row r="92" spans="1:35">
      <c r="A92" s="2">
        <f t="shared" si="4"/>
        <v>89</v>
      </c>
      <c r="B92" s="156">
        <f t="shared" si="5"/>
        <v>2026</v>
      </c>
      <c r="C92" s="129">
        <f t="shared" si="6"/>
        <v>2025</v>
      </c>
      <c r="D92" s="2" t="s">
        <v>155</v>
      </c>
      <c r="E92" s="2" t="s">
        <v>155</v>
      </c>
      <c r="F92" s="39">
        <v>45748</v>
      </c>
      <c r="G92" s="2">
        <f>DAY(EOMONTH(TA[[#This Row],[Month Year]],0))</f>
        <v>30</v>
      </c>
      <c r="H92" s="21">
        <v>45750</v>
      </c>
      <c r="I92" s="41">
        <f>IFERROR(VLOOKUP(TA[[#This Row],[Date]],Raw_Data[[Date]:[Sunset Time (POA&lt;20 W/m2)]],3,0),"")</f>
        <v>0.27638888888888891</v>
      </c>
      <c r="J92" s="41">
        <f>IFERROR(VLOOKUP(TA[[#This Row],[Date]],Raw_Data[[Date]:[Sunset Time (POA&lt;20 W/m2)]],4,0),"")</f>
        <v>0.76388888888888884</v>
      </c>
      <c r="K92" s="35">
        <f>IFERROR((TA[[#This Row],[Sunset Time (POA&lt;20 W/m2)]]-TA[[#This Row],[Sunrise Time (POA&gt;20 W/m2)]])*24,"")</f>
        <v>11.7</v>
      </c>
      <c r="L92" s="2" t="s">
        <v>312</v>
      </c>
      <c r="M92" s="42">
        <f>IFERROR(VLOOKUP(TA[[#This Row],[Affected Equipment]],'Basic Data'!$I$2:$K$40,3,0),"")</f>
        <v>5.74712643678161E-3</v>
      </c>
      <c r="N92">
        <v>-28</v>
      </c>
      <c r="O92" t="s">
        <v>133</v>
      </c>
      <c r="P92" s="22" t="s">
        <v>330</v>
      </c>
      <c r="Q92" s="2" t="s">
        <v>323</v>
      </c>
      <c r="R92">
        <v>26</v>
      </c>
      <c r="S92" s="2">
        <v>37</v>
      </c>
      <c r="T92" t="s">
        <v>297</v>
      </c>
      <c r="U92" t="s">
        <v>326</v>
      </c>
      <c r="V92" t="s">
        <v>301</v>
      </c>
      <c r="W92" s="41">
        <f>IFERROR(VLOOKUP(TA[[#This Row],[Date]],Raw_Data[[Date]:[Sunset Time (POA&lt;20 W/m2)]],3,0),"")</f>
        <v>0.27638888888888891</v>
      </c>
      <c r="X92" s="41">
        <f>IFERROR(VLOOKUP(TA[[#This Row],[Date]],Raw_Data[[Date]:[Sunset Time (POA&lt;20 W/m2)]],3,0),"")</f>
        <v>0.27638888888888891</v>
      </c>
      <c r="Y92" s="34"/>
      <c r="Z92" s="34">
        <v>0.76041666666666663</v>
      </c>
      <c r="AA92" s="35">
        <f>IF(TA[[#This Row],[Work Start time on Fault]]="NA","",(TA[[#This Row],[Fault Acknowledgement Time ]]-TA[[#This Row],[Fault Time]])*24)</f>
        <v>0</v>
      </c>
      <c r="AB92" s="35">
        <f>(TA[[#This Row],[Work Start time on Fault]]-TA[[#This Row],[Fault Time]])*24</f>
        <v>-6.6333333333333337</v>
      </c>
      <c r="AC92" s="34">
        <f>(TA[[#This Row],[Work Completion time on fault]]-TA[[#This Row],[Fault Time]])*24</f>
        <v>11.616666666666665</v>
      </c>
      <c r="AD92" s="35">
        <f>IFERROR((TA[[#This Row],[Work Completion time on fault]]-TA[[#This Row],[Fault Time]])*24,"")</f>
        <v>11.616666666666665</v>
      </c>
      <c r="AE92" t="s">
        <v>309</v>
      </c>
      <c r="AF92" t="s">
        <v>256</v>
      </c>
      <c r="AG92" s="2"/>
      <c r="AH92" s="44">
        <f>1-COS(RADIANS(TA[[#This Row],[Avg. Target Angle during Fault Time (Radians)]]-TA[[#This Row],[Angle of affected equipment ]]))</f>
        <v>0.11705240714107301</v>
      </c>
      <c r="AI92" s="35">
        <f>IFERROR(TA[[#This Row],[Breakdown Time]]*TA[[#This Row],[Plant Equivalent Weightage]],"")</f>
        <v>6.6762452107279699E-2</v>
      </c>
    </row>
    <row r="93" spans="1:35">
      <c r="A93" s="2">
        <f t="shared" si="4"/>
        <v>90</v>
      </c>
      <c r="B93" s="156">
        <f t="shared" si="5"/>
        <v>2026</v>
      </c>
      <c r="C93" s="129">
        <f t="shared" si="6"/>
        <v>2025</v>
      </c>
      <c r="D93" s="2" t="s">
        <v>155</v>
      </c>
      <c r="E93" s="2" t="s">
        <v>155</v>
      </c>
      <c r="F93" s="39">
        <v>45748</v>
      </c>
      <c r="G93" s="2">
        <f>DAY(EOMONTH(TA[[#This Row],[Month Year]],0))</f>
        <v>30</v>
      </c>
      <c r="H93" s="21">
        <v>45750</v>
      </c>
      <c r="I93" s="41">
        <f>IFERROR(VLOOKUP(TA[[#This Row],[Date]],Raw_Data[[Date]:[Sunset Time (POA&lt;20 W/m2)]],3,0),"")</f>
        <v>0.27638888888888891</v>
      </c>
      <c r="J93" s="41">
        <f>IFERROR(VLOOKUP(TA[[#This Row],[Date]],Raw_Data[[Date]:[Sunset Time (POA&lt;20 W/m2)]],4,0),"")</f>
        <v>0.76388888888888884</v>
      </c>
      <c r="K93" s="35">
        <f>IFERROR((TA[[#This Row],[Sunset Time (POA&lt;20 W/m2)]]-TA[[#This Row],[Sunrise Time (POA&gt;20 W/m2)]])*24,"")</f>
        <v>11.7</v>
      </c>
      <c r="L93" s="2" t="s">
        <v>312</v>
      </c>
      <c r="M93" s="42">
        <f>IFERROR(VLOOKUP(TA[[#This Row],[Affected Equipment]],'Basic Data'!$I$2:$K$40,3,0),"")</f>
        <v>5.74712643678161E-3</v>
      </c>
      <c r="N93">
        <v>-28</v>
      </c>
      <c r="O93" t="s">
        <v>133</v>
      </c>
      <c r="P93" s="22" t="s">
        <v>330</v>
      </c>
      <c r="Q93" s="2" t="s">
        <v>323</v>
      </c>
      <c r="R93">
        <v>27</v>
      </c>
      <c r="S93" s="2">
        <v>42</v>
      </c>
      <c r="T93" t="s">
        <v>297</v>
      </c>
      <c r="U93" t="s">
        <v>326</v>
      </c>
      <c r="V93" t="s">
        <v>301</v>
      </c>
      <c r="W93" s="41">
        <f>IFERROR(VLOOKUP(TA[[#This Row],[Date]],Raw_Data[[Date]:[Sunset Time (POA&lt;20 W/m2)]],3,0),"")</f>
        <v>0.27638888888888891</v>
      </c>
      <c r="X93" s="41">
        <f>IFERROR(VLOOKUP(TA[[#This Row],[Date]],Raw_Data[[Date]:[Sunset Time (POA&lt;20 W/m2)]],3,0),"")</f>
        <v>0.27638888888888891</v>
      </c>
      <c r="Y93" s="34"/>
      <c r="Z93" s="34">
        <v>0.76041666666666663</v>
      </c>
      <c r="AA93" s="35">
        <f>IF(TA[[#This Row],[Work Start time on Fault]]="NA","",(TA[[#This Row],[Fault Acknowledgement Time ]]-TA[[#This Row],[Fault Time]])*24)</f>
        <v>0</v>
      </c>
      <c r="AB93" s="35">
        <f>(TA[[#This Row],[Work Start time on Fault]]-TA[[#This Row],[Fault Time]])*24</f>
        <v>-6.6333333333333337</v>
      </c>
      <c r="AC93" s="34">
        <f>(TA[[#This Row],[Work Completion time on fault]]-TA[[#This Row],[Fault Time]])*24</f>
        <v>11.616666666666665</v>
      </c>
      <c r="AD93" s="35">
        <f>IFERROR((TA[[#This Row],[Work Completion time on fault]]-TA[[#This Row],[Fault Time]])*24,"")</f>
        <v>11.616666666666665</v>
      </c>
      <c r="AE93" t="s">
        <v>309</v>
      </c>
      <c r="AF93" t="s">
        <v>256</v>
      </c>
      <c r="AG93" s="2"/>
      <c r="AH93" s="44">
        <f>1-COS(RADIANS(TA[[#This Row],[Avg. Target Angle during Fault Time (Radians)]]-TA[[#This Row],[Angle of affected equipment ]]))</f>
        <v>0.11705240714107301</v>
      </c>
      <c r="AI93" s="35">
        <f>IFERROR(TA[[#This Row],[Breakdown Time]]*TA[[#This Row],[Plant Equivalent Weightage]],"")</f>
        <v>6.6762452107279699E-2</v>
      </c>
    </row>
    <row r="94" spans="1:35">
      <c r="A94" s="2">
        <f t="shared" si="4"/>
        <v>91</v>
      </c>
      <c r="B94" s="156">
        <f t="shared" si="5"/>
        <v>2026</v>
      </c>
      <c r="C94" s="129">
        <f t="shared" si="6"/>
        <v>2025</v>
      </c>
      <c r="D94" s="2" t="s">
        <v>155</v>
      </c>
      <c r="E94" s="2" t="s">
        <v>155</v>
      </c>
      <c r="F94" s="39">
        <v>45748</v>
      </c>
      <c r="G94" s="2">
        <f>DAY(EOMONTH(TA[[#This Row],[Month Year]],0))</f>
        <v>30</v>
      </c>
      <c r="H94" s="21">
        <v>45751</v>
      </c>
      <c r="I94" s="41">
        <f>IFERROR(VLOOKUP(TA[[#This Row],[Date]],Raw_Data[[Date]:[Sunset Time (POA&lt;20 W/m2)]],3,0),"")</f>
        <v>0.27013888888888887</v>
      </c>
      <c r="J94" s="41">
        <f>IFERROR(VLOOKUP(TA[[#This Row],[Date]],Raw_Data[[Date]:[Sunset Time (POA&lt;20 W/m2)]],4,0),"")</f>
        <v>0.76458333333333328</v>
      </c>
      <c r="K94" s="35">
        <f>IFERROR((TA[[#This Row],[Sunset Time (POA&lt;20 W/m2)]]-TA[[#This Row],[Sunrise Time (POA&gt;20 W/m2)]])*24,"")</f>
        <v>11.866666666666665</v>
      </c>
      <c r="L94" s="2" t="s">
        <v>294</v>
      </c>
      <c r="M94" s="42">
        <f>IFERROR(VLOOKUP(TA[[#This Row],[Affected Equipment]],'Basic Data'!$I$2:$K$40,3,0),"")</f>
        <v>1.7241379310344799E-3</v>
      </c>
      <c r="N94">
        <v>-28</v>
      </c>
      <c r="O94" t="s">
        <v>135</v>
      </c>
      <c r="P94" s="127" t="s">
        <v>318</v>
      </c>
      <c r="Q94" s="126" t="s">
        <v>318</v>
      </c>
      <c r="R94">
        <v>130</v>
      </c>
      <c r="S94" s="2">
        <v>36</v>
      </c>
      <c r="T94" t="s">
        <v>295</v>
      </c>
      <c r="U94" t="s">
        <v>300</v>
      </c>
      <c r="V94" t="s">
        <v>298</v>
      </c>
      <c r="W94" s="41"/>
      <c r="X94" s="41"/>
      <c r="Y94" s="34"/>
      <c r="Z94" s="34"/>
      <c r="AA94" s="35">
        <f>IF(TA[[#This Row],[Work Start time on Fault]]="NA","",(TA[[#This Row],[Fault Acknowledgement Time ]]-TA[[#This Row],[Fault Time]])*24)</f>
        <v>0</v>
      </c>
      <c r="AB94" s="35">
        <f>(TA[[#This Row],[Work Start time on Fault]]-TA[[#This Row],[Fault Time]])*24</f>
        <v>0</v>
      </c>
      <c r="AC94" s="34">
        <f>(TA[[#This Row],[Work Completion time on fault]]-TA[[#This Row],[Fault Time]])*24</f>
        <v>0</v>
      </c>
      <c r="AD94" s="35">
        <f>IFERROR((TA[[#This Row],[Work Completion time on fault]]-TA[[#This Row],[Fault Time]])*24,"")</f>
        <v>0</v>
      </c>
      <c r="AE94" t="s">
        <v>328</v>
      </c>
      <c r="AF94" t="s">
        <v>256</v>
      </c>
      <c r="AG94" s="2"/>
      <c r="AH94" s="44">
        <f>1-COS(RADIANS(TA[[#This Row],[Avg. Target Angle during Fault Time (Radians)]]-TA[[#This Row],[Angle of affected equipment ]]))</f>
        <v>0.11705240714107301</v>
      </c>
      <c r="AI94" s="35">
        <f>IFERROR(TA[[#This Row],[Breakdown Time]]*TA[[#This Row],[Plant Equivalent Weightage]],"")</f>
        <v>0</v>
      </c>
    </row>
    <row r="95" spans="1:35">
      <c r="A95" s="2">
        <f t="shared" si="4"/>
        <v>92</v>
      </c>
      <c r="B95" s="156">
        <f t="shared" si="5"/>
        <v>2026</v>
      </c>
      <c r="C95" s="129">
        <f t="shared" si="6"/>
        <v>2025</v>
      </c>
      <c r="D95" s="2" t="s">
        <v>155</v>
      </c>
      <c r="E95" s="2" t="s">
        <v>155</v>
      </c>
      <c r="F95" s="39">
        <v>45748</v>
      </c>
      <c r="G95" s="2">
        <f>DAY(EOMONTH(TA[[#This Row],[Month Year]],0))</f>
        <v>30</v>
      </c>
      <c r="H95" s="21">
        <v>45751</v>
      </c>
      <c r="I95" s="41">
        <f>IFERROR(VLOOKUP(TA[[#This Row],[Date]],Raw_Data[[Date]:[Sunset Time (POA&lt;20 W/m2)]],3,0),"")</f>
        <v>0.27013888888888887</v>
      </c>
      <c r="J95" s="41">
        <f>IFERROR(VLOOKUP(TA[[#This Row],[Date]],Raw_Data[[Date]:[Sunset Time (POA&lt;20 W/m2)]],4,0),"")</f>
        <v>0.76458333333333328</v>
      </c>
      <c r="K95" s="35">
        <f>IFERROR((TA[[#This Row],[Sunset Time (POA&lt;20 W/m2)]]-TA[[#This Row],[Sunrise Time (POA&gt;20 W/m2)]])*24,"")</f>
        <v>11.866666666666665</v>
      </c>
      <c r="L95" s="2" t="s">
        <v>294</v>
      </c>
      <c r="M95" s="42">
        <f>IFERROR(VLOOKUP(TA[[#This Row],[Affected Equipment]],'Basic Data'!$I$2:$K$40,3,0),"")</f>
        <v>1.7241379310344799E-3</v>
      </c>
      <c r="N95">
        <v>-28</v>
      </c>
      <c r="O95" t="s">
        <v>135</v>
      </c>
      <c r="P95" s="127" t="s">
        <v>318</v>
      </c>
      <c r="Q95" s="126" t="s">
        <v>318</v>
      </c>
      <c r="R95">
        <v>130</v>
      </c>
      <c r="S95" s="2">
        <v>37</v>
      </c>
      <c r="T95" t="s">
        <v>295</v>
      </c>
      <c r="U95" t="s">
        <v>300</v>
      </c>
      <c r="V95" t="s">
        <v>298</v>
      </c>
      <c r="W95" s="41"/>
      <c r="X95" s="41"/>
      <c r="Y95" s="34"/>
      <c r="Z95" s="34"/>
      <c r="AA95" s="35">
        <f>IF(TA[[#This Row],[Work Start time on Fault]]="NA","",(TA[[#This Row],[Fault Acknowledgement Time ]]-TA[[#This Row],[Fault Time]])*24)</f>
        <v>0</v>
      </c>
      <c r="AB95" s="35">
        <f>(TA[[#This Row],[Work Start time on Fault]]-TA[[#This Row],[Fault Time]])*24</f>
        <v>0</v>
      </c>
      <c r="AC95" s="34">
        <f>(TA[[#This Row],[Work Completion time on fault]]-TA[[#This Row],[Fault Time]])*24</f>
        <v>0</v>
      </c>
      <c r="AD95" s="35">
        <f>IFERROR((TA[[#This Row],[Work Completion time on fault]]-TA[[#This Row],[Fault Time]])*24,"")</f>
        <v>0</v>
      </c>
      <c r="AE95" t="s">
        <v>328</v>
      </c>
      <c r="AF95" t="s">
        <v>256</v>
      </c>
      <c r="AG95" s="2"/>
      <c r="AH95" s="44">
        <f>1-COS(RADIANS(TA[[#This Row],[Avg. Target Angle during Fault Time (Radians)]]-TA[[#This Row],[Angle of affected equipment ]]))</f>
        <v>0.11705240714107301</v>
      </c>
      <c r="AI95" s="35">
        <f>IFERROR(TA[[#This Row],[Breakdown Time]]*TA[[#This Row],[Plant Equivalent Weightage]],"")</f>
        <v>0</v>
      </c>
    </row>
    <row r="96" spans="1:35">
      <c r="A96" s="2">
        <f t="shared" si="4"/>
        <v>93</v>
      </c>
      <c r="B96" s="156">
        <f t="shared" si="5"/>
        <v>2026</v>
      </c>
      <c r="C96" s="129">
        <f t="shared" si="6"/>
        <v>2025</v>
      </c>
      <c r="D96" s="2" t="s">
        <v>155</v>
      </c>
      <c r="E96" s="2" t="s">
        <v>155</v>
      </c>
      <c r="F96" s="39">
        <v>45748</v>
      </c>
      <c r="G96" s="2">
        <f>DAY(EOMONTH(TA[[#This Row],[Month Year]],0))</f>
        <v>30</v>
      </c>
      <c r="H96" s="21">
        <v>45751</v>
      </c>
      <c r="I96" s="41">
        <f>IFERROR(VLOOKUP(TA[[#This Row],[Date]],Raw_Data[[Date]:[Sunset Time (POA&lt;20 W/m2)]],3,0),"")</f>
        <v>0.27013888888888887</v>
      </c>
      <c r="J96" s="41">
        <f>IFERROR(VLOOKUP(TA[[#This Row],[Date]],Raw_Data[[Date]:[Sunset Time (POA&lt;20 W/m2)]],4,0),"")</f>
        <v>0.76458333333333328</v>
      </c>
      <c r="K96" s="35">
        <f>IFERROR((TA[[#This Row],[Sunset Time (POA&lt;20 W/m2)]]-TA[[#This Row],[Sunrise Time (POA&gt;20 W/m2)]])*24,"")</f>
        <v>11.866666666666665</v>
      </c>
      <c r="L96" s="2" t="s">
        <v>294</v>
      </c>
      <c r="M96" s="42">
        <f>IFERROR(VLOOKUP(TA[[#This Row],[Affected Equipment]],'Basic Data'!$I$2:$K$40,3,0),"")</f>
        <v>1.7241379310344799E-3</v>
      </c>
      <c r="N96">
        <v>-28</v>
      </c>
      <c r="O96" t="s">
        <v>135</v>
      </c>
      <c r="P96" s="127" t="s">
        <v>318</v>
      </c>
      <c r="Q96" s="126" t="s">
        <v>318</v>
      </c>
      <c r="R96">
        <v>131</v>
      </c>
      <c r="S96" s="2">
        <v>38</v>
      </c>
      <c r="T96" t="s">
        <v>295</v>
      </c>
      <c r="U96" t="s">
        <v>300</v>
      </c>
      <c r="V96" t="s">
        <v>298</v>
      </c>
      <c r="W96" s="41"/>
      <c r="X96" s="41"/>
      <c r="Y96" s="34"/>
      <c r="Z96" s="34"/>
      <c r="AA96" s="35">
        <f>IF(TA[[#This Row],[Work Start time on Fault]]="NA","",(TA[[#This Row],[Fault Acknowledgement Time ]]-TA[[#This Row],[Fault Time]])*24)</f>
        <v>0</v>
      </c>
      <c r="AB96" s="35">
        <f>(TA[[#This Row],[Work Start time on Fault]]-TA[[#This Row],[Fault Time]])*24</f>
        <v>0</v>
      </c>
      <c r="AC96" s="34">
        <f>(TA[[#This Row],[Work Completion time on fault]]-TA[[#This Row],[Fault Time]])*24</f>
        <v>0</v>
      </c>
      <c r="AD96" s="35">
        <f>IFERROR((TA[[#This Row],[Work Completion time on fault]]-TA[[#This Row],[Fault Time]])*24,"")</f>
        <v>0</v>
      </c>
      <c r="AE96" t="s">
        <v>328</v>
      </c>
      <c r="AF96" t="s">
        <v>256</v>
      </c>
      <c r="AG96" s="2"/>
      <c r="AH96" s="44">
        <f>1-COS(RADIANS(TA[[#This Row],[Avg. Target Angle during Fault Time (Radians)]]-TA[[#This Row],[Angle of affected equipment ]]))</f>
        <v>0.11705240714107301</v>
      </c>
      <c r="AI96" s="35">
        <f>IFERROR(TA[[#This Row],[Breakdown Time]]*TA[[#This Row],[Plant Equivalent Weightage]],"")</f>
        <v>0</v>
      </c>
    </row>
    <row r="97" spans="1:35">
      <c r="A97" s="2">
        <f t="shared" si="4"/>
        <v>94</v>
      </c>
      <c r="B97" s="156">
        <f t="shared" si="5"/>
        <v>2026</v>
      </c>
      <c r="C97" s="129">
        <f t="shared" si="6"/>
        <v>2025</v>
      </c>
      <c r="D97" s="2" t="s">
        <v>155</v>
      </c>
      <c r="E97" s="2" t="s">
        <v>155</v>
      </c>
      <c r="F97" s="39">
        <v>45748</v>
      </c>
      <c r="G97" s="2">
        <f>DAY(EOMONTH(TA[[#This Row],[Month Year]],0))</f>
        <v>30</v>
      </c>
      <c r="H97" s="21">
        <v>45751</v>
      </c>
      <c r="I97" s="41">
        <f>IFERROR(VLOOKUP(TA[[#This Row],[Date]],Raw_Data[[Date]:[Sunset Time (POA&lt;20 W/m2)]],3,0),"")</f>
        <v>0.27013888888888887</v>
      </c>
      <c r="J97" s="41">
        <f>IFERROR(VLOOKUP(TA[[#This Row],[Date]],Raw_Data[[Date]:[Sunset Time (POA&lt;20 W/m2)]],4,0),"")</f>
        <v>0.76458333333333328</v>
      </c>
      <c r="K97" s="35">
        <f>IFERROR((TA[[#This Row],[Sunset Time (POA&lt;20 W/m2)]]-TA[[#This Row],[Sunrise Time (POA&gt;20 W/m2)]])*24,"")</f>
        <v>11.866666666666665</v>
      </c>
      <c r="L97" s="2" t="s">
        <v>294</v>
      </c>
      <c r="M97" s="42">
        <f>IFERROR(VLOOKUP(TA[[#This Row],[Affected Equipment]],'Basic Data'!$I$2:$K$40,3,0),"")</f>
        <v>1.7241379310344799E-3</v>
      </c>
      <c r="N97">
        <v>-28</v>
      </c>
      <c r="O97" t="s">
        <v>135</v>
      </c>
      <c r="P97" s="127" t="s">
        <v>318</v>
      </c>
      <c r="Q97" s="126" t="s">
        <v>318</v>
      </c>
      <c r="R97">
        <v>131</v>
      </c>
      <c r="S97" s="2">
        <v>39</v>
      </c>
      <c r="T97" t="s">
        <v>295</v>
      </c>
      <c r="U97" t="s">
        <v>300</v>
      </c>
      <c r="V97" t="s">
        <v>298</v>
      </c>
      <c r="W97" s="41"/>
      <c r="X97" s="41"/>
      <c r="Y97" s="34"/>
      <c r="Z97" s="34"/>
      <c r="AA97" s="35">
        <f>IF(TA[[#This Row],[Work Start time on Fault]]="NA","",(TA[[#This Row],[Fault Acknowledgement Time ]]-TA[[#This Row],[Fault Time]])*24)</f>
        <v>0</v>
      </c>
      <c r="AB97" s="35">
        <f>(TA[[#This Row],[Work Start time on Fault]]-TA[[#This Row],[Fault Time]])*24</f>
        <v>0</v>
      </c>
      <c r="AC97" s="34">
        <f>(TA[[#This Row],[Work Completion time on fault]]-TA[[#This Row],[Fault Time]])*24</f>
        <v>0</v>
      </c>
      <c r="AD97" s="35">
        <f>IFERROR((TA[[#This Row],[Work Completion time on fault]]-TA[[#This Row],[Fault Time]])*24,"")</f>
        <v>0</v>
      </c>
      <c r="AE97" t="s">
        <v>328</v>
      </c>
      <c r="AF97" t="s">
        <v>256</v>
      </c>
      <c r="AG97" s="2"/>
      <c r="AH97" s="44">
        <f>1-COS(RADIANS(TA[[#This Row],[Avg. Target Angle during Fault Time (Radians)]]-TA[[#This Row],[Angle of affected equipment ]]))</f>
        <v>0.11705240714107301</v>
      </c>
      <c r="AI97" s="35">
        <f>IFERROR(TA[[#This Row],[Breakdown Time]]*TA[[#This Row],[Plant Equivalent Weightage]],"")</f>
        <v>0</v>
      </c>
    </row>
    <row r="98" spans="1:35">
      <c r="A98" s="2">
        <f t="shared" si="4"/>
        <v>95</v>
      </c>
      <c r="B98" s="156">
        <f t="shared" si="5"/>
        <v>2026</v>
      </c>
      <c r="C98" s="129">
        <f t="shared" si="6"/>
        <v>2025</v>
      </c>
      <c r="D98" s="2" t="s">
        <v>155</v>
      </c>
      <c r="E98" s="2" t="s">
        <v>155</v>
      </c>
      <c r="F98" s="39">
        <v>45748</v>
      </c>
      <c r="G98" s="2">
        <f>DAY(EOMONTH(TA[[#This Row],[Month Year]],0))</f>
        <v>30</v>
      </c>
      <c r="H98" s="21">
        <v>45751</v>
      </c>
      <c r="I98" s="41">
        <f>IFERROR(VLOOKUP(TA[[#This Row],[Date]],Raw_Data[[Date]:[Sunset Time (POA&lt;20 W/m2)]],3,0),"")</f>
        <v>0.27013888888888887</v>
      </c>
      <c r="J98" s="41">
        <f>IFERROR(VLOOKUP(TA[[#This Row],[Date]],Raw_Data[[Date]:[Sunset Time (POA&lt;20 W/m2)]],4,0),"")</f>
        <v>0.76458333333333328</v>
      </c>
      <c r="K98" s="35">
        <f>IFERROR((TA[[#This Row],[Sunset Time (POA&lt;20 W/m2)]]-TA[[#This Row],[Sunrise Time (POA&gt;20 W/m2)]])*24,"")</f>
        <v>11.866666666666665</v>
      </c>
      <c r="L98" s="2" t="s">
        <v>296</v>
      </c>
      <c r="M98" s="42">
        <f>IFERROR(VLOOKUP(TA[[#This Row],[Affected Equipment]],'Basic Data'!$I$2:$K$40,3,0),"")</f>
        <v>8.6206896551724102E-3</v>
      </c>
      <c r="N98">
        <v>-28</v>
      </c>
      <c r="O98" t="s">
        <v>135</v>
      </c>
      <c r="P98" s="127" t="s">
        <v>318</v>
      </c>
      <c r="Q98" s="2" t="s">
        <v>321</v>
      </c>
      <c r="R98">
        <v>133</v>
      </c>
      <c r="S98" s="2">
        <v>26</v>
      </c>
      <c r="T98" t="s">
        <v>297</v>
      </c>
      <c r="U98" t="s">
        <v>300</v>
      </c>
      <c r="V98" t="s">
        <v>314</v>
      </c>
      <c r="W98" s="41"/>
      <c r="X98" s="41"/>
      <c r="Y98" s="34"/>
      <c r="Z98" s="34"/>
      <c r="AA98" s="35">
        <f>IF(TA[[#This Row],[Work Start time on Fault]]="NA","",(TA[[#This Row],[Fault Acknowledgement Time ]]-TA[[#This Row],[Fault Time]])*24)</f>
        <v>0</v>
      </c>
      <c r="AB98" s="35">
        <f>(TA[[#This Row],[Work Start time on Fault]]-TA[[#This Row],[Fault Time]])*24</f>
        <v>0</v>
      </c>
      <c r="AC98" s="34">
        <f>(TA[[#This Row],[Work Completion time on fault]]-TA[[#This Row],[Fault Time]])*24</f>
        <v>0</v>
      </c>
      <c r="AD98" s="35">
        <f>IFERROR((TA[[#This Row],[Work Completion time on fault]]-TA[[#This Row],[Fault Time]])*24,"")</f>
        <v>0</v>
      </c>
      <c r="AE98" t="s">
        <v>328</v>
      </c>
      <c r="AF98" t="s">
        <v>256</v>
      </c>
      <c r="AG98" s="2"/>
      <c r="AH98" s="44">
        <f>1-COS(RADIANS(TA[[#This Row],[Avg. Target Angle during Fault Time (Radians)]]-TA[[#This Row],[Angle of affected equipment ]]))</f>
        <v>0.11705240714107301</v>
      </c>
      <c r="AI98" s="35">
        <f>IFERROR(TA[[#This Row],[Breakdown Time]]*TA[[#This Row],[Plant Equivalent Weightage]],"")</f>
        <v>0</v>
      </c>
    </row>
    <row r="99" spans="1:35">
      <c r="A99" s="2">
        <f t="shared" ref="A99:A162" si="7">A98+1</f>
        <v>96</v>
      </c>
      <c r="B99" s="156">
        <f t="shared" si="5"/>
        <v>2026</v>
      </c>
      <c r="C99" s="129">
        <f t="shared" si="6"/>
        <v>2025</v>
      </c>
      <c r="D99" s="2" t="s">
        <v>155</v>
      </c>
      <c r="E99" s="2" t="s">
        <v>155</v>
      </c>
      <c r="F99" s="39">
        <v>45748</v>
      </c>
      <c r="G99" s="2">
        <f>DAY(EOMONTH(TA[[#This Row],[Month Year]],0))</f>
        <v>30</v>
      </c>
      <c r="H99" s="21">
        <v>45751</v>
      </c>
      <c r="I99" s="41">
        <f>IFERROR(VLOOKUP(TA[[#This Row],[Date]],Raw_Data[[Date]:[Sunset Time (POA&lt;20 W/m2)]],3,0),"")</f>
        <v>0.27013888888888887</v>
      </c>
      <c r="J99" s="41">
        <f>IFERROR(VLOOKUP(TA[[#This Row],[Date]],Raw_Data[[Date]:[Sunset Time (POA&lt;20 W/m2)]],4,0),"")</f>
        <v>0.76458333333333328</v>
      </c>
      <c r="K99" s="35">
        <f>IFERROR((TA[[#This Row],[Sunset Time (POA&lt;20 W/m2)]]-TA[[#This Row],[Sunrise Time (POA&gt;20 W/m2)]])*24,"")</f>
        <v>11.866666666666665</v>
      </c>
      <c r="L99" s="2" t="s">
        <v>294</v>
      </c>
      <c r="M99" s="42">
        <f>IFERROR(VLOOKUP(TA[[#This Row],[Affected Equipment]],'Basic Data'!$I$2:$K$40,3,0),"")</f>
        <v>1.7241379310344799E-3</v>
      </c>
      <c r="N99">
        <v>-28</v>
      </c>
      <c r="O99" t="s">
        <v>133</v>
      </c>
      <c r="P99" s="127" t="s">
        <v>316</v>
      </c>
      <c r="Q99" s="126" t="s">
        <v>317</v>
      </c>
      <c r="R99">
        <v>7</v>
      </c>
      <c r="S99" s="2">
        <v>32</v>
      </c>
      <c r="T99" t="s">
        <v>295</v>
      </c>
      <c r="U99" t="s">
        <v>300</v>
      </c>
      <c r="V99" t="s">
        <v>298</v>
      </c>
      <c r="W99" s="41"/>
      <c r="X99" s="41"/>
      <c r="Y99" s="34"/>
      <c r="Z99" s="34"/>
      <c r="AA99" s="35">
        <f>IF(TA[[#This Row],[Work Start time on Fault]]="NA","",(TA[[#This Row],[Fault Acknowledgement Time ]]-TA[[#This Row],[Fault Time]])*24)</f>
        <v>0</v>
      </c>
      <c r="AB99" s="35">
        <f>(TA[[#This Row],[Work Start time on Fault]]-TA[[#This Row],[Fault Time]])*24</f>
        <v>0</v>
      </c>
      <c r="AC99" s="34">
        <f>(TA[[#This Row],[Work Completion time on fault]]-TA[[#This Row],[Fault Time]])*24</f>
        <v>0</v>
      </c>
      <c r="AD99" s="35">
        <f>IFERROR((TA[[#This Row],[Work Completion time on fault]]-TA[[#This Row],[Fault Time]])*24,"")</f>
        <v>0</v>
      </c>
      <c r="AE99" t="s">
        <v>328</v>
      </c>
      <c r="AF99" t="s">
        <v>256</v>
      </c>
      <c r="AG99" s="2"/>
      <c r="AH99" s="44">
        <f>1-COS(RADIANS(TA[[#This Row],[Avg. Target Angle during Fault Time (Radians)]]-TA[[#This Row],[Angle of affected equipment ]]))</f>
        <v>0.11705240714107301</v>
      </c>
      <c r="AI99" s="35">
        <f>IFERROR(TA[[#This Row],[Breakdown Time]]*TA[[#This Row],[Plant Equivalent Weightage]],"")</f>
        <v>0</v>
      </c>
    </row>
    <row r="100" spans="1:35">
      <c r="A100" s="2">
        <f t="shared" si="7"/>
        <v>97</v>
      </c>
      <c r="B100" s="156">
        <f t="shared" si="5"/>
        <v>2026</v>
      </c>
      <c r="C100" s="129">
        <f t="shared" si="6"/>
        <v>2025</v>
      </c>
      <c r="D100" s="2" t="s">
        <v>155</v>
      </c>
      <c r="E100" s="2" t="s">
        <v>155</v>
      </c>
      <c r="F100" s="39">
        <v>45748</v>
      </c>
      <c r="G100" s="2">
        <f>DAY(EOMONTH(TA[[#This Row],[Month Year]],0))</f>
        <v>30</v>
      </c>
      <c r="H100" s="21">
        <v>45751</v>
      </c>
      <c r="I100" s="41">
        <f>IFERROR(VLOOKUP(TA[[#This Row],[Date]],Raw_Data[[Date]:[Sunset Time (POA&lt;20 W/m2)]],3,0),"")</f>
        <v>0.27013888888888887</v>
      </c>
      <c r="J100" s="41">
        <f>IFERROR(VLOOKUP(TA[[#This Row],[Date]],Raw_Data[[Date]:[Sunset Time (POA&lt;20 W/m2)]],4,0),"")</f>
        <v>0.76458333333333328</v>
      </c>
      <c r="K100" s="35">
        <f>IFERROR((TA[[#This Row],[Sunset Time (POA&lt;20 W/m2)]]-TA[[#This Row],[Sunrise Time (POA&gt;20 W/m2)]])*24,"")</f>
        <v>11.866666666666665</v>
      </c>
      <c r="L100" s="2" t="s">
        <v>294</v>
      </c>
      <c r="M100" s="42">
        <f>IFERROR(VLOOKUP(TA[[#This Row],[Affected Equipment]],'Basic Data'!$I$2:$K$40,3,0),"")</f>
        <v>1.7241379310344799E-3</v>
      </c>
      <c r="N100">
        <v>-28</v>
      </c>
      <c r="O100" t="s">
        <v>137</v>
      </c>
      <c r="P100" s="127" t="s">
        <v>315</v>
      </c>
      <c r="Q100" s="126" t="s">
        <v>319</v>
      </c>
      <c r="R100">
        <v>166</v>
      </c>
      <c r="S100" s="2">
        <v>91</v>
      </c>
      <c r="T100" t="s">
        <v>295</v>
      </c>
      <c r="U100" t="s">
        <v>300</v>
      </c>
      <c r="V100" t="s">
        <v>298</v>
      </c>
      <c r="W100" s="41"/>
      <c r="X100" s="41"/>
      <c r="Y100" s="34"/>
      <c r="Z100" s="34"/>
      <c r="AA100" s="35">
        <f>IF(TA[[#This Row],[Work Start time on Fault]]="NA","",(TA[[#This Row],[Fault Acknowledgement Time ]]-TA[[#This Row],[Fault Time]])*24)</f>
        <v>0</v>
      </c>
      <c r="AB100" s="35">
        <f>(TA[[#This Row],[Work Start time on Fault]]-TA[[#This Row],[Fault Time]])*24</f>
        <v>0</v>
      </c>
      <c r="AC100" s="34">
        <f>(TA[[#This Row],[Work Completion time on fault]]-TA[[#This Row],[Fault Time]])*24</f>
        <v>0</v>
      </c>
      <c r="AD100" s="35">
        <f>IFERROR((TA[[#This Row],[Work Completion time on fault]]-TA[[#This Row],[Fault Time]])*24,"")</f>
        <v>0</v>
      </c>
      <c r="AE100" t="s">
        <v>328</v>
      </c>
      <c r="AF100" t="s">
        <v>256</v>
      </c>
      <c r="AG100" s="2"/>
      <c r="AH100" s="44">
        <f>1-COS(RADIANS(TA[[#This Row],[Avg. Target Angle during Fault Time (Radians)]]-TA[[#This Row],[Angle of affected equipment ]]))</f>
        <v>0.11705240714107301</v>
      </c>
      <c r="AI100" s="35">
        <f>IFERROR(TA[[#This Row],[Breakdown Time]]*TA[[#This Row],[Plant Equivalent Weightage]],"")</f>
        <v>0</v>
      </c>
    </row>
    <row r="101" spans="1:35">
      <c r="A101" s="2">
        <f t="shared" si="7"/>
        <v>98</v>
      </c>
      <c r="B101" s="156">
        <f t="shared" si="5"/>
        <v>2026</v>
      </c>
      <c r="C101" s="129">
        <f t="shared" si="6"/>
        <v>2025</v>
      </c>
      <c r="D101" s="2" t="s">
        <v>155</v>
      </c>
      <c r="E101" s="2" t="s">
        <v>155</v>
      </c>
      <c r="F101" s="39">
        <v>45748</v>
      </c>
      <c r="G101" s="2">
        <f>DAY(EOMONTH(TA[[#This Row],[Month Year]],0))</f>
        <v>30</v>
      </c>
      <c r="H101" s="21">
        <v>45751</v>
      </c>
      <c r="I101" s="41">
        <f>IFERROR(VLOOKUP(TA[[#This Row],[Date]],Raw_Data[[Date]:[Sunset Time (POA&lt;20 W/m2)]],3,0),"")</f>
        <v>0.27013888888888887</v>
      </c>
      <c r="J101" s="41">
        <f>IFERROR(VLOOKUP(TA[[#This Row],[Date]],Raw_Data[[Date]:[Sunset Time (POA&lt;20 W/m2)]],4,0),"")</f>
        <v>0.76458333333333328</v>
      </c>
      <c r="K101" s="35">
        <f>IFERROR((TA[[#This Row],[Sunset Time (POA&lt;20 W/m2)]]-TA[[#This Row],[Sunrise Time (POA&gt;20 W/m2)]])*24,"")</f>
        <v>11.866666666666665</v>
      </c>
      <c r="L101" s="2" t="s">
        <v>294</v>
      </c>
      <c r="M101" s="42">
        <f>IFERROR(VLOOKUP(TA[[#This Row],[Affected Equipment]],'Basic Data'!$I$2:$K$40,3,0),"")</f>
        <v>1.7241379310344799E-3</v>
      </c>
      <c r="N101">
        <v>-28</v>
      </c>
      <c r="O101" t="s">
        <v>133</v>
      </c>
      <c r="P101" s="127" t="s">
        <v>316</v>
      </c>
      <c r="Q101" s="126" t="s">
        <v>316</v>
      </c>
      <c r="R101">
        <v>117</v>
      </c>
      <c r="S101" s="2">
        <v>20</v>
      </c>
      <c r="T101" t="s">
        <v>295</v>
      </c>
      <c r="U101" t="s">
        <v>300</v>
      </c>
      <c r="V101" t="s">
        <v>298</v>
      </c>
      <c r="W101" s="41"/>
      <c r="X101" s="41"/>
      <c r="Y101" s="34"/>
      <c r="Z101" s="34"/>
      <c r="AA101" s="35">
        <f>IF(TA[[#This Row],[Work Start time on Fault]]="NA","",(TA[[#This Row],[Fault Acknowledgement Time ]]-TA[[#This Row],[Fault Time]])*24)</f>
        <v>0</v>
      </c>
      <c r="AB101" s="35">
        <f>(TA[[#This Row],[Work Start time on Fault]]-TA[[#This Row],[Fault Time]])*24</f>
        <v>0</v>
      </c>
      <c r="AC101" s="34">
        <f>(TA[[#This Row],[Work Completion time on fault]]-TA[[#This Row],[Fault Time]])*24</f>
        <v>0</v>
      </c>
      <c r="AD101" s="35">
        <f>IFERROR((TA[[#This Row],[Work Completion time on fault]]-TA[[#This Row],[Fault Time]])*24,"")</f>
        <v>0</v>
      </c>
      <c r="AE101" t="s">
        <v>328</v>
      </c>
      <c r="AF101" t="s">
        <v>256</v>
      </c>
      <c r="AG101" s="2"/>
      <c r="AH101" s="44">
        <f>1-COS(RADIANS(TA[[#This Row],[Avg. Target Angle during Fault Time (Radians)]]-TA[[#This Row],[Angle of affected equipment ]]))</f>
        <v>0.11705240714107301</v>
      </c>
      <c r="AI101" s="35">
        <f>IFERROR(TA[[#This Row],[Breakdown Time]]*TA[[#This Row],[Plant Equivalent Weightage]],"")</f>
        <v>0</v>
      </c>
    </row>
    <row r="102" spans="1:35">
      <c r="A102" s="2">
        <f t="shared" si="7"/>
        <v>99</v>
      </c>
      <c r="B102" s="156">
        <f t="shared" si="5"/>
        <v>2026</v>
      </c>
      <c r="C102" s="129">
        <f t="shared" si="6"/>
        <v>2025</v>
      </c>
      <c r="D102" s="2" t="s">
        <v>155</v>
      </c>
      <c r="E102" s="2" t="s">
        <v>155</v>
      </c>
      <c r="F102" s="39">
        <v>45748</v>
      </c>
      <c r="G102" s="2">
        <f>DAY(EOMONTH(TA[[#This Row],[Month Year]],0))</f>
        <v>30</v>
      </c>
      <c r="H102" s="21">
        <v>45751</v>
      </c>
      <c r="I102" s="41">
        <f>IFERROR(VLOOKUP(TA[[#This Row],[Date]],Raw_Data[[Date]:[Sunset Time (POA&lt;20 W/m2)]],3,0),"")</f>
        <v>0.27013888888888887</v>
      </c>
      <c r="J102" s="41">
        <f>IFERROR(VLOOKUP(TA[[#This Row],[Date]],Raw_Data[[Date]:[Sunset Time (POA&lt;20 W/m2)]],4,0),"")</f>
        <v>0.76458333333333328</v>
      </c>
      <c r="K102" s="35">
        <f>IFERROR((TA[[#This Row],[Sunset Time (POA&lt;20 W/m2)]]-TA[[#This Row],[Sunrise Time (POA&gt;20 W/m2)]])*24,"")</f>
        <v>11.866666666666665</v>
      </c>
      <c r="L102" s="2" t="s">
        <v>294</v>
      </c>
      <c r="M102" s="42">
        <f>IFERROR(VLOOKUP(TA[[#This Row],[Affected Equipment]],'Basic Data'!$I$2:$K$40,3,0),"")</f>
        <v>1.7241379310344799E-3</v>
      </c>
      <c r="N102">
        <v>-28</v>
      </c>
      <c r="O102" t="s">
        <v>133</v>
      </c>
      <c r="P102" s="127" t="s">
        <v>316</v>
      </c>
      <c r="Q102" s="126" t="s">
        <v>316</v>
      </c>
      <c r="R102">
        <v>118</v>
      </c>
      <c r="S102" s="2">
        <v>22</v>
      </c>
      <c r="T102" t="s">
        <v>295</v>
      </c>
      <c r="U102" t="s">
        <v>300</v>
      </c>
      <c r="V102" t="s">
        <v>298</v>
      </c>
      <c r="W102" s="41"/>
      <c r="X102" s="41"/>
      <c r="Y102" s="34"/>
      <c r="Z102" s="34"/>
      <c r="AA102" s="35">
        <f>IF(TA[[#This Row],[Work Start time on Fault]]="NA","",(TA[[#This Row],[Fault Acknowledgement Time ]]-TA[[#This Row],[Fault Time]])*24)</f>
        <v>0</v>
      </c>
      <c r="AB102" s="35">
        <f>(TA[[#This Row],[Work Start time on Fault]]-TA[[#This Row],[Fault Time]])*24</f>
        <v>0</v>
      </c>
      <c r="AC102" s="34">
        <f>(TA[[#This Row],[Work Completion time on fault]]-TA[[#This Row],[Fault Time]])*24</f>
        <v>0</v>
      </c>
      <c r="AD102" s="35">
        <f>IFERROR((TA[[#This Row],[Work Completion time on fault]]-TA[[#This Row],[Fault Time]])*24,"")</f>
        <v>0</v>
      </c>
      <c r="AE102" t="s">
        <v>328</v>
      </c>
      <c r="AF102" t="s">
        <v>256</v>
      </c>
      <c r="AG102" s="2"/>
      <c r="AH102" s="44">
        <f>1-COS(RADIANS(TA[[#This Row],[Avg. Target Angle during Fault Time (Radians)]]-TA[[#This Row],[Angle of affected equipment ]]))</f>
        <v>0.11705240714107301</v>
      </c>
      <c r="AI102" s="35">
        <f>IFERROR(TA[[#This Row],[Breakdown Time]]*TA[[#This Row],[Plant Equivalent Weightage]],"")</f>
        <v>0</v>
      </c>
    </row>
    <row r="103" spans="1:35">
      <c r="A103" s="2">
        <f t="shared" si="7"/>
        <v>100</v>
      </c>
      <c r="B103" s="156">
        <f t="shared" si="5"/>
        <v>2026</v>
      </c>
      <c r="C103" s="129">
        <f t="shared" si="6"/>
        <v>2025</v>
      </c>
      <c r="D103" s="2" t="s">
        <v>155</v>
      </c>
      <c r="E103" s="2" t="s">
        <v>155</v>
      </c>
      <c r="F103" s="39">
        <v>45748</v>
      </c>
      <c r="G103" s="2">
        <f>DAY(EOMONTH(TA[[#This Row],[Month Year]],0))</f>
        <v>30</v>
      </c>
      <c r="H103" s="21">
        <v>45751</v>
      </c>
      <c r="I103" s="41">
        <f>IFERROR(VLOOKUP(TA[[#This Row],[Date]],Raw_Data[[Date]:[Sunset Time (POA&lt;20 W/m2)]],3,0),"")</f>
        <v>0.27013888888888887</v>
      </c>
      <c r="J103" s="41">
        <f>IFERROR(VLOOKUP(TA[[#This Row],[Date]],Raw_Data[[Date]:[Sunset Time (POA&lt;20 W/m2)]],4,0),"")</f>
        <v>0.76458333333333328</v>
      </c>
      <c r="K103" s="35">
        <f>IFERROR((TA[[#This Row],[Sunset Time (POA&lt;20 W/m2)]]-TA[[#This Row],[Sunrise Time (POA&gt;20 W/m2)]])*24,"")</f>
        <v>11.866666666666665</v>
      </c>
      <c r="L103" s="2" t="s">
        <v>296</v>
      </c>
      <c r="M103" s="42">
        <f>IFERROR(VLOOKUP(TA[[#This Row],[Affected Equipment]],'Basic Data'!$I$2:$K$40,3,0),"")</f>
        <v>8.6206896551724102E-3</v>
      </c>
      <c r="N103">
        <v>-28</v>
      </c>
      <c r="O103" t="s">
        <v>135</v>
      </c>
      <c r="P103" s="22" t="s">
        <v>323</v>
      </c>
      <c r="Q103" s="2" t="s">
        <v>329</v>
      </c>
      <c r="R103">
        <v>45</v>
      </c>
      <c r="S103" s="2">
        <v>8</v>
      </c>
      <c r="T103" t="s">
        <v>297</v>
      </c>
      <c r="U103" t="s">
        <v>326</v>
      </c>
      <c r="V103" t="s">
        <v>301</v>
      </c>
      <c r="W103" s="41">
        <f>IFERROR(VLOOKUP(TA[[#This Row],[Date]],Raw_Data[[Date]:[Sunset Time (POA&lt;20 W/m2)]],3,0),"")</f>
        <v>0.27013888888888887</v>
      </c>
      <c r="X103" s="41">
        <f>IFERROR(VLOOKUP(TA[[#This Row],[Date]],Raw_Data[[Date]:[Sunset Time (POA&lt;20 W/m2)]],3,0),"")</f>
        <v>0.27013888888888887</v>
      </c>
      <c r="Y103" s="34"/>
      <c r="Z103" s="34">
        <v>0.76041666666666663</v>
      </c>
      <c r="AA103" s="35">
        <f>IF(TA[[#This Row],[Work Start time on Fault]]="NA","",(TA[[#This Row],[Fault Acknowledgement Time ]]-TA[[#This Row],[Fault Time]])*24)</f>
        <v>0</v>
      </c>
      <c r="AB103" s="35">
        <f>(TA[[#This Row],[Work Start time on Fault]]-TA[[#This Row],[Fault Time]])*24</f>
        <v>-6.4833333333333325</v>
      </c>
      <c r="AC103" s="34">
        <f>(TA[[#This Row],[Work Completion time on fault]]-TA[[#This Row],[Fault Time]])*24</f>
        <v>11.766666666666666</v>
      </c>
      <c r="AD103" s="35">
        <f>IFERROR((TA[[#This Row],[Work Completion time on fault]]-TA[[#This Row],[Fault Time]])*24,"")</f>
        <v>11.766666666666666</v>
      </c>
      <c r="AE103" t="s">
        <v>309</v>
      </c>
      <c r="AF103" t="s">
        <v>256</v>
      </c>
      <c r="AG103" s="2"/>
      <c r="AH103" s="44">
        <f>1-COS(RADIANS(TA[[#This Row],[Avg. Target Angle during Fault Time (Radians)]]-TA[[#This Row],[Angle of affected equipment ]]))</f>
        <v>0.11705240714107301</v>
      </c>
      <c r="AI103" s="35">
        <f>IFERROR(TA[[#This Row],[Breakdown Time]]*TA[[#This Row],[Plant Equivalent Weightage]],"")</f>
        <v>0.10143678160919535</v>
      </c>
    </row>
    <row r="104" spans="1:35">
      <c r="A104" s="2">
        <f t="shared" si="7"/>
        <v>101</v>
      </c>
      <c r="B104" s="156">
        <f t="shared" si="5"/>
        <v>2026</v>
      </c>
      <c r="C104" s="129">
        <f t="shared" si="6"/>
        <v>2025</v>
      </c>
      <c r="D104" s="2" t="s">
        <v>155</v>
      </c>
      <c r="E104" s="2" t="s">
        <v>155</v>
      </c>
      <c r="F104" s="39">
        <v>45748</v>
      </c>
      <c r="G104" s="2">
        <f>DAY(EOMONTH(TA[[#This Row],[Month Year]],0))</f>
        <v>30</v>
      </c>
      <c r="H104" s="21">
        <v>45751</v>
      </c>
      <c r="I104" s="41">
        <f>IFERROR(VLOOKUP(TA[[#This Row],[Date]],Raw_Data[[Date]:[Sunset Time (POA&lt;20 W/m2)]],3,0),"")</f>
        <v>0.27013888888888887</v>
      </c>
      <c r="J104" s="41">
        <f>IFERROR(VLOOKUP(TA[[#This Row],[Date]],Raw_Data[[Date]:[Sunset Time (POA&lt;20 W/m2)]],4,0),"")</f>
        <v>0.76458333333333328</v>
      </c>
      <c r="K104" s="35">
        <f>IFERROR((TA[[#This Row],[Sunset Time (POA&lt;20 W/m2)]]-TA[[#This Row],[Sunrise Time (POA&gt;20 W/m2)]])*24,"")</f>
        <v>11.866666666666665</v>
      </c>
      <c r="L104" s="2" t="s">
        <v>296</v>
      </c>
      <c r="M104" s="42">
        <f>IFERROR(VLOOKUP(TA[[#This Row],[Affected Equipment]],'Basic Data'!$I$2:$K$40,3,0),"")</f>
        <v>8.6206896551724102E-3</v>
      </c>
      <c r="N104">
        <v>-28</v>
      </c>
      <c r="O104" t="s">
        <v>135</v>
      </c>
      <c r="P104" s="22" t="s">
        <v>323</v>
      </c>
      <c r="Q104" s="2" t="s">
        <v>329</v>
      </c>
      <c r="R104">
        <v>47</v>
      </c>
      <c r="S104" s="2">
        <v>18</v>
      </c>
      <c r="T104" t="s">
        <v>297</v>
      </c>
      <c r="U104" t="s">
        <v>326</v>
      </c>
      <c r="V104" t="s">
        <v>301</v>
      </c>
      <c r="W104" s="41">
        <f>IFERROR(VLOOKUP(TA[[#This Row],[Date]],Raw_Data[[Date]:[Sunset Time (POA&lt;20 W/m2)]],3,0),"")</f>
        <v>0.27013888888888887</v>
      </c>
      <c r="X104" s="41">
        <f>IFERROR(VLOOKUP(TA[[#This Row],[Date]],Raw_Data[[Date]:[Sunset Time (POA&lt;20 W/m2)]],3,0),"")</f>
        <v>0.27013888888888887</v>
      </c>
      <c r="Y104" s="34"/>
      <c r="Z104" s="34">
        <v>0.76041666666666663</v>
      </c>
      <c r="AA104" s="35">
        <f>IF(TA[[#This Row],[Work Start time on Fault]]="NA","",(TA[[#This Row],[Fault Acknowledgement Time ]]-TA[[#This Row],[Fault Time]])*24)</f>
        <v>0</v>
      </c>
      <c r="AB104" s="35">
        <f>(TA[[#This Row],[Work Start time on Fault]]-TA[[#This Row],[Fault Time]])*24</f>
        <v>-6.4833333333333325</v>
      </c>
      <c r="AC104" s="34">
        <f>(TA[[#This Row],[Work Completion time on fault]]-TA[[#This Row],[Fault Time]])*24</f>
        <v>11.766666666666666</v>
      </c>
      <c r="AD104" s="35">
        <f>IFERROR((TA[[#This Row],[Work Completion time on fault]]-TA[[#This Row],[Fault Time]])*24,"")</f>
        <v>11.766666666666666</v>
      </c>
      <c r="AE104" t="s">
        <v>309</v>
      </c>
      <c r="AF104" t="s">
        <v>256</v>
      </c>
      <c r="AG104" s="2"/>
      <c r="AH104" s="44">
        <f>1-COS(RADIANS(TA[[#This Row],[Avg. Target Angle during Fault Time (Radians)]]-TA[[#This Row],[Angle of affected equipment ]]))</f>
        <v>0.11705240714107301</v>
      </c>
      <c r="AI104" s="35">
        <f>IFERROR(TA[[#This Row],[Breakdown Time]]*TA[[#This Row],[Plant Equivalent Weightage]],"")</f>
        <v>0.10143678160919535</v>
      </c>
    </row>
    <row r="105" spans="1:35">
      <c r="A105" s="2">
        <f t="shared" si="7"/>
        <v>102</v>
      </c>
      <c r="B105" s="156">
        <f t="shared" si="5"/>
        <v>2026</v>
      </c>
      <c r="C105" s="129">
        <f t="shared" si="6"/>
        <v>2025</v>
      </c>
      <c r="D105" s="2" t="s">
        <v>155</v>
      </c>
      <c r="E105" s="2" t="s">
        <v>155</v>
      </c>
      <c r="F105" s="39">
        <v>45748</v>
      </c>
      <c r="G105" s="2">
        <f>DAY(EOMONTH(TA[[#This Row],[Month Year]],0))</f>
        <v>30</v>
      </c>
      <c r="H105" s="21">
        <v>45751</v>
      </c>
      <c r="I105" s="41">
        <f>IFERROR(VLOOKUP(TA[[#This Row],[Date]],Raw_Data[[Date]:[Sunset Time (POA&lt;20 W/m2)]],3,0),"")</f>
        <v>0.27013888888888887</v>
      </c>
      <c r="J105" s="41">
        <f>IFERROR(VLOOKUP(TA[[#This Row],[Date]],Raw_Data[[Date]:[Sunset Time (POA&lt;20 W/m2)]],4,0),"")</f>
        <v>0.76458333333333328</v>
      </c>
      <c r="K105" s="35">
        <f>IFERROR((TA[[#This Row],[Sunset Time (POA&lt;20 W/m2)]]-TA[[#This Row],[Sunrise Time (POA&gt;20 W/m2)]])*24,"")</f>
        <v>11.866666666666665</v>
      </c>
      <c r="L105" s="2" t="s">
        <v>296</v>
      </c>
      <c r="M105" s="42">
        <f>IFERROR(VLOOKUP(TA[[#This Row],[Affected Equipment]],'Basic Data'!$I$2:$K$40,3,0),"")</f>
        <v>8.6206896551724102E-3</v>
      </c>
      <c r="N105">
        <v>-28</v>
      </c>
      <c r="O105" t="s">
        <v>134</v>
      </c>
      <c r="P105" s="22" t="s">
        <v>330</v>
      </c>
      <c r="Q105" s="2" t="s">
        <v>323</v>
      </c>
      <c r="R105">
        <v>30</v>
      </c>
      <c r="S105" s="2">
        <v>57</v>
      </c>
      <c r="T105" t="s">
        <v>297</v>
      </c>
      <c r="U105" t="s">
        <v>326</v>
      </c>
      <c r="V105" t="s">
        <v>301</v>
      </c>
      <c r="W105" s="41">
        <f>IFERROR(VLOOKUP(TA[[#This Row],[Date]],Raw_Data[[Date]:[Sunset Time (POA&lt;20 W/m2)]],3,0),"")</f>
        <v>0.27013888888888887</v>
      </c>
      <c r="X105" s="41">
        <f>IFERROR(VLOOKUP(TA[[#This Row],[Date]],Raw_Data[[Date]:[Sunset Time (POA&lt;20 W/m2)]],3,0),"")</f>
        <v>0.27013888888888887</v>
      </c>
      <c r="Y105" s="34"/>
      <c r="Z105" s="34">
        <v>0.76041666666666663</v>
      </c>
      <c r="AA105" s="35">
        <f>IF(TA[[#This Row],[Work Start time on Fault]]="NA","",(TA[[#This Row],[Fault Acknowledgement Time ]]-TA[[#This Row],[Fault Time]])*24)</f>
        <v>0</v>
      </c>
      <c r="AB105" s="35">
        <f>(TA[[#This Row],[Work Start time on Fault]]-TA[[#This Row],[Fault Time]])*24</f>
        <v>-6.4833333333333325</v>
      </c>
      <c r="AC105" s="34">
        <f>(TA[[#This Row],[Work Completion time on fault]]-TA[[#This Row],[Fault Time]])*24</f>
        <v>11.766666666666666</v>
      </c>
      <c r="AD105" s="35">
        <f>IFERROR((TA[[#This Row],[Work Completion time on fault]]-TA[[#This Row],[Fault Time]])*24,"")</f>
        <v>11.766666666666666</v>
      </c>
      <c r="AE105" t="s">
        <v>309</v>
      </c>
      <c r="AF105" t="s">
        <v>256</v>
      </c>
      <c r="AG105" s="2"/>
      <c r="AH105" s="44">
        <f>1-COS(RADIANS(TA[[#This Row],[Avg. Target Angle during Fault Time (Radians)]]-TA[[#This Row],[Angle of affected equipment ]]))</f>
        <v>0.11705240714107301</v>
      </c>
      <c r="AI105" s="35">
        <f>IFERROR(TA[[#This Row],[Breakdown Time]]*TA[[#This Row],[Plant Equivalent Weightage]],"")</f>
        <v>0.10143678160919535</v>
      </c>
    </row>
    <row r="106" spans="1:35">
      <c r="A106" s="2">
        <f t="shared" si="7"/>
        <v>103</v>
      </c>
      <c r="B106" s="156">
        <f t="shared" si="5"/>
        <v>2026</v>
      </c>
      <c r="C106" s="129">
        <f t="shared" si="6"/>
        <v>2025</v>
      </c>
      <c r="D106" s="2" t="s">
        <v>155</v>
      </c>
      <c r="E106" s="2" t="s">
        <v>155</v>
      </c>
      <c r="F106" s="39">
        <v>45748</v>
      </c>
      <c r="G106" s="2">
        <f>DAY(EOMONTH(TA[[#This Row],[Month Year]],0))</f>
        <v>30</v>
      </c>
      <c r="H106" s="21">
        <v>45751</v>
      </c>
      <c r="I106" s="41">
        <f>IFERROR(VLOOKUP(TA[[#This Row],[Date]],Raw_Data[[Date]:[Sunset Time (POA&lt;20 W/m2)]],3,0),"")</f>
        <v>0.27013888888888887</v>
      </c>
      <c r="J106" s="41">
        <f>IFERROR(VLOOKUP(TA[[#This Row],[Date]],Raw_Data[[Date]:[Sunset Time (POA&lt;20 W/m2)]],4,0),"")</f>
        <v>0.76458333333333328</v>
      </c>
      <c r="K106" s="35">
        <f>IFERROR((TA[[#This Row],[Sunset Time (POA&lt;20 W/m2)]]-TA[[#This Row],[Sunrise Time (POA&gt;20 W/m2)]])*24,"")</f>
        <v>11.866666666666665</v>
      </c>
      <c r="L106" s="2" t="s">
        <v>296</v>
      </c>
      <c r="M106" s="42">
        <f>IFERROR(VLOOKUP(TA[[#This Row],[Affected Equipment]],'Basic Data'!$I$2:$K$40,3,0),"")</f>
        <v>8.6206896551724102E-3</v>
      </c>
      <c r="N106">
        <v>-28</v>
      </c>
      <c r="O106" t="s">
        <v>134</v>
      </c>
      <c r="P106" s="22" t="s">
        <v>330</v>
      </c>
      <c r="Q106" s="2" t="s">
        <v>323</v>
      </c>
      <c r="R106">
        <v>31</v>
      </c>
      <c r="S106" s="2">
        <v>61</v>
      </c>
      <c r="T106" t="s">
        <v>297</v>
      </c>
      <c r="U106" t="s">
        <v>326</v>
      </c>
      <c r="V106" t="s">
        <v>301</v>
      </c>
      <c r="W106" s="41">
        <f>IFERROR(VLOOKUP(TA[[#This Row],[Date]],Raw_Data[[Date]:[Sunset Time (POA&lt;20 W/m2)]],3,0),"")</f>
        <v>0.27013888888888887</v>
      </c>
      <c r="X106" s="41">
        <f>IFERROR(VLOOKUP(TA[[#This Row],[Date]],Raw_Data[[Date]:[Sunset Time (POA&lt;20 W/m2)]],3,0),"")</f>
        <v>0.27013888888888887</v>
      </c>
      <c r="Y106" s="34"/>
      <c r="Z106" s="34">
        <v>0.76041666666666663</v>
      </c>
      <c r="AA106" s="35">
        <f>IF(TA[[#This Row],[Work Start time on Fault]]="NA","",(TA[[#This Row],[Fault Acknowledgement Time ]]-TA[[#This Row],[Fault Time]])*24)</f>
        <v>0</v>
      </c>
      <c r="AB106" s="35">
        <f>(TA[[#This Row],[Work Start time on Fault]]-TA[[#This Row],[Fault Time]])*24</f>
        <v>-6.4833333333333325</v>
      </c>
      <c r="AC106" s="34">
        <f>(TA[[#This Row],[Work Completion time on fault]]-TA[[#This Row],[Fault Time]])*24</f>
        <v>11.766666666666666</v>
      </c>
      <c r="AD106" s="35">
        <f>IFERROR((TA[[#This Row],[Work Completion time on fault]]-TA[[#This Row],[Fault Time]])*24,"")</f>
        <v>11.766666666666666</v>
      </c>
      <c r="AE106" t="s">
        <v>309</v>
      </c>
      <c r="AF106" t="s">
        <v>256</v>
      </c>
      <c r="AG106" s="2"/>
      <c r="AH106" s="44">
        <f>1-COS(RADIANS(TA[[#This Row],[Avg. Target Angle during Fault Time (Radians)]]-TA[[#This Row],[Angle of affected equipment ]]))</f>
        <v>0.11705240714107301</v>
      </c>
      <c r="AI106" s="35">
        <f>IFERROR(TA[[#This Row],[Breakdown Time]]*TA[[#This Row],[Plant Equivalent Weightage]],"")</f>
        <v>0.10143678160919535</v>
      </c>
    </row>
    <row r="107" spans="1:35">
      <c r="A107" s="2">
        <f t="shared" si="7"/>
        <v>104</v>
      </c>
      <c r="B107" s="156">
        <f t="shared" si="5"/>
        <v>2026</v>
      </c>
      <c r="C107" s="129">
        <f t="shared" si="6"/>
        <v>2025</v>
      </c>
      <c r="D107" s="2" t="s">
        <v>155</v>
      </c>
      <c r="E107" s="2" t="s">
        <v>155</v>
      </c>
      <c r="F107" s="39">
        <v>45748</v>
      </c>
      <c r="G107" s="2">
        <f>DAY(EOMONTH(TA[[#This Row],[Month Year]],0))</f>
        <v>30</v>
      </c>
      <c r="H107" s="21">
        <v>45751</v>
      </c>
      <c r="I107" s="41">
        <f>IFERROR(VLOOKUP(TA[[#This Row],[Date]],Raw_Data[[Date]:[Sunset Time (POA&lt;20 W/m2)]],3,0),"")</f>
        <v>0.27013888888888887</v>
      </c>
      <c r="J107" s="41">
        <f>IFERROR(VLOOKUP(TA[[#This Row],[Date]],Raw_Data[[Date]:[Sunset Time (POA&lt;20 W/m2)]],4,0),"")</f>
        <v>0.76458333333333328</v>
      </c>
      <c r="K107" s="35">
        <f>IFERROR((TA[[#This Row],[Sunset Time (POA&lt;20 W/m2)]]-TA[[#This Row],[Sunrise Time (POA&gt;20 W/m2)]])*24,"")</f>
        <v>11.866666666666665</v>
      </c>
      <c r="L107" s="2" t="s">
        <v>312</v>
      </c>
      <c r="M107" s="42">
        <f>IFERROR(VLOOKUP(TA[[#This Row],[Affected Equipment]],'Basic Data'!$I$2:$K$40,3,0),"")</f>
        <v>5.74712643678161E-3</v>
      </c>
      <c r="N107">
        <v>-28</v>
      </c>
      <c r="O107" t="s">
        <v>133</v>
      </c>
      <c r="P107" s="22" t="s">
        <v>330</v>
      </c>
      <c r="Q107" s="2" t="s">
        <v>323</v>
      </c>
      <c r="R107">
        <v>26</v>
      </c>
      <c r="S107" s="2">
        <v>37</v>
      </c>
      <c r="T107" t="s">
        <v>297</v>
      </c>
      <c r="U107" t="s">
        <v>326</v>
      </c>
      <c r="V107" t="s">
        <v>301</v>
      </c>
      <c r="W107" s="41">
        <f>IFERROR(VLOOKUP(TA[[#This Row],[Date]],Raw_Data[[Date]:[Sunset Time (POA&lt;20 W/m2)]],3,0),"")</f>
        <v>0.27013888888888887</v>
      </c>
      <c r="X107" s="41">
        <f>IFERROR(VLOOKUP(TA[[#This Row],[Date]],Raw_Data[[Date]:[Sunset Time (POA&lt;20 W/m2)]],3,0),"")</f>
        <v>0.27013888888888887</v>
      </c>
      <c r="Y107" s="34"/>
      <c r="Z107" s="34">
        <v>0.76041666666666663</v>
      </c>
      <c r="AA107" s="35">
        <f>IF(TA[[#This Row],[Work Start time on Fault]]="NA","",(TA[[#This Row],[Fault Acknowledgement Time ]]-TA[[#This Row],[Fault Time]])*24)</f>
        <v>0</v>
      </c>
      <c r="AB107" s="35">
        <f>(TA[[#This Row],[Work Start time on Fault]]-TA[[#This Row],[Fault Time]])*24</f>
        <v>-6.4833333333333325</v>
      </c>
      <c r="AC107" s="34">
        <f>(TA[[#This Row],[Work Completion time on fault]]-TA[[#This Row],[Fault Time]])*24</f>
        <v>11.766666666666666</v>
      </c>
      <c r="AD107" s="35">
        <f>IFERROR((TA[[#This Row],[Work Completion time on fault]]-TA[[#This Row],[Fault Time]])*24,"")</f>
        <v>11.766666666666666</v>
      </c>
      <c r="AE107" t="s">
        <v>309</v>
      </c>
      <c r="AF107" t="s">
        <v>256</v>
      </c>
      <c r="AG107" s="2"/>
      <c r="AH107" s="44">
        <f>1-COS(RADIANS(TA[[#This Row],[Avg. Target Angle during Fault Time (Radians)]]-TA[[#This Row],[Angle of affected equipment ]]))</f>
        <v>0.11705240714107301</v>
      </c>
      <c r="AI107" s="35">
        <f>IFERROR(TA[[#This Row],[Breakdown Time]]*TA[[#This Row],[Plant Equivalent Weightage]],"")</f>
        <v>6.7624521072796942E-2</v>
      </c>
    </row>
    <row r="108" spans="1:35">
      <c r="A108" s="2">
        <f t="shared" si="7"/>
        <v>105</v>
      </c>
      <c r="B108" s="156">
        <f t="shared" si="5"/>
        <v>2026</v>
      </c>
      <c r="C108" s="129">
        <f t="shared" si="6"/>
        <v>2025</v>
      </c>
      <c r="D108" s="2" t="s">
        <v>155</v>
      </c>
      <c r="E108" s="2" t="s">
        <v>155</v>
      </c>
      <c r="F108" s="39">
        <v>45748</v>
      </c>
      <c r="G108" s="2">
        <f>DAY(EOMONTH(TA[[#This Row],[Month Year]],0))</f>
        <v>30</v>
      </c>
      <c r="H108" s="21">
        <v>45751</v>
      </c>
      <c r="I108" s="41">
        <f>IFERROR(VLOOKUP(TA[[#This Row],[Date]],Raw_Data[[Date]:[Sunset Time (POA&lt;20 W/m2)]],3,0),"")</f>
        <v>0.27013888888888887</v>
      </c>
      <c r="J108" s="41">
        <f>IFERROR(VLOOKUP(TA[[#This Row],[Date]],Raw_Data[[Date]:[Sunset Time (POA&lt;20 W/m2)]],4,0),"")</f>
        <v>0.76458333333333328</v>
      </c>
      <c r="K108" s="35">
        <f>IFERROR((TA[[#This Row],[Sunset Time (POA&lt;20 W/m2)]]-TA[[#This Row],[Sunrise Time (POA&gt;20 W/m2)]])*24,"")</f>
        <v>11.866666666666665</v>
      </c>
      <c r="L108" s="2" t="s">
        <v>312</v>
      </c>
      <c r="M108" s="42">
        <f>IFERROR(VLOOKUP(TA[[#This Row],[Affected Equipment]],'Basic Data'!$I$2:$K$40,3,0),"")</f>
        <v>5.74712643678161E-3</v>
      </c>
      <c r="N108">
        <v>-28</v>
      </c>
      <c r="O108" t="s">
        <v>133</v>
      </c>
      <c r="P108" s="22" t="s">
        <v>330</v>
      </c>
      <c r="Q108" s="2" t="s">
        <v>323</v>
      </c>
      <c r="R108">
        <v>27</v>
      </c>
      <c r="S108" s="2">
        <v>42</v>
      </c>
      <c r="T108" t="s">
        <v>297</v>
      </c>
      <c r="U108" t="s">
        <v>326</v>
      </c>
      <c r="V108" t="s">
        <v>301</v>
      </c>
      <c r="W108" s="41">
        <f>IFERROR(VLOOKUP(TA[[#This Row],[Date]],Raw_Data[[Date]:[Sunset Time (POA&lt;20 W/m2)]],3,0),"")</f>
        <v>0.27013888888888887</v>
      </c>
      <c r="X108" s="41">
        <f>IFERROR(VLOOKUP(TA[[#This Row],[Date]],Raw_Data[[Date]:[Sunset Time (POA&lt;20 W/m2)]],3,0),"")</f>
        <v>0.27013888888888887</v>
      </c>
      <c r="Y108" s="34"/>
      <c r="Z108" s="34">
        <v>0.76041666666666663</v>
      </c>
      <c r="AA108" s="35">
        <f>IF(TA[[#This Row],[Work Start time on Fault]]="NA","",(TA[[#This Row],[Fault Acknowledgement Time ]]-TA[[#This Row],[Fault Time]])*24)</f>
        <v>0</v>
      </c>
      <c r="AB108" s="35">
        <f>(TA[[#This Row],[Work Start time on Fault]]-TA[[#This Row],[Fault Time]])*24</f>
        <v>-6.4833333333333325</v>
      </c>
      <c r="AC108" s="34">
        <f>(TA[[#This Row],[Work Completion time on fault]]-TA[[#This Row],[Fault Time]])*24</f>
        <v>11.766666666666666</v>
      </c>
      <c r="AD108" s="35">
        <f>IFERROR((TA[[#This Row],[Work Completion time on fault]]-TA[[#This Row],[Fault Time]])*24,"")</f>
        <v>11.766666666666666</v>
      </c>
      <c r="AE108" t="s">
        <v>309</v>
      </c>
      <c r="AF108" t="s">
        <v>256</v>
      </c>
      <c r="AG108" s="2"/>
      <c r="AH108" s="44">
        <f>1-COS(RADIANS(TA[[#This Row],[Avg. Target Angle during Fault Time (Radians)]]-TA[[#This Row],[Angle of affected equipment ]]))</f>
        <v>0.11705240714107301</v>
      </c>
      <c r="AI108" s="35">
        <f>IFERROR(TA[[#This Row],[Breakdown Time]]*TA[[#This Row],[Plant Equivalent Weightage]],"")</f>
        <v>6.7624521072796942E-2</v>
      </c>
    </row>
    <row r="109" spans="1:35">
      <c r="A109" s="2">
        <f t="shared" si="7"/>
        <v>106</v>
      </c>
      <c r="B109" s="156">
        <f t="shared" si="5"/>
        <v>2026</v>
      </c>
      <c r="C109" s="129">
        <f t="shared" si="6"/>
        <v>2025</v>
      </c>
      <c r="D109" s="2" t="s">
        <v>155</v>
      </c>
      <c r="E109" s="2" t="s">
        <v>155</v>
      </c>
      <c r="F109" s="39">
        <v>45748</v>
      </c>
      <c r="G109" s="2">
        <f>DAY(EOMONTH(TA[[#This Row],[Month Year]],0))</f>
        <v>30</v>
      </c>
      <c r="H109" s="21">
        <v>45752</v>
      </c>
      <c r="I109" s="41">
        <f>IFERROR(VLOOKUP(TA[[#This Row],[Date]],Raw_Data[[Date]:[Sunset Time (POA&lt;20 W/m2)]],3,0),"")</f>
        <v>0.26597222222222222</v>
      </c>
      <c r="J109" s="41">
        <f>IFERROR(VLOOKUP(TA[[#This Row],[Date]],Raw_Data[[Date]:[Sunset Time (POA&lt;20 W/m2)]],4,0),"")</f>
        <v>0.76180555555555551</v>
      </c>
      <c r="K109" s="35">
        <f>IFERROR((TA[[#This Row],[Sunset Time (POA&lt;20 W/m2)]]-TA[[#This Row],[Sunrise Time (POA&gt;20 W/m2)]])*24,"")</f>
        <v>11.899999999999999</v>
      </c>
      <c r="L109" s="2" t="s">
        <v>294</v>
      </c>
      <c r="M109" s="42">
        <f>IFERROR(VLOOKUP(TA[[#This Row],[Affected Equipment]],'Basic Data'!$I$2:$K$40,3,0),"")</f>
        <v>1.7241379310344799E-3</v>
      </c>
      <c r="N109">
        <v>-28</v>
      </c>
      <c r="O109" t="s">
        <v>135</v>
      </c>
      <c r="P109" s="127" t="s">
        <v>318</v>
      </c>
      <c r="Q109" s="126" t="s">
        <v>318</v>
      </c>
      <c r="R109">
        <v>130</v>
      </c>
      <c r="S109" s="2">
        <v>36</v>
      </c>
      <c r="T109" t="s">
        <v>295</v>
      </c>
      <c r="U109" t="s">
        <v>300</v>
      </c>
      <c r="V109" t="s">
        <v>298</v>
      </c>
      <c r="W109" s="41"/>
      <c r="X109" s="41"/>
      <c r="Y109" s="34"/>
      <c r="Z109" s="34"/>
      <c r="AA109" s="35">
        <f>IF(TA[[#This Row],[Work Start time on Fault]]="NA","",(TA[[#This Row],[Fault Acknowledgement Time ]]-TA[[#This Row],[Fault Time]])*24)</f>
        <v>0</v>
      </c>
      <c r="AB109" s="35">
        <f>(TA[[#This Row],[Work Start time on Fault]]-TA[[#This Row],[Fault Time]])*24</f>
        <v>0</v>
      </c>
      <c r="AC109" s="34">
        <f>(TA[[#This Row],[Work Completion time on fault]]-TA[[#This Row],[Fault Time]])*24</f>
        <v>0</v>
      </c>
      <c r="AD109" s="35">
        <f>IFERROR((TA[[#This Row],[Work Completion time on fault]]-TA[[#This Row],[Fault Time]])*24,"")</f>
        <v>0</v>
      </c>
      <c r="AE109" t="s">
        <v>328</v>
      </c>
      <c r="AF109" t="s">
        <v>256</v>
      </c>
      <c r="AG109" s="2"/>
      <c r="AH109" s="44">
        <f>1-COS(RADIANS(TA[[#This Row],[Avg. Target Angle during Fault Time (Radians)]]-TA[[#This Row],[Angle of affected equipment ]]))</f>
        <v>0.11705240714107301</v>
      </c>
      <c r="AI109" s="35">
        <f>IFERROR(TA[[#This Row],[Breakdown Time]]*TA[[#This Row],[Plant Equivalent Weightage]],"")</f>
        <v>0</v>
      </c>
    </row>
    <row r="110" spans="1:35">
      <c r="A110" s="2">
        <f t="shared" si="7"/>
        <v>107</v>
      </c>
      <c r="B110" s="156">
        <f t="shared" si="5"/>
        <v>2026</v>
      </c>
      <c r="C110" s="129">
        <f t="shared" si="6"/>
        <v>2025</v>
      </c>
      <c r="D110" s="2" t="s">
        <v>155</v>
      </c>
      <c r="E110" s="2" t="s">
        <v>155</v>
      </c>
      <c r="F110" s="39">
        <v>45748</v>
      </c>
      <c r="G110" s="2">
        <f>DAY(EOMONTH(TA[[#This Row],[Month Year]],0))</f>
        <v>30</v>
      </c>
      <c r="H110" s="21">
        <v>45752</v>
      </c>
      <c r="I110" s="41">
        <f>IFERROR(VLOOKUP(TA[[#This Row],[Date]],Raw_Data[[Date]:[Sunset Time (POA&lt;20 W/m2)]],3,0),"")</f>
        <v>0.26597222222222222</v>
      </c>
      <c r="J110" s="41">
        <f>IFERROR(VLOOKUP(TA[[#This Row],[Date]],Raw_Data[[Date]:[Sunset Time (POA&lt;20 W/m2)]],4,0),"")</f>
        <v>0.76180555555555551</v>
      </c>
      <c r="K110" s="35">
        <f>IFERROR((TA[[#This Row],[Sunset Time (POA&lt;20 W/m2)]]-TA[[#This Row],[Sunrise Time (POA&gt;20 W/m2)]])*24,"")</f>
        <v>11.899999999999999</v>
      </c>
      <c r="L110" s="2" t="s">
        <v>294</v>
      </c>
      <c r="M110" s="42">
        <f>IFERROR(VLOOKUP(TA[[#This Row],[Affected Equipment]],'Basic Data'!$I$2:$K$40,3,0),"")</f>
        <v>1.7241379310344799E-3</v>
      </c>
      <c r="N110">
        <v>-28</v>
      </c>
      <c r="O110" t="s">
        <v>135</v>
      </c>
      <c r="P110" s="127" t="s">
        <v>318</v>
      </c>
      <c r="Q110" s="126" t="s">
        <v>318</v>
      </c>
      <c r="R110">
        <v>130</v>
      </c>
      <c r="S110" s="2">
        <v>37</v>
      </c>
      <c r="T110" t="s">
        <v>295</v>
      </c>
      <c r="U110" t="s">
        <v>300</v>
      </c>
      <c r="V110" t="s">
        <v>298</v>
      </c>
      <c r="W110" s="41"/>
      <c r="X110" s="41"/>
      <c r="Y110" s="34"/>
      <c r="Z110" s="34"/>
      <c r="AA110" s="35">
        <f>IF(TA[[#This Row],[Work Start time on Fault]]="NA","",(TA[[#This Row],[Fault Acknowledgement Time ]]-TA[[#This Row],[Fault Time]])*24)</f>
        <v>0</v>
      </c>
      <c r="AB110" s="35">
        <f>(TA[[#This Row],[Work Start time on Fault]]-TA[[#This Row],[Fault Time]])*24</f>
        <v>0</v>
      </c>
      <c r="AC110" s="34">
        <f>(TA[[#This Row],[Work Completion time on fault]]-TA[[#This Row],[Fault Time]])*24</f>
        <v>0</v>
      </c>
      <c r="AD110" s="35">
        <f>IFERROR((TA[[#This Row],[Work Completion time on fault]]-TA[[#This Row],[Fault Time]])*24,"")</f>
        <v>0</v>
      </c>
      <c r="AE110" t="s">
        <v>328</v>
      </c>
      <c r="AF110" t="s">
        <v>256</v>
      </c>
      <c r="AG110" s="2"/>
      <c r="AH110" s="44">
        <f>1-COS(RADIANS(TA[[#This Row],[Avg. Target Angle during Fault Time (Radians)]]-TA[[#This Row],[Angle of affected equipment ]]))</f>
        <v>0.11705240714107301</v>
      </c>
      <c r="AI110" s="35">
        <f>IFERROR(TA[[#This Row],[Breakdown Time]]*TA[[#This Row],[Plant Equivalent Weightage]],"")</f>
        <v>0</v>
      </c>
    </row>
    <row r="111" spans="1:35">
      <c r="A111" s="2">
        <f t="shared" si="7"/>
        <v>108</v>
      </c>
      <c r="B111" s="156">
        <f t="shared" si="5"/>
        <v>2026</v>
      </c>
      <c r="C111" s="129">
        <f t="shared" si="6"/>
        <v>2025</v>
      </c>
      <c r="D111" s="2" t="s">
        <v>155</v>
      </c>
      <c r="E111" s="2" t="s">
        <v>155</v>
      </c>
      <c r="F111" s="39">
        <v>45748</v>
      </c>
      <c r="G111" s="2">
        <f>DAY(EOMONTH(TA[[#This Row],[Month Year]],0))</f>
        <v>30</v>
      </c>
      <c r="H111" s="21">
        <v>45752</v>
      </c>
      <c r="I111" s="41">
        <f>IFERROR(VLOOKUP(TA[[#This Row],[Date]],Raw_Data[[Date]:[Sunset Time (POA&lt;20 W/m2)]],3,0),"")</f>
        <v>0.26597222222222222</v>
      </c>
      <c r="J111" s="41">
        <f>IFERROR(VLOOKUP(TA[[#This Row],[Date]],Raw_Data[[Date]:[Sunset Time (POA&lt;20 W/m2)]],4,0),"")</f>
        <v>0.76180555555555551</v>
      </c>
      <c r="K111" s="35">
        <f>IFERROR((TA[[#This Row],[Sunset Time (POA&lt;20 W/m2)]]-TA[[#This Row],[Sunrise Time (POA&gt;20 W/m2)]])*24,"")</f>
        <v>11.899999999999999</v>
      </c>
      <c r="L111" s="2" t="s">
        <v>294</v>
      </c>
      <c r="M111" s="42">
        <f>IFERROR(VLOOKUP(TA[[#This Row],[Affected Equipment]],'Basic Data'!$I$2:$K$40,3,0),"")</f>
        <v>1.7241379310344799E-3</v>
      </c>
      <c r="N111">
        <v>-28</v>
      </c>
      <c r="O111" t="s">
        <v>135</v>
      </c>
      <c r="P111" s="127" t="s">
        <v>318</v>
      </c>
      <c r="Q111" s="126" t="s">
        <v>318</v>
      </c>
      <c r="R111">
        <v>131</v>
      </c>
      <c r="S111" s="2">
        <v>38</v>
      </c>
      <c r="T111" t="s">
        <v>295</v>
      </c>
      <c r="U111" t="s">
        <v>300</v>
      </c>
      <c r="V111" t="s">
        <v>298</v>
      </c>
      <c r="W111" s="41"/>
      <c r="X111" s="41"/>
      <c r="Y111" s="34"/>
      <c r="Z111" s="34"/>
      <c r="AA111" s="35">
        <f>IF(TA[[#This Row],[Work Start time on Fault]]="NA","",(TA[[#This Row],[Fault Acknowledgement Time ]]-TA[[#This Row],[Fault Time]])*24)</f>
        <v>0</v>
      </c>
      <c r="AB111" s="35">
        <f>(TA[[#This Row],[Work Start time on Fault]]-TA[[#This Row],[Fault Time]])*24</f>
        <v>0</v>
      </c>
      <c r="AC111" s="34">
        <f>(TA[[#This Row],[Work Completion time on fault]]-TA[[#This Row],[Fault Time]])*24</f>
        <v>0</v>
      </c>
      <c r="AD111" s="35">
        <f>IFERROR((TA[[#This Row],[Work Completion time on fault]]-TA[[#This Row],[Fault Time]])*24,"")</f>
        <v>0</v>
      </c>
      <c r="AE111" t="s">
        <v>328</v>
      </c>
      <c r="AF111" t="s">
        <v>256</v>
      </c>
      <c r="AG111" s="2"/>
      <c r="AH111" s="44">
        <f>1-COS(RADIANS(TA[[#This Row],[Avg. Target Angle during Fault Time (Radians)]]-TA[[#This Row],[Angle of affected equipment ]]))</f>
        <v>0.11705240714107301</v>
      </c>
      <c r="AI111" s="35">
        <f>IFERROR(TA[[#This Row],[Breakdown Time]]*TA[[#This Row],[Plant Equivalent Weightage]],"")</f>
        <v>0</v>
      </c>
    </row>
    <row r="112" spans="1:35">
      <c r="A112" s="2">
        <f t="shared" si="7"/>
        <v>109</v>
      </c>
      <c r="B112" s="156">
        <f t="shared" si="5"/>
        <v>2026</v>
      </c>
      <c r="C112" s="129">
        <f t="shared" si="6"/>
        <v>2025</v>
      </c>
      <c r="D112" s="2" t="s">
        <v>155</v>
      </c>
      <c r="E112" s="2" t="s">
        <v>155</v>
      </c>
      <c r="F112" s="39">
        <v>45748</v>
      </c>
      <c r="G112" s="2">
        <f>DAY(EOMONTH(TA[[#This Row],[Month Year]],0))</f>
        <v>30</v>
      </c>
      <c r="H112" s="21">
        <v>45752</v>
      </c>
      <c r="I112" s="41">
        <f>IFERROR(VLOOKUP(TA[[#This Row],[Date]],Raw_Data[[Date]:[Sunset Time (POA&lt;20 W/m2)]],3,0),"")</f>
        <v>0.26597222222222222</v>
      </c>
      <c r="J112" s="41">
        <f>IFERROR(VLOOKUP(TA[[#This Row],[Date]],Raw_Data[[Date]:[Sunset Time (POA&lt;20 W/m2)]],4,0),"")</f>
        <v>0.76180555555555551</v>
      </c>
      <c r="K112" s="35">
        <f>IFERROR((TA[[#This Row],[Sunset Time (POA&lt;20 W/m2)]]-TA[[#This Row],[Sunrise Time (POA&gt;20 W/m2)]])*24,"")</f>
        <v>11.899999999999999</v>
      </c>
      <c r="L112" s="2" t="s">
        <v>294</v>
      </c>
      <c r="M112" s="42">
        <f>IFERROR(VLOOKUP(TA[[#This Row],[Affected Equipment]],'Basic Data'!$I$2:$K$40,3,0),"")</f>
        <v>1.7241379310344799E-3</v>
      </c>
      <c r="N112">
        <v>-28</v>
      </c>
      <c r="O112" t="s">
        <v>135</v>
      </c>
      <c r="P112" s="127" t="s">
        <v>318</v>
      </c>
      <c r="Q112" s="126" t="s">
        <v>318</v>
      </c>
      <c r="R112">
        <v>131</v>
      </c>
      <c r="S112" s="2">
        <v>39</v>
      </c>
      <c r="T112" t="s">
        <v>295</v>
      </c>
      <c r="U112" t="s">
        <v>300</v>
      </c>
      <c r="V112" t="s">
        <v>298</v>
      </c>
      <c r="W112" s="41"/>
      <c r="X112" s="41"/>
      <c r="Y112" s="34"/>
      <c r="Z112" s="34"/>
      <c r="AA112" s="35">
        <f>IF(TA[[#This Row],[Work Start time on Fault]]="NA","",(TA[[#This Row],[Fault Acknowledgement Time ]]-TA[[#This Row],[Fault Time]])*24)</f>
        <v>0</v>
      </c>
      <c r="AB112" s="35">
        <f>(TA[[#This Row],[Work Start time on Fault]]-TA[[#This Row],[Fault Time]])*24</f>
        <v>0</v>
      </c>
      <c r="AC112" s="34">
        <f>(TA[[#This Row],[Work Completion time on fault]]-TA[[#This Row],[Fault Time]])*24</f>
        <v>0</v>
      </c>
      <c r="AD112" s="35">
        <f>IFERROR((TA[[#This Row],[Work Completion time on fault]]-TA[[#This Row],[Fault Time]])*24,"")</f>
        <v>0</v>
      </c>
      <c r="AE112" t="s">
        <v>328</v>
      </c>
      <c r="AF112" t="s">
        <v>256</v>
      </c>
      <c r="AG112" s="2"/>
      <c r="AH112" s="44">
        <f>1-COS(RADIANS(TA[[#This Row],[Avg. Target Angle during Fault Time (Radians)]]-TA[[#This Row],[Angle of affected equipment ]]))</f>
        <v>0.11705240714107301</v>
      </c>
      <c r="AI112" s="35">
        <f>IFERROR(TA[[#This Row],[Breakdown Time]]*TA[[#This Row],[Plant Equivalent Weightage]],"")</f>
        <v>0</v>
      </c>
    </row>
    <row r="113" spans="1:35">
      <c r="A113" s="2">
        <f t="shared" si="7"/>
        <v>110</v>
      </c>
      <c r="B113" s="156">
        <f t="shared" si="5"/>
        <v>2026</v>
      </c>
      <c r="C113" s="129">
        <f t="shared" si="6"/>
        <v>2025</v>
      </c>
      <c r="D113" s="2" t="s">
        <v>155</v>
      </c>
      <c r="E113" s="2" t="s">
        <v>155</v>
      </c>
      <c r="F113" s="39">
        <v>45748</v>
      </c>
      <c r="G113" s="2">
        <f>DAY(EOMONTH(TA[[#This Row],[Month Year]],0))</f>
        <v>30</v>
      </c>
      <c r="H113" s="21">
        <v>45752</v>
      </c>
      <c r="I113" s="41">
        <f>IFERROR(VLOOKUP(TA[[#This Row],[Date]],Raw_Data[[Date]:[Sunset Time (POA&lt;20 W/m2)]],3,0),"")</f>
        <v>0.26597222222222222</v>
      </c>
      <c r="J113" s="41">
        <f>IFERROR(VLOOKUP(TA[[#This Row],[Date]],Raw_Data[[Date]:[Sunset Time (POA&lt;20 W/m2)]],4,0),"")</f>
        <v>0.76180555555555551</v>
      </c>
      <c r="K113" s="35">
        <f>IFERROR((TA[[#This Row],[Sunset Time (POA&lt;20 W/m2)]]-TA[[#This Row],[Sunrise Time (POA&gt;20 W/m2)]])*24,"")</f>
        <v>11.899999999999999</v>
      </c>
      <c r="L113" s="2" t="s">
        <v>296</v>
      </c>
      <c r="M113" s="42">
        <f>IFERROR(VLOOKUP(TA[[#This Row],[Affected Equipment]],'Basic Data'!$I$2:$K$40,3,0),"")</f>
        <v>8.6206896551724102E-3</v>
      </c>
      <c r="N113">
        <v>-28</v>
      </c>
      <c r="O113" t="s">
        <v>135</v>
      </c>
      <c r="P113" s="127" t="s">
        <v>318</v>
      </c>
      <c r="Q113" s="2" t="s">
        <v>321</v>
      </c>
      <c r="R113">
        <v>133</v>
      </c>
      <c r="S113" s="2">
        <v>26</v>
      </c>
      <c r="T113" t="s">
        <v>297</v>
      </c>
      <c r="U113" t="s">
        <v>300</v>
      </c>
      <c r="V113" t="s">
        <v>314</v>
      </c>
      <c r="W113" s="41"/>
      <c r="X113" s="41"/>
      <c r="Y113" s="34"/>
      <c r="Z113" s="34"/>
      <c r="AA113" s="35">
        <f>IF(TA[[#This Row],[Work Start time on Fault]]="NA","",(TA[[#This Row],[Fault Acknowledgement Time ]]-TA[[#This Row],[Fault Time]])*24)</f>
        <v>0</v>
      </c>
      <c r="AB113" s="35">
        <f>(TA[[#This Row],[Work Start time on Fault]]-TA[[#This Row],[Fault Time]])*24</f>
        <v>0</v>
      </c>
      <c r="AC113" s="34">
        <f>(TA[[#This Row],[Work Completion time on fault]]-TA[[#This Row],[Fault Time]])*24</f>
        <v>0</v>
      </c>
      <c r="AD113" s="35">
        <f>IFERROR((TA[[#This Row],[Work Completion time on fault]]-TA[[#This Row],[Fault Time]])*24,"")</f>
        <v>0</v>
      </c>
      <c r="AE113" t="s">
        <v>328</v>
      </c>
      <c r="AF113" t="s">
        <v>256</v>
      </c>
      <c r="AG113" s="2"/>
      <c r="AH113" s="44">
        <f>1-COS(RADIANS(TA[[#This Row],[Avg. Target Angle during Fault Time (Radians)]]-TA[[#This Row],[Angle of affected equipment ]]))</f>
        <v>0.11705240714107301</v>
      </c>
      <c r="AI113" s="35">
        <f>IFERROR(TA[[#This Row],[Breakdown Time]]*TA[[#This Row],[Plant Equivalent Weightage]],"")</f>
        <v>0</v>
      </c>
    </row>
    <row r="114" spans="1:35">
      <c r="A114" s="2">
        <f t="shared" si="7"/>
        <v>111</v>
      </c>
      <c r="B114" s="156">
        <f t="shared" si="5"/>
        <v>2026</v>
      </c>
      <c r="C114" s="129">
        <f t="shared" si="6"/>
        <v>2025</v>
      </c>
      <c r="D114" s="2" t="s">
        <v>155</v>
      </c>
      <c r="E114" s="2" t="s">
        <v>155</v>
      </c>
      <c r="F114" s="39">
        <v>45748</v>
      </c>
      <c r="G114" s="2">
        <f>DAY(EOMONTH(TA[[#This Row],[Month Year]],0))</f>
        <v>30</v>
      </c>
      <c r="H114" s="21">
        <v>45752</v>
      </c>
      <c r="I114" s="41">
        <f>IFERROR(VLOOKUP(TA[[#This Row],[Date]],Raw_Data[[Date]:[Sunset Time (POA&lt;20 W/m2)]],3,0),"")</f>
        <v>0.26597222222222222</v>
      </c>
      <c r="J114" s="41">
        <f>IFERROR(VLOOKUP(TA[[#This Row],[Date]],Raw_Data[[Date]:[Sunset Time (POA&lt;20 W/m2)]],4,0),"")</f>
        <v>0.76180555555555551</v>
      </c>
      <c r="K114" s="35">
        <f>IFERROR((TA[[#This Row],[Sunset Time (POA&lt;20 W/m2)]]-TA[[#This Row],[Sunrise Time (POA&gt;20 W/m2)]])*24,"")</f>
        <v>11.899999999999999</v>
      </c>
      <c r="L114" s="2" t="s">
        <v>294</v>
      </c>
      <c r="M114" s="42">
        <f>IFERROR(VLOOKUP(TA[[#This Row],[Affected Equipment]],'Basic Data'!$I$2:$K$40,3,0),"")</f>
        <v>1.7241379310344799E-3</v>
      </c>
      <c r="N114">
        <v>-28</v>
      </c>
      <c r="O114" t="s">
        <v>133</v>
      </c>
      <c r="P114" s="127" t="s">
        <v>316</v>
      </c>
      <c r="Q114" s="126" t="s">
        <v>317</v>
      </c>
      <c r="R114">
        <v>7</v>
      </c>
      <c r="S114" s="2">
        <v>32</v>
      </c>
      <c r="T114" t="s">
        <v>295</v>
      </c>
      <c r="U114" t="s">
        <v>300</v>
      </c>
      <c r="V114" t="s">
        <v>298</v>
      </c>
      <c r="W114" s="41"/>
      <c r="X114" s="41"/>
      <c r="Y114" s="34"/>
      <c r="Z114" s="34"/>
      <c r="AA114" s="35">
        <f>IF(TA[[#This Row],[Work Start time on Fault]]="NA","",(TA[[#This Row],[Fault Acknowledgement Time ]]-TA[[#This Row],[Fault Time]])*24)</f>
        <v>0</v>
      </c>
      <c r="AB114" s="35">
        <f>(TA[[#This Row],[Work Start time on Fault]]-TA[[#This Row],[Fault Time]])*24</f>
        <v>0</v>
      </c>
      <c r="AC114" s="34">
        <f>(TA[[#This Row],[Work Completion time on fault]]-TA[[#This Row],[Fault Time]])*24</f>
        <v>0</v>
      </c>
      <c r="AD114" s="35">
        <f>IFERROR((TA[[#This Row],[Work Completion time on fault]]-TA[[#This Row],[Fault Time]])*24,"")</f>
        <v>0</v>
      </c>
      <c r="AE114" t="s">
        <v>328</v>
      </c>
      <c r="AF114" t="s">
        <v>256</v>
      </c>
      <c r="AG114" s="2"/>
      <c r="AH114" s="44">
        <f>1-COS(RADIANS(TA[[#This Row],[Avg. Target Angle during Fault Time (Radians)]]-TA[[#This Row],[Angle of affected equipment ]]))</f>
        <v>0.11705240714107301</v>
      </c>
      <c r="AI114" s="35">
        <f>IFERROR(TA[[#This Row],[Breakdown Time]]*TA[[#This Row],[Plant Equivalent Weightage]],"")</f>
        <v>0</v>
      </c>
    </row>
    <row r="115" spans="1:35">
      <c r="A115" s="2">
        <f t="shared" si="7"/>
        <v>112</v>
      </c>
      <c r="B115" s="156">
        <f t="shared" si="5"/>
        <v>2026</v>
      </c>
      <c r="C115" s="129">
        <f t="shared" si="6"/>
        <v>2025</v>
      </c>
      <c r="D115" s="2" t="s">
        <v>155</v>
      </c>
      <c r="E115" s="2" t="s">
        <v>155</v>
      </c>
      <c r="F115" s="39">
        <v>45748</v>
      </c>
      <c r="G115" s="2">
        <f>DAY(EOMONTH(TA[[#This Row],[Month Year]],0))</f>
        <v>30</v>
      </c>
      <c r="H115" s="21">
        <v>45752</v>
      </c>
      <c r="I115" s="41">
        <f>IFERROR(VLOOKUP(TA[[#This Row],[Date]],Raw_Data[[Date]:[Sunset Time (POA&lt;20 W/m2)]],3,0),"")</f>
        <v>0.26597222222222222</v>
      </c>
      <c r="J115" s="41">
        <f>IFERROR(VLOOKUP(TA[[#This Row],[Date]],Raw_Data[[Date]:[Sunset Time (POA&lt;20 W/m2)]],4,0),"")</f>
        <v>0.76180555555555551</v>
      </c>
      <c r="K115" s="35">
        <f>IFERROR((TA[[#This Row],[Sunset Time (POA&lt;20 W/m2)]]-TA[[#This Row],[Sunrise Time (POA&gt;20 W/m2)]])*24,"")</f>
        <v>11.899999999999999</v>
      </c>
      <c r="L115" s="2" t="s">
        <v>294</v>
      </c>
      <c r="M115" s="42">
        <f>IFERROR(VLOOKUP(TA[[#This Row],[Affected Equipment]],'Basic Data'!$I$2:$K$40,3,0),"")</f>
        <v>1.7241379310344799E-3</v>
      </c>
      <c r="N115">
        <v>-28</v>
      </c>
      <c r="O115" t="s">
        <v>137</v>
      </c>
      <c r="P115" s="127" t="s">
        <v>315</v>
      </c>
      <c r="Q115" s="126" t="s">
        <v>319</v>
      </c>
      <c r="R115">
        <v>166</v>
      </c>
      <c r="S115" s="2">
        <v>91</v>
      </c>
      <c r="T115" t="s">
        <v>295</v>
      </c>
      <c r="U115" t="s">
        <v>300</v>
      </c>
      <c r="V115" t="s">
        <v>298</v>
      </c>
      <c r="W115" s="41"/>
      <c r="X115" s="41"/>
      <c r="Y115" s="34"/>
      <c r="Z115" s="34"/>
      <c r="AA115" s="35">
        <f>IF(TA[[#This Row],[Work Start time on Fault]]="NA","",(TA[[#This Row],[Fault Acknowledgement Time ]]-TA[[#This Row],[Fault Time]])*24)</f>
        <v>0</v>
      </c>
      <c r="AB115" s="35">
        <f>(TA[[#This Row],[Work Start time on Fault]]-TA[[#This Row],[Fault Time]])*24</f>
        <v>0</v>
      </c>
      <c r="AC115" s="34">
        <f>(TA[[#This Row],[Work Completion time on fault]]-TA[[#This Row],[Fault Time]])*24</f>
        <v>0</v>
      </c>
      <c r="AD115" s="35">
        <f>IFERROR((TA[[#This Row],[Work Completion time on fault]]-TA[[#This Row],[Fault Time]])*24,"")</f>
        <v>0</v>
      </c>
      <c r="AE115" t="s">
        <v>328</v>
      </c>
      <c r="AF115" t="s">
        <v>256</v>
      </c>
      <c r="AG115" s="2"/>
      <c r="AH115" s="44">
        <f>1-COS(RADIANS(TA[[#This Row],[Avg. Target Angle during Fault Time (Radians)]]-TA[[#This Row],[Angle of affected equipment ]]))</f>
        <v>0.11705240714107301</v>
      </c>
      <c r="AI115" s="35">
        <f>IFERROR(TA[[#This Row],[Breakdown Time]]*TA[[#This Row],[Plant Equivalent Weightage]],"")</f>
        <v>0</v>
      </c>
    </row>
    <row r="116" spans="1:35">
      <c r="A116" s="2">
        <f t="shared" si="7"/>
        <v>113</v>
      </c>
      <c r="B116" s="156">
        <f t="shared" si="5"/>
        <v>2026</v>
      </c>
      <c r="C116" s="129">
        <f t="shared" si="6"/>
        <v>2025</v>
      </c>
      <c r="D116" s="2" t="s">
        <v>155</v>
      </c>
      <c r="E116" s="2" t="s">
        <v>155</v>
      </c>
      <c r="F116" s="39">
        <v>45748</v>
      </c>
      <c r="G116" s="2">
        <f>DAY(EOMONTH(TA[[#This Row],[Month Year]],0))</f>
        <v>30</v>
      </c>
      <c r="H116" s="21">
        <v>45752</v>
      </c>
      <c r="I116" s="41">
        <f>IFERROR(VLOOKUP(TA[[#This Row],[Date]],Raw_Data[[Date]:[Sunset Time (POA&lt;20 W/m2)]],3,0),"")</f>
        <v>0.26597222222222222</v>
      </c>
      <c r="J116" s="41">
        <f>IFERROR(VLOOKUP(TA[[#This Row],[Date]],Raw_Data[[Date]:[Sunset Time (POA&lt;20 W/m2)]],4,0),"")</f>
        <v>0.76180555555555551</v>
      </c>
      <c r="K116" s="35">
        <f>IFERROR((TA[[#This Row],[Sunset Time (POA&lt;20 W/m2)]]-TA[[#This Row],[Sunrise Time (POA&gt;20 W/m2)]])*24,"")</f>
        <v>11.899999999999999</v>
      </c>
      <c r="L116" s="2" t="s">
        <v>294</v>
      </c>
      <c r="M116" s="42">
        <f>IFERROR(VLOOKUP(TA[[#This Row],[Affected Equipment]],'Basic Data'!$I$2:$K$40,3,0),"")</f>
        <v>1.7241379310344799E-3</v>
      </c>
      <c r="N116">
        <v>-28</v>
      </c>
      <c r="O116" t="s">
        <v>133</v>
      </c>
      <c r="P116" s="127" t="s">
        <v>316</v>
      </c>
      <c r="Q116" s="126" t="s">
        <v>316</v>
      </c>
      <c r="R116">
        <v>117</v>
      </c>
      <c r="S116" s="2">
        <v>20</v>
      </c>
      <c r="T116" t="s">
        <v>295</v>
      </c>
      <c r="U116" t="s">
        <v>300</v>
      </c>
      <c r="V116" t="s">
        <v>298</v>
      </c>
      <c r="W116" s="41"/>
      <c r="X116" s="41"/>
      <c r="Y116" s="34"/>
      <c r="Z116" s="34"/>
      <c r="AA116" s="35">
        <f>IF(TA[[#This Row],[Work Start time on Fault]]="NA","",(TA[[#This Row],[Fault Acknowledgement Time ]]-TA[[#This Row],[Fault Time]])*24)</f>
        <v>0</v>
      </c>
      <c r="AB116" s="35">
        <f>(TA[[#This Row],[Work Start time on Fault]]-TA[[#This Row],[Fault Time]])*24</f>
        <v>0</v>
      </c>
      <c r="AC116" s="34">
        <f>(TA[[#This Row],[Work Completion time on fault]]-TA[[#This Row],[Fault Time]])*24</f>
        <v>0</v>
      </c>
      <c r="AD116" s="35">
        <f>IFERROR((TA[[#This Row],[Work Completion time on fault]]-TA[[#This Row],[Fault Time]])*24,"")</f>
        <v>0</v>
      </c>
      <c r="AE116" t="s">
        <v>328</v>
      </c>
      <c r="AF116" t="s">
        <v>256</v>
      </c>
      <c r="AG116" s="2"/>
      <c r="AH116" s="44">
        <f>1-COS(RADIANS(TA[[#This Row],[Avg. Target Angle during Fault Time (Radians)]]-TA[[#This Row],[Angle of affected equipment ]]))</f>
        <v>0.11705240714107301</v>
      </c>
      <c r="AI116" s="35">
        <f>IFERROR(TA[[#This Row],[Breakdown Time]]*TA[[#This Row],[Plant Equivalent Weightage]],"")</f>
        <v>0</v>
      </c>
    </row>
    <row r="117" spans="1:35">
      <c r="A117" s="2">
        <f t="shared" si="7"/>
        <v>114</v>
      </c>
      <c r="B117" s="156">
        <f t="shared" si="5"/>
        <v>2026</v>
      </c>
      <c r="C117" s="129">
        <f t="shared" si="6"/>
        <v>2025</v>
      </c>
      <c r="D117" s="2" t="s">
        <v>155</v>
      </c>
      <c r="E117" s="2" t="s">
        <v>155</v>
      </c>
      <c r="F117" s="39">
        <v>45748</v>
      </c>
      <c r="G117" s="2">
        <f>DAY(EOMONTH(TA[[#This Row],[Month Year]],0))</f>
        <v>30</v>
      </c>
      <c r="H117" s="21">
        <v>45752</v>
      </c>
      <c r="I117" s="41">
        <f>IFERROR(VLOOKUP(TA[[#This Row],[Date]],Raw_Data[[Date]:[Sunset Time (POA&lt;20 W/m2)]],3,0),"")</f>
        <v>0.26597222222222222</v>
      </c>
      <c r="J117" s="41">
        <f>IFERROR(VLOOKUP(TA[[#This Row],[Date]],Raw_Data[[Date]:[Sunset Time (POA&lt;20 W/m2)]],4,0),"")</f>
        <v>0.76180555555555551</v>
      </c>
      <c r="K117" s="35">
        <f>IFERROR((TA[[#This Row],[Sunset Time (POA&lt;20 W/m2)]]-TA[[#This Row],[Sunrise Time (POA&gt;20 W/m2)]])*24,"")</f>
        <v>11.899999999999999</v>
      </c>
      <c r="L117" s="2" t="s">
        <v>294</v>
      </c>
      <c r="M117" s="42">
        <f>IFERROR(VLOOKUP(TA[[#This Row],[Affected Equipment]],'Basic Data'!$I$2:$K$40,3,0),"")</f>
        <v>1.7241379310344799E-3</v>
      </c>
      <c r="N117">
        <v>-28</v>
      </c>
      <c r="O117" t="s">
        <v>133</v>
      </c>
      <c r="P117" s="127" t="s">
        <v>316</v>
      </c>
      <c r="Q117" s="126" t="s">
        <v>316</v>
      </c>
      <c r="R117">
        <v>118</v>
      </c>
      <c r="S117" s="2">
        <v>22</v>
      </c>
      <c r="T117" t="s">
        <v>295</v>
      </c>
      <c r="U117" t="s">
        <v>300</v>
      </c>
      <c r="V117" t="s">
        <v>298</v>
      </c>
      <c r="W117" s="41"/>
      <c r="X117" s="41"/>
      <c r="Y117" s="34"/>
      <c r="Z117" s="34"/>
      <c r="AA117" s="35">
        <f>IF(TA[[#This Row],[Work Start time on Fault]]="NA","",(TA[[#This Row],[Fault Acknowledgement Time ]]-TA[[#This Row],[Fault Time]])*24)</f>
        <v>0</v>
      </c>
      <c r="AB117" s="35">
        <f>(TA[[#This Row],[Work Start time on Fault]]-TA[[#This Row],[Fault Time]])*24</f>
        <v>0</v>
      </c>
      <c r="AC117" s="34">
        <f>(TA[[#This Row],[Work Completion time on fault]]-TA[[#This Row],[Fault Time]])*24</f>
        <v>0</v>
      </c>
      <c r="AD117" s="35">
        <f>IFERROR((TA[[#This Row],[Work Completion time on fault]]-TA[[#This Row],[Fault Time]])*24,"")</f>
        <v>0</v>
      </c>
      <c r="AE117" t="s">
        <v>328</v>
      </c>
      <c r="AF117" t="s">
        <v>256</v>
      </c>
      <c r="AG117" s="2"/>
      <c r="AH117" s="44">
        <f>1-COS(RADIANS(TA[[#This Row],[Avg. Target Angle during Fault Time (Radians)]]-TA[[#This Row],[Angle of affected equipment ]]))</f>
        <v>0.11705240714107301</v>
      </c>
      <c r="AI117" s="35">
        <f>IFERROR(TA[[#This Row],[Breakdown Time]]*TA[[#This Row],[Plant Equivalent Weightage]],"")</f>
        <v>0</v>
      </c>
    </row>
    <row r="118" spans="1:35">
      <c r="A118" s="2">
        <f t="shared" si="7"/>
        <v>115</v>
      </c>
      <c r="B118" s="156">
        <f t="shared" si="5"/>
        <v>2026</v>
      </c>
      <c r="C118" s="129">
        <f t="shared" si="6"/>
        <v>2025</v>
      </c>
      <c r="D118" s="2" t="s">
        <v>155</v>
      </c>
      <c r="E118" s="2" t="s">
        <v>155</v>
      </c>
      <c r="F118" s="39">
        <v>45748</v>
      </c>
      <c r="G118" s="2">
        <f>DAY(EOMONTH(TA[[#This Row],[Month Year]],0))</f>
        <v>30</v>
      </c>
      <c r="H118" s="21">
        <v>45752</v>
      </c>
      <c r="I118" s="41">
        <f>IFERROR(VLOOKUP(TA[[#This Row],[Date]],Raw_Data[[Date]:[Sunset Time (POA&lt;20 W/m2)]],3,0),"")</f>
        <v>0.26597222222222222</v>
      </c>
      <c r="J118" s="41">
        <f>IFERROR(VLOOKUP(TA[[#This Row],[Date]],Raw_Data[[Date]:[Sunset Time (POA&lt;20 W/m2)]],4,0),"")</f>
        <v>0.76180555555555551</v>
      </c>
      <c r="K118" s="35">
        <f>IFERROR((TA[[#This Row],[Sunset Time (POA&lt;20 W/m2)]]-TA[[#This Row],[Sunrise Time (POA&gt;20 W/m2)]])*24,"")</f>
        <v>11.899999999999999</v>
      </c>
      <c r="L118" s="2" t="s">
        <v>296</v>
      </c>
      <c r="M118" s="42">
        <f>IFERROR(VLOOKUP(TA[[#This Row],[Affected Equipment]],'Basic Data'!$I$2:$K$40,3,0),"")</f>
        <v>8.6206896551724102E-3</v>
      </c>
      <c r="N118">
        <v>-28</v>
      </c>
      <c r="O118" t="s">
        <v>135</v>
      </c>
      <c r="P118" s="22" t="s">
        <v>323</v>
      </c>
      <c r="Q118" s="2" t="s">
        <v>329</v>
      </c>
      <c r="R118">
        <v>45</v>
      </c>
      <c r="S118" s="2">
        <v>8</v>
      </c>
      <c r="T118" t="s">
        <v>297</v>
      </c>
      <c r="U118" t="s">
        <v>326</v>
      </c>
      <c r="V118" t="s">
        <v>301</v>
      </c>
      <c r="W118" s="41">
        <f>IFERROR(VLOOKUP(TA[[#This Row],[Date]],Raw_Data[[Date]:[Sunset Time (POA&lt;20 W/m2)]],3,0),"")</f>
        <v>0.26597222222222222</v>
      </c>
      <c r="X118" s="41">
        <f>IFERROR(VLOOKUP(TA[[#This Row],[Date]],Raw_Data[[Date]:[Sunset Time (POA&lt;20 W/m2)]],3,0),"")</f>
        <v>0.26597222222222222</v>
      </c>
      <c r="Y118" s="34"/>
      <c r="Z118" s="34">
        <v>0.76041666666666663</v>
      </c>
      <c r="AA118" s="35">
        <f>IF(TA[[#This Row],[Work Start time on Fault]]="NA","",(TA[[#This Row],[Fault Acknowledgement Time ]]-TA[[#This Row],[Fault Time]])*24)</f>
        <v>0</v>
      </c>
      <c r="AB118" s="35">
        <f>(TA[[#This Row],[Work Start time on Fault]]-TA[[#This Row],[Fault Time]])*24</f>
        <v>-6.3833333333333329</v>
      </c>
      <c r="AC118" s="34">
        <f>(TA[[#This Row],[Work Completion time on fault]]-TA[[#This Row],[Fault Time]])*24</f>
        <v>11.866666666666665</v>
      </c>
      <c r="AD118" s="35">
        <f>IFERROR((TA[[#This Row],[Work Completion time on fault]]-TA[[#This Row],[Fault Time]])*24,"")</f>
        <v>11.866666666666665</v>
      </c>
      <c r="AE118" t="s">
        <v>309</v>
      </c>
      <c r="AF118" t="s">
        <v>256</v>
      </c>
      <c r="AG118" s="2"/>
      <c r="AH118" s="44">
        <f>1-COS(RADIANS(TA[[#This Row],[Avg. Target Angle during Fault Time (Radians)]]-TA[[#This Row],[Angle of affected equipment ]]))</f>
        <v>0.11705240714107301</v>
      </c>
      <c r="AI118" s="35">
        <f>IFERROR(TA[[#This Row],[Breakdown Time]]*TA[[#This Row],[Plant Equivalent Weightage]],"")</f>
        <v>0.10229885057471259</v>
      </c>
    </row>
    <row r="119" spans="1:35">
      <c r="A119" s="2">
        <f t="shared" si="7"/>
        <v>116</v>
      </c>
      <c r="B119" s="156">
        <f t="shared" si="5"/>
        <v>2026</v>
      </c>
      <c r="C119" s="129">
        <f t="shared" si="6"/>
        <v>2025</v>
      </c>
      <c r="D119" s="2" t="s">
        <v>155</v>
      </c>
      <c r="E119" s="2" t="s">
        <v>155</v>
      </c>
      <c r="F119" s="39">
        <v>45748</v>
      </c>
      <c r="G119" s="2">
        <f>DAY(EOMONTH(TA[[#This Row],[Month Year]],0))</f>
        <v>30</v>
      </c>
      <c r="H119" s="21">
        <v>45752</v>
      </c>
      <c r="I119" s="41">
        <f>IFERROR(VLOOKUP(TA[[#This Row],[Date]],Raw_Data[[Date]:[Sunset Time (POA&lt;20 W/m2)]],3,0),"")</f>
        <v>0.26597222222222222</v>
      </c>
      <c r="J119" s="41">
        <f>IFERROR(VLOOKUP(TA[[#This Row],[Date]],Raw_Data[[Date]:[Sunset Time (POA&lt;20 W/m2)]],4,0),"")</f>
        <v>0.76180555555555551</v>
      </c>
      <c r="K119" s="35">
        <f>IFERROR((TA[[#This Row],[Sunset Time (POA&lt;20 W/m2)]]-TA[[#This Row],[Sunrise Time (POA&gt;20 W/m2)]])*24,"")</f>
        <v>11.899999999999999</v>
      </c>
      <c r="L119" s="2" t="s">
        <v>296</v>
      </c>
      <c r="M119" s="42">
        <f>IFERROR(VLOOKUP(TA[[#This Row],[Affected Equipment]],'Basic Data'!$I$2:$K$40,3,0),"")</f>
        <v>8.6206896551724102E-3</v>
      </c>
      <c r="N119">
        <v>-28</v>
      </c>
      <c r="O119" t="s">
        <v>135</v>
      </c>
      <c r="P119" s="22" t="s">
        <v>323</v>
      </c>
      <c r="Q119" s="2" t="s">
        <v>329</v>
      </c>
      <c r="R119">
        <v>47</v>
      </c>
      <c r="S119" s="2">
        <v>18</v>
      </c>
      <c r="T119" t="s">
        <v>297</v>
      </c>
      <c r="U119" t="s">
        <v>326</v>
      </c>
      <c r="V119" t="s">
        <v>301</v>
      </c>
      <c r="W119" s="41">
        <f>IFERROR(VLOOKUP(TA[[#This Row],[Date]],Raw_Data[[Date]:[Sunset Time (POA&lt;20 W/m2)]],3,0),"")</f>
        <v>0.26597222222222222</v>
      </c>
      <c r="X119" s="41">
        <f>IFERROR(VLOOKUP(TA[[#This Row],[Date]],Raw_Data[[Date]:[Sunset Time (POA&lt;20 W/m2)]],3,0),"")</f>
        <v>0.26597222222222222</v>
      </c>
      <c r="Y119" s="34"/>
      <c r="Z119" s="34">
        <v>0.76041666666666663</v>
      </c>
      <c r="AA119" s="35">
        <f>IF(TA[[#This Row],[Work Start time on Fault]]="NA","",(TA[[#This Row],[Fault Acknowledgement Time ]]-TA[[#This Row],[Fault Time]])*24)</f>
        <v>0</v>
      </c>
      <c r="AB119" s="35">
        <f>(TA[[#This Row],[Work Start time on Fault]]-TA[[#This Row],[Fault Time]])*24</f>
        <v>-6.3833333333333329</v>
      </c>
      <c r="AC119" s="34">
        <f>(TA[[#This Row],[Work Completion time on fault]]-TA[[#This Row],[Fault Time]])*24</f>
        <v>11.866666666666665</v>
      </c>
      <c r="AD119" s="35">
        <f>IFERROR((TA[[#This Row],[Work Completion time on fault]]-TA[[#This Row],[Fault Time]])*24,"")</f>
        <v>11.866666666666665</v>
      </c>
      <c r="AE119" t="s">
        <v>309</v>
      </c>
      <c r="AF119" t="s">
        <v>256</v>
      </c>
      <c r="AG119" s="2"/>
      <c r="AH119" s="44">
        <f>1-COS(RADIANS(TA[[#This Row],[Avg. Target Angle during Fault Time (Radians)]]-TA[[#This Row],[Angle of affected equipment ]]))</f>
        <v>0.11705240714107301</v>
      </c>
      <c r="AI119" s="35">
        <f>IFERROR(TA[[#This Row],[Breakdown Time]]*TA[[#This Row],[Plant Equivalent Weightage]],"")</f>
        <v>0.10229885057471259</v>
      </c>
    </row>
    <row r="120" spans="1:35">
      <c r="A120" s="2">
        <f t="shared" si="7"/>
        <v>117</v>
      </c>
      <c r="B120" s="156">
        <f t="shared" si="5"/>
        <v>2026</v>
      </c>
      <c r="C120" s="129">
        <f t="shared" si="6"/>
        <v>2025</v>
      </c>
      <c r="D120" s="2" t="s">
        <v>155</v>
      </c>
      <c r="E120" s="2" t="s">
        <v>155</v>
      </c>
      <c r="F120" s="39">
        <v>45748</v>
      </c>
      <c r="G120" s="2">
        <f>DAY(EOMONTH(TA[[#This Row],[Month Year]],0))</f>
        <v>30</v>
      </c>
      <c r="H120" s="21">
        <v>45752</v>
      </c>
      <c r="I120" s="41">
        <f>IFERROR(VLOOKUP(TA[[#This Row],[Date]],Raw_Data[[Date]:[Sunset Time (POA&lt;20 W/m2)]],3,0),"")</f>
        <v>0.26597222222222222</v>
      </c>
      <c r="J120" s="41">
        <f>IFERROR(VLOOKUP(TA[[#This Row],[Date]],Raw_Data[[Date]:[Sunset Time (POA&lt;20 W/m2)]],4,0),"")</f>
        <v>0.76180555555555551</v>
      </c>
      <c r="K120" s="35">
        <f>IFERROR((TA[[#This Row],[Sunset Time (POA&lt;20 W/m2)]]-TA[[#This Row],[Sunrise Time (POA&gt;20 W/m2)]])*24,"")</f>
        <v>11.899999999999999</v>
      </c>
      <c r="L120" s="2" t="s">
        <v>296</v>
      </c>
      <c r="M120" s="42">
        <f>IFERROR(VLOOKUP(TA[[#This Row],[Affected Equipment]],'Basic Data'!$I$2:$K$40,3,0),"")</f>
        <v>8.6206896551724102E-3</v>
      </c>
      <c r="N120">
        <v>-28</v>
      </c>
      <c r="O120" t="s">
        <v>134</v>
      </c>
      <c r="P120" s="22" t="s">
        <v>330</v>
      </c>
      <c r="Q120" s="2" t="s">
        <v>323</v>
      </c>
      <c r="R120">
        <v>30</v>
      </c>
      <c r="S120" s="2">
        <v>57</v>
      </c>
      <c r="T120" t="s">
        <v>297</v>
      </c>
      <c r="U120" t="s">
        <v>326</v>
      </c>
      <c r="V120" t="s">
        <v>301</v>
      </c>
      <c r="W120" s="41">
        <f>IFERROR(VLOOKUP(TA[[#This Row],[Date]],Raw_Data[[Date]:[Sunset Time (POA&lt;20 W/m2)]],3,0),"")</f>
        <v>0.26597222222222222</v>
      </c>
      <c r="X120" s="41">
        <f>IFERROR(VLOOKUP(TA[[#This Row],[Date]],Raw_Data[[Date]:[Sunset Time (POA&lt;20 W/m2)]],3,0),"")</f>
        <v>0.26597222222222222</v>
      </c>
      <c r="Y120" s="34"/>
      <c r="Z120" s="34">
        <v>0.76041666666666663</v>
      </c>
      <c r="AA120" s="35">
        <f>IF(TA[[#This Row],[Work Start time on Fault]]="NA","",(TA[[#This Row],[Fault Acknowledgement Time ]]-TA[[#This Row],[Fault Time]])*24)</f>
        <v>0</v>
      </c>
      <c r="AB120" s="35">
        <f>(TA[[#This Row],[Work Start time on Fault]]-TA[[#This Row],[Fault Time]])*24</f>
        <v>-6.3833333333333329</v>
      </c>
      <c r="AC120" s="34">
        <f>(TA[[#This Row],[Work Completion time on fault]]-TA[[#This Row],[Fault Time]])*24</f>
        <v>11.866666666666665</v>
      </c>
      <c r="AD120" s="35">
        <f>IFERROR((TA[[#This Row],[Work Completion time on fault]]-TA[[#This Row],[Fault Time]])*24,"")</f>
        <v>11.866666666666665</v>
      </c>
      <c r="AE120" t="s">
        <v>309</v>
      </c>
      <c r="AF120" t="s">
        <v>256</v>
      </c>
      <c r="AG120" s="2"/>
      <c r="AH120" s="44">
        <f>1-COS(RADIANS(TA[[#This Row],[Avg. Target Angle during Fault Time (Radians)]]-TA[[#This Row],[Angle of affected equipment ]]))</f>
        <v>0.11705240714107301</v>
      </c>
      <c r="AI120" s="35">
        <f>IFERROR(TA[[#This Row],[Breakdown Time]]*TA[[#This Row],[Plant Equivalent Weightage]],"")</f>
        <v>0.10229885057471259</v>
      </c>
    </row>
    <row r="121" spans="1:35">
      <c r="A121" s="2">
        <f t="shared" si="7"/>
        <v>118</v>
      </c>
      <c r="B121" s="156">
        <f t="shared" si="5"/>
        <v>2026</v>
      </c>
      <c r="C121" s="129">
        <f t="shared" si="6"/>
        <v>2025</v>
      </c>
      <c r="D121" s="2" t="s">
        <v>155</v>
      </c>
      <c r="E121" s="2" t="s">
        <v>155</v>
      </c>
      <c r="F121" s="39">
        <v>45748</v>
      </c>
      <c r="G121" s="2">
        <f>DAY(EOMONTH(TA[[#This Row],[Month Year]],0))</f>
        <v>30</v>
      </c>
      <c r="H121" s="21">
        <v>45752</v>
      </c>
      <c r="I121" s="41">
        <f>IFERROR(VLOOKUP(TA[[#This Row],[Date]],Raw_Data[[Date]:[Sunset Time (POA&lt;20 W/m2)]],3,0),"")</f>
        <v>0.26597222222222222</v>
      </c>
      <c r="J121" s="41">
        <f>IFERROR(VLOOKUP(TA[[#This Row],[Date]],Raw_Data[[Date]:[Sunset Time (POA&lt;20 W/m2)]],4,0),"")</f>
        <v>0.76180555555555551</v>
      </c>
      <c r="K121" s="35">
        <f>IFERROR((TA[[#This Row],[Sunset Time (POA&lt;20 W/m2)]]-TA[[#This Row],[Sunrise Time (POA&gt;20 W/m2)]])*24,"")</f>
        <v>11.899999999999999</v>
      </c>
      <c r="L121" s="2" t="s">
        <v>296</v>
      </c>
      <c r="M121" s="42">
        <f>IFERROR(VLOOKUP(TA[[#This Row],[Affected Equipment]],'Basic Data'!$I$2:$K$40,3,0),"")</f>
        <v>8.6206896551724102E-3</v>
      </c>
      <c r="N121">
        <v>-28</v>
      </c>
      <c r="O121" t="s">
        <v>134</v>
      </c>
      <c r="P121" s="22" t="s">
        <v>330</v>
      </c>
      <c r="Q121" s="2" t="s">
        <v>323</v>
      </c>
      <c r="R121">
        <v>31</v>
      </c>
      <c r="S121" s="2">
        <v>61</v>
      </c>
      <c r="T121" t="s">
        <v>297</v>
      </c>
      <c r="U121" t="s">
        <v>326</v>
      </c>
      <c r="V121" t="s">
        <v>301</v>
      </c>
      <c r="W121" s="41">
        <f>IFERROR(VLOOKUP(TA[[#This Row],[Date]],Raw_Data[[Date]:[Sunset Time (POA&lt;20 W/m2)]],3,0),"")</f>
        <v>0.26597222222222222</v>
      </c>
      <c r="X121" s="41">
        <f>IFERROR(VLOOKUP(TA[[#This Row],[Date]],Raw_Data[[Date]:[Sunset Time (POA&lt;20 W/m2)]],3,0),"")</f>
        <v>0.26597222222222222</v>
      </c>
      <c r="Y121" s="34"/>
      <c r="Z121" s="34">
        <v>0.76041666666666663</v>
      </c>
      <c r="AA121" s="35">
        <f>IF(TA[[#This Row],[Work Start time on Fault]]="NA","",(TA[[#This Row],[Fault Acknowledgement Time ]]-TA[[#This Row],[Fault Time]])*24)</f>
        <v>0</v>
      </c>
      <c r="AB121" s="35">
        <f>(TA[[#This Row],[Work Start time on Fault]]-TA[[#This Row],[Fault Time]])*24</f>
        <v>-6.3833333333333329</v>
      </c>
      <c r="AC121" s="34">
        <f>(TA[[#This Row],[Work Completion time on fault]]-TA[[#This Row],[Fault Time]])*24</f>
        <v>11.866666666666665</v>
      </c>
      <c r="AD121" s="35">
        <f>IFERROR((TA[[#This Row],[Work Completion time on fault]]-TA[[#This Row],[Fault Time]])*24,"")</f>
        <v>11.866666666666665</v>
      </c>
      <c r="AE121" t="s">
        <v>309</v>
      </c>
      <c r="AF121" t="s">
        <v>256</v>
      </c>
      <c r="AG121" s="2"/>
      <c r="AH121" s="44">
        <f>1-COS(RADIANS(TA[[#This Row],[Avg. Target Angle during Fault Time (Radians)]]-TA[[#This Row],[Angle of affected equipment ]]))</f>
        <v>0.11705240714107301</v>
      </c>
      <c r="AI121" s="35">
        <f>IFERROR(TA[[#This Row],[Breakdown Time]]*TA[[#This Row],[Plant Equivalent Weightage]],"")</f>
        <v>0.10229885057471259</v>
      </c>
    </row>
    <row r="122" spans="1:35">
      <c r="A122" s="2">
        <f t="shared" si="7"/>
        <v>119</v>
      </c>
      <c r="B122" s="156">
        <f t="shared" si="5"/>
        <v>2026</v>
      </c>
      <c r="C122" s="129">
        <f t="shared" si="6"/>
        <v>2025</v>
      </c>
      <c r="D122" s="2" t="s">
        <v>155</v>
      </c>
      <c r="E122" s="2" t="s">
        <v>155</v>
      </c>
      <c r="F122" s="39">
        <v>45748</v>
      </c>
      <c r="G122" s="2">
        <f>DAY(EOMONTH(TA[[#This Row],[Month Year]],0))</f>
        <v>30</v>
      </c>
      <c r="H122" s="21">
        <v>45752</v>
      </c>
      <c r="I122" s="41">
        <f>IFERROR(VLOOKUP(TA[[#This Row],[Date]],Raw_Data[[Date]:[Sunset Time (POA&lt;20 W/m2)]],3,0),"")</f>
        <v>0.26597222222222222</v>
      </c>
      <c r="J122" s="41">
        <f>IFERROR(VLOOKUP(TA[[#This Row],[Date]],Raw_Data[[Date]:[Sunset Time (POA&lt;20 W/m2)]],4,0),"")</f>
        <v>0.76180555555555551</v>
      </c>
      <c r="K122" s="35">
        <f>IFERROR((TA[[#This Row],[Sunset Time (POA&lt;20 W/m2)]]-TA[[#This Row],[Sunrise Time (POA&gt;20 W/m2)]])*24,"")</f>
        <v>11.899999999999999</v>
      </c>
      <c r="L122" s="2" t="s">
        <v>312</v>
      </c>
      <c r="M122" s="42">
        <f>IFERROR(VLOOKUP(TA[[#This Row],[Affected Equipment]],'Basic Data'!$I$2:$K$40,3,0),"")</f>
        <v>5.74712643678161E-3</v>
      </c>
      <c r="N122">
        <v>-28</v>
      </c>
      <c r="O122" t="s">
        <v>133</v>
      </c>
      <c r="P122" s="22" t="s">
        <v>330</v>
      </c>
      <c r="Q122" s="2" t="s">
        <v>323</v>
      </c>
      <c r="R122">
        <v>26</v>
      </c>
      <c r="S122" s="2">
        <v>37</v>
      </c>
      <c r="T122" t="s">
        <v>297</v>
      </c>
      <c r="U122" t="s">
        <v>326</v>
      </c>
      <c r="V122" t="s">
        <v>301</v>
      </c>
      <c r="W122" s="41">
        <f>IFERROR(VLOOKUP(TA[[#This Row],[Date]],Raw_Data[[Date]:[Sunset Time (POA&lt;20 W/m2)]],3,0),"")</f>
        <v>0.26597222222222222</v>
      </c>
      <c r="X122" s="41">
        <f>IFERROR(VLOOKUP(TA[[#This Row],[Date]],Raw_Data[[Date]:[Sunset Time (POA&lt;20 W/m2)]],3,0),"")</f>
        <v>0.26597222222222222</v>
      </c>
      <c r="Y122" s="34"/>
      <c r="Z122" s="34">
        <v>0.76041666666666663</v>
      </c>
      <c r="AA122" s="35">
        <f>IF(TA[[#This Row],[Work Start time on Fault]]="NA","",(TA[[#This Row],[Fault Acknowledgement Time ]]-TA[[#This Row],[Fault Time]])*24)</f>
        <v>0</v>
      </c>
      <c r="AB122" s="35">
        <f>(TA[[#This Row],[Work Start time on Fault]]-TA[[#This Row],[Fault Time]])*24</f>
        <v>-6.3833333333333329</v>
      </c>
      <c r="AC122" s="34">
        <f>(TA[[#This Row],[Work Completion time on fault]]-TA[[#This Row],[Fault Time]])*24</f>
        <v>11.866666666666665</v>
      </c>
      <c r="AD122" s="35">
        <f>IFERROR((TA[[#This Row],[Work Completion time on fault]]-TA[[#This Row],[Fault Time]])*24,"")</f>
        <v>11.866666666666665</v>
      </c>
      <c r="AE122" t="s">
        <v>309</v>
      </c>
      <c r="AF122" t="s">
        <v>256</v>
      </c>
      <c r="AG122" s="2"/>
      <c r="AH122" s="44">
        <f>1-COS(RADIANS(TA[[#This Row],[Avg. Target Angle during Fault Time (Radians)]]-TA[[#This Row],[Angle of affected equipment ]]))</f>
        <v>0.11705240714107301</v>
      </c>
      <c r="AI122" s="35">
        <f>IFERROR(TA[[#This Row],[Breakdown Time]]*TA[[#This Row],[Plant Equivalent Weightage]],"")</f>
        <v>6.8199233716475099E-2</v>
      </c>
    </row>
    <row r="123" spans="1:35">
      <c r="A123" s="2">
        <f t="shared" si="7"/>
        <v>120</v>
      </c>
      <c r="B123" s="156">
        <f t="shared" si="5"/>
        <v>2026</v>
      </c>
      <c r="C123" s="129">
        <f t="shared" si="6"/>
        <v>2025</v>
      </c>
      <c r="D123" s="2" t="s">
        <v>155</v>
      </c>
      <c r="E123" s="2" t="s">
        <v>155</v>
      </c>
      <c r="F123" s="39">
        <v>45748</v>
      </c>
      <c r="G123" s="2">
        <f>DAY(EOMONTH(TA[[#This Row],[Month Year]],0))</f>
        <v>30</v>
      </c>
      <c r="H123" s="21">
        <v>45752</v>
      </c>
      <c r="I123" s="41">
        <f>IFERROR(VLOOKUP(TA[[#This Row],[Date]],Raw_Data[[Date]:[Sunset Time (POA&lt;20 W/m2)]],3,0),"")</f>
        <v>0.26597222222222222</v>
      </c>
      <c r="J123" s="41">
        <f>IFERROR(VLOOKUP(TA[[#This Row],[Date]],Raw_Data[[Date]:[Sunset Time (POA&lt;20 W/m2)]],4,0),"")</f>
        <v>0.76180555555555551</v>
      </c>
      <c r="K123" s="35">
        <f>IFERROR((TA[[#This Row],[Sunset Time (POA&lt;20 W/m2)]]-TA[[#This Row],[Sunrise Time (POA&gt;20 W/m2)]])*24,"")</f>
        <v>11.899999999999999</v>
      </c>
      <c r="L123" s="2" t="s">
        <v>312</v>
      </c>
      <c r="M123" s="42">
        <f>IFERROR(VLOOKUP(TA[[#This Row],[Affected Equipment]],'Basic Data'!$I$2:$K$40,3,0),"")</f>
        <v>5.74712643678161E-3</v>
      </c>
      <c r="N123">
        <v>-28</v>
      </c>
      <c r="O123" t="s">
        <v>133</v>
      </c>
      <c r="P123" s="22" t="s">
        <v>330</v>
      </c>
      <c r="Q123" s="2" t="s">
        <v>323</v>
      </c>
      <c r="R123">
        <v>27</v>
      </c>
      <c r="S123" s="2">
        <v>42</v>
      </c>
      <c r="T123" t="s">
        <v>297</v>
      </c>
      <c r="U123" t="s">
        <v>326</v>
      </c>
      <c r="V123" t="s">
        <v>301</v>
      </c>
      <c r="W123" s="41">
        <f>IFERROR(VLOOKUP(TA[[#This Row],[Date]],Raw_Data[[Date]:[Sunset Time (POA&lt;20 W/m2)]],3,0),"")</f>
        <v>0.26597222222222222</v>
      </c>
      <c r="X123" s="41">
        <f>IFERROR(VLOOKUP(TA[[#This Row],[Date]],Raw_Data[[Date]:[Sunset Time (POA&lt;20 W/m2)]],3,0),"")</f>
        <v>0.26597222222222222</v>
      </c>
      <c r="Y123" s="34"/>
      <c r="Z123" s="34">
        <v>0.76041666666666663</v>
      </c>
      <c r="AA123" s="35">
        <f>IF(TA[[#This Row],[Work Start time on Fault]]="NA","",(TA[[#This Row],[Fault Acknowledgement Time ]]-TA[[#This Row],[Fault Time]])*24)</f>
        <v>0</v>
      </c>
      <c r="AB123" s="35">
        <f>(TA[[#This Row],[Work Start time on Fault]]-TA[[#This Row],[Fault Time]])*24</f>
        <v>-6.3833333333333329</v>
      </c>
      <c r="AC123" s="34">
        <f>(TA[[#This Row],[Work Completion time on fault]]-TA[[#This Row],[Fault Time]])*24</f>
        <v>11.866666666666665</v>
      </c>
      <c r="AD123" s="35">
        <f>IFERROR((TA[[#This Row],[Work Completion time on fault]]-TA[[#This Row],[Fault Time]])*24,"")</f>
        <v>11.866666666666665</v>
      </c>
      <c r="AE123" t="s">
        <v>309</v>
      </c>
      <c r="AF123" t="s">
        <v>256</v>
      </c>
      <c r="AG123" s="2"/>
      <c r="AH123" s="44">
        <f>1-COS(RADIANS(TA[[#This Row],[Avg. Target Angle during Fault Time (Radians)]]-TA[[#This Row],[Angle of affected equipment ]]))</f>
        <v>0.11705240714107301</v>
      </c>
      <c r="AI123" s="35">
        <f>IFERROR(TA[[#This Row],[Breakdown Time]]*TA[[#This Row],[Plant Equivalent Weightage]],"")</f>
        <v>6.8199233716475099E-2</v>
      </c>
    </row>
    <row r="124" spans="1:35">
      <c r="A124" s="2">
        <f t="shared" si="7"/>
        <v>121</v>
      </c>
      <c r="B124" s="156">
        <f t="shared" si="5"/>
        <v>2026</v>
      </c>
      <c r="C124" s="129">
        <f t="shared" si="6"/>
        <v>2025</v>
      </c>
      <c r="D124" s="2" t="s">
        <v>155</v>
      </c>
      <c r="E124" s="2" t="s">
        <v>155</v>
      </c>
      <c r="F124" s="39">
        <v>45748</v>
      </c>
      <c r="G124" s="2">
        <f>DAY(EOMONTH(TA[[#This Row],[Month Year]],0))</f>
        <v>30</v>
      </c>
      <c r="H124" s="21">
        <v>45753</v>
      </c>
      <c r="I124" s="41">
        <f>IFERROR(VLOOKUP(TA[[#This Row],[Date]],Raw_Data[[Date]:[Sunset Time (POA&lt;20 W/m2)]],3,0),"")</f>
        <v>0.27013888888888887</v>
      </c>
      <c r="J124" s="41">
        <f>IFERROR(VLOOKUP(TA[[#This Row],[Date]],Raw_Data[[Date]:[Sunset Time (POA&lt;20 W/m2)]],4,0),"")</f>
        <v>0.76458333333333328</v>
      </c>
      <c r="K124" s="35">
        <f>IFERROR((TA[[#This Row],[Sunset Time (POA&lt;20 W/m2)]]-TA[[#This Row],[Sunrise Time (POA&gt;20 W/m2)]])*24,"")</f>
        <v>11.866666666666665</v>
      </c>
      <c r="L124" s="2" t="s">
        <v>294</v>
      </c>
      <c r="M124" s="42">
        <f>IFERROR(VLOOKUP(TA[[#This Row],[Affected Equipment]],'Basic Data'!$I$2:$K$40,3,0),"")</f>
        <v>1.7241379310344799E-3</v>
      </c>
      <c r="N124">
        <v>-28</v>
      </c>
      <c r="O124" t="s">
        <v>135</v>
      </c>
      <c r="P124" s="127" t="s">
        <v>318</v>
      </c>
      <c r="Q124" s="126" t="s">
        <v>318</v>
      </c>
      <c r="R124">
        <v>130</v>
      </c>
      <c r="S124" s="2">
        <v>36</v>
      </c>
      <c r="T124" t="s">
        <v>295</v>
      </c>
      <c r="U124" t="s">
        <v>300</v>
      </c>
      <c r="V124" t="s">
        <v>298</v>
      </c>
      <c r="W124" s="41"/>
      <c r="X124" s="41"/>
      <c r="Y124" s="34"/>
      <c r="Z124" s="34"/>
      <c r="AA124" s="35">
        <f>IF(TA[[#This Row],[Work Start time on Fault]]="NA","",(TA[[#This Row],[Fault Acknowledgement Time ]]-TA[[#This Row],[Fault Time]])*24)</f>
        <v>0</v>
      </c>
      <c r="AB124" s="35">
        <f>(TA[[#This Row],[Work Start time on Fault]]-TA[[#This Row],[Fault Time]])*24</f>
        <v>0</v>
      </c>
      <c r="AC124" s="34">
        <f>(TA[[#This Row],[Work Completion time on fault]]-TA[[#This Row],[Fault Time]])*24</f>
        <v>0</v>
      </c>
      <c r="AD124" s="35">
        <f>IFERROR((TA[[#This Row],[Work Completion time on fault]]-TA[[#This Row],[Fault Time]])*24,"")</f>
        <v>0</v>
      </c>
      <c r="AE124" t="s">
        <v>328</v>
      </c>
      <c r="AF124" t="s">
        <v>256</v>
      </c>
      <c r="AG124" s="2"/>
      <c r="AH124" s="44">
        <f>1-COS(RADIANS(TA[[#This Row],[Avg. Target Angle during Fault Time (Radians)]]-TA[[#This Row],[Angle of affected equipment ]]))</f>
        <v>0.11705240714107301</v>
      </c>
      <c r="AI124" s="35">
        <f>IFERROR(TA[[#This Row],[Breakdown Time]]*TA[[#This Row],[Plant Equivalent Weightage]],"")</f>
        <v>0</v>
      </c>
    </row>
    <row r="125" spans="1:35">
      <c r="A125" s="2">
        <f t="shared" si="7"/>
        <v>122</v>
      </c>
      <c r="B125" s="156">
        <f t="shared" si="5"/>
        <v>2026</v>
      </c>
      <c r="C125" s="129">
        <f t="shared" si="6"/>
        <v>2025</v>
      </c>
      <c r="D125" s="2" t="s">
        <v>155</v>
      </c>
      <c r="E125" s="2" t="s">
        <v>155</v>
      </c>
      <c r="F125" s="39">
        <v>45748</v>
      </c>
      <c r="G125" s="2">
        <f>DAY(EOMONTH(TA[[#This Row],[Month Year]],0))</f>
        <v>30</v>
      </c>
      <c r="H125" s="21">
        <v>45753</v>
      </c>
      <c r="I125" s="41">
        <f>IFERROR(VLOOKUP(TA[[#This Row],[Date]],Raw_Data[[Date]:[Sunset Time (POA&lt;20 W/m2)]],3,0),"")</f>
        <v>0.27013888888888887</v>
      </c>
      <c r="J125" s="41">
        <f>IFERROR(VLOOKUP(TA[[#This Row],[Date]],Raw_Data[[Date]:[Sunset Time (POA&lt;20 W/m2)]],4,0),"")</f>
        <v>0.76458333333333328</v>
      </c>
      <c r="K125" s="35">
        <f>IFERROR((TA[[#This Row],[Sunset Time (POA&lt;20 W/m2)]]-TA[[#This Row],[Sunrise Time (POA&gt;20 W/m2)]])*24,"")</f>
        <v>11.866666666666665</v>
      </c>
      <c r="L125" s="2" t="s">
        <v>294</v>
      </c>
      <c r="M125" s="42">
        <f>IFERROR(VLOOKUP(TA[[#This Row],[Affected Equipment]],'Basic Data'!$I$2:$K$40,3,0),"")</f>
        <v>1.7241379310344799E-3</v>
      </c>
      <c r="N125">
        <v>-28</v>
      </c>
      <c r="O125" t="s">
        <v>135</v>
      </c>
      <c r="P125" s="127" t="s">
        <v>318</v>
      </c>
      <c r="Q125" s="126" t="s">
        <v>318</v>
      </c>
      <c r="R125">
        <v>130</v>
      </c>
      <c r="S125" s="2">
        <v>37</v>
      </c>
      <c r="T125" t="s">
        <v>295</v>
      </c>
      <c r="U125" t="s">
        <v>300</v>
      </c>
      <c r="V125" t="s">
        <v>298</v>
      </c>
      <c r="W125" s="41"/>
      <c r="X125" s="41"/>
      <c r="Y125" s="34"/>
      <c r="Z125" s="34"/>
      <c r="AA125" s="35">
        <f>IF(TA[[#This Row],[Work Start time on Fault]]="NA","",(TA[[#This Row],[Fault Acknowledgement Time ]]-TA[[#This Row],[Fault Time]])*24)</f>
        <v>0</v>
      </c>
      <c r="AB125" s="35">
        <f>(TA[[#This Row],[Work Start time on Fault]]-TA[[#This Row],[Fault Time]])*24</f>
        <v>0</v>
      </c>
      <c r="AC125" s="34">
        <f>(TA[[#This Row],[Work Completion time on fault]]-TA[[#This Row],[Fault Time]])*24</f>
        <v>0</v>
      </c>
      <c r="AD125" s="35">
        <f>IFERROR((TA[[#This Row],[Work Completion time on fault]]-TA[[#This Row],[Fault Time]])*24,"")</f>
        <v>0</v>
      </c>
      <c r="AE125" t="s">
        <v>328</v>
      </c>
      <c r="AF125" t="s">
        <v>256</v>
      </c>
      <c r="AG125" s="2"/>
      <c r="AH125" s="44">
        <f>1-COS(RADIANS(TA[[#This Row],[Avg. Target Angle during Fault Time (Radians)]]-TA[[#This Row],[Angle of affected equipment ]]))</f>
        <v>0.11705240714107301</v>
      </c>
      <c r="AI125" s="35">
        <f>IFERROR(TA[[#This Row],[Breakdown Time]]*TA[[#This Row],[Plant Equivalent Weightage]],"")</f>
        <v>0</v>
      </c>
    </row>
    <row r="126" spans="1:35">
      <c r="A126" s="2">
        <f t="shared" si="7"/>
        <v>123</v>
      </c>
      <c r="B126" s="156">
        <f t="shared" si="5"/>
        <v>2026</v>
      </c>
      <c r="C126" s="129">
        <f t="shared" si="6"/>
        <v>2025</v>
      </c>
      <c r="D126" s="2" t="s">
        <v>155</v>
      </c>
      <c r="E126" s="2" t="s">
        <v>155</v>
      </c>
      <c r="F126" s="39">
        <v>45748</v>
      </c>
      <c r="G126" s="2">
        <f>DAY(EOMONTH(TA[[#This Row],[Month Year]],0))</f>
        <v>30</v>
      </c>
      <c r="H126" s="21">
        <v>45753</v>
      </c>
      <c r="I126" s="41">
        <f>IFERROR(VLOOKUP(TA[[#This Row],[Date]],Raw_Data[[Date]:[Sunset Time (POA&lt;20 W/m2)]],3,0),"")</f>
        <v>0.27013888888888887</v>
      </c>
      <c r="J126" s="41">
        <f>IFERROR(VLOOKUP(TA[[#This Row],[Date]],Raw_Data[[Date]:[Sunset Time (POA&lt;20 W/m2)]],4,0),"")</f>
        <v>0.76458333333333328</v>
      </c>
      <c r="K126" s="35">
        <f>IFERROR((TA[[#This Row],[Sunset Time (POA&lt;20 W/m2)]]-TA[[#This Row],[Sunrise Time (POA&gt;20 W/m2)]])*24,"")</f>
        <v>11.866666666666665</v>
      </c>
      <c r="L126" s="2" t="s">
        <v>294</v>
      </c>
      <c r="M126" s="42">
        <f>IFERROR(VLOOKUP(TA[[#This Row],[Affected Equipment]],'Basic Data'!$I$2:$K$40,3,0),"")</f>
        <v>1.7241379310344799E-3</v>
      </c>
      <c r="N126">
        <v>-28</v>
      </c>
      <c r="O126" t="s">
        <v>135</v>
      </c>
      <c r="P126" s="127" t="s">
        <v>318</v>
      </c>
      <c r="Q126" s="126" t="s">
        <v>318</v>
      </c>
      <c r="R126">
        <v>131</v>
      </c>
      <c r="S126" s="2">
        <v>38</v>
      </c>
      <c r="T126" t="s">
        <v>295</v>
      </c>
      <c r="U126" t="s">
        <v>300</v>
      </c>
      <c r="V126" t="s">
        <v>298</v>
      </c>
      <c r="W126" s="41"/>
      <c r="X126" s="41"/>
      <c r="Y126" s="34"/>
      <c r="Z126" s="34"/>
      <c r="AA126" s="35">
        <f>IF(TA[[#This Row],[Work Start time on Fault]]="NA","",(TA[[#This Row],[Fault Acknowledgement Time ]]-TA[[#This Row],[Fault Time]])*24)</f>
        <v>0</v>
      </c>
      <c r="AB126" s="35">
        <f>(TA[[#This Row],[Work Start time on Fault]]-TA[[#This Row],[Fault Time]])*24</f>
        <v>0</v>
      </c>
      <c r="AC126" s="34">
        <f>(TA[[#This Row],[Work Completion time on fault]]-TA[[#This Row],[Fault Time]])*24</f>
        <v>0</v>
      </c>
      <c r="AD126" s="35">
        <f>IFERROR((TA[[#This Row],[Work Completion time on fault]]-TA[[#This Row],[Fault Time]])*24,"")</f>
        <v>0</v>
      </c>
      <c r="AE126" t="s">
        <v>328</v>
      </c>
      <c r="AF126" t="s">
        <v>256</v>
      </c>
      <c r="AG126" s="2"/>
      <c r="AH126" s="44">
        <f>1-COS(RADIANS(TA[[#This Row],[Avg. Target Angle during Fault Time (Radians)]]-TA[[#This Row],[Angle of affected equipment ]]))</f>
        <v>0.11705240714107301</v>
      </c>
      <c r="AI126" s="35">
        <f>IFERROR(TA[[#This Row],[Breakdown Time]]*TA[[#This Row],[Plant Equivalent Weightage]],"")</f>
        <v>0</v>
      </c>
    </row>
    <row r="127" spans="1:35">
      <c r="A127" s="2">
        <f t="shared" si="7"/>
        <v>124</v>
      </c>
      <c r="B127" s="156">
        <f t="shared" si="5"/>
        <v>2026</v>
      </c>
      <c r="C127" s="129">
        <f t="shared" si="6"/>
        <v>2025</v>
      </c>
      <c r="D127" s="2" t="s">
        <v>155</v>
      </c>
      <c r="E127" s="2" t="s">
        <v>155</v>
      </c>
      <c r="F127" s="39">
        <v>45748</v>
      </c>
      <c r="G127" s="2">
        <f>DAY(EOMONTH(TA[[#This Row],[Month Year]],0))</f>
        <v>30</v>
      </c>
      <c r="H127" s="21">
        <v>45753</v>
      </c>
      <c r="I127" s="41">
        <f>IFERROR(VLOOKUP(TA[[#This Row],[Date]],Raw_Data[[Date]:[Sunset Time (POA&lt;20 W/m2)]],3,0),"")</f>
        <v>0.27013888888888887</v>
      </c>
      <c r="J127" s="41">
        <f>IFERROR(VLOOKUP(TA[[#This Row],[Date]],Raw_Data[[Date]:[Sunset Time (POA&lt;20 W/m2)]],4,0),"")</f>
        <v>0.76458333333333328</v>
      </c>
      <c r="K127" s="35">
        <f>IFERROR((TA[[#This Row],[Sunset Time (POA&lt;20 W/m2)]]-TA[[#This Row],[Sunrise Time (POA&gt;20 W/m2)]])*24,"")</f>
        <v>11.866666666666665</v>
      </c>
      <c r="L127" s="2" t="s">
        <v>294</v>
      </c>
      <c r="M127" s="42">
        <f>IFERROR(VLOOKUP(TA[[#This Row],[Affected Equipment]],'Basic Data'!$I$2:$K$40,3,0),"")</f>
        <v>1.7241379310344799E-3</v>
      </c>
      <c r="N127">
        <v>-28</v>
      </c>
      <c r="O127" t="s">
        <v>135</v>
      </c>
      <c r="P127" s="127" t="s">
        <v>318</v>
      </c>
      <c r="Q127" s="126" t="s">
        <v>318</v>
      </c>
      <c r="R127">
        <v>131</v>
      </c>
      <c r="S127" s="2">
        <v>39</v>
      </c>
      <c r="T127" t="s">
        <v>295</v>
      </c>
      <c r="U127" t="s">
        <v>300</v>
      </c>
      <c r="V127" t="s">
        <v>298</v>
      </c>
      <c r="W127" s="41"/>
      <c r="X127" s="41"/>
      <c r="Y127" s="34"/>
      <c r="Z127" s="34"/>
      <c r="AA127" s="35">
        <f>IF(TA[[#This Row],[Work Start time on Fault]]="NA","",(TA[[#This Row],[Fault Acknowledgement Time ]]-TA[[#This Row],[Fault Time]])*24)</f>
        <v>0</v>
      </c>
      <c r="AB127" s="35">
        <f>(TA[[#This Row],[Work Start time on Fault]]-TA[[#This Row],[Fault Time]])*24</f>
        <v>0</v>
      </c>
      <c r="AC127" s="34">
        <f>(TA[[#This Row],[Work Completion time on fault]]-TA[[#This Row],[Fault Time]])*24</f>
        <v>0</v>
      </c>
      <c r="AD127" s="35">
        <f>IFERROR((TA[[#This Row],[Work Completion time on fault]]-TA[[#This Row],[Fault Time]])*24,"")</f>
        <v>0</v>
      </c>
      <c r="AE127" t="s">
        <v>328</v>
      </c>
      <c r="AF127" t="s">
        <v>256</v>
      </c>
      <c r="AG127" s="2"/>
      <c r="AH127" s="44">
        <f>1-COS(RADIANS(TA[[#This Row],[Avg. Target Angle during Fault Time (Radians)]]-TA[[#This Row],[Angle of affected equipment ]]))</f>
        <v>0.11705240714107301</v>
      </c>
      <c r="AI127" s="35">
        <f>IFERROR(TA[[#This Row],[Breakdown Time]]*TA[[#This Row],[Plant Equivalent Weightage]],"")</f>
        <v>0</v>
      </c>
    </row>
    <row r="128" spans="1:35">
      <c r="A128" s="2">
        <f t="shared" si="7"/>
        <v>125</v>
      </c>
      <c r="B128" s="156">
        <f t="shared" si="5"/>
        <v>2026</v>
      </c>
      <c r="C128" s="129">
        <f t="shared" si="6"/>
        <v>2025</v>
      </c>
      <c r="D128" s="2" t="s">
        <v>155</v>
      </c>
      <c r="E128" s="2" t="s">
        <v>155</v>
      </c>
      <c r="F128" s="39">
        <v>45748</v>
      </c>
      <c r="G128" s="2">
        <f>DAY(EOMONTH(TA[[#This Row],[Month Year]],0))</f>
        <v>30</v>
      </c>
      <c r="H128" s="21">
        <v>45753</v>
      </c>
      <c r="I128" s="41">
        <f>IFERROR(VLOOKUP(TA[[#This Row],[Date]],Raw_Data[[Date]:[Sunset Time (POA&lt;20 W/m2)]],3,0),"")</f>
        <v>0.27013888888888887</v>
      </c>
      <c r="J128" s="41">
        <f>IFERROR(VLOOKUP(TA[[#This Row],[Date]],Raw_Data[[Date]:[Sunset Time (POA&lt;20 W/m2)]],4,0),"")</f>
        <v>0.76458333333333328</v>
      </c>
      <c r="K128" s="35">
        <f>IFERROR((TA[[#This Row],[Sunset Time (POA&lt;20 W/m2)]]-TA[[#This Row],[Sunrise Time (POA&gt;20 W/m2)]])*24,"")</f>
        <v>11.866666666666665</v>
      </c>
      <c r="L128" s="2" t="s">
        <v>296</v>
      </c>
      <c r="M128" s="42">
        <f>IFERROR(VLOOKUP(TA[[#This Row],[Affected Equipment]],'Basic Data'!$I$2:$K$40,3,0),"")</f>
        <v>8.6206896551724102E-3</v>
      </c>
      <c r="N128">
        <v>-28</v>
      </c>
      <c r="O128" t="s">
        <v>135</v>
      </c>
      <c r="P128" s="127" t="s">
        <v>318</v>
      </c>
      <c r="Q128" s="2" t="s">
        <v>321</v>
      </c>
      <c r="R128">
        <v>133</v>
      </c>
      <c r="S128" s="2">
        <v>26</v>
      </c>
      <c r="T128" t="s">
        <v>297</v>
      </c>
      <c r="U128" t="s">
        <v>300</v>
      </c>
      <c r="V128" t="s">
        <v>314</v>
      </c>
      <c r="W128" s="41"/>
      <c r="X128" s="41"/>
      <c r="Y128" s="34"/>
      <c r="Z128" s="34"/>
      <c r="AA128" s="35">
        <f>IF(TA[[#This Row],[Work Start time on Fault]]="NA","",(TA[[#This Row],[Fault Acknowledgement Time ]]-TA[[#This Row],[Fault Time]])*24)</f>
        <v>0</v>
      </c>
      <c r="AB128" s="35">
        <f>(TA[[#This Row],[Work Start time on Fault]]-TA[[#This Row],[Fault Time]])*24</f>
        <v>0</v>
      </c>
      <c r="AC128" s="34">
        <f>(TA[[#This Row],[Work Completion time on fault]]-TA[[#This Row],[Fault Time]])*24</f>
        <v>0</v>
      </c>
      <c r="AD128" s="35">
        <f>IFERROR((TA[[#This Row],[Work Completion time on fault]]-TA[[#This Row],[Fault Time]])*24,"")</f>
        <v>0</v>
      </c>
      <c r="AE128" t="s">
        <v>328</v>
      </c>
      <c r="AF128" t="s">
        <v>256</v>
      </c>
      <c r="AG128" s="2"/>
      <c r="AH128" s="44">
        <f>1-COS(RADIANS(TA[[#This Row],[Avg. Target Angle during Fault Time (Radians)]]-TA[[#This Row],[Angle of affected equipment ]]))</f>
        <v>0.11705240714107301</v>
      </c>
      <c r="AI128" s="35">
        <f>IFERROR(TA[[#This Row],[Breakdown Time]]*TA[[#This Row],[Plant Equivalent Weightage]],"")</f>
        <v>0</v>
      </c>
    </row>
    <row r="129" spans="1:35">
      <c r="A129" s="2">
        <f t="shared" si="7"/>
        <v>126</v>
      </c>
      <c r="B129" s="156">
        <f t="shared" si="5"/>
        <v>2026</v>
      </c>
      <c r="C129" s="129">
        <f t="shared" si="6"/>
        <v>2025</v>
      </c>
      <c r="D129" s="2" t="s">
        <v>155</v>
      </c>
      <c r="E129" s="2" t="s">
        <v>155</v>
      </c>
      <c r="F129" s="39">
        <v>45748</v>
      </c>
      <c r="G129" s="2">
        <f>DAY(EOMONTH(TA[[#This Row],[Month Year]],0))</f>
        <v>30</v>
      </c>
      <c r="H129" s="21">
        <v>45753</v>
      </c>
      <c r="I129" s="41">
        <f>IFERROR(VLOOKUP(TA[[#This Row],[Date]],Raw_Data[[Date]:[Sunset Time (POA&lt;20 W/m2)]],3,0),"")</f>
        <v>0.27013888888888887</v>
      </c>
      <c r="J129" s="41">
        <f>IFERROR(VLOOKUP(TA[[#This Row],[Date]],Raw_Data[[Date]:[Sunset Time (POA&lt;20 W/m2)]],4,0),"")</f>
        <v>0.76458333333333328</v>
      </c>
      <c r="K129" s="35">
        <f>IFERROR((TA[[#This Row],[Sunset Time (POA&lt;20 W/m2)]]-TA[[#This Row],[Sunrise Time (POA&gt;20 W/m2)]])*24,"")</f>
        <v>11.866666666666665</v>
      </c>
      <c r="L129" s="2" t="s">
        <v>294</v>
      </c>
      <c r="M129" s="42">
        <f>IFERROR(VLOOKUP(TA[[#This Row],[Affected Equipment]],'Basic Data'!$I$2:$K$40,3,0),"")</f>
        <v>1.7241379310344799E-3</v>
      </c>
      <c r="N129">
        <v>-28</v>
      </c>
      <c r="O129" t="s">
        <v>133</v>
      </c>
      <c r="P129" s="127" t="s">
        <v>316</v>
      </c>
      <c r="Q129" s="126" t="s">
        <v>317</v>
      </c>
      <c r="R129">
        <v>7</v>
      </c>
      <c r="S129" s="2">
        <v>32</v>
      </c>
      <c r="T129" t="s">
        <v>295</v>
      </c>
      <c r="U129" t="s">
        <v>300</v>
      </c>
      <c r="V129" t="s">
        <v>298</v>
      </c>
      <c r="W129" s="41"/>
      <c r="X129" s="41"/>
      <c r="Y129" s="34"/>
      <c r="Z129" s="34"/>
      <c r="AA129" s="35">
        <f>IF(TA[[#This Row],[Work Start time on Fault]]="NA","",(TA[[#This Row],[Fault Acknowledgement Time ]]-TA[[#This Row],[Fault Time]])*24)</f>
        <v>0</v>
      </c>
      <c r="AB129" s="35">
        <f>(TA[[#This Row],[Work Start time on Fault]]-TA[[#This Row],[Fault Time]])*24</f>
        <v>0</v>
      </c>
      <c r="AC129" s="34">
        <f>(TA[[#This Row],[Work Completion time on fault]]-TA[[#This Row],[Fault Time]])*24</f>
        <v>0</v>
      </c>
      <c r="AD129" s="35">
        <f>IFERROR((TA[[#This Row],[Work Completion time on fault]]-TA[[#This Row],[Fault Time]])*24,"")</f>
        <v>0</v>
      </c>
      <c r="AE129" t="s">
        <v>328</v>
      </c>
      <c r="AF129" t="s">
        <v>256</v>
      </c>
      <c r="AG129" s="2"/>
      <c r="AH129" s="44">
        <f>1-COS(RADIANS(TA[[#This Row],[Avg. Target Angle during Fault Time (Radians)]]-TA[[#This Row],[Angle of affected equipment ]]))</f>
        <v>0.11705240714107301</v>
      </c>
      <c r="AI129" s="35">
        <f>IFERROR(TA[[#This Row],[Breakdown Time]]*TA[[#This Row],[Plant Equivalent Weightage]],"")</f>
        <v>0</v>
      </c>
    </row>
    <row r="130" spans="1:35">
      <c r="A130" s="2">
        <f t="shared" si="7"/>
        <v>127</v>
      </c>
      <c r="B130" s="156">
        <f t="shared" si="5"/>
        <v>2026</v>
      </c>
      <c r="C130" s="129">
        <f t="shared" si="6"/>
        <v>2025</v>
      </c>
      <c r="D130" s="2" t="s">
        <v>155</v>
      </c>
      <c r="E130" s="2" t="s">
        <v>155</v>
      </c>
      <c r="F130" s="39">
        <v>45748</v>
      </c>
      <c r="G130" s="2">
        <f>DAY(EOMONTH(TA[[#This Row],[Month Year]],0))</f>
        <v>30</v>
      </c>
      <c r="H130" s="21">
        <v>45753</v>
      </c>
      <c r="I130" s="41">
        <f>IFERROR(VLOOKUP(TA[[#This Row],[Date]],Raw_Data[[Date]:[Sunset Time (POA&lt;20 W/m2)]],3,0),"")</f>
        <v>0.27013888888888887</v>
      </c>
      <c r="J130" s="41">
        <f>IFERROR(VLOOKUP(TA[[#This Row],[Date]],Raw_Data[[Date]:[Sunset Time (POA&lt;20 W/m2)]],4,0),"")</f>
        <v>0.76458333333333328</v>
      </c>
      <c r="K130" s="35">
        <f>IFERROR((TA[[#This Row],[Sunset Time (POA&lt;20 W/m2)]]-TA[[#This Row],[Sunrise Time (POA&gt;20 W/m2)]])*24,"")</f>
        <v>11.866666666666665</v>
      </c>
      <c r="L130" s="2" t="s">
        <v>294</v>
      </c>
      <c r="M130" s="42">
        <f>IFERROR(VLOOKUP(TA[[#This Row],[Affected Equipment]],'Basic Data'!$I$2:$K$40,3,0),"")</f>
        <v>1.7241379310344799E-3</v>
      </c>
      <c r="N130">
        <v>-28</v>
      </c>
      <c r="O130" t="s">
        <v>137</v>
      </c>
      <c r="P130" s="127" t="s">
        <v>315</v>
      </c>
      <c r="Q130" s="126" t="s">
        <v>319</v>
      </c>
      <c r="R130">
        <v>166</v>
      </c>
      <c r="S130" s="2">
        <v>91</v>
      </c>
      <c r="T130" t="s">
        <v>295</v>
      </c>
      <c r="U130" t="s">
        <v>300</v>
      </c>
      <c r="V130" t="s">
        <v>298</v>
      </c>
      <c r="W130" s="41"/>
      <c r="X130" s="41"/>
      <c r="Y130" s="34"/>
      <c r="Z130" s="34"/>
      <c r="AA130" s="35">
        <f>IF(TA[[#This Row],[Work Start time on Fault]]="NA","",(TA[[#This Row],[Fault Acknowledgement Time ]]-TA[[#This Row],[Fault Time]])*24)</f>
        <v>0</v>
      </c>
      <c r="AB130" s="35">
        <f>(TA[[#This Row],[Work Start time on Fault]]-TA[[#This Row],[Fault Time]])*24</f>
        <v>0</v>
      </c>
      <c r="AC130" s="34">
        <f>(TA[[#This Row],[Work Completion time on fault]]-TA[[#This Row],[Fault Time]])*24</f>
        <v>0</v>
      </c>
      <c r="AD130" s="35">
        <f>IFERROR((TA[[#This Row],[Work Completion time on fault]]-TA[[#This Row],[Fault Time]])*24,"")</f>
        <v>0</v>
      </c>
      <c r="AE130" t="s">
        <v>328</v>
      </c>
      <c r="AF130" t="s">
        <v>256</v>
      </c>
      <c r="AG130" s="2"/>
      <c r="AH130" s="44">
        <f>1-COS(RADIANS(TA[[#This Row],[Avg. Target Angle during Fault Time (Radians)]]-TA[[#This Row],[Angle of affected equipment ]]))</f>
        <v>0.11705240714107301</v>
      </c>
      <c r="AI130" s="35">
        <f>IFERROR(TA[[#This Row],[Breakdown Time]]*TA[[#This Row],[Plant Equivalent Weightage]],"")</f>
        <v>0</v>
      </c>
    </row>
    <row r="131" spans="1:35">
      <c r="A131" s="2">
        <f t="shared" si="7"/>
        <v>128</v>
      </c>
      <c r="B131" s="156">
        <f t="shared" si="5"/>
        <v>2026</v>
      </c>
      <c r="C131" s="129">
        <f t="shared" si="6"/>
        <v>2025</v>
      </c>
      <c r="D131" s="2" t="s">
        <v>155</v>
      </c>
      <c r="E131" s="2" t="s">
        <v>155</v>
      </c>
      <c r="F131" s="39">
        <v>45748</v>
      </c>
      <c r="G131" s="2">
        <f>DAY(EOMONTH(TA[[#This Row],[Month Year]],0))</f>
        <v>30</v>
      </c>
      <c r="H131" s="21">
        <v>45753</v>
      </c>
      <c r="I131" s="41">
        <f>IFERROR(VLOOKUP(TA[[#This Row],[Date]],Raw_Data[[Date]:[Sunset Time (POA&lt;20 W/m2)]],3,0),"")</f>
        <v>0.27013888888888887</v>
      </c>
      <c r="J131" s="41">
        <f>IFERROR(VLOOKUP(TA[[#This Row],[Date]],Raw_Data[[Date]:[Sunset Time (POA&lt;20 W/m2)]],4,0),"")</f>
        <v>0.76458333333333328</v>
      </c>
      <c r="K131" s="35">
        <f>IFERROR((TA[[#This Row],[Sunset Time (POA&lt;20 W/m2)]]-TA[[#This Row],[Sunrise Time (POA&gt;20 W/m2)]])*24,"")</f>
        <v>11.866666666666665</v>
      </c>
      <c r="L131" s="2" t="s">
        <v>294</v>
      </c>
      <c r="M131" s="42">
        <f>IFERROR(VLOOKUP(TA[[#This Row],[Affected Equipment]],'Basic Data'!$I$2:$K$40,3,0),"")</f>
        <v>1.7241379310344799E-3</v>
      </c>
      <c r="N131">
        <v>-28</v>
      </c>
      <c r="O131" t="s">
        <v>133</v>
      </c>
      <c r="P131" s="127" t="s">
        <v>316</v>
      </c>
      <c r="Q131" s="126" t="s">
        <v>316</v>
      </c>
      <c r="R131">
        <v>117</v>
      </c>
      <c r="S131" s="2">
        <v>20</v>
      </c>
      <c r="T131" t="s">
        <v>295</v>
      </c>
      <c r="U131" t="s">
        <v>300</v>
      </c>
      <c r="V131" t="s">
        <v>298</v>
      </c>
      <c r="W131" s="41"/>
      <c r="X131" s="41"/>
      <c r="Y131" s="34"/>
      <c r="Z131" s="34"/>
      <c r="AA131" s="35">
        <f>IF(TA[[#This Row],[Work Start time on Fault]]="NA","",(TA[[#This Row],[Fault Acknowledgement Time ]]-TA[[#This Row],[Fault Time]])*24)</f>
        <v>0</v>
      </c>
      <c r="AB131" s="35">
        <f>(TA[[#This Row],[Work Start time on Fault]]-TA[[#This Row],[Fault Time]])*24</f>
        <v>0</v>
      </c>
      <c r="AC131" s="34">
        <f>(TA[[#This Row],[Work Completion time on fault]]-TA[[#This Row],[Fault Time]])*24</f>
        <v>0</v>
      </c>
      <c r="AD131" s="35">
        <f>IFERROR((TA[[#This Row],[Work Completion time on fault]]-TA[[#This Row],[Fault Time]])*24,"")</f>
        <v>0</v>
      </c>
      <c r="AE131" t="s">
        <v>328</v>
      </c>
      <c r="AF131" t="s">
        <v>256</v>
      </c>
      <c r="AG131" s="2"/>
      <c r="AH131" s="44">
        <f>1-COS(RADIANS(TA[[#This Row],[Avg. Target Angle during Fault Time (Radians)]]-TA[[#This Row],[Angle of affected equipment ]]))</f>
        <v>0.11705240714107301</v>
      </c>
      <c r="AI131" s="35">
        <f>IFERROR(TA[[#This Row],[Breakdown Time]]*TA[[#This Row],[Plant Equivalent Weightage]],"")</f>
        <v>0</v>
      </c>
    </row>
    <row r="132" spans="1:35">
      <c r="A132" s="2">
        <f t="shared" si="7"/>
        <v>129</v>
      </c>
      <c r="B132" s="156">
        <f t="shared" si="5"/>
        <v>2026</v>
      </c>
      <c r="C132" s="129">
        <f t="shared" si="6"/>
        <v>2025</v>
      </c>
      <c r="D132" s="2" t="s">
        <v>155</v>
      </c>
      <c r="E132" s="2" t="s">
        <v>155</v>
      </c>
      <c r="F132" s="39">
        <v>45748</v>
      </c>
      <c r="G132" s="2">
        <f>DAY(EOMONTH(TA[[#This Row],[Month Year]],0))</f>
        <v>30</v>
      </c>
      <c r="H132" s="21">
        <v>45753</v>
      </c>
      <c r="I132" s="41">
        <f>IFERROR(VLOOKUP(TA[[#This Row],[Date]],Raw_Data[[Date]:[Sunset Time (POA&lt;20 W/m2)]],3,0),"")</f>
        <v>0.27013888888888887</v>
      </c>
      <c r="J132" s="41">
        <f>IFERROR(VLOOKUP(TA[[#This Row],[Date]],Raw_Data[[Date]:[Sunset Time (POA&lt;20 W/m2)]],4,0),"")</f>
        <v>0.76458333333333328</v>
      </c>
      <c r="K132" s="35">
        <f>IFERROR((TA[[#This Row],[Sunset Time (POA&lt;20 W/m2)]]-TA[[#This Row],[Sunrise Time (POA&gt;20 W/m2)]])*24,"")</f>
        <v>11.866666666666665</v>
      </c>
      <c r="L132" s="2" t="s">
        <v>294</v>
      </c>
      <c r="M132" s="42">
        <f>IFERROR(VLOOKUP(TA[[#This Row],[Affected Equipment]],'Basic Data'!$I$2:$K$40,3,0),"")</f>
        <v>1.7241379310344799E-3</v>
      </c>
      <c r="N132">
        <v>-28</v>
      </c>
      <c r="O132" t="s">
        <v>133</v>
      </c>
      <c r="P132" s="127" t="s">
        <v>316</v>
      </c>
      <c r="Q132" s="126" t="s">
        <v>316</v>
      </c>
      <c r="R132">
        <v>118</v>
      </c>
      <c r="S132" s="2">
        <v>22</v>
      </c>
      <c r="T132" t="s">
        <v>295</v>
      </c>
      <c r="U132" t="s">
        <v>300</v>
      </c>
      <c r="V132" t="s">
        <v>298</v>
      </c>
      <c r="W132" s="41"/>
      <c r="X132" s="41"/>
      <c r="Y132" s="34"/>
      <c r="Z132" s="34"/>
      <c r="AA132" s="35">
        <f>IF(TA[[#This Row],[Work Start time on Fault]]="NA","",(TA[[#This Row],[Fault Acknowledgement Time ]]-TA[[#This Row],[Fault Time]])*24)</f>
        <v>0</v>
      </c>
      <c r="AB132" s="35">
        <f>(TA[[#This Row],[Work Start time on Fault]]-TA[[#This Row],[Fault Time]])*24</f>
        <v>0</v>
      </c>
      <c r="AC132" s="34">
        <f>(TA[[#This Row],[Work Completion time on fault]]-TA[[#This Row],[Fault Time]])*24</f>
        <v>0</v>
      </c>
      <c r="AD132" s="35">
        <f>IFERROR((TA[[#This Row],[Work Completion time on fault]]-TA[[#This Row],[Fault Time]])*24,"")</f>
        <v>0</v>
      </c>
      <c r="AE132" t="s">
        <v>328</v>
      </c>
      <c r="AF132" t="s">
        <v>256</v>
      </c>
      <c r="AG132" s="2"/>
      <c r="AH132" s="44">
        <f>1-COS(RADIANS(TA[[#This Row],[Avg. Target Angle during Fault Time (Radians)]]-TA[[#This Row],[Angle of affected equipment ]]))</f>
        <v>0.11705240714107301</v>
      </c>
      <c r="AI132" s="35">
        <f>IFERROR(TA[[#This Row],[Breakdown Time]]*TA[[#This Row],[Plant Equivalent Weightage]],"")</f>
        <v>0</v>
      </c>
    </row>
    <row r="133" spans="1:35">
      <c r="A133" s="2">
        <f t="shared" si="7"/>
        <v>130</v>
      </c>
      <c r="B133" s="156">
        <f t="shared" ref="B133:B196" si="8">YEAR(H133)+IF(MONTH(H133)&gt;=4,1,0)</f>
        <v>2026</v>
      </c>
      <c r="C133" s="129">
        <f t="shared" ref="C133:C196" si="9">YEAR(H133)</f>
        <v>2025</v>
      </c>
      <c r="D133" s="2" t="s">
        <v>155</v>
      </c>
      <c r="E133" s="2" t="s">
        <v>155</v>
      </c>
      <c r="F133" s="39">
        <v>45748</v>
      </c>
      <c r="G133" s="2">
        <f>DAY(EOMONTH(TA[[#This Row],[Month Year]],0))</f>
        <v>30</v>
      </c>
      <c r="H133" s="21">
        <v>45753</v>
      </c>
      <c r="I133" s="41">
        <f>IFERROR(VLOOKUP(TA[[#This Row],[Date]],Raw_Data[[Date]:[Sunset Time (POA&lt;20 W/m2)]],3,0),"")</f>
        <v>0.27013888888888887</v>
      </c>
      <c r="J133" s="41">
        <f>IFERROR(VLOOKUP(TA[[#This Row],[Date]],Raw_Data[[Date]:[Sunset Time (POA&lt;20 W/m2)]],4,0),"")</f>
        <v>0.76458333333333328</v>
      </c>
      <c r="K133" s="35">
        <f>IFERROR((TA[[#This Row],[Sunset Time (POA&lt;20 W/m2)]]-TA[[#This Row],[Sunrise Time (POA&gt;20 W/m2)]])*24,"")</f>
        <v>11.866666666666665</v>
      </c>
      <c r="L133" s="2" t="s">
        <v>296</v>
      </c>
      <c r="M133" s="42">
        <f>IFERROR(VLOOKUP(TA[[#This Row],[Affected Equipment]],'Basic Data'!$I$2:$K$40,3,0),"")</f>
        <v>8.6206896551724102E-3</v>
      </c>
      <c r="N133">
        <v>-28</v>
      </c>
      <c r="O133" t="s">
        <v>135</v>
      </c>
      <c r="P133" s="22" t="s">
        <v>323</v>
      </c>
      <c r="Q133" s="2" t="s">
        <v>329</v>
      </c>
      <c r="R133">
        <v>45</v>
      </c>
      <c r="S133" s="2">
        <v>8</v>
      </c>
      <c r="T133" t="s">
        <v>297</v>
      </c>
      <c r="U133" t="s">
        <v>326</v>
      </c>
      <c r="V133" t="s">
        <v>301</v>
      </c>
      <c r="W133" s="41">
        <f>IFERROR(VLOOKUP(TA[[#This Row],[Date]],Raw_Data[[Date]:[Sunset Time (POA&lt;20 W/m2)]],3,0),"")</f>
        <v>0.27013888888888887</v>
      </c>
      <c r="X133" s="41">
        <f>IFERROR(VLOOKUP(TA[[#This Row],[Date]],Raw_Data[[Date]:[Sunset Time (POA&lt;20 W/m2)]],3,0),"")</f>
        <v>0.27013888888888887</v>
      </c>
      <c r="Y133" s="34"/>
      <c r="Z133" s="34">
        <v>0.76041666666666663</v>
      </c>
      <c r="AA133" s="35">
        <f>IF(TA[[#This Row],[Work Start time on Fault]]="NA","",(TA[[#This Row],[Fault Acknowledgement Time ]]-TA[[#This Row],[Fault Time]])*24)</f>
        <v>0</v>
      </c>
      <c r="AB133" s="35">
        <f>(TA[[#This Row],[Work Start time on Fault]]-TA[[#This Row],[Fault Time]])*24</f>
        <v>-6.4833333333333325</v>
      </c>
      <c r="AC133" s="34">
        <f>(TA[[#This Row],[Work Completion time on fault]]-TA[[#This Row],[Fault Time]])*24</f>
        <v>11.766666666666666</v>
      </c>
      <c r="AD133" s="35">
        <f>IFERROR((TA[[#This Row],[Work Completion time on fault]]-TA[[#This Row],[Fault Time]])*24,"")</f>
        <v>11.766666666666666</v>
      </c>
      <c r="AE133" t="s">
        <v>309</v>
      </c>
      <c r="AF133" t="s">
        <v>256</v>
      </c>
      <c r="AG133" s="2"/>
      <c r="AH133" s="44">
        <f>1-COS(RADIANS(TA[[#This Row],[Avg. Target Angle during Fault Time (Radians)]]-TA[[#This Row],[Angle of affected equipment ]]))</f>
        <v>0.11705240714107301</v>
      </c>
      <c r="AI133" s="35">
        <f>IFERROR(TA[[#This Row],[Breakdown Time]]*TA[[#This Row],[Plant Equivalent Weightage]],"")</f>
        <v>0.10143678160919535</v>
      </c>
    </row>
    <row r="134" spans="1:35">
      <c r="A134" s="2">
        <f t="shared" si="7"/>
        <v>131</v>
      </c>
      <c r="B134" s="156">
        <f t="shared" si="8"/>
        <v>2026</v>
      </c>
      <c r="C134" s="129">
        <f t="shared" si="9"/>
        <v>2025</v>
      </c>
      <c r="D134" s="2" t="s">
        <v>155</v>
      </c>
      <c r="E134" s="2" t="s">
        <v>155</v>
      </c>
      <c r="F134" s="39">
        <v>45748</v>
      </c>
      <c r="G134" s="2">
        <f>DAY(EOMONTH(TA[[#This Row],[Month Year]],0))</f>
        <v>30</v>
      </c>
      <c r="H134" s="21">
        <v>45753</v>
      </c>
      <c r="I134" s="41">
        <f>IFERROR(VLOOKUP(TA[[#This Row],[Date]],Raw_Data[[Date]:[Sunset Time (POA&lt;20 W/m2)]],3,0),"")</f>
        <v>0.27013888888888887</v>
      </c>
      <c r="J134" s="41">
        <f>IFERROR(VLOOKUP(TA[[#This Row],[Date]],Raw_Data[[Date]:[Sunset Time (POA&lt;20 W/m2)]],4,0),"")</f>
        <v>0.76458333333333328</v>
      </c>
      <c r="K134" s="35">
        <f>IFERROR((TA[[#This Row],[Sunset Time (POA&lt;20 W/m2)]]-TA[[#This Row],[Sunrise Time (POA&gt;20 W/m2)]])*24,"")</f>
        <v>11.866666666666665</v>
      </c>
      <c r="L134" s="2" t="s">
        <v>296</v>
      </c>
      <c r="M134" s="42">
        <f>IFERROR(VLOOKUP(TA[[#This Row],[Affected Equipment]],'Basic Data'!$I$2:$K$40,3,0),"")</f>
        <v>8.6206896551724102E-3</v>
      </c>
      <c r="N134">
        <v>-28</v>
      </c>
      <c r="O134" t="s">
        <v>135</v>
      </c>
      <c r="P134" s="22" t="s">
        <v>323</v>
      </c>
      <c r="Q134" s="2" t="s">
        <v>329</v>
      </c>
      <c r="R134">
        <v>47</v>
      </c>
      <c r="S134" s="2">
        <v>18</v>
      </c>
      <c r="T134" t="s">
        <v>297</v>
      </c>
      <c r="U134" t="s">
        <v>326</v>
      </c>
      <c r="V134" t="s">
        <v>301</v>
      </c>
      <c r="W134" s="41">
        <f>IFERROR(VLOOKUP(TA[[#This Row],[Date]],Raw_Data[[Date]:[Sunset Time (POA&lt;20 W/m2)]],3,0),"")</f>
        <v>0.27013888888888887</v>
      </c>
      <c r="X134" s="41">
        <f>IFERROR(VLOOKUP(TA[[#This Row],[Date]],Raw_Data[[Date]:[Sunset Time (POA&lt;20 W/m2)]],3,0),"")</f>
        <v>0.27013888888888887</v>
      </c>
      <c r="Y134" s="34"/>
      <c r="Z134" s="34">
        <v>0.76041666666666663</v>
      </c>
      <c r="AA134" s="35">
        <f>IF(TA[[#This Row],[Work Start time on Fault]]="NA","",(TA[[#This Row],[Fault Acknowledgement Time ]]-TA[[#This Row],[Fault Time]])*24)</f>
        <v>0</v>
      </c>
      <c r="AB134" s="35">
        <f>(TA[[#This Row],[Work Start time on Fault]]-TA[[#This Row],[Fault Time]])*24</f>
        <v>-6.4833333333333325</v>
      </c>
      <c r="AC134" s="34">
        <f>(TA[[#This Row],[Work Completion time on fault]]-TA[[#This Row],[Fault Time]])*24</f>
        <v>11.766666666666666</v>
      </c>
      <c r="AD134" s="35">
        <f>IFERROR((TA[[#This Row],[Work Completion time on fault]]-TA[[#This Row],[Fault Time]])*24,"")</f>
        <v>11.766666666666666</v>
      </c>
      <c r="AE134" t="s">
        <v>309</v>
      </c>
      <c r="AF134" t="s">
        <v>256</v>
      </c>
      <c r="AG134" s="2"/>
      <c r="AH134" s="44">
        <f>1-COS(RADIANS(TA[[#This Row],[Avg. Target Angle during Fault Time (Radians)]]-TA[[#This Row],[Angle of affected equipment ]]))</f>
        <v>0.11705240714107301</v>
      </c>
      <c r="AI134" s="35">
        <f>IFERROR(TA[[#This Row],[Breakdown Time]]*TA[[#This Row],[Plant Equivalent Weightage]],"")</f>
        <v>0.10143678160919535</v>
      </c>
    </row>
    <row r="135" spans="1:35">
      <c r="A135" s="2">
        <f t="shared" si="7"/>
        <v>132</v>
      </c>
      <c r="B135" s="156">
        <f t="shared" si="8"/>
        <v>2026</v>
      </c>
      <c r="C135" s="129">
        <f t="shared" si="9"/>
        <v>2025</v>
      </c>
      <c r="D135" s="2" t="s">
        <v>155</v>
      </c>
      <c r="E135" s="2" t="s">
        <v>155</v>
      </c>
      <c r="F135" s="39">
        <v>45748</v>
      </c>
      <c r="G135" s="2">
        <f>DAY(EOMONTH(TA[[#This Row],[Month Year]],0))</f>
        <v>30</v>
      </c>
      <c r="H135" s="21">
        <v>45753</v>
      </c>
      <c r="I135" s="41">
        <f>IFERROR(VLOOKUP(TA[[#This Row],[Date]],Raw_Data[[Date]:[Sunset Time (POA&lt;20 W/m2)]],3,0),"")</f>
        <v>0.27013888888888887</v>
      </c>
      <c r="J135" s="41">
        <f>IFERROR(VLOOKUP(TA[[#This Row],[Date]],Raw_Data[[Date]:[Sunset Time (POA&lt;20 W/m2)]],4,0),"")</f>
        <v>0.76458333333333328</v>
      </c>
      <c r="K135" s="35">
        <f>IFERROR((TA[[#This Row],[Sunset Time (POA&lt;20 W/m2)]]-TA[[#This Row],[Sunrise Time (POA&gt;20 W/m2)]])*24,"")</f>
        <v>11.866666666666665</v>
      </c>
      <c r="L135" s="2" t="s">
        <v>296</v>
      </c>
      <c r="M135" s="42">
        <f>IFERROR(VLOOKUP(TA[[#This Row],[Affected Equipment]],'Basic Data'!$I$2:$K$40,3,0),"")</f>
        <v>8.6206896551724102E-3</v>
      </c>
      <c r="N135">
        <v>-28</v>
      </c>
      <c r="O135" t="s">
        <v>134</v>
      </c>
      <c r="P135" s="22" t="s">
        <v>330</v>
      </c>
      <c r="Q135" s="2" t="s">
        <v>323</v>
      </c>
      <c r="R135">
        <v>30</v>
      </c>
      <c r="S135" s="2">
        <v>57</v>
      </c>
      <c r="T135" t="s">
        <v>297</v>
      </c>
      <c r="U135" t="s">
        <v>326</v>
      </c>
      <c r="V135" t="s">
        <v>301</v>
      </c>
      <c r="W135" s="41">
        <f>IFERROR(VLOOKUP(TA[[#This Row],[Date]],Raw_Data[[Date]:[Sunset Time (POA&lt;20 W/m2)]],3,0),"")</f>
        <v>0.27013888888888887</v>
      </c>
      <c r="X135" s="41">
        <f>IFERROR(VLOOKUP(TA[[#This Row],[Date]],Raw_Data[[Date]:[Sunset Time (POA&lt;20 W/m2)]],3,0),"")</f>
        <v>0.27013888888888887</v>
      </c>
      <c r="Y135" s="34"/>
      <c r="Z135" s="34">
        <v>0.76041666666666663</v>
      </c>
      <c r="AA135" s="35">
        <f>IF(TA[[#This Row],[Work Start time on Fault]]="NA","",(TA[[#This Row],[Fault Acknowledgement Time ]]-TA[[#This Row],[Fault Time]])*24)</f>
        <v>0</v>
      </c>
      <c r="AB135" s="35">
        <f>(TA[[#This Row],[Work Start time on Fault]]-TA[[#This Row],[Fault Time]])*24</f>
        <v>-6.4833333333333325</v>
      </c>
      <c r="AC135" s="34">
        <f>(TA[[#This Row],[Work Completion time on fault]]-TA[[#This Row],[Fault Time]])*24</f>
        <v>11.766666666666666</v>
      </c>
      <c r="AD135" s="35">
        <f>IFERROR((TA[[#This Row],[Work Completion time on fault]]-TA[[#This Row],[Fault Time]])*24,"")</f>
        <v>11.766666666666666</v>
      </c>
      <c r="AE135" t="s">
        <v>309</v>
      </c>
      <c r="AF135" t="s">
        <v>256</v>
      </c>
      <c r="AG135" s="2"/>
      <c r="AH135" s="44">
        <f>1-COS(RADIANS(TA[[#This Row],[Avg. Target Angle during Fault Time (Radians)]]-TA[[#This Row],[Angle of affected equipment ]]))</f>
        <v>0.11705240714107301</v>
      </c>
      <c r="AI135" s="35">
        <f>IFERROR(TA[[#This Row],[Breakdown Time]]*TA[[#This Row],[Plant Equivalent Weightage]],"")</f>
        <v>0.10143678160919535</v>
      </c>
    </row>
    <row r="136" spans="1:35">
      <c r="A136" s="2">
        <f t="shared" si="7"/>
        <v>133</v>
      </c>
      <c r="B136" s="156">
        <f t="shared" si="8"/>
        <v>2026</v>
      </c>
      <c r="C136" s="129">
        <f t="shared" si="9"/>
        <v>2025</v>
      </c>
      <c r="D136" s="2" t="s">
        <v>155</v>
      </c>
      <c r="E136" s="2" t="s">
        <v>155</v>
      </c>
      <c r="F136" s="39">
        <v>45748</v>
      </c>
      <c r="G136" s="2">
        <f>DAY(EOMONTH(TA[[#This Row],[Month Year]],0))</f>
        <v>30</v>
      </c>
      <c r="H136" s="21">
        <v>45753</v>
      </c>
      <c r="I136" s="41">
        <f>IFERROR(VLOOKUP(TA[[#This Row],[Date]],Raw_Data[[Date]:[Sunset Time (POA&lt;20 W/m2)]],3,0),"")</f>
        <v>0.27013888888888887</v>
      </c>
      <c r="J136" s="41">
        <f>IFERROR(VLOOKUP(TA[[#This Row],[Date]],Raw_Data[[Date]:[Sunset Time (POA&lt;20 W/m2)]],4,0),"")</f>
        <v>0.76458333333333328</v>
      </c>
      <c r="K136" s="35">
        <f>IFERROR((TA[[#This Row],[Sunset Time (POA&lt;20 W/m2)]]-TA[[#This Row],[Sunrise Time (POA&gt;20 W/m2)]])*24,"")</f>
        <v>11.866666666666665</v>
      </c>
      <c r="L136" s="2" t="s">
        <v>296</v>
      </c>
      <c r="M136" s="42">
        <f>IFERROR(VLOOKUP(TA[[#This Row],[Affected Equipment]],'Basic Data'!$I$2:$K$40,3,0),"")</f>
        <v>8.6206896551724102E-3</v>
      </c>
      <c r="N136">
        <v>-28</v>
      </c>
      <c r="O136" t="s">
        <v>134</v>
      </c>
      <c r="P136" s="22" t="s">
        <v>330</v>
      </c>
      <c r="Q136" s="2" t="s">
        <v>323</v>
      </c>
      <c r="R136">
        <v>31</v>
      </c>
      <c r="S136" s="2">
        <v>61</v>
      </c>
      <c r="T136" t="s">
        <v>297</v>
      </c>
      <c r="U136" t="s">
        <v>326</v>
      </c>
      <c r="V136" t="s">
        <v>301</v>
      </c>
      <c r="W136" s="41">
        <f>IFERROR(VLOOKUP(TA[[#This Row],[Date]],Raw_Data[[Date]:[Sunset Time (POA&lt;20 W/m2)]],3,0),"")</f>
        <v>0.27013888888888887</v>
      </c>
      <c r="X136" s="41">
        <f>IFERROR(VLOOKUP(TA[[#This Row],[Date]],Raw_Data[[Date]:[Sunset Time (POA&lt;20 W/m2)]],3,0),"")</f>
        <v>0.27013888888888887</v>
      </c>
      <c r="Y136" s="34"/>
      <c r="Z136" s="34">
        <v>0.76041666666666663</v>
      </c>
      <c r="AA136" s="35">
        <f>IF(TA[[#This Row],[Work Start time on Fault]]="NA","",(TA[[#This Row],[Fault Acknowledgement Time ]]-TA[[#This Row],[Fault Time]])*24)</f>
        <v>0</v>
      </c>
      <c r="AB136" s="35">
        <f>(TA[[#This Row],[Work Start time on Fault]]-TA[[#This Row],[Fault Time]])*24</f>
        <v>-6.4833333333333325</v>
      </c>
      <c r="AC136" s="34">
        <f>(TA[[#This Row],[Work Completion time on fault]]-TA[[#This Row],[Fault Time]])*24</f>
        <v>11.766666666666666</v>
      </c>
      <c r="AD136" s="35">
        <f>IFERROR((TA[[#This Row],[Work Completion time on fault]]-TA[[#This Row],[Fault Time]])*24,"")</f>
        <v>11.766666666666666</v>
      </c>
      <c r="AE136" t="s">
        <v>309</v>
      </c>
      <c r="AF136" t="s">
        <v>256</v>
      </c>
      <c r="AG136" s="2"/>
      <c r="AH136" s="44">
        <f>1-COS(RADIANS(TA[[#This Row],[Avg. Target Angle during Fault Time (Radians)]]-TA[[#This Row],[Angle of affected equipment ]]))</f>
        <v>0.11705240714107301</v>
      </c>
      <c r="AI136" s="35">
        <f>IFERROR(TA[[#This Row],[Breakdown Time]]*TA[[#This Row],[Plant Equivalent Weightage]],"")</f>
        <v>0.10143678160919535</v>
      </c>
    </row>
    <row r="137" spans="1:35">
      <c r="A137" s="2">
        <f t="shared" si="7"/>
        <v>134</v>
      </c>
      <c r="B137" s="156">
        <f t="shared" si="8"/>
        <v>2026</v>
      </c>
      <c r="C137" s="129">
        <f t="shared" si="9"/>
        <v>2025</v>
      </c>
      <c r="D137" s="2" t="s">
        <v>155</v>
      </c>
      <c r="E137" s="2" t="s">
        <v>155</v>
      </c>
      <c r="F137" s="39">
        <v>45748</v>
      </c>
      <c r="G137" s="2">
        <f>DAY(EOMONTH(TA[[#This Row],[Month Year]],0))</f>
        <v>30</v>
      </c>
      <c r="H137" s="21">
        <v>45753</v>
      </c>
      <c r="I137" s="41">
        <f>IFERROR(VLOOKUP(TA[[#This Row],[Date]],Raw_Data[[Date]:[Sunset Time (POA&lt;20 W/m2)]],3,0),"")</f>
        <v>0.27013888888888887</v>
      </c>
      <c r="J137" s="41">
        <f>IFERROR(VLOOKUP(TA[[#This Row],[Date]],Raw_Data[[Date]:[Sunset Time (POA&lt;20 W/m2)]],4,0),"")</f>
        <v>0.76458333333333328</v>
      </c>
      <c r="K137" s="35">
        <f>IFERROR((TA[[#This Row],[Sunset Time (POA&lt;20 W/m2)]]-TA[[#This Row],[Sunrise Time (POA&gt;20 W/m2)]])*24,"")</f>
        <v>11.866666666666665</v>
      </c>
      <c r="L137" s="2" t="s">
        <v>312</v>
      </c>
      <c r="M137" s="42">
        <f>IFERROR(VLOOKUP(TA[[#This Row],[Affected Equipment]],'Basic Data'!$I$2:$K$40,3,0),"")</f>
        <v>5.74712643678161E-3</v>
      </c>
      <c r="N137">
        <v>-28</v>
      </c>
      <c r="O137" t="s">
        <v>133</v>
      </c>
      <c r="P137" s="22" t="s">
        <v>330</v>
      </c>
      <c r="Q137" s="2" t="s">
        <v>323</v>
      </c>
      <c r="R137">
        <v>26</v>
      </c>
      <c r="S137" s="2">
        <v>37</v>
      </c>
      <c r="T137" t="s">
        <v>297</v>
      </c>
      <c r="U137" t="s">
        <v>326</v>
      </c>
      <c r="V137" t="s">
        <v>301</v>
      </c>
      <c r="W137" s="41">
        <f>IFERROR(VLOOKUP(TA[[#This Row],[Date]],Raw_Data[[Date]:[Sunset Time (POA&lt;20 W/m2)]],3,0),"")</f>
        <v>0.27013888888888887</v>
      </c>
      <c r="X137" s="41">
        <f>IFERROR(VLOOKUP(TA[[#This Row],[Date]],Raw_Data[[Date]:[Sunset Time (POA&lt;20 W/m2)]],3,0),"")</f>
        <v>0.27013888888888887</v>
      </c>
      <c r="Y137" s="34"/>
      <c r="Z137" s="34">
        <v>0.76041666666666663</v>
      </c>
      <c r="AA137" s="35">
        <f>IF(TA[[#This Row],[Work Start time on Fault]]="NA","",(TA[[#This Row],[Fault Acknowledgement Time ]]-TA[[#This Row],[Fault Time]])*24)</f>
        <v>0</v>
      </c>
      <c r="AB137" s="35">
        <f>(TA[[#This Row],[Work Start time on Fault]]-TA[[#This Row],[Fault Time]])*24</f>
        <v>-6.4833333333333325</v>
      </c>
      <c r="AC137" s="34">
        <f>(TA[[#This Row],[Work Completion time on fault]]-TA[[#This Row],[Fault Time]])*24</f>
        <v>11.766666666666666</v>
      </c>
      <c r="AD137" s="35">
        <f>IFERROR((TA[[#This Row],[Work Completion time on fault]]-TA[[#This Row],[Fault Time]])*24,"")</f>
        <v>11.766666666666666</v>
      </c>
      <c r="AE137" t="s">
        <v>309</v>
      </c>
      <c r="AF137" t="s">
        <v>256</v>
      </c>
      <c r="AG137" s="2"/>
      <c r="AH137" s="44">
        <f>1-COS(RADIANS(TA[[#This Row],[Avg. Target Angle during Fault Time (Radians)]]-TA[[#This Row],[Angle of affected equipment ]]))</f>
        <v>0.11705240714107301</v>
      </c>
      <c r="AI137" s="35">
        <f>IFERROR(TA[[#This Row],[Breakdown Time]]*TA[[#This Row],[Plant Equivalent Weightage]],"")</f>
        <v>6.7624521072796942E-2</v>
      </c>
    </row>
    <row r="138" spans="1:35">
      <c r="A138" s="2">
        <f t="shared" si="7"/>
        <v>135</v>
      </c>
      <c r="B138" s="156">
        <f t="shared" si="8"/>
        <v>2026</v>
      </c>
      <c r="C138" s="129">
        <f t="shared" si="9"/>
        <v>2025</v>
      </c>
      <c r="D138" s="2" t="s">
        <v>155</v>
      </c>
      <c r="E138" s="2" t="s">
        <v>155</v>
      </c>
      <c r="F138" s="39">
        <v>45748</v>
      </c>
      <c r="G138" s="2">
        <f>DAY(EOMONTH(TA[[#This Row],[Month Year]],0))</f>
        <v>30</v>
      </c>
      <c r="H138" s="21">
        <v>45753</v>
      </c>
      <c r="I138" s="41">
        <f>IFERROR(VLOOKUP(TA[[#This Row],[Date]],Raw_Data[[Date]:[Sunset Time (POA&lt;20 W/m2)]],3,0),"")</f>
        <v>0.27013888888888887</v>
      </c>
      <c r="J138" s="41">
        <f>IFERROR(VLOOKUP(TA[[#This Row],[Date]],Raw_Data[[Date]:[Sunset Time (POA&lt;20 W/m2)]],4,0),"")</f>
        <v>0.76458333333333328</v>
      </c>
      <c r="K138" s="35">
        <f>IFERROR((TA[[#This Row],[Sunset Time (POA&lt;20 W/m2)]]-TA[[#This Row],[Sunrise Time (POA&gt;20 W/m2)]])*24,"")</f>
        <v>11.866666666666665</v>
      </c>
      <c r="L138" s="2" t="s">
        <v>312</v>
      </c>
      <c r="M138" s="42">
        <f>IFERROR(VLOOKUP(TA[[#This Row],[Affected Equipment]],'Basic Data'!$I$2:$K$40,3,0),"")</f>
        <v>5.74712643678161E-3</v>
      </c>
      <c r="N138">
        <v>-28</v>
      </c>
      <c r="O138" t="s">
        <v>133</v>
      </c>
      <c r="P138" s="22" t="s">
        <v>330</v>
      </c>
      <c r="Q138" s="2" t="s">
        <v>323</v>
      </c>
      <c r="R138">
        <v>27</v>
      </c>
      <c r="S138" s="2">
        <v>42</v>
      </c>
      <c r="T138" t="s">
        <v>297</v>
      </c>
      <c r="U138" t="s">
        <v>326</v>
      </c>
      <c r="V138" t="s">
        <v>301</v>
      </c>
      <c r="W138" s="41">
        <f>IFERROR(VLOOKUP(TA[[#This Row],[Date]],Raw_Data[[Date]:[Sunset Time (POA&lt;20 W/m2)]],3,0),"")</f>
        <v>0.27013888888888887</v>
      </c>
      <c r="X138" s="41">
        <f>IFERROR(VLOOKUP(TA[[#This Row],[Date]],Raw_Data[[Date]:[Sunset Time (POA&lt;20 W/m2)]],3,0),"")</f>
        <v>0.27013888888888887</v>
      </c>
      <c r="Y138" s="34"/>
      <c r="Z138" s="34">
        <v>0.76041666666666663</v>
      </c>
      <c r="AA138" s="35">
        <f>IF(TA[[#This Row],[Work Start time on Fault]]="NA","",(TA[[#This Row],[Fault Acknowledgement Time ]]-TA[[#This Row],[Fault Time]])*24)</f>
        <v>0</v>
      </c>
      <c r="AB138" s="35">
        <f>(TA[[#This Row],[Work Start time on Fault]]-TA[[#This Row],[Fault Time]])*24</f>
        <v>-6.4833333333333325</v>
      </c>
      <c r="AC138" s="34">
        <f>(TA[[#This Row],[Work Completion time on fault]]-TA[[#This Row],[Fault Time]])*24</f>
        <v>11.766666666666666</v>
      </c>
      <c r="AD138" s="35">
        <f>IFERROR((TA[[#This Row],[Work Completion time on fault]]-TA[[#This Row],[Fault Time]])*24,"")</f>
        <v>11.766666666666666</v>
      </c>
      <c r="AE138" t="s">
        <v>309</v>
      </c>
      <c r="AF138" t="s">
        <v>256</v>
      </c>
      <c r="AG138" s="2"/>
      <c r="AH138" s="44">
        <f>1-COS(RADIANS(TA[[#This Row],[Avg. Target Angle during Fault Time (Radians)]]-TA[[#This Row],[Angle of affected equipment ]]))</f>
        <v>0.11705240714107301</v>
      </c>
      <c r="AI138" s="35">
        <f>IFERROR(TA[[#This Row],[Breakdown Time]]*TA[[#This Row],[Plant Equivalent Weightage]],"")</f>
        <v>6.7624521072796942E-2</v>
      </c>
    </row>
    <row r="139" spans="1:35">
      <c r="A139" s="2">
        <f t="shared" si="7"/>
        <v>136</v>
      </c>
      <c r="B139" s="156">
        <f t="shared" si="8"/>
        <v>2026</v>
      </c>
      <c r="C139" s="129">
        <f t="shared" si="9"/>
        <v>2025</v>
      </c>
      <c r="D139" s="2" t="s">
        <v>155</v>
      </c>
      <c r="E139" s="2" t="s">
        <v>155</v>
      </c>
      <c r="F139" s="39">
        <v>45748</v>
      </c>
      <c r="G139" s="2">
        <f>DAY(EOMONTH(TA[[#This Row],[Month Year]],0))</f>
        <v>30</v>
      </c>
      <c r="H139" s="21">
        <v>45754</v>
      </c>
      <c r="I139" s="41">
        <f>IFERROR(VLOOKUP(TA[[#This Row],[Date]],Raw_Data[[Date]:[Sunset Time (POA&lt;20 W/m2)]],3,0),"")</f>
        <v>0.2638888888888889</v>
      </c>
      <c r="J139" s="41">
        <f>IFERROR(VLOOKUP(TA[[#This Row],[Date]],Raw_Data[[Date]:[Sunset Time (POA&lt;20 W/m2)]],4,0),"")</f>
        <v>0.7631944444444444</v>
      </c>
      <c r="K139" s="35">
        <f>IFERROR((TA[[#This Row],[Sunset Time (POA&lt;20 W/m2)]]-TA[[#This Row],[Sunrise Time (POA&gt;20 W/m2)]])*24,"")</f>
        <v>11.983333333333333</v>
      </c>
      <c r="L139" s="2" t="s">
        <v>294</v>
      </c>
      <c r="M139" s="42">
        <f>IFERROR(VLOOKUP(TA[[#This Row],[Affected Equipment]],'Basic Data'!$I$2:$K$40,3,0),"")</f>
        <v>1.7241379310344799E-3</v>
      </c>
      <c r="N139">
        <v>-28</v>
      </c>
      <c r="O139" t="s">
        <v>135</v>
      </c>
      <c r="P139" s="127" t="s">
        <v>318</v>
      </c>
      <c r="Q139" s="126" t="s">
        <v>318</v>
      </c>
      <c r="R139">
        <v>130</v>
      </c>
      <c r="S139" s="2">
        <v>36</v>
      </c>
      <c r="T139" t="s">
        <v>295</v>
      </c>
      <c r="U139" t="s">
        <v>300</v>
      </c>
      <c r="V139" t="s">
        <v>298</v>
      </c>
      <c r="W139" s="41"/>
      <c r="X139" s="41"/>
      <c r="Y139" s="34"/>
      <c r="Z139" s="34"/>
      <c r="AA139" s="35">
        <f>IF(TA[[#This Row],[Work Start time on Fault]]="NA","",(TA[[#This Row],[Fault Acknowledgement Time ]]-TA[[#This Row],[Fault Time]])*24)</f>
        <v>0</v>
      </c>
      <c r="AB139" s="35">
        <f>(TA[[#This Row],[Work Start time on Fault]]-TA[[#This Row],[Fault Time]])*24</f>
        <v>0</v>
      </c>
      <c r="AC139" s="34">
        <f>(TA[[#This Row],[Work Completion time on fault]]-TA[[#This Row],[Fault Time]])*24</f>
        <v>0</v>
      </c>
      <c r="AD139" s="35">
        <f>IFERROR((TA[[#This Row],[Work Completion time on fault]]-TA[[#This Row],[Fault Time]])*24,"")</f>
        <v>0</v>
      </c>
      <c r="AE139" t="s">
        <v>328</v>
      </c>
      <c r="AF139" t="s">
        <v>256</v>
      </c>
      <c r="AG139" s="2"/>
      <c r="AH139" s="44">
        <f>1-COS(RADIANS(TA[[#This Row],[Avg. Target Angle during Fault Time (Radians)]]-TA[[#This Row],[Angle of affected equipment ]]))</f>
        <v>0.11705240714107301</v>
      </c>
      <c r="AI139" s="35">
        <f>IFERROR(TA[[#This Row],[Breakdown Time]]*TA[[#This Row],[Plant Equivalent Weightage]],"")</f>
        <v>0</v>
      </c>
    </row>
    <row r="140" spans="1:35">
      <c r="A140" s="2">
        <f t="shared" si="7"/>
        <v>137</v>
      </c>
      <c r="B140" s="156">
        <f t="shared" si="8"/>
        <v>2026</v>
      </c>
      <c r="C140" s="129">
        <f t="shared" si="9"/>
        <v>2025</v>
      </c>
      <c r="D140" s="2" t="s">
        <v>155</v>
      </c>
      <c r="E140" s="2" t="s">
        <v>155</v>
      </c>
      <c r="F140" s="39">
        <v>45748</v>
      </c>
      <c r="G140" s="2">
        <f>DAY(EOMONTH(TA[[#This Row],[Month Year]],0))</f>
        <v>30</v>
      </c>
      <c r="H140" s="21">
        <v>45754</v>
      </c>
      <c r="I140" s="41">
        <f>IFERROR(VLOOKUP(TA[[#This Row],[Date]],Raw_Data[[Date]:[Sunset Time (POA&lt;20 W/m2)]],3,0),"")</f>
        <v>0.2638888888888889</v>
      </c>
      <c r="J140" s="41">
        <f>IFERROR(VLOOKUP(TA[[#This Row],[Date]],Raw_Data[[Date]:[Sunset Time (POA&lt;20 W/m2)]],4,0),"")</f>
        <v>0.7631944444444444</v>
      </c>
      <c r="K140" s="35">
        <f>IFERROR((TA[[#This Row],[Sunset Time (POA&lt;20 W/m2)]]-TA[[#This Row],[Sunrise Time (POA&gt;20 W/m2)]])*24,"")</f>
        <v>11.983333333333333</v>
      </c>
      <c r="L140" s="2" t="s">
        <v>294</v>
      </c>
      <c r="M140" s="42">
        <f>IFERROR(VLOOKUP(TA[[#This Row],[Affected Equipment]],'Basic Data'!$I$2:$K$40,3,0),"")</f>
        <v>1.7241379310344799E-3</v>
      </c>
      <c r="N140">
        <v>-28</v>
      </c>
      <c r="O140" t="s">
        <v>135</v>
      </c>
      <c r="P140" s="127" t="s">
        <v>318</v>
      </c>
      <c r="Q140" s="126" t="s">
        <v>318</v>
      </c>
      <c r="R140">
        <v>130</v>
      </c>
      <c r="S140" s="2">
        <v>37</v>
      </c>
      <c r="T140" t="s">
        <v>295</v>
      </c>
      <c r="U140" t="s">
        <v>300</v>
      </c>
      <c r="V140" t="s">
        <v>298</v>
      </c>
      <c r="W140" s="41"/>
      <c r="X140" s="41"/>
      <c r="Y140" s="34"/>
      <c r="Z140" s="34"/>
      <c r="AA140" s="35">
        <f>IF(TA[[#This Row],[Work Start time on Fault]]="NA","",(TA[[#This Row],[Fault Acknowledgement Time ]]-TA[[#This Row],[Fault Time]])*24)</f>
        <v>0</v>
      </c>
      <c r="AB140" s="35">
        <f>(TA[[#This Row],[Work Start time on Fault]]-TA[[#This Row],[Fault Time]])*24</f>
        <v>0</v>
      </c>
      <c r="AC140" s="34">
        <f>(TA[[#This Row],[Work Completion time on fault]]-TA[[#This Row],[Fault Time]])*24</f>
        <v>0</v>
      </c>
      <c r="AD140" s="35">
        <f>IFERROR((TA[[#This Row],[Work Completion time on fault]]-TA[[#This Row],[Fault Time]])*24,"")</f>
        <v>0</v>
      </c>
      <c r="AE140" t="s">
        <v>328</v>
      </c>
      <c r="AF140" t="s">
        <v>256</v>
      </c>
      <c r="AG140" s="2"/>
      <c r="AH140" s="44">
        <f>1-COS(RADIANS(TA[[#This Row],[Avg. Target Angle during Fault Time (Radians)]]-TA[[#This Row],[Angle of affected equipment ]]))</f>
        <v>0.11705240714107301</v>
      </c>
      <c r="AI140" s="35">
        <f>IFERROR(TA[[#This Row],[Breakdown Time]]*TA[[#This Row],[Plant Equivalent Weightage]],"")</f>
        <v>0</v>
      </c>
    </row>
    <row r="141" spans="1:35">
      <c r="A141" s="2">
        <f t="shared" si="7"/>
        <v>138</v>
      </c>
      <c r="B141" s="156">
        <f t="shared" si="8"/>
        <v>2026</v>
      </c>
      <c r="C141" s="129">
        <f t="shared" si="9"/>
        <v>2025</v>
      </c>
      <c r="D141" s="2" t="s">
        <v>155</v>
      </c>
      <c r="E141" s="2" t="s">
        <v>155</v>
      </c>
      <c r="F141" s="39">
        <v>45748</v>
      </c>
      <c r="G141" s="2">
        <f>DAY(EOMONTH(TA[[#This Row],[Month Year]],0))</f>
        <v>30</v>
      </c>
      <c r="H141" s="21">
        <v>45754</v>
      </c>
      <c r="I141" s="41">
        <f>IFERROR(VLOOKUP(TA[[#This Row],[Date]],Raw_Data[[Date]:[Sunset Time (POA&lt;20 W/m2)]],3,0),"")</f>
        <v>0.2638888888888889</v>
      </c>
      <c r="J141" s="41">
        <f>IFERROR(VLOOKUP(TA[[#This Row],[Date]],Raw_Data[[Date]:[Sunset Time (POA&lt;20 W/m2)]],4,0),"")</f>
        <v>0.7631944444444444</v>
      </c>
      <c r="K141" s="35">
        <f>IFERROR((TA[[#This Row],[Sunset Time (POA&lt;20 W/m2)]]-TA[[#This Row],[Sunrise Time (POA&gt;20 W/m2)]])*24,"")</f>
        <v>11.983333333333333</v>
      </c>
      <c r="L141" s="2" t="s">
        <v>294</v>
      </c>
      <c r="M141" s="42">
        <f>IFERROR(VLOOKUP(TA[[#This Row],[Affected Equipment]],'Basic Data'!$I$2:$K$40,3,0),"")</f>
        <v>1.7241379310344799E-3</v>
      </c>
      <c r="N141">
        <v>-28</v>
      </c>
      <c r="O141" t="s">
        <v>135</v>
      </c>
      <c r="P141" s="127" t="s">
        <v>318</v>
      </c>
      <c r="Q141" s="126" t="s">
        <v>318</v>
      </c>
      <c r="R141">
        <v>131</v>
      </c>
      <c r="S141" s="2">
        <v>38</v>
      </c>
      <c r="T141" t="s">
        <v>295</v>
      </c>
      <c r="U141" t="s">
        <v>300</v>
      </c>
      <c r="V141" t="s">
        <v>298</v>
      </c>
      <c r="W141" s="41"/>
      <c r="X141" s="41"/>
      <c r="Y141" s="34"/>
      <c r="Z141" s="34"/>
      <c r="AA141" s="35">
        <f>IF(TA[[#This Row],[Work Start time on Fault]]="NA","",(TA[[#This Row],[Fault Acknowledgement Time ]]-TA[[#This Row],[Fault Time]])*24)</f>
        <v>0</v>
      </c>
      <c r="AB141" s="35">
        <f>(TA[[#This Row],[Work Start time on Fault]]-TA[[#This Row],[Fault Time]])*24</f>
        <v>0</v>
      </c>
      <c r="AC141" s="34">
        <f>(TA[[#This Row],[Work Completion time on fault]]-TA[[#This Row],[Fault Time]])*24</f>
        <v>0</v>
      </c>
      <c r="AD141" s="35">
        <f>IFERROR((TA[[#This Row],[Work Completion time on fault]]-TA[[#This Row],[Fault Time]])*24,"")</f>
        <v>0</v>
      </c>
      <c r="AE141" t="s">
        <v>328</v>
      </c>
      <c r="AF141" t="s">
        <v>256</v>
      </c>
      <c r="AG141" s="2"/>
      <c r="AH141" s="44">
        <f>1-COS(RADIANS(TA[[#This Row],[Avg. Target Angle during Fault Time (Radians)]]-TA[[#This Row],[Angle of affected equipment ]]))</f>
        <v>0.11705240714107301</v>
      </c>
      <c r="AI141" s="35">
        <f>IFERROR(TA[[#This Row],[Breakdown Time]]*TA[[#This Row],[Plant Equivalent Weightage]],"")</f>
        <v>0</v>
      </c>
    </row>
    <row r="142" spans="1:35">
      <c r="A142" s="2">
        <f t="shared" si="7"/>
        <v>139</v>
      </c>
      <c r="B142" s="156">
        <f t="shared" si="8"/>
        <v>2026</v>
      </c>
      <c r="C142" s="129">
        <f t="shared" si="9"/>
        <v>2025</v>
      </c>
      <c r="D142" s="2" t="s">
        <v>155</v>
      </c>
      <c r="E142" s="2" t="s">
        <v>155</v>
      </c>
      <c r="F142" s="39">
        <v>45748</v>
      </c>
      <c r="G142" s="2">
        <f>DAY(EOMONTH(TA[[#This Row],[Month Year]],0))</f>
        <v>30</v>
      </c>
      <c r="H142" s="21">
        <v>45754</v>
      </c>
      <c r="I142" s="41">
        <f>IFERROR(VLOOKUP(TA[[#This Row],[Date]],Raw_Data[[Date]:[Sunset Time (POA&lt;20 W/m2)]],3,0),"")</f>
        <v>0.2638888888888889</v>
      </c>
      <c r="J142" s="41">
        <f>IFERROR(VLOOKUP(TA[[#This Row],[Date]],Raw_Data[[Date]:[Sunset Time (POA&lt;20 W/m2)]],4,0),"")</f>
        <v>0.7631944444444444</v>
      </c>
      <c r="K142" s="35">
        <f>IFERROR((TA[[#This Row],[Sunset Time (POA&lt;20 W/m2)]]-TA[[#This Row],[Sunrise Time (POA&gt;20 W/m2)]])*24,"")</f>
        <v>11.983333333333333</v>
      </c>
      <c r="L142" s="2" t="s">
        <v>294</v>
      </c>
      <c r="M142" s="42">
        <f>IFERROR(VLOOKUP(TA[[#This Row],[Affected Equipment]],'Basic Data'!$I$2:$K$40,3,0),"")</f>
        <v>1.7241379310344799E-3</v>
      </c>
      <c r="N142">
        <v>-28</v>
      </c>
      <c r="O142" t="s">
        <v>135</v>
      </c>
      <c r="P142" s="127" t="s">
        <v>318</v>
      </c>
      <c r="Q142" s="126" t="s">
        <v>318</v>
      </c>
      <c r="R142">
        <v>131</v>
      </c>
      <c r="S142" s="2">
        <v>39</v>
      </c>
      <c r="T142" t="s">
        <v>295</v>
      </c>
      <c r="U142" t="s">
        <v>300</v>
      </c>
      <c r="V142" t="s">
        <v>298</v>
      </c>
      <c r="W142" s="41"/>
      <c r="X142" s="41"/>
      <c r="Y142" s="34"/>
      <c r="Z142" s="34"/>
      <c r="AA142" s="35">
        <f>IF(TA[[#This Row],[Work Start time on Fault]]="NA","",(TA[[#This Row],[Fault Acknowledgement Time ]]-TA[[#This Row],[Fault Time]])*24)</f>
        <v>0</v>
      </c>
      <c r="AB142" s="35">
        <f>(TA[[#This Row],[Work Start time on Fault]]-TA[[#This Row],[Fault Time]])*24</f>
        <v>0</v>
      </c>
      <c r="AC142" s="34">
        <f>(TA[[#This Row],[Work Completion time on fault]]-TA[[#This Row],[Fault Time]])*24</f>
        <v>0</v>
      </c>
      <c r="AD142" s="35">
        <f>IFERROR((TA[[#This Row],[Work Completion time on fault]]-TA[[#This Row],[Fault Time]])*24,"")</f>
        <v>0</v>
      </c>
      <c r="AE142" t="s">
        <v>328</v>
      </c>
      <c r="AF142" t="s">
        <v>256</v>
      </c>
      <c r="AG142" s="2"/>
      <c r="AH142" s="44">
        <f>1-COS(RADIANS(TA[[#This Row],[Avg. Target Angle during Fault Time (Radians)]]-TA[[#This Row],[Angle of affected equipment ]]))</f>
        <v>0.11705240714107301</v>
      </c>
      <c r="AI142" s="35">
        <f>IFERROR(TA[[#This Row],[Breakdown Time]]*TA[[#This Row],[Plant Equivalent Weightage]],"")</f>
        <v>0</v>
      </c>
    </row>
    <row r="143" spans="1:35">
      <c r="A143" s="2">
        <f t="shared" si="7"/>
        <v>140</v>
      </c>
      <c r="B143" s="156">
        <f t="shared" si="8"/>
        <v>2026</v>
      </c>
      <c r="C143" s="129">
        <f t="shared" si="9"/>
        <v>2025</v>
      </c>
      <c r="D143" s="2" t="s">
        <v>155</v>
      </c>
      <c r="E143" s="2" t="s">
        <v>155</v>
      </c>
      <c r="F143" s="39">
        <v>45748</v>
      </c>
      <c r="G143" s="2">
        <f>DAY(EOMONTH(TA[[#This Row],[Month Year]],0))</f>
        <v>30</v>
      </c>
      <c r="H143" s="21">
        <v>45754</v>
      </c>
      <c r="I143" s="41">
        <f>IFERROR(VLOOKUP(TA[[#This Row],[Date]],Raw_Data[[Date]:[Sunset Time (POA&lt;20 W/m2)]],3,0),"")</f>
        <v>0.2638888888888889</v>
      </c>
      <c r="J143" s="41">
        <f>IFERROR(VLOOKUP(TA[[#This Row],[Date]],Raw_Data[[Date]:[Sunset Time (POA&lt;20 W/m2)]],4,0),"")</f>
        <v>0.7631944444444444</v>
      </c>
      <c r="K143" s="35">
        <f>IFERROR((TA[[#This Row],[Sunset Time (POA&lt;20 W/m2)]]-TA[[#This Row],[Sunrise Time (POA&gt;20 W/m2)]])*24,"")</f>
        <v>11.983333333333333</v>
      </c>
      <c r="L143" s="2" t="s">
        <v>296</v>
      </c>
      <c r="M143" s="42">
        <f>IFERROR(VLOOKUP(TA[[#This Row],[Affected Equipment]],'Basic Data'!$I$2:$K$40,3,0),"")</f>
        <v>8.6206896551724102E-3</v>
      </c>
      <c r="N143">
        <v>-28</v>
      </c>
      <c r="O143" t="s">
        <v>135</v>
      </c>
      <c r="P143" s="127" t="s">
        <v>318</v>
      </c>
      <c r="Q143" s="2" t="s">
        <v>321</v>
      </c>
      <c r="R143">
        <v>133</v>
      </c>
      <c r="S143" s="2">
        <v>26</v>
      </c>
      <c r="T143" t="s">
        <v>297</v>
      </c>
      <c r="U143" t="s">
        <v>300</v>
      </c>
      <c r="V143" t="s">
        <v>314</v>
      </c>
      <c r="W143" s="41"/>
      <c r="X143" s="41"/>
      <c r="Y143" s="34"/>
      <c r="Z143" s="34"/>
      <c r="AA143" s="35">
        <f>IF(TA[[#This Row],[Work Start time on Fault]]="NA","",(TA[[#This Row],[Fault Acknowledgement Time ]]-TA[[#This Row],[Fault Time]])*24)</f>
        <v>0</v>
      </c>
      <c r="AB143" s="35">
        <f>(TA[[#This Row],[Work Start time on Fault]]-TA[[#This Row],[Fault Time]])*24</f>
        <v>0</v>
      </c>
      <c r="AC143" s="34">
        <f>(TA[[#This Row],[Work Completion time on fault]]-TA[[#This Row],[Fault Time]])*24</f>
        <v>0</v>
      </c>
      <c r="AD143" s="35">
        <f>IFERROR((TA[[#This Row],[Work Completion time on fault]]-TA[[#This Row],[Fault Time]])*24,"")</f>
        <v>0</v>
      </c>
      <c r="AE143" t="s">
        <v>328</v>
      </c>
      <c r="AF143" t="s">
        <v>256</v>
      </c>
      <c r="AG143" s="2"/>
      <c r="AH143" s="44">
        <f>1-COS(RADIANS(TA[[#This Row],[Avg. Target Angle during Fault Time (Radians)]]-TA[[#This Row],[Angle of affected equipment ]]))</f>
        <v>0.11705240714107301</v>
      </c>
      <c r="AI143" s="35">
        <f>IFERROR(TA[[#This Row],[Breakdown Time]]*TA[[#This Row],[Plant Equivalent Weightage]],"")</f>
        <v>0</v>
      </c>
    </row>
    <row r="144" spans="1:35">
      <c r="A144" s="2">
        <f t="shared" si="7"/>
        <v>141</v>
      </c>
      <c r="B144" s="156">
        <f t="shared" si="8"/>
        <v>2026</v>
      </c>
      <c r="C144" s="129">
        <f t="shared" si="9"/>
        <v>2025</v>
      </c>
      <c r="D144" s="2" t="s">
        <v>155</v>
      </c>
      <c r="E144" s="2" t="s">
        <v>155</v>
      </c>
      <c r="F144" s="39">
        <v>45748</v>
      </c>
      <c r="G144" s="2">
        <f>DAY(EOMONTH(TA[[#This Row],[Month Year]],0))</f>
        <v>30</v>
      </c>
      <c r="H144" s="21">
        <v>45754</v>
      </c>
      <c r="I144" s="41">
        <f>IFERROR(VLOOKUP(TA[[#This Row],[Date]],Raw_Data[[Date]:[Sunset Time (POA&lt;20 W/m2)]],3,0),"")</f>
        <v>0.2638888888888889</v>
      </c>
      <c r="J144" s="41">
        <f>IFERROR(VLOOKUP(TA[[#This Row],[Date]],Raw_Data[[Date]:[Sunset Time (POA&lt;20 W/m2)]],4,0),"")</f>
        <v>0.7631944444444444</v>
      </c>
      <c r="K144" s="35">
        <f>IFERROR((TA[[#This Row],[Sunset Time (POA&lt;20 W/m2)]]-TA[[#This Row],[Sunrise Time (POA&gt;20 W/m2)]])*24,"")</f>
        <v>11.983333333333333</v>
      </c>
      <c r="L144" s="2" t="s">
        <v>294</v>
      </c>
      <c r="M144" s="42">
        <f>IFERROR(VLOOKUP(TA[[#This Row],[Affected Equipment]],'Basic Data'!$I$2:$K$40,3,0),"")</f>
        <v>1.7241379310344799E-3</v>
      </c>
      <c r="N144">
        <v>-28</v>
      </c>
      <c r="O144" t="s">
        <v>133</v>
      </c>
      <c r="P144" s="127" t="s">
        <v>316</v>
      </c>
      <c r="Q144" s="126" t="s">
        <v>317</v>
      </c>
      <c r="R144">
        <v>7</v>
      </c>
      <c r="S144" s="2">
        <v>32</v>
      </c>
      <c r="T144" t="s">
        <v>295</v>
      </c>
      <c r="U144" t="s">
        <v>300</v>
      </c>
      <c r="V144" t="s">
        <v>298</v>
      </c>
      <c r="W144" s="41"/>
      <c r="X144" s="41"/>
      <c r="Y144" s="34"/>
      <c r="Z144" s="34"/>
      <c r="AA144" s="35">
        <f>IF(TA[[#This Row],[Work Start time on Fault]]="NA","",(TA[[#This Row],[Fault Acknowledgement Time ]]-TA[[#This Row],[Fault Time]])*24)</f>
        <v>0</v>
      </c>
      <c r="AB144" s="35">
        <f>(TA[[#This Row],[Work Start time on Fault]]-TA[[#This Row],[Fault Time]])*24</f>
        <v>0</v>
      </c>
      <c r="AC144" s="34">
        <f>(TA[[#This Row],[Work Completion time on fault]]-TA[[#This Row],[Fault Time]])*24</f>
        <v>0</v>
      </c>
      <c r="AD144" s="35">
        <f>IFERROR((TA[[#This Row],[Work Completion time on fault]]-TA[[#This Row],[Fault Time]])*24,"")</f>
        <v>0</v>
      </c>
      <c r="AE144" t="s">
        <v>328</v>
      </c>
      <c r="AF144" t="s">
        <v>256</v>
      </c>
      <c r="AG144" s="2"/>
      <c r="AH144" s="44">
        <f>1-COS(RADIANS(TA[[#This Row],[Avg. Target Angle during Fault Time (Radians)]]-TA[[#This Row],[Angle of affected equipment ]]))</f>
        <v>0.11705240714107301</v>
      </c>
      <c r="AI144" s="35">
        <f>IFERROR(TA[[#This Row],[Breakdown Time]]*TA[[#This Row],[Plant Equivalent Weightage]],"")</f>
        <v>0</v>
      </c>
    </row>
    <row r="145" spans="1:35">
      <c r="A145" s="2">
        <f t="shared" si="7"/>
        <v>142</v>
      </c>
      <c r="B145" s="156">
        <f t="shared" si="8"/>
        <v>2026</v>
      </c>
      <c r="C145" s="129">
        <f t="shared" si="9"/>
        <v>2025</v>
      </c>
      <c r="D145" s="2" t="s">
        <v>155</v>
      </c>
      <c r="E145" s="2" t="s">
        <v>155</v>
      </c>
      <c r="F145" s="39">
        <v>45748</v>
      </c>
      <c r="G145" s="2">
        <f>DAY(EOMONTH(TA[[#This Row],[Month Year]],0))</f>
        <v>30</v>
      </c>
      <c r="H145" s="21">
        <v>45754</v>
      </c>
      <c r="I145" s="41">
        <f>IFERROR(VLOOKUP(TA[[#This Row],[Date]],Raw_Data[[Date]:[Sunset Time (POA&lt;20 W/m2)]],3,0),"")</f>
        <v>0.2638888888888889</v>
      </c>
      <c r="J145" s="41">
        <f>IFERROR(VLOOKUP(TA[[#This Row],[Date]],Raw_Data[[Date]:[Sunset Time (POA&lt;20 W/m2)]],4,0),"")</f>
        <v>0.7631944444444444</v>
      </c>
      <c r="K145" s="35">
        <f>IFERROR((TA[[#This Row],[Sunset Time (POA&lt;20 W/m2)]]-TA[[#This Row],[Sunrise Time (POA&gt;20 W/m2)]])*24,"")</f>
        <v>11.983333333333333</v>
      </c>
      <c r="L145" s="2" t="s">
        <v>294</v>
      </c>
      <c r="M145" s="42">
        <f>IFERROR(VLOOKUP(TA[[#This Row],[Affected Equipment]],'Basic Data'!$I$2:$K$40,3,0),"")</f>
        <v>1.7241379310344799E-3</v>
      </c>
      <c r="N145">
        <v>-28</v>
      </c>
      <c r="O145" t="s">
        <v>137</v>
      </c>
      <c r="P145" s="127" t="s">
        <v>315</v>
      </c>
      <c r="Q145" s="126" t="s">
        <v>319</v>
      </c>
      <c r="R145">
        <v>166</v>
      </c>
      <c r="S145" s="2">
        <v>91</v>
      </c>
      <c r="T145" t="s">
        <v>295</v>
      </c>
      <c r="U145" t="s">
        <v>300</v>
      </c>
      <c r="V145" t="s">
        <v>298</v>
      </c>
      <c r="W145" s="41"/>
      <c r="X145" s="41"/>
      <c r="Y145" s="34"/>
      <c r="Z145" s="34"/>
      <c r="AA145" s="35">
        <f>IF(TA[[#This Row],[Work Start time on Fault]]="NA","",(TA[[#This Row],[Fault Acknowledgement Time ]]-TA[[#This Row],[Fault Time]])*24)</f>
        <v>0</v>
      </c>
      <c r="AB145" s="35">
        <f>(TA[[#This Row],[Work Start time on Fault]]-TA[[#This Row],[Fault Time]])*24</f>
        <v>0</v>
      </c>
      <c r="AC145" s="34">
        <f>(TA[[#This Row],[Work Completion time on fault]]-TA[[#This Row],[Fault Time]])*24</f>
        <v>0</v>
      </c>
      <c r="AD145" s="35">
        <f>IFERROR((TA[[#This Row],[Work Completion time on fault]]-TA[[#This Row],[Fault Time]])*24,"")</f>
        <v>0</v>
      </c>
      <c r="AE145" t="s">
        <v>328</v>
      </c>
      <c r="AF145" t="s">
        <v>256</v>
      </c>
      <c r="AG145" s="2"/>
      <c r="AH145" s="44">
        <f>1-COS(RADIANS(TA[[#This Row],[Avg. Target Angle during Fault Time (Radians)]]-TA[[#This Row],[Angle of affected equipment ]]))</f>
        <v>0.11705240714107301</v>
      </c>
      <c r="AI145" s="35">
        <f>IFERROR(TA[[#This Row],[Breakdown Time]]*TA[[#This Row],[Plant Equivalent Weightage]],"")</f>
        <v>0</v>
      </c>
    </row>
    <row r="146" spans="1:35">
      <c r="A146" s="2">
        <f t="shared" si="7"/>
        <v>143</v>
      </c>
      <c r="B146" s="156">
        <f t="shared" si="8"/>
        <v>2026</v>
      </c>
      <c r="C146" s="129">
        <f t="shared" si="9"/>
        <v>2025</v>
      </c>
      <c r="D146" s="2" t="s">
        <v>155</v>
      </c>
      <c r="E146" s="2" t="s">
        <v>155</v>
      </c>
      <c r="F146" s="39">
        <v>45748</v>
      </c>
      <c r="G146" s="2">
        <f>DAY(EOMONTH(TA[[#This Row],[Month Year]],0))</f>
        <v>30</v>
      </c>
      <c r="H146" s="21">
        <v>45754</v>
      </c>
      <c r="I146" s="41">
        <f>IFERROR(VLOOKUP(TA[[#This Row],[Date]],Raw_Data[[Date]:[Sunset Time (POA&lt;20 W/m2)]],3,0),"")</f>
        <v>0.2638888888888889</v>
      </c>
      <c r="J146" s="41">
        <f>IFERROR(VLOOKUP(TA[[#This Row],[Date]],Raw_Data[[Date]:[Sunset Time (POA&lt;20 W/m2)]],4,0),"")</f>
        <v>0.7631944444444444</v>
      </c>
      <c r="K146" s="35">
        <f>IFERROR((TA[[#This Row],[Sunset Time (POA&lt;20 W/m2)]]-TA[[#This Row],[Sunrise Time (POA&gt;20 W/m2)]])*24,"")</f>
        <v>11.983333333333333</v>
      </c>
      <c r="L146" s="2" t="s">
        <v>294</v>
      </c>
      <c r="M146" s="42">
        <f>IFERROR(VLOOKUP(TA[[#This Row],[Affected Equipment]],'Basic Data'!$I$2:$K$40,3,0),"")</f>
        <v>1.7241379310344799E-3</v>
      </c>
      <c r="N146">
        <v>-28</v>
      </c>
      <c r="O146" t="s">
        <v>133</v>
      </c>
      <c r="P146" s="127" t="s">
        <v>316</v>
      </c>
      <c r="Q146" s="126" t="s">
        <v>316</v>
      </c>
      <c r="R146">
        <v>117</v>
      </c>
      <c r="S146" s="2">
        <v>20</v>
      </c>
      <c r="T146" t="s">
        <v>295</v>
      </c>
      <c r="U146" t="s">
        <v>300</v>
      </c>
      <c r="V146" t="s">
        <v>298</v>
      </c>
      <c r="W146" s="41"/>
      <c r="X146" s="41"/>
      <c r="Y146" s="34"/>
      <c r="Z146" s="34"/>
      <c r="AA146" s="35">
        <f>IF(TA[[#This Row],[Work Start time on Fault]]="NA","",(TA[[#This Row],[Fault Acknowledgement Time ]]-TA[[#This Row],[Fault Time]])*24)</f>
        <v>0</v>
      </c>
      <c r="AB146" s="35">
        <f>(TA[[#This Row],[Work Start time on Fault]]-TA[[#This Row],[Fault Time]])*24</f>
        <v>0</v>
      </c>
      <c r="AC146" s="34">
        <f>(TA[[#This Row],[Work Completion time on fault]]-TA[[#This Row],[Fault Time]])*24</f>
        <v>0</v>
      </c>
      <c r="AD146" s="35">
        <f>IFERROR((TA[[#This Row],[Work Completion time on fault]]-TA[[#This Row],[Fault Time]])*24,"")</f>
        <v>0</v>
      </c>
      <c r="AE146" t="s">
        <v>328</v>
      </c>
      <c r="AF146" t="s">
        <v>256</v>
      </c>
      <c r="AG146" s="2"/>
      <c r="AH146" s="44">
        <f>1-COS(RADIANS(TA[[#This Row],[Avg. Target Angle during Fault Time (Radians)]]-TA[[#This Row],[Angle of affected equipment ]]))</f>
        <v>0.11705240714107301</v>
      </c>
      <c r="AI146" s="35">
        <f>IFERROR(TA[[#This Row],[Breakdown Time]]*TA[[#This Row],[Plant Equivalent Weightage]],"")</f>
        <v>0</v>
      </c>
    </row>
    <row r="147" spans="1:35">
      <c r="A147" s="2">
        <f t="shared" si="7"/>
        <v>144</v>
      </c>
      <c r="B147" s="156">
        <f t="shared" si="8"/>
        <v>2026</v>
      </c>
      <c r="C147" s="129">
        <f t="shared" si="9"/>
        <v>2025</v>
      </c>
      <c r="D147" s="2" t="s">
        <v>155</v>
      </c>
      <c r="E147" s="2" t="s">
        <v>155</v>
      </c>
      <c r="F147" s="39">
        <v>45748</v>
      </c>
      <c r="G147" s="2">
        <f>DAY(EOMONTH(TA[[#This Row],[Month Year]],0))</f>
        <v>30</v>
      </c>
      <c r="H147" s="21">
        <v>45754</v>
      </c>
      <c r="I147" s="41">
        <f>IFERROR(VLOOKUP(TA[[#This Row],[Date]],Raw_Data[[Date]:[Sunset Time (POA&lt;20 W/m2)]],3,0),"")</f>
        <v>0.2638888888888889</v>
      </c>
      <c r="J147" s="41">
        <f>IFERROR(VLOOKUP(TA[[#This Row],[Date]],Raw_Data[[Date]:[Sunset Time (POA&lt;20 W/m2)]],4,0),"")</f>
        <v>0.7631944444444444</v>
      </c>
      <c r="K147" s="35">
        <f>IFERROR((TA[[#This Row],[Sunset Time (POA&lt;20 W/m2)]]-TA[[#This Row],[Sunrise Time (POA&gt;20 W/m2)]])*24,"")</f>
        <v>11.983333333333333</v>
      </c>
      <c r="L147" s="2" t="s">
        <v>294</v>
      </c>
      <c r="M147" s="42">
        <f>IFERROR(VLOOKUP(TA[[#This Row],[Affected Equipment]],'Basic Data'!$I$2:$K$40,3,0),"")</f>
        <v>1.7241379310344799E-3</v>
      </c>
      <c r="N147">
        <v>-28</v>
      </c>
      <c r="O147" t="s">
        <v>133</v>
      </c>
      <c r="P147" s="127" t="s">
        <v>316</v>
      </c>
      <c r="Q147" s="126" t="s">
        <v>316</v>
      </c>
      <c r="R147">
        <v>118</v>
      </c>
      <c r="S147" s="2">
        <v>22</v>
      </c>
      <c r="T147" t="s">
        <v>295</v>
      </c>
      <c r="U147" t="s">
        <v>300</v>
      </c>
      <c r="V147" t="s">
        <v>298</v>
      </c>
      <c r="W147" s="41"/>
      <c r="X147" s="41"/>
      <c r="Y147" s="34"/>
      <c r="Z147" s="34"/>
      <c r="AA147" s="35">
        <f>IF(TA[[#This Row],[Work Start time on Fault]]="NA","",(TA[[#This Row],[Fault Acknowledgement Time ]]-TA[[#This Row],[Fault Time]])*24)</f>
        <v>0</v>
      </c>
      <c r="AB147" s="35">
        <f>(TA[[#This Row],[Work Start time on Fault]]-TA[[#This Row],[Fault Time]])*24</f>
        <v>0</v>
      </c>
      <c r="AC147" s="34">
        <f>(TA[[#This Row],[Work Completion time on fault]]-TA[[#This Row],[Fault Time]])*24</f>
        <v>0</v>
      </c>
      <c r="AD147" s="35">
        <f>IFERROR((TA[[#This Row],[Work Completion time on fault]]-TA[[#This Row],[Fault Time]])*24,"")</f>
        <v>0</v>
      </c>
      <c r="AE147" t="s">
        <v>328</v>
      </c>
      <c r="AF147" t="s">
        <v>256</v>
      </c>
      <c r="AG147" s="2"/>
      <c r="AH147" s="44">
        <f>1-COS(RADIANS(TA[[#This Row],[Avg. Target Angle during Fault Time (Radians)]]-TA[[#This Row],[Angle of affected equipment ]]))</f>
        <v>0.11705240714107301</v>
      </c>
      <c r="AI147" s="35">
        <f>IFERROR(TA[[#This Row],[Breakdown Time]]*TA[[#This Row],[Plant Equivalent Weightage]],"")</f>
        <v>0</v>
      </c>
    </row>
    <row r="148" spans="1:35">
      <c r="A148" s="2">
        <f t="shared" si="7"/>
        <v>145</v>
      </c>
      <c r="B148" s="156">
        <f t="shared" si="8"/>
        <v>2026</v>
      </c>
      <c r="C148" s="129">
        <f t="shared" si="9"/>
        <v>2025</v>
      </c>
      <c r="D148" s="2" t="s">
        <v>155</v>
      </c>
      <c r="E148" s="2" t="s">
        <v>155</v>
      </c>
      <c r="F148" s="39">
        <v>45748</v>
      </c>
      <c r="G148" s="2">
        <f>DAY(EOMONTH(TA[[#This Row],[Month Year]],0))</f>
        <v>30</v>
      </c>
      <c r="H148" s="21">
        <v>45754</v>
      </c>
      <c r="I148" s="41">
        <f>IFERROR(VLOOKUP(TA[[#This Row],[Date]],Raw_Data[[Date]:[Sunset Time (POA&lt;20 W/m2)]],3,0),"")</f>
        <v>0.2638888888888889</v>
      </c>
      <c r="J148" s="41">
        <f>IFERROR(VLOOKUP(TA[[#This Row],[Date]],Raw_Data[[Date]:[Sunset Time (POA&lt;20 W/m2)]],4,0),"")</f>
        <v>0.7631944444444444</v>
      </c>
      <c r="K148" s="35">
        <f>IFERROR((TA[[#This Row],[Sunset Time (POA&lt;20 W/m2)]]-TA[[#This Row],[Sunrise Time (POA&gt;20 W/m2)]])*24,"")</f>
        <v>11.983333333333333</v>
      </c>
      <c r="L148" s="2" t="s">
        <v>296</v>
      </c>
      <c r="M148" s="42">
        <f>IFERROR(VLOOKUP(TA[[#This Row],[Affected Equipment]],'Basic Data'!$I$2:$K$40,3,0),"")</f>
        <v>8.6206896551724102E-3</v>
      </c>
      <c r="N148">
        <v>-28</v>
      </c>
      <c r="O148" t="s">
        <v>135</v>
      </c>
      <c r="P148" s="22" t="s">
        <v>323</v>
      </c>
      <c r="Q148" s="2" t="s">
        <v>329</v>
      </c>
      <c r="R148">
        <v>45</v>
      </c>
      <c r="S148" s="2">
        <v>8</v>
      </c>
      <c r="T148" t="s">
        <v>297</v>
      </c>
      <c r="U148" t="s">
        <v>326</v>
      </c>
      <c r="V148" t="s">
        <v>301</v>
      </c>
      <c r="W148" s="41">
        <f>IFERROR(VLOOKUP(TA[[#This Row],[Date]],Raw_Data[[Date]:[Sunset Time (POA&lt;20 W/m2)]],3,0),"")</f>
        <v>0.2638888888888889</v>
      </c>
      <c r="X148" s="41">
        <f>IFERROR(VLOOKUP(TA[[#This Row],[Date]],Raw_Data[[Date]:[Sunset Time (POA&lt;20 W/m2)]],3,0),"")</f>
        <v>0.2638888888888889</v>
      </c>
      <c r="Y148" s="34"/>
      <c r="Z148" s="34">
        <v>0.76041666666666663</v>
      </c>
      <c r="AA148" s="35">
        <f>IF(TA[[#This Row],[Work Start time on Fault]]="NA","",(TA[[#This Row],[Fault Acknowledgement Time ]]-TA[[#This Row],[Fault Time]])*24)</f>
        <v>0</v>
      </c>
      <c r="AB148" s="35">
        <f>(TA[[#This Row],[Work Start time on Fault]]-TA[[#This Row],[Fault Time]])*24</f>
        <v>-6.3333333333333339</v>
      </c>
      <c r="AC148" s="34">
        <f>(TA[[#This Row],[Work Completion time on fault]]-TA[[#This Row],[Fault Time]])*24</f>
        <v>11.916666666666666</v>
      </c>
      <c r="AD148" s="35">
        <f>IFERROR((TA[[#This Row],[Work Completion time on fault]]-TA[[#This Row],[Fault Time]])*24,"")</f>
        <v>11.916666666666666</v>
      </c>
      <c r="AE148" t="s">
        <v>309</v>
      </c>
      <c r="AF148" t="s">
        <v>256</v>
      </c>
      <c r="AG148" s="2"/>
      <c r="AH148" s="44">
        <f>1-COS(RADIANS(TA[[#This Row],[Avg. Target Angle during Fault Time (Radians)]]-TA[[#This Row],[Angle of affected equipment ]]))</f>
        <v>0.11705240714107301</v>
      </c>
      <c r="AI148" s="35">
        <f>IFERROR(TA[[#This Row],[Breakdown Time]]*TA[[#This Row],[Plant Equivalent Weightage]],"")</f>
        <v>0.10272988505747122</v>
      </c>
    </row>
    <row r="149" spans="1:35">
      <c r="A149" s="2">
        <f t="shared" si="7"/>
        <v>146</v>
      </c>
      <c r="B149" s="156">
        <f t="shared" si="8"/>
        <v>2026</v>
      </c>
      <c r="C149" s="129">
        <f t="shared" si="9"/>
        <v>2025</v>
      </c>
      <c r="D149" s="2" t="s">
        <v>155</v>
      </c>
      <c r="E149" s="2" t="s">
        <v>155</v>
      </c>
      <c r="F149" s="39">
        <v>45748</v>
      </c>
      <c r="G149" s="2">
        <f>DAY(EOMONTH(TA[[#This Row],[Month Year]],0))</f>
        <v>30</v>
      </c>
      <c r="H149" s="21">
        <v>45754</v>
      </c>
      <c r="I149" s="41">
        <f>IFERROR(VLOOKUP(TA[[#This Row],[Date]],Raw_Data[[Date]:[Sunset Time (POA&lt;20 W/m2)]],3,0),"")</f>
        <v>0.2638888888888889</v>
      </c>
      <c r="J149" s="41">
        <f>IFERROR(VLOOKUP(TA[[#This Row],[Date]],Raw_Data[[Date]:[Sunset Time (POA&lt;20 W/m2)]],4,0),"")</f>
        <v>0.7631944444444444</v>
      </c>
      <c r="K149" s="35">
        <f>IFERROR((TA[[#This Row],[Sunset Time (POA&lt;20 W/m2)]]-TA[[#This Row],[Sunrise Time (POA&gt;20 W/m2)]])*24,"")</f>
        <v>11.983333333333333</v>
      </c>
      <c r="L149" s="2" t="s">
        <v>296</v>
      </c>
      <c r="M149" s="42">
        <f>IFERROR(VLOOKUP(TA[[#This Row],[Affected Equipment]],'Basic Data'!$I$2:$K$40,3,0),"")</f>
        <v>8.6206896551724102E-3</v>
      </c>
      <c r="N149">
        <v>-28</v>
      </c>
      <c r="O149" t="s">
        <v>135</v>
      </c>
      <c r="P149" s="22" t="s">
        <v>323</v>
      </c>
      <c r="Q149" s="2" t="s">
        <v>329</v>
      </c>
      <c r="R149">
        <v>47</v>
      </c>
      <c r="S149" s="2">
        <v>18</v>
      </c>
      <c r="T149" t="s">
        <v>297</v>
      </c>
      <c r="U149" t="s">
        <v>326</v>
      </c>
      <c r="V149" t="s">
        <v>301</v>
      </c>
      <c r="W149" s="41">
        <f>IFERROR(VLOOKUP(TA[[#This Row],[Date]],Raw_Data[[Date]:[Sunset Time (POA&lt;20 W/m2)]],3,0),"")</f>
        <v>0.2638888888888889</v>
      </c>
      <c r="X149" s="41">
        <f>IFERROR(VLOOKUP(TA[[#This Row],[Date]],Raw_Data[[Date]:[Sunset Time (POA&lt;20 W/m2)]],3,0),"")</f>
        <v>0.2638888888888889</v>
      </c>
      <c r="Y149" s="34"/>
      <c r="Z149" s="34">
        <v>0.76041666666666663</v>
      </c>
      <c r="AA149" s="35">
        <f>IF(TA[[#This Row],[Work Start time on Fault]]="NA","",(TA[[#This Row],[Fault Acknowledgement Time ]]-TA[[#This Row],[Fault Time]])*24)</f>
        <v>0</v>
      </c>
      <c r="AB149" s="35">
        <f>(TA[[#This Row],[Work Start time on Fault]]-TA[[#This Row],[Fault Time]])*24</f>
        <v>-6.3333333333333339</v>
      </c>
      <c r="AC149" s="34">
        <f>(TA[[#This Row],[Work Completion time on fault]]-TA[[#This Row],[Fault Time]])*24</f>
        <v>11.916666666666666</v>
      </c>
      <c r="AD149" s="35">
        <f>IFERROR((TA[[#This Row],[Work Completion time on fault]]-TA[[#This Row],[Fault Time]])*24,"")</f>
        <v>11.916666666666666</v>
      </c>
      <c r="AE149" t="s">
        <v>309</v>
      </c>
      <c r="AF149" t="s">
        <v>256</v>
      </c>
      <c r="AG149" s="2"/>
      <c r="AH149" s="44">
        <f>1-COS(RADIANS(TA[[#This Row],[Avg. Target Angle during Fault Time (Radians)]]-TA[[#This Row],[Angle of affected equipment ]]))</f>
        <v>0.11705240714107301</v>
      </c>
      <c r="AI149" s="35">
        <f>IFERROR(TA[[#This Row],[Breakdown Time]]*TA[[#This Row],[Plant Equivalent Weightage]],"")</f>
        <v>0.10272988505747122</v>
      </c>
    </row>
    <row r="150" spans="1:35">
      <c r="A150" s="2">
        <f t="shared" si="7"/>
        <v>147</v>
      </c>
      <c r="B150" s="156">
        <f t="shared" si="8"/>
        <v>2026</v>
      </c>
      <c r="C150" s="129">
        <f t="shared" si="9"/>
        <v>2025</v>
      </c>
      <c r="D150" s="2" t="s">
        <v>155</v>
      </c>
      <c r="E150" s="2" t="s">
        <v>155</v>
      </c>
      <c r="F150" s="39">
        <v>45748</v>
      </c>
      <c r="G150" s="2">
        <f>DAY(EOMONTH(TA[[#This Row],[Month Year]],0))</f>
        <v>30</v>
      </c>
      <c r="H150" s="21">
        <v>45754</v>
      </c>
      <c r="I150" s="41">
        <f>IFERROR(VLOOKUP(TA[[#This Row],[Date]],Raw_Data[[Date]:[Sunset Time (POA&lt;20 W/m2)]],3,0),"")</f>
        <v>0.2638888888888889</v>
      </c>
      <c r="J150" s="41">
        <f>IFERROR(VLOOKUP(TA[[#This Row],[Date]],Raw_Data[[Date]:[Sunset Time (POA&lt;20 W/m2)]],4,0),"")</f>
        <v>0.7631944444444444</v>
      </c>
      <c r="K150" s="35">
        <f>IFERROR((TA[[#This Row],[Sunset Time (POA&lt;20 W/m2)]]-TA[[#This Row],[Sunrise Time (POA&gt;20 W/m2)]])*24,"")</f>
        <v>11.983333333333333</v>
      </c>
      <c r="L150" s="2" t="s">
        <v>296</v>
      </c>
      <c r="M150" s="42">
        <f>IFERROR(VLOOKUP(TA[[#This Row],[Affected Equipment]],'Basic Data'!$I$2:$K$40,3,0),"")</f>
        <v>8.6206896551724102E-3</v>
      </c>
      <c r="N150">
        <v>-28</v>
      </c>
      <c r="O150" t="s">
        <v>134</v>
      </c>
      <c r="P150" s="22" t="s">
        <v>330</v>
      </c>
      <c r="Q150" s="2" t="s">
        <v>323</v>
      </c>
      <c r="R150">
        <v>30</v>
      </c>
      <c r="S150" s="2">
        <v>57</v>
      </c>
      <c r="T150" t="s">
        <v>297</v>
      </c>
      <c r="U150" t="s">
        <v>326</v>
      </c>
      <c r="V150" t="s">
        <v>301</v>
      </c>
      <c r="W150" s="41">
        <f>IFERROR(VLOOKUP(TA[[#This Row],[Date]],Raw_Data[[Date]:[Sunset Time (POA&lt;20 W/m2)]],3,0),"")</f>
        <v>0.2638888888888889</v>
      </c>
      <c r="X150" s="41">
        <f>IFERROR(VLOOKUP(TA[[#This Row],[Date]],Raw_Data[[Date]:[Sunset Time (POA&lt;20 W/m2)]],3,0),"")</f>
        <v>0.2638888888888889</v>
      </c>
      <c r="Y150" s="34"/>
      <c r="Z150" s="34">
        <v>0.76041666666666663</v>
      </c>
      <c r="AA150" s="35">
        <f>IF(TA[[#This Row],[Work Start time on Fault]]="NA","",(TA[[#This Row],[Fault Acknowledgement Time ]]-TA[[#This Row],[Fault Time]])*24)</f>
        <v>0</v>
      </c>
      <c r="AB150" s="35">
        <f>(TA[[#This Row],[Work Start time on Fault]]-TA[[#This Row],[Fault Time]])*24</f>
        <v>-6.3333333333333339</v>
      </c>
      <c r="AC150" s="34">
        <f>(TA[[#This Row],[Work Completion time on fault]]-TA[[#This Row],[Fault Time]])*24</f>
        <v>11.916666666666666</v>
      </c>
      <c r="AD150" s="35">
        <f>IFERROR((TA[[#This Row],[Work Completion time on fault]]-TA[[#This Row],[Fault Time]])*24,"")</f>
        <v>11.916666666666666</v>
      </c>
      <c r="AE150" t="s">
        <v>309</v>
      </c>
      <c r="AF150" t="s">
        <v>256</v>
      </c>
      <c r="AG150" s="2"/>
      <c r="AH150" s="44">
        <f>1-COS(RADIANS(TA[[#This Row],[Avg. Target Angle during Fault Time (Radians)]]-TA[[#This Row],[Angle of affected equipment ]]))</f>
        <v>0.11705240714107301</v>
      </c>
      <c r="AI150" s="35">
        <f>IFERROR(TA[[#This Row],[Breakdown Time]]*TA[[#This Row],[Plant Equivalent Weightage]],"")</f>
        <v>0.10272988505747122</v>
      </c>
    </row>
    <row r="151" spans="1:35">
      <c r="A151" s="2">
        <f t="shared" si="7"/>
        <v>148</v>
      </c>
      <c r="B151" s="156">
        <f t="shared" si="8"/>
        <v>2026</v>
      </c>
      <c r="C151" s="129">
        <f t="shared" si="9"/>
        <v>2025</v>
      </c>
      <c r="D151" s="2" t="s">
        <v>155</v>
      </c>
      <c r="E151" s="2" t="s">
        <v>155</v>
      </c>
      <c r="F151" s="39">
        <v>45748</v>
      </c>
      <c r="G151" s="2">
        <f>DAY(EOMONTH(TA[[#This Row],[Month Year]],0))</f>
        <v>30</v>
      </c>
      <c r="H151" s="21">
        <v>45754</v>
      </c>
      <c r="I151" s="41">
        <f>IFERROR(VLOOKUP(TA[[#This Row],[Date]],Raw_Data[[Date]:[Sunset Time (POA&lt;20 W/m2)]],3,0),"")</f>
        <v>0.2638888888888889</v>
      </c>
      <c r="J151" s="41">
        <f>IFERROR(VLOOKUP(TA[[#This Row],[Date]],Raw_Data[[Date]:[Sunset Time (POA&lt;20 W/m2)]],4,0),"")</f>
        <v>0.7631944444444444</v>
      </c>
      <c r="K151" s="35">
        <f>IFERROR((TA[[#This Row],[Sunset Time (POA&lt;20 W/m2)]]-TA[[#This Row],[Sunrise Time (POA&gt;20 W/m2)]])*24,"")</f>
        <v>11.983333333333333</v>
      </c>
      <c r="L151" s="2" t="s">
        <v>296</v>
      </c>
      <c r="M151" s="42">
        <f>IFERROR(VLOOKUP(TA[[#This Row],[Affected Equipment]],'Basic Data'!$I$2:$K$40,3,0),"")</f>
        <v>8.6206896551724102E-3</v>
      </c>
      <c r="N151">
        <v>-28</v>
      </c>
      <c r="O151" t="s">
        <v>134</v>
      </c>
      <c r="P151" s="22" t="s">
        <v>330</v>
      </c>
      <c r="Q151" s="2" t="s">
        <v>323</v>
      </c>
      <c r="R151">
        <v>31</v>
      </c>
      <c r="S151" s="2">
        <v>61</v>
      </c>
      <c r="T151" t="s">
        <v>297</v>
      </c>
      <c r="U151" t="s">
        <v>326</v>
      </c>
      <c r="V151" t="s">
        <v>301</v>
      </c>
      <c r="W151" s="41">
        <f>IFERROR(VLOOKUP(TA[[#This Row],[Date]],Raw_Data[[Date]:[Sunset Time (POA&lt;20 W/m2)]],3,0),"")</f>
        <v>0.2638888888888889</v>
      </c>
      <c r="X151" s="41">
        <f>IFERROR(VLOOKUP(TA[[#This Row],[Date]],Raw_Data[[Date]:[Sunset Time (POA&lt;20 W/m2)]],3,0),"")</f>
        <v>0.2638888888888889</v>
      </c>
      <c r="Y151" s="34"/>
      <c r="Z151" s="34">
        <v>0.76041666666666663</v>
      </c>
      <c r="AA151" s="35">
        <f>IF(TA[[#This Row],[Work Start time on Fault]]="NA","",(TA[[#This Row],[Fault Acknowledgement Time ]]-TA[[#This Row],[Fault Time]])*24)</f>
        <v>0</v>
      </c>
      <c r="AB151" s="35">
        <f>(TA[[#This Row],[Work Start time on Fault]]-TA[[#This Row],[Fault Time]])*24</f>
        <v>-6.3333333333333339</v>
      </c>
      <c r="AC151" s="34">
        <f>(TA[[#This Row],[Work Completion time on fault]]-TA[[#This Row],[Fault Time]])*24</f>
        <v>11.916666666666666</v>
      </c>
      <c r="AD151" s="35">
        <f>IFERROR((TA[[#This Row],[Work Completion time on fault]]-TA[[#This Row],[Fault Time]])*24,"")</f>
        <v>11.916666666666666</v>
      </c>
      <c r="AE151" t="s">
        <v>309</v>
      </c>
      <c r="AF151" t="s">
        <v>256</v>
      </c>
      <c r="AG151" s="2"/>
      <c r="AH151" s="44">
        <f>1-COS(RADIANS(TA[[#This Row],[Avg. Target Angle during Fault Time (Radians)]]-TA[[#This Row],[Angle of affected equipment ]]))</f>
        <v>0.11705240714107301</v>
      </c>
      <c r="AI151" s="35">
        <f>IFERROR(TA[[#This Row],[Breakdown Time]]*TA[[#This Row],[Plant Equivalent Weightage]],"")</f>
        <v>0.10272988505747122</v>
      </c>
    </row>
    <row r="152" spans="1:35">
      <c r="A152" s="2">
        <f t="shared" si="7"/>
        <v>149</v>
      </c>
      <c r="B152" s="156">
        <f t="shared" si="8"/>
        <v>2026</v>
      </c>
      <c r="C152" s="129">
        <f t="shared" si="9"/>
        <v>2025</v>
      </c>
      <c r="D152" s="2" t="s">
        <v>155</v>
      </c>
      <c r="E152" s="2" t="s">
        <v>155</v>
      </c>
      <c r="F152" s="39">
        <v>45748</v>
      </c>
      <c r="G152" s="2">
        <f>DAY(EOMONTH(TA[[#This Row],[Month Year]],0))</f>
        <v>30</v>
      </c>
      <c r="H152" s="21">
        <v>45754</v>
      </c>
      <c r="I152" s="41">
        <f>IFERROR(VLOOKUP(TA[[#This Row],[Date]],Raw_Data[[Date]:[Sunset Time (POA&lt;20 W/m2)]],3,0),"")</f>
        <v>0.2638888888888889</v>
      </c>
      <c r="J152" s="41">
        <f>IFERROR(VLOOKUP(TA[[#This Row],[Date]],Raw_Data[[Date]:[Sunset Time (POA&lt;20 W/m2)]],4,0),"")</f>
        <v>0.7631944444444444</v>
      </c>
      <c r="K152" s="35">
        <f>IFERROR((TA[[#This Row],[Sunset Time (POA&lt;20 W/m2)]]-TA[[#This Row],[Sunrise Time (POA&gt;20 W/m2)]])*24,"")</f>
        <v>11.983333333333333</v>
      </c>
      <c r="L152" s="2" t="s">
        <v>312</v>
      </c>
      <c r="M152" s="42">
        <f>IFERROR(VLOOKUP(TA[[#This Row],[Affected Equipment]],'Basic Data'!$I$2:$K$40,3,0),"")</f>
        <v>5.74712643678161E-3</v>
      </c>
      <c r="N152">
        <v>-28</v>
      </c>
      <c r="O152" t="s">
        <v>133</v>
      </c>
      <c r="P152" s="22" t="s">
        <v>330</v>
      </c>
      <c r="Q152" s="2" t="s">
        <v>323</v>
      </c>
      <c r="R152">
        <v>26</v>
      </c>
      <c r="S152" s="2">
        <v>37</v>
      </c>
      <c r="T152" t="s">
        <v>297</v>
      </c>
      <c r="U152" t="s">
        <v>326</v>
      </c>
      <c r="V152" t="s">
        <v>301</v>
      </c>
      <c r="W152" s="41">
        <f>IFERROR(VLOOKUP(TA[[#This Row],[Date]],Raw_Data[[Date]:[Sunset Time (POA&lt;20 W/m2)]],3,0),"")</f>
        <v>0.2638888888888889</v>
      </c>
      <c r="X152" s="41">
        <f>IFERROR(VLOOKUP(TA[[#This Row],[Date]],Raw_Data[[Date]:[Sunset Time (POA&lt;20 W/m2)]],3,0),"")</f>
        <v>0.2638888888888889</v>
      </c>
      <c r="Y152" s="34"/>
      <c r="Z152" s="34">
        <v>0.76041666666666663</v>
      </c>
      <c r="AA152" s="35">
        <f>IF(TA[[#This Row],[Work Start time on Fault]]="NA","",(TA[[#This Row],[Fault Acknowledgement Time ]]-TA[[#This Row],[Fault Time]])*24)</f>
        <v>0</v>
      </c>
      <c r="AB152" s="35">
        <f>(TA[[#This Row],[Work Start time on Fault]]-TA[[#This Row],[Fault Time]])*24</f>
        <v>-6.3333333333333339</v>
      </c>
      <c r="AC152" s="34">
        <f>(TA[[#This Row],[Work Completion time on fault]]-TA[[#This Row],[Fault Time]])*24</f>
        <v>11.916666666666666</v>
      </c>
      <c r="AD152" s="35">
        <f>IFERROR((TA[[#This Row],[Work Completion time on fault]]-TA[[#This Row],[Fault Time]])*24,"")</f>
        <v>11.916666666666666</v>
      </c>
      <c r="AE152" t="s">
        <v>309</v>
      </c>
      <c r="AF152" t="s">
        <v>256</v>
      </c>
      <c r="AG152" s="2"/>
      <c r="AH152" s="44">
        <f>1-COS(RADIANS(TA[[#This Row],[Avg. Target Angle during Fault Time (Radians)]]-TA[[#This Row],[Angle of affected equipment ]]))</f>
        <v>0.11705240714107301</v>
      </c>
      <c r="AI152" s="35">
        <f>IFERROR(TA[[#This Row],[Breakdown Time]]*TA[[#This Row],[Plant Equivalent Weightage]],"")</f>
        <v>6.8486590038314185E-2</v>
      </c>
    </row>
    <row r="153" spans="1:35">
      <c r="A153" s="2">
        <f t="shared" si="7"/>
        <v>150</v>
      </c>
      <c r="B153" s="156">
        <f t="shared" si="8"/>
        <v>2026</v>
      </c>
      <c r="C153" s="129">
        <f t="shared" si="9"/>
        <v>2025</v>
      </c>
      <c r="D153" s="2" t="s">
        <v>155</v>
      </c>
      <c r="E153" s="2" t="s">
        <v>155</v>
      </c>
      <c r="F153" s="39">
        <v>45748</v>
      </c>
      <c r="G153" s="2">
        <f>DAY(EOMONTH(TA[[#This Row],[Month Year]],0))</f>
        <v>30</v>
      </c>
      <c r="H153" s="21">
        <v>45754</v>
      </c>
      <c r="I153" s="41">
        <f>IFERROR(VLOOKUP(TA[[#This Row],[Date]],Raw_Data[[Date]:[Sunset Time (POA&lt;20 W/m2)]],3,0),"")</f>
        <v>0.2638888888888889</v>
      </c>
      <c r="J153" s="41">
        <f>IFERROR(VLOOKUP(TA[[#This Row],[Date]],Raw_Data[[Date]:[Sunset Time (POA&lt;20 W/m2)]],4,0),"")</f>
        <v>0.7631944444444444</v>
      </c>
      <c r="K153" s="35">
        <f>IFERROR((TA[[#This Row],[Sunset Time (POA&lt;20 W/m2)]]-TA[[#This Row],[Sunrise Time (POA&gt;20 W/m2)]])*24,"")</f>
        <v>11.983333333333333</v>
      </c>
      <c r="L153" s="2" t="s">
        <v>312</v>
      </c>
      <c r="M153" s="42">
        <f>IFERROR(VLOOKUP(TA[[#This Row],[Affected Equipment]],'Basic Data'!$I$2:$K$40,3,0),"")</f>
        <v>5.74712643678161E-3</v>
      </c>
      <c r="N153">
        <v>-28</v>
      </c>
      <c r="O153" t="s">
        <v>133</v>
      </c>
      <c r="P153" s="22" t="s">
        <v>330</v>
      </c>
      <c r="Q153" s="2" t="s">
        <v>323</v>
      </c>
      <c r="R153">
        <v>27</v>
      </c>
      <c r="S153" s="2">
        <v>42</v>
      </c>
      <c r="T153" t="s">
        <v>297</v>
      </c>
      <c r="U153" t="s">
        <v>326</v>
      </c>
      <c r="V153" t="s">
        <v>301</v>
      </c>
      <c r="W153" s="41">
        <f>IFERROR(VLOOKUP(TA[[#This Row],[Date]],Raw_Data[[Date]:[Sunset Time (POA&lt;20 W/m2)]],3,0),"")</f>
        <v>0.2638888888888889</v>
      </c>
      <c r="X153" s="41">
        <f>IFERROR(VLOOKUP(TA[[#This Row],[Date]],Raw_Data[[Date]:[Sunset Time (POA&lt;20 W/m2)]],3,0),"")</f>
        <v>0.2638888888888889</v>
      </c>
      <c r="Y153" s="34"/>
      <c r="Z153" s="34">
        <v>0.76041666666666663</v>
      </c>
      <c r="AA153" s="35">
        <f>IF(TA[[#This Row],[Work Start time on Fault]]="NA","",(TA[[#This Row],[Fault Acknowledgement Time ]]-TA[[#This Row],[Fault Time]])*24)</f>
        <v>0</v>
      </c>
      <c r="AB153" s="35">
        <f>(TA[[#This Row],[Work Start time on Fault]]-TA[[#This Row],[Fault Time]])*24</f>
        <v>-6.3333333333333339</v>
      </c>
      <c r="AC153" s="34">
        <f>(TA[[#This Row],[Work Completion time on fault]]-TA[[#This Row],[Fault Time]])*24</f>
        <v>11.916666666666666</v>
      </c>
      <c r="AD153" s="35">
        <f>IFERROR((TA[[#This Row],[Work Completion time on fault]]-TA[[#This Row],[Fault Time]])*24,"")</f>
        <v>11.916666666666666</v>
      </c>
      <c r="AE153" t="s">
        <v>309</v>
      </c>
      <c r="AF153" t="s">
        <v>256</v>
      </c>
      <c r="AG153" s="2"/>
      <c r="AH153" s="44">
        <f>1-COS(RADIANS(TA[[#This Row],[Avg. Target Angle during Fault Time (Radians)]]-TA[[#This Row],[Angle of affected equipment ]]))</f>
        <v>0.11705240714107301</v>
      </c>
      <c r="AI153" s="35">
        <f>IFERROR(TA[[#This Row],[Breakdown Time]]*TA[[#This Row],[Plant Equivalent Weightage]],"")</f>
        <v>6.8486590038314185E-2</v>
      </c>
    </row>
    <row r="154" spans="1:35">
      <c r="A154" s="2">
        <f t="shared" si="7"/>
        <v>151</v>
      </c>
      <c r="B154" s="156">
        <f t="shared" si="8"/>
        <v>2026</v>
      </c>
      <c r="C154" s="129">
        <f t="shared" si="9"/>
        <v>2025</v>
      </c>
      <c r="D154" s="2" t="s">
        <v>155</v>
      </c>
      <c r="E154" s="2" t="s">
        <v>155</v>
      </c>
      <c r="F154" s="39">
        <v>45748</v>
      </c>
      <c r="G154" s="2">
        <f>DAY(EOMONTH(TA[[#This Row],[Month Year]],0))</f>
        <v>30</v>
      </c>
      <c r="H154" s="21">
        <v>45755</v>
      </c>
      <c r="I154" s="41">
        <f>IFERROR(VLOOKUP(TA[[#This Row],[Date]],Raw_Data[[Date]:[Sunset Time (POA&lt;20 W/m2)]],3,0),"")</f>
        <v>0.2638888888888889</v>
      </c>
      <c r="J154" s="41">
        <f>IFERROR(VLOOKUP(TA[[#This Row],[Date]],Raw_Data[[Date]:[Sunset Time (POA&lt;20 W/m2)]],4,0),"")</f>
        <v>0.76111111111111107</v>
      </c>
      <c r="K154" s="35">
        <f>IFERROR((TA[[#This Row],[Sunset Time (POA&lt;20 W/m2)]]-TA[[#This Row],[Sunrise Time (POA&gt;20 W/m2)]])*24,"")</f>
        <v>11.933333333333332</v>
      </c>
      <c r="L154" s="2" t="s">
        <v>294</v>
      </c>
      <c r="M154" s="42">
        <f>IFERROR(VLOOKUP(TA[[#This Row],[Affected Equipment]],'Basic Data'!$I$2:$K$40,3,0),"")</f>
        <v>1.7241379310344799E-3</v>
      </c>
      <c r="N154">
        <v>-28</v>
      </c>
      <c r="O154" t="s">
        <v>135</v>
      </c>
      <c r="P154" s="127" t="s">
        <v>318</v>
      </c>
      <c r="Q154" s="126" t="s">
        <v>318</v>
      </c>
      <c r="R154">
        <v>130</v>
      </c>
      <c r="S154" s="2">
        <v>36</v>
      </c>
      <c r="T154" t="s">
        <v>295</v>
      </c>
      <c r="U154" t="s">
        <v>300</v>
      </c>
      <c r="V154" t="s">
        <v>298</v>
      </c>
      <c r="W154" s="41"/>
      <c r="X154" s="41"/>
      <c r="Y154" s="34"/>
      <c r="Z154" s="34"/>
      <c r="AA154" s="35">
        <f>IF(TA[[#This Row],[Work Start time on Fault]]="NA","",(TA[[#This Row],[Fault Acknowledgement Time ]]-TA[[#This Row],[Fault Time]])*24)</f>
        <v>0</v>
      </c>
      <c r="AB154" s="35">
        <f>(TA[[#This Row],[Work Start time on Fault]]-TA[[#This Row],[Fault Time]])*24</f>
        <v>0</v>
      </c>
      <c r="AC154" s="34">
        <f>(TA[[#This Row],[Work Completion time on fault]]-TA[[#This Row],[Fault Time]])*24</f>
        <v>0</v>
      </c>
      <c r="AD154" s="35">
        <f>IFERROR((TA[[#This Row],[Work Completion time on fault]]-TA[[#This Row],[Fault Time]])*24,"")</f>
        <v>0</v>
      </c>
      <c r="AE154" t="s">
        <v>328</v>
      </c>
      <c r="AF154" t="s">
        <v>256</v>
      </c>
      <c r="AG154" s="2"/>
      <c r="AH154" s="44">
        <f>1-COS(RADIANS(TA[[#This Row],[Avg. Target Angle during Fault Time (Radians)]]-TA[[#This Row],[Angle of affected equipment ]]))</f>
        <v>0.11705240714107301</v>
      </c>
      <c r="AI154" s="35">
        <f>IFERROR(TA[[#This Row],[Breakdown Time]]*TA[[#This Row],[Plant Equivalent Weightage]],"")</f>
        <v>0</v>
      </c>
    </row>
    <row r="155" spans="1:35">
      <c r="A155" s="2">
        <f t="shared" si="7"/>
        <v>152</v>
      </c>
      <c r="B155" s="156">
        <f t="shared" si="8"/>
        <v>2026</v>
      </c>
      <c r="C155" s="129">
        <f t="shared" si="9"/>
        <v>2025</v>
      </c>
      <c r="D155" s="2" t="s">
        <v>155</v>
      </c>
      <c r="E155" s="2" t="s">
        <v>155</v>
      </c>
      <c r="F155" s="39">
        <v>45748</v>
      </c>
      <c r="G155" s="2">
        <f>DAY(EOMONTH(TA[[#This Row],[Month Year]],0))</f>
        <v>30</v>
      </c>
      <c r="H155" s="21">
        <v>45755</v>
      </c>
      <c r="I155" s="41">
        <f>IFERROR(VLOOKUP(TA[[#This Row],[Date]],Raw_Data[[Date]:[Sunset Time (POA&lt;20 W/m2)]],3,0),"")</f>
        <v>0.2638888888888889</v>
      </c>
      <c r="J155" s="41">
        <f>IFERROR(VLOOKUP(TA[[#This Row],[Date]],Raw_Data[[Date]:[Sunset Time (POA&lt;20 W/m2)]],4,0),"")</f>
        <v>0.76111111111111107</v>
      </c>
      <c r="K155" s="35">
        <f>IFERROR((TA[[#This Row],[Sunset Time (POA&lt;20 W/m2)]]-TA[[#This Row],[Sunrise Time (POA&gt;20 W/m2)]])*24,"")</f>
        <v>11.933333333333332</v>
      </c>
      <c r="L155" s="2" t="s">
        <v>294</v>
      </c>
      <c r="M155" s="42">
        <f>IFERROR(VLOOKUP(TA[[#This Row],[Affected Equipment]],'Basic Data'!$I$2:$K$40,3,0),"")</f>
        <v>1.7241379310344799E-3</v>
      </c>
      <c r="N155">
        <v>-28</v>
      </c>
      <c r="O155" t="s">
        <v>135</v>
      </c>
      <c r="P155" s="127" t="s">
        <v>318</v>
      </c>
      <c r="Q155" s="126" t="s">
        <v>318</v>
      </c>
      <c r="R155">
        <v>130</v>
      </c>
      <c r="S155" s="2">
        <v>37</v>
      </c>
      <c r="T155" t="s">
        <v>295</v>
      </c>
      <c r="U155" t="s">
        <v>300</v>
      </c>
      <c r="V155" t="s">
        <v>298</v>
      </c>
      <c r="W155" s="41"/>
      <c r="X155" s="41"/>
      <c r="Y155" s="34"/>
      <c r="Z155" s="34"/>
      <c r="AA155" s="35">
        <f>IF(TA[[#This Row],[Work Start time on Fault]]="NA","",(TA[[#This Row],[Fault Acknowledgement Time ]]-TA[[#This Row],[Fault Time]])*24)</f>
        <v>0</v>
      </c>
      <c r="AB155" s="35">
        <f>(TA[[#This Row],[Work Start time on Fault]]-TA[[#This Row],[Fault Time]])*24</f>
        <v>0</v>
      </c>
      <c r="AC155" s="34">
        <f>(TA[[#This Row],[Work Completion time on fault]]-TA[[#This Row],[Fault Time]])*24</f>
        <v>0</v>
      </c>
      <c r="AD155" s="35">
        <f>IFERROR((TA[[#This Row],[Work Completion time on fault]]-TA[[#This Row],[Fault Time]])*24,"")</f>
        <v>0</v>
      </c>
      <c r="AE155" t="s">
        <v>328</v>
      </c>
      <c r="AF155" t="s">
        <v>256</v>
      </c>
      <c r="AG155" s="2"/>
      <c r="AH155" s="44">
        <f>1-COS(RADIANS(TA[[#This Row],[Avg. Target Angle during Fault Time (Radians)]]-TA[[#This Row],[Angle of affected equipment ]]))</f>
        <v>0.11705240714107301</v>
      </c>
      <c r="AI155" s="35">
        <f>IFERROR(TA[[#This Row],[Breakdown Time]]*TA[[#This Row],[Plant Equivalent Weightage]],"")</f>
        <v>0</v>
      </c>
    </row>
    <row r="156" spans="1:35">
      <c r="A156" s="2">
        <f t="shared" si="7"/>
        <v>153</v>
      </c>
      <c r="B156" s="156">
        <f t="shared" si="8"/>
        <v>2026</v>
      </c>
      <c r="C156" s="129">
        <f t="shared" si="9"/>
        <v>2025</v>
      </c>
      <c r="D156" s="2" t="s">
        <v>155</v>
      </c>
      <c r="E156" s="2" t="s">
        <v>155</v>
      </c>
      <c r="F156" s="39">
        <v>45748</v>
      </c>
      <c r="G156" s="2">
        <f>DAY(EOMONTH(TA[[#This Row],[Month Year]],0))</f>
        <v>30</v>
      </c>
      <c r="H156" s="21">
        <v>45755</v>
      </c>
      <c r="I156" s="41">
        <f>IFERROR(VLOOKUP(TA[[#This Row],[Date]],Raw_Data[[Date]:[Sunset Time (POA&lt;20 W/m2)]],3,0),"")</f>
        <v>0.2638888888888889</v>
      </c>
      <c r="J156" s="41">
        <f>IFERROR(VLOOKUP(TA[[#This Row],[Date]],Raw_Data[[Date]:[Sunset Time (POA&lt;20 W/m2)]],4,0),"")</f>
        <v>0.76111111111111107</v>
      </c>
      <c r="K156" s="35">
        <f>IFERROR((TA[[#This Row],[Sunset Time (POA&lt;20 W/m2)]]-TA[[#This Row],[Sunrise Time (POA&gt;20 W/m2)]])*24,"")</f>
        <v>11.933333333333332</v>
      </c>
      <c r="L156" s="2" t="s">
        <v>294</v>
      </c>
      <c r="M156" s="42">
        <f>IFERROR(VLOOKUP(TA[[#This Row],[Affected Equipment]],'Basic Data'!$I$2:$K$40,3,0),"")</f>
        <v>1.7241379310344799E-3</v>
      </c>
      <c r="N156">
        <v>-28</v>
      </c>
      <c r="O156" t="s">
        <v>135</v>
      </c>
      <c r="P156" s="127" t="s">
        <v>318</v>
      </c>
      <c r="Q156" s="126" t="s">
        <v>318</v>
      </c>
      <c r="R156">
        <v>131</v>
      </c>
      <c r="S156" s="2">
        <v>38</v>
      </c>
      <c r="T156" t="s">
        <v>295</v>
      </c>
      <c r="U156" t="s">
        <v>300</v>
      </c>
      <c r="V156" t="s">
        <v>298</v>
      </c>
      <c r="W156" s="41"/>
      <c r="X156" s="41"/>
      <c r="Y156" s="34"/>
      <c r="Z156" s="34"/>
      <c r="AA156" s="35">
        <f>IF(TA[[#This Row],[Work Start time on Fault]]="NA","",(TA[[#This Row],[Fault Acknowledgement Time ]]-TA[[#This Row],[Fault Time]])*24)</f>
        <v>0</v>
      </c>
      <c r="AB156" s="35">
        <f>(TA[[#This Row],[Work Start time on Fault]]-TA[[#This Row],[Fault Time]])*24</f>
        <v>0</v>
      </c>
      <c r="AC156" s="34">
        <f>(TA[[#This Row],[Work Completion time on fault]]-TA[[#This Row],[Fault Time]])*24</f>
        <v>0</v>
      </c>
      <c r="AD156" s="35">
        <f>IFERROR((TA[[#This Row],[Work Completion time on fault]]-TA[[#This Row],[Fault Time]])*24,"")</f>
        <v>0</v>
      </c>
      <c r="AE156" t="s">
        <v>328</v>
      </c>
      <c r="AF156" t="s">
        <v>256</v>
      </c>
      <c r="AG156" s="2"/>
      <c r="AH156" s="44">
        <f>1-COS(RADIANS(TA[[#This Row],[Avg. Target Angle during Fault Time (Radians)]]-TA[[#This Row],[Angle of affected equipment ]]))</f>
        <v>0.11705240714107301</v>
      </c>
      <c r="AI156" s="35">
        <f>IFERROR(TA[[#This Row],[Breakdown Time]]*TA[[#This Row],[Plant Equivalent Weightage]],"")</f>
        <v>0</v>
      </c>
    </row>
    <row r="157" spans="1:35">
      <c r="A157" s="2">
        <f t="shared" si="7"/>
        <v>154</v>
      </c>
      <c r="B157" s="156">
        <f t="shared" si="8"/>
        <v>2026</v>
      </c>
      <c r="C157" s="129">
        <f t="shared" si="9"/>
        <v>2025</v>
      </c>
      <c r="D157" s="2" t="s">
        <v>155</v>
      </c>
      <c r="E157" s="2" t="s">
        <v>155</v>
      </c>
      <c r="F157" s="39">
        <v>45748</v>
      </c>
      <c r="G157" s="2">
        <f>DAY(EOMONTH(TA[[#This Row],[Month Year]],0))</f>
        <v>30</v>
      </c>
      <c r="H157" s="21">
        <v>45755</v>
      </c>
      <c r="I157" s="41">
        <f>IFERROR(VLOOKUP(TA[[#This Row],[Date]],Raw_Data[[Date]:[Sunset Time (POA&lt;20 W/m2)]],3,0),"")</f>
        <v>0.2638888888888889</v>
      </c>
      <c r="J157" s="41">
        <f>IFERROR(VLOOKUP(TA[[#This Row],[Date]],Raw_Data[[Date]:[Sunset Time (POA&lt;20 W/m2)]],4,0),"")</f>
        <v>0.76111111111111107</v>
      </c>
      <c r="K157" s="35">
        <f>IFERROR((TA[[#This Row],[Sunset Time (POA&lt;20 W/m2)]]-TA[[#This Row],[Sunrise Time (POA&gt;20 W/m2)]])*24,"")</f>
        <v>11.933333333333332</v>
      </c>
      <c r="L157" s="2" t="s">
        <v>294</v>
      </c>
      <c r="M157" s="42">
        <f>IFERROR(VLOOKUP(TA[[#This Row],[Affected Equipment]],'Basic Data'!$I$2:$K$40,3,0),"")</f>
        <v>1.7241379310344799E-3</v>
      </c>
      <c r="N157">
        <v>-28</v>
      </c>
      <c r="O157" t="s">
        <v>135</v>
      </c>
      <c r="P157" s="127" t="s">
        <v>318</v>
      </c>
      <c r="Q157" s="126" t="s">
        <v>318</v>
      </c>
      <c r="R157">
        <v>131</v>
      </c>
      <c r="S157" s="2">
        <v>39</v>
      </c>
      <c r="T157" t="s">
        <v>295</v>
      </c>
      <c r="U157" t="s">
        <v>300</v>
      </c>
      <c r="V157" t="s">
        <v>298</v>
      </c>
      <c r="W157" s="41"/>
      <c r="X157" s="41"/>
      <c r="Y157" s="34"/>
      <c r="Z157" s="34"/>
      <c r="AA157" s="35">
        <f>IF(TA[[#This Row],[Work Start time on Fault]]="NA","",(TA[[#This Row],[Fault Acknowledgement Time ]]-TA[[#This Row],[Fault Time]])*24)</f>
        <v>0</v>
      </c>
      <c r="AB157" s="35">
        <f>(TA[[#This Row],[Work Start time on Fault]]-TA[[#This Row],[Fault Time]])*24</f>
        <v>0</v>
      </c>
      <c r="AC157" s="34">
        <f>(TA[[#This Row],[Work Completion time on fault]]-TA[[#This Row],[Fault Time]])*24</f>
        <v>0</v>
      </c>
      <c r="AD157" s="35">
        <f>IFERROR((TA[[#This Row],[Work Completion time on fault]]-TA[[#This Row],[Fault Time]])*24,"")</f>
        <v>0</v>
      </c>
      <c r="AE157" t="s">
        <v>328</v>
      </c>
      <c r="AF157" t="s">
        <v>256</v>
      </c>
      <c r="AG157" s="2"/>
      <c r="AH157" s="44">
        <f>1-COS(RADIANS(TA[[#This Row],[Avg. Target Angle during Fault Time (Radians)]]-TA[[#This Row],[Angle of affected equipment ]]))</f>
        <v>0.11705240714107301</v>
      </c>
      <c r="AI157" s="35">
        <f>IFERROR(TA[[#This Row],[Breakdown Time]]*TA[[#This Row],[Plant Equivalent Weightage]],"")</f>
        <v>0</v>
      </c>
    </row>
    <row r="158" spans="1:35">
      <c r="A158" s="2">
        <f t="shared" si="7"/>
        <v>155</v>
      </c>
      <c r="B158" s="156">
        <f t="shared" si="8"/>
        <v>2026</v>
      </c>
      <c r="C158" s="129">
        <f t="shared" si="9"/>
        <v>2025</v>
      </c>
      <c r="D158" s="2" t="s">
        <v>155</v>
      </c>
      <c r="E158" s="2" t="s">
        <v>155</v>
      </c>
      <c r="F158" s="39">
        <v>45748</v>
      </c>
      <c r="G158" s="2">
        <f>DAY(EOMONTH(TA[[#This Row],[Month Year]],0))</f>
        <v>30</v>
      </c>
      <c r="H158" s="21">
        <v>45755</v>
      </c>
      <c r="I158" s="41">
        <f>IFERROR(VLOOKUP(TA[[#This Row],[Date]],Raw_Data[[Date]:[Sunset Time (POA&lt;20 W/m2)]],3,0),"")</f>
        <v>0.2638888888888889</v>
      </c>
      <c r="J158" s="41">
        <f>IFERROR(VLOOKUP(TA[[#This Row],[Date]],Raw_Data[[Date]:[Sunset Time (POA&lt;20 W/m2)]],4,0),"")</f>
        <v>0.76111111111111107</v>
      </c>
      <c r="K158" s="35">
        <f>IFERROR((TA[[#This Row],[Sunset Time (POA&lt;20 W/m2)]]-TA[[#This Row],[Sunrise Time (POA&gt;20 W/m2)]])*24,"")</f>
        <v>11.933333333333332</v>
      </c>
      <c r="L158" s="2" t="s">
        <v>296</v>
      </c>
      <c r="M158" s="42">
        <f>IFERROR(VLOOKUP(TA[[#This Row],[Affected Equipment]],'Basic Data'!$I$2:$K$40,3,0),"")</f>
        <v>8.6206896551724102E-3</v>
      </c>
      <c r="N158">
        <v>-28</v>
      </c>
      <c r="O158" t="s">
        <v>135</v>
      </c>
      <c r="P158" s="127" t="s">
        <v>318</v>
      </c>
      <c r="Q158" s="2" t="s">
        <v>321</v>
      </c>
      <c r="R158">
        <v>133</v>
      </c>
      <c r="S158" s="2">
        <v>26</v>
      </c>
      <c r="T158" t="s">
        <v>297</v>
      </c>
      <c r="U158" t="s">
        <v>300</v>
      </c>
      <c r="V158" t="s">
        <v>314</v>
      </c>
      <c r="W158" s="41"/>
      <c r="X158" s="41"/>
      <c r="Y158" s="34"/>
      <c r="Z158" s="34"/>
      <c r="AA158" s="35">
        <f>IF(TA[[#This Row],[Work Start time on Fault]]="NA","",(TA[[#This Row],[Fault Acknowledgement Time ]]-TA[[#This Row],[Fault Time]])*24)</f>
        <v>0</v>
      </c>
      <c r="AB158" s="35">
        <f>(TA[[#This Row],[Work Start time on Fault]]-TA[[#This Row],[Fault Time]])*24</f>
        <v>0</v>
      </c>
      <c r="AC158" s="34">
        <f>(TA[[#This Row],[Work Completion time on fault]]-TA[[#This Row],[Fault Time]])*24</f>
        <v>0</v>
      </c>
      <c r="AD158" s="35">
        <f>IFERROR((TA[[#This Row],[Work Completion time on fault]]-TA[[#This Row],[Fault Time]])*24,"")</f>
        <v>0</v>
      </c>
      <c r="AE158" t="s">
        <v>328</v>
      </c>
      <c r="AF158" t="s">
        <v>256</v>
      </c>
      <c r="AG158" s="2"/>
      <c r="AH158" s="44">
        <f>1-COS(RADIANS(TA[[#This Row],[Avg. Target Angle during Fault Time (Radians)]]-TA[[#This Row],[Angle of affected equipment ]]))</f>
        <v>0.11705240714107301</v>
      </c>
      <c r="AI158" s="35">
        <f>IFERROR(TA[[#This Row],[Breakdown Time]]*TA[[#This Row],[Plant Equivalent Weightage]],"")</f>
        <v>0</v>
      </c>
    </row>
    <row r="159" spans="1:35">
      <c r="A159" s="2">
        <f t="shared" si="7"/>
        <v>156</v>
      </c>
      <c r="B159" s="156">
        <f t="shared" si="8"/>
        <v>2026</v>
      </c>
      <c r="C159" s="129">
        <f t="shared" si="9"/>
        <v>2025</v>
      </c>
      <c r="D159" s="2" t="s">
        <v>155</v>
      </c>
      <c r="E159" s="2" t="s">
        <v>155</v>
      </c>
      <c r="F159" s="39">
        <v>45748</v>
      </c>
      <c r="G159" s="2">
        <f>DAY(EOMONTH(TA[[#This Row],[Month Year]],0))</f>
        <v>30</v>
      </c>
      <c r="H159" s="21">
        <v>45755</v>
      </c>
      <c r="I159" s="41">
        <f>IFERROR(VLOOKUP(TA[[#This Row],[Date]],Raw_Data[[Date]:[Sunset Time (POA&lt;20 W/m2)]],3,0),"")</f>
        <v>0.2638888888888889</v>
      </c>
      <c r="J159" s="41">
        <f>IFERROR(VLOOKUP(TA[[#This Row],[Date]],Raw_Data[[Date]:[Sunset Time (POA&lt;20 W/m2)]],4,0),"")</f>
        <v>0.76111111111111107</v>
      </c>
      <c r="K159" s="35">
        <f>IFERROR((TA[[#This Row],[Sunset Time (POA&lt;20 W/m2)]]-TA[[#This Row],[Sunrise Time (POA&gt;20 W/m2)]])*24,"")</f>
        <v>11.933333333333332</v>
      </c>
      <c r="L159" s="2" t="s">
        <v>294</v>
      </c>
      <c r="M159" s="42">
        <f>IFERROR(VLOOKUP(TA[[#This Row],[Affected Equipment]],'Basic Data'!$I$2:$K$40,3,0),"")</f>
        <v>1.7241379310344799E-3</v>
      </c>
      <c r="N159">
        <v>-28</v>
      </c>
      <c r="O159" t="s">
        <v>133</v>
      </c>
      <c r="P159" s="127" t="s">
        <v>316</v>
      </c>
      <c r="Q159" s="126" t="s">
        <v>317</v>
      </c>
      <c r="R159">
        <v>7</v>
      </c>
      <c r="S159" s="2">
        <v>32</v>
      </c>
      <c r="T159" t="s">
        <v>295</v>
      </c>
      <c r="U159" t="s">
        <v>300</v>
      </c>
      <c r="V159" t="s">
        <v>298</v>
      </c>
      <c r="W159" s="41"/>
      <c r="X159" s="41"/>
      <c r="Y159" s="34"/>
      <c r="Z159" s="34"/>
      <c r="AA159" s="35">
        <f>IF(TA[[#This Row],[Work Start time on Fault]]="NA","",(TA[[#This Row],[Fault Acknowledgement Time ]]-TA[[#This Row],[Fault Time]])*24)</f>
        <v>0</v>
      </c>
      <c r="AB159" s="35">
        <f>(TA[[#This Row],[Work Start time on Fault]]-TA[[#This Row],[Fault Time]])*24</f>
        <v>0</v>
      </c>
      <c r="AC159" s="34">
        <f>(TA[[#This Row],[Work Completion time on fault]]-TA[[#This Row],[Fault Time]])*24</f>
        <v>0</v>
      </c>
      <c r="AD159" s="35">
        <f>IFERROR((TA[[#This Row],[Work Completion time on fault]]-TA[[#This Row],[Fault Time]])*24,"")</f>
        <v>0</v>
      </c>
      <c r="AE159" t="s">
        <v>328</v>
      </c>
      <c r="AF159" t="s">
        <v>256</v>
      </c>
      <c r="AG159" s="2"/>
      <c r="AH159" s="44">
        <f>1-COS(RADIANS(TA[[#This Row],[Avg. Target Angle during Fault Time (Radians)]]-TA[[#This Row],[Angle of affected equipment ]]))</f>
        <v>0.11705240714107301</v>
      </c>
      <c r="AI159" s="35">
        <f>IFERROR(TA[[#This Row],[Breakdown Time]]*TA[[#This Row],[Plant Equivalent Weightage]],"")</f>
        <v>0</v>
      </c>
    </row>
    <row r="160" spans="1:35">
      <c r="A160" s="2">
        <f t="shared" si="7"/>
        <v>157</v>
      </c>
      <c r="B160" s="156">
        <f t="shared" si="8"/>
        <v>2026</v>
      </c>
      <c r="C160" s="129">
        <f t="shared" si="9"/>
        <v>2025</v>
      </c>
      <c r="D160" s="2" t="s">
        <v>155</v>
      </c>
      <c r="E160" s="2" t="s">
        <v>155</v>
      </c>
      <c r="F160" s="39">
        <v>45748</v>
      </c>
      <c r="G160" s="2">
        <f>DAY(EOMONTH(TA[[#This Row],[Month Year]],0))</f>
        <v>30</v>
      </c>
      <c r="H160" s="21">
        <v>45755</v>
      </c>
      <c r="I160" s="41">
        <f>IFERROR(VLOOKUP(TA[[#This Row],[Date]],Raw_Data[[Date]:[Sunset Time (POA&lt;20 W/m2)]],3,0),"")</f>
        <v>0.2638888888888889</v>
      </c>
      <c r="J160" s="41">
        <f>IFERROR(VLOOKUP(TA[[#This Row],[Date]],Raw_Data[[Date]:[Sunset Time (POA&lt;20 W/m2)]],4,0),"")</f>
        <v>0.76111111111111107</v>
      </c>
      <c r="K160" s="35">
        <f>IFERROR((TA[[#This Row],[Sunset Time (POA&lt;20 W/m2)]]-TA[[#This Row],[Sunrise Time (POA&gt;20 W/m2)]])*24,"")</f>
        <v>11.933333333333332</v>
      </c>
      <c r="L160" s="2" t="s">
        <v>294</v>
      </c>
      <c r="M160" s="42">
        <f>IFERROR(VLOOKUP(TA[[#This Row],[Affected Equipment]],'Basic Data'!$I$2:$K$40,3,0),"")</f>
        <v>1.7241379310344799E-3</v>
      </c>
      <c r="N160">
        <v>-28</v>
      </c>
      <c r="O160" t="s">
        <v>137</v>
      </c>
      <c r="P160" s="127" t="s">
        <v>315</v>
      </c>
      <c r="Q160" s="126" t="s">
        <v>319</v>
      </c>
      <c r="R160">
        <v>166</v>
      </c>
      <c r="S160" s="2">
        <v>91</v>
      </c>
      <c r="T160" t="s">
        <v>295</v>
      </c>
      <c r="U160" t="s">
        <v>300</v>
      </c>
      <c r="V160" t="s">
        <v>298</v>
      </c>
      <c r="W160" s="41"/>
      <c r="X160" s="41"/>
      <c r="Y160" s="34"/>
      <c r="Z160" s="34"/>
      <c r="AA160" s="35">
        <f>IF(TA[[#This Row],[Work Start time on Fault]]="NA","",(TA[[#This Row],[Fault Acknowledgement Time ]]-TA[[#This Row],[Fault Time]])*24)</f>
        <v>0</v>
      </c>
      <c r="AB160" s="35">
        <f>(TA[[#This Row],[Work Start time on Fault]]-TA[[#This Row],[Fault Time]])*24</f>
        <v>0</v>
      </c>
      <c r="AC160" s="34">
        <f>(TA[[#This Row],[Work Completion time on fault]]-TA[[#This Row],[Fault Time]])*24</f>
        <v>0</v>
      </c>
      <c r="AD160" s="35">
        <f>IFERROR((TA[[#This Row],[Work Completion time on fault]]-TA[[#This Row],[Fault Time]])*24,"")</f>
        <v>0</v>
      </c>
      <c r="AE160" t="s">
        <v>328</v>
      </c>
      <c r="AF160" t="s">
        <v>256</v>
      </c>
      <c r="AG160" s="2"/>
      <c r="AH160" s="44">
        <f>1-COS(RADIANS(TA[[#This Row],[Avg. Target Angle during Fault Time (Radians)]]-TA[[#This Row],[Angle of affected equipment ]]))</f>
        <v>0.11705240714107301</v>
      </c>
      <c r="AI160" s="35">
        <f>IFERROR(TA[[#This Row],[Breakdown Time]]*TA[[#This Row],[Plant Equivalent Weightage]],"")</f>
        <v>0</v>
      </c>
    </row>
    <row r="161" spans="1:35">
      <c r="A161" s="2">
        <f t="shared" si="7"/>
        <v>158</v>
      </c>
      <c r="B161" s="156">
        <f t="shared" si="8"/>
        <v>2026</v>
      </c>
      <c r="C161" s="129">
        <f t="shared" si="9"/>
        <v>2025</v>
      </c>
      <c r="D161" s="2" t="s">
        <v>155</v>
      </c>
      <c r="E161" s="2" t="s">
        <v>155</v>
      </c>
      <c r="F161" s="39">
        <v>45748</v>
      </c>
      <c r="G161" s="2">
        <f>DAY(EOMONTH(TA[[#This Row],[Month Year]],0))</f>
        <v>30</v>
      </c>
      <c r="H161" s="21">
        <v>45755</v>
      </c>
      <c r="I161" s="41">
        <f>IFERROR(VLOOKUP(TA[[#This Row],[Date]],Raw_Data[[Date]:[Sunset Time (POA&lt;20 W/m2)]],3,0),"")</f>
        <v>0.2638888888888889</v>
      </c>
      <c r="J161" s="41">
        <f>IFERROR(VLOOKUP(TA[[#This Row],[Date]],Raw_Data[[Date]:[Sunset Time (POA&lt;20 W/m2)]],4,0),"")</f>
        <v>0.76111111111111107</v>
      </c>
      <c r="K161" s="35">
        <f>IFERROR((TA[[#This Row],[Sunset Time (POA&lt;20 W/m2)]]-TA[[#This Row],[Sunrise Time (POA&gt;20 W/m2)]])*24,"")</f>
        <v>11.933333333333332</v>
      </c>
      <c r="L161" s="2" t="s">
        <v>294</v>
      </c>
      <c r="M161" s="42">
        <f>IFERROR(VLOOKUP(TA[[#This Row],[Affected Equipment]],'Basic Data'!$I$2:$K$40,3,0),"")</f>
        <v>1.7241379310344799E-3</v>
      </c>
      <c r="N161">
        <v>-28</v>
      </c>
      <c r="O161" t="s">
        <v>133</v>
      </c>
      <c r="P161" s="127" t="s">
        <v>316</v>
      </c>
      <c r="Q161" s="126" t="s">
        <v>316</v>
      </c>
      <c r="R161">
        <v>117</v>
      </c>
      <c r="S161" s="2">
        <v>20</v>
      </c>
      <c r="T161" t="s">
        <v>295</v>
      </c>
      <c r="U161" t="s">
        <v>300</v>
      </c>
      <c r="V161" t="s">
        <v>298</v>
      </c>
      <c r="W161" s="41"/>
      <c r="X161" s="41"/>
      <c r="Y161" s="34"/>
      <c r="Z161" s="34"/>
      <c r="AA161" s="35">
        <f>IF(TA[[#This Row],[Work Start time on Fault]]="NA","",(TA[[#This Row],[Fault Acknowledgement Time ]]-TA[[#This Row],[Fault Time]])*24)</f>
        <v>0</v>
      </c>
      <c r="AB161" s="35">
        <f>(TA[[#This Row],[Work Start time on Fault]]-TA[[#This Row],[Fault Time]])*24</f>
        <v>0</v>
      </c>
      <c r="AC161" s="34">
        <f>(TA[[#This Row],[Work Completion time on fault]]-TA[[#This Row],[Fault Time]])*24</f>
        <v>0</v>
      </c>
      <c r="AD161" s="35">
        <f>IFERROR((TA[[#This Row],[Work Completion time on fault]]-TA[[#This Row],[Fault Time]])*24,"")</f>
        <v>0</v>
      </c>
      <c r="AE161" t="s">
        <v>328</v>
      </c>
      <c r="AF161" t="s">
        <v>256</v>
      </c>
      <c r="AG161" s="2"/>
      <c r="AH161" s="44">
        <f>1-COS(RADIANS(TA[[#This Row],[Avg. Target Angle during Fault Time (Radians)]]-TA[[#This Row],[Angle of affected equipment ]]))</f>
        <v>0.11705240714107301</v>
      </c>
      <c r="AI161" s="35">
        <f>IFERROR(TA[[#This Row],[Breakdown Time]]*TA[[#This Row],[Plant Equivalent Weightage]],"")</f>
        <v>0</v>
      </c>
    </row>
    <row r="162" spans="1:35">
      <c r="A162" s="2">
        <f t="shared" si="7"/>
        <v>159</v>
      </c>
      <c r="B162" s="156">
        <f t="shared" si="8"/>
        <v>2026</v>
      </c>
      <c r="C162" s="129">
        <f t="shared" si="9"/>
        <v>2025</v>
      </c>
      <c r="D162" s="2" t="s">
        <v>155</v>
      </c>
      <c r="E162" s="2" t="s">
        <v>155</v>
      </c>
      <c r="F162" s="39">
        <v>45748</v>
      </c>
      <c r="G162" s="2">
        <f>DAY(EOMONTH(TA[[#This Row],[Month Year]],0))</f>
        <v>30</v>
      </c>
      <c r="H162" s="21">
        <v>45755</v>
      </c>
      <c r="I162" s="41">
        <f>IFERROR(VLOOKUP(TA[[#This Row],[Date]],Raw_Data[[Date]:[Sunset Time (POA&lt;20 W/m2)]],3,0),"")</f>
        <v>0.2638888888888889</v>
      </c>
      <c r="J162" s="41">
        <f>IFERROR(VLOOKUP(TA[[#This Row],[Date]],Raw_Data[[Date]:[Sunset Time (POA&lt;20 W/m2)]],4,0),"")</f>
        <v>0.76111111111111107</v>
      </c>
      <c r="K162" s="35">
        <f>IFERROR((TA[[#This Row],[Sunset Time (POA&lt;20 W/m2)]]-TA[[#This Row],[Sunrise Time (POA&gt;20 W/m2)]])*24,"")</f>
        <v>11.933333333333332</v>
      </c>
      <c r="L162" s="2" t="s">
        <v>294</v>
      </c>
      <c r="M162" s="42">
        <f>IFERROR(VLOOKUP(TA[[#This Row],[Affected Equipment]],'Basic Data'!$I$2:$K$40,3,0),"")</f>
        <v>1.7241379310344799E-3</v>
      </c>
      <c r="N162">
        <v>-28</v>
      </c>
      <c r="O162" t="s">
        <v>133</v>
      </c>
      <c r="P162" s="127" t="s">
        <v>316</v>
      </c>
      <c r="Q162" s="126" t="s">
        <v>316</v>
      </c>
      <c r="R162">
        <v>118</v>
      </c>
      <c r="S162" s="2">
        <v>22</v>
      </c>
      <c r="T162" t="s">
        <v>295</v>
      </c>
      <c r="U162" t="s">
        <v>300</v>
      </c>
      <c r="V162" t="s">
        <v>298</v>
      </c>
      <c r="W162" s="41"/>
      <c r="X162" s="41"/>
      <c r="Y162" s="34"/>
      <c r="Z162" s="34"/>
      <c r="AA162" s="35">
        <f>IF(TA[[#This Row],[Work Start time on Fault]]="NA","",(TA[[#This Row],[Fault Acknowledgement Time ]]-TA[[#This Row],[Fault Time]])*24)</f>
        <v>0</v>
      </c>
      <c r="AB162" s="35">
        <f>(TA[[#This Row],[Work Start time on Fault]]-TA[[#This Row],[Fault Time]])*24</f>
        <v>0</v>
      </c>
      <c r="AC162" s="34">
        <f>(TA[[#This Row],[Work Completion time on fault]]-TA[[#This Row],[Fault Time]])*24</f>
        <v>0</v>
      </c>
      <c r="AD162" s="35">
        <f>IFERROR((TA[[#This Row],[Work Completion time on fault]]-TA[[#This Row],[Fault Time]])*24,"")</f>
        <v>0</v>
      </c>
      <c r="AE162" t="s">
        <v>328</v>
      </c>
      <c r="AF162" t="s">
        <v>256</v>
      </c>
      <c r="AG162" s="2"/>
      <c r="AH162" s="44">
        <f>1-COS(RADIANS(TA[[#This Row],[Avg. Target Angle during Fault Time (Radians)]]-TA[[#This Row],[Angle of affected equipment ]]))</f>
        <v>0.11705240714107301</v>
      </c>
      <c r="AI162" s="35">
        <f>IFERROR(TA[[#This Row],[Breakdown Time]]*TA[[#This Row],[Plant Equivalent Weightage]],"")</f>
        <v>0</v>
      </c>
    </row>
    <row r="163" spans="1:35">
      <c r="A163" s="2">
        <f t="shared" ref="A163:A226" si="10">A162+1</f>
        <v>160</v>
      </c>
      <c r="B163" s="156">
        <f t="shared" si="8"/>
        <v>2026</v>
      </c>
      <c r="C163" s="129">
        <f t="shared" si="9"/>
        <v>2025</v>
      </c>
      <c r="D163" s="2" t="s">
        <v>155</v>
      </c>
      <c r="E163" s="2" t="s">
        <v>155</v>
      </c>
      <c r="F163" s="39">
        <v>45748</v>
      </c>
      <c r="G163" s="2">
        <f>DAY(EOMONTH(TA[[#This Row],[Month Year]],0))</f>
        <v>30</v>
      </c>
      <c r="H163" s="21">
        <v>45755</v>
      </c>
      <c r="I163" s="41">
        <f>IFERROR(VLOOKUP(TA[[#This Row],[Date]],Raw_Data[[Date]:[Sunset Time (POA&lt;20 W/m2)]],3,0),"")</f>
        <v>0.2638888888888889</v>
      </c>
      <c r="J163" s="41">
        <f>IFERROR(VLOOKUP(TA[[#This Row],[Date]],Raw_Data[[Date]:[Sunset Time (POA&lt;20 W/m2)]],4,0),"")</f>
        <v>0.76111111111111107</v>
      </c>
      <c r="K163" s="35">
        <f>IFERROR((TA[[#This Row],[Sunset Time (POA&lt;20 W/m2)]]-TA[[#This Row],[Sunrise Time (POA&gt;20 W/m2)]])*24,"")</f>
        <v>11.933333333333332</v>
      </c>
      <c r="L163" s="2" t="s">
        <v>296</v>
      </c>
      <c r="M163" s="42">
        <f>IFERROR(VLOOKUP(TA[[#This Row],[Affected Equipment]],'Basic Data'!$I$2:$K$40,3,0),"")</f>
        <v>8.6206896551724102E-3</v>
      </c>
      <c r="N163">
        <v>-28</v>
      </c>
      <c r="O163" t="s">
        <v>135</v>
      </c>
      <c r="P163" s="22" t="s">
        <v>323</v>
      </c>
      <c r="Q163" s="2" t="s">
        <v>329</v>
      </c>
      <c r="R163">
        <v>45</v>
      </c>
      <c r="S163" s="2">
        <v>8</v>
      </c>
      <c r="T163" t="s">
        <v>297</v>
      </c>
      <c r="U163" t="s">
        <v>326</v>
      </c>
      <c r="V163" t="s">
        <v>301</v>
      </c>
      <c r="W163" s="41">
        <f>IFERROR(VLOOKUP(TA[[#This Row],[Date]],Raw_Data[[Date]:[Sunset Time (POA&lt;20 W/m2)]],3,0),"")</f>
        <v>0.2638888888888889</v>
      </c>
      <c r="X163" s="41">
        <f>IFERROR(VLOOKUP(TA[[#This Row],[Date]],Raw_Data[[Date]:[Sunset Time (POA&lt;20 W/m2)]],3,0),"")</f>
        <v>0.2638888888888889</v>
      </c>
      <c r="Y163" s="34"/>
      <c r="Z163" s="34">
        <v>0.76041666666666663</v>
      </c>
      <c r="AA163" s="35">
        <f>IF(TA[[#This Row],[Work Start time on Fault]]="NA","",(TA[[#This Row],[Fault Acknowledgement Time ]]-TA[[#This Row],[Fault Time]])*24)</f>
        <v>0</v>
      </c>
      <c r="AB163" s="35">
        <f>(TA[[#This Row],[Work Start time on Fault]]-TA[[#This Row],[Fault Time]])*24</f>
        <v>-6.3333333333333339</v>
      </c>
      <c r="AC163" s="34">
        <f>(TA[[#This Row],[Work Completion time on fault]]-TA[[#This Row],[Fault Time]])*24</f>
        <v>11.916666666666666</v>
      </c>
      <c r="AD163" s="35">
        <f>IFERROR((TA[[#This Row],[Work Completion time on fault]]-TA[[#This Row],[Fault Time]])*24,"")</f>
        <v>11.916666666666666</v>
      </c>
      <c r="AE163" t="s">
        <v>309</v>
      </c>
      <c r="AF163" t="s">
        <v>256</v>
      </c>
      <c r="AG163" s="2"/>
      <c r="AH163" s="44">
        <f>1-COS(RADIANS(TA[[#This Row],[Avg. Target Angle during Fault Time (Radians)]]-TA[[#This Row],[Angle of affected equipment ]]))</f>
        <v>0.11705240714107301</v>
      </c>
      <c r="AI163" s="35">
        <f>IFERROR(TA[[#This Row],[Breakdown Time]]*TA[[#This Row],[Plant Equivalent Weightage]],"")</f>
        <v>0.10272988505747122</v>
      </c>
    </row>
    <row r="164" spans="1:35">
      <c r="A164" s="2">
        <f t="shared" si="10"/>
        <v>161</v>
      </c>
      <c r="B164" s="156">
        <f t="shared" si="8"/>
        <v>2026</v>
      </c>
      <c r="C164" s="129">
        <f t="shared" si="9"/>
        <v>2025</v>
      </c>
      <c r="D164" s="2" t="s">
        <v>155</v>
      </c>
      <c r="E164" s="2" t="s">
        <v>155</v>
      </c>
      <c r="F164" s="39">
        <v>45748</v>
      </c>
      <c r="G164" s="2">
        <f>DAY(EOMONTH(TA[[#This Row],[Month Year]],0))</f>
        <v>30</v>
      </c>
      <c r="H164" s="21">
        <v>45755</v>
      </c>
      <c r="I164" s="41">
        <f>IFERROR(VLOOKUP(TA[[#This Row],[Date]],Raw_Data[[Date]:[Sunset Time (POA&lt;20 W/m2)]],3,0),"")</f>
        <v>0.2638888888888889</v>
      </c>
      <c r="J164" s="41">
        <f>IFERROR(VLOOKUP(TA[[#This Row],[Date]],Raw_Data[[Date]:[Sunset Time (POA&lt;20 W/m2)]],4,0),"")</f>
        <v>0.76111111111111107</v>
      </c>
      <c r="K164" s="35">
        <f>IFERROR((TA[[#This Row],[Sunset Time (POA&lt;20 W/m2)]]-TA[[#This Row],[Sunrise Time (POA&gt;20 W/m2)]])*24,"")</f>
        <v>11.933333333333332</v>
      </c>
      <c r="L164" s="2" t="s">
        <v>296</v>
      </c>
      <c r="M164" s="42">
        <f>IFERROR(VLOOKUP(TA[[#This Row],[Affected Equipment]],'Basic Data'!$I$2:$K$40,3,0),"")</f>
        <v>8.6206896551724102E-3</v>
      </c>
      <c r="N164">
        <v>-28</v>
      </c>
      <c r="O164" t="s">
        <v>135</v>
      </c>
      <c r="P164" s="22" t="s">
        <v>323</v>
      </c>
      <c r="Q164" s="2" t="s">
        <v>329</v>
      </c>
      <c r="R164">
        <v>47</v>
      </c>
      <c r="S164" s="2">
        <v>18</v>
      </c>
      <c r="T164" t="s">
        <v>297</v>
      </c>
      <c r="U164" t="s">
        <v>326</v>
      </c>
      <c r="V164" t="s">
        <v>301</v>
      </c>
      <c r="W164" s="41">
        <f>IFERROR(VLOOKUP(TA[[#This Row],[Date]],Raw_Data[[Date]:[Sunset Time (POA&lt;20 W/m2)]],3,0),"")</f>
        <v>0.2638888888888889</v>
      </c>
      <c r="X164" s="41">
        <f>IFERROR(VLOOKUP(TA[[#This Row],[Date]],Raw_Data[[Date]:[Sunset Time (POA&lt;20 W/m2)]],3,0),"")</f>
        <v>0.2638888888888889</v>
      </c>
      <c r="Y164" s="34"/>
      <c r="Z164" s="34">
        <v>0.76041666666666663</v>
      </c>
      <c r="AA164" s="35">
        <f>IF(TA[[#This Row],[Work Start time on Fault]]="NA","",(TA[[#This Row],[Fault Acknowledgement Time ]]-TA[[#This Row],[Fault Time]])*24)</f>
        <v>0</v>
      </c>
      <c r="AB164" s="35">
        <f>(TA[[#This Row],[Work Start time on Fault]]-TA[[#This Row],[Fault Time]])*24</f>
        <v>-6.3333333333333339</v>
      </c>
      <c r="AC164" s="34">
        <f>(TA[[#This Row],[Work Completion time on fault]]-TA[[#This Row],[Fault Time]])*24</f>
        <v>11.916666666666666</v>
      </c>
      <c r="AD164" s="35">
        <f>IFERROR((TA[[#This Row],[Work Completion time on fault]]-TA[[#This Row],[Fault Time]])*24,"")</f>
        <v>11.916666666666666</v>
      </c>
      <c r="AE164" t="s">
        <v>309</v>
      </c>
      <c r="AF164" t="s">
        <v>256</v>
      </c>
      <c r="AG164" s="2"/>
      <c r="AH164" s="44">
        <f>1-COS(RADIANS(TA[[#This Row],[Avg. Target Angle during Fault Time (Radians)]]-TA[[#This Row],[Angle of affected equipment ]]))</f>
        <v>0.11705240714107301</v>
      </c>
      <c r="AI164" s="35">
        <f>IFERROR(TA[[#This Row],[Breakdown Time]]*TA[[#This Row],[Plant Equivalent Weightage]],"")</f>
        <v>0.10272988505747122</v>
      </c>
    </row>
    <row r="165" spans="1:35">
      <c r="A165" s="2">
        <f t="shared" si="10"/>
        <v>162</v>
      </c>
      <c r="B165" s="156">
        <f t="shared" si="8"/>
        <v>2026</v>
      </c>
      <c r="C165" s="129">
        <f t="shared" si="9"/>
        <v>2025</v>
      </c>
      <c r="D165" s="2" t="s">
        <v>155</v>
      </c>
      <c r="E165" s="2" t="s">
        <v>155</v>
      </c>
      <c r="F165" s="39">
        <v>45748</v>
      </c>
      <c r="G165" s="2">
        <f>DAY(EOMONTH(TA[[#This Row],[Month Year]],0))</f>
        <v>30</v>
      </c>
      <c r="H165" s="21">
        <v>45755</v>
      </c>
      <c r="I165" s="41">
        <f>IFERROR(VLOOKUP(TA[[#This Row],[Date]],Raw_Data[[Date]:[Sunset Time (POA&lt;20 W/m2)]],3,0),"")</f>
        <v>0.2638888888888889</v>
      </c>
      <c r="J165" s="41">
        <f>IFERROR(VLOOKUP(TA[[#This Row],[Date]],Raw_Data[[Date]:[Sunset Time (POA&lt;20 W/m2)]],4,0),"")</f>
        <v>0.76111111111111107</v>
      </c>
      <c r="K165" s="35">
        <f>IFERROR((TA[[#This Row],[Sunset Time (POA&lt;20 W/m2)]]-TA[[#This Row],[Sunrise Time (POA&gt;20 W/m2)]])*24,"")</f>
        <v>11.933333333333332</v>
      </c>
      <c r="L165" s="2" t="s">
        <v>296</v>
      </c>
      <c r="M165" s="42">
        <f>IFERROR(VLOOKUP(TA[[#This Row],[Affected Equipment]],'Basic Data'!$I$2:$K$40,3,0),"")</f>
        <v>8.6206896551724102E-3</v>
      </c>
      <c r="N165">
        <v>-28</v>
      </c>
      <c r="O165" t="s">
        <v>134</v>
      </c>
      <c r="P165" s="22" t="s">
        <v>330</v>
      </c>
      <c r="Q165" s="2" t="s">
        <v>323</v>
      </c>
      <c r="R165">
        <v>30</v>
      </c>
      <c r="S165" s="2">
        <v>57</v>
      </c>
      <c r="T165" t="s">
        <v>297</v>
      </c>
      <c r="U165" t="s">
        <v>326</v>
      </c>
      <c r="V165" t="s">
        <v>301</v>
      </c>
      <c r="W165" s="41">
        <f>IFERROR(VLOOKUP(TA[[#This Row],[Date]],Raw_Data[[Date]:[Sunset Time (POA&lt;20 W/m2)]],3,0),"")</f>
        <v>0.2638888888888889</v>
      </c>
      <c r="X165" s="41">
        <f>IFERROR(VLOOKUP(TA[[#This Row],[Date]],Raw_Data[[Date]:[Sunset Time (POA&lt;20 W/m2)]],3,0),"")</f>
        <v>0.2638888888888889</v>
      </c>
      <c r="Y165" s="34"/>
      <c r="Z165" s="34">
        <v>0.76041666666666663</v>
      </c>
      <c r="AA165" s="35">
        <f>IF(TA[[#This Row],[Work Start time on Fault]]="NA","",(TA[[#This Row],[Fault Acknowledgement Time ]]-TA[[#This Row],[Fault Time]])*24)</f>
        <v>0</v>
      </c>
      <c r="AB165" s="35">
        <f>(TA[[#This Row],[Work Start time on Fault]]-TA[[#This Row],[Fault Time]])*24</f>
        <v>-6.3333333333333339</v>
      </c>
      <c r="AC165" s="34">
        <f>(TA[[#This Row],[Work Completion time on fault]]-TA[[#This Row],[Fault Time]])*24</f>
        <v>11.916666666666666</v>
      </c>
      <c r="AD165" s="35">
        <f>IFERROR((TA[[#This Row],[Work Completion time on fault]]-TA[[#This Row],[Fault Time]])*24,"")</f>
        <v>11.916666666666666</v>
      </c>
      <c r="AE165" t="s">
        <v>309</v>
      </c>
      <c r="AF165" t="s">
        <v>256</v>
      </c>
      <c r="AG165" s="2"/>
      <c r="AH165" s="44">
        <f>1-COS(RADIANS(TA[[#This Row],[Avg. Target Angle during Fault Time (Radians)]]-TA[[#This Row],[Angle of affected equipment ]]))</f>
        <v>0.11705240714107301</v>
      </c>
      <c r="AI165" s="35">
        <f>IFERROR(TA[[#This Row],[Breakdown Time]]*TA[[#This Row],[Plant Equivalent Weightage]],"")</f>
        <v>0.10272988505747122</v>
      </c>
    </row>
    <row r="166" spans="1:35">
      <c r="A166" s="2">
        <f t="shared" si="10"/>
        <v>163</v>
      </c>
      <c r="B166" s="156">
        <f t="shared" si="8"/>
        <v>2026</v>
      </c>
      <c r="C166" s="129">
        <f t="shared" si="9"/>
        <v>2025</v>
      </c>
      <c r="D166" s="2" t="s">
        <v>155</v>
      </c>
      <c r="E166" s="2" t="s">
        <v>155</v>
      </c>
      <c r="F166" s="39">
        <v>45748</v>
      </c>
      <c r="G166" s="2">
        <f>DAY(EOMONTH(TA[[#This Row],[Month Year]],0))</f>
        <v>30</v>
      </c>
      <c r="H166" s="21">
        <v>45755</v>
      </c>
      <c r="I166" s="41">
        <f>IFERROR(VLOOKUP(TA[[#This Row],[Date]],Raw_Data[[Date]:[Sunset Time (POA&lt;20 W/m2)]],3,0),"")</f>
        <v>0.2638888888888889</v>
      </c>
      <c r="J166" s="41">
        <f>IFERROR(VLOOKUP(TA[[#This Row],[Date]],Raw_Data[[Date]:[Sunset Time (POA&lt;20 W/m2)]],4,0),"")</f>
        <v>0.76111111111111107</v>
      </c>
      <c r="K166" s="35">
        <f>IFERROR((TA[[#This Row],[Sunset Time (POA&lt;20 W/m2)]]-TA[[#This Row],[Sunrise Time (POA&gt;20 W/m2)]])*24,"")</f>
        <v>11.933333333333332</v>
      </c>
      <c r="L166" s="2" t="s">
        <v>296</v>
      </c>
      <c r="M166" s="42">
        <f>IFERROR(VLOOKUP(TA[[#This Row],[Affected Equipment]],'Basic Data'!$I$2:$K$40,3,0),"")</f>
        <v>8.6206896551724102E-3</v>
      </c>
      <c r="N166">
        <v>-28</v>
      </c>
      <c r="O166" t="s">
        <v>134</v>
      </c>
      <c r="P166" s="22" t="s">
        <v>330</v>
      </c>
      <c r="Q166" s="2" t="s">
        <v>323</v>
      </c>
      <c r="R166">
        <v>31</v>
      </c>
      <c r="S166" s="2">
        <v>61</v>
      </c>
      <c r="T166" t="s">
        <v>297</v>
      </c>
      <c r="U166" t="s">
        <v>326</v>
      </c>
      <c r="V166" t="s">
        <v>301</v>
      </c>
      <c r="W166" s="41">
        <f>IFERROR(VLOOKUP(TA[[#This Row],[Date]],Raw_Data[[Date]:[Sunset Time (POA&lt;20 W/m2)]],3,0),"")</f>
        <v>0.2638888888888889</v>
      </c>
      <c r="X166" s="41">
        <f>IFERROR(VLOOKUP(TA[[#This Row],[Date]],Raw_Data[[Date]:[Sunset Time (POA&lt;20 W/m2)]],3,0),"")</f>
        <v>0.2638888888888889</v>
      </c>
      <c r="Y166" s="34"/>
      <c r="Z166" s="34">
        <v>0.76041666666666663</v>
      </c>
      <c r="AA166" s="35">
        <f>IF(TA[[#This Row],[Work Start time on Fault]]="NA","",(TA[[#This Row],[Fault Acknowledgement Time ]]-TA[[#This Row],[Fault Time]])*24)</f>
        <v>0</v>
      </c>
      <c r="AB166" s="35">
        <f>(TA[[#This Row],[Work Start time on Fault]]-TA[[#This Row],[Fault Time]])*24</f>
        <v>-6.3333333333333339</v>
      </c>
      <c r="AC166" s="34">
        <f>(TA[[#This Row],[Work Completion time on fault]]-TA[[#This Row],[Fault Time]])*24</f>
        <v>11.916666666666666</v>
      </c>
      <c r="AD166" s="35">
        <f>IFERROR((TA[[#This Row],[Work Completion time on fault]]-TA[[#This Row],[Fault Time]])*24,"")</f>
        <v>11.916666666666666</v>
      </c>
      <c r="AE166" t="s">
        <v>309</v>
      </c>
      <c r="AF166" t="s">
        <v>256</v>
      </c>
      <c r="AG166" s="2"/>
      <c r="AH166" s="44">
        <f>1-COS(RADIANS(TA[[#This Row],[Avg. Target Angle during Fault Time (Radians)]]-TA[[#This Row],[Angle of affected equipment ]]))</f>
        <v>0.11705240714107301</v>
      </c>
      <c r="AI166" s="35">
        <f>IFERROR(TA[[#This Row],[Breakdown Time]]*TA[[#This Row],[Plant Equivalent Weightage]],"")</f>
        <v>0.10272988505747122</v>
      </c>
    </row>
    <row r="167" spans="1:35">
      <c r="A167" s="2">
        <f t="shared" si="10"/>
        <v>164</v>
      </c>
      <c r="B167" s="156">
        <f t="shared" si="8"/>
        <v>2026</v>
      </c>
      <c r="C167" s="129">
        <f t="shared" si="9"/>
        <v>2025</v>
      </c>
      <c r="D167" s="2" t="s">
        <v>155</v>
      </c>
      <c r="E167" s="2" t="s">
        <v>155</v>
      </c>
      <c r="F167" s="39">
        <v>45748</v>
      </c>
      <c r="G167" s="2">
        <f>DAY(EOMONTH(TA[[#This Row],[Month Year]],0))</f>
        <v>30</v>
      </c>
      <c r="H167" s="21">
        <v>45755</v>
      </c>
      <c r="I167" s="41">
        <f>IFERROR(VLOOKUP(TA[[#This Row],[Date]],Raw_Data[[Date]:[Sunset Time (POA&lt;20 W/m2)]],3,0),"")</f>
        <v>0.2638888888888889</v>
      </c>
      <c r="J167" s="41">
        <f>IFERROR(VLOOKUP(TA[[#This Row],[Date]],Raw_Data[[Date]:[Sunset Time (POA&lt;20 W/m2)]],4,0),"")</f>
        <v>0.76111111111111107</v>
      </c>
      <c r="K167" s="35">
        <f>IFERROR((TA[[#This Row],[Sunset Time (POA&lt;20 W/m2)]]-TA[[#This Row],[Sunrise Time (POA&gt;20 W/m2)]])*24,"")</f>
        <v>11.933333333333332</v>
      </c>
      <c r="L167" s="2" t="s">
        <v>312</v>
      </c>
      <c r="M167" s="42">
        <f>IFERROR(VLOOKUP(TA[[#This Row],[Affected Equipment]],'Basic Data'!$I$2:$K$40,3,0),"")</f>
        <v>5.74712643678161E-3</v>
      </c>
      <c r="N167">
        <v>-28</v>
      </c>
      <c r="O167" t="s">
        <v>133</v>
      </c>
      <c r="P167" s="22" t="s">
        <v>330</v>
      </c>
      <c r="Q167" s="2" t="s">
        <v>323</v>
      </c>
      <c r="R167">
        <v>26</v>
      </c>
      <c r="S167" s="2">
        <v>37</v>
      </c>
      <c r="T167" t="s">
        <v>297</v>
      </c>
      <c r="U167" t="s">
        <v>326</v>
      </c>
      <c r="V167" t="s">
        <v>301</v>
      </c>
      <c r="W167" s="41">
        <f>IFERROR(VLOOKUP(TA[[#This Row],[Date]],Raw_Data[[Date]:[Sunset Time (POA&lt;20 W/m2)]],3,0),"")</f>
        <v>0.2638888888888889</v>
      </c>
      <c r="X167" s="41">
        <f>IFERROR(VLOOKUP(TA[[#This Row],[Date]],Raw_Data[[Date]:[Sunset Time (POA&lt;20 W/m2)]],3,0),"")</f>
        <v>0.2638888888888889</v>
      </c>
      <c r="Y167" s="34"/>
      <c r="Z167" s="34">
        <v>0.76041666666666663</v>
      </c>
      <c r="AA167" s="35">
        <f>IF(TA[[#This Row],[Work Start time on Fault]]="NA","",(TA[[#This Row],[Fault Acknowledgement Time ]]-TA[[#This Row],[Fault Time]])*24)</f>
        <v>0</v>
      </c>
      <c r="AB167" s="35">
        <f>(TA[[#This Row],[Work Start time on Fault]]-TA[[#This Row],[Fault Time]])*24</f>
        <v>-6.3333333333333339</v>
      </c>
      <c r="AC167" s="34">
        <f>(TA[[#This Row],[Work Completion time on fault]]-TA[[#This Row],[Fault Time]])*24</f>
        <v>11.916666666666666</v>
      </c>
      <c r="AD167" s="35">
        <f>IFERROR((TA[[#This Row],[Work Completion time on fault]]-TA[[#This Row],[Fault Time]])*24,"")</f>
        <v>11.916666666666666</v>
      </c>
      <c r="AE167" t="s">
        <v>309</v>
      </c>
      <c r="AF167" t="s">
        <v>256</v>
      </c>
      <c r="AG167" s="2"/>
      <c r="AH167" s="44">
        <f>1-COS(RADIANS(TA[[#This Row],[Avg. Target Angle during Fault Time (Radians)]]-TA[[#This Row],[Angle of affected equipment ]]))</f>
        <v>0.11705240714107301</v>
      </c>
      <c r="AI167" s="35">
        <f>IFERROR(TA[[#This Row],[Breakdown Time]]*TA[[#This Row],[Plant Equivalent Weightage]],"")</f>
        <v>6.8486590038314185E-2</v>
      </c>
    </row>
    <row r="168" spans="1:35">
      <c r="A168" s="2">
        <f t="shared" si="10"/>
        <v>165</v>
      </c>
      <c r="B168" s="156">
        <f t="shared" si="8"/>
        <v>2026</v>
      </c>
      <c r="C168" s="129">
        <f t="shared" si="9"/>
        <v>2025</v>
      </c>
      <c r="D168" s="2" t="s">
        <v>155</v>
      </c>
      <c r="E168" s="2" t="s">
        <v>155</v>
      </c>
      <c r="F168" s="39">
        <v>45748</v>
      </c>
      <c r="G168" s="2">
        <f>DAY(EOMONTH(TA[[#This Row],[Month Year]],0))</f>
        <v>30</v>
      </c>
      <c r="H168" s="21">
        <v>45755</v>
      </c>
      <c r="I168" s="41">
        <f>IFERROR(VLOOKUP(TA[[#This Row],[Date]],Raw_Data[[Date]:[Sunset Time (POA&lt;20 W/m2)]],3,0),"")</f>
        <v>0.2638888888888889</v>
      </c>
      <c r="J168" s="41">
        <f>IFERROR(VLOOKUP(TA[[#This Row],[Date]],Raw_Data[[Date]:[Sunset Time (POA&lt;20 W/m2)]],4,0),"")</f>
        <v>0.76111111111111107</v>
      </c>
      <c r="K168" s="35">
        <f>IFERROR((TA[[#This Row],[Sunset Time (POA&lt;20 W/m2)]]-TA[[#This Row],[Sunrise Time (POA&gt;20 W/m2)]])*24,"")</f>
        <v>11.933333333333332</v>
      </c>
      <c r="L168" s="2" t="s">
        <v>312</v>
      </c>
      <c r="M168" s="42">
        <f>IFERROR(VLOOKUP(TA[[#This Row],[Affected Equipment]],'Basic Data'!$I$2:$K$40,3,0),"")</f>
        <v>5.74712643678161E-3</v>
      </c>
      <c r="N168">
        <v>-28</v>
      </c>
      <c r="O168" t="s">
        <v>133</v>
      </c>
      <c r="P168" s="22" t="s">
        <v>330</v>
      </c>
      <c r="Q168" s="2" t="s">
        <v>323</v>
      </c>
      <c r="R168">
        <v>27</v>
      </c>
      <c r="S168" s="2">
        <v>42</v>
      </c>
      <c r="T168" t="s">
        <v>297</v>
      </c>
      <c r="U168" t="s">
        <v>326</v>
      </c>
      <c r="V168" t="s">
        <v>301</v>
      </c>
      <c r="W168" s="41">
        <f>IFERROR(VLOOKUP(TA[[#This Row],[Date]],Raw_Data[[Date]:[Sunset Time (POA&lt;20 W/m2)]],3,0),"")</f>
        <v>0.2638888888888889</v>
      </c>
      <c r="X168" s="41">
        <f>IFERROR(VLOOKUP(TA[[#This Row],[Date]],Raw_Data[[Date]:[Sunset Time (POA&lt;20 W/m2)]],3,0),"")</f>
        <v>0.2638888888888889</v>
      </c>
      <c r="Y168" s="34"/>
      <c r="Z168" s="34">
        <v>0.76041666666666663</v>
      </c>
      <c r="AA168" s="35">
        <f>IF(TA[[#This Row],[Work Start time on Fault]]="NA","",(TA[[#This Row],[Fault Acknowledgement Time ]]-TA[[#This Row],[Fault Time]])*24)</f>
        <v>0</v>
      </c>
      <c r="AB168" s="35">
        <f>(TA[[#This Row],[Work Start time on Fault]]-TA[[#This Row],[Fault Time]])*24</f>
        <v>-6.3333333333333339</v>
      </c>
      <c r="AC168" s="34">
        <f>(TA[[#This Row],[Work Completion time on fault]]-TA[[#This Row],[Fault Time]])*24</f>
        <v>11.916666666666666</v>
      </c>
      <c r="AD168" s="35">
        <f>IFERROR((TA[[#This Row],[Work Completion time on fault]]-TA[[#This Row],[Fault Time]])*24,"")</f>
        <v>11.916666666666666</v>
      </c>
      <c r="AE168" t="s">
        <v>309</v>
      </c>
      <c r="AF168" t="s">
        <v>256</v>
      </c>
      <c r="AG168" s="2"/>
      <c r="AH168" s="44">
        <f>1-COS(RADIANS(TA[[#This Row],[Avg. Target Angle during Fault Time (Radians)]]-TA[[#This Row],[Angle of affected equipment ]]))</f>
        <v>0.11705240714107301</v>
      </c>
      <c r="AI168" s="35">
        <f>IFERROR(TA[[#This Row],[Breakdown Time]]*TA[[#This Row],[Plant Equivalent Weightage]],"")</f>
        <v>6.8486590038314185E-2</v>
      </c>
    </row>
    <row r="169" spans="1:35">
      <c r="A169" s="2">
        <f t="shared" si="10"/>
        <v>166</v>
      </c>
      <c r="B169" s="156">
        <f t="shared" si="8"/>
        <v>2026</v>
      </c>
      <c r="C169" s="129">
        <f t="shared" si="9"/>
        <v>2025</v>
      </c>
      <c r="D169" s="2" t="s">
        <v>155</v>
      </c>
      <c r="E169" s="2" t="s">
        <v>155</v>
      </c>
      <c r="F169" s="39">
        <v>45748</v>
      </c>
      <c r="G169" s="2">
        <f>DAY(EOMONTH(TA[[#This Row],[Month Year]],0))</f>
        <v>30</v>
      </c>
      <c r="H169" s="21">
        <v>45756</v>
      </c>
      <c r="I169" s="41">
        <f>IFERROR(VLOOKUP(TA[[#This Row],[Date]],Raw_Data[[Date]:[Sunset Time (POA&lt;20 W/m2)]],3,0),"")</f>
        <v>0.26527777777777778</v>
      </c>
      <c r="J169" s="41">
        <f>IFERROR(VLOOKUP(TA[[#This Row],[Date]],Raw_Data[[Date]:[Sunset Time (POA&lt;20 W/m2)]],4,0),"")</f>
        <v>0.7680555555555556</v>
      </c>
      <c r="K169" s="35">
        <f>IFERROR((TA[[#This Row],[Sunset Time (POA&lt;20 W/m2)]]-TA[[#This Row],[Sunrise Time (POA&gt;20 W/m2)]])*24,"")</f>
        <v>12.066666666666666</v>
      </c>
      <c r="L169" s="2" t="s">
        <v>294</v>
      </c>
      <c r="M169" s="42">
        <f>IFERROR(VLOOKUP(TA[[#This Row],[Affected Equipment]],'Basic Data'!$I$2:$K$40,3,0),"")</f>
        <v>1.7241379310344799E-3</v>
      </c>
      <c r="N169">
        <v>-28</v>
      </c>
      <c r="O169" t="s">
        <v>135</v>
      </c>
      <c r="P169" s="127" t="s">
        <v>318</v>
      </c>
      <c r="Q169" s="126" t="s">
        <v>318</v>
      </c>
      <c r="R169">
        <v>130</v>
      </c>
      <c r="S169" s="2">
        <v>36</v>
      </c>
      <c r="T169" t="s">
        <v>295</v>
      </c>
      <c r="U169" t="s">
        <v>300</v>
      </c>
      <c r="V169" t="s">
        <v>298</v>
      </c>
      <c r="W169" s="41"/>
      <c r="X169" s="41"/>
      <c r="Y169" s="34"/>
      <c r="Z169" s="34"/>
      <c r="AA169" s="35">
        <f>IF(TA[[#This Row],[Work Start time on Fault]]="NA","",(TA[[#This Row],[Fault Acknowledgement Time ]]-TA[[#This Row],[Fault Time]])*24)</f>
        <v>0</v>
      </c>
      <c r="AB169" s="35">
        <f>(TA[[#This Row],[Work Start time on Fault]]-TA[[#This Row],[Fault Time]])*24</f>
        <v>0</v>
      </c>
      <c r="AC169" s="34">
        <f>(TA[[#This Row],[Work Completion time on fault]]-TA[[#This Row],[Fault Time]])*24</f>
        <v>0</v>
      </c>
      <c r="AD169" s="35">
        <f>IFERROR((TA[[#This Row],[Work Completion time on fault]]-TA[[#This Row],[Fault Time]])*24,"")</f>
        <v>0</v>
      </c>
      <c r="AE169" t="s">
        <v>328</v>
      </c>
      <c r="AF169" t="s">
        <v>256</v>
      </c>
      <c r="AG169" s="2"/>
      <c r="AH169" s="44">
        <f>1-COS(RADIANS(TA[[#This Row],[Avg. Target Angle during Fault Time (Radians)]]-TA[[#This Row],[Angle of affected equipment ]]))</f>
        <v>0.11705240714107301</v>
      </c>
      <c r="AI169" s="35">
        <f>IFERROR(TA[[#This Row],[Breakdown Time]]*TA[[#This Row],[Plant Equivalent Weightage]],"")</f>
        <v>0</v>
      </c>
    </row>
    <row r="170" spans="1:35">
      <c r="A170" s="2">
        <f t="shared" si="10"/>
        <v>167</v>
      </c>
      <c r="B170" s="156">
        <f t="shared" si="8"/>
        <v>2026</v>
      </c>
      <c r="C170" s="129">
        <f t="shared" si="9"/>
        <v>2025</v>
      </c>
      <c r="D170" s="2" t="s">
        <v>155</v>
      </c>
      <c r="E170" s="2" t="s">
        <v>155</v>
      </c>
      <c r="F170" s="39">
        <v>45748</v>
      </c>
      <c r="G170" s="2">
        <f>DAY(EOMONTH(TA[[#This Row],[Month Year]],0))</f>
        <v>30</v>
      </c>
      <c r="H170" s="21">
        <v>45756</v>
      </c>
      <c r="I170" s="41">
        <f>IFERROR(VLOOKUP(TA[[#This Row],[Date]],Raw_Data[[Date]:[Sunset Time (POA&lt;20 W/m2)]],3,0),"")</f>
        <v>0.26527777777777778</v>
      </c>
      <c r="J170" s="41">
        <f>IFERROR(VLOOKUP(TA[[#This Row],[Date]],Raw_Data[[Date]:[Sunset Time (POA&lt;20 W/m2)]],4,0),"")</f>
        <v>0.7680555555555556</v>
      </c>
      <c r="K170" s="35">
        <f>IFERROR((TA[[#This Row],[Sunset Time (POA&lt;20 W/m2)]]-TA[[#This Row],[Sunrise Time (POA&gt;20 W/m2)]])*24,"")</f>
        <v>12.066666666666666</v>
      </c>
      <c r="L170" s="2" t="s">
        <v>294</v>
      </c>
      <c r="M170" s="42">
        <f>IFERROR(VLOOKUP(TA[[#This Row],[Affected Equipment]],'Basic Data'!$I$2:$K$40,3,0),"")</f>
        <v>1.7241379310344799E-3</v>
      </c>
      <c r="N170">
        <v>-28</v>
      </c>
      <c r="O170" t="s">
        <v>135</v>
      </c>
      <c r="P170" s="127" t="s">
        <v>318</v>
      </c>
      <c r="Q170" s="126" t="s">
        <v>318</v>
      </c>
      <c r="R170">
        <v>130</v>
      </c>
      <c r="S170" s="2">
        <v>37</v>
      </c>
      <c r="T170" t="s">
        <v>295</v>
      </c>
      <c r="U170" t="s">
        <v>300</v>
      </c>
      <c r="V170" t="s">
        <v>298</v>
      </c>
      <c r="W170" s="41"/>
      <c r="X170" s="41"/>
      <c r="Y170" s="34"/>
      <c r="Z170" s="34"/>
      <c r="AA170" s="35">
        <f>IF(TA[[#This Row],[Work Start time on Fault]]="NA","",(TA[[#This Row],[Fault Acknowledgement Time ]]-TA[[#This Row],[Fault Time]])*24)</f>
        <v>0</v>
      </c>
      <c r="AB170" s="35">
        <f>(TA[[#This Row],[Work Start time on Fault]]-TA[[#This Row],[Fault Time]])*24</f>
        <v>0</v>
      </c>
      <c r="AC170" s="34">
        <f>(TA[[#This Row],[Work Completion time on fault]]-TA[[#This Row],[Fault Time]])*24</f>
        <v>0</v>
      </c>
      <c r="AD170" s="35">
        <f>IFERROR((TA[[#This Row],[Work Completion time on fault]]-TA[[#This Row],[Fault Time]])*24,"")</f>
        <v>0</v>
      </c>
      <c r="AE170" t="s">
        <v>328</v>
      </c>
      <c r="AF170" t="s">
        <v>256</v>
      </c>
      <c r="AG170" s="2"/>
      <c r="AH170" s="44">
        <f>1-COS(RADIANS(TA[[#This Row],[Avg. Target Angle during Fault Time (Radians)]]-TA[[#This Row],[Angle of affected equipment ]]))</f>
        <v>0.11705240714107301</v>
      </c>
      <c r="AI170" s="35">
        <f>IFERROR(TA[[#This Row],[Breakdown Time]]*TA[[#This Row],[Plant Equivalent Weightage]],"")</f>
        <v>0</v>
      </c>
    </row>
    <row r="171" spans="1:35">
      <c r="A171" s="2">
        <f t="shared" si="10"/>
        <v>168</v>
      </c>
      <c r="B171" s="156">
        <f t="shared" si="8"/>
        <v>2026</v>
      </c>
      <c r="C171" s="129">
        <f t="shared" si="9"/>
        <v>2025</v>
      </c>
      <c r="D171" s="2" t="s">
        <v>155</v>
      </c>
      <c r="E171" s="2" t="s">
        <v>155</v>
      </c>
      <c r="F171" s="39">
        <v>45748</v>
      </c>
      <c r="G171" s="2">
        <f>DAY(EOMONTH(TA[[#This Row],[Month Year]],0))</f>
        <v>30</v>
      </c>
      <c r="H171" s="21">
        <v>45756</v>
      </c>
      <c r="I171" s="41">
        <f>IFERROR(VLOOKUP(TA[[#This Row],[Date]],Raw_Data[[Date]:[Sunset Time (POA&lt;20 W/m2)]],3,0),"")</f>
        <v>0.26527777777777778</v>
      </c>
      <c r="J171" s="41">
        <f>IFERROR(VLOOKUP(TA[[#This Row],[Date]],Raw_Data[[Date]:[Sunset Time (POA&lt;20 W/m2)]],4,0),"")</f>
        <v>0.7680555555555556</v>
      </c>
      <c r="K171" s="35">
        <f>IFERROR((TA[[#This Row],[Sunset Time (POA&lt;20 W/m2)]]-TA[[#This Row],[Sunrise Time (POA&gt;20 W/m2)]])*24,"")</f>
        <v>12.066666666666666</v>
      </c>
      <c r="L171" s="2" t="s">
        <v>294</v>
      </c>
      <c r="M171" s="42">
        <f>IFERROR(VLOOKUP(TA[[#This Row],[Affected Equipment]],'Basic Data'!$I$2:$K$40,3,0),"")</f>
        <v>1.7241379310344799E-3</v>
      </c>
      <c r="N171">
        <v>-28</v>
      </c>
      <c r="O171" t="s">
        <v>135</v>
      </c>
      <c r="P171" s="127" t="s">
        <v>318</v>
      </c>
      <c r="Q171" s="126" t="s">
        <v>318</v>
      </c>
      <c r="R171">
        <v>131</v>
      </c>
      <c r="S171" s="2">
        <v>38</v>
      </c>
      <c r="T171" t="s">
        <v>295</v>
      </c>
      <c r="U171" t="s">
        <v>300</v>
      </c>
      <c r="V171" t="s">
        <v>298</v>
      </c>
      <c r="W171" s="41"/>
      <c r="X171" s="41"/>
      <c r="Y171" s="34"/>
      <c r="Z171" s="34"/>
      <c r="AA171" s="35">
        <f>IF(TA[[#This Row],[Work Start time on Fault]]="NA","",(TA[[#This Row],[Fault Acknowledgement Time ]]-TA[[#This Row],[Fault Time]])*24)</f>
        <v>0</v>
      </c>
      <c r="AB171" s="35">
        <f>(TA[[#This Row],[Work Start time on Fault]]-TA[[#This Row],[Fault Time]])*24</f>
        <v>0</v>
      </c>
      <c r="AC171" s="34">
        <f>(TA[[#This Row],[Work Completion time on fault]]-TA[[#This Row],[Fault Time]])*24</f>
        <v>0</v>
      </c>
      <c r="AD171" s="35">
        <f>IFERROR((TA[[#This Row],[Work Completion time on fault]]-TA[[#This Row],[Fault Time]])*24,"")</f>
        <v>0</v>
      </c>
      <c r="AE171" t="s">
        <v>328</v>
      </c>
      <c r="AF171" t="s">
        <v>256</v>
      </c>
      <c r="AG171" s="2"/>
      <c r="AH171" s="44">
        <f>1-COS(RADIANS(TA[[#This Row],[Avg. Target Angle during Fault Time (Radians)]]-TA[[#This Row],[Angle of affected equipment ]]))</f>
        <v>0.11705240714107301</v>
      </c>
      <c r="AI171" s="35">
        <f>IFERROR(TA[[#This Row],[Breakdown Time]]*TA[[#This Row],[Plant Equivalent Weightage]],"")</f>
        <v>0</v>
      </c>
    </row>
    <row r="172" spans="1:35">
      <c r="A172" s="2">
        <f t="shared" si="10"/>
        <v>169</v>
      </c>
      <c r="B172" s="156">
        <f t="shared" si="8"/>
        <v>2026</v>
      </c>
      <c r="C172" s="129">
        <f t="shared" si="9"/>
        <v>2025</v>
      </c>
      <c r="D172" s="2" t="s">
        <v>155</v>
      </c>
      <c r="E172" s="2" t="s">
        <v>155</v>
      </c>
      <c r="F172" s="39">
        <v>45748</v>
      </c>
      <c r="G172" s="2">
        <f>DAY(EOMONTH(TA[[#This Row],[Month Year]],0))</f>
        <v>30</v>
      </c>
      <c r="H172" s="21">
        <v>45756</v>
      </c>
      <c r="I172" s="41">
        <f>IFERROR(VLOOKUP(TA[[#This Row],[Date]],Raw_Data[[Date]:[Sunset Time (POA&lt;20 W/m2)]],3,0),"")</f>
        <v>0.26527777777777778</v>
      </c>
      <c r="J172" s="41">
        <f>IFERROR(VLOOKUP(TA[[#This Row],[Date]],Raw_Data[[Date]:[Sunset Time (POA&lt;20 W/m2)]],4,0),"")</f>
        <v>0.7680555555555556</v>
      </c>
      <c r="K172" s="35">
        <f>IFERROR((TA[[#This Row],[Sunset Time (POA&lt;20 W/m2)]]-TA[[#This Row],[Sunrise Time (POA&gt;20 W/m2)]])*24,"")</f>
        <v>12.066666666666666</v>
      </c>
      <c r="L172" s="2" t="s">
        <v>294</v>
      </c>
      <c r="M172" s="42">
        <f>IFERROR(VLOOKUP(TA[[#This Row],[Affected Equipment]],'Basic Data'!$I$2:$K$40,3,0),"")</f>
        <v>1.7241379310344799E-3</v>
      </c>
      <c r="N172">
        <v>-28</v>
      </c>
      <c r="O172" t="s">
        <v>135</v>
      </c>
      <c r="P172" s="127" t="s">
        <v>318</v>
      </c>
      <c r="Q172" s="126" t="s">
        <v>318</v>
      </c>
      <c r="R172">
        <v>131</v>
      </c>
      <c r="S172" s="2">
        <v>39</v>
      </c>
      <c r="T172" t="s">
        <v>295</v>
      </c>
      <c r="U172" t="s">
        <v>300</v>
      </c>
      <c r="V172" t="s">
        <v>298</v>
      </c>
      <c r="W172" s="41"/>
      <c r="X172" s="41"/>
      <c r="Y172" s="34"/>
      <c r="Z172" s="34"/>
      <c r="AA172" s="35">
        <f>IF(TA[[#This Row],[Work Start time on Fault]]="NA","",(TA[[#This Row],[Fault Acknowledgement Time ]]-TA[[#This Row],[Fault Time]])*24)</f>
        <v>0</v>
      </c>
      <c r="AB172" s="35">
        <f>(TA[[#This Row],[Work Start time on Fault]]-TA[[#This Row],[Fault Time]])*24</f>
        <v>0</v>
      </c>
      <c r="AC172" s="34">
        <f>(TA[[#This Row],[Work Completion time on fault]]-TA[[#This Row],[Fault Time]])*24</f>
        <v>0</v>
      </c>
      <c r="AD172" s="35">
        <f>IFERROR((TA[[#This Row],[Work Completion time on fault]]-TA[[#This Row],[Fault Time]])*24,"")</f>
        <v>0</v>
      </c>
      <c r="AE172" t="s">
        <v>328</v>
      </c>
      <c r="AF172" t="s">
        <v>256</v>
      </c>
      <c r="AG172" s="2"/>
      <c r="AH172" s="44">
        <f>1-COS(RADIANS(TA[[#This Row],[Avg. Target Angle during Fault Time (Radians)]]-TA[[#This Row],[Angle of affected equipment ]]))</f>
        <v>0.11705240714107301</v>
      </c>
      <c r="AI172" s="35">
        <f>IFERROR(TA[[#This Row],[Breakdown Time]]*TA[[#This Row],[Plant Equivalent Weightage]],"")</f>
        <v>0</v>
      </c>
    </row>
    <row r="173" spans="1:35">
      <c r="A173" s="2">
        <f t="shared" si="10"/>
        <v>170</v>
      </c>
      <c r="B173" s="156">
        <f t="shared" si="8"/>
        <v>2026</v>
      </c>
      <c r="C173" s="129">
        <f t="shared" si="9"/>
        <v>2025</v>
      </c>
      <c r="D173" s="2" t="s">
        <v>155</v>
      </c>
      <c r="E173" s="2" t="s">
        <v>155</v>
      </c>
      <c r="F173" s="39">
        <v>45748</v>
      </c>
      <c r="G173" s="2">
        <f>DAY(EOMONTH(TA[[#This Row],[Month Year]],0))</f>
        <v>30</v>
      </c>
      <c r="H173" s="21">
        <v>45756</v>
      </c>
      <c r="I173" s="41">
        <f>IFERROR(VLOOKUP(TA[[#This Row],[Date]],Raw_Data[[Date]:[Sunset Time (POA&lt;20 W/m2)]],3,0),"")</f>
        <v>0.26527777777777778</v>
      </c>
      <c r="J173" s="41">
        <f>IFERROR(VLOOKUP(TA[[#This Row],[Date]],Raw_Data[[Date]:[Sunset Time (POA&lt;20 W/m2)]],4,0),"")</f>
        <v>0.7680555555555556</v>
      </c>
      <c r="K173" s="35">
        <f>IFERROR((TA[[#This Row],[Sunset Time (POA&lt;20 W/m2)]]-TA[[#This Row],[Sunrise Time (POA&gt;20 W/m2)]])*24,"")</f>
        <v>12.066666666666666</v>
      </c>
      <c r="L173" s="2" t="s">
        <v>296</v>
      </c>
      <c r="M173" s="42">
        <f>IFERROR(VLOOKUP(TA[[#This Row],[Affected Equipment]],'Basic Data'!$I$2:$K$40,3,0),"")</f>
        <v>8.6206896551724102E-3</v>
      </c>
      <c r="N173">
        <v>-28</v>
      </c>
      <c r="O173" t="s">
        <v>135</v>
      </c>
      <c r="P173" s="127" t="s">
        <v>318</v>
      </c>
      <c r="Q173" s="2" t="s">
        <v>321</v>
      </c>
      <c r="R173">
        <v>133</v>
      </c>
      <c r="S173" s="2">
        <v>26</v>
      </c>
      <c r="T173" t="s">
        <v>297</v>
      </c>
      <c r="U173" t="s">
        <v>300</v>
      </c>
      <c r="V173" t="s">
        <v>314</v>
      </c>
      <c r="W173" s="41"/>
      <c r="X173" s="41"/>
      <c r="Y173" s="34"/>
      <c r="Z173" s="34"/>
      <c r="AA173" s="35">
        <f>IF(TA[[#This Row],[Work Start time on Fault]]="NA","",(TA[[#This Row],[Fault Acknowledgement Time ]]-TA[[#This Row],[Fault Time]])*24)</f>
        <v>0</v>
      </c>
      <c r="AB173" s="35">
        <f>(TA[[#This Row],[Work Start time on Fault]]-TA[[#This Row],[Fault Time]])*24</f>
        <v>0</v>
      </c>
      <c r="AC173" s="34">
        <f>(TA[[#This Row],[Work Completion time on fault]]-TA[[#This Row],[Fault Time]])*24</f>
        <v>0</v>
      </c>
      <c r="AD173" s="35">
        <f>IFERROR((TA[[#This Row],[Work Completion time on fault]]-TA[[#This Row],[Fault Time]])*24,"")</f>
        <v>0</v>
      </c>
      <c r="AE173" t="s">
        <v>328</v>
      </c>
      <c r="AF173" t="s">
        <v>256</v>
      </c>
      <c r="AG173" s="2"/>
      <c r="AH173" s="44">
        <f>1-COS(RADIANS(TA[[#This Row],[Avg. Target Angle during Fault Time (Radians)]]-TA[[#This Row],[Angle of affected equipment ]]))</f>
        <v>0.11705240714107301</v>
      </c>
      <c r="AI173" s="35">
        <f>IFERROR(TA[[#This Row],[Breakdown Time]]*TA[[#This Row],[Plant Equivalent Weightage]],"")</f>
        <v>0</v>
      </c>
    </row>
    <row r="174" spans="1:35">
      <c r="A174" s="2">
        <f t="shared" si="10"/>
        <v>171</v>
      </c>
      <c r="B174" s="156">
        <f t="shared" si="8"/>
        <v>2026</v>
      </c>
      <c r="C174" s="129">
        <f t="shared" si="9"/>
        <v>2025</v>
      </c>
      <c r="D174" s="2" t="s">
        <v>155</v>
      </c>
      <c r="E174" s="2" t="s">
        <v>155</v>
      </c>
      <c r="F174" s="39">
        <v>45748</v>
      </c>
      <c r="G174" s="2">
        <f>DAY(EOMONTH(TA[[#This Row],[Month Year]],0))</f>
        <v>30</v>
      </c>
      <c r="H174" s="21">
        <v>45756</v>
      </c>
      <c r="I174" s="41">
        <f>IFERROR(VLOOKUP(TA[[#This Row],[Date]],Raw_Data[[Date]:[Sunset Time (POA&lt;20 W/m2)]],3,0),"")</f>
        <v>0.26527777777777778</v>
      </c>
      <c r="J174" s="41">
        <f>IFERROR(VLOOKUP(TA[[#This Row],[Date]],Raw_Data[[Date]:[Sunset Time (POA&lt;20 W/m2)]],4,0),"")</f>
        <v>0.7680555555555556</v>
      </c>
      <c r="K174" s="35">
        <f>IFERROR((TA[[#This Row],[Sunset Time (POA&lt;20 W/m2)]]-TA[[#This Row],[Sunrise Time (POA&gt;20 W/m2)]])*24,"")</f>
        <v>12.066666666666666</v>
      </c>
      <c r="L174" s="2" t="s">
        <v>294</v>
      </c>
      <c r="M174" s="42">
        <f>IFERROR(VLOOKUP(TA[[#This Row],[Affected Equipment]],'Basic Data'!$I$2:$K$40,3,0),"")</f>
        <v>1.7241379310344799E-3</v>
      </c>
      <c r="N174">
        <v>-28</v>
      </c>
      <c r="O174" t="s">
        <v>133</v>
      </c>
      <c r="P174" s="127" t="s">
        <v>316</v>
      </c>
      <c r="Q174" s="126" t="s">
        <v>317</v>
      </c>
      <c r="R174">
        <v>7</v>
      </c>
      <c r="S174" s="2">
        <v>32</v>
      </c>
      <c r="T174" t="s">
        <v>295</v>
      </c>
      <c r="U174" t="s">
        <v>300</v>
      </c>
      <c r="V174" t="s">
        <v>298</v>
      </c>
      <c r="W174" s="41"/>
      <c r="X174" s="41"/>
      <c r="Y174" s="34"/>
      <c r="Z174" s="34"/>
      <c r="AA174" s="35">
        <f>IF(TA[[#This Row],[Work Start time on Fault]]="NA","",(TA[[#This Row],[Fault Acknowledgement Time ]]-TA[[#This Row],[Fault Time]])*24)</f>
        <v>0</v>
      </c>
      <c r="AB174" s="35">
        <f>(TA[[#This Row],[Work Start time on Fault]]-TA[[#This Row],[Fault Time]])*24</f>
        <v>0</v>
      </c>
      <c r="AC174" s="34">
        <f>(TA[[#This Row],[Work Completion time on fault]]-TA[[#This Row],[Fault Time]])*24</f>
        <v>0</v>
      </c>
      <c r="AD174" s="35">
        <f>IFERROR((TA[[#This Row],[Work Completion time on fault]]-TA[[#This Row],[Fault Time]])*24,"")</f>
        <v>0</v>
      </c>
      <c r="AE174" t="s">
        <v>328</v>
      </c>
      <c r="AF174" t="s">
        <v>256</v>
      </c>
      <c r="AG174" s="2"/>
      <c r="AH174" s="44">
        <f>1-COS(RADIANS(TA[[#This Row],[Avg. Target Angle during Fault Time (Radians)]]-TA[[#This Row],[Angle of affected equipment ]]))</f>
        <v>0.11705240714107301</v>
      </c>
      <c r="AI174" s="35">
        <f>IFERROR(TA[[#This Row],[Breakdown Time]]*TA[[#This Row],[Plant Equivalent Weightage]],"")</f>
        <v>0</v>
      </c>
    </row>
    <row r="175" spans="1:35">
      <c r="A175" s="2">
        <f t="shared" si="10"/>
        <v>172</v>
      </c>
      <c r="B175" s="156">
        <f t="shared" si="8"/>
        <v>2026</v>
      </c>
      <c r="C175" s="129">
        <f t="shared" si="9"/>
        <v>2025</v>
      </c>
      <c r="D175" s="2" t="s">
        <v>155</v>
      </c>
      <c r="E175" s="2" t="s">
        <v>155</v>
      </c>
      <c r="F175" s="39">
        <v>45748</v>
      </c>
      <c r="G175" s="2">
        <f>DAY(EOMONTH(TA[[#This Row],[Month Year]],0))</f>
        <v>30</v>
      </c>
      <c r="H175" s="21">
        <v>45756</v>
      </c>
      <c r="I175" s="41">
        <f>IFERROR(VLOOKUP(TA[[#This Row],[Date]],Raw_Data[[Date]:[Sunset Time (POA&lt;20 W/m2)]],3,0),"")</f>
        <v>0.26527777777777778</v>
      </c>
      <c r="J175" s="41">
        <f>IFERROR(VLOOKUP(TA[[#This Row],[Date]],Raw_Data[[Date]:[Sunset Time (POA&lt;20 W/m2)]],4,0),"")</f>
        <v>0.7680555555555556</v>
      </c>
      <c r="K175" s="35">
        <f>IFERROR((TA[[#This Row],[Sunset Time (POA&lt;20 W/m2)]]-TA[[#This Row],[Sunrise Time (POA&gt;20 W/m2)]])*24,"")</f>
        <v>12.066666666666666</v>
      </c>
      <c r="L175" s="2" t="s">
        <v>294</v>
      </c>
      <c r="M175" s="42">
        <f>IFERROR(VLOOKUP(TA[[#This Row],[Affected Equipment]],'Basic Data'!$I$2:$K$40,3,0),"")</f>
        <v>1.7241379310344799E-3</v>
      </c>
      <c r="N175">
        <v>-28</v>
      </c>
      <c r="O175" t="s">
        <v>137</v>
      </c>
      <c r="P175" s="127" t="s">
        <v>315</v>
      </c>
      <c r="Q175" s="126" t="s">
        <v>319</v>
      </c>
      <c r="R175">
        <v>166</v>
      </c>
      <c r="S175" s="2">
        <v>91</v>
      </c>
      <c r="T175" t="s">
        <v>295</v>
      </c>
      <c r="U175" t="s">
        <v>300</v>
      </c>
      <c r="V175" t="s">
        <v>298</v>
      </c>
      <c r="W175" s="41"/>
      <c r="X175" s="41"/>
      <c r="Y175" s="34"/>
      <c r="Z175" s="34"/>
      <c r="AA175" s="35">
        <f>IF(TA[[#This Row],[Work Start time on Fault]]="NA","",(TA[[#This Row],[Fault Acknowledgement Time ]]-TA[[#This Row],[Fault Time]])*24)</f>
        <v>0</v>
      </c>
      <c r="AB175" s="35">
        <f>(TA[[#This Row],[Work Start time on Fault]]-TA[[#This Row],[Fault Time]])*24</f>
        <v>0</v>
      </c>
      <c r="AC175" s="34">
        <f>(TA[[#This Row],[Work Completion time on fault]]-TA[[#This Row],[Fault Time]])*24</f>
        <v>0</v>
      </c>
      <c r="AD175" s="35">
        <f>IFERROR((TA[[#This Row],[Work Completion time on fault]]-TA[[#This Row],[Fault Time]])*24,"")</f>
        <v>0</v>
      </c>
      <c r="AE175" t="s">
        <v>328</v>
      </c>
      <c r="AF175" t="s">
        <v>256</v>
      </c>
      <c r="AG175" s="2"/>
      <c r="AH175" s="44">
        <f>1-COS(RADIANS(TA[[#This Row],[Avg. Target Angle during Fault Time (Radians)]]-TA[[#This Row],[Angle of affected equipment ]]))</f>
        <v>0.11705240714107301</v>
      </c>
      <c r="AI175" s="35">
        <f>IFERROR(TA[[#This Row],[Breakdown Time]]*TA[[#This Row],[Plant Equivalent Weightage]],"")</f>
        <v>0</v>
      </c>
    </row>
    <row r="176" spans="1:35">
      <c r="A176" s="2">
        <f t="shared" si="10"/>
        <v>173</v>
      </c>
      <c r="B176" s="156">
        <f t="shared" si="8"/>
        <v>2026</v>
      </c>
      <c r="C176" s="129">
        <f t="shared" si="9"/>
        <v>2025</v>
      </c>
      <c r="D176" s="2" t="s">
        <v>155</v>
      </c>
      <c r="E176" s="2" t="s">
        <v>155</v>
      </c>
      <c r="F176" s="39">
        <v>45748</v>
      </c>
      <c r="G176" s="2">
        <f>DAY(EOMONTH(TA[[#This Row],[Month Year]],0))</f>
        <v>30</v>
      </c>
      <c r="H176" s="21">
        <v>45756</v>
      </c>
      <c r="I176" s="41">
        <f>IFERROR(VLOOKUP(TA[[#This Row],[Date]],Raw_Data[[Date]:[Sunset Time (POA&lt;20 W/m2)]],3,0),"")</f>
        <v>0.26527777777777778</v>
      </c>
      <c r="J176" s="41">
        <f>IFERROR(VLOOKUP(TA[[#This Row],[Date]],Raw_Data[[Date]:[Sunset Time (POA&lt;20 W/m2)]],4,0),"")</f>
        <v>0.7680555555555556</v>
      </c>
      <c r="K176" s="35">
        <f>IFERROR((TA[[#This Row],[Sunset Time (POA&lt;20 W/m2)]]-TA[[#This Row],[Sunrise Time (POA&gt;20 W/m2)]])*24,"")</f>
        <v>12.066666666666666</v>
      </c>
      <c r="L176" s="2" t="s">
        <v>294</v>
      </c>
      <c r="M176" s="42">
        <f>IFERROR(VLOOKUP(TA[[#This Row],[Affected Equipment]],'Basic Data'!$I$2:$K$40,3,0),"")</f>
        <v>1.7241379310344799E-3</v>
      </c>
      <c r="N176">
        <v>-28</v>
      </c>
      <c r="O176" t="s">
        <v>133</v>
      </c>
      <c r="P176" s="127" t="s">
        <v>316</v>
      </c>
      <c r="Q176" s="126" t="s">
        <v>316</v>
      </c>
      <c r="R176">
        <v>117</v>
      </c>
      <c r="S176" s="2">
        <v>20</v>
      </c>
      <c r="T176" t="s">
        <v>295</v>
      </c>
      <c r="U176" t="s">
        <v>300</v>
      </c>
      <c r="V176" t="s">
        <v>298</v>
      </c>
      <c r="W176" s="41"/>
      <c r="X176" s="41"/>
      <c r="Y176" s="34"/>
      <c r="Z176" s="34"/>
      <c r="AA176" s="35">
        <f>IF(TA[[#This Row],[Work Start time on Fault]]="NA","",(TA[[#This Row],[Fault Acknowledgement Time ]]-TA[[#This Row],[Fault Time]])*24)</f>
        <v>0</v>
      </c>
      <c r="AB176" s="35">
        <f>(TA[[#This Row],[Work Start time on Fault]]-TA[[#This Row],[Fault Time]])*24</f>
        <v>0</v>
      </c>
      <c r="AC176" s="34">
        <f>(TA[[#This Row],[Work Completion time on fault]]-TA[[#This Row],[Fault Time]])*24</f>
        <v>0</v>
      </c>
      <c r="AD176" s="35">
        <f>IFERROR((TA[[#This Row],[Work Completion time on fault]]-TA[[#This Row],[Fault Time]])*24,"")</f>
        <v>0</v>
      </c>
      <c r="AE176" t="s">
        <v>328</v>
      </c>
      <c r="AF176" t="s">
        <v>256</v>
      </c>
      <c r="AG176" s="2"/>
      <c r="AH176" s="44">
        <f>1-COS(RADIANS(TA[[#This Row],[Avg. Target Angle during Fault Time (Radians)]]-TA[[#This Row],[Angle of affected equipment ]]))</f>
        <v>0.11705240714107301</v>
      </c>
      <c r="AI176" s="35">
        <f>IFERROR(TA[[#This Row],[Breakdown Time]]*TA[[#This Row],[Plant Equivalent Weightage]],"")</f>
        <v>0</v>
      </c>
    </row>
    <row r="177" spans="1:35">
      <c r="A177" s="2">
        <f t="shared" si="10"/>
        <v>174</v>
      </c>
      <c r="B177" s="156">
        <f t="shared" si="8"/>
        <v>2026</v>
      </c>
      <c r="C177" s="129">
        <f t="shared" si="9"/>
        <v>2025</v>
      </c>
      <c r="D177" s="2" t="s">
        <v>155</v>
      </c>
      <c r="E177" s="2" t="s">
        <v>155</v>
      </c>
      <c r="F177" s="39">
        <v>45748</v>
      </c>
      <c r="G177" s="2">
        <f>DAY(EOMONTH(TA[[#This Row],[Month Year]],0))</f>
        <v>30</v>
      </c>
      <c r="H177" s="21">
        <v>45756</v>
      </c>
      <c r="I177" s="41">
        <f>IFERROR(VLOOKUP(TA[[#This Row],[Date]],Raw_Data[[Date]:[Sunset Time (POA&lt;20 W/m2)]],3,0),"")</f>
        <v>0.26527777777777778</v>
      </c>
      <c r="J177" s="41">
        <f>IFERROR(VLOOKUP(TA[[#This Row],[Date]],Raw_Data[[Date]:[Sunset Time (POA&lt;20 W/m2)]],4,0),"")</f>
        <v>0.7680555555555556</v>
      </c>
      <c r="K177" s="35">
        <f>IFERROR((TA[[#This Row],[Sunset Time (POA&lt;20 W/m2)]]-TA[[#This Row],[Sunrise Time (POA&gt;20 W/m2)]])*24,"")</f>
        <v>12.066666666666666</v>
      </c>
      <c r="L177" s="2" t="s">
        <v>294</v>
      </c>
      <c r="M177" s="42">
        <f>IFERROR(VLOOKUP(TA[[#This Row],[Affected Equipment]],'Basic Data'!$I$2:$K$40,3,0),"")</f>
        <v>1.7241379310344799E-3</v>
      </c>
      <c r="N177">
        <v>-28</v>
      </c>
      <c r="O177" t="s">
        <v>133</v>
      </c>
      <c r="P177" s="127" t="s">
        <v>316</v>
      </c>
      <c r="Q177" s="126" t="s">
        <v>316</v>
      </c>
      <c r="R177">
        <v>118</v>
      </c>
      <c r="S177" s="2">
        <v>22</v>
      </c>
      <c r="T177" t="s">
        <v>295</v>
      </c>
      <c r="U177" t="s">
        <v>300</v>
      </c>
      <c r="V177" t="s">
        <v>298</v>
      </c>
      <c r="W177" s="41"/>
      <c r="X177" s="41"/>
      <c r="Y177" s="34"/>
      <c r="Z177" s="34"/>
      <c r="AA177" s="35">
        <f>IF(TA[[#This Row],[Work Start time on Fault]]="NA","",(TA[[#This Row],[Fault Acknowledgement Time ]]-TA[[#This Row],[Fault Time]])*24)</f>
        <v>0</v>
      </c>
      <c r="AB177" s="35">
        <f>(TA[[#This Row],[Work Start time on Fault]]-TA[[#This Row],[Fault Time]])*24</f>
        <v>0</v>
      </c>
      <c r="AC177" s="34">
        <f>(TA[[#This Row],[Work Completion time on fault]]-TA[[#This Row],[Fault Time]])*24</f>
        <v>0</v>
      </c>
      <c r="AD177" s="35">
        <f>IFERROR((TA[[#This Row],[Work Completion time on fault]]-TA[[#This Row],[Fault Time]])*24,"")</f>
        <v>0</v>
      </c>
      <c r="AE177" t="s">
        <v>328</v>
      </c>
      <c r="AF177" t="s">
        <v>256</v>
      </c>
      <c r="AG177" s="2"/>
      <c r="AH177" s="44">
        <f>1-COS(RADIANS(TA[[#This Row],[Avg. Target Angle during Fault Time (Radians)]]-TA[[#This Row],[Angle of affected equipment ]]))</f>
        <v>0.11705240714107301</v>
      </c>
      <c r="AI177" s="35">
        <f>IFERROR(TA[[#This Row],[Breakdown Time]]*TA[[#This Row],[Plant Equivalent Weightage]],"")</f>
        <v>0</v>
      </c>
    </row>
    <row r="178" spans="1:35">
      <c r="A178" s="2">
        <f t="shared" si="10"/>
        <v>175</v>
      </c>
      <c r="B178" s="156">
        <f t="shared" si="8"/>
        <v>2026</v>
      </c>
      <c r="C178" s="129">
        <f t="shared" si="9"/>
        <v>2025</v>
      </c>
      <c r="D178" s="2" t="s">
        <v>155</v>
      </c>
      <c r="E178" s="2" t="s">
        <v>155</v>
      </c>
      <c r="F178" s="39">
        <v>45748</v>
      </c>
      <c r="G178" s="2">
        <f>DAY(EOMONTH(TA[[#This Row],[Month Year]],0))</f>
        <v>30</v>
      </c>
      <c r="H178" s="21">
        <v>45756</v>
      </c>
      <c r="I178" s="41">
        <f>IFERROR(VLOOKUP(TA[[#This Row],[Date]],Raw_Data[[Date]:[Sunset Time (POA&lt;20 W/m2)]],3,0),"")</f>
        <v>0.26527777777777778</v>
      </c>
      <c r="J178" s="41">
        <f>IFERROR(VLOOKUP(TA[[#This Row],[Date]],Raw_Data[[Date]:[Sunset Time (POA&lt;20 W/m2)]],4,0),"")</f>
        <v>0.7680555555555556</v>
      </c>
      <c r="K178" s="35">
        <f>IFERROR((TA[[#This Row],[Sunset Time (POA&lt;20 W/m2)]]-TA[[#This Row],[Sunrise Time (POA&gt;20 W/m2)]])*24,"")</f>
        <v>12.066666666666666</v>
      </c>
      <c r="L178" s="2" t="s">
        <v>296</v>
      </c>
      <c r="M178" s="42">
        <f>IFERROR(VLOOKUP(TA[[#This Row],[Affected Equipment]],'Basic Data'!$I$2:$K$40,3,0),"")</f>
        <v>8.6206896551724102E-3</v>
      </c>
      <c r="N178">
        <v>-28</v>
      </c>
      <c r="O178" t="s">
        <v>135</v>
      </c>
      <c r="P178" s="22" t="s">
        <v>323</v>
      </c>
      <c r="Q178" s="2" t="s">
        <v>329</v>
      </c>
      <c r="R178">
        <v>45</v>
      </c>
      <c r="S178" s="2">
        <v>8</v>
      </c>
      <c r="T178" t="s">
        <v>297</v>
      </c>
      <c r="U178" t="s">
        <v>326</v>
      </c>
      <c r="V178" t="s">
        <v>301</v>
      </c>
      <c r="W178" s="41">
        <f>IFERROR(VLOOKUP(TA[[#This Row],[Date]],Raw_Data[[Date]:[Sunset Time (POA&lt;20 W/m2)]],3,0),"")</f>
        <v>0.26527777777777778</v>
      </c>
      <c r="X178" s="41">
        <f>IFERROR(VLOOKUP(TA[[#This Row],[Date]],Raw_Data[[Date]:[Sunset Time (POA&lt;20 W/m2)]],3,0),"")</f>
        <v>0.26527777777777778</v>
      </c>
      <c r="Y178" s="34"/>
      <c r="Z178" s="34">
        <v>0.76041666666666663</v>
      </c>
      <c r="AA178" s="35">
        <f>IF(TA[[#This Row],[Work Start time on Fault]]="NA","",(TA[[#This Row],[Fault Acknowledgement Time ]]-TA[[#This Row],[Fault Time]])*24)</f>
        <v>0</v>
      </c>
      <c r="AB178" s="35">
        <f>(TA[[#This Row],[Work Start time on Fault]]-TA[[#This Row],[Fault Time]])*24</f>
        <v>-6.3666666666666671</v>
      </c>
      <c r="AC178" s="34">
        <f>(TA[[#This Row],[Work Completion time on fault]]-TA[[#This Row],[Fault Time]])*24</f>
        <v>11.883333333333333</v>
      </c>
      <c r="AD178" s="35">
        <f>IFERROR((TA[[#This Row],[Work Completion time on fault]]-TA[[#This Row],[Fault Time]])*24,"")</f>
        <v>11.883333333333333</v>
      </c>
      <c r="AE178" t="s">
        <v>309</v>
      </c>
      <c r="AF178" t="s">
        <v>256</v>
      </c>
      <c r="AG178" s="2"/>
      <c r="AH178" s="44">
        <f>1-COS(RADIANS(TA[[#This Row],[Avg. Target Angle during Fault Time (Radians)]]-TA[[#This Row],[Angle of affected equipment ]]))</f>
        <v>0.11705240714107301</v>
      </c>
      <c r="AI178" s="35">
        <f>IFERROR(TA[[#This Row],[Breakdown Time]]*TA[[#This Row],[Plant Equivalent Weightage]],"")</f>
        <v>0.10244252873563214</v>
      </c>
    </row>
    <row r="179" spans="1:35">
      <c r="A179" s="2">
        <f t="shared" si="10"/>
        <v>176</v>
      </c>
      <c r="B179" s="156">
        <f t="shared" si="8"/>
        <v>2026</v>
      </c>
      <c r="C179" s="129">
        <f t="shared" si="9"/>
        <v>2025</v>
      </c>
      <c r="D179" s="2" t="s">
        <v>155</v>
      </c>
      <c r="E179" s="2" t="s">
        <v>155</v>
      </c>
      <c r="F179" s="39">
        <v>45748</v>
      </c>
      <c r="G179" s="2">
        <f>DAY(EOMONTH(TA[[#This Row],[Month Year]],0))</f>
        <v>30</v>
      </c>
      <c r="H179" s="21">
        <v>45756</v>
      </c>
      <c r="I179" s="41">
        <f>IFERROR(VLOOKUP(TA[[#This Row],[Date]],Raw_Data[[Date]:[Sunset Time (POA&lt;20 W/m2)]],3,0),"")</f>
        <v>0.26527777777777778</v>
      </c>
      <c r="J179" s="41">
        <f>IFERROR(VLOOKUP(TA[[#This Row],[Date]],Raw_Data[[Date]:[Sunset Time (POA&lt;20 W/m2)]],4,0),"")</f>
        <v>0.7680555555555556</v>
      </c>
      <c r="K179" s="35">
        <f>IFERROR((TA[[#This Row],[Sunset Time (POA&lt;20 W/m2)]]-TA[[#This Row],[Sunrise Time (POA&gt;20 W/m2)]])*24,"")</f>
        <v>12.066666666666666</v>
      </c>
      <c r="L179" s="2" t="s">
        <v>296</v>
      </c>
      <c r="M179" s="42">
        <f>IFERROR(VLOOKUP(TA[[#This Row],[Affected Equipment]],'Basic Data'!$I$2:$K$40,3,0),"")</f>
        <v>8.6206896551724102E-3</v>
      </c>
      <c r="N179">
        <v>-28</v>
      </c>
      <c r="O179" t="s">
        <v>135</v>
      </c>
      <c r="P179" s="22" t="s">
        <v>323</v>
      </c>
      <c r="Q179" s="2" t="s">
        <v>329</v>
      </c>
      <c r="R179">
        <v>47</v>
      </c>
      <c r="S179" s="2">
        <v>18</v>
      </c>
      <c r="T179" t="s">
        <v>297</v>
      </c>
      <c r="U179" t="s">
        <v>326</v>
      </c>
      <c r="V179" t="s">
        <v>301</v>
      </c>
      <c r="W179" s="41">
        <f>IFERROR(VLOOKUP(TA[[#This Row],[Date]],Raw_Data[[Date]:[Sunset Time (POA&lt;20 W/m2)]],3,0),"")</f>
        <v>0.26527777777777778</v>
      </c>
      <c r="X179" s="41">
        <f>IFERROR(VLOOKUP(TA[[#This Row],[Date]],Raw_Data[[Date]:[Sunset Time (POA&lt;20 W/m2)]],3,0),"")</f>
        <v>0.26527777777777778</v>
      </c>
      <c r="Y179" s="34"/>
      <c r="Z179" s="34">
        <v>0.76041666666666663</v>
      </c>
      <c r="AA179" s="35">
        <f>IF(TA[[#This Row],[Work Start time on Fault]]="NA","",(TA[[#This Row],[Fault Acknowledgement Time ]]-TA[[#This Row],[Fault Time]])*24)</f>
        <v>0</v>
      </c>
      <c r="AB179" s="35">
        <f>(TA[[#This Row],[Work Start time on Fault]]-TA[[#This Row],[Fault Time]])*24</f>
        <v>-6.3666666666666671</v>
      </c>
      <c r="AC179" s="34">
        <f>(TA[[#This Row],[Work Completion time on fault]]-TA[[#This Row],[Fault Time]])*24</f>
        <v>11.883333333333333</v>
      </c>
      <c r="AD179" s="35">
        <f>IFERROR((TA[[#This Row],[Work Completion time on fault]]-TA[[#This Row],[Fault Time]])*24,"")</f>
        <v>11.883333333333333</v>
      </c>
      <c r="AE179" t="s">
        <v>309</v>
      </c>
      <c r="AF179" t="s">
        <v>256</v>
      </c>
      <c r="AG179" s="2"/>
      <c r="AH179" s="44">
        <f>1-COS(RADIANS(TA[[#This Row],[Avg. Target Angle during Fault Time (Radians)]]-TA[[#This Row],[Angle of affected equipment ]]))</f>
        <v>0.11705240714107301</v>
      </c>
      <c r="AI179" s="35">
        <f>IFERROR(TA[[#This Row],[Breakdown Time]]*TA[[#This Row],[Plant Equivalent Weightage]],"")</f>
        <v>0.10244252873563214</v>
      </c>
    </row>
    <row r="180" spans="1:35">
      <c r="A180" s="2">
        <f t="shared" si="10"/>
        <v>177</v>
      </c>
      <c r="B180" s="156">
        <f t="shared" si="8"/>
        <v>2026</v>
      </c>
      <c r="C180" s="129">
        <f t="shared" si="9"/>
        <v>2025</v>
      </c>
      <c r="D180" s="2" t="s">
        <v>155</v>
      </c>
      <c r="E180" s="2" t="s">
        <v>155</v>
      </c>
      <c r="F180" s="39">
        <v>45748</v>
      </c>
      <c r="G180" s="2">
        <f>DAY(EOMONTH(TA[[#This Row],[Month Year]],0))</f>
        <v>30</v>
      </c>
      <c r="H180" s="21">
        <v>45756</v>
      </c>
      <c r="I180" s="41">
        <f>IFERROR(VLOOKUP(TA[[#This Row],[Date]],Raw_Data[[Date]:[Sunset Time (POA&lt;20 W/m2)]],3,0),"")</f>
        <v>0.26527777777777778</v>
      </c>
      <c r="J180" s="41">
        <f>IFERROR(VLOOKUP(TA[[#This Row],[Date]],Raw_Data[[Date]:[Sunset Time (POA&lt;20 W/m2)]],4,0),"")</f>
        <v>0.7680555555555556</v>
      </c>
      <c r="K180" s="35">
        <f>IFERROR((TA[[#This Row],[Sunset Time (POA&lt;20 W/m2)]]-TA[[#This Row],[Sunrise Time (POA&gt;20 W/m2)]])*24,"")</f>
        <v>12.066666666666666</v>
      </c>
      <c r="L180" s="2" t="s">
        <v>296</v>
      </c>
      <c r="M180" s="42">
        <f>IFERROR(VLOOKUP(TA[[#This Row],[Affected Equipment]],'Basic Data'!$I$2:$K$40,3,0),"")</f>
        <v>8.6206896551724102E-3</v>
      </c>
      <c r="N180">
        <v>-28</v>
      </c>
      <c r="O180" t="s">
        <v>134</v>
      </c>
      <c r="P180" s="22" t="s">
        <v>330</v>
      </c>
      <c r="Q180" s="2" t="s">
        <v>323</v>
      </c>
      <c r="R180">
        <v>30</v>
      </c>
      <c r="S180" s="2">
        <v>57</v>
      </c>
      <c r="T180" t="s">
        <v>297</v>
      </c>
      <c r="U180" t="s">
        <v>326</v>
      </c>
      <c r="V180" t="s">
        <v>301</v>
      </c>
      <c r="W180" s="41">
        <f>IFERROR(VLOOKUP(TA[[#This Row],[Date]],Raw_Data[[Date]:[Sunset Time (POA&lt;20 W/m2)]],3,0),"")</f>
        <v>0.26527777777777778</v>
      </c>
      <c r="X180" s="41">
        <f>IFERROR(VLOOKUP(TA[[#This Row],[Date]],Raw_Data[[Date]:[Sunset Time (POA&lt;20 W/m2)]],3,0),"")</f>
        <v>0.26527777777777778</v>
      </c>
      <c r="Y180" s="34"/>
      <c r="Z180" s="34">
        <v>0.76041666666666663</v>
      </c>
      <c r="AA180" s="35">
        <f>IF(TA[[#This Row],[Work Start time on Fault]]="NA","",(TA[[#This Row],[Fault Acknowledgement Time ]]-TA[[#This Row],[Fault Time]])*24)</f>
        <v>0</v>
      </c>
      <c r="AB180" s="35">
        <f>(TA[[#This Row],[Work Start time on Fault]]-TA[[#This Row],[Fault Time]])*24</f>
        <v>-6.3666666666666671</v>
      </c>
      <c r="AC180" s="34">
        <f>(TA[[#This Row],[Work Completion time on fault]]-TA[[#This Row],[Fault Time]])*24</f>
        <v>11.883333333333333</v>
      </c>
      <c r="AD180" s="35">
        <f>IFERROR((TA[[#This Row],[Work Completion time on fault]]-TA[[#This Row],[Fault Time]])*24,"")</f>
        <v>11.883333333333333</v>
      </c>
      <c r="AE180" t="s">
        <v>309</v>
      </c>
      <c r="AF180" t="s">
        <v>256</v>
      </c>
      <c r="AG180" s="2"/>
      <c r="AH180" s="44">
        <f>1-COS(RADIANS(TA[[#This Row],[Avg. Target Angle during Fault Time (Radians)]]-TA[[#This Row],[Angle of affected equipment ]]))</f>
        <v>0.11705240714107301</v>
      </c>
      <c r="AI180" s="35">
        <f>IFERROR(TA[[#This Row],[Breakdown Time]]*TA[[#This Row],[Plant Equivalent Weightage]],"")</f>
        <v>0.10244252873563214</v>
      </c>
    </row>
    <row r="181" spans="1:35">
      <c r="A181" s="2">
        <f t="shared" si="10"/>
        <v>178</v>
      </c>
      <c r="B181" s="156">
        <f t="shared" si="8"/>
        <v>2026</v>
      </c>
      <c r="C181" s="129">
        <f t="shared" si="9"/>
        <v>2025</v>
      </c>
      <c r="D181" s="2" t="s">
        <v>155</v>
      </c>
      <c r="E181" s="2" t="s">
        <v>155</v>
      </c>
      <c r="F181" s="39">
        <v>45748</v>
      </c>
      <c r="G181" s="2">
        <f>DAY(EOMONTH(TA[[#This Row],[Month Year]],0))</f>
        <v>30</v>
      </c>
      <c r="H181" s="21">
        <v>45756</v>
      </c>
      <c r="I181" s="41">
        <f>IFERROR(VLOOKUP(TA[[#This Row],[Date]],Raw_Data[[Date]:[Sunset Time (POA&lt;20 W/m2)]],3,0),"")</f>
        <v>0.26527777777777778</v>
      </c>
      <c r="J181" s="41">
        <f>IFERROR(VLOOKUP(TA[[#This Row],[Date]],Raw_Data[[Date]:[Sunset Time (POA&lt;20 W/m2)]],4,0),"")</f>
        <v>0.7680555555555556</v>
      </c>
      <c r="K181" s="35">
        <f>IFERROR((TA[[#This Row],[Sunset Time (POA&lt;20 W/m2)]]-TA[[#This Row],[Sunrise Time (POA&gt;20 W/m2)]])*24,"")</f>
        <v>12.066666666666666</v>
      </c>
      <c r="L181" s="2" t="s">
        <v>296</v>
      </c>
      <c r="M181" s="42">
        <f>IFERROR(VLOOKUP(TA[[#This Row],[Affected Equipment]],'Basic Data'!$I$2:$K$40,3,0),"")</f>
        <v>8.6206896551724102E-3</v>
      </c>
      <c r="N181">
        <v>-28</v>
      </c>
      <c r="O181" t="s">
        <v>134</v>
      </c>
      <c r="P181" s="22" t="s">
        <v>330</v>
      </c>
      <c r="Q181" s="2" t="s">
        <v>323</v>
      </c>
      <c r="R181">
        <v>31</v>
      </c>
      <c r="S181" s="2">
        <v>61</v>
      </c>
      <c r="T181" t="s">
        <v>297</v>
      </c>
      <c r="U181" t="s">
        <v>326</v>
      </c>
      <c r="V181" t="s">
        <v>301</v>
      </c>
      <c r="W181" s="41">
        <f>IFERROR(VLOOKUP(TA[[#This Row],[Date]],Raw_Data[[Date]:[Sunset Time (POA&lt;20 W/m2)]],3,0),"")</f>
        <v>0.26527777777777778</v>
      </c>
      <c r="X181" s="41">
        <f>IFERROR(VLOOKUP(TA[[#This Row],[Date]],Raw_Data[[Date]:[Sunset Time (POA&lt;20 W/m2)]],3,0),"")</f>
        <v>0.26527777777777778</v>
      </c>
      <c r="Y181" s="34"/>
      <c r="Z181" s="34">
        <v>0.76041666666666663</v>
      </c>
      <c r="AA181" s="35">
        <f>IF(TA[[#This Row],[Work Start time on Fault]]="NA","",(TA[[#This Row],[Fault Acknowledgement Time ]]-TA[[#This Row],[Fault Time]])*24)</f>
        <v>0</v>
      </c>
      <c r="AB181" s="35">
        <f>(TA[[#This Row],[Work Start time on Fault]]-TA[[#This Row],[Fault Time]])*24</f>
        <v>-6.3666666666666671</v>
      </c>
      <c r="AC181" s="34">
        <f>(TA[[#This Row],[Work Completion time on fault]]-TA[[#This Row],[Fault Time]])*24</f>
        <v>11.883333333333333</v>
      </c>
      <c r="AD181" s="35">
        <f>IFERROR((TA[[#This Row],[Work Completion time on fault]]-TA[[#This Row],[Fault Time]])*24,"")</f>
        <v>11.883333333333333</v>
      </c>
      <c r="AE181" t="s">
        <v>309</v>
      </c>
      <c r="AF181" t="s">
        <v>256</v>
      </c>
      <c r="AG181" s="2"/>
      <c r="AH181" s="44">
        <f>1-COS(RADIANS(TA[[#This Row],[Avg. Target Angle during Fault Time (Radians)]]-TA[[#This Row],[Angle of affected equipment ]]))</f>
        <v>0.11705240714107301</v>
      </c>
      <c r="AI181" s="35">
        <f>IFERROR(TA[[#This Row],[Breakdown Time]]*TA[[#This Row],[Plant Equivalent Weightage]],"")</f>
        <v>0.10244252873563214</v>
      </c>
    </row>
    <row r="182" spans="1:35">
      <c r="A182" s="2">
        <f t="shared" si="10"/>
        <v>179</v>
      </c>
      <c r="B182" s="156">
        <f t="shared" si="8"/>
        <v>2026</v>
      </c>
      <c r="C182" s="129">
        <f t="shared" si="9"/>
        <v>2025</v>
      </c>
      <c r="D182" s="2" t="s">
        <v>155</v>
      </c>
      <c r="E182" s="2" t="s">
        <v>155</v>
      </c>
      <c r="F182" s="39">
        <v>45748</v>
      </c>
      <c r="G182" s="2">
        <f>DAY(EOMONTH(TA[[#This Row],[Month Year]],0))</f>
        <v>30</v>
      </c>
      <c r="H182" s="21">
        <v>45756</v>
      </c>
      <c r="I182" s="41">
        <f>IFERROR(VLOOKUP(TA[[#This Row],[Date]],Raw_Data[[Date]:[Sunset Time (POA&lt;20 W/m2)]],3,0),"")</f>
        <v>0.26527777777777778</v>
      </c>
      <c r="J182" s="41">
        <f>IFERROR(VLOOKUP(TA[[#This Row],[Date]],Raw_Data[[Date]:[Sunset Time (POA&lt;20 W/m2)]],4,0),"")</f>
        <v>0.7680555555555556</v>
      </c>
      <c r="K182" s="35">
        <f>IFERROR((TA[[#This Row],[Sunset Time (POA&lt;20 W/m2)]]-TA[[#This Row],[Sunrise Time (POA&gt;20 W/m2)]])*24,"")</f>
        <v>12.066666666666666</v>
      </c>
      <c r="L182" s="2" t="s">
        <v>312</v>
      </c>
      <c r="M182" s="42">
        <f>IFERROR(VLOOKUP(TA[[#This Row],[Affected Equipment]],'Basic Data'!$I$2:$K$40,3,0),"")</f>
        <v>5.74712643678161E-3</v>
      </c>
      <c r="N182">
        <v>-28</v>
      </c>
      <c r="O182" t="s">
        <v>133</v>
      </c>
      <c r="P182" s="22" t="s">
        <v>330</v>
      </c>
      <c r="Q182" s="2" t="s">
        <v>323</v>
      </c>
      <c r="R182">
        <v>26</v>
      </c>
      <c r="S182" s="2">
        <v>37</v>
      </c>
      <c r="T182" t="s">
        <v>297</v>
      </c>
      <c r="U182" t="s">
        <v>326</v>
      </c>
      <c r="V182" t="s">
        <v>301</v>
      </c>
      <c r="W182" s="41">
        <f>IFERROR(VLOOKUP(TA[[#This Row],[Date]],Raw_Data[[Date]:[Sunset Time (POA&lt;20 W/m2)]],3,0),"")</f>
        <v>0.26527777777777778</v>
      </c>
      <c r="X182" s="41">
        <f>IFERROR(VLOOKUP(TA[[#This Row],[Date]],Raw_Data[[Date]:[Sunset Time (POA&lt;20 W/m2)]],3,0),"")</f>
        <v>0.26527777777777778</v>
      </c>
      <c r="Y182" s="34"/>
      <c r="Z182" s="34">
        <v>0.76041666666666663</v>
      </c>
      <c r="AA182" s="35">
        <f>IF(TA[[#This Row],[Work Start time on Fault]]="NA","",(TA[[#This Row],[Fault Acknowledgement Time ]]-TA[[#This Row],[Fault Time]])*24)</f>
        <v>0</v>
      </c>
      <c r="AB182" s="35">
        <f>(TA[[#This Row],[Work Start time on Fault]]-TA[[#This Row],[Fault Time]])*24</f>
        <v>-6.3666666666666671</v>
      </c>
      <c r="AC182" s="34">
        <f>(TA[[#This Row],[Work Completion time on fault]]-TA[[#This Row],[Fault Time]])*24</f>
        <v>11.883333333333333</v>
      </c>
      <c r="AD182" s="35">
        <f>IFERROR((TA[[#This Row],[Work Completion time on fault]]-TA[[#This Row],[Fault Time]])*24,"")</f>
        <v>11.883333333333333</v>
      </c>
      <c r="AE182" t="s">
        <v>309</v>
      </c>
      <c r="AF182" t="s">
        <v>256</v>
      </c>
      <c r="AG182" s="2"/>
      <c r="AH182" s="44">
        <f>1-COS(RADIANS(TA[[#This Row],[Avg. Target Angle during Fault Time (Radians)]]-TA[[#This Row],[Angle of affected equipment ]]))</f>
        <v>0.11705240714107301</v>
      </c>
      <c r="AI182" s="35">
        <f>IFERROR(TA[[#This Row],[Breakdown Time]]*TA[[#This Row],[Plant Equivalent Weightage]],"")</f>
        <v>6.8295019157088133E-2</v>
      </c>
    </row>
    <row r="183" spans="1:35">
      <c r="A183" s="2">
        <f t="shared" si="10"/>
        <v>180</v>
      </c>
      <c r="B183" s="156">
        <f t="shared" si="8"/>
        <v>2026</v>
      </c>
      <c r="C183" s="129">
        <f t="shared" si="9"/>
        <v>2025</v>
      </c>
      <c r="D183" s="2" t="s">
        <v>155</v>
      </c>
      <c r="E183" s="2" t="s">
        <v>155</v>
      </c>
      <c r="F183" s="39">
        <v>45748</v>
      </c>
      <c r="G183" s="2">
        <f>DAY(EOMONTH(TA[[#This Row],[Month Year]],0))</f>
        <v>30</v>
      </c>
      <c r="H183" s="21">
        <v>45756</v>
      </c>
      <c r="I183" s="41">
        <f>IFERROR(VLOOKUP(TA[[#This Row],[Date]],Raw_Data[[Date]:[Sunset Time (POA&lt;20 W/m2)]],3,0),"")</f>
        <v>0.26527777777777778</v>
      </c>
      <c r="J183" s="41">
        <f>IFERROR(VLOOKUP(TA[[#This Row],[Date]],Raw_Data[[Date]:[Sunset Time (POA&lt;20 W/m2)]],4,0),"")</f>
        <v>0.7680555555555556</v>
      </c>
      <c r="K183" s="35">
        <f>IFERROR((TA[[#This Row],[Sunset Time (POA&lt;20 W/m2)]]-TA[[#This Row],[Sunrise Time (POA&gt;20 W/m2)]])*24,"")</f>
        <v>12.066666666666666</v>
      </c>
      <c r="L183" s="2" t="s">
        <v>312</v>
      </c>
      <c r="M183" s="42">
        <f>IFERROR(VLOOKUP(TA[[#This Row],[Affected Equipment]],'Basic Data'!$I$2:$K$40,3,0),"")</f>
        <v>5.74712643678161E-3</v>
      </c>
      <c r="N183">
        <v>-28</v>
      </c>
      <c r="O183" t="s">
        <v>133</v>
      </c>
      <c r="P183" s="22" t="s">
        <v>330</v>
      </c>
      <c r="Q183" s="2" t="s">
        <v>323</v>
      </c>
      <c r="R183">
        <v>27</v>
      </c>
      <c r="S183" s="2">
        <v>42</v>
      </c>
      <c r="T183" t="s">
        <v>297</v>
      </c>
      <c r="U183" t="s">
        <v>326</v>
      </c>
      <c r="V183" t="s">
        <v>301</v>
      </c>
      <c r="W183" s="41">
        <f>IFERROR(VLOOKUP(TA[[#This Row],[Date]],Raw_Data[[Date]:[Sunset Time (POA&lt;20 W/m2)]],3,0),"")</f>
        <v>0.26527777777777778</v>
      </c>
      <c r="X183" s="41">
        <f>IFERROR(VLOOKUP(TA[[#This Row],[Date]],Raw_Data[[Date]:[Sunset Time (POA&lt;20 W/m2)]],3,0),"")</f>
        <v>0.26527777777777778</v>
      </c>
      <c r="Y183" s="34"/>
      <c r="Z183" s="34">
        <v>0.76041666666666663</v>
      </c>
      <c r="AA183" s="35">
        <f>IF(TA[[#This Row],[Work Start time on Fault]]="NA","",(TA[[#This Row],[Fault Acknowledgement Time ]]-TA[[#This Row],[Fault Time]])*24)</f>
        <v>0</v>
      </c>
      <c r="AB183" s="35">
        <f>(TA[[#This Row],[Work Start time on Fault]]-TA[[#This Row],[Fault Time]])*24</f>
        <v>-6.3666666666666671</v>
      </c>
      <c r="AC183" s="34">
        <f>(TA[[#This Row],[Work Completion time on fault]]-TA[[#This Row],[Fault Time]])*24</f>
        <v>11.883333333333333</v>
      </c>
      <c r="AD183" s="35">
        <f>IFERROR((TA[[#This Row],[Work Completion time on fault]]-TA[[#This Row],[Fault Time]])*24,"")</f>
        <v>11.883333333333333</v>
      </c>
      <c r="AE183" t="s">
        <v>309</v>
      </c>
      <c r="AF183" t="s">
        <v>256</v>
      </c>
      <c r="AG183" s="2"/>
      <c r="AH183" s="44">
        <f>1-COS(RADIANS(TA[[#This Row],[Avg. Target Angle during Fault Time (Radians)]]-TA[[#This Row],[Angle of affected equipment ]]))</f>
        <v>0.11705240714107301</v>
      </c>
      <c r="AI183" s="35">
        <f>IFERROR(TA[[#This Row],[Breakdown Time]]*TA[[#This Row],[Plant Equivalent Weightage]],"")</f>
        <v>6.8295019157088133E-2</v>
      </c>
    </row>
    <row r="184" spans="1:35">
      <c r="A184" s="2">
        <f t="shared" si="10"/>
        <v>181</v>
      </c>
      <c r="B184" s="156">
        <f t="shared" si="8"/>
        <v>2026</v>
      </c>
      <c r="C184" s="129">
        <f t="shared" si="9"/>
        <v>2025</v>
      </c>
      <c r="D184" s="2" t="s">
        <v>155</v>
      </c>
      <c r="E184" s="2" t="s">
        <v>155</v>
      </c>
      <c r="F184" s="39">
        <v>45748</v>
      </c>
      <c r="G184" s="2">
        <f>DAY(EOMONTH(TA[[#This Row],[Month Year]],0))</f>
        <v>30</v>
      </c>
      <c r="H184" s="21">
        <v>45757</v>
      </c>
      <c r="I184" s="41">
        <f>IFERROR(VLOOKUP(TA[[#This Row],[Date]],Raw_Data[[Date]:[Sunset Time (POA&lt;20 W/m2)]],3,0),"")</f>
        <v>0.2638888888888889</v>
      </c>
      <c r="J184" s="41">
        <f>IFERROR(VLOOKUP(TA[[#This Row],[Date]],Raw_Data[[Date]:[Sunset Time (POA&lt;20 W/m2)]],4,0),"")</f>
        <v>0.76041666666666663</v>
      </c>
      <c r="K184" s="35">
        <f>IFERROR((TA[[#This Row],[Sunset Time (POA&lt;20 W/m2)]]-TA[[#This Row],[Sunrise Time (POA&gt;20 W/m2)]])*24,"")</f>
        <v>11.916666666666666</v>
      </c>
      <c r="L184" s="2" t="s">
        <v>294</v>
      </c>
      <c r="M184" s="42">
        <f>IFERROR(VLOOKUP(TA[[#This Row],[Affected Equipment]],'Basic Data'!$I$2:$K$40,3,0),"")</f>
        <v>1.7241379310344799E-3</v>
      </c>
      <c r="N184">
        <v>-28</v>
      </c>
      <c r="O184" t="s">
        <v>135</v>
      </c>
      <c r="P184" s="127" t="s">
        <v>318</v>
      </c>
      <c r="Q184" s="126" t="s">
        <v>318</v>
      </c>
      <c r="R184">
        <v>130</v>
      </c>
      <c r="S184" s="2">
        <v>36</v>
      </c>
      <c r="T184" t="s">
        <v>295</v>
      </c>
      <c r="U184" t="s">
        <v>300</v>
      </c>
      <c r="V184" t="s">
        <v>298</v>
      </c>
      <c r="W184" s="41"/>
      <c r="X184" s="41"/>
      <c r="Y184" s="34"/>
      <c r="Z184" s="34"/>
      <c r="AA184" s="35">
        <f>IF(TA[[#This Row],[Work Start time on Fault]]="NA","",(TA[[#This Row],[Fault Acknowledgement Time ]]-TA[[#This Row],[Fault Time]])*24)</f>
        <v>0</v>
      </c>
      <c r="AB184" s="35">
        <f>(TA[[#This Row],[Work Start time on Fault]]-TA[[#This Row],[Fault Time]])*24</f>
        <v>0</v>
      </c>
      <c r="AC184" s="34">
        <f>(TA[[#This Row],[Work Completion time on fault]]-TA[[#This Row],[Fault Time]])*24</f>
        <v>0</v>
      </c>
      <c r="AD184" s="35">
        <f>IFERROR((TA[[#This Row],[Work Completion time on fault]]-TA[[#This Row],[Fault Time]])*24,"")</f>
        <v>0</v>
      </c>
      <c r="AE184" t="s">
        <v>328</v>
      </c>
      <c r="AF184" t="s">
        <v>256</v>
      </c>
      <c r="AG184" s="2"/>
      <c r="AH184" s="44">
        <f>1-COS(RADIANS(TA[[#This Row],[Avg. Target Angle during Fault Time (Radians)]]-TA[[#This Row],[Angle of affected equipment ]]))</f>
        <v>0.11705240714107301</v>
      </c>
      <c r="AI184" s="35">
        <f>IFERROR(TA[[#This Row],[Breakdown Time]]*TA[[#This Row],[Plant Equivalent Weightage]],"")</f>
        <v>0</v>
      </c>
    </row>
    <row r="185" spans="1:35">
      <c r="A185" s="2">
        <f t="shared" si="10"/>
        <v>182</v>
      </c>
      <c r="B185" s="156">
        <f t="shared" si="8"/>
        <v>2026</v>
      </c>
      <c r="C185" s="129">
        <f t="shared" si="9"/>
        <v>2025</v>
      </c>
      <c r="D185" s="2" t="s">
        <v>155</v>
      </c>
      <c r="E185" s="2" t="s">
        <v>155</v>
      </c>
      <c r="F185" s="39">
        <v>45748</v>
      </c>
      <c r="G185" s="2">
        <f>DAY(EOMONTH(TA[[#This Row],[Month Year]],0))</f>
        <v>30</v>
      </c>
      <c r="H185" s="21">
        <v>45757</v>
      </c>
      <c r="I185" s="41">
        <f>IFERROR(VLOOKUP(TA[[#This Row],[Date]],Raw_Data[[Date]:[Sunset Time (POA&lt;20 W/m2)]],3,0),"")</f>
        <v>0.2638888888888889</v>
      </c>
      <c r="J185" s="41">
        <f>IFERROR(VLOOKUP(TA[[#This Row],[Date]],Raw_Data[[Date]:[Sunset Time (POA&lt;20 W/m2)]],4,0),"")</f>
        <v>0.76041666666666663</v>
      </c>
      <c r="K185" s="35">
        <f>IFERROR((TA[[#This Row],[Sunset Time (POA&lt;20 W/m2)]]-TA[[#This Row],[Sunrise Time (POA&gt;20 W/m2)]])*24,"")</f>
        <v>11.916666666666666</v>
      </c>
      <c r="L185" s="2" t="s">
        <v>294</v>
      </c>
      <c r="M185" s="42">
        <f>IFERROR(VLOOKUP(TA[[#This Row],[Affected Equipment]],'Basic Data'!$I$2:$K$40,3,0),"")</f>
        <v>1.7241379310344799E-3</v>
      </c>
      <c r="N185">
        <v>-28</v>
      </c>
      <c r="O185" t="s">
        <v>135</v>
      </c>
      <c r="P185" s="127" t="s">
        <v>318</v>
      </c>
      <c r="Q185" s="126" t="s">
        <v>318</v>
      </c>
      <c r="R185">
        <v>130</v>
      </c>
      <c r="S185" s="2">
        <v>37</v>
      </c>
      <c r="T185" t="s">
        <v>295</v>
      </c>
      <c r="U185" t="s">
        <v>300</v>
      </c>
      <c r="V185" t="s">
        <v>298</v>
      </c>
      <c r="W185" s="41"/>
      <c r="X185" s="41"/>
      <c r="Y185" s="34"/>
      <c r="Z185" s="34"/>
      <c r="AA185" s="35">
        <f>IF(TA[[#This Row],[Work Start time on Fault]]="NA","",(TA[[#This Row],[Fault Acknowledgement Time ]]-TA[[#This Row],[Fault Time]])*24)</f>
        <v>0</v>
      </c>
      <c r="AB185" s="35">
        <f>(TA[[#This Row],[Work Start time on Fault]]-TA[[#This Row],[Fault Time]])*24</f>
        <v>0</v>
      </c>
      <c r="AC185" s="34">
        <f>(TA[[#This Row],[Work Completion time on fault]]-TA[[#This Row],[Fault Time]])*24</f>
        <v>0</v>
      </c>
      <c r="AD185" s="35">
        <f>IFERROR((TA[[#This Row],[Work Completion time on fault]]-TA[[#This Row],[Fault Time]])*24,"")</f>
        <v>0</v>
      </c>
      <c r="AE185" t="s">
        <v>328</v>
      </c>
      <c r="AF185" t="s">
        <v>256</v>
      </c>
      <c r="AG185" s="2"/>
      <c r="AH185" s="44">
        <f>1-COS(RADIANS(TA[[#This Row],[Avg. Target Angle during Fault Time (Radians)]]-TA[[#This Row],[Angle of affected equipment ]]))</f>
        <v>0.11705240714107301</v>
      </c>
      <c r="AI185" s="35">
        <f>IFERROR(TA[[#This Row],[Breakdown Time]]*TA[[#This Row],[Plant Equivalent Weightage]],"")</f>
        <v>0</v>
      </c>
    </row>
    <row r="186" spans="1:35">
      <c r="A186" s="2">
        <f t="shared" si="10"/>
        <v>183</v>
      </c>
      <c r="B186" s="156">
        <f t="shared" si="8"/>
        <v>2026</v>
      </c>
      <c r="C186" s="129">
        <f t="shared" si="9"/>
        <v>2025</v>
      </c>
      <c r="D186" s="2" t="s">
        <v>155</v>
      </c>
      <c r="E186" s="2" t="s">
        <v>155</v>
      </c>
      <c r="F186" s="39">
        <v>45748</v>
      </c>
      <c r="G186" s="2">
        <f>DAY(EOMONTH(TA[[#This Row],[Month Year]],0))</f>
        <v>30</v>
      </c>
      <c r="H186" s="21">
        <v>45757</v>
      </c>
      <c r="I186" s="41">
        <f>IFERROR(VLOOKUP(TA[[#This Row],[Date]],Raw_Data[[Date]:[Sunset Time (POA&lt;20 W/m2)]],3,0),"")</f>
        <v>0.2638888888888889</v>
      </c>
      <c r="J186" s="41">
        <f>IFERROR(VLOOKUP(TA[[#This Row],[Date]],Raw_Data[[Date]:[Sunset Time (POA&lt;20 W/m2)]],4,0),"")</f>
        <v>0.76041666666666663</v>
      </c>
      <c r="K186" s="35">
        <f>IFERROR((TA[[#This Row],[Sunset Time (POA&lt;20 W/m2)]]-TA[[#This Row],[Sunrise Time (POA&gt;20 W/m2)]])*24,"")</f>
        <v>11.916666666666666</v>
      </c>
      <c r="L186" s="2" t="s">
        <v>294</v>
      </c>
      <c r="M186" s="42">
        <f>IFERROR(VLOOKUP(TA[[#This Row],[Affected Equipment]],'Basic Data'!$I$2:$K$40,3,0),"")</f>
        <v>1.7241379310344799E-3</v>
      </c>
      <c r="N186">
        <v>-28</v>
      </c>
      <c r="O186" t="s">
        <v>135</v>
      </c>
      <c r="P186" s="127" t="s">
        <v>318</v>
      </c>
      <c r="Q186" s="126" t="s">
        <v>318</v>
      </c>
      <c r="R186">
        <v>131</v>
      </c>
      <c r="S186" s="2">
        <v>38</v>
      </c>
      <c r="T186" t="s">
        <v>295</v>
      </c>
      <c r="U186" t="s">
        <v>300</v>
      </c>
      <c r="V186" t="s">
        <v>298</v>
      </c>
      <c r="W186" s="41"/>
      <c r="X186" s="41"/>
      <c r="Y186" s="34"/>
      <c r="Z186" s="34"/>
      <c r="AA186" s="35">
        <f>IF(TA[[#This Row],[Work Start time on Fault]]="NA","",(TA[[#This Row],[Fault Acknowledgement Time ]]-TA[[#This Row],[Fault Time]])*24)</f>
        <v>0</v>
      </c>
      <c r="AB186" s="35">
        <f>(TA[[#This Row],[Work Start time on Fault]]-TA[[#This Row],[Fault Time]])*24</f>
        <v>0</v>
      </c>
      <c r="AC186" s="34">
        <f>(TA[[#This Row],[Work Completion time on fault]]-TA[[#This Row],[Fault Time]])*24</f>
        <v>0</v>
      </c>
      <c r="AD186" s="35">
        <f>IFERROR((TA[[#This Row],[Work Completion time on fault]]-TA[[#This Row],[Fault Time]])*24,"")</f>
        <v>0</v>
      </c>
      <c r="AE186" t="s">
        <v>328</v>
      </c>
      <c r="AF186" t="s">
        <v>256</v>
      </c>
      <c r="AG186" s="2"/>
      <c r="AH186" s="44">
        <f>1-COS(RADIANS(TA[[#This Row],[Avg. Target Angle during Fault Time (Radians)]]-TA[[#This Row],[Angle of affected equipment ]]))</f>
        <v>0.11705240714107301</v>
      </c>
      <c r="AI186" s="35">
        <f>IFERROR(TA[[#This Row],[Breakdown Time]]*TA[[#This Row],[Plant Equivalent Weightage]],"")</f>
        <v>0</v>
      </c>
    </row>
    <row r="187" spans="1:35">
      <c r="A187" s="2">
        <f t="shared" si="10"/>
        <v>184</v>
      </c>
      <c r="B187" s="156">
        <f t="shared" si="8"/>
        <v>2026</v>
      </c>
      <c r="C187" s="129">
        <f t="shared" si="9"/>
        <v>2025</v>
      </c>
      <c r="D187" s="2" t="s">
        <v>155</v>
      </c>
      <c r="E187" s="2" t="s">
        <v>155</v>
      </c>
      <c r="F187" s="39">
        <v>45748</v>
      </c>
      <c r="G187" s="2">
        <f>DAY(EOMONTH(TA[[#This Row],[Month Year]],0))</f>
        <v>30</v>
      </c>
      <c r="H187" s="21">
        <v>45757</v>
      </c>
      <c r="I187" s="41">
        <f>IFERROR(VLOOKUP(TA[[#This Row],[Date]],Raw_Data[[Date]:[Sunset Time (POA&lt;20 W/m2)]],3,0),"")</f>
        <v>0.2638888888888889</v>
      </c>
      <c r="J187" s="41">
        <f>IFERROR(VLOOKUP(TA[[#This Row],[Date]],Raw_Data[[Date]:[Sunset Time (POA&lt;20 W/m2)]],4,0),"")</f>
        <v>0.76041666666666663</v>
      </c>
      <c r="K187" s="35">
        <f>IFERROR((TA[[#This Row],[Sunset Time (POA&lt;20 W/m2)]]-TA[[#This Row],[Sunrise Time (POA&gt;20 W/m2)]])*24,"")</f>
        <v>11.916666666666666</v>
      </c>
      <c r="L187" s="2" t="s">
        <v>294</v>
      </c>
      <c r="M187" s="42">
        <f>IFERROR(VLOOKUP(TA[[#This Row],[Affected Equipment]],'Basic Data'!$I$2:$K$40,3,0),"")</f>
        <v>1.7241379310344799E-3</v>
      </c>
      <c r="N187">
        <v>-28</v>
      </c>
      <c r="O187" t="s">
        <v>135</v>
      </c>
      <c r="P187" s="127" t="s">
        <v>318</v>
      </c>
      <c r="Q187" s="126" t="s">
        <v>318</v>
      </c>
      <c r="R187">
        <v>131</v>
      </c>
      <c r="S187" s="2">
        <v>39</v>
      </c>
      <c r="T187" t="s">
        <v>295</v>
      </c>
      <c r="U187" t="s">
        <v>300</v>
      </c>
      <c r="V187" t="s">
        <v>298</v>
      </c>
      <c r="W187" s="41"/>
      <c r="X187" s="41"/>
      <c r="Y187" s="34"/>
      <c r="Z187" s="34"/>
      <c r="AA187" s="35">
        <f>IF(TA[[#This Row],[Work Start time on Fault]]="NA","",(TA[[#This Row],[Fault Acknowledgement Time ]]-TA[[#This Row],[Fault Time]])*24)</f>
        <v>0</v>
      </c>
      <c r="AB187" s="35">
        <f>(TA[[#This Row],[Work Start time on Fault]]-TA[[#This Row],[Fault Time]])*24</f>
        <v>0</v>
      </c>
      <c r="AC187" s="34">
        <f>(TA[[#This Row],[Work Completion time on fault]]-TA[[#This Row],[Fault Time]])*24</f>
        <v>0</v>
      </c>
      <c r="AD187" s="35">
        <f>IFERROR((TA[[#This Row],[Work Completion time on fault]]-TA[[#This Row],[Fault Time]])*24,"")</f>
        <v>0</v>
      </c>
      <c r="AE187" t="s">
        <v>328</v>
      </c>
      <c r="AF187" t="s">
        <v>256</v>
      </c>
      <c r="AG187" s="2"/>
      <c r="AH187" s="44">
        <f>1-COS(RADIANS(TA[[#This Row],[Avg. Target Angle during Fault Time (Radians)]]-TA[[#This Row],[Angle of affected equipment ]]))</f>
        <v>0.11705240714107301</v>
      </c>
      <c r="AI187" s="35">
        <f>IFERROR(TA[[#This Row],[Breakdown Time]]*TA[[#This Row],[Plant Equivalent Weightage]],"")</f>
        <v>0</v>
      </c>
    </row>
    <row r="188" spans="1:35">
      <c r="A188" s="2">
        <f t="shared" si="10"/>
        <v>185</v>
      </c>
      <c r="B188" s="156">
        <f t="shared" si="8"/>
        <v>2026</v>
      </c>
      <c r="C188" s="129">
        <f t="shared" si="9"/>
        <v>2025</v>
      </c>
      <c r="D188" s="2" t="s">
        <v>155</v>
      </c>
      <c r="E188" s="2" t="s">
        <v>155</v>
      </c>
      <c r="F188" s="39">
        <v>45748</v>
      </c>
      <c r="G188" s="2">
        <f>DAY(EOMONTH(TA[[#This Row],[Month Year]],0))</f>
        <v>30</v>
      </c>
      <c r="H188" s="21">
        <v>45757</v>
      </c>
      <c r="I188" s="41">
        <f>IFERROR(VLOOKUP(TA[[#This Row],[Date]],Raw_Data[[Date]:[Sunset Time (POA&lt;20 W/m2)]],3,0),"")</f>
        <v>0.2638888888888889</v>
      </c>
      <c r="J188" s="41">
        <f>IFERROR(VLOOKUP(TA[[#This Row],[Date]],Raw_Data[[Date]:[Sunset Time (POA&lt;20 W/m2)]],4,0),"")</f>
        <v>0.76041666666666663</v>
      </c>
      <c r="K188" s="35">
        <f>IFERROR((TA[[#This Row],[Sunset Time (POA&lt;20 W/m2)]]-TA[[#This Row],[Sunrise Time (POA&gt;20 W/m2)]])*24,"")</f>
        <v>11.916666666666666</v>
      </c>
      <c r="L188" s="2" t="s">
        <v>296</v>
      </c>
      <c r="M188" s="42">
        <f>IFERROR(VLOOKUP(TA[[#This Row],[Affected Equipment]],'Basic Data'!$I$2:$K$40,3,0),"")</f>
        <v>8.6206896551724102E-3</v>
      </c>
      <c r="N188">
        <v>-28</v>
      </c>
      <c r="O188" t="s">
        <v>135</v>
      </c>
      <c r="P188" s="127" t="s">
        <v>318</v>
      </c>
      <c r="Q188" s="2" t="s">
        <v>321</v>
      </c>
      <c r="R188">
        <v>133</v>
      </c>
      <c r="S188" s="2">
        <v>26</v>
      </c>
      <c r="T188" t="s">
        <v>297</v>
      </c>
      <c r="U188" t="s">
        <v>300</v>
      </c>
      <c r="V188" t="s">
        <v>314</v>
      </c>
      <c r="W188" s="41"/>
      <c r="X188" s="41"/>
      <c r="Y188" s="34"/>
      <c r="Z188" s="34"/>
      <c r="AA188" s="35">
        <f>IF(TA[[#This Row],[Work Start time on Fault]]="NA","",(TA[[#This Row],[Fault Acknowledgement Time ]]-TA[[#This Row],[Fault Time]])*24)</f>
        <v>0</v>
      </c>
      <c r="AB188" s="35">
        <f>(TA[[#This Row],[Work Start time on Fault]]-TA[[#This Row],[Fault Time]])*24</f>
        <v>0</v>
      </c>
      <c r="AC188" s="34">
        <f>(TA[[#This Row],[Work Completion time on fault]]-TA[[#This Row],[Fault Time]])*24</f>
        <v>0</v>
      </c>
      <c r="AD188" s="35">
        <f>IFERROR((TA[[#This Row],[Work Completion time on fault]]-TA[[#This Row],[Fault Time]])*24,"")</f>
        <v>0</v>
      </c>
      <c r="AE188" t="s">
        <v>328</v>
      </c>
      <c r="AF188" t="s">
        <v>256</v>
      </c>
      <c r="AG188" s="2"/>
      <c r="AH188" s="44">
        <f>1-COS(RADIANS(TA[[#This Row],[Avg. Target Angle during Fault Time (Radians)]]-TA[[#This Row],[Angle of affected equipment ]]))</f>
        <v>0.11705240714107301</v>
      </c>
      <c r="AI188" s="35">
        <f>IFERROR(TA[[#This Row],[Breakdown Time]]*TA[[#This Row],[Plant Equivalent Weightage]],"")</f>
        <v>0</v>
      </c>
    </row>
    <row r="189" spans="1:35">
      <c r="A189" s="2">
        <f t="shared" si="10"/>
        <v>186</v>
      </c>
      <c r="B189" s="156">
        <f t="shared" si="8"/>
        <v>2026</v>
      </c>
      <c r="C189" s="129">
        <f t="shared" si="9"/>
        <v>2025</v>
      </c>
      <c r="D189" s="2" t="s">
        <v>155</v>
      </c>
      <c r="E189" s="2" t="s">
        <v>155</v>
      </c>
      <c r="F189" s="39">
        <v>45748</v>
      </c>
      <c r="G189" s="2">
        <f>DAY(EOMONTH(TA[[#This Row],[Month Year]],0))</f>
        <v>30</v>
      </c>
      <c r="H189" s="21">
        <v>45757</v>
      </c>
      <c r="I189" s="41">
        <f>IFERROR(VLOOKUP(TA[[#This Row],[Date]],Raw_Data[[Date]:[Sunset Time (POA&lt;20 W/m2)]],3,0),"")</f>
        <v>0.2638888888888889</v>
      </c>
      <c r="J189" s="41">
        <f>IFERROR(VLOOKUP(TA[[#This Row],[Date]],Raw_Data[[Date]:[Sunset Time (POA&lt;20 W/m2)]],4,0),"")</f>
        <v>0.76041666666666663</v>
      </c>
      <c r="K189" s="35">
        <f>IFERROR((TA[[#This Row],[Sunset Time (POA&lt;20 W/m2)]]-TA[[#This Row],[Sunrise Time (POA&gt;20 W/m2)]])*24,"")</f>
        <v>11.916666666666666</v>
      </c>
      <c r="L189" s="2" t="s">
        <v>294</v>
      </c>
      <c r="M189" s="42">
        <f>IFERROR(VLOOKUP(TA[[#This Row],[Affected Equipment]],'Basic Data'!$I$2:$K$40,3,0),"")</f>
        <v>1.7241379310344799E-3</v>
      </c>
      <c r="N189">
        <v>-28</v>
      </c>
      <c r="O189" t="s">
        <v>133</v>
      </c>
      <c r="P189" s="127" t="s">
        <v>316</v>
      </c>
      <c r="Q189" s="126" t="s">
        <v>317</v>
      </c>
      <c r="R189">
        <v>7</v>
      </c>
      <c r="S189" s="2">
        <v>32</v>
      </c>
      <c r="T189" t="s">
        <v>295</v>
      </c>
      <c r="U189" t="s">
        <v>300</v>
      </c>
      <c r="V189" t="s">
        <v>298</v>
      </c>
      <c r="W189" s="41"/>
      <c r="X189" s="41"/>
      <c r="Y189" s="34"/>
      <c r="Z189" s="34"/>
      <c r="AA189" s="35">
        <f>IF(TA[[#This Row],[Work Start time on Fault]]="NA","",(TA[[#This Row],[Fault Acknowledgement Time ]]-TA[[#This Row],[Fault Time]])*24)</f>
        <v>0</v>
      </c>
      <c r="AB189" s="35">
        <f>(TA[[#This Row],[Work Start time on Fault]]-TA[[#This Row],[Fault Time]])*24</f>
        <v>0</v>
      </c>
      <c r="AC189" s="34">
        <f>(TA[[#This Row],[Work Completion time on fault]]-TA[[#This Row],[Fault Time]])*24</f>
        <v>0</v>
      </c>
      <c r="AD189" s="35">
        <f>IFERROR((TA[[#This Row],[Work Completion time on fault]]-TA[[#This Row],[Fault Time]])*24,"")</f>
        <v>0</v>
      </c>
      <c r="AE189" t="s">
        <v>328</v>
      </c>
      <c r="AF189" t="s">
        <v>256</v>
      </c>
      <c r="AG189" s="2"/>
      <c r="AH189" s="44">
        <f>1-COS(RADIANS(TA[[#This Row],[Avg. Target Angle during Fault Time (Radians)]]-TA[[#This Row],[Angle of affected equipment ]]))</f>
        <v>0.11705240714107301</v>
      </c>
      <c r="AI189" s="35">
        <f>IFERROR(TA[[#This Row],[Breakdown Time]]*TA[[#This Row],[Plant Equivalent Weightage]],"")</f>
        <v>0</v>
      </c>
    </row>
    <row r="190" spans="1:35">
      <c r="A190" s="2">
        <f t="shared" si="10"/>
        <v>187</v>
      </c>
      <c r="B190" s="156">
        <f t="shared" si="8"/>
        <v>2026</v>
      </c>
      <c r="C190" s="129">
        <f t="shared" si="9"/>
        <v>2025</v>
      </c>
      <c r="D190" s="2" t="s">
        <v>155</v>
      </c>
      <c r="E190" s="2" t="s">
        <v>155</v>
      </c>
      <c r="F190" s="39">
        <v>45748</v>
      </c>
      <c r="G190" s="2">
        <f>DAY(EOMONTH(TA[[#This Row],[Month Year]],0))</f>
        <v>30</v>
      </c>
      <c r="H190" s="21">
        <v>45757</v>
      </c>
      <c r="I190" s="41">
        <f>IFERROR(VLOOKUP(TA[[#This Row],[Date]],Raw_Data[[Date]:[Sunset Time (POA&lt;20 W/m2)]],3,0),"")</f>
        <v>0.2638888888888889</v>
      </c>
      <c r="J190" s="41">
        <f>IFERROR(VLOOKUP(TA[[#This Row],[Date]],Raw_Data[[Date]:[Sunset Time (POA&lt;20 W/m2)]],4,0),"")</f>
        <v>0.76041666666666663</v>
      </c>
      <c r="K190" s="35">
        <f>IFERROR((TA[[#This Row],[Sunset Time (POA&lt;20 W/m2)]]-TA[[#This Row],[Sunrise Time (POA&gt;20 W/m2)]])*24,"")</f>
        <v>11.916666666666666</v>
      </c>
      <c r="L190" s="2" t="s">
        <v>294</v>
      </c>
      <c r="M190" s="42">
        <f>IFERROR(VLOOKUP(TA[[#This Row],[Affected Equipment]],'Basic Data'!$I$2:$K$40,3,0),"")</f>
        <v>1.7241379310344799E-3</v>
      </c>
      <c r="N190">
        <v>-28</v>
      </c>
      <c r="O190" t="s">
        <v>137</v>
      </c>
      <c r="P190" s="127" t="s">
        <v>315</v>
      </c>
      <c r="Q190" s="126" t="s">
        <v>319</v>
      </c>
      <c r="R190">
        <v>166</v>
      </c>
      <c r="S190" s="2">
        <v>91</v>
      </c>
      <c r="T190" t="s">
        <v>295</v>
      </c>
      <c r="U190" t="s">
        <v>300</v>
      </c>
      <c r="V190" t="s">
        <v>298</v>
      </c>
      <c r="W190" s="41"/>
      <c r="X190" s="41"/>
      <c r="Y190" s="34"/>
      <c r="Z190" s="34"/>
      <c r="AA190" s="35">
        <f>IF(TA[[#This Row],[Work Start time on Fault]]="NA","",(TA[[#This Row],[Fault Acknowledgement Time ]]-TA[[#This Row],[Fault Time]])*24)</f>
        <v>0</v>
      </c>
      <c r="AB190" s="35">
        <f>(TA[[#This Row],[Work Start time on Fault]]-TA[[#This Row],[Fault Time]])*24</f>
        <v>0</v>
      </c>
      <c r="AC190" s="34">
        <f>(TA[[#This Row],[Work Completion time on fault]]-TA[[#This Row],[Fault Time]])*24</f>
        <v>0</v>
      </c>
      <c r="AD190" s="35">
        <f>IFERROR((TA[[#This Row],[Work Completion time on fault]]-TA[[#This Row],[Fault Time]])*24,"")</f>
        <v>0</v>
      </c>
      <c r="AE190" t="s">
        <v>328</v>
      </c>
      <c r="AF190" t="s">
        <v>256</v>
      </c>
      <c r="AG190" s="2"/>
      <c r="AH190" s="44">
        <f>1-COS(RADIANS(TA[[#This Row],[Avg. Target Angle during Fault Time (Radians)]]-TA[[#This Row],[Angle of affected equipment ]]))</f>
        <v>0.11705240714107301</v>
      </c>
      <c r="AI190" s="35">
        <f>IFERROR(TA[[#This Row],[Breakdown Time]]*TA[[#This Row],[Plant Equivalent Weightage]],"")</f>
        <v>0</v>
      </c>
    </row>
    <row r="191" spans="1:35">
      <c r="A191" s="2">
        <f t="shared" si="10"/>
        <v>188</v>
      </c>
      <c r="B191" s="156">
        <f t="shared" si="8"/>
        <v>2026</v>
      </c>
      <c r="C191" s="129">
        <f t="shared" si="9"/>
        <v>2025</v>
      </c>
      <c r="D191" s="2" t="s">
        <v>155</v>
      </c>
      <c r="E191" s="2" t="s">
        <v>155</v>
      </c>
      <c r="F191" s="39">
        <v>45748</v>
      </c>
      <c r="G191" s="2">
        <f>DAY(EOMONTH(TA[[#This Row],[Month Year]],0))</f>
        <v>30</v>
      </c>
      <c r="H191" s="21">
        <v>45757</v>
      </c>
      <c r="I191" s="41">
        <f>IFERROR(VLOOKUP(TA[[#This Row],[Date]],Raw_Data[[Date]:[Sunset Time (POA&lt;20 W/m2)]],3,0),"")</f>
        <v>0.2638888888888889</v>
      </c>
      <c r="J191" s="41">
        <f>IFERROR(VLOOKUP(TA[[#This Row],[Date]],Raw_Data[[Date]:[Sunset Time (POA&lt;20 W/m2)]],4,0),"")</f>
        <v>0.76041666666666663</v>
      </c>
      <c r="K191" s="35">
        <f>IFERROR((TA[[#This Row],[Sunset Time (POA&lt;20 W/m2)]]-TA[[#This Row],[Sunrise Time (POA&gt;20 W/m2)]])*24,"")</f>
        <v>11.916666666666666</v>
      </c>
      <c r="L191" s="2" t="s">
        <v>294</v>
      </c>
      <c r="M191" s="42">
        <f>IFERROR(VLOOKUP(TA[[#This Row],[Affected Equipment]],'Basic Data'!$I$2:$K$40,3,0),"")</f>
        <v>1.7241379310344799E-3</v>
      </c>
      <c r="N191">
        <v>-28</v>
      </c>
      <c r="O191" t="s">
        <v>133</v>
      </c>
      <c r="P191" s="127" t="s">
        <v>316</v>
      </c>
      <c r="Q191" s="126" t="s">
        <v>316</v>
      </c>
      <c r="R191">
        <v>117</v>
      </c>
      <c r="S191" s="2">
        <v>20</v>
      </c>
      <c r="T191" t="s">
        <v>295</v>
      </c>
      <c r="U191" t="s">
        <v>300</v>
      </c>
      <c r="V191" t="s">
        <v>298</v>
      </c>
      <c r="W191" s="41"/>
      <c r="X191" s="41"/>
      <c r="Y191" s="34"/>
      <c r="Z191" s="34"/>
      <c r="AA191" s="35">
        <f>IF(TA[[#This Row],[Work Start time on Fault]]="NA","",(TA[[#This Row],[Fault Acknowledgement Time ]]-TA[[#This Row],[Fault Time]])*24)</f>
        <v>0</v>
      </c>
      <c r="AB191" s="35">
        <f>(TA[[#This Row],[Work Start time on Fault]]-TA[[#This Row],[Fault Time]])*24</f>
        <v>0</v>
      </c>
      <c r="AC191" s="34">
        <f>(TA[[#This Row],[Work Completion time on fault]]-TA[[#This Row],[Fault Time]])*24</f>
        <v>0</v>
      </c>
      <c r="AD191" s="35">
        <f>IFERROR((TA[[#This Row],[Work Completion time on fault]]-TA[[#This Row],[Fault Time]])*24,"")</f>
        <v>0</v>
      </c>
      <c r="AE191" t="s">
        <v>328</v>
      </c>
      <c r="AF191" t="s">
        <v>256</v>
      </c>
      <c r="AG191" s="2"/>
      <c r="AH191" s="44">
        <f>1-COS(RADIANS(TA[[#This Row],[Avg. Target Angle during Fault Time (Radians)]]-TA[[#This Row],[Angle of affected equipment ]]))</f>
        <v>0.11705240714107301</v>
      </c>
      <c r="AI191" s="35">
        <f>IFERROR(TA[[#This Row],[Breakdown Time]]*TA[[#This Row],[Plant Equivalent Weightage]],"")</f>
        <v>0</v>
      </c>
    </row>
    <row r="192" spans="1:35">
      <c r="A192" s="2">
        <f t="shared" si="10"/>
        <v>189</v>
      </c>
      <c r="B192" s="156">
        <f t="shared" si="8"/>
        <v>2026</v>
      </c>
      <c r="C192" s="129">
        <f t="shared" si="9"/>
        <v>2025</v>
      </c>
      <c r="D192" s="2" t="s">
        <v>155</v>
      </c>
      <c r="E192" s="2" t="s">
        <v>155</v>
      </c>
      <c r="F192" s="39">
        <v>45748</v>
      </c>
      <c r="G192" s="2">
        <f>DAY(EOMONTH(TA[[#This Row],[Month Year]],0))</f>
        <v>30</v>
      </c>
      <c r="H192" s="21">
        <v>45757</v>
      </c>
      <c r="I192" s="41">
        <f>IFERROR(VLOOKUP(TA[[#This Row],[Date]],Raw_Data[[Date]:[Sunset Time (POA&lt;20 W/m2)]],3,0),"")</f>
        <v>0.2638888888888889</v>
      </c>
      <c r="J192" s="41">
        <f>IFERROR(VLOOKUP(TA[[#This Row],[Date]],Raw_Data[[Date]:[Sunset Time (POA&lt;20 W/m2)]],4,0),"")</f>
        <v>0.76041666666666663</v>
      </c>
      <c r="K192" s="35">
        <f>IFERROR((TA[[#This Row],[Sunset Time (POA&lt;20 W/m2)]]-TA[[#This Row],[Sunrise Time (POA&gt;20 W/m2)]])*24,"")</f>
        <v>11.916666666666666</v>
      </c>
      <c r="L192" s="2" t="s">
        <v>294</v>
      </c>
      <c r="M192" s="42">
        <f>IFERROR(VLOOKUP(TA[[#This Row],[Affected Equipment]],'Basic Data'!$I$2:$K$40,3,0),"")</f>
        <v>1.7241379310344799E-3</v>
      </c>
      <c r="N192">
        <v>-28</v>
      </c>
      <c r="O192" t="s">
        <v>133</v>
      </c>
      <c r="P192" s="127" t="s">
        <v>316</v>
      </c>
      <c r="Q192" s="126" t="s">
        <v>316</v>
      </c>
      <c r="R192">
        <v>118</v>
      </c>
      <c r="S192" s="2">
        <v>22</v>
      </c>
      <c r="T192" t="s">
        <v>295</v>
      </c>
      <c r="U192" t="s">
        <v>300</v>
      </c>
      <c r="V192" t="s">
        <v>298</v>
      </c>
      <c r="W192" s="41"/>
      <c r="X192" s="41"/>
      <c r="Y192" s="34"/>
      <c r="Z192" s="34"/>
      <c r="AA192" s="35">
        <f>IF(TA[[#This Row],[Work Start time on Fault]]="NA","",(TA[[#This Row],[Fault Acknowledgement Time ]]-TA[[#This Row],[Fault Time]])*24)</f>
        <v>0</v>
      </c>
      <c r="AB192" s="35">
        <f>(TA[[#This Row],[Work Start time on Fault]]-TA[[#This Row],[Fault Time]])*24</f>
        <v>0</v>
      </c>
      <c r="AC192" s="34">
        <f>(TA[[#This Row],[Work Completion time on fault]]-TA[[#This Row],[Fault Time]])*24</f>
        <v>0</v>
      </c>
      <c r="AD192" s="35">
        <f>IFERROR((TA[[#This Row],[Work Completion time on fault]]-TA[[#This Row],[Fault Time]])*24,"")</f>
        <v>0</v>
      </c>
      <c r="AE192" t="s">
        <v>328</v>
      </c>
      <c r="AF192" t="s">
        <v>256</v>
      </c>
      <c r="AG192" s="2"/>
      <c r="AH192" s="44">
        <f>1-COS(RADIANS(TA[[#This Row],[Avg. Target Angle during Fault Time (Radians)]]-TA[[#This Row],[Angle of affected equipment ]]))</f>
        <v>0.11705240714107301</v>
      </c>
      <c r="AI192" s="35">
        <f>IFERROR(TA[[#This Row],[Breakdown Time]]*TA[[#This Row],[Plant Equivalent Weightage]],"")</f>
        <v>0</v>
      </c>
    </row>
    <row r="193" spans="1:35">
      <c r="A193" s="2">
        <f t="shared" si="10"/>
        <v>190</v>
      </c>
      <c r="B193" s="156">
        <f t="shared" si="8"/>
        <v>2026</v>
      </c>
      <c r="C193" s="129">
        <f t="shared" si="9"/>
        <v>2025</v>
      </c>
      <c r="D193" s="2" t="s">
        <v>155</v>
      </c>
      <c r="E193" s="2" t="s">
        <v>155</v>
      </c>
      <c r="F193" s="39">
        <v>45748</v>
      </c>
      <c r="G193" s="2">
        <f>DAY(EOMONTH(TA[[#This Row],[Month Year]],0))</f>
        <v>30</v>
      </c>
      <c r="H193" s="21">
        <v>45757</v>
      </c>
      <c r="I193" s="41">
        <f>IFERROR(VLOOKUP(TA[[#This Row],[Date]],Raw_Data[[Date]:[Sunset Time (POA&lt;20 W/m2)]],3,0),"")</f>
        <v>0.2638888888888889</v>
      </c>
      <c r="J193" s="41">
        <f>IFERROR(VLOOKUP(TA[[#This Row],[Date]],Raw_Data[[Date]:[Sunset Time (POA&lt;20 W/m2)]],4,0),"")</f>
        <v>0.76041666666666663</v>
      </c>
      <c r="K193" s="35">
        <f>IFERROR((TA[[#This Row],[Sunset Time (POA&lt;20 W/m2)]]-TA[[#This Row],[Sunrise Time (POA&gt;20 W/m2)]])*24,"")</f>
        <v>11.916666666666666</v>
      </c>
      <c r="L193" s="2" t="s">
        <v>296</v>
      </c>
      <c r="M193" s="42">
        <f>IFERROR(VLOOKUP(TA[[#This Row],[Affected Equipment]],'Basic Data'!$I$2:$K$40,3,0),"")</f>
        <v>8.6206896551724102E-3</v>
      </c>
      <c r="N193">
        <v>-28</v>
      </c>
      <c r="O193" t="s">
        <v>135</v>
      </c>
      <c r="P193" s="22" t="s">
        <v>323</v>
      </c>
      <c r="Q193" s="2" t="s">
        <v>329</v>
      </c>
      <c r="R193">
        <v>45</v>
      </c>
      <c r="S193" s="2">
        <v>8</v>
      </c>
      <c r="T193" t="s">
        <v>297</v>
      </c>
      <c r="U193" t="s">
        <v>326</v>
      </c>
      <c r="V193" t="s">
        <v>301</v>
      </c>
      <c r="W193" s="41">
        <f>IFERROR(VLOOKUP(TA[[#This Row],[Date]],Raw_Data[[Date]:[Sunset Time (POA&lt;20 W/m2)]],3,0),"")</f>
        <v>0.2638888888888889</v>
      </c>
      <c r="X193" s="41">
        <f>IFERROR(VLOOKUP(TA[[#This Row],[Date]],Raw_Data[[Date]:[Sunset Time (POA&lt;20 W/m2)]],3,0),"")</f>
        <v>0.2638888888888889</v>
      </c>
      <c r="Y193" s="34"/>
      <c r="Z193" s="34">
        <v>0.76041666666666663</v>
      </c>
      <c r="AA193" s="35">
        <f>IF(TA[[#This Row],[Work Start time on Fault]]="NA","",(TA[[#This Row],[Fault Acknowledgement Time ]]-TA[[#This Row],[Fault Time]])*24)</f>
        <v>0</v>
      </c>
      <c r="AB193" s="35">
        <f>(TA[[#This Row],[Work Start time on Fault]]-TA[[#This Row],[Fault Time]])*24</f>
        <v>-6.3333333333333339</v>
      </c>
      <c r="AC193" s="34">
        <f>(TA[[#This Row],[Work Completion time on fault]]-TA[[#This Row],[Fault Time]])*24</f>
        <v>11.916666666666666</v>
      </c>
      <c r="AD193" s="35">
        <f>IFERROR((TA[[#This Row],[Work Completion time on fault]]-TA[[#This Row],[Fault Time]])*24,"")</f>
        <v>11.916666666666666</v>
      </c>
      <c r="AE193" t="s">
        <v>309</v>
      </c>
      <c r="AF193" t="s">
        <v>256</v>
      </c>
      <c r="AG193" s="2"/>
      <c r="AH193" s="44">
        <f>1-COS(RADIANS(TA[[#This Row],[Avg. Target Angle during Fault Time (Radians)]]-TA[[#This Row],[Angle of affected equipment ]]))</f>
        <v>0.11705240714107301</v>
      </c>
      <c r="AI193" s="35">
        <f>IFERROR(TA[[#This Row],[Breakdown Time]]*TA[[#This Row],[Plant Equivalent Weightage]],"")</f>
        <v>0.10272988505747122</v>
      </c>
    </row>
    <row r="194" spans="1:35">
      <c r="A194" s="2">
        <f t="shared" si="10"/>
        <v>191</v>
      </c>
      <c r="B194" s="156">
        <f t="shared" si="8"/>
        <v>2026</v>
      </c>
      <c r="C194" s="129">
        <f t="shared" si="9"/>
        <v>2025</v>
      </c>
      <c r="D194" s="2" t="s">
        <v>155</v>
      </c>
      <c r="E194" s="2" t="s">
        <v>155</v>
      </c>
      <c r="F194" s="39">
        <v>45748</v>
      </c>
      <c r="G194" s="2">
        <f>DAY(EOMONTH(TA[[#This Row],[Month Year]],0))</f>
        <v>30</v>
      </c>
      <c r="H194" s="21">
        <v>45757</v>
      </c>
      <c r="I194" s="41">
        <f>IFERROR(VLOOKUP(TA[[#This Row],[Date]],Raw_Data[[Date]:[Sunset Time (POA&lt;20 W/m2)]],3,0),"")</f>
        <v>0.2638888888888889</v>
      </c>
      <c r="J194" s="41">
        <f>IFERROR(VLOOKUP(TA[[#This Row],[Date]],Raw_Data[[Date]:[Sunset Time (POA&lt;20 W/m2)]],4,0),"")</f>
        <v>0.76041666666666663</v>
      </c>
      <c r="K194" s="35">
        <f>IFERROR((TA[[#This Row],[Sunset Time (POA&lt;20 W/m2)]]-TA[[#This Row],[Sunrise Time (POA&gt;20 W/m2)]])*24,"")</f>
        <v>11.916666666666666</v>
      </c>
      <c r="L194" s="2" t="s">
        <v>296</v>
      </c>
      <c r="M194" s="42">
        <f>IFERROR(VLOOKUP(TA[[#This Row],[Affected Equipment]],'Basic Data'!$I$2:$K$40,3,0),"")</f>
        <v>8.6206896551724102E-3</v>
      </c>
      <c r="N194">
        <v>-28</v>
      </c>
      <c r="O194" t="s">
        <v>135</v>
      </c>
      <c r="P194" s="22" t="s">
        <v>323</v>
      </c>
      <c r="Q194" s="2" t="s">
        <v>329</v>
      </c>
      <c r="R194">
        <v>47</v>
      </c>
      <c r="S194" s="2">
        <v>18</v>
      </c>
      <c r="T194" t="s">
        <v>297</v>
      </c>
      <c r="U194" t="s">
        <v>326</v>
      </c>
      <c r="V194" t="s">
        <v>301</v>
      </c>
      <c r="W194" s="41">
        <f>IFERROR(VLOOKUP(TA[[#This Row],[Date]],Raw_Data[[Date]:[Sunset Time (POA&lt;20 W/m2)]],3,0),"")</f>
        <v>0.2638888888888889</v>
      </c>
      <c r="X194" s="41">
        <f>IFERROR(VLOOKUP(TA[[#This Row],[Date]],Raw_Data[[Date]:[Sunset Time (POA&lt;20 W/m2)]],3,0),"")</f>
        <v>0.2638888888888889</v>
      </c>
      <c r="Y194" s="34"/>
      <c r="Z194" s="34">
        <v>0.76041666666666663</v>
      </c>
      <c r="AA194" s="35">
        <f>IF(TA[[#This Row],[Work Start time on Fault]]="NA","",(TA[[#This Row],[Fault Acknowledgement Time ]]-TA[[#This Row],[Fault Time]])*24)</f>
        <v>0</v>
      </c>
      <c r="AB194" s="35">
        <f>(TA[[#This Row],[Work Start time on Fault]]-TA[[#This Row],[Fault Time]])*24</f>
        <v>-6.3333333333333339</v>
      </c>
      <c r="AC194" s="34">
        <f>(TA[[#This Row],[Work Completion time on fault]]-TA[[#This Row],[Fault Time]])*24</f>
        <v>11.916666666666666</v>
      </c>
      <c r="AD194" s="35">
        <f>IFERROR((TA[[#This Row],[Work Completion time on fault]]-TA[[#This Row],[Fault Time]])*24,"")</f>
        <v>11.916666666666666</v>
      </c>
      <c r="AE194" t="s">
        <v>309</v>
      </c>
      <c r="AF194" t="s">
        <v>256</v>
      </c>
      <c r="AG194" s="2"/>
      <c r="AH194" s="44">
        <f>1-COS(RADIANS(TA[[#This Row],[Avg. Target Angle during Fault Time (Radians)]]-TA[[#This Row],[Angle of affected equipment ]]))</f>
        <v>0.11705240714107301</v>
      </c>
      <c r="AI194" s="35">
        <f>IFERROR(TA[[#This Row],[Breakdown Time]]*TA[[#This Row],[Plant Equivalent Weightage]],"")</f>
        <v>0.10272988505747122</v>
      </c>
    </row>
    <row r="195" spans="1:35">
      <c r="A195" s="2">
        <f t="shared" si="10"/>
        <v>192</v>
      </c>
      <c r="B195" s="156">
        <f t="shared" si="8"/>
        <v>2026</v>
      </c>
      <c r="C195" s="129">
        <f t="shared" si="9"/>
        <v>2025</v>
      </c>
      <c r="D195" s="2" t="s">
        <v>155</v>
      </c>
      <c r="E195" s="2" t="s">
        <v>155</v>
      </c>
      <c r="F195" s="39">
        <v>45748</v>
      </c>
      <c r="G195" s="2">
        <f>DAY(EOMONTH(TA[[#This Row],[Month Year]],0))</f>
        <v>30</v>
      </c>
      <c r="H195" s="21">
        <v>45757</v>
      </c>
      <c r="I195" s="41">
        <f>IFERROR(VLOOKUP(TA[[#This Row],[Date]],Raw_Data[[Date]:[Sunset Time (POA&lt;20 W/m2)]],3,0),"")</f>
        <v>0.2638888888888889</v>
      </c>
      <c r="J195" s="41">
        <f>IFERROR(VLOOKUP(TA[[#This Row],[Date]],Raw_Data[[Date]:[Sunset Time (POA&lt;20 W/m2)]],4,0),"")</f>
        <v>0.76041666666666663</v>
      </c>
      <c r="K195" s="35">
        <f>IFERROR((TA[[#This Row],[Sunset Time (POA&lt;20 W/m2)]]-TA[[#This Row],[Sunrise Time (POA&gt;20 W/m2)]])*24,"")</f>
        <v>11.916666666666666</v>
      </c>
      <c r="L195" s="2" t="s">
        <v>296</v>
      </c>
      <c r="M195" s="42">
        <f>IFERROR(VLOOKUP(TA[[#This Row],[Affected Equipment]],'Basic Data'!$I$2:$K$40,3,0),"")</f>
        <v>8.6206896551724102E-3</v>
      </c>
      <c r="N195">
        <v>-28</v>
      </c>
      <c r="O195" t="s">
        <v>134</v>
      </c>
      <c r="P195" s="22" t="s">
        <v>330</v>
      </c>
      <c r="Q195" s="2" t="s">
        <v>323</v>
      </c>
      <c r="R195">
        <v>30</v>
      </c>
      <c r="S195" s="2">
        <v>57</v>
      </c>
      <c r="T195" t="s">
        <v>297</v>
      </c>
      <c r="U195" t="s">
        <v>326</v>
      </c>
      <c r="V195" t="s">
        <v>301</v>
      </c>
      <c r="W195" s="41">
        <f>IFERROR(VLOOKUP(TA[[#This Row],[Date]],Raw_Data[[Date]:[Sunset Time (POA&lt;20 W/m2)]],3,0),"")</f>
        <v>0.2638888888888889</v>
      </c>
      <c r="X195" s="41">
        <f>IFERROR(VLOOKUP(TA[[#This Row],[Date]],Raw_Data[[Date]:[Sunset Time (POA&lt;20 W/m2)]],3,0),"")</f>
        <v>0.2638888888888889</v>
      </c>
      <c r="Y195" s="34"/>
      <c r="Z195" s="34">
        <v>0.76041666666666663</v>
      </c>
      <c r="AA195" s="35">
        <f>IF(TA[[#This Row],[Work Start time on Fault]]="NA","",(TA[[#This Row],[Fault Acknowledgement Time ]]-TA[[#This Row],[Fault Time]])*24)</f>
        <v>0</v>
      </c>
      <c r="AB195" s="35">
        <f>(TA[[#This Row],[Work Start time on Fault]]-TA[[#This Row],[Fault Time]])*24</f>
        <v>-6.3333333333333339</v>
      </c>
      <c r="AC195" s="34">
        <f>(TA[[#This Row],[Work Completion time on fault]]-TA[[#This Row],[Fault Time]])*24</f>
        <v>11.916666666666666</v>
      </c>
      <c r="AD195" s="35">
        <f>IFERROR((TA[[#This Row],[Work Completion time on fault]]-TA[[#This Row],[Fault Time]])*24,"")</f>
        <v>11.916666666666666</v>
      </c>
      <c r="AE195" t="s">
        <v>309</v>
      </c>
      <c r="AF195" t="s">
        <v>256</v>
      </c>
      <c r="AG195" s="2"/>
      <c r="AH195" s="44">
        <f>1-COS(RADIANS(TA[[#This Row],[Avg. Target Angle during Fault Time (Radians)]]-TA[[#This Row],[Angle of affected equipment ]]))</f>
        <v>0.11705240714107301</v>
      </c>
      <c r="AI195" s="35">
        <f>IFERROR(TA[[#This Row],[Breakdown Time]]*TA[[#This Row],[Plant Equivalent Weightage]],"")</f>
        <v>0.10272988505747122</v>
      </c>
    </row>
    <row r="196" spans="1:35">
      <c r="A196" s="2">
        <f t="shared" si="10"/>
        <v>193</v>
      </c>
      <c r="B196" s="156">
        <f t="shared" si="8"/>
        <v>2026</v>
      </c>
      <c r="C196" s="129">
        <f t="shared" si="9"/>
        <v>2025</v>
      </c>
      <c r="D196" s="2" t="s">
        <v>155</v>
      </c>
      <c r="E196" s="2" t="s">
        <v>155</v>
      </c>
      <c r="F196" s="39">
        <v>45748</v>
      </c>
      <c r="G196" s="2">
        <f>DAY(EOMONTH(TA[[#This Row],[Month Year]],0))</f>
        <v>30</v>
      </c>
      <c r="H196" s="21">
        <v>45757</v>
      </c>
      <c r="I196" s="41">
        <f>IFERROR(VLOOKUP(TA[[#This Row],[Date]],Raw_Data[[Date]:[Sunset Time (POA&lt;20 W/m2)]],3,0),"")</f>
        <v>0.2638888888888889</v>
      </c>
      <c r="J196" s="41">
        <f>IFERROR(VLOOKUP(TA[[#This Row],[Date]],Raw_Data[[Date]:[Sunset Time (POA&lt;20 W/m2)]],4,0),"")</f>
        <v>0.76041666666666663</v>
      </c>
      <c r="K196" s="35">
        <f>IFERROR((TA[[#This Row],[Sunset Time (POA&lt;20 W/m2)]]-TA[[#This Row],[Sunrise Time (POA&gt;20 W/m2)]])*24,"")</f>
        <v>11.916666666666666</v>
      </c>
      <c r="L196" s="2" t="s">
        <v>296</v>
      </c>
      <c r="M196" s="42">
        <f>IFERROR(VLOOKUP(TA[[#This Row],[Affected Equipment]],'Basic Data'!$I$2:$K$40,3,0),"")</f>
        <v>8.6206896551724102E-3</v>
      </c>
      <c r="N196">
        <v>-28</v>
      </c>
      <c r="O196" t="s">
        <v>134</v>
      </c>
      <c r="P196" s="22" t="s">
        <v>330</v>
      </c>
      <c r="Q196" s="2" t="s">
        <v>323</v>
      </c>
      <c r="R196">
        <v>31</v>
      </c>
      <c r="S196" s="2">
        <v>61</v>
      </c>
      <c r="T196" t="s">
        <v>297</v>
      </c>
      <c r="U196" t="s">
        <v>326</v>
      </c>
      <c r="V196" t="s">
        <v>301</v>
      </c>
      <c r="W196" s="41">
        <f>IFERROR(VLOOKUP(TA[[#This Row],[Date]],Raw_Data[[Date]:[Sunset Time (POA&lt;20 W/m2)]],3,0),"")</f>
        <v>0.2638888888888889</v>
      </c>
      <c r="X196" s="41">
        <f>IFERROR(VLOOKUP(TA[[#This Row],[Date]],Raw_Data[[Date]:[Sunset Time (POA&lt;20 W/m2)]],3,0),"")</f>
        <v>0.2638888888888889</v>
      </c>
      <c r="Y196" s="34"/>
      <c r="Z196" s="34">
        <v>0.76041666666666663</v>
      </c>
      <c r="AA196" s="35">
        <f>IF(TA[[#This Row],[Work Start time on Fault]]="NA","",(TA[[#This Row],[Fault Acknowledgement Time ]]-TA[[#This Row],[Fault Time]])*24)</f>
        <v>0</v>
      </c>
      <c r="AB196" s="35">
        <f>(TA[[#This Row],[Work Start time on Fault]]-TA[[#This Row],[Fault Time]])*24</f>
        <v>-6.3333333333333339</v>
      </c>
      <c r="AC196" s="34">
        <f>(TA[[#This Row],[Work Completion time on fault]]-TA[[#This Row],[Fault Time]])*24</f>
        <v>11.916666666666666</v>
      </c>
      <c r="AD196" s="35">
        <f>IFERROR((TA[[#This Row],[Work Completion time on fault]]-TA[[#This Row],[Fault Time]])*24,"")</f>
        <v>11.916666666666666</v>
      </c>
      <c r="AE196" t="s">
        <v>309</v>
      </c>
      <c r="AF196" t="s">
        <v>256</v>
      </c>
      <c r="AG196" s="2"/>
      <c r="AH196" s="44">
        <f>1-COS(RADIANS(TA[[#This Row],[Avg. Target Angle during Fault Time (Radians)]]-TA[[#This Row],[Angle of affected equipment ]]))</f>
        <v>0.11705240714107301</v>
      </c>
      <c r="AI196" s="35">
        <f>IFERROR(TA[[#This Row],[Breakdown Time]]*TA[[#This Row],[Plant Equivalent Weightage]],"")</f>
        <v>0.10272988505747122</v>
      </c>
    </row>
    <row r="197" spans="1:35">
      <c r="A197" s="2">
        <f t="shared" si="10"/>
        <v>194</v>
      </c>
      <c r="B197" s="156">
        <f t="shared" ref="B197:B260" si="11">YEAR(H197)+IF(MONTH(H197)&gt;=4,1,0)</f>
        <v>2026</v>
      </c>
      <c r="C197" s="129">
        <f t="shared" ref="C197:C260" si="12">YEAR(H197)</f>
        <v>2025</v>
      </c>
      <c r="D197" s="2" t="s">
        <v>155</v>
      </c>
      <c r="E197" s="2" t="s">
        <v>155</v>
      </c>
      <c r="F197" s="39">
        <v>45748</v>
      </c>
      <c r="G197" s="2">
        <f>DAY(EOMONTH(TA[[#This Row],[Month Year]],0))</f>
        <v>30</v>
      </c>
      <c r="H197" s="21">
        <v>45757</v>
      </c>
      <c r="I197" s="41">
        <f>IFERROR(VLOOKUP(TA[[#This Row],[Date]],Raw_Data[[Date]:[Sunset Time (POA&lt;20 W/m2)]],3,0),"")</f>
        <v>0.2638888888888889</v>
      </c>
      <c r="J197" s="41">
        <f>IFERROR(VLOOKUP(TA[[#This Row],[Date]],Raw_Data[[Date]:[Sunset Time (POA&lt;20 W/m2)]],4,0),"")</f>
        <v>0.76041666666666663</v>
      </c>
      <c r="K197" s="35">
        <f>IFERROR((TA[[#This Row],[Sunset Time (POA&lt;20 W/m2)]]-TA[[#This Row],[Sunrise Time (POA&gt;20 W/m2)]])*24,"")</f>
        <v>11.916666666666666</v>
      </c>
      <c r="L197" s="2" t="s">
        <v>312</v>
      </c>
      <c r="M197" s="42">
        <f>IFERROR(VLOOKUP(TA[[#This Row],[Affected Equipment]],'Basic Data'!$I$2:$K$40,3,0),"")</f>
        <v>5.74712643678161E-3</v>
      </c>
      <c r="N197">
        <v>-28</v>
      </c>
      <c r="O197" t="s">
        <v>133</v>
      </c>
      <c r="P197" s="22" t="s">
        <v>330</v>
      </c>
      <c r="Q197" s="2" t="s">
        <v>323</v>
      </c>
      <c r="R197">
        <v>26</v>
      </c>
      <c r="S197" s="2">
        <v>37</v>
      </c>
      <c r="T197" t="s">
        <v>297</v>
      </c>
      <c r="U197" t="s">
        <v>326</v>
      </c>
      <c r="V197" t="s">
        <v>301</v>
      </c>
      <c r="W197" s="41">
        <f>IFERROR(VLOOKUP(TA[[#This Row],[Date]],Raw_Data[[Date]:[Sunset Time (POA&lt;20 W/m2)]],3,0),"")</f>
        <v>0.2638888888888889</v>
      </c>
      <c r="X197" s="41">
        <f>IFERROR(VLOOKUP(TA[[#This Row],[Date]],Raw_Data[[Date]:[Sunset Time (POA&lt;20 W/m2)]],3,0),"")</f>
        <v>0.2638888888888889</v>
      </c>
      <c r="Y197" s="34"/>
      <c r="Z197" s="34">
        <v>0.76041666666666663</v>
      </c>
      <c r="AA197" s="35">
        <f>IF(TA[[#This Row],[Work Start time on Fault]]="NA","",(TA[[#This Row],[Fault Acknowledgement Time ]]-TA[[#This Row],[Fault Time]])*24)</f>
        <v>0</v>
      </c>
      <c r="AB197" s="35">
        <f>(TA[[#This Row],[Work Start time on Fault]]-TA[[#This Row],[Fault Time]])*24</f>
        <v>-6.3333333333333339</v>
      </c>
      <c r="AC197" s="34">
        <f>(TA[[#This Row],[Work Completion time on fault]]-TA[[#This Row],[Fault Time]])*24</f>
        <v>11.916666666666666</v>
      </c>
      <c r="AD197" s="35">
        <f>IFERROR((TA[[#This Row],[Work Completion time on fault]]-TA[[#This Row],[Fault Time]])*24,"")</f>
        <v>11.916666666666666</v>
      </c>
      <c r="AE197" t="s">
        <v>309</v>
      </c>
      <c r="AF197" t="s">
        <v>256</v>
      </c>
      <c r="AG197" s="2"/>
      <c r="AH197" s="44">
        <f>1-COS(RADIANS(TA[[#This Row],[Avg. Target Angle during Fault Time (Radians)]]-TA[[#This Row],[Angle of affected equipment ]]))</f>
        <v>0.11705240714107301</v>
      </c>
      <c r="AI197" s="35">
        <f>IFERROR(TA[[#This Row],[Breakdown Time]]*TA[[#This Row],[Plant Equivalent Weightage]],"")</f>
        <v>6.8486590038314185E-2</v>
      </c>
    </row>
    <row r="198" spans="1:35">
      <c r="A198" s="2">
        <f t="shared" si="10"/>
        <v>195</v>
      </c>
      <c r="B198" s="156">
        <f t="shared" si="11"/>
        <v>2026</v>
      </c>
      <c r="C198" s="129">
        <f t="shared" si="12"/>
        <v>2025</v>
      </c>
      <c r="D198" s="2" t="s">
        <v>155</v>
      </c>
      <c r="E198" s="2" t="s">
        <v>155</v>
      </c>
      <c r="F198" s="39">
        <v>45748</v>
      </c>
      <c r="G198" s="2">
        <f>DAY(EOMONTH(TA[[#This Row],[Month Year]],0))</f>
        <v>30</v>
      </c>
      <c r="H198" s="21">
        <v>45757</v>
      </c>
      <c r="I198" s="41">
        <f>IFERROR(VLOOKUP(TA[[#This Row],[Date]],Raw_Data[[Date]:[Sunset Time (POA&lt;20 W/m2)]],3,0),"")</f>
        <v>0.2638888888888889</v>
      </c>
      <c r="J198" s="41">
        <f>IFERROR(VLOOKUP(TA[[#This Row],[Date]],Raw_Data[[Date]:[Sunset Time (POA&lt;20 W/m2)]],4,0),"")</f>
        <v>0.76041666666666663</v>
      </c>
      <c r="K198" s="35">
        <f>IFERROR((TA[[#This Row],[Sunset Time (POA&lt;20 W/m2)]]-TA[[#This Row],[Sunrise Time (POA&gt;20 W/m2)]])*24,"")</f>
        <v>11.916666666666666</v>
      </c>
      <c r="L198" s="2" t="s">
        <v>312</v>
      </c>
      <c r="M198" s="42">
        <f>IFERROR(VLOOKUP(TA[[#This Row],[Affected Equipment]],'Basic Data'!$I$2:$K$40,3,0),"")</f>
        <v>5.74712643678161E-3</v>
      </c>
      <c r="N198">
        <v>-28</v>
      </c>
      <c r="O198" t="s">
        <v>133</v>
      </c>
      <c r="P198" s="22" t="s">
        <v>330</v>
      </c>
      <c r="Q198" s="2" t="s">
        <v>323</v>
      </c>
      <c r="R198">
        <v>27</v>
      </c>
      <c r="S198" s="2">
        <v>42</v>
      </c>
      <c r="T198" t="s">
        <v>297</v>
      </c>
      <c r="U198" t="s">
        <v>326</v>
      </c>
      <c r="V198" t="s">
        <v>301</v>
      </c>
      <c r="W198" s="41">
        <f>IFERROR(VLOOKUP(TA[[#This Row],[Date]],Raw_Data[[Date]:[Sunset Time (POA&lt;20 W/m2)]],3,0),"")</f>
        <v>0.2638888888888889</v>
      </c>
      <c r="X198" s="41">
        <f>IFERROR(VLOOKUP(TA[[#This Row],[Date]],Raw_Data[[Date]:[Sunset Time (POA&lt;20 W/m2)]],3,0),"")</f>
        <v>0.2638888888888889</v>
      </c>
      <c r="Y198" s="34"/>
      <c r="Z198" s="34">
        <v>0.76041666666666663</v>
      </c>
      <c r="AA198" s="35">
        <f>IF(TA[[#This Row],[Work Start time on Fault]]="NA","",(TA[[#This Row],[Fault Acknowledgement Time ]]-TA[[#This Row],[Fault Time]])*24)</f>
        <v>0</v>
      </c>
      <c r="AB198" s="35">
        <f>(TA[[#This Row],[Work Start time on Fault]]-TA[[#This Row],[Fault Time]])*24</f>
        <v>-6.3333333333333339</v>
      </c>
      <c r="AC198" s="34">
        <f>(TA[[#This Row],[Work Completion time on fault]]-TA[[#This Row],[Fault Time]])*24</f>
        <v>11.916666666666666</v>
      </c>
      <c r="AD198" s="35">
        <f>IFERROR((TA[[#This Row],[Work Completion time on fault]]-TA[[#This Row],[Fault Time]])*24,"")</f>
        <v>11.916666666666666</v>
      </c>
      <c r="AE198" t="s">
        <v>309</v>
      </c>
      <c r="AF198" t="s">
        <v>256</v>
      </c>
      <c r="AG198" s="2"/>
      <c r="AH198" s="44">
        <f>1-COS(RADIANS(TA[[#This Row],[Avg. Target Angle during Fault Time (Radians)]]-TA[[#This Row],[Angle of affected equipment ]]))</f>
        <v>0.11705240714107301</v>
      </c>
      <c r="AI198" s="35">
        <f>IFERROR(TA[[#This Row],[Breakdown Time]]*TA[[#This Row],[Plant Equivalent Weightage]],"")</f>
        <v>6.8486590038314185E-2</v>
      </c>
    </row>
    <row r="199" spans="1:35">
      <c r="A199" s="2">
        <f t="shared" si="10"/>
        <v>196</v>
      </c>
      <c r="B199" s="156">
        <f t="shared" si="11"/>
        <v>2026</v>
      </c>
      <c r="C199" s="129">
        <f t="shared" si="12"/>
        <v>2025</v>
      </c>
      <c r="D199" s="2" t="s">
        <v>155</v>
      </c>
      <c r="E199" s="2" t="s">
        <v>155</v>
      </c>
      <c r="F199" s="39">
        <v>45748</v>
      </c>
      <c r="G199" s="2">
        <f>DAY(EOMONTH(TA[[#This Row],[Month Year]],0))</f>
        <v>30</v>
      </c>
      <c r="H199" s="21">
        <v>45758</v>
      </c>
      <c r="I199" s="41">
        <f>IFERROR(VLOOKUP(TA[[#This Row],[Date]],Raw_Data[[Date]:[Sunset Time (POA&lt;20 W/m2)]],3,0),"")</f>
        <v>0.26250000000000001</v>
      </c>
      <c r="J199" s="41">
        <f>IFERROR(VLOOKUP(TA[[#This Row],[Date]],Raw_Data[[Date]:[Sunset Time (POA&lt;20 W/m2)]],4,0),"")</f>
        <v>0.75555555555555554</v>
      </c>
      <c r="K199" s="35">
        <f>IFERROR((TA[[#This Row],[Sunset Time (POA&lt;20 W/m2)]]-TA[[#This Row],[Sunrise Time (POA&gt;20 W/m2)]])*24,"")</f>
        <v>11.833333333333332</v>
      </c>
      <c r="L199" s="2" t="s">
        <v>294</v>
      </c>
      <c r="M199" s="42">
        <f>IFERROR(VLOOKUP(TA[[#This Row],[Affected Equipment]],'Basic Data'!$I$2:$K$40,3,0),"")</f>
        <v>1.7241379310344799E-3</v>
      </c>
      <c r="N199">
        <v>-28</v>
      </c>
      <c r="O199" t="s">
        <v>135</v>
      </c>
      <c r="P199" s="127" t="s">
        <v>318</v>
      </c>
      <c r="Q199" s="126" t="s">
        <v>318</v>
      </c>
      <c r="R199">
        <v>130</v>
      </c>
      <c r="S199" s="2">
        <v>36</v>
      </c>
      <c r="T199" t="s">
        <v>295</v>
      </c>
      <c r="U199" t="s">
        <v>300</v>
      </c>
      <c r="V199" t="s">
        <v>298</v>
      </c>
      <c r="W199" s="41"/>
      <c r="X199" s="41"/>
      <c r="Y199" s="34"/>
      <c r="Z199" s="34"/>
      <c r="AA199" s="35">
        <f>IF(TA[[#This Row],[Work Start time on Fault]]="NA","",(TA[[#This Row],[Fault Acknowledgement Time ]]-TA[[#This Row],[Fault Time]])*24)</f>
        <v>0</v>
      </c>
      <c r="AB199" s="35">
        <f>(TA[[#This Row],[Work Start time on Fault]]-TA[[#This Row],[Fault Time]])*24</f>
        <v>0</v>
      </c>
      <c r="AC199" s="34">
        <f>(TA[[#This Row],[Work Completion time on fault]]-TA[[#This Row],[Fault Time]])*24</f>
        <v>0</v>
      </c>
      <c r="AD199" s="35">
        <f>IFERROR((TA[[#This Row],[Work Completion time on fault]]-TA[[#This Row],[Fault Time]])*24,"")</f>
        <v>0</v>
      </c>
      <c r="AE199" t="s">
        <v>328</v>
      </c>
      <c r="AF199" t="s">
        <v>256</v>
      </c>
      <c r="AG199" s="2"/>
      <c r="AH199" s="44">
        <f>1-COS(RADIANS(TA[[#This Row],[Avg. Target Angle during Fault Time (Radians)]]-TA[[#This Row],[Angle of affected equipment ]]))</f>
        <v>0.11705240714107301</v>
      </c>
      <c r="AI199" s="35">
        <f>IFERROR(TA[[#This Row],[Breakdown Time]]*TA[[#This Row],[Plant Equivalent Weightage]],"")</f>
        <v>0</v>
      </c>
    </row>
    <row r="200" spans="1:35">
      <c r="A200" s="2">
        <f t="shared" si="10"/>
        <v>197</v>
      </c>
      <c r="B200" s="156">
        <f t="shared" si="11"/>
        <v>2026</v>
      </c>
      <c r="C200" s="129">
        <f t="shared" si="12"/>
        <v>2025</v>
      </c>
      <c r="D200" s="2" t="s">
        <v>155</v>
      </c>
      <c r="E200" s="2" t="s">
        <v>155</v>
      </c>
      <c r="F200" s="39">
        <v>45748</v>
      </c>
      <c r="G200" s="2">
        <f>DAY(EOMONTH(TA[[#This Row],[Month Year]],0))</f>
        <v>30</v>
      </c>
      <c r="H200" s="21">
        <v>45758</v>
      </c>
      <c r="I200" s="41">
        <f>IFERROR(VLOOKUP(TA[[#This Row],[Date]],Raw_Data[[Date]:[Sunset Time (POA&lt;20 W/m2)]],3,0),"")</f>
        <v>0.26250000000000001</v>
      </c>
      <c r="J200" s="41">
        <f>IFERROR(VLOOKUP(TA[[#This Row],[Date]],Raw_Data[[Date]:[Sunset Time (POA&lt;20 W/m2)]],4,0),"")</f>
        <v>0.75555555555555554</v>
      </c>
      <c r="K200" s="35">
        <f>IFERROR((TA[[#This Row],[Sunset Time (POA&lt;20 W/m2)]]-TA[[#This Row],[Sunrise Time (POA&gt;20 W/m2)]])*24,"")</f>
        <v>11.833333333333332</v>
      </c>
      <c r="L200" s="2" t="s">
        <v>294</v>
      </c>
      <c r="M200" s="42">
        <f>IFERROR(VLOOKUP(TA[[#This Row],[Affected Equipment]],'Basic Data'!$I$2:$K$40,3,0),"")</f>
        <v>1.7241379310344799E-3</v>
      </c>
      <c r="N200">
        <v>-28</v>
      </c>
      <c r="O200" t="s">
        <v>135</v>
      </c>
      <c r="P200" s="127" t="s">
        <v>318</v>
      </c>
      <c r="Q200" s="126" t="s">
        <v>318</v>
      </c>
      <c r="R200">
        <v>130</v>
      </c>
      <c r="S200" s="2">
        <v>37</v>
      </c>
      <c r="T200" t="s">
        <v>295</v>
      </c>
      <c r="U200" t="s">
        <v>300</v>
      </c>
      <c r="V200" t="s">
        <v>298</v>
      </c>
      <c r="W200" s="41"/>
      <c r="X200" s="41"/>
      <c r="Y200" s="34"/>
      <c r="Z200" s="34"/>
      <c r="AA200" s="35">
        <f>IF(TA[[#This Row],[Work Start time on Fault]]="NA","",(TA[[#This Row],[Fault Acknowledgement Time ]]-TA[[#This Row],[Fault Time]])*24)</f>
        <v>0</v>
      </c>
      <c r="AB200" s="35">
        <f>(TA[[#This Row],[Work Start time on Fault]]-TA[[#This Row],[Fault Time]])*24</f>
        <v>0</v>
      </c>
      <c r="AC200" s="34">
        <f>(TA[[#This Row],[Work Completion time on fault]]-TA[[#This Row],[Fault Time]])*24</f>
        <v>0</v>
      </c>
      <c r="AD200" s="35">
        <f>IFERROR((TA[[#This Row],[Work Completion time on fault]]-TA[[#This Row],[Fault Time]])*24,"")</f>
        <v>0</v>
      </c>
      <c r="AE200" t="s">
        <v>328</v>
      </c>
      <c r="AF200" t="s">
        <v>256</v>
      </c>
      <c r="AG200" s="2"/>
      <c r="AH200" s="44">
        <f>1-COS(RADIANS(TA[[#This Row],[Avg. Target Angle during Fault Time (Radians)]]-TA[[#This Row],[Angle of affected equipment ]]))</f>
        <v>0.11705240714107301</v>
      </c>
      <c r="AI200" s="35">
        <f>IFERROR(TA[[#This Row],[Breakdown Time]]*TA[[#This Row],[Plant Equivalent Weightage]],"")</f>
        <v>0</v>
      </c>
    </row>
    <row r="201" spans="1:35">
      <c r="A201" s="2">
        <f t="shared" si="10"/>
        <v>198</v>
      </c>
      <c r="B201" s="156">
        <f t="shared" si="11"/>
        <v>2026</v>
      </c>
      <c r="C201" s="129">
        <f t="shared" si="12"/>
        <v>2025</v>
      </c>
      <c r="D201" s="2" t="s">
        <v>155</v>
      </c>
      <c r="E201" s="2" t="s">
        <v>155</v>
      </c>
      <c r="F201" s="39">
        <v>45748</v>
      </c>
      <c r="G201" s="2">
        <f>DAY(EOMONTH(TA[[#This Row],[Month Year]],0))</f>
        <v>30</v>
      </c>
      <c r="H201" s="21">
        <v>45758</v>
      </c>
      <c r="I201" s="41">
        <f>IFERROR(VLOOKUP(TA[[#This Row],[Date]],Raw_Data[[Date]:[Sunset Time (POA&lt;20 W/m2)]],3,0),"")</f>
        <v>0.26250000000000001</v>
      </c>
      <c r="J201" s="41">
        <f>IFERROR(VLOOKUP(TA[[#This Row],[Date]],Raw_Data[[Date]:[Sunset Time (POA&lt;20 W/m2)]],4,0),"")</f>
        <v>0.75555555555555554</v>
      </c>
      <c r="K201" s="35">
        <f>IFERROR((TA[[#This Row],[Sunset Time (POA&lt;20 W/m2)]]-TA[[#This Row],[Sunrise Time (POA&gt;20 W/m2)]])*24,"")</f>
        <v>11.833333333333332</v>
      </c>
      <c r="L201" s="2" t="s">
        <v>294</v>
      </c>
      <c r="M201" s="42">
        <f>IFERROR(VLOOKUP(TA[[#This Row],[Affected Equipment]],'Basic Data'!$I$2:$K$40,3,0),"")</f>
        <v>1.7241379310344799E-3</v>
      </c>
      <c r="N201">
        <v>-28</v>
      </c>
      <c r="O201" t="s">
        <v>135</v>
      </c>
      <c r="P201" s="127" t="s">
        <v>318</v>
      </c>
      <c r="Q201" s="126" t="s">
        <v>318</v>
      </c>
      <c r="R201">
        <v>131</v>
      </c>
      <c r="S201" s="2">
        <v>38</v>
      </c>
      <c r="T201" t="s">
        <v>295</v>
      </c>
      <c r="U201" t="s">
        <v>300</v>
      </c>
      <c r="V201" t="s">
        <v>298</v>
      </c>
      <c r="W201" s="41"/>
      <c r="X201" s="41"/>
      <c r="Y201" s="34"/>
      <c r="Z201" s="34"/>
      <c r="AA201" s="35">
        <f>IF(TA[[#This Row],[Work Start time on Fault]]="NA","",(TA[[#This Row],[Fault Acknowledgement Time ]]-TA[[#This Row],[Fault Time]])*24)</f>
        <v>0</v>
      </c>
      <c r="AB201" s="35">
        <f>(TA[[#This Row],[Work Start time on Fault]]-TA[[#This Row],[Fault Time]])*24</f>
        <v>0</v>
      </c>
      <c r="AC201" s="34">
        <f>(TA[[#This Row],[Work Completion time on fault]]-TA[[#This Row],[Fault Time]])*24</f>
        <v>0</v>
      </c>
      <c r="AD201" s="35">
        <f>IFERROR((TA[[#This Row],[Work Completion time on fault]]-TA[[#This Row],[Fault Time]])*24,"")</f>
        <v>0</v>
      </c>
      <c r="AE201" t="s">
        <v>328</v>
      </c>
      <c r="AF201" t="s">
        <v>256</v>
      </c>
      <c r="AG201" s="2"/>
      <c r="AH201" s="44">
        <f>1-COS(RADIANS(TA[[#This Row],[Avg. Target Angle during Fault Time (Radians)]]-TA[[#This Row],[Angle of affected equipment ]]))</f>
        <v>0.11705240714107301</v>
      </c>
      <c r="AI201" s="35">
        <f>IFERROR(TA[[#This Row],[Breakdown Time]]*TA[[#This Row],[Plant Equivalent Weightage]],"")</f>
        <v>0</v>
      </c>
    </row>
    <row r="202" spans="1:35">
      <c r="A202" s="2">
        <f t="shared" si="10"/>
        <v>199</v>
      </c>
      <c r="B202" s="156">
        <f t="shared" si="11"/>
        <v>2026</v>
      </c>
      <c r="C202" s="129">
        <f t="shared" si="12"/>
        <v>2025</v>
      </c>
      <c r="D202" s="2" t="s">
        <v>155</v>
      </c>
      <c r="E202" s="2" t="s">
        <v>155</v>
      </c>
      <c r="F202" s="39">
        <v>45748</v>
      </c>
      <c r="G202" s="2">
        <f>DAY(EOMONTH(TA[[#This Row],[Month Year]],0))</f>
        <v>30</v>
      </c>
      <c r="H202" s="21">
        <v>45758</v>
      </c>
      <c r="I202" s="41">
        <f>IFERROR(VLOOKUP(TA[[#This Row],[Date]],Raw_Data[[Date]:[Sunset Time (POA&lt;20 W/m2)]],3,0),"")</f>
        <v>0.26250000000000001</v>
      </c>
      <c r="J202" s="41">
        <f>IFERROR(VLOOKUP(TA[[#This Row],[Date]],Raw_Data[[Date]:[Sunset Time (POA&lt;20 W/m2)]],4,0),"")</f>
        <v>0.75555555555555554</v>
      </c>
      <c r="K202" s="35">
        <f>IFERROR((TA[[#This Row],[Sunset Time (POA&lt;20 W/m2)]]-TA[[#This Row],[Sunrise Time (POA&gt;20 W/m2)]])*24,"")</f>
        <v>11.833333333333332</v>
      </c>
      <c r="L202" s="2" t="s">
        <v>294</v>
      </c>
      <c r="M202" s="42">
        <f>IFERROR(VLOOKUP(TA[[#This Row],[Affected Equipment]],'Basic Data'!$I$2:$K$40,3,0),"")</f>
        <v>1.7241379310344799E-3</v>
      </c>
      <c r="N202">
        <v>-28</v>
      </c>
      <c r="O202" t="s">
        <v>135</v>
      </c>
      <c r="P202" s="127" t="s">
        <v>318</v>
      </c>
      <c r="Q202" s="126" t="s">
        <v>318</v>
      </c>
      <c r="R202">
        <v>131</v>
      </c>
      <c r="S202" s="2">
        <v>39</v>
      </c>
      <c r="T202" t="s">
        <v>295</v>
      </c>
      <c r="U202" t="s">
        <v>300</v>
      </c>
      <c r="V202" t="s">
        <v>298</v>
      </c>
      <c r="W202" s="41"/>
      <c r="X202" s="41"/>
      <c r="Y202" s="34"/>
      <c r="Z202" s="34"/>
      <c r="AA202" s="35">
        <f>IF(TA[[#This Row],[Work Start time on Fault]]="NA","",(TA[[#This Row],[Fault Acknowledgement Time ]]-TA[[#This Row],[Fault Time]])*24)</f>
        <v>0</v>
      </c>
      <c r="AB202" s="35">
        <f>(TA[[#This Row],[Work Start time on Fault]]-TA[[#This Row],[Fault Time]])*24</f>
        <v>0</v>
      </c>
      <c r="AC202" s="34">
        <f>(TA[[#This Row],[Work Completion time on fault]]-TA[[#This Row],[Fault Time]])*24</f>
        <v>0</v>
      </c>
      <c r="AD202" s="35">
        <f>IFERROR((TA[[#This Row],[Work Completion time on fault]]-TA[[#This Row],[Fault Time]])*24,"")</f>
        <v>0</v>
      </c>
      <c r="AE202" t="s">
        <v>328</v>
      </c>
      <c r="AF202" t="s">
        <v>256</v>
      </c>
      <c r="AG202" s="2"/>
      <c r="AH202" s="44">
        <f>1-COS(RADIANS(TA[[#This Row],[Avg. Target Angle during Fault Time (Radians)]]-TA[[#This Row],[Angle of affected equipment ]]))</f>
        <v>0.11705240714107301</v>
      </c>
      <c r="AI202" s="35">
        <f>IFERROR(TA[[#This Row],[Breakdown Time]]*TA[[#This Row],[Plant Equivalent Weightage]],"")</f>
        <v>0</v>
      </c>
    </row>
    <row r="203" spans="1:35">
      <c r="A203" s="2">
        <f t="shared" si="10"/>
        <v>200</v>
      </c>
      <c r="B203" s="156">
        <f t="shared" si="11"/>
        <v>2026</v>
      </c>
      <c r="C203" s="129">
        <f t="shared" si="12"/>
        <v>2025</v>
      </c>
      <c r="D203" s="2" t="s">
        <v>155</v>
      </c>
      <c r="E203" s="2" t="s">
        <v>155</v>
      </c>
      <c r="F203" s="39">
        <v>45748</v>
      </c>
      <c r="G203" s="2">
        <f>DAY(EOMONTH(TA[[#This Row],[Month Year]],0))</f>
        <v>30</v>
      </c>
      <c r="H203" s="21">
        <v>45758</v>
      </c>
      <c r="I203" s="41">
        <f>IFERROR(VLOOKUP(TA[[#This Row],[Date]],Raw_Data[[Date]:[Sunset Time (POA&lt;20 W/m2)]],3,0),"")</f>
        <v>0.26250000000000001</v>
      </c>
      <c r="J203" s="41">
        <f>IFERROR(VLOOKUP(TA[[#This Row],[Date]],Raw_Data[[Date]:[Sunset Time (POA&lt;20 W/m2)]],4,0),"")</f>
        <v>0.75555555555555554</v>
      </c>
      <c r="K203" s="35">
        <f>IFERROR((TA[[#This Row],[Sunset Time (POA&lt;20 W/m2)]]-TA[[#This Row],[Sunrise Time (POA&gt;20 W/m2)]])*24,"")</f>
        <v>11.833333333333332</v>
      </c>
      <c r="L203" s="2" t="s">
        <v>296</v>
      </c>
      <c r="M203" s="42">
        <f>IFERROR(VLOOKUP(TA[[#This Row],[Affected Equipment]],'Basic Data'!$I$2:$K$40,3,0),"")</f>
        <v>8.6206896551724102E-3</v>
      </c>
      <c r="N203">
        <v>-28</v>
      </c>
      <c r="O203" t="s">
        <v>135</v>
      </c>
      <c r="P203" s="127" t="s">
        <v>318</v>
      </c>
      <c r="Q203" s="2" t="s">
        <v>321</v>
      </c>
      <c r="R203">
        <v>133</v>
      </c>
      <c r="S203" s="2">
        <v>26</v>
      </c>
      <c r="T203" t="s">
        <v>297</v>
      </c>
      <c r="U203" t="s">
        <v>300</v>
      </c>
      <c r="V203" t="s">
        <v>314</v>
      </c>
      <c r="W203" s="41"/>
      <c r="X203" s="41"/>
      <c r="Y203" s="34"/>
      <c r="Z203" s="34"/>
      <c r="AA203" s="35">
        <f>IF(TA[[#This Row],[Work Start time on Fault]]="NA","",(TA[[#This Row],[Fault Acknowledgement Time ]]-TA[[#This Row],[Fault Time]])*24)</f>
        <v>0</v>
      </c>
      <c r="AB203" s="35">
        <f>(TA[[#This Row],[Work Start time on Fault]]-TA[[#This Row],[Fault Time]])*24</f>
        <v>0</v>
      </c>
      <c r="AC203" s="34">
        <f>(TA[[#This Row],[Work Completion time on fault]]-TA[[#This Row],[Fault Time]])*24</f>
        <v>0</v>
      </c>
      <c r="AD203" s="35">
        <f>IFERROR((TA[[#This Row],[Work Completion time on fault]]-TA[[#This Row],[Fault Time]])*24,"")</f>
        <v>0</v>
      </c>
      <c r="AE203" t="s">
        <v>328</v>
      </c>
      <c r="AF203" t="s">
        <v>256</v>
      </c>
      <c r="AG203" s="2"/>
      <c r="AH203" s="44">
        <f>1-COS(RADIANS(TA[[#This Row],[Avg. Target Angle during Fault Time (Radians)]]-TA[[#This Row],[Angle of affected equipment ]]))</f>
        <v>0.11705240714107301</v>
      </c>
      <c r="AI203" s="35">
        <f>IFERROR(TA[[#This Row],[Breakdown Time]]*TA[[#This Row],[Plant Equivalent Weightage]],"")</f>
        <v>0</v>
      </c>
    </row>
    <row r="204" spans="1:35">
      <c r="A204" s="2">
        <f t="shared" si="10"/>
        <v>201</v>
      </c>
      <c r="B204" s="156">
        <f t="shared" si="11"/>
        <v>2026</v>
      </c>
      <c r="C204" s="129">
        <f t="shared" si="12"/>
        <v>2025</v>
      </c>
      <c r="D204" s="2" t="s">
        <v>155</v>
      </c>
      <c r="E204" s="2" t="s">
        <v>155</v>
      </c>
      <c r="F204" s="39">
        <v>45748</v>
      </c>
      <c r="G204" s="2">
        <f>DAY(EOMONTH(TA[[#This Row],[Month Year]],0))</f>
        <v>30</v>
      </c>
      <c r="H204" s="21">
        <v>45758</v>
      </c>
      <c r="I204" s="41">
        <f>IFERROR(VLOOKUP(TA[[#This Row],[Date]],Raw_Data[[Date]:[Sunset Time (POA&lt;20 W/m2)]],3,0),"")</f>
        <v>0.26250000000000001</v>
      </c>
      <c r="J204" s="41">
        <f>IFERROR(VLOOKUP(TA[[#This Row],[Date]],Raw_Data[[Date]:[Sunset Time (POA&lt;20 W/m2)]],4,0),"")</f>
        <v>0.75555555555555554</v>
      </c>
      <c r="K204" s="35">
        <f>IFERROR((TA[[#This Row],[Sunset Time (POA&lt;20 W/m2)]]-TA[[#This Row],[Sunrise Time (POA&gt;20 W/m2)]])*24,"")</f>
        <v>11.833333333333332</v>
      </c>
      <c r="L204" s="2" t="s">
        <v>294</v>
      </c>
      <c r="M204" s="42">
        <f>IFERROR(VLOOKUP(TA[[#This Row],[Affected Equipment]],'Basic Data'!$I$2:$K$40,3,0),"")</f>
        <v>1.7241379310344799E-3</v>
      </c>
      <c r="N204">
        <v>-28</v>
      </c>
      <c r="O204" t="s">
        <v>133</v>
      </c>
      <c r="P204" s="127" t="s">
        <v>316</v>
      </c>
      <c r="Q204" s="126" t="s">
        <v>317</v>
      </c>
      <c r="R204">
        <v>7</v>
      </c>
      <c r="S204" s="2">
        <v>32</v>
      </c>
      <c r="T204" t="s">
        <v>295</v>
      </c>
      <c r="U204" t="s">
        <v>300</v>
      </c>
      <c r="V204" t="s">
        <v>298</v>
      </c>
      <c r="W204" s="41"/>
      <c r="X204" s="41"/>
      <c r="Y204" s="34"/>
      <c r="Z204" s="34"/>
      <c r="AA204" s="35">
        <f>IF(TA[[#This Row],[Work Start time on Fault]]="NA","",(TA[[#This Row],[Fault Acknowledgement Time ]]-TA[[#This Row],[Fault Time]])*24)</f>
        <v>0</v>
      </c>
      <c r="AB204" s="35">
        <f>(TA[[#This Row],[Work Start time on Fault]]-TA[[#This Row],[Fault Time]])*24</f>
        <v>0</v>
      </c>
      <c r="AC204" s="34">
        <f>(TA[[#This Row],[Work Completion time on fault]]-TA[[#This Row],[Fault Time]])*24</f>
        <v>0</v>
      </c>
      <c r="AD204" s="35">
        <f>IFERROR((TA[[#This Row],[Work Completion time on fault]]-TA[[#This Row],[Fault Time]])*24,"")</f>
        <v>0</v>
      </c>
      <c r="AE204" t="s">
        <v>328</v>
      </c>
      <c r="AF204" t="s">
        <v>256</v>
      </c>
      <c r="AG204" s="2"/>
      <c r="AH204" s="44">
        <f>1-COS(RADIANS(TA[[#This Row],[Avg. Target Angle during Fault Time (Radians)]]-TA[[#This Row],[Angle of affected equipment ]]))</f>
        <v>0.11705240714107301</v>
      </c>
      <c r="AI204" s="35">
        <f>IFERROR(TA[[#This Row],[Breakdown Time]]*TA[[#This Row],[Plant Equivalent Weightage]],"")</f>
        <v>0</v>
      </c>
    </row>
    <row r="205" spans="1:35">
      <c r="A205" s="2">
        <f t="shared" si="10"/>
        <v>202</v>
      </c>
      <c r="B205" s="156">
        <f t="shared" si="11"/>
        <v>2026</v>
      </c>
      <c r="C205" s="129">
        <f t="shared" si="12"/>
        <v>2025</v>
      </c>
      <c r="D205" s="2" t="s">
        <v>155</v>
      </c>
      <c r="E205" s="2" t="s">
        <v>155</v>
      </c>
      <c r="F205" s="39">
        <v>45748</v>
      </c>
      <c r="G205" s="2">
        <f>DAY(EOMONTH(TA[[#This Row],[Month Year]],0))</f>
        <v>30</v>
      </c>
      <c r="H205" s="21">
        <v>45758</v>
      </c>
      <c r="I205" s="41">
        <f>IFERROR(VLOOKUP(TA[[#This Row],[Date]],Raw_Data[[Date]:[Sunset Time (POA&lt;20 W/m2)]],3,0),"")</f>
        <v>0.26250000000000001</v>
      </c>
      <c r="J205" s="41">
        <f>IFERROR(VLOOKUP(TA[[#This Row],[Date]],Raw_Data[[Date]:[Sunset Time (POA&lt;20 W/m2)]],4,0),"")</f>
        <v>0.75555555555555554</v>
      </c>
      <c r="K205" s="35">
        <f>IFERROR((TA[[#This Row],[Sunset Time (POA&lt;20 W/m2)]]-TA[[#This Row],[Sunrise Time (POA&gt;20 W/m2)]])*24,"")</f>
        <v>11.833333333333332</v>
      </c>
      <c r="L205" s="2" t="s">
        <v>294</v>
      </c>
      <c r="M205" s="42">
        <f>IFERROR(VLOOKUP(TA[[#This Row],[Affected Equipment]],'Basic Data'!$I$2:$K$40,3,0),"")</f>
        <v>1.7241379310344799E-3</v>
      </c>
      <c r="N205">
        <v>-28</v>
      </c>
      <c r="O205" t="s">
        <v>137</v>
      </c>
      <c r="P205" s="127" t="s">
        <v>315</v>
      </c>
      <c r="Q205" s="126" t="s">
        <v>319</v>
      </c>
      <c r="R205">
        <v>166</v>
      </c>
      <c r="S205" s="2">
        <v>91</v>
      </c>
      <c r="T205" t="s">
        <v>295</v>
      </c>
      <c r="U205" t="s">
        <v>300</v>
      </c>
      <c r="V205" t="s">
        <v>298</v>
      </c>
      <c r="W205" s="41"/>
      <c r="X205" s="41"/>
      <c r="Y205" s="34"/>
      <c r="Z205" s="34"/>
      <c r="AA205" s="35">
        <f>IF(TA[[#This Row],[Work Start time on Fault]]="NA","",(TA[[#This Row],[Fault Acknowledgement Time ]]-TA[[#This Row],[Fault Time]])*24)</f>
        <v>0</v>
      </c>
      <c r="AB205" s="35">
        <f>(TA[[#This Row],[Work Start time on Fault]]-TA[[#This Row],[Fault Time]])*24</f>
        <v>0</v>
      </c>
      <c r="AC205" s="34">
        <f>(TA[[#This Row],[Work Completion time on fault]]-TA[[#This Row],[Fault Time]])*24</f>
        <v>0</v>
      </c>
      <c r="AD205" s="35">
        <f>IFERROR((TA[[#This Row],[Work Completion time on fault]]-TA[[#This Row],[Fault Time]])*24,"")</f>
        <v>0</v>
      </c>
      <c r="AE205" t="s">
        <v>328</v>
      </c>
      <c r="AF205" t="s">
        <v>256</v>
      </c>
      <c r="AG205" s="2"/>
      <c r="AH205" s="44">
        <f>1-COS(RADIANS(TA[[#This Row],[Avg. Target Angle during Fault Time (Radians)]]-TA[[#This Row],[Angle of affected equipment ]]))</f>
        <v>0.11705240714107301</v>
      </c>
      <c r="AI205" s="35">
        <f>IFERROR(TA[[#This Row],[Breakdown Time]]*TA[[#This Row],[Plant Equivalent Weightage]],"")</f>
        <v>0</v>
      </c>
    </row>
    <row r="206" spans="1:35">
      <c r="A206" s="2">
        <f t="shared" si="10"/>
        <v>203</v>
      </c>
      <c r="B206" s="156">
        <f t="shared" si="11"/>
        <v>2026</v>
      </c>
      <c r="C206" s="129">
        <f t="shared" si="12"/>
        <v>2025</v>
      </c>
      <c r="D206" s="2" t="s">
        <v>155</v>
      </c>
      <c r="E206" s="2" t="s">
        <v>155</v>
      </c>
      <c r="F206" s="39">
        <v>45748</v>
      </c>
      <c r="G206" s="2">
        <f>DAY(EOMONTH(TA[[#This Row],[Month Year]],0))</f>
        <v>30</v>
      </c>
      <c r="H206" s="21">
        <v>45758</v>
      </c>
      <c r="I206" s="41">
        <f>IFERROR(VLOOKUP(TA[[#This Row],[Date]],Raw_Data[[Date]:[Sunset Time (POA&lt;20 W/m2)]],3,0),"")</f>
        <v>0.26250000000000001</v>
      </c>
      <c r="J206" s="41">
        <f>IFERROR(VLOOKUP(TA[[#This Row],[Date]],Raw_Data[[Date]:[Sunset Time (POA&lt;20 W/m2)]],4,0),"")</f>
        <v>0.75555555555555554</v>
      </c>
      <c r="K206" s="35">
        <f>IFERROR((TA[[#This Row],[Sunset Time (POA&lt;20 W/m2)]]-TA[[#This Row],[Sunrise Time (POA&gt;20 W/m2)]])*24,"")</f>
        <v>11.833333333333332</v>
      </c>
      <c r="L206" s="2" t="s">
        <v>294</v>
      </c>
      <c r="M206" s="42">
        <f>IFERROR(VLOOKUP(TA[[#This Row],[Affected Equipment]],'Basic Data'!$I$2:$K$40,3,0),"")</f>
        <v>1.7241379310344799E-3</v>
      </c>
      <c r="N206">
        <v>-28</v>
      </c>
      <c r="O206" t="s">
        <v>133</v>
      </c>
      <c r="P206" s="127" t="s">
        <v>316</v>
      </c>
      <c r="Q206" s="126" t="s">
        <v>316</v>
      </c>
      <c r="R206">
        <v>117</v>
      </c>
      <c r="S206" s="2">
        <v>20</v>
      </c>
      <c r="T206" t="s">
        <v>295</v>
      </c>
      <c r="U206" t="s">
        <v>300</v>
      </c>
      <c r="V206" t="s">
        <v>298</v>
      </c>
      <c r="W206" s="41"/>
      <c r="X206" s="41"/>
      <c r="Y206" s="34"/>
      <c r="Z206" s="34"/>
      <c r="AA206" s="35">
        <f>IF(TA[[#This Row],[Work Start time on Fault]]="NA","",(TA[[#This Row],[Fault Acknowledgement Time ]]-TA[[#This Row],[Fault Time]])*24)</f>
        <v>0</v>
      </c>
      <c r="AB206" s="35">
        <f>(TA[[#This Row],[Work Start time on Fault]]-TA[[#This Row],[Fault Time]])*24</f>
        <v>0</v>
      </c>
      <c r="AC206" s="34">
        <f>(TA[[#This Row],[Work Completion time on fault]]-TA[[#This Row],[Fault Time]])*24</f>
        <v>0</v>
      </c>
      <c r="AD206" s="35">
        <f>IFERROR((TA[[#This Row],[Work Completion time on fault]]-TA[[#This Row],[Fault Time]])*24,"")</f>
        <v>0</v>
      </c>
      <c r="AE206" t="s">
        <v>328</v>
      </c>
      <c r="AF206" t="s">
        <v>256</v>
      </c>
      <c r="AG206" s="2"/>
      <c r="AH206" s="44">
        <f>1-COS(RADIANS(TA[[#This Row],[Avg. Target Angle during Fault Time (Radians)]]-TA[[#This Row],[Angle of affected equipment ]]))</f>
        <v>0.11705240714107301</v>
      </c>
      <c r="AI206" s="35">
        <f>IFERROR(TA[[#This Row],[Breakdown Time]]*TA[[#This Row],[Plant Equivalent Weightage]],"")</f>
        <v>0</v>
      </c>
    </row>
    <row r="207" spans="1:35">
      <c r="A207" s="2">
        <f t="shared" si="10"/>
        <v>204</v>
      </c>
      <c r="B207" s="156">
        <f t="shared" si="11"/>
        <v>2026</v>
      </c>
      <c r="C207" s="129">
        <f t="shared" si="12"/>
        <v>2025</v>
      </c>
      <c r="D207" s="2" t="s">
        <v>155</v>
      </c>
      <c r="E207" s="2" t="s">
        <v>155</v>
      </c>
      <c r="F207" s="39">
        <v>45748</v>
      </c>
      <c r="G207" s="2">
        <f>DAY(EOMONTH(TA[[#This Row],[Month Year]],0))</f>
        <v>30</v>
      </c>
      <c r="H207" s="21">
        <v>45758</v>
      </c>
      <c r="I207" s="41">
        <f>IFERROR(VLOOKUP(TA[[#This Row],[Date]],Raw_Data[[Date]:[Sunset Time (POA&lt;20 W/m2)]],3,0),"")</f>
        <v>0.26250000000000001</v>
      </c>
      <c r="J207" s="41">
        <f>IFERROR(VLOOKUP(TA[[#This Row],[Date]],Raw_Data[[Date]:[Sunset Time (POA&lt;20 W/m2)]],4,0),"")</f>
        <v>0.75555555555555554</v>
      </c>
      <c r="K207" s="35">
        <f>IFERROR((TA[[#This Row],[Sunset Time (POA&lt;20 W/m2)]]-TA[[#This Row],[Sunrise Time (POA&gt;20 W/m2)]])*24,"")</f>
        <v>11.833333333333332</v>
      </c>
      <c r="L207" s="2" t="s">
        <v>294</v>
      </c>
      <c r="M207" s="42">
        <f>IFERROR(VLOOKUP(TA[[#This Row],[Affected Equipment]],'Basic Data'!$I$2:$K$40,3,0),"")</f>
        <v>1.7241379310344799E-3</v>
      </c>
      <c r="N207">
        <v>-28</v>
      </c>
      <c r="O207" t="s">
        <v>133</v>
      </c>
      <c r="P207" s="127" t="s">
        <v>316</v>
      </c>
      <c r="Q207" s="126" t="s">
        <v>316</v>
      </c>
      <c r="R207">
        <v>118</v>
      </c>
      <c r="S207" s="2">
        <v>22</v>
      </c>
      <c r="T207" t="s">
        <v>295</v>
      </c>
      <c r="U207" t="s">
        <v>300</v>
      </c>
      <c r="V207" t="s">
        <v>298</v>
      </c>
      <c r="W207" s="41"/>
      <c r="X207" s="41"/>
      <c r="Y207" s="34"/>
      <c r="Z207" s="34"/>
      <c r="AA207" s="35">
        <f>IF(TA[[#This Row],[Work Start time on Fault]]="NA","",(TA[[#This Row],[Fault Acknowledgement Time ]]-TA[[#This Row],[Fault Time]])*24)</f>
        <v>0</v>
      </c>
      <c r="AB207" s="35">
        <f>(TA[[#This Row],[Work Start time on Fault]]-TA[[#This Row],[Fault Time]])*24</f>
        <v>0</v>
      </c>
      <c r="AC207" s="34">
        <f>(TA[[#This Row],[Work Completion time on fault]]-TA[[#This Row],[Fault Time]])*24</f>
        <v>0</v>
      </c>
      <c r="AD207" s="35">
        <f>IFERROR((TA[[#This Row],[Work Completion time on fault]]-TA[[#This Row],[Fault Time]])*24,"")</f>
        <v>0</v>
      </c>
      <c r="AE207" t="s">
        <v>328</v>
      </c>
      <c r="AF207" t="s">
        <v>256</v>
      </c>
      <c r="AG207" s="2"/>
      <c r="AH207" s="44">
        <f>1-COS(RADIANS(TA[[#This Row],[Avg. Target Angle during Fault Time (Radians)]]-TA[[#This Row],[Angle of affected equipment ]]))</f>
        <v>0.11705240714107301</v>
      </c>
      <c r="AI207" s="35">
        <f>IFERROR(TA[[#This Row],[Breakdown Time]]*TA[[#This Row],[Plant Equivalent Weightage]],"")</f>
        <v>0</v>
      </c>
    </row>
    <row r="208" spans="1:35">
      <c r="A208" s="2">
        <f t="shared" si="10"/>
        <v>205</v>
      </c>
      <c r="B208" s="156">
        <f t="shared" si="11"/>
        <v>2026</v>
      </c>
      <c r="C208" s="129">
        <f t="shared" si="12"/>
        <v>2025</v>
      </c>
      <c r="D208" s="2" t="s">
        <v>155</v>
      </c>
      <c r="E208" s="2" t="s">
        <v>155</v>
      </c>
      <c r="F208" s="39">
        <v>45748</v>
      </c>
      <c r="G208" s="2">
        <f>DAY(EOMONTH(TA[[#This Row],[Month Year]],0))</f>
        <v>30</v>
      </c>
      <c r="H208" s="21">
        <v>45758</v>
      </c>
      <c r="I208" s="41">
        <f>IFERROR(VLOOKUP(TA[[#This Row],[Date]],Raw_Data[[Date]:[Sunset Time (POA&lt;20 W/m2)]],3,0),"")</f>
        <v>0.26250000000000001</v>
      </c>
      <c r="J208" s="41">
        <f>IFERROR(VLOOKUP(TA[[#This Row],[Date]],Raw_Data[[Date]:[Sunset Time (POA&lt;20 W/m2)]],4,0),"")</f>
        <v>0.75555555555555554</v>
      </c>
      <c r="K208" s="35">
        <f>IFERROR((TA[[#This Row],[Sunset Time (POA&lt;20 W/m2)]]-TA[[#This Row],[Sunrise Time (POA&gt;20 W/m2)]])*24,"")</f>
        <v>11.833333333333332</v>
      </c>
      <c r="L208" s="2" t="s">
        <v>296</v>
      </c>
      <c r="M208" s="42">
        <f>IFERROR(VLOOKUP(TA[[#This Row],[Affected Equipment]],'Basic Data'!$I$2:$K$40,3,0),"")</f>
        <v>8.6206896551724102E-3</v>
      </c>
      <c r="N208">
        <v>-28</v>
      </c>
      <c r="O208" t="s">
        <v>135</v>
      </c>
      <c r="P208" s="22" t="s">
        <v>323</v>
      </c>
      <c r="Q208" s="2" t="s">
        <v>329</v>
      </c>
      <c r="R208">
        <v>45</v>
      </c>
      <c r="S208" s="2">
        <v>8</v>
      </c>
      <c r="T208" t="s">
        <v>297</v>
      </c>
      <c r="U208" t="s">
        <v>326</v>
      </c>
      <c r="V208" t="s">
        <v>301</v>
      </c>
      <c r="W208" s="41">
        <f>IFERROR(VLOOKUP(TA[[#This Row],[Date]],Raw_Data[[Date]:[Sunset Time (POA&lt;20 W/m2)]],3,0),"")</f>
        <v>0.26250000000000001</v>
      </c>
      <c r="X208" s="41">
        <f>IFERROR(VLOOKUP(TA[[#This Row],[Date]],Raw_Data[[Date]:[Sunset Time (POA&lt;20 W/m2)]],3,0),"")</f>
        <v>0.26250000000000001</v>
      </c>
      <c r="Y208" s="34"/>
      <c r="Z208" s="34">
        <v>0.76041666666666663</v>
      </c>
      <c r="AA208" s="35">
        <f>IF(TA[[#This Row],[Work Start time on Fault]]="NA","",(TA[[#This Row],[Fault Acknowledgement Time ]]-TA[[#This Row],[Fault Time]])*24)</f>
        <v>0</v>
      </c>
      <c r="AB208" s="35">
        <f>(TA[[#This Row],[Work Start time on Fault]]-TA[[#This Row],[Fault Time]])*24</f>
        <v>-6.3000000000000007</v>
      </c>
      <c r="AC208" s="34">
        <f>(TA[[#This Row],[Work Completion time on fault]]-TA[[#This Row],[Fault Time]])*24</f>
        <v>11.95</v>
      </c>
      <c r="AD208" s="35">
        <f>IFERROR((TA[[#This Row],[Work Completion time on fault]]-TA[[#This Row],[Fault Time]])*24,"")</f>
        <v>11.95</v>
      </c>
      <c r="AE208" t="s">
        <v>309</v>
      </c>
      <c r="AF208" t="s">
        <v>256</v>
      </c>
      <c r="AG208" s="2"/>
      <c r="AH208" s="44">
        <f>1-COS(RADIANS(TA[[#This Row],[Avg. Target Angle during Fault Time (Radians)]]-TA[[#This Row],[Angle of affected equipment ]]))</f>
        <v>0.11705240714107301</v>
      </c>
      <c r="AI208" s="35">
        <f>IFERROR(TA[[#This Row],[Breakdown Time]]*TA[[#This Row],[Plant Equivalent Weightage]],"")</f>
        <v>0.1030172413793103</v>
      </c>
    </row>
    <row r="209" spans="1:35">
      <c r="A209" s="2">
        <f t="shared" si="10"/>
        <v>206</v>
      </c>
      <c r="B209" s="156">
        <f t="shared" si="11"/>
        <v>2026</v>
      </c>
      <c r="C209" s="129">
        <f t="shared" si="12"/>
        <v>2025</v>
      </c>
      <c r="D209" s="2" t="s">
        <v>155</v>
      </c>
      <c r="E209" s="2" t="s">
        <v>155</v>
      </c>
      <c r="F209" s="39">
        <v>45748</v>
      </c>
      <c r="G209" s="2">
        <f>DAY(EOMONTH(TA[[#This Row],[Month Year]],0))</f>
        <v>30</v>
      </c>
      <c r="H209" s="21">
        <v>45758</v>
      </c>
      <c r="I209" s="41">
        <f>IFERROR(VLOOKUP(TA[[#This Row],[Date]],Raw_Data[[Date]:[Sunset Time (POA&lt;20 W/m2)]],3,0),"")</f>
        <v>0.26250000000000001</v>
      </c>
      <c r="J209" s="41">
        <f>IFERROR(VLOOKUP(TA[[#This Row],[Date]],Raw_Data[[Date]:[Sunset Time (POA&lt;20 W/m2)]],4,0),"")</f>
        <v>0.75555555555555554</v>
      </c>
      <c r="K209" s="35">
        <f>IFERROR((TA[[#This Row],[Sunset Time (POA&lt;20 W/m2)]]-TA[[#This Row],[Sunrise Time (POA&gt;20 W/m2)]])*24,"")</f>
        <v>11.833333333333332</v>
      </c>
      <c r="L209" s="2" t="s">
        <v>296</v>
      </c>
      <c r="M209" s="42">
        <f>IFERROR(VLOOKUP(TA[[#This Row],[Affected Equipment]],'Basic Data'!$I$2:$K$40,3,0),"")</f>
        <v>8.6206896551724102E-3</v>
      </c>
      <c r="N209">
        <v>-28</v>
      </c>
      <c r="O209" t="s">
        <v>135</v>
      </c>
      <c r="P209" s="22" t="s">
        <v>323</v>
      </c>
      <c r="Q209" s="2" t="s">
        <v>329</v>
      </c>
      <c r="R209">
        <v>47</v>
      </c>
      <c r="S209" s="2">
        <v>18</v>
      </c>
      <c r="T209" t="s">
        <v>297</v>
      </c>
      <c r="U209" t="s">
        <v>326</v>
      </c>
      <c r="V209" t="s">
        <v>301</v>
      </c>
      <c r="W209" s="41">
        <f>IFERROR(VLOOKUP(TA[[#This Row],[Date]],Raw_Data[[Date]:[Sunset Time (POA&lt;20 W/m2)]],3,0),"")</f>
        <v>0.26250000000000001</v>
      </c>
      <c r="X209" s="41">
        <f>IFERROR(VLOOKUP(TA[[#This Row],[Date]],Raw_Data[[Date]:[Sunset Time (POA&lt;20 W/m2)]],3,0),"")</f>
        <v>0.26250000000000001</v>
      </c>
      <c r="Y209" s="34"/>
      <c r="Z209" s="34">
        <v>0.76041666666666663</v>
      </c>
      <c r="AA209" s="35">
        <f>IF(TA[[#This Row],[Work Start time on Fault]]="NA","",(TA[[#This Row],[Fault Acknowledgement Time ]]-TA[[#This Row],[Fault Time]])*24)</f>
        <v>0</v>
      </c>
      <c r="AB209" s="35">
        <f>(TA[[#This Row],[Work Start time on Fault]]-TA[[#This Row],[Fault Time]])*24</f>
        <v>-6.3000000000000007</v>
      </c>
      <c r="AC209" s="34">
        <f>(TA[[#This Row],[Work Completion time on fault]]-TA[[#This Row],[Fault Time]])*24</f>
        <v>11.95</v>
      </c>
      <c r="AD209" s="35">
        <f>IFERROR((TA[[#This Row],[Work Completion time on fault]]-TA[[#This Row],[Fault Time]])*24,"")</f>
        <v>11.95</v>
      </c>
      <c r="AE209" t="s">
        <v>309</v>
      </c>
      <c r="AF209" t="s">
        <v>256</v>
      </c>
      <c r="AG209" s="2"/>
      <c r="AH209" s="44">
        <f>1-COS(RADIANS(TA[[#This Row],[Avg. Target Angle during Fault Time (Radians)]]-TA[[#This Row],[Angle of affected equipment ]]))</f>
        <v>0.11705240714107301</v>
      </c>
      <c r="AI209" s="35">
        <f>IFERROR(TA[[#This Row],[Breakdown Time]]*TA[[#This Row],[Plant Equivalent Weightage]],"")</f>
        <v>0.1030172413793103</v>
      </c>
    </row>
    <row r="210" spans="1:35">
      <c r="A210" s="2">
        <f t="shared" si="10"/>
        <v>207</v>
      </c>
      <c r="B210" s="156">
        <f t="shared" si="11"/>
        <v>2026</v>
      </c>
      <c r="C210" s="129">
        <f t="shared" si="12"/>
        <v>2025</v>
      </c>
      <c r="D210" s="2" t="s">
        <v>155</v>
      </c>
      <c r="E210" s="2" t="s">
        <v>155</v>
      </c>
      <c r="F210" s="39">
        <v>45748</v>
      </c>
      <c r="G210" s="2">
        <f>DAY(EOMONTH(TA[[#This Row],[Month Year]],0))</f>
        <v>30</v>
      </c>
      <c r="H210" s="21">
        <v>45758</v>
      </c>
      <c r="I210" s="41">
        <f>IFERROR(VLOOKUP(TA[[#This Row],[Date]],Raw_Data[[Date]:[Sunset Time (POA&lt;20 W/m2)]],3,0),"")</f>
        <v>0.26250000000000001</v>
      </c>
      <c r="J210" s="41">
        <f>IFERROR(VLOOKUP(TA[[#This Row],[Date]],Raw_Data[[Date]:[Sunset Time (POA&lt;20 W/m2)]],4,0),"")</f>
        <v>0.75555555555555554</v>
      </c>
      <c r="K210" s="35">
        <f>IFERROR((TA[[#This Row],[Sunset Time (POA&lt;20 W/m2)]]-TA[[#This Row],[Sunrise Time (POA&gt;20 W/m2)]])*24,"")</f>
        <v>11.833333333333332</v>
      </c>
      <c r="L210" s="2" t="s">
        <v>296</v>
      </c>
      <c r="M210" s="42">
        <f>IFERROR(VLOOKUP(TA[[#This Row],[Affected Equipment]],'Basic Data'!$I$2:$K$40,3,0),"")</f>
        <v>8.6206896551724102E-3</v>
      </c>
      <c r="N210">
        <v>-28</v>
      </c>
      <c r="O210" t="s">
        <v>134</v>
      </c>
      <c r="P210" s="22" t="s">
        <v>330</v>
      </c>
      <c r="Q210" s="2" t="s">
        <v>323</v>
      </c>
      <c r="R210">
        <v>30</v>
      </c>
      <c r="S210" s="2">
        <v>57</v>
      </c>
      <c r="T210" t="s">
        <v>297</v>
      </c>
      <c r="U210" t="s">
        <v>326</v>
      </c>
      <c r="V210" t="s">
        <v>301</v>
      </c>
      <c r="W210" s="41">
        <f>IFERROR(VLOOKUP(TA[[#This Row],[Date]],Raw_Data[[Date]:[Sunset Time (POA&lt;20 W/m2)]],3,0),"")</f>
        <v>0.26250000000000001</v>
      </c>
      <c r="X210" s="41">
        <f>IFERROR(VLOOKUP(TA[[#This Row],[Date]],Raw_Data[[Date]:[Sunset Time (POA&lt;20 W/m2)]],3,0),"")</f>
        <v>0.26250000000000001</v>
      </c>
      <c r="Y210" s="34"/>
      <c r="Z210" s="34">
        <v>0.76041666666666663</v>
      </c>
      <c r="AA210" s="35">
        <f>IF(TA[[#This Row],[Work Start time on Fault]]="NA","",(TA[[#This Row],[Fault Acknowledgement Time ]]-TA[[#This Row],[Fault Time]])*24)</f>
        <v>0</v>
      </c>
      <c r="AB210" s="35">
        <f>(TA[[#This Row],[Work Start time on Fault]]-TA[[#This Row],[Fault Time]])*24</f>
        <v>-6.3000000000000007</v>
      </c>
      <c r="AC210" s="34">
        <f>(TA[[#This Row],[Work Completion time on fault]]-TA[[#This Row],[Fault Time]])*24</f>
        <v>11.95</v>
      </c>
      <c r="AD210" s="35">
        <f>IFERROR((TA[[#This Row],[Work Completion time on fault]]-TA[[#This Row],[Fault Time]])*24,"")</f>
        <v>11.95</v>
      </c>
      <c r="AE210" t="s">
        <v>309</v>
      </c>
      <c r="AF210" t="s">
        <v>256</v>
      </c>
      <c r="AG210" s="2"/>
      <c r="AH210" s="44">
        <f>1-COS(RADIANS(TA[[#This Row],[Avg. Target Angle during Fault Time (Radians)]]-TA[[#This Row],[Angle of affected equipment ]]))</f>
        <v>0.11705240714107301</v>
      </c>
      <c r="AI210" s="35">
        <f>IFERROR(TA[[#This Row],[Breakdown Time]]*TA[[#This Row],[Plant Equivalent Weightage]],"")</f>
        <v>0.1030172413793103</v>
      </c>
    </row>
    <row r="211" spans="1:35">
      <c r="A211" s="2">
        <f t="shared" si="10"/>
        <v>208</v>
      </c>
      <c r="B211" s="156">
        <f t="shared" si="11"/>
        <v>2026</v>
      </c>
      <c r="C211" s="129">
        <f t="shared" si="12"/>
        <v>2025</v>
      </c>
      <c r="D211" s="2" t="s">
        <v>155</v>
      </c>
      <c r="E211" s="2" t="s">
        <v>155</v>
      </c>
      <c r="F211" s="39">
        <v>45748</v>
      </c>
      <c r="G211" s="2">
        <f>DAY(EOMONTH(TA[[#This Row],[Month Year]],0))</f>
        <v>30</v>
      </c>
      <c r="H211" s="21">
        <v>45758</v>
      </c>
      <c r="I211" s="41">
        <f>IFERROR(VLOOKUP(TA[[#This Row],[Date]],Raw_Data[[Date]:[Sunset Time (POA&lt;20 W/m2)]],3,0),"")</f>
        <v>0.26250000000000001</v>
      </c>
      <c r="J211" s="41">
        <f>IFERROR(VLOOKUP(TA[[#This Row],[Date]],Raw_Data[[Date]:[Sunset Time (POA&lt;20 W/m2)]],4,0),"")</f>
        <v>0.75555555555555554</v>
      </c>
      <c r="K211" s="35">
        <f>IFERROR((TA[[#This Row],[Sunset Time (POA&lt;20 W/m2)]]-TA[[#This Row],[Sunrise Time (POA&gt;20 W/m2)]])*24,"")</f>
        <v>11.833333333333332</v>
      </c>
      <c r="L211" s="2" t="s">
        <v>296</v>
      </c>
      <c r="M211" s="42">
        <f>IFERROR(VLOOKUP(TA[[#This Row],[Affected Equipment]],'Basic Data'!$I$2:$K$40,3,0),"")</f>
        <v>8.6206896551724102E-3</v>
      </c>
      <c r="N211">
        <v>-28</v>
      </c>
      <c r="O211" t="s">
        <v>134</v>
      </c>
      <c r="P211" s="22" t="s">
        <v>330</v>
      </c>
      <c r="Q211" s="2" t="s">
        <v>323</v>
      </c>
      <c r="R211">
        <v>31</v>
      </c>
      <c r="S211" s="2">
        <v>61</v>
      </c>
      <c r="T211" t="s">
        <v>297</v>
      </c>
      <c r="U211" t="s">
        <v>326</v>
      </c>
      <c r="V211" t="s">
        <v>301</v>
      </c>
      <c r="W211" s="41">
        <f>IFERROR(VLOOKUP(TA[[#This Row],[Date]],Raw_Data[[Date]:[Sunset Time (POA&lt;20 W/m2)]],3,0),"")</f>
        <v>0.26250000000000001</v>
      </c>
      <c r="X211" s="41">
        <f>IFERROR(VLOOKUP(TA[[#This Row],[Date]],Raw_Data[[Date]:[Sunset Time (POA&lt;20 W/m2)]],3,0),"")</f>
        <v>0.26250000000000001</v>
      </c>
      <c r="Y211" s="34"/>
      <c r="Z211" s="34">
        <v>0.76041666666666663</v>
      </c>
      <c r="AA211" s="35">
        <f>IF(TA[[#This Row],[Work Start time on Fault]]="NA","",(TA[[#This Row],[Fault Acknowledgement Time ]]-TA[[#This Row],[Fault Time]])*24)</f>
        <v>0</v>
      </c>
      <c r="AB211" s="35">
        <f>(TA[[#This Row],[Work Start time on Fault]]-TA[[#This Row],[Fault Time]])*24</f>
        <v>-6.3000000000000007</v>
      </c>
      <c r="AC211" s="34">
        <f>(TA[[#This Row],[Work Completion time on fault]]-TA[[#This Row],[Fault Time]])*24</f>
        <v>11.95</v>
      </c>
      <c r="AD211" s="35">
        <f>IFERROR((TA[[#This Row],[Work Completion time on fault]]-TA[[#This Row],[Fault Time]])*24,"")</f>
        <v>11.95</v>
      </c>
      <c r="AE211" t="s">
        <v>309</v>
      </c>
      <c r="AF211" t="s">
        <v>256</v>
      </c>
      <c r="AG211" s="2"/>
      <c r="AH211" s="44">
        <f>1-COS(RADIANS(TA[[#This Row],[Avg. Target Angle during Fault Time (Radians)]]-TA[[#This Row],[Angle of affected equipment ]]))</f>
        <v>0.11705240714107301</v>
      </c>
      <c r="AI211" s="35">
        <f>IFERROR(TA[[#This Row],[Breakdown Time]]*TA[[#This Row],[Plant Equivalent Weightage]],"")</f>
        <v>0.1030172413793103</v>
      </c>
    </row>
    <row r="212" spans="1:35">
      <c r="A212" s="2">
        <f t="shared" si="10"/>
        <v>209</v>
      </c>
      <c r="B212" s="156">
        <f t="shared" si="11"/>
        <v>2026</v>
      </c>
      <c r="C212" s="129">
        <f t="shared" si="12"/>
        <v>2025</v>
      </c>
      <c r="D212" s="2" t="s">
        <v>155</v>
      </c>
      <c r="E212" s="2" t="s">
        <v>155</v>
      </c>
      <c r="F212" s="39">
        <v>45748</v>
      </c>
      <c r="G212" s="2">
        <f>DAY(EOMONTH(TA[[#This Row],[Month Year]],0))</f>
        <v>30</v>
      </c>
      <c r="H212" s="21">
        <v>45758</v>
      </c>
      <c r="I212" s="41">
        <f>IFERROR(VLOOKUP(TA[[#This Row],[Date]],Raw_Data[[Date]:[Sunset Time (POA&lt;20 W/m2)]],3,0),"")</f>
        <v>0.26250000000000001</v>
      </c>
      <c r="J212" s="41">
        <f>IFERROR(VLOOKUP(TA[[#This Row],[Date]],Raw_Data[[Date]:[Sunset Time (POA&lt;20 W/m2)]],4,0),"")</f>
        <v>0.75555555555555554</v>
      </c>
      <c r="K212" s="35">
        <f>IFERROR((TA[[#This Row],[Sunset Time (POA&lt;20 W/m2)]]-TA[[#This Row],[Sunrise Time (POA&gt;20 W/m2)]])*24,"")</f>
        <v>11.833333333333332</v>
      </c>
      <c r="L212" s="2" t="s">
        <v>312</v>
      </c>
      <c r="M212" s="42">
        <f>IFERROR(VLOOKUP(TA[[#This Row],[Affected Equipment]],'Basic Data'!$I$2:$K$40,3,0),"")</f>
        <v>5.74712643678161E-3</v>
      </c>
      <c r="N212">
        <v>-28</v>
      </c>
      <c r="O212" t="s">
        <v>133</v>
      </c>
      <c r="P212" s="22" t="s">
        <v>330</v>
      </c>
      <c r="Q212" s="2" t="s">
        <v>323</v>
      </c>
      <c r="R212">
        <v>26</v>
      </c>
      <c r="S212" s="2">
        <v>37</v>
      </c>
      <c r="T212" t="s">
        <v>297</v>
      </c>
      <c r="U212" t="s">
        <v>326</v>
      </c>
      <c r="V212" t="s">
        <v>301</v>
      </c>
      <c r="W212" s="41">
        <f>IFERROR(VLOOKUP(TA[[#This Row],[Date]],Raw_Data[[Date]:[Sunset Time (POA&lt;20 W/m2)]],3,0),"")</f>
        <v>0.26250000000000001</v>
      </c>
      <c r="X212" s="41">
        <f>IFERROR(VLOOKUP(TA[[#This Row],[Date]],Raw_Data[[Date]:[Sunset Time (POA&lt;20 W/m2)]],3,0),"")</f>
        <v>0.26250000000000001</v>
      </c>
      <c r="Y212" s="34"/>
      <c r="Z212" s="34">
        <v>0.76041666666666663</v>
      </c>
      <c r="AA212" s="35">
        <f>IF(TA[[#This Row],[Work Start time on Fault]]="NA","",(TA[[#This Row],[Fault Acknowledgement Time ]]-TA[[#This Row],[Fault Time]])*24)</f>
        <v>0</v>
      </c>
      <c r="AB212" s="35">
        <f>(TA[[#This Row],[Work Start time on Fault]]-TA[[#This Row],[Fault Time]])*24</f>
        <v>-6.3000000000000007</v>
      </c>
      <c r="AC212" s="34">
        <f>(TA[[#This Row],[Work Completion time on fault]]-TA[[#This Row],[Fault Time]])*24</f>
        <v>11.95</v>
      </c>
      <c r="AD212" s="35">
        <f>IFERROR((TA[[#This Row],[Work Completion time on fault]]-TA[[#This Row],[Fault Time]])*24,"")</f>
        <v>11.95</v>
      </c>
      <c r="AE212" t="s">
        <v>309</v>
      </c>
      <c r="AF212" t="s">
        <v>256</v>
      </c>
      <c r="AG212" s="2"/>
      <c r="AH212" s="44">
        <f>1-COS(RADIANS(TA[[#This Row],[Avg. Target Angle during Fault Time (Radians)]]-TA[[#This Row],[Angle of affected equipment ]]))</f>
        <v>0.11705240714107301</v>
      </c>
      <c r="AI212" s="35">
        <f>IFERROR(TA[[#This Row],[Breakdown Time]]*TA[[#This Row],[Plant Equivalent Weightage]],"")</f>
        <v>6.8678160919540238E-2</v>
      </c>
    </row>
    <row r="213" spans="1:35">
      <c r="A213" s="2">
        <f t="shared" si="10"/>
        <v>210</v>
      </c>
      <c r="B213" s="156">
        <f t="shared" si="11"/>
        <v>2026</v>
      </c>
      <c r="C213" s="129">
        <f t="shared" si="12"/>
        <v>2025</v>
      </c>
      <c r="D213" s="2" t="s">
        <v>155</v>
      </c>
      <c r="E213" s="2" t="s">
        <v>155</v>
      </c>
      <c r="F213" s="39">
        <v>45748</v>
      </c>
      <c r="G213" s="2">
        <f>DAY(EOMONTH(TA[[#This Row],[Month Year]],0))</f>
        <v>30</v>
      </c>
      <c r="H213" s="21">
        <v>45758</v>
      </c>
      <c r="I213" s="41">
        <f>IFERROR(VLOOKUP(TA[[#This Row],[Date]],Raw_Data[[Date]:[Sunset Time (POA&lt;20 W/m2)]],3,0),"")</f>
        <v>0.26250000000000001</v>
      </c>
      <c r="J213" s="41">
        <f>IFERROR(VLOOKUP(TA[[#This Row],[Date]],Raw_Data[[Date]:[Sunset Time (POA&lt;20 W/m2)]],4,0),"")</f>
        <v>0.75555555555555554</v>
      </c>
      <c r="K213" s="35">
        <f>IFERROR((TA[[#This Row],[Sunset Time (POA&lt;20 W/m2)]]-TA[[#This Row],[Sunrise Time (POA&gt;20 W/m2)]])*24,"")</f>
        <v>11.833333333333332</v>
      </c>
      <c r="L213" s="2" t="s">
        <v>312</v>
      </c>
      <c r="M213" s="42">
        <f>IFERROR(VLOOKUP(TA[[#This Row],[Affected Equipment]],'Basic Data'!$I$2:$K$40,3,0),"")</f>
        <v>5.74712643678161E-3</v>
      </c>
      <c r="N213">
        <v>-28</v>
      </c>
      <c r="O213" t="s">
        <v>133</v>
      </c>
      <c r="P213" s="22" t="s">
        <v>330</v>
      </c>
      <c r="Q213" s="2" t="s">
        <v>323</v>
      </c>
      <c r="R213">
        <v>27</v>
      </c>
      <c r="S213" s="2">
        <v>42</v>
      </c>
      <c r="T213" t="s">
        <v>297</v>
      </c>
      <c r="U213" t="s">
        <v>326</v>
      </c>
      <c r="V213" t="s">
        <v>301</v>
      </c>
      <c r="W213" s="41">
        <f>IFERROR(VLOOKUP(TA[[#This Row],[Date]],Raw_Data[[Date]:[Sunset Time (POA&lt;20 W/m2)]],3,0),"")</f>
        <v>0.26250000000000001</v>
      </c>
      <c r="X213" s="41">
        <f>IFERROR(VLOOKUP(TA[[#This Row],[Date]],Raw_Data[[Date]:[Sunset Time (POA&lt;20 W/m2)]],3,0),"")</f>
        <v>0.26250000000000001</v>
      </c>
      <c r="Y213" s="34"/>
      <c r="Z213" s="34">
        <v>0.76041666666666663</v>
      </c>
      <c r="AA213" s="35">
        <f>IF(TA[[#This Row],[Work Start time on Fault]]="NA","",(TA[[#This Row],[Fault Acknowledgement Time ]]-TA[[#This Row],[Fault Time]])*24)</f>
        <v>0</v>
      </c>
      <c r="AB213" s="35">
        <f>(TA[[#This Row],[Work Start time on Fault]]-TA[[#This Row],[Fault Time]])*24</f>
        <v>-6.3000000000000007</v>
      </c>
      <c r="AC213" s="34">
        <f>(TA[[#This Row],[Work Completion time on fault]]-TA[[#This Row],[Fault Time]])*24</f>
        <v>11.95</v>
      </c>
      <c r="AD213" s="35">
        <f>IFERROR((TA[[#This Row],[Work Completion time on fault]]-TA[[#This Row],[Fault Time]])*24,"")</f>
        <v>11.95</v>
      </c>
      <c r="AE213" t="s">
        <v>309</v>
      </c>
      <c r="AF213" t="s">
        <v>256</v>
      </c>
      <c r="AG213" s="2"/>
      <c r="AH213" s="44">
        <f>1-COS(RADIANS(TA[[#This Row],[Avg. Target Angle during Fault Time (Radians)]]-TA[[#This Row],[Angle of affected equipment ]]))</f>
        <v>0.11705240714107301</v>
      </c>
      <c r="AI213" s="35">
        <f>IFERROR(TA[[#This Row],[Breakdown Time]]*TA[[#This Row],[Plant Equivalent Weightage]],"")</f>
        <v>6.8678160919540238E-2</v>
      </c>
    </row>
    <row r="214" spans="1:35">
      <c r="A214" s="2">
        <f t="shared" si="10"/>
        <v>211</v>
      </c>
      <c r="B214" s="156">
        <f t="shared" si="11"/>
        <v>2026</v>
      </c>
      <c r="C214" s="129">
        <f t="shared" si="12"/>
        <v>2025</v>
      </c>
      <c r="D214" s="2" t="s">
        <v>155</v>
      </c>
      <c r="E214" s="2" t="s">
        <v>155</v>
      </c>
      <c r="F214" s="39">
        <v>45748</v>
      </c>
      <c r="G214" s="2">
        <f>DAY(EOMONTH(TA[[#This Row],[Month Year]],0))</f>
        <v>30</v>
      </c>
      <c r="H214" s="21">
        <v>45759</v>
      </c>
      <c r="I214" s="41">
        <f>IFERROR(VLOOKUP(TA[[#This Row],[Date]],Raw_Data[[Date]:[Sunset Time (POA&lt;20 W/m2)]],3,0),"")</f>
        <v>0.26527777777777778</v>
      </c>
      <c r="J214" s="41">
        <f>IFERROR(VLOOKUP(TA[[#This Row],[Date]],Raw_Data[[Date]:[Sunset Time (POA&lt;20 W/m2)]],4,0),"")</f>
        <v>0.7631944444444444</v>
      </c>
      <c r="K214" s="35">
        <f>IFERROR((TA[[#This Row],[Sunset Time (POA&lt;20 W/m2)]]-TA[[#This Row],[Sunrise Time (POA&gt;20 W/m2)]])*24,"")</f>
        <v>11.95</v>
      </c>
      <c r="L214" s="2" t="s">
        <v>294</v>
      </c>
      <c r="M214" s="42">
        <f>IFERROR(VLOOKUP(TA[[#This Row],[Affected Equipment]],'Basic Data'!$I$2:$K$40,3,0),"")</f>
        <v>1.7241379310344799E-3</v>
      </c>
      <c r="N214">
        <v>-28</v>
      </c>
      <c r="O214" t="s">
        <v>135</v>
      </c>
      <c r="P214" s="127" t="s">
        <v>318</v>
      </c>
      <c r="Q214" s="126" t="s">
        <v>318</v>
      </c>
      <c r="R214">
        <v>130</v>
      </c>
      <c r="S214" s="2">
        <v>36</v>
      </c>
      <c r="T214" t="s">
        <v>295</v>
      </c>
      <c r="U214" t="s">
        <v>300</v>
      </c>
      <c r="V214" t="s">
        <v>298</v>
      </c>
      <c r="W214" s="41"/>
      <c r="X214" s="41"/>
      <c r="Y214" s="34"/>
      <c r="Z214" s="34"/>
      <c r="AA214" s="35">
        <f>IF(TA[[#This Row],[Work Start time on Fault]]="NA","",(TA[[#This Row],[Fault Acknowledgement Time ]]-TA[[#This Row],[Fault Time]])*24)</f>
        <v>0</v>
      </c>
      <c r="AB214" s="35">
        <f>(TA[[#This Row],[Work Start time on Fault]]-TA[[#This Row],[Fault Time]])*24</f>
        <v>0</v>
      </c>
      <c r="AC214" s="34">
        <f>(TA[[#This Row],[Work Completion time on fault]]-TA[[#This Row],[Fault Time]])*24</f>
        <v>0</v>
      </c>
      <c r="AD214" s="35">
        <f>IFERROR((TA[[#This Row],[Work Completion time on fault]]-TA[[#This Row],[Fault Time]])*24,"")</f>
        <v>0</v>
      </c>
      <c r="AE214" t="s">
        <v>328</v>
      </c>
      <c r="AF214" t="s">
        <v>256</v>
      </c>
      <c r="AG214" s="2"/>
      <c r="AH214" s="44">
        <f>1-COS(RADIANS(TA[[#This Row],[Avg. Target Angle during Fault Time (Radians)]]-TA[[#This Row],[Angle of affected equipment ]]))</f>
        <v>0.11705240714107301</v>
      </c>
      <c r="AI214" s="35">
        <f>IFERROR(TA[[#This Row],[Breakdown Time]]*TA[[#This Row],[Plant Equivalent Weightage]],"")</f>
        <v>0</v>
      </c>
    </row>
    <row r="215" spans="1:35">
      <c r="A215" s="2">
        <f t="shared" si="10"/>
        <v>212</v>
      </c>
      <c r="B215" s="156">
        <f t="shared" si="11"/>
        <v>2026</v>
      </c>
      <c r="C215" s="129">
        <f t="shared" si="12"/>
        <v>2025</v>
      </c>
      <c r="D215" s="2" t="s">
        <v>155</v>
      </c>
      <c r="E215" s="2" t="s">
        <v>155</v>
      </c>
      <c r="F215" s="39">
        <v>45748</v>
      </c>
      <c r="G215" s="2">
        <f>DAY(EOMONTH(TA[[#This Row],[Month Year]],0))</f>
        <v>30</v>
      </c>
      <c r="H215" s="21">
        <v>45759</v>
      </c>
      <c r="I215" s="41">
        <f>IFERROR(VLOOKUP(TA[[#This Row],[Date]],Raw_Data[[Date]:[Sunset Time (POA&lt;20 W/m2)]],3,0),"")</f>
        <v>0.26527777777777778</v>
      </c>
      <c r="J215" s="41">
        <f>IFERROR(VLOOKUP(TA[[#This Row],[Date]],Raw_Data[[Date]:[Sunset Time (POA&lt;20 W/m2)]],4,0),"")</f>
        <v>0.7631944444444444</v>
      </c>
      <c r="K215" s="35">
        <f>IFERROR((TA[[#This Row],[Sunset Time (POA&lt;20 W/m2)]]-TA[[#This Row],[Sunrise Time (POA&gt;20 W/m2)]])*24,"")</f>
        <v>11.95</v>
      </c>
      <c r="L215" s="2" t="s">
        <v>294</v>
      </c>
      <c r="M215" s="42">
        <f>IFERROR(VLOOKUP(TA[[#This Row],[Affected Equipment]],'Basic Data'!$I$2:$K$40,3,0),"")</f>
        <v>1.7241379310344799E-3</v>
      </c>
      <c r="N215">
        <v>-28</v>
      </c>
      <c r="O215" t="s">
        <v>135</v>
      </c>
      <c r="P215" s="127" t="s">
        <v>318</v>
      </c>
      <c r="Q215" s="126" t="s">
        <v>318</v>
      </c>
      <c r="R215">
        <v>130</v>
      </c>
      <c r="S215" s="2">
        <v>37</v>
      </c>
      <c r="T215" t="s">
        <v>295</v>
      </c>
      <c r="U215" t="s">
        <v>300</v>
      </c>
      <c r="V215" t="s">
        <v>298</v>
      </c>
      <c r="W215" s="41"/>
      <c r="X215" s="41"/>
      <c r="Y215" s="34"/>
      <c r="Z215" s="34"/>
      <c r="AA215" s="35">
        <f>IF(TA[[#This Row],[Work Start time on Fault]]="NA","",(TA[[#This Row],[Fault Acknowledgement Time ]]-TA[[#This Row],[Fault Time]])*24)</f>
        <v>0</v>
      </c>
      <c r="AB215" s="35">
        <f>(TA[[#This Row],[Work Start time on Fault]]-TA[[#This Row],[Fault Time]])*24</f>
        <v>0</v>
      </c>
      <c r="AC215" s="34">
        <f>(TA[[#This Row],[Work Completion time on fault]]-TA[[#This Row],[Fault Time]])*24</f>
        <v>0</v>
      </c>
      <c r="AD215" s="35">
        <f>IFERROR((TA[[#This Row],[Work Completion time on fault]]-TA[[#This Row],[Fault Time]])*24,"")</f>
        <v>0</v>
      </c>
      <c r="AE215" t="s">
        <v>328</v>
      </c>
      <c r="AF215" t="s">
        <v>256</v>
      </c>
      <c r="AG215" s="2"/>
      <c r="AH215" s="44">
        <f>1-COS(RADIANS(TA[[#This Row],[Avg. Target Angle during Fault Time (Radians)]]-TA[[#This Row],[Angle of affected equipment ]]))</f>
        <v>0.11705240714107301</v>
      </c>
      <c r="AI215" s="35">
        <f>IFERROR(TA[[#This Row],[Breakdown Time]]*TA[[#This Row],[Plant Equivalent Weightage]],"")</f>
        <v>0</v>
      </c>
    </row>
    <row r="216" spans="1:35">
      <c r="A216" s="2">
        <f t="shared" si="10"/>
        <v>213</v>
      </c>
      <c r="B216" s="156">
        <f t="shared" si="11"/>
        <v>2026</v>
      </c>
      <c r="C216" s="129">
        <f t="shared" si="12"/>
        <v>2025</v>
      </c>
      <c r="D216" s="2" t="s">
        <v>155</v>
      </c>
      <c r="E216" s="2" t="s">
        <v>155</v>
      </c>
      <c r="F216" s="39">
        <v>45748</v>
      </c>
      <c r="G216" s="2">
        <f>DAY(EOMONTH(TA[[#This Row],[Month Year]],0))</f>
        <v>30</v>
      </c>
      <c r="H216" s="21">
        <v>45759</v>
      </c>
      <c r="I216" s="41">
        <f>IFERROR(VLOOKUP(TA[[#This Row],[Date]],Raw_Data[[Date]:[Sunset Time (POA&lt;20 W/m2)]],3,0),"")</f>
        <v>0.26527777777777778</v>
      </c>
      <c r="J216" s="41">
        <f>IFERROR(VLOOKUP(TA[[#This Row],[Date]],Raw_Data[[Date]:[Sunset Time (POA&lt;20 W/m2)]],4,0),"")</f>
        <v>0.7631944444444444</v>
      </c>
      <c r="K216" s="35">
        <f>IFERROR((TA[[#This Row],[Sunset Time (POA&lt;20 W/m2)]]-TA[[#This Row],[Sunrise Time (POA&gt;20 W/m2)]])*24,"")</f>
        <v>11.95</v>
      </c>
      <c r="L216" s="2" t="s">
        <v>294</v>
      </c>
      <c r="M216" s="42">
        <f>IFERROR(VLOOKUP(TA[[#This Row],[Affected Equipment]],'Basic Data'!$I$2:$K$40,3,0),"")</f>
        <v>1.7241379310344799E-3</v>
      </c>
      <c r="N216">
        <v>-28</v>
      </c>
      <c r="O216" t="s">
        <v>135</v>
      </c>
      <c r="P216" s="127" t="s">
        <v>318</v>
      </c>
      <c r="Q216" s="126" t="s">
        <v>318</v>
      </c>
      <c r="R216">
        <v>131</v>
      </c>
      <c r="S216" s="2">
        <v>38</v>
      </c>
      <c r="T216" t="s">
        <v>295</v>
      </c>
      <c r="U216" t="s">
        <v>300</v>
      </c>
      <c r="V216" t="s">
        <v>298</v>
      </c>
      <c r="W216" s="41"/>
      <c r="X216" s="41"/>
      <c r="Y216" s="34"/>
      <c r="Z216" s="34"/>
      <c r="AA216" s="35">
        <f>IF(TA[[#This Row],[Work Start time on Fault]]="NA","",(TA[[#This Row],[Fault Acknowledgement Time ]]-TA[[#This Row],[Fault Time]])*24)</f>
        <v>0</v>
      </c>
      <c r="AB216" s="35">
        <f>(TA[[#This Row],[Work Start time on Fault]]-TA[[#This Row],[Fault Time]])*24</f>
        <v>0</v>
      </c>
      <c r="AC216" s="34">
        <f>(TA[[#This Row],[Work Completion time on fault]]-TA[[#This Row],[Fault Time]])*24</f>
        <v>0</v>
      </c>
      <c r="AD216" s="35">
        <f>IFERROR((TA[[#This Row],[Work Completion time on fault]]-TA[[#This Row],[Fault Time]])*24,"")</f>
        <v>0</v>
      </c>
      <c r="AE216" t="s">
        <v>328</v>
      </c>
      <c r="AF216" t="s">
        <v>256</v>
      </c>
      <c r="AG216" s="2"/>
      <c r="AH216" s="44">
        <f>1-COS(RADIANS(TA[[#This Row],[Avg. Target Angle during Fault Time (Radians)]]-TA[[#This Row],[Angle of affected equipment ]]))</f>
        <v>0.11705240714107301</v>
      </c>
      <c r="AI216" s="35">
        <f>IFERROR(TA[[#This Row],[Breakdown Time]]*TA[[#This Row],[Plant Equivalent Weightage]],"")</f>
        <v>0</v>
      </c>
    </row>
    <row r="217" spans="1:35">
      <c r="A217" s="2">
        <f t="shared" si="10"/>
        <v>214</v>
      </c>
      <c r="B217" s="156">
        <f t="shared" si="11"/>
        <v>2026</v>
      </c>
      <c r="C217" s="129">
        <f t="shared" si="12"/>
        <v>2025</v>
      </c>
      <c r="D217" s="2" t="s">
        <v>155</v>
      </c>
      <c r="E217" s="2" t="s">
        <v>155</v>
      </c>
      <c r="F217" s="39">
        <v>45748</v>
      </c>
      <c r="G217" s="2">
        <f>DAY(EOMONTH(TA[[#This Row],[Month Year]],0))</f>
        <v>30</v>
      </c>
      <c r="H217" s="21">
        <v>45759</v>
      </c>
      <c r="I217" s="41">
        <f>IFERROR(VLOOKUP(TA[[#This Row],[Date]],Raw_Data[[Date]:[Sunset Time (POA&lt;20 W/m2)]],3,0),"")</f>
        <v>0.26527777777777778</v>
      </c>
      <c r="J217" s="41">
        <f>IFERROR(VLOOKUP(TA[[#This Row],[Date]],Raw_Data[[Date]:[Sunset Time (POA&lt;20 W/m2)]],4,0),"")</f>
        <v>0.7631944444444444</v>
      </c>
      <c r="K217" s="35">
        <f>IFERROR((TA[[#This Row],[Sunset Time (POA&lt;20 W/m2)]]-TA[[#This Row],[Sunrise Time (POA&gt;20 W/m2)]])*24,"")</f>
        <v>11.95</v>
      </c>
      <c r="L217" s="2" t="s">
        <v>294</v>
      </c>
      <c r="M217" s="42">
        <f>IFERROR(VLOOKUP(TA[[#This Row],[Affected Equipment]],'Basic Data'!$I$2:$K$40,3,0),"")</f>
        <v>1.7241379310344799E-3</v>
      </c>
      <c r="N217">
        <v>-28</v>
      </c>
      <c r="O217" t="s">
        <v>135</v>
      </c>
      <c r="P217" s="127" t="s">
        <v>318</v>
      </c>
      <c r="Q217" s="126" t="s">
        <v>318</v>
      </c>
      <c r="R217">
        <v>131</v>
      </c>
      <c r="S217" s="2">
        <v>39</v>
      </c>
      <c r="T217" t="s">
        <v>295</v>
      </c>
      <c r="U217" t="s">
        <v>300</v>
      </c>
      <c r="V217" t="s">
        <v>298</v>
      </c>
      <c r="W217" s="41"/>
      <c r="X217" s="41"/>
      <c r="Y217" s="34"/>
      <c r="Z217" s="34"/>
      <c r="AA217" s="35">
        <f>IF(TA[[#This Row],[Work Start time on Fault]]="NA","",(TA[[#This Row],[Fault Acknowledgement Time ]]-TA[[#This Row],[Fault Time]])*24)</f>
        <v>0</v>
      </c>
      <c r="AB217" s="35">
        <f>(TA[[#This Row],[Work Start time on Fault]]-TA[[#This Row],[Fault Time]])*24</f>
        <v>0</v>
      </c>
      <c r="AC217" s="34">
        <f>(TA[[#This Row],[Work Completion time on fault]]-TA[[#This Row],[Fault Time]])*24</f>
        <v>0</v>
      </c>
      <c r="AD217" s="35">
        <f>IFERROR((TA[[#This Row],[Work Completion time on fault]]-TA[[#This Row],[Fault Time]])*24,"")</f>
        <v>0</v>
      </c>
      <c r="AE217" t="s">
        <v>328</v>
      </c>
      <c r="AF217" t="s">
        <v>256</v>
      </c>
      <c r="AG217" s="2"/>
      <c r="AH217" s="44">
        <f>1-COS(RADIANS(TA[[#This Row],[Avg. Target Angle during Fault Time (Radians)]]-TA[[#This Row],[Angle of affected equipment ]]))</f>
        <v>0.11705240714107301</v>
      </c>
      <c r="AI217" s="35">
        <f>IFERROR(TA[[#This Row],[Breakdown Time]]*TA[[#This Row],[Plant Equivalent Weightage]],"")</f>
        <v>0</v>
      </c>
    </row>
    <row r="218" spans="1:35">
      <c r="A218" s="2">
        <f t="shared" si="10"/>
        <v>215</v>
      </c>
      <c r="B218" s="156">
        <f t="shared" si="11"/>
        <v>2026</v>
      </c>
      <c r="C218" s="129">
        <f t="shared" si="12"/>
        <v>2025</v>
      </c>
      <c r="D218" s="2" t="s">
        <v>155</v>
      </c>
      <c r="E218" s="2" t="s">
        <v>155</v>
      </c>
      <c r="F218" s="39">
        <v>45748</v>
      </c>
      <c r="G218" s="2">
        <f>DAY(EOMONTH(TA[[#This Row],[Month Year]],0))</f>
        <v>30</v>
      </c>
      <c r="H218" s="21">
        <v>45759</v>
      </c>
      <c r="I218" s="41">
        <f>IFERROR(VLOOKUP(TA[[#This Row],[Date]],Raw_Data[[Date]:[Sunset Time (POA&lt;20 W/m2)]],3,0),"")</f>
        <v>0.26527777777777778</v>
      </c>
      <c r="J218" s="41">
        <f>IFERROR(VLOOKUP(TA[[#This Row],[Date]],Raw_Data[[Date]:[Sunset Time (POA&lt;20 W/m2)]],4,0),"")</f>
        <v>0.7631944444444444</v>
      </c>
      <c r="K218" s="35">
        <f>IFERROR((TA[[#This Row],[Sunset Time (POA&lt;20 W/m2)]]-TA[[#This Row],[Sunrise Time (POA&gt;20 W/m2)]])*24,"")</f>
        <v>11.95</v>
      </c>
      <c r="L218" s="2" t="s">
        <v>296</v>
      </c>
      <c r="M218" s="42">
        <f>IFERROR(VLOOKUP(TA[[#This Row],[Affected Equipment]],'Basic Data'!$I$2:$K$40,3,0),"")</f>
        <v>8.6206896551724102E-3</v>
      </c>
      <c r="N218">
        <v>-28</v>
      </c>
      <c r="O218" t="s">
        <v>135</v>
      </c>
      <c r="P218" s="127" t="s">
        <v>318</v>
      </c>
      <c r="Q218" s="2" t="s">
        <v>321</v>
      </c>
      <c r="R218">
        <v>133</v>
      </c>
      <c r="S218" s="2">
        <v>26</v>
      </c>
      <c r="T218" t="s">
        <v>297</v>
      </c>
      <c r="U218" t="s">
        <v>300</v>
      </c>
      <c r="V218" t="s">
        <v>314</v>
      </c>
      <c r="W218" s="41"/>
      <c r="X218" s="41"/>
      <c r="Y218" s="34"/>
      <c r="Z218" s="34"/>
      <c r="AA218" s="35">
        <f>IF(TA[[#This Row],[Work Start time on Fault]]="NA","",(TA[[#This Row],[Fault Acknowledgement Time ]]-TA[[#This Row],[Fault Time]])*24)</f>
        <v>0</v>
      </c>
      <c r="AB218" s="35">
        <f>(TA[[#This Row],[Work Start time on Fault]]-TA[[#This Row],[Fault Time]])*24</f>
        <v>0</v>
      </c>
      <c r="AC218" s="34">
        <f>(TA[[#This Row],[Work Completion time on fault]]-TA[[#This Row],[Fault Time]])*24</f>
        <v>0</v>
      </c>
      <c r="AD218" s="35">
        <f>IFERROR((TA[[#This Row],[Work Completion time on fault]]-TA[[#This Row],[Fault Time]])*24,"")</f>
        <v>0</v>
      </c>
      <c r="AE218" t="s">
        <v>328</v>
      </c>
      <c r="AF218" t="s">
        <v>256</v>
      </c>
      <c r="AG218" s="2"/>
      <c r="AH218" s="44">
        <f>1-COS(RADIANS(TA[[#This Row],[Avg. Target Angle during Fault Time (Radians)]]-TA[[#This Row],[Angle of affected equipment ]]))</f>
        <v>0.11705240714107301</v>
      </c>
      <c r="AI218" s="35">
        <f>IFERROR(TA[[#This Row],[Breakdown Time]]*TA[[#This Row],[Plant Equivalent Weightage]],"")</f>
        <v>0</v>
      </c>
    </row>
    <row r="219" spans="1:35">
      <c r="A219" s="2">
        <f t="shared" si="10"/>
        <v>216</v>
      </c>
      <c r="B219" s="156">
        <f t="shared" si="11"/>
        <v>2026</v>
      </c>
      <c r="C219" s="129">
        <f t="shared" si="12"/>
        <v>2025</v>
      </c>
      <c r="D219" s="2" t="s">
        <v>155</v>
      </c>
      <c r="E219" s="2" t="s">
        <v>155</v>
      </c>
      <c r="F219" s="39">
        <v>45748</v>
      </c>
      <c r="G219" s="2">
        <f>DAY(EOMONTH(TA[[#This Row],[Month Year]],0))</f>
        <v>30</v>
      </c>
      <c r="H219" s="21">
        <v>45759</v>
      </c>
      <c r="I219" s="41">
        <f>IFERROR(VLOOKUP(TA[[#This Row],[Date]],Raw_Data[[Date]:[Sunset Time (POA&lt;20 W/m2)]],3,0),"")</f>
        <v>0.26527777777777778</v>
      </c>
      <c r="J219" s="41">
        <f>IFERROR(VLOOKUP(TA[[#This Row],[Date]],Raw_Data[[Date]:[Sunset Time (POA&lt;20 W/m2)]],4,0),"")</f>
        <v>0.7631944444444444</v>
      </c>
      <c r="K219" s="35">
        <f>IFERROR((TA[[#This Row],[Sunset Time (POA&lt;20 W/m2)]]-TA[[#This Row],[Sunrise Time (POA&gt;20 W/m2)]])*24,"")</f>
        <v>11.95</v>
      </c>
      <c r="L219" s="2" t="s">
        <v>294</v>
      </c>
      <c r="M219" s="42">
        <f>IFERROR(VLOOKUP(TA[[#This Row],[Affected Equipment]],'Basic Data'!$I$2:$K$40,3,0),"")</f>
        <v>1.7241379310344799E-3</v>
      </c>
      <c r="N219">
        <v>-28</v>
      </c>
      <c r="O219" t="s">
        <v>133</v>
      </c>
      <c r="P219" s="127" t="s">
        <v>316</v>
      </c>
      <c r="Q219" s="126" t="s">
        <v>317</v>
      </c>
      <c r="R219">
        <v>7</v>
      </c>
      <c r="S219" s="2">
        <v>32</v>
      </c>
      <c r="T219" t="s">
        <v>295</v>
      </c>
      <c r="U219" t="s">
        <v>300</v>
      </c>
      <c r="V219" t="s">
        <v>298</v>
      </c>
      <c r="W219" s="41"/>
      <c r="X219" s="41"/>
      <c r="Y219" s="34"/>
      <c r="Z219" s="34"/>
      <c r="AA219" s="35">
        <f>IF(TA[[#This Row],[Work Start time on Fault]]="NA","",(TA[[#This Row],[Fault Acknowledgement Time ]]-TA[[#This Row],[Fault Time]])*24)</f>
        <v>0</v>
      </c>
      <c r="AB219" s="35">
        <f>(TA[[#This Row],[Work Start time on Fault]]-TA[[#This Row],[Fault Time]])*24</f>
        <v>0</v>
      </c>
      <c r="AC219" s="34">
        <f>(TA[[#This Row],[Work Completion time on fault]]-TA[[#This Row],[Fault Time]])*24</f>
        <v>0</v>
      </c>
      <c r="AD219" s="35">
        <f>IFERROR((TA[[#This Row],[Work Completion time on fault]]-TA[[#This Row],[Fault Time]])*24,"")</f>
        <v>0</v>
      </c>
      <c r="AE219" t="s">
        <v>328</v>
      </c>
      <c r="AF219" t="s">
        <v>256</v>
      </c>
      <c r="AG219" s="2"/>
      <c r="AH219" s="44">
        <f>1-COS(RADIANS(TA[[#This Row],[Avg. Target Angle during Fault Time (Radians)]]-TA[[#This Row],[Angle of affected equipment ]]))</f>
        <v>0.11705240714107301</v>
      </c>
      <c r="AI219" s="35">
        <f>IFERROR(TA[[#This Row],[Breakdown Time]]*TA[[#This Row],[Plant Equivalent Weightage]],"")</f>
        <v>0</v>
      </c>
    </row>
    <row r="220" spans="1:35">
      <c r="A220" s="2">
        <f t="shared" si="10"/>
        <v>217</v>
      </c>
      <c r="B220" s="156">
        <f t="shared" si="11"/>
        <v>2026</v>
      </c>
      <c r="C220" s="129">
        <f t="shared" si="12"/>
        <v>2025</v>
      </c>
      <c r="D220" s="2" t="s">
        <v>155</v>
      </c>
      <c r="E220" s="2" t="s">
        <v>155</v>
      </c>
      <c r="F220" s="39">
        <v>45748</v>
      </c>
      <c r="G220" s="2">
        <f>DAY(EOMONTH(TA[[#This Row],[Month Year]],0))</f>
        <v>30</v>
      </c>
      <c r="H220" s="21">
        <v>45759</v>
      </c>
      <c r="I220" s="41">
        <f>IFERROR(VLOOKUP(TA[[#This Row],[Date]],Raw_Data[[Date]:[Sunset Time (POA&lt;20 W/m2)]],3,0),"")</f>
        <v>0.26527777777777778</v>
      </c>
      <c r="J220" s="41">
        <f>IFERROR(VLOOKUP(TA[[#This Row],[Date]],Raw_Data[[Date]:[Sunset Time (POA&lt;20 W/m2)]],4,0),"")</f>
        <v>0.7631944444444444</v>
      </c>
      <c r="K220" s="35">
        <f>IFERROR((TA[[#This Row],[Sunset Time (POA&lt;20 W/m2)]]-TA[[#This Row],[Sunrise Time (POA&gt;20 W/m2)]])*24,"")</f>
        <v>11.95</v>
      </c>
      <c r="L220" s="2" t="s">
        <v>294</v>
      </c>
      <c r="M220" s="42">
        <f>IFERROR(VLOOKUP(TA[[#This Row],[Affected Equipment]],'Basic Data'!$I$2:$K$40,3,0),"")</f>
        <v>1.7241379310344799E-3</v>
      </c>
      <c r="N220">
        <v>-28</v>
      </c>
      <c r="O220" t="s">
        <v>137</v>
      </c>
      <c r="P220" s="127" t="s">
        <v>315</v>
      </c>
      <c r="Q220" s="126" t="s">
        <v>319</v>
      </c>
      <c r="R220">
        <v>166</v>
      </c>
      <c r="S220" s="2">
        <v>91</v>
      </c>
      <c r="T220" t="s">
        <v>295</v>
      </c>
      <c r="U220" t="s">
        <v>300</v>
      </c>
      <c r="V220" t="s">
        <v>298</v>
      </c>
      <c r="W220" s="41"/>
      <c r="X220" s="41"/>
      <c r="Y220" s="34"/>
      <c r="Z220" s="34"/>
      <c r="AA220" s="35">
        <f>IF(TA[[#This Row],[Work Start time on Fault]]="NA","",(TA[[#This Row],[Fault Acknowledgement Time ]]-TA[[#This Row],[Fault Time]])*24)</f>
        <v>0</v>
      </c>
      <c r="AB220" s="35">
        <f>(TA[[#This Row],[Work Start time on Fault]]-TA[[#This Row],[Fault Time]])*24</f>
        <v>0</v>
      </c>
      <c r="AC220" s="34">
        <f>(TA[[#This Row],[Work Completion time on fault]]-TA[[#This Row],[Fault Time]])*24</f>
        <v>0</v>
      </c>
      <c r="AD220" s="35">
        <f>IFERROR((TA[[#This Row],[Work Completion time on fault]]-TA[[#This Row],[Fault Time]])*24,"")</f>
        <v>0</v>
      </c>
      <c r="AE220" t="s">
        <v>328</v>
      </c>
      <c r="AF220" t="s">
        <v>256</v>
      </c>
      <c r="AG220" s="2"/>
      <c r="AH220" s="44">
        <f>1-COS(RADIANS(TA[[#This Row],[Avg. Target Angle during Fault Time (Radians)]]-TA[[#This Row],[Angle of affected equipment ]]))</f>
        <v>0.11705240714107301</v>
      </c>
      <c r="AI220" s="35">
        <f>IFERROR(TA[[#This Row],[Breakdown Time]]*TA[[#This Row],[Plant Equivalent Weightage]],"")</f>
        <v>0</v>
      </c>
    </row>
    <row r="221" spans="1:35">
      <c r="A221" s="2">
        <f t="shared" si="10"/>
        <v>218</v>
      </c>
      <c r="B221" s="156">
        <f t="shared" si="11"/>
        <v>2026</v>
      </c>
      <c r="C221" s="129">
        <f t="shared" si="12"/>
        <v>2025</v>
      </c>
      <c r="D221" s="2" t="s">
        <v>155</v>
      </c>
      <c r="E221" s="2" t="s">
        <v>155</v>
      </c>
      <c r="F221" s="39">
        <v>45748</v>
      </c>
      <c r="G221" s="2">
        <f>DAY(EOMONTH(TA[[#This Row],[Month Year]],0))</f>
        <v>30</v>
      </c>
      <c r="H221" s="21">
        <v>45759</v>
      </c>
      <c r="I221" s="41">
        <f>IFERROR(VLOOKUP(TA[[#This Row],[Date]],Raw_Data[[Date]:[Sunset Time (POA&lt;20 W/m2)]],3,0),"")</f>
        <v>0.26527777777777778</v>
      </c>
      <c r="J221" s="41">
        <f>IFERROR(VLOOKUP(TA[[#This Row],[Date]],Raw_Data[[Date]:[Sunset Time (POA&lt;20 W/m2)]],4,0),"")</f>
        <v>0.7631944444444444</v>
      </c>
      <c r="K221" s="35">
        <f>IFERROR((TA[[#This Row],[Sunset Time (POA&lt;20 W/m2)]]-TA[[#This Row],[Sunrise Time (POA&gt;20 W/m2)]])*24,"")</f>
        <v>11.95</v>
      </c>
      <c r="L221" s="2" t="s">
        <v>294</v>
      </c>
      <c r="M221" s="42">
        <f>IFERROR(VLOOKUP(TA[[#This Row],[Affected Equipment]],'Basic Data'!$I$2:$K$40,3,0),"")</f>
        <v>1.7241379310344799E-3</v>
      </c>
      <c r="N221">
        <v>-28</v>
      </c>
      <c r="O221" t="s">
        <v>133</v>
      </c>
      <c r="P221" s="127" t="s">
        <v>316</v>
      </c>
      <c r="Q221" s="126" t="s">
        <v>316</v>
      </c>
      <c r="R221">
        <v>117</v>
      </c>
      <c r="S221" s="2">
        <v>20</v>
      </c>
      <c r="T221" t="s">
        <v>295</v>
      </c>
      <c r="U221" t="s">
        <v>300</v>
      </c>
      <c r="V221" t="s">
        <v>298</v>
      </c>
      <c r="W221" s="41"/>
      <c r="X221" s="41"/>
      <c r="Y221" s="34"/>
      <c r="Z221" s="34"/>
      <c r="AA221" s="35">
        <f>IF(TA[[#This Row],[Work Start time on Fault]]="NA","",(TA[[#This Row],[Fault Acknowledgement Time ]]-TA[[#This Row],[Fault Time]])*24)</f>
        <v>0</v>
      </c>
      <c r="AB221" s="35">
        <f>(TA[[#This Row],[Work Start time on Fault]]-TA[[#This Row],[Fault Time]])*24</f>
        <v>0</v>
      </c>
      <c r="AC221" s="34">
        <f>(TA[[#This Row],[Work Completion time on fault]]-TA[[#This Row],[Fault Time]])*24</f>
        <v>0</v>
      </c>
      <c r="AD221" s="35">
        <f>IFERROR((TA[[#This Row],[Work Completion time on fault]]-TA[[#This Row],[Fault Time]])*24,"")</f>
        <v>0</v>
      </c>
      <c r="AE221" t="s">
        <v>328</v>
      </c>
      <c r="AF221" t="s">
        <v>256</v>
      </c>
      <c r="AG221" s="2"/>
      <c r="AH221" s="44">
        <f>1-COS(RADIANS(TA[[#This Row],[Avg. Target Angle during Fault Time (Radians)]]-TA[[#This Row],[Angle of affected equipment ]]))</f>
        <v>0.11705240714107301</v>
      </c>
      <c r="AI221" s="35">
        <f>IFERROR(TA[[#This Row],[Breakdown Time]]*TA[[#This Row],[Plant Equivalent Weightage]],"")</f>
        <v>0</v>
      </c>
    </row>
    <row r="222" spans="1:35">
      <c r="A222" s="2">
        <f t="shared" si="10"/>
        <v>219</v>
      </c>
      <c r="B222" s="156">
        <f t="shared" si="11"/>
        <v>2026</v>
      </c>
      <c r="C222" s="129">
        <f t="shared" si="12"/>
        <v>2025</v>
      </c>
      <c r="D222" s="2" t="s">
        <v>155</v>
      </c>
      <c r="E222" s="2" t="s">
        <v>155</v>
      </c>
      <c r="F222" s="39">
        <v>45748</v>
      </c>
      <c r="G222" s="2">
        <f>DAY(EOMONTH(TA[[#This Row],[Month Year]],0))</f>
        <v>30</v>
      </c>
      <c r="H222" s="21">
        <v>45759</v>
      </c>
      <c r="I222" s="41">
        <f>IFERROR(VLOOKUP(TA[[#This Row],[Date]],Raw_Data[[Date]:[Sunset Time (POA&lt;20 W/m2)]],3,0),"")</f>
        <v>0.26527777777777778</v>
      </c>
      <c r="J222" s="41">
        <f>IFERROR(VLOOKUP(TA[[#This Row],[Date]],Raw_Data[[Date]:[Sunset Time (POA&lt;20 W/m2)]],4,0),"")</f>
        <v>0.7631944444444444</v>
      </c>
      <c r="K222" s="35">
        <f>IFERROR((TA[[#This Row],[Sunset Time (POA&lt;20 W/m2)]]-TA[[#This Row],[Sunrise Time (POA&gt;20 W/m2)]])*24,"")</f>
        <v>11.95</v>
      </c>
      <c r="L222" s="2" t="s">
        <v>294</v>
      </c>
      <c r="M222" s="42">
        <f>IFERROR(VLOOKUP(TA[[#This Row],[Affected Equipment]],'Basic Data'!$I$2:$K$40,3,0),"")</f>
        <v>1.7241379310344799E-3</v>
      </c>
      <c r="N222">
        <v>-28</v>
      </c>
      <c r="O222" t="s">
        <v>133</v>
      </c>
      <c r="P222" s="127" t="s">
        <v>316</v>
      </c>
      <c r="Q222" s="126" t="s">
        <v>316</v>
      </c>
      <c r="R222">
        <v>118</v>
      </c>
      <c r="S222" s="2">
        <v>22</v>
      </c>
      <c r="T222" t="s">
        <v>295</v>
      </c>
      <c r="U222" t="s">
        <v>300</v>
      </c>
      <c r="V222" t="s">
        <v>298</v>
      </c>
      <c r="W222" s="41"/>
      <c r="X222" s="41"/>
      <c r="Y222" s="34"/>
      <c r="Z222" s="34"/>
      <c r="AA222" s="35">
        <f>IF(TA[[#This Row],[Work Start time on Fault]]="NA","",(TA[[#This Row],[Fault Acknowledgement Time ]]-TA[[#This Row],[Fault Time]])*24)</f>
        <v>0</v>
      </c>
      <c r="AB222" s="35">
        <f>(TA[[#This Row],[Work Start time on Fault]]-TA[[#This Row],[Fault Time]])*24</f>
        <v>0</v>
      </c>
      <c r="AC222" s="34">
        <f>(TA[[#This Row],[Work Completion time on fault]]-TA[[#This Row],[Fault Time]])*24</f>
        <v>0</v>
      </c>
      <c r="AD222" s="35">
        <f>IFERROR((TA[[#This Row],[Work Completion time on fault]]-TA[[#This Row],[Fault Time]])*24,"")</f>
        <v>0</v>
      </c>
      <c r="AE222" t="s">
        <v>328</v>
      </c>
      <c r="AF222" t="s">
        <v>256</v>
      </c>
      <c r="AG222" s="2"/>
      <c r="AH222" s="44">
        <f>1-COS(RADIANS(TA[[#This Row],[Avg. Target Angle during Fault Time (Radians)]]-TA[[#This Row],[Angle of affected equipment ]]))</f>
        <v>0.11705240714107301</v>
      </c>
      <c r="AI222" s="35">
        <f>IFERROR(TA[[#This Row],[Breakdown Time]]*TA[[#This Row],[Plant Equivalent Weightage]],"")</f>
        <v>0</v>
      </c>
    </row>
    <row r="223" spans="1:35">
      <c r="A223" s="2">
        <f t="shared" si="10"/>
        <v>220</v>
      </c>
      <c r="B223" s="156">
        <f t="shared" si="11"/>
        <v>2026</v>
      </c>
      <c r="C223" s="129">
        <f t="shared" si="12"/>
        <v>2025</v>
      </c>
      <c r="D223" s="2" t="s">
        <v>155</v>
      </c>
      <c r="E223" s="2" t="s">
        <v>155</v>
      </c>
      <c r="F223" s="39">
        <v>45748</v>
      </c>
      <c r="G223" s="2">
        <f>DAY(EOMONTH(TA[[#This Row],[Month Year]],0))</f>
        <v>30</v>
      </c>
      <c r="H223" s="21">
        <v>45759</v>
      </c>
      <c r="I223" s="41">
        <f>IFERROR(VLOOKUP(TA[[#This Row],[Date]],Raw_Data[[Date]:[Sunset Time (POA&lt;20 W/m2)]],3,0),"")</f>
        <v>0.26527777777777778</v>
      </c>
      <c r="J223" s="41">
        <f>IFERROR(VLOOKUP(TA[[#This Row],[Date]],Raw_Data[[Date]:[Sunset Time (POA&lt;20 W/m2)]],4,0),"")</f>
        <v>0.7631944444444444</v>
      </c>
      <c r="K223" s="35">
        <f>IFERROR((TA[[#This Row],[Sunset Time (POA&lt;20 W/m2)]]-TA[[#This Row],[Sunrise Time (POA&gt;20 W/m2)]])*24,"")</f>
        <v>11.95</v>
      </c>
      <c r="L223" s="2" t="s">
        <v>296</v>
      </c>
      <c r="M223" s="42">
        <f>IFERROR(VLOOKUP(TA[[#This Row],[Affected Equipment]],'Basic Data'!$I$2:$K$40,3,0),"")</f>
        <v>8.6206896551724102E-3</v>
      </c>
      <c r="N223">
        <v>-28</v>
      </c>
      <c r="O223" t="s">
        <v>135</v>
      </c>
      <c r="P223" s="22" t="s">
        <v>323</v>
      </c>
      <c r="Q223" s="2" t="s">
        <v>329</v>
      </c>
      <c r="R223">
        <v>45</v>
      </c>
      <c r="S223" s="2">
        <v>8</v>
      </c>
      <c r="T223" t="s">
        <v>297</v>
      </c>
      <c r="U223" t="s">
        <v>326</v>
      </c>
      <c r="V223" t="s">
        <v>301</v>
      </c>
      <c r="W223" s="41">
        <f>IFERROR(VLOOKUP(TA[[#This Row],[Date]],Raw_Data[[Date]:[Sunset Time (POA&lt;20 W/m2)]],3,0),"")</f>
        <v>0.26527777777777778</v>
      </c>
      <c r="X223" s="41">
        <f>IFERROR(VLOOKUP(TA[[#This Row],[Date]],Raw_Data[[Date]:[Sunset Time (POA&lt;20 W/m2)]],3,0),"")</f>
        <v>0.26527777777777778</v>
      </c>
      <c r="Y223" s="34"/>
      <c r="Z223" s="34">
        <v>0.76041666666666663</v>
      </c>
      <c r="AA223" s="35">
        <f>IF(TA[[#This Row],[Work Start time on Fault]]="NA","",(TA[[#This Row],[Fault Acknowledgement Time ]]-TA[[#This Row],[Fault Time]])*24)</f>
        <v>0</v>
      </c>
      <c r="AB223" s="35">
        <f>(TA[[#This Row],[Work Start time on Fault]]-TA[[#This Row],[Fault Time]])*24</f>
        <v>-6.3666666666666671</v>
      </c>
      <c r="AC223" s="34">
        <f>(TA[[#This Row],[Work Completion time on fault]]-TA[[#This Row],[Fault Time]])*24</f>
        <v>11.883333333333333</v>
      </c>
      <c r="AD223" s="35">
        <f>IFERROR((TA[[#This Row],[Work Completion time on fault]]-TA[[#This Row],[Fault Time]])*24,"")</f>
        <v>11.883333333333333</v>
      </c>
      <c r="AE223" t="s">
        <v>309</v>
      </c>
      <c r="AF223" t="s">
        <v>256</v>
      </c>
      <c r="AG223" s="2"/>
      <c r="AH223" s="44">
        <f>1-COS(RADIANS(TA[[#This Row],[Avg. Target Angle during Fault Time (Radians)]]-TA[[#This Row],[Angle of affected equipment ]]))</f>
        <v>0.11705240714107301</v>
      </c>
      <c r="AI223" s="35">
        <f>IFERROR(TA[[#This Row],[Breakdown Time]]*TA[[#This Row],[Plant Equivalent Weightage]],"")</f>
        <v>0.10244252873563214</v>
      </c>
    </row>
    <row r="224" spans="1:35">
      <c r="A224" s="2">
        <f t="shared" si="10"/>
        <v>221</v>
      </c>
      <c r="B224" s="156">
        <f t="shared" si="11"/>
        <v>2026</v>
      </c>
      <c r="C224" s="129">
        <f t="shared" si="12"/>
        <v>2025</v>
      </c>
      <c r="D224" s="2" t="s">
        <v>155</v>
      </c>
      <c r="E224" s="2" t="s">
        <v>155</v>
      </c>
      <c r="F224" s="39">
        <v>45748</v>
      </c>
      <c r="G224" s="2">
        <f>DAY(EOMONTH(TA[[#This Row],[Month Year]],0))</f>
        <v>30</v>
      </c>
      <c r="H224" s="21">
        <v>45759</v>
      </c>
      <c r="I224" s="41">
        <f>IFERROR(VLOOKUP(TA[[#This Row],[Date]],Raw_Data[[Date]:[Sunset Time (POA&lt;20 W/m2)]],3,0),"")</f>
        <v>0.26527777777777778</v>
      </c>
      <c r="J224" s="41">
        <f>IFERROR(VLOOKUP(TA[[#This Row],[Date]],Raw_Data[[Date]:[Sunset Time (POA&lt;20 W/m2)]],4,0),"")</f>
        <v>0.7631944444444444</v>
      </c>
      <c r="K224" s="35">
        <f>IFERROR((TA[[#This Row],[Sunset Time (POA&lt;20 W/m2)]]-TA[[#This Row],[Sunrise Time (POA&gt;20 W/m2)]])*24,"")</f>
        <v>11.95</v>
      </c>
      <c r="L224" s="2" t="s">
        <v>296</v>
      </c>
      <c r="M224" s="42">
        <f>IFERROR(VLOOKUP(TA[[#This Row],[Affected Equipment]],'Basic Data'!$I$2:$K$40,3,0),"")</f>
        <v>8.6206896551724102E-3</v>
      </c>
      <c r="N224">
        <v>-28</v>
      </c>
      <c r="O224" t="s">
        <v>135</v>
      </c>
      <c r="P224" s="22" t="s">
        <v>323</v>
      </c>
      <c r="Q224" s="2" t="s">
        <v>329</v>
      </c>
      <c r="R224">
        <v>47</v>
      </c>
      <c r="S224" s="2">
        <v>18</v>
      </c>
      <c r="T224" t="s">
        <v>297</v>
      </c>
      <c r="U224" t="s">
        <v>326</v>
      </c>
      <c r="V224" t="s">
        <v>301</v>
      </c>
      <c r="W224" s="41">
        <f>IFERROR(VLOOKUP(TA[[#This Row],[Date]],Raw_Data[[Date]:[Sunset Time (POA&lt;20 W/m2)]],3,0),"")</f>
        <v>0.26527777777777778</v>
      </c>
      <c r="X224" s="41">
        <f>IFERROR(VLOOKUP(TA[[#This Row],[Date]],Raw_Data[[Date]:[Sunset Time (POA&lt;20 W/m2)]],3,0),"")</f>
        <v>0.26527777777777778</v>
      </c>
      <c r="Y224" s="34"/>
      <c r="Z224" s="34">
        <v>0.76041666666666663</v>
      </c>
      <c r="AA224" s="35">
        <f>IF(TA[[#This Row],[Work Start time on Fault]]="NA","",(TA[[#This Row],[Fault Acknowledgement Time ]]-TA[[#This Row],[Fault Time]])*24)</f>
        <v>0</v>
      </c>
      <c r="AB224" s="35">
        <f>(TA[[#This Row],[Work Start time on Fault]]-TA[[#This Row],[Fault Time]])*24</f>
        <v>-6.3666666666666671</v>
      </c>
      <c r="AC224" s="34">
        <f>(TA[[#This Row],[Work Completion time on fault]]-TA[[#This Row],[Fault Time]])*24</f>
        <v>11.883333333333333</v>
      </c>
      <c r="AD224" s="35">
        <f>IFERROR((TA[[#This Row],[Work Completion time on fault]]-TA[[#This Row],[Fault Time]])*24,"")</f>
        <v>11.883333333333333</v>
      </c>
      <c r="AE224" t="s">
        <v>309</v>
      </c>
      <c r="AF224" t="s">
        <v>256</v>
      </c>
      <c r="AG224" s="2"/>
      <c r="AH224" s="44">
        <f>1-COS(RADIANS(TA[[#This Row],[Avg. Target Angle during Fault Time (Radians)]]-TA[[#This Row],[Angle of affected equipment ]]))</f>
        <v>0.11705240714107301</v>
      </c>
      <c r="AI224" s="35">
        <f>IFERROR(TA[[#This Row],[Breakdown Time]]*TA[[#This Row],[Plant Equivalent Weightage]],"")</f>
        <v>0.10244252873563214</v>
      </c>
    </row>
    <row r="225" spans="1:35">
      <c r="A225" s="2">
        <f t="shared" si="10"/>
        <v>222</v>
      </c>
      <c r="B225" s="156">
        <f t="shared" si="11"/>
        <v>2026</v>
      </c>
      <c r="C225" s="129">
        <f t="shared" si="12"/>
        <v>2025</v>
      </c>
      <c r="D225" s="2" t="s">
        <v>155</v>
      </c>
      <c r="E225" s="2" t="s">
        <v>155</v>
      </c>
      <c r="F225" s="39">
        <v>45748</v>
      </c>
      <c r="G225" s="2">
        <f>DAY(EOMONTH(TA[[#This Row],[Month Year]],0))</f>
        <v>30</v>
      </c>
      <c r="H225" s="21">
        <v>45759</v>
      </c>
      <c r="I225" s="41">
        <f>IFERROR(VLOOKUP(TA[[#This Row],[Date]],Raw_Data[[Date]:[Sunset Time (POA&lt;20 W/m2)]],3,0),"")</f>
        <v>0.26527777777777778</v>
      </c>
      <c r="J225" s="41">
        <f>IFERROR(VLOOKUP(TA[[#This Row],[Date]],Raw_Data[[Date]:[Sunset Time (POA&lt;20 W/m2)]],4,0),"")</f>
        <v>0.7631944444444444</v>
      </c>
      <c r="K225" s="35">
        <f>IFERROR((TA[[#This Row],[Sunset Time (POA&lt;20 W/m2)]]-TA[[#This Row],[Sunrise Time (POA&gt;20 W/m2)]])*24,"")</f>
        <v>11.95</v>
      </c>
      <c r="L225" s="2" t="s">
        <v>296</v>
      </c>
      <c r="M225" s="42">
        <f>IFERROR(VLOOKUP(TA[[#This Row],[Affected Equipment]],'Basic Data'!$I$2:$K$40,3,0),"")</f>
        <v>8.6206896551724102E-3</v>
      </c>
      <c r="N225">
        <v>-28</v>
      </c>
      <c r="O225" t="s">
        <v>134</v>
      </c>
      <c r="P225" s="22" t="s">
        <v>330</v>
      </c>
      <c r="Q225" s="2" t="s">
        <v>323</v>
      </c>
      <c r="R225">
        <v>30</v>
      </c>
      <c r="S225" s="2">
        <v>57</v>
      </c>
      <c r="T225" t="s">
        <v>297</v>
      </c>
      <c r="U225" t="s">
        <v>326</v>
      </c>
      <c r="V225" t="s">
        <v>301</v>
      </c>
      <c r="W225" s="41">
        <f>IFERROR(VLOOKUP(TA[[#This Row],[Date]],Raw_Data[[Date]:[Sunset Time (POA&lt;20 W/m2)]],3,0),"")</f>
        <v>0.26527777777777778</v>
      </c>
      <c r="X225" s="41">
        <f>IFERROR(VLOOKUP(TA[[#This Row],[Date]],Raw_Data[[Date]:[Sunset Time (POA&lt;20 W/m2)]],3,0),"")</f>
        <v>0.26527777777777778</v>
      </c>
      <c r="Y225" s="34"/>
      <c r="Z225" s="34">
        <v>0.76041666666666663</v>
      </c>
      <c r="AA225" s="35">
        <f>IF(TA[[#This Row],[Work Start time on Fault]]="NA","",(TA[[#This Row],[Fault Acknowledgement Time ]]-TA[[#This Row],[Fault Time]])*24)</f>
        <v>0</v>
      </c>
      <c r="AB225" s="35">
        <f>(TA[[#This Row],[Work Start time on Fault]]-TA[[#This Row],[Fault Time]])*24</f>
        <v>-6.3666666666666671</v>
      </c>
      <c r="AC225" s="34">
        <f>(TA[[#This Row],[Work Completion time on fault]]-TA[[#This Row],[Fault Time]])*24</f>
        <v>11.883333333333333</v>
      </c>
      <c r="AD225" s="35">
        <f>IFERROR((TA[[#This Row],[Work Completion time on fault]]-TA[[#This Row],[Fault Time]])*24,"")</f>
        <v>11.883333333333333</v>
      </c>
      <c r="AE225" t="s">
        <v>309</v>
      </c>
      <c r="AF225" t="s">
        <v>256</v>
      </c>
      <c r="AG225" s="2"/>
      <c r="AH225" s="44">
        <f>1-COS(RADIANS(TA[[#This Row],[Avg. Target Angle during Fault Time (Radians)]]-TA[[#This Row],[Angle of affected equipment ]]))</f>
        <v>0.11705240714107301</v>
      </c>
      <c r="AI225" s="35">
        <f>IFERROR(TA[[#This Row],[Breakdown Time]]*TA[[#This Row],[Plant Equivalent Weightage]],"")</f>
        <v>0.10244252873563214</v>
      </c>
    </row>
    <row r="226" spans="1:35">
      <c r="A226" s="2">
        <f t="shared" si="10"/>
        <v>223</v>
      </c>
      <c r="B226" s="156">
        <f t="shared" si="11"/>
        <v>2026</v>
      </c>
      <c r="C226" s="129">
        <f t="shared" si="12"/>
        <v>2025</v>
      </c>
      <c r="D226" s="2" t="s">
        <v>155</v>
      </c>
      <c r="E226" s="2" t="s">
        <v>155</v>
      </c>
      <c r="F226" s="39">
        <v>45748</v>
      </c>
      <c r="G226" s="2">
        <f>DAY(EOMONTH(TA[[#This Row],[Month Year]],0))</f>
        <v>30</v>
      </c>
      <c r="H226" s="21">
        <v>45759</v>
      </c>
      <c r="I226" s="41">
        <f>IFERROR(VLOOKUP(TA[[#This Row],[Date]],Raw_Data[[Date]:[Sunset Time (POA&lt;20 W/m2)]],3,0),"")</f>
        <v>0.26527777777777778</v>
      </c>
      <c r="J226" s="41">
        <f>IFERROR(VLOOKUP(TA[[#This Row],[Date]],Raw_Data[[Date]:[Sunset Time (POA&lt;20 W/m2)]],4,0),"")</f>
        <v>0.7631944444444444</v>
      </c>
      <c r="K226" s="35">
        <f>IFERROR((TA[[#This Row],[Sunset Time (POA&lt;20 W/m2)]]-TA[[#This Row],[Sunrise Time (POA&gt;20 W/m2)]])*24,"")</f>
        <v>11.95</v>
      </c>
      <c r="L226" s="2" t="s">
        <v>296</v>
      </c>
      <c r="M226" s="42">
        <f>IFERROR(VLOOKUP(TA[[#This Row],[Affected Equipment]],'Basic Data'!$I$2:$K$40,3,0),"")</f>
        <v>8.6206896551724102E-3</v>
      </c>
      <c r="N226">
        <v>-28</v>
      </c>
      <c r="O226" t="s">
        <v>134</v>
      </c>
      <c r="P226" s="22" t="s">
        <v>330</v>
      </c>
      <c r="Q226" s="2" t="s">
        <v>323</v>
      </c>
      <c r="R226">
        <v>31</v>
      </c>
      <c r="S226" s="2">
        <v>61</v>
      </c>
      <c r="T226" t="s">
        <v>297</v>
      </c>
      <c r="U226" t="s">
        <v>326</v>
      </c>
      <c r="V226" t="s">
        <v>301</v>
      </c>
      <c r="W226" s="41">
        <f>IFERROR(VLOOKUP(TA[[#This Row],[Date]],Raw_Data[[Date]:[Sunset Time (POA&lt;20 W/m2)]],3,0),"")</f>
        <v>0.26527777777777778</v>
      </c>
      <c r="X226" s="41">
        <f>IFERROR(VLOOKUP(TA[[#This Row],[Date]],Raw_Data[[Date]:[Sunset Time (POA&lt;20 W/m2)]],3,0),"")</f>
        <v>0.26527777777777778</v>
      </c>
      <c r="Y226" s="34"/>
      <c r="Z226" s="34">
        <v>0.76041666666666663</v>
      </c>
      <c r="AA226" s="35">
        <f>IF(TA[[#This Row],[Work Start time on Fault]]="NA","",(TA[[#This Row],[Fault Acknowledgement Time ]]-TA[[#This Row],[Fault Time]])*24)</f>
        <v>0</v>
      </c>
      <c r="AB226" s="35">
        <f>(TA[[#This Row],[Work Start time on Fault]]-TA[[#This Row],[Fault Time]])*24</f>
        <v>-6.3666666666666671</v>
      </c>
      <c r="AC226" s="34">
        <f>(TA[[#This Row],[Work Completion time on fault]]-TA[[#This Row],[Fault Time]])*24</f>
        <v>11.883333333333333</v>
      </c>
      <c r="AD226" s="35">
        <f>IFERROR((TA[[#This Row],[Work Completion time on fault]]-TA[[#This Row],[Fault Time]])*24,"")</f>
        <v>11.883333333333333</v>
      </c>
      <c r="AE226" t="s">
        <v>309</v>
      </c>
      <c r="AF226" t="s">
        <v>256</v>
      </c>
      <c r="AG226" s="2"/>
      <c r="AH226" s="44">
        <f>1-COS(RADIANS(TA[[#This Row],[Avg. Target Angle during Fault Time (Radians)]]-TA[[#This Row],[Angle of affected equipment ]]))</f>
        <v>0.11705240714107301</v>
      </c>
      <c r="AI226" s="35">
        <f>IFERROR(TA[[#This Row],[Breakdown Time]]*TA[[#This Row],[Plant Equivalent Weightage]],"")</f>
        <v>0.10244252873563214</v>
      </c>
    </row>
    <row r="227" spans="1:35">
      <c r="A227" s="2">
        <f t="shared" ref="A227:A290" si="13">A226+1</f>
        <v>224</v>
      </c>
      <c r="B227" s="156">
        <f t="shared" si="11"/>
        <v>2026</v>
      </c>
      <c r="C227" s="129">
        <f t="shared" si="12"/>
        <v>2025</v>
      </c>
      <c r="D227" s="2" t="s">
        <v>155</v>
      </c>
      <c r="E227" s="2" t="s">
        <v>155</v>
      </c>
      <c r="F227" s="39">
        <v>45748</v>
      </c>
      <c r="G227" s="2">
        <f>DAY(EOMONTH(TA[[#This Row],[Month Year]],0))</f>
        <v>30</v>
      </c>
      <c r="H227" s="21">
        <v>45759</v>
      </c>
      <c r="I227" s="41">
        <f>IFERROR(VLOOKUP(TA[[#This Row],[Date]],Raw_Data[[Date]:[Sunset Time (POA&lt;20 W/m2)]],3,0),"")</f>
        <v>0.26527777777777778</v>
      </c>
      <c r="J227" s="41">
        <f>IFERROR(VLOOKUP(TA[[#This Row],[Date]],Raw_Data[[Date]:[Sunset Time (POA&lt;20 W/m2)]],4,0),"")</f>
        <v>0.7631944444444444</v>
      </c>
      <c r="K227" s="35">
        <f>IFERROR((TA[[#This Row],[Sunset Time (POA&lt;20 W/m2)]]-TA[[#This Row],[Sunrise Time (POA&gt;20 W/m2)]])*24,"")</f>
        <v>11.95</v>
      </c>
      <c r="L227" s="2" t="s">
        <v>312</v>
      </c>
      <c r="M227" s="42">
        <f>IFERROR(VLOOKUP(TA[[#This Row],[Affected Equipment]],'Basic Data'!$I$2:$K$40,3,0),"")</f>
        <v>5.74712643678161E-3</v>
      </c>
      <c r="N227">
        <v>-28</v>
      </c>
      <c r="O227" t="s">
        <v>133</v>
      </c>
      <c r="P227" s="22" t="s">
        <v>330</v>
      </c>
      <c r="Q227" s="2" t="s">
        <v>323</v>
      </c>
      <c r="R227">
        <v>26</v>
      </c>
      <c r="S227" s="2">
        <v>37</v>
      </c>
      <c r="T227" t="s">
        <v>297</v>
      </c>
      <c r="U227" t="s">
        <v>326</v>
      </c>
      <c r="V227" t="s">
        <v>301</v>
      </c>
      <c r="W227" s="41">
        <f>IFERROR(VLOOKUP(TA[[#This Row],[Date]],Raw_Data[[Date]:[Sunset Time (POA&lt;20 W/m2)]],3,0),"")</f>
        <v>0.26527777777777778</v>
      </c>
      <c r="X227" s="41">
        <f>IFERROR(VLOOKUP(TA[[#This Row],[Date]],Raw_Data[[Date]:[Sunset Time (POA&lt;20 W/m2)]],3,0),"")</f>
        <v>0.26527777777777778</v>
      </c>
      <c r="Y227" s="34"/>
      <c r="Z227" s="34">
        <v>0.76041666666666663</v>
      </c>
      <c r="AA227" s="35">
        <f>IF(TA[[#This Row],[Work Start time on Fault]]="NA","",(TA[[#This Row],[Fault Acknowledgement Time ]]-TA[[#This Row],[Fault Time]])*24)</f>
        <v>0</v>
      </c>
      <c r="AB227" s="35">
        <f>(TA[[#This Row],[Work Start time on Fault]]-TA[[#This Row],[Fault Time]])*24</f>
        <v>-6.3666666666666671</v>
      </c>
      <c r="AC227" s="34">
        <f>(TA[[#This Row],[Work Completion time on fault]]-TA[[#This Row],[Fault Time]])*24</f>
        <v>11.883333333333333</v>
      </c>
      <c r="AD227" s="35">
        <f>IFERROR((TA[[#This Row],[Work Completion time on fault]]-TA[[#This Row],[Fault Time]])*24,"")</f>
        <v>11.883333333333333</v>
      </c>
      <c r="AE227" t="s">
        <v>309</v>
      </c>
      <c r="AF227" t="s">
        <v>256</v>
      </c>
      <c r="AG227" s="2"/>
      <c r="AH227" s="44">
        <f>1-COS(RADIANS(TA[[#This Row],[Avg. Target Angle during Fault Time (Radians)]]-TA[[#This Row],[Angle of affected equipment ]]))</f>
        <v>0.11705240714107301</v>
      </c>
      <c r="AI227" s="35">
        <f>IFERROR(TA[[#This Row],[Breakdown Time]]*TA[[#This Row],[Plant Equivalent Weightage]],"")</f>
        <v>6.8295019157088133E-2</v>
      </c>
    </row>
    <row r="228" spans="1:35">
      <c r="A228" s="2">
        <f t="shared" si="13"/>
        <v>225</v>
      </c>
      <c r="B228" s="156">
        <f t="shared" si="11"/>
        <v>2026</v>
      </c>
      <c r="C228" s="129">
        <f t="shared" si="12"/>
        <v>2025</v>
      </c>
      <c r="D228" s="2" t="s">
        <v>155</v>
      </c>
      <c r="E228" s="2" t="s">
        <v>155</v>
      </c>
      <c r="F228" s="39">
        <v>45748</v>
      </c>
      <c r="G228" s="2">
        <f>DAY(EOMONTH(TA[[#This Row],[Month Year]],0))</f>
        <v>30</v>
      </c>
      <c r="H228" s="21">
        <v>45759</v>
      </c>
      <c r="I228" s="41">
        <f>IFERROR(VLOOKUP(TA[[#This Row],[Date]],Raw_Data[[Date]:[Sunset Time (POA&lt;20 W/m2)]],3,0),"")</f>
        <v>0.26527777777777778</v>
      </c>
      <c r="J228" s="41">
        <f>IFERROR(VLOOKUP(TA[[#This Row],[Date]],Raw_Data[[Date]:[Sunset Time (POA&lt;20 W/m2)]],4,0),"")</f>
        <v>0.7631944444444444</v>
      </c>
      <c r="K228" s="35">
        <f>IFERROR((TA[[#This Row],[Sunset Time (POA&lt;20 W/m2)]]-TA[[#This Row],[Sunrise Time (POA&gt;20 W/m2)]])*24,"")</f>
        <v>11.95</v>
      </c>
      <c r="L228" s="2" t="s">
        <v>312</v>
      </c>
      <c r="M228" s="42">
        <f>IFERROR(VLOOKUP(TA[[#This Row],[Affected Equipment]],'Basic Data'!$I$2:$K$40,3,0),"")</f>
        <v>5.74712643678161E-3</v>
      </c>
      <c r="N228">
        <v>-28</v>
      </c>
      <c r="O228" t="s">
        <v>133</v>
      </c>
      <c r="P228" s="22" t="s">
        <v>330</v>
      </c>
      <c r="Q228" s="2" t="s">
        <v>323</v>
      </c>
      <c r="R228">
        <v>27</v>
      </c>
      <c r="S228" s="2">
        <v>42</v>
      </c>
      <c r="T228" t="s">
        <v>297</v>
      </c>
      <c r="U228" t="s">
        <v>326</v>
      </c>
      <c r="V228" t="s">
        <v>301</v>
      </c>
      <c r="W228" s="41">
        <f>IFERROR(VLOOKUP(TA[[#This Row],[Date]],Raw_Data[[Date]:[Sunset Time (POA&lt;20 W/m2)]],3,0),"")</f>
        <v>0.26527777777777778</v>
      </c>
      <c r="X228" s="41">
        <f>IFERROR(VLOOKUP(TA[[#This Row],[Date]],Raw_Data[[Date]:[Sunset Time (POA&lt;20 W/m2)]],3,0),"")</f>
        <v>0.26527777777777778</v>
      </c>
      <c r="Y228" s="34"/>
      <c r="Z228" s="34">
        <v>0.76041666666666663</v>
      </c>
      <c r="AA228" s="35">
        <f>IF(TA[[#This Row],[Work Start time on Fault]]="NA","",(TA[[#This Row],[Fault Acknowledgement Time ]]-TA[[#This Row],[Fault Time]])*24)</f>
        <v>0</v>
      </c>
      <c r="AB228" s="35">
        <f>(TA[[#This Row],[Work Start time on Fault]]-TA[[#This Row],[Fault Time]])*24</f>
        <v>-6.3666666666666671</v>
      </c>
      <c r="AC228" s="34">
        <f>(TA[[#This Row],[Work Completion time on fault]]-TA[[#This Row],[Fault Time]])*24</f>
        <v>11.883333333333333</v>
      </c>
      <c r="AD228" s="35">
        <f>IFERROR((TA[[#This Row],[Work Completion time on fault]]-TA[[#This Row],[Fault Time]])*24,"")</f>
        <v>11.883333333333333</v>
      </c>
      <c r="AE228" t="s">
        <v>309</v>
      </c>
      <c r="AF228" t="s">
        <v>256</v>
      </c>
      <c r="AG228" s="2"/>
      <c r="AH228" s="44">
        <f>1-COS(RADIANS(TA[[#This Row],[Avg. Target Angle during Fault Time (Radians)]]-TA[[#This Row],[Angle of affected equipment ]]))</f>
        <v>0.11705240714107301</v>
      </c>
      <c r="AI228" s="35">
        <f>IFERROR(TA[[#This Row],[Breakdown Time]]*TA[[#This Row],[Plant Equivalent Weightage]],"")</f>
        <v>6.8295019157088133E-2</v>
      </c>
    </row>
    <row r="229" spans="1:35">
      <c r="A229" s="2">
        <f t="shared" si="13"/>
        <v>226</v>
      </c>
      <c r="B229" s="156">
        <f t="shared" si="11"/>
        <v>2026</v>
      </c>
      <c r="C229" s="129">
        <f t="shared" si="12"/>
        <v>2025</v>
      </c>
      <c r="D229" s="2" t="s">
        <v>155</v>
      </c>
      <c r="E229" s="2" t="s">
        <v>155</v>
      </c>
      <c r="F229" s="39">
        <v>45748</v>
      </c>
      <c r="G229" s="2">
        <f>DAY(EOMONTH(TA[[#This Row],[Month Year]],0))</f>
        <v>30</v>
      </c>
      <c r="H229" s="21">
        <v>45760</v>
      </c>
      <c r="I229" s="41">
        <f>IFERROR(VLOOKUP(TA[[#This Row],[Date]],Raw_Data[[Date]:[Sunset Time (POA&lt;20 W/m2)]],3,0),"")</f>
        <v>0.26111111111111113</v>
      </c>
      <c r="J229" s="41">
        <f>IFERROR(VLOOKUP(TA[[#This Row],[Date]],Raw_Data[[Date]:[Sunset Time (POA&lt;20 W/m2)]],4,0),"")</f>
        <v>0.76388888888888884</v>
      </c>
      <c r="K229" s="35">
        <f>IFERROR((TA[[#This Row],[Sunset Time (POA&lt;20 W/m2)]]-TA[[#This Row],[Sunrise Time (POA&gt;20 W/m2)]])*24,"")</f>
        <v>12.066666666666666</v>
      </c>
      <c r="L229" s="2" t="s">
        <v>294</v>
      </c>
      <c r="M229" s="42">
        <f>IFERROR(VLOOKUP(TA[[#This Row],[Affected Equipment]],'Basic Data'!$I$2:$K$40,3,0),"")</f>
        <v>1.7241379310344799E-3</v>
      </c>
      <c r="N229">
        <v>-28</v>
      </c>
      <c r="O229" t="s">
        <v>135</v>
      </c>
      <c r="P229" s="127" t="s">
        <v>318</v>
      </c>
      <c r="Q229" s="126" t="s">
        <v>318</v>
      </c>
      <c r="R229">
        <v>130</v>
      </c>
      <c r="S229" s="2">
        <v>36</v>
      </c>
      <c r="T229" t="s">
        <v>295</v>
      </c>
      <c r="U229" t="s">
        <v>300</v>
      </c>
      <c r="V229" t="s">
        <v>298</v>
      </c>
      <c r="W229" s="41"/>
      <c r="X229" s="41"/>
      <c r="Y229" s="34"/>
      <c r="Z229" s="34"/>
      <c r="AA229" s="35">
        <f>IF(TA[[#This Row],[Work Start time on Fault]]="NA","",(TA[[#This Row],[Fault Acknowledgement Time ]]-TA[[#This Row],[Fault Time]])*24)</f>
        <v>0</v>
      </c>
      <c r="AB229" s="35">
        <f>(TA[[#This Row],[Work Start time on Fault]]-TA[[#This Row],[Fault Time]])*24</f>
        <v>0</v>
      </c>
      <c r="AC229" s="34">
        <f>(TA[[#This Row],[Work Completion time on fault]]-TA[[#This Row],[Fault Time]])*24</f>
        <v>0</v>
      </c>
      <c r="AD229" s="35">
        <f>IFERROR((TA[[#This Row],[Work Completion time on fault]]-TA[[#This Row],[Fault Time]])*24,"")</f>
        <v>0</v>
      </c>
      <c r="AE229" t="s">
        <v>328</v>
      </c>
      <c r="AF229" t="s">
        <v>256</v>
      </c>
      <c r="AG229" s="2"/>
      <c r="AH229" s="44">
        <f>1-COS(RADIANS(TA[[#This Row],[Avg. Target Angle during Fault Time (Radians)]]-TA[[#This Row],[Angle of affected equipment ]]))</f>
        <v>0.11705240714107301</v>
      </c>
      <c r="AI229" s="35">
        <f>IFERROR(TA[[#This Row],[Breakdown Time]]*TA[[#This Row],[Plant Equivalent Weightage]],"")</f>
        <v>0</v>
      </c>
    </row>
    <row r="230" spans="1:35">
      <c r="A230" s="2">
        <f t="shared" si="13"/>
        <v>227</v>
      </c>
      <c r="B230" s="156">
        <f t="shared" si="11"/>
        <v>2026</v>
      </c>
      <c r="C230" s="129">
        <f t="shared" si="12"/>
        <v>2025</v>
      </c>
      <c r="D230" s="2" t="s">
        <v>155</v>
      </c>
      <c r="E230" s="2" t="s">
        <v>155</v>
      </c>
      <c r="F230" s="39">
        <v>45748</v>
      </c>
      <c r="G230" s="2">
        <f>DAY(EOMONTH(TA[[#This Row],[Month Year]],0))</f>
        <v>30</v>
      </c>
      <c r="H230" s="21">
        <v>45760</v>
      </c>
      <c r="I230" s="41">
        <f>IFERROR(VLOOKUP(TA[[#This Row],[Date]],Raw_Data[[Date]:[Sunset Time (POA&lt;20 W/m2)]],3,0),"")</f>
        <v>0.26111111111111113</v>
      </c>
      <c r="J230" s="41">
        <f>IFERROR(VLOOKUP(TA[[#This Row],[Date]],Raw_Data[[Date]:[Sunset Time (POA&lt;20 W/m2)]],4,0),"")</f>
        <v>0.76388888888888884</v>
      </c>
      <c r="K230" s="35">
        <f>IFERROR((TA[[#This Row],[Sunset Time (POA&lt;20 W/m2)]]-TA[[#This Row],[Sunrise Time (POA&gt;20 W/m2)]])*24,"")</f>
        <v>12.066666666666666</v>
      </c>
      <c r="L230" s="2" t="s">
        <v>294</v>
      </c>
      <c r="M230" s="42">
        <f>IFERROR(VLOOKUP(TA[[#This Row],[Affected Equipment]],'Basic Data'!$I$2:$K$40,3,0),"")</f>
        <v>1.7241379310344799E-3</v>
      </c>
      <c r="N230">
        <v>-28</v>
      </c>
      <c r="O230" t="s">
        <v>135</v>
      </c>
      <c r="P230" s="127" t="s">
        <v>318</v>
      </c>
      <c r="Q230" s="126" t="s">
        <v>318</v>
      </c>
      <c r="R230">
        <v>130</v>
      </c>
      <c r="S230" s="2">
        <v>37</v>
      </c>
      <c r="T230" t="s">
        <v>295</v>
      </c>
      <c r="U230" t="s">
        <v>300</v>
      </c>
      <c r="V230" t="s">
        <v>298</v>
      </c>
      <c r="W230" s="41"/>
      <c r="X230" s="41"/>
      <c r="Y230" s="34"/>
      <c r="Z230" s="34"/>
      <c r="AA230" s="35">
        <f>IF(TA[[#This Row],[Work Start time on Fault]]="NA","",(TA[[#This Row],[Fault Acknowledgement Time ]]-TA[[#This Row],[Fault Time]])*24)</f>
        <v>0</v>
      </c>
      <c r="AB230" s="35">
        <f>(TA[[#This Row],[Work Start time on Fault]]-TA[[#This Row],[Fault Time]])*24</f>
        <v>0</v>
      </c>
      <c r="AC230" s="34">
        <f>(TA[[#This Row],[Work Completion time on fault]]-TA[[#This Row],[Fault Time]])*24</f>
        <v>0</v>
      </c>
      <c r="AD230" s="35">
        <f>IFERROR((TA[[#This Row],[Work Completion time on fault]]-TA[[#This Row],[Fault Time]])*24,"")</f>
        <v>0</v>
      </c>
      <c r="AE230" t="s">
        <v>328</v>
      </c>
      <c r="AF230" t="s">
        <v>256</v>
      </c>
      <c r="AG230" s="2"/>
      <c r="AH230" s="44">
        <f>1-COS(RADIANS(TA[[#This Row],[Avg. Target Angle during Fault Time (Radians)]]-TA[[#This Row],[Angle of affected equipment ]]))</f>
        <v>0.11705240714107301</v>
      </c>
      <c r="AI230" s="35">
        <f>IFERROR(TA[[#This Row],[Breakdown Time]]*TA[[#This Row],[Plant Equivalent Weightage]],"")</f>
        <v>0</v>
      </c>
    </row>
    <row r="231" spans="1:35">
      <c r="A231" s="2">
        <f t="shared" si="13"/>
        <v>228</v>
      </c>
      <c r="B231" s="156">
        <f t="shared" si="11"/>
        <v>2026</v>
      </c>
      <c r="C231" s="129">
        <f t="shared" si="12"/>
        <v>2025</v>
      </c>
      <c r="D231" s="2" t="s">
        <v>155</v>
      </c>
      <c r="E231" s="2" t="s">
        <v>155</v>
      </c>
      <c r="F231" s="39">
        <v>45748</v>
      </c>
      <c r="G231" s="2">
        <f>DAY(EOMONTH(TA[[#This Row],[Month Year]],0))</f>
        <v>30</v>
      </c>
      <c r="H231" s="21">
        <v>45760</v>
      </c>
      <c r="I231" s="41">
        <f>IFERROR(VLOOKUP(TA[[#This Row],[Date]],Raw_Data[[Date]:[Sunset Time (POA&lt;20 W/m2)]],3,0),"")</f>
        <v>0.26111111111111113</v>
      </c>
      <c r="J231" s="41">
        <f>IFERROR(VLOOKUP(TA[[#This Row],[Date]],Raw_Data[[Date]:[Sunset Time (POA&lt;20 W/m2)]],4,0),"")</f>
        <v>0.76388888888888884</v>
      </c>
      <c r="K231" s="35">
        <f>IFERROR((TA[[#This Row],[Sunset Time (POA&lt;20 W/m2)]]-TA[[#This Row],[Sunrise Time (POA&gt;20 W/m2)]])*24,"")</f>
        <v>12.066666666666666</v>
      </c>
      <c r="L231" s="2" t="s">
        <v>294</v>
      </c>
      <c r="M231" s="42">
        <f>IFERROR(VLOOKUP(TA[[#This Row],[Affected Equipment]],'Basic Data'!$I$2:$K$40,3,0),"")</f>
        <v>1.7241379310344799E-3</v>
      </c>
      <c r="N231">
        <v>-28</v>
      </c>
      <c r="O231" t="s">
        <v>135</v>
      </c>
      <c r="P231" s="127" t="s">
        <v>318</v>
      </c>
      <c r="Q231" s="126" t="s">
        <v>318</v>
      </c>
      <c r="R231">
        <v>131</v>
      </c>
      <c r="S231" s="2">
        <v>38</v>
      </c>
      <c r="T231" t="s">
        <v>295</v>
      </c>
      <c r="U231" t="s">
        <v>300</v>
      </c>
      <c r="V231" t="s">
        <v>298</v>
      </c>
      <c r="W231" s="41"/>
      <c r="X231" s="41"/>
      <c r="Y231" s="34"/>
      <c r="Z231" s="34"/>
      <c r="AA231" s="35">
        <f>IF(TA[[#This Row],[Work Start time on Fault]]="NA","",(TA[[#This Row],[Fault Acknowledgement Time ]]-TA[[#This Row],[Fault Time]])*24)</f>
        <v>0</v>
      </c>
      <c r="AB231" s="35">
        <f>(TA[[#This Row],[Work Start time on Fault]]-TA[[#This Row],[Fault Time]])*24</f>
        <v>0</v>
      </c>
      <c r="AC231" s="34">
        <f>(TA[[#This Row],[Work Completion time on fault]]-TA[[#This Row],[Fault Time]])*24</f>
        <v>0</v>
      </c>
      <c r="AD231" s="35">
        <f>IFERROR((TA[[#This Row],[Work Completion time on fault]]-TA[[#This Row],[Fault Time]])*24,"")</f>
        <v>0</v>
      </c>
      <c r="AE231" t="s">
        <v>328</v>
      </c>
      <c r="AF231" t="s">
        <v>256</v>
      </c>
      <c r="AG231" s="2"/>
      <c r="AH231" s="44">
        <f>1-COS(RADIANS(TA[[#This Row],[Avg. Target Angle during Fault Time (Radians)]]-TA[[#This Row],[Angle of affected equipment ]]))</f>
        <v>0.11705240714107301</v>
      </c>
      <c r="AI231" s="35">
        <f>IFERROR(TA[[#This Row],[Breakdown Time]]*TA[[#This Row],[Plant Equivalent Weightage]],"")</f>
        <v>0</v>
      </c>
    </row>
    <row r="232" spans="1:35">
      <c r="A232" s="2">
        <f t="shared" si="13"/>
        <v>229</v>
      </c>
      <c r="B232" s="156">
        <f t="shared" si="11"/>
        <v>2026</v>
      </c>
      <c r="C232" s="129">
        <f t="shared" si="12"/>
        <v>2025</v>
      </c>
      <c r="D232" s="2" t="s">
        <v>155</v>
      </c>
      <c r="E232" s="2" t="s">
        <v>155</v>
      </c>
      <c r="F232" s="39">
        <v>45748</v>
      </c>
      <c r="G232" s="2">
        <f>DAY(EOMONTH(TA[[#This Row],[Month Year]],0))</f>
        <v>30</v>
      </c>
      <c r="H232" s="21">
        <v>45760</v>
      </c>
      <c r="I232" s="41">
        <f>IFERROR(VLOOKUP(TA[[#This Row],[Date]],Raw_Data[[Date]:[Sunset Time (POA&lt;20 W/m2)]],3,0),"")</f>
        <v>0.26111111111111113</v>
      </c>
      <c r="J232" s="41">
        <f>IFERROR(VLOOKUP(TA[[#This Row],[Date]],Raw_Data[[Date]:[Sunset Time (POA&lt;20 W/m2)]],4,0),"")</f>
        <v>0.76388888888888884</v>
      </c>
      <c r="K232" s="35">
        <f>IFERROR((TA[[#This Row],[Sunset Time (POA&lt;20 W/m2)]]-TA[[#This Row],[Sunrise Time (POA&gt;20 W/m2)]])*24,"")</f>
        <v>12.066666666666666</v>
      </c>
      <c r="L232" s="2" t="s">
        <v>294</v>
      </c>
      <c r="M232" s="42">
        <f>IFERROR(VLOOKUP(TA[[#This Row],[Affected Equipment]],'Basic Data'!$I$2:$K$40,3,0),"")</f>
        <v>1.7241379310344799E-3</v>
      </c>
      <c r="N232">
        <v>-28</v>
      </c>
      <c r="O232" t="s">
        <v>135</v>
      </c>
      <c r="P232" s="127" t="s">
        <v>318</v>
      </c>
      <c r="Q232" s="126" t="s">
        <v>318</v>
      </c>
      <c r="R232">
        <v>131</v>
      </c>
      <c r="S232" s="2">
        <v>39</v>
      </c>
      <c r="T232" t="s">
        <v>295</v>
      </c>
      <c r="U232" t="s">
        <v>300</v>
      </c>
      <c r="V232" t="s">
        <v>298</v>
      </c>
      <c r="W232" s="41"/>
      <c r="X232" s="41"/>
      <c r="Y232" s="34"/>
      <c r="Z232" s="34"/>
      <c r="AA232" s="35">
        <f>IF(TA[[#This Row],[Work Start time on Fault]]="NA","",(TA[[#This Row],[Fault Acknowledgement Time ]]-TA[[#This Row],[Fault Time]])*24)</f>
        <v>0</v>
      </c>
      <c r="AB232" s="35">
        <f>(TA[[#This Row],[Work Start time on Fault]]-TA[[#This Row],[Fault Time]])*24</f>
        <v>0</v>
      </c>
      <c r="AC232" s="34">
        <f>(TA[[#This Row],[Work Completion time on fault]]-TA[[#This Row],[Fault Time]])*24</f>
        <v>0</v>
      </c>
      <c r="AD232" s="35">
        <f>IFERROR((TA[[#This Row],[Work Completion time on fault]]-TA[[#This Row],[Fault Time]])*24,"")</f>
        <v>0</v>
      </c>
      <c r="AE232" t="s">
        <v>328</v>
      </c>
      <c r="AF232" t="s">
        <v>256</v>
      </c>
      <c r="AG232" s="2"/>
      <c r="AH232" s="44">
        <f>1-COS(RADIANS(TA[[#This Row],[Avg. Target Angle during Fault Time (Radians)]]-TA[[#This Row],[Angle of affected equipment ]]))</f>
        <v>0.11705240714107301</v>
      </c>
      <c r="AI232" s="35">
        <f>IFERROR(TA[[#This Row],[Breakdown Time]]*TA[[#This Row],[Plant Equivalent Weightage]],"")</f>
        <v>0</v>
      </c>
    </row>
    <row r="233" spans="1:35">
      <c r="A233" s="2">
        <f t="shared" si="13"/>
        <v>230</v>
      </c>
      <c r="B233" s="156">
        <f t="shared" si="11"/>
        <v>2026</v>
      </c>
      <c r="C233" s="129">
        <f t="shared" si="12"/>
        <v>2025</v>
      </c>
      <c r="D233" s="2" t="s">
        <v>155</v>
      </c>
      <c r="E233" s="2" t="s">
        <v>155</v>
      </c>
      <c r="F233" s="39">
        <v>45748</v>
      </c>
      <c r="G233" s="2">
        <f>DAY(EOMONTH(TA[[#This Row],[Month Year]],0))</f>
        <v>30</v>
      </c>
      <c r="H233" s="21">
        <v>45760</v>
      </c>
      <c r="I233" s="41">
        <f>IFERROR(VLOOKUP(TA[[#This Row],[Date]],Raw_Data[[Date]:[Sunset Time (POA&lt;20 W/m2)]],3,0),"")</f>
        <v>0.26111111111111113</v>
      </c>
      <c r="J233" s="41">
        <f>IFERROR(VLOOKUP(TA[[#This Row],[Date]],Raw_Data[[Date]:[Sunset Time (POA&lt;20 W/m2)]],4,0),"")</f>
        <v>0.76388888888888884</v>
      </c>
      <c r="K233" s="35">
        <f>IFERROR((TA[[#This Row],[Sunset Time (POA&lt;20 W/m2)]]-TA[[#This Row],[Sunrise Time (POA&gt;20 W/m2)]])*24,"")</f>
        <v>12.066666666666666</v>
      </c>
      <c r="L233" s="2" t="s">
        <v>296</v>
      </c>
      <c r="M233" s="42">
        <f>IFERROR(VLOOKUP(TA[[#This Row],[Affected Equipment]],'Basic Data'!$I$2:$K$40,3,0),"")</f>
        <v>8.6206896551724102E-3</v>
      </c>
      <c r="N233">
        <v>-28</v>
      </c>
      <c r="O233" t="s">
        <v>135</v>
      </c>
      <c r="P233" s="127" t="s">
        <v>318</v>
      </c>
      <c r="Q233" s="2" t="s">
        <v>321</v>
      </c>
      <c r="R233">
        <v>133</v>
      </c>
      <c r="S233" s="2">
        <v>26</v>
      </c>
      <c r="T233" t="s">
        <v>297</v>
      </c>
      <c r="U233" t="s">
        <v>300</v>
      </c>
      <c r="V233" t="s">
        <v>314</v>
      </c>
      <c r="W233" s="41"/>
      <c r="X233" s="41"/>
      <c r="Y233" s="34"/>
      <c r="Z233" s="34"/>
      <c r="AA233" s="35">
        <f>IF(TA[[#This Row],[Work Start time on Fault]]="NA","",(TA[[#This Row],[Fault Acknowledgement Time ]]-TA[[#This Row],[Fault Time]])*24)</f>
        <v>0</v>
      </c>
      <c r="AB233" s="35">
        <f>(TA[[#This Row],[Work Start time on Fault]]-TA[[#This Row],[Fault Time]])*24</f>
        <v>0</v>
      </c>
      <c r="AC233" s="34">
        <f>(TA[[#This Row],[Work Completion time on fault]]-TA[[#This Row],[Fault Time]])*24</f>
        <v>0</v>
      </c>
      <c r="AD233" s="35">
        <f>IFERROR((TA[[#This Row],[Work Completion time on fault]]-TA[[#This Row],[Fault Time]])*24,"")</f>
        <v>0</v>
      </c>
      <c r="AE233" t="s">
        <v>328</v>
      </c>
      <c r="AF233" t="s">
        <v>256</v>
      </c>
      <c r="AG233" s="2"/>
      <c r="AH233" s="44">
        <f>1-COS(RADIANS(TA[[#This Row],[Avg. Target Angle during Fault Time (Radians)]]-TA[[#This Row],[Angle of affected equipment ]]))</f>
        <v>0.11705240714107301</v>
      </c>
      <c r="AI233" s="35">
        <f>IFERROR(TA[[#This Row],[Breakdown Time]]*TA[[#This Row],[Plant Equivalent Weightage]],"")</f>
        <v>0</v>
      </c>
    </row>
    <row r="234" spans="1:35">
      <c r="A234" s="2">
        <f t="shared" si="13"/>
        <v>231</v>
      </c>
      <c r="B234" s="156">
        <f t="shared" si="11"/>
        <v>2026</v>
      </c>
      <c r="C234" s="129">
        <f t="shared" si="12"/>
        <v>2025</v>
      </c>
      <c r="D234" s="2" t="s">
        <v>155</v>
      </c>
      <c r="E234" s="2" t="s">
        <v>155</v>
      </c>
      <c r="F234" s="39">
        <v>45748</v>
      </c>
      <c r="G234" s="2">
        <f>DAY(EOMONTH(TA[[#This Row],[Month Year]],0))</f>
        <v>30</v>
      </c>
      <c r="H234" s="21">
        <v>45760</v>
      </c>
      <c r="I234" s="41">
        <f>IFERROR(VLOOKUP(TA[[#This Row],[Date]],Raw_Data[[Date]:[Sunset Time (POA&lt;20 W/m2)]],3,0),"")</f>
        <v>0.26111111111111113</v>
      </c>
      <c r="J234" s="41">
        <f>IFERROR(VLOOKUP(TA[[#This Row],[Date]],Raw_Data[[Date]:[Sunset Time (POA&lt;20 W/m2)]],4,0),"")</f>
        <v>0.76388888888888884</v>
      </c>
      <c r="K234" s="35">
        <f>IFERROR((TA[[#This Row],[Sunset Time (POA&lt;20 W/m2)]]-TA[[#This Row],[Sunrise Time (POA&gt;20 W/m2)]])*24,"")</f>
        <v>12.066666666666666</v>
      </c>
      <c r="L234" s="2" t="s">
        <v>294</v>
      </c>
      <c r="M234" s="42">
        <f>IFERROR(VLOOKUP(TA[[#This Row],[Affected Equipment]],'Basic Data'!$I$2:$K$40,3,0),"")</f>
        <v>1.7241379310344799E-3</v>
      </c>
      <c r="N234">
        <v>-28</v>
      </c>
      <c r="O234" t="s">
        <v>133</v>
      </c>
      <c r="P234" s="127" t="s">
        <v>316</v>
      </c>
      <c r="Q234" s="126" t="s">
        <v>317</v>
      </c>
      <c r="R234">
        <v>7</v>
      </c>
      <c r="S234" s="2">
        <v>32</v>
      </c>
      <c r="T234" t="s">
        <v>295</v>
      </c>
      <c r="U234" t="s">
        <v>300</v>
      </c>
      <c r="V234" t="s">
        <v>298</v>
      </c>
      <c r="W234" s="41"/>
      <c r="X234" s="41"/>
      <c r="Y234" s="34"/>
      <c r="Z234" s="34"/>
      <c r="AA234" s="35">
        <f>IF(TA[[#This Row],[Work Start time on Fault]]="NA","",(TA[[#This Row],[Fault Acknowledgement Time ]]-TA[[#This Row],[Fault Time]])*24)</f>
        <v>0</v>
      </c>
      <c r="AB234" s="35">
        <f>(TA[[#This Row],[Work Start time on Fault]]-TA[[#This Row],[Fault Time]])*24</f>
        <v>0</v>
      </c>
      <c r="AC234" s="34">
        <f>(TA[[#This Row],[Work Completion time on fault]]-TA[[#This Row],[Fault Time]])*24</f>
        <v>0</v>
      </c>
      <c r="AD234" s="35">
        <f>IFERROR((TA[[#This Row],[Work Completion time on fault]]-TA[[#This Row],[Fault Time]])*24,"")</f>
        <v>0</v>
      </c>
      <c r="AE234" t="s">
        <v>328</v>
      </c>
      <c r="AF234" t="s">
        <v>256</v>
      </c>
      <c r="AG234" s="2"/>
      <c r="AH234" s="44">
        <f>1-COS(RADIANS(TA[[#This Row],[Avg. Target Angle during Fault Time (Radians)]]-TA[[#This Row],[Angle of affected equipment ]]))</f>
        <v>0.11705240714107301</v>
      </c>
      <c r="AI234" s="35">
        <f>IFERROR(TA[[#This Row],[Breakdown Time]]*TA[[#This Row],[Plant Equivalent Weightage]],"")</f>
        <v>0</v>
      </c>
    </row>
    <row r="235" spans="1:35">
      <c r="A235" s="2">
        <f t="shared" si="13"/>
        <v>232</v>
      </c>
      <c r="B235" s="156">
        <f t="shared" si="11"/>
        <v>2026</v>
      </c>
      <c r="C235" s="129">
        <f t="shared" si="12"/>
        <v>2025</v>
      </c>
      <c r="D235" s="2" t="s">
        <v>155</v>
      </c>
      <c r="E235" s="2" t="s">
        <v>155</v>
      </c>
      <c r="F235" s="39">
        <v>45748</v>
      </c>
      <c r="G235" s="2">
        <f>DAY(EOMONTH(TA[[#This Row],[Month Year]],0))</f>
        <v>30</v>
      </c>
      <c r="H235" s="21">
        <v>45760</v>
      </c>
      <c r="I235" s="41">
        <f>IFERROR(VLOOKUP(TA[[#This Row],[Date]],Raw_Data[[Date]:[Sunset Time (POA&lt;20 W/m2)]],3,0),"")</f>
        <v>0.26111111111111113</v>
      </c>
      <c r="J235" s="41">
        <f>IFERROR(VLOOKUP(TA[[#This Row],[Date]],Raw_Data[[Date]:[Sunset Time (POA&lt;20 W/m2)]],4,0),"")</f>
        <v>0.76388888888888884</v>
      </c>
      <c r="K235" s="35">
        <f>IFERROR((TA[[#This Row],[Sunset Time (POA&lt;20 W/m2)]]-TA[[#This Row],[Sunrise Time (POA&gt;20 W/m2)]])*24,"")</f>
        <v>12.066666666666666</v>
      </c>
      <c r="L235" s="2" t="s">
        <v>294</v>
      </c>
      <c r="M235" s="42">
        <f>IFERROR(VLOOKUP(TA[[#This Row],[Affected Equipment]],'Basic Data'!$I$2:$K$40,3,0),"")</f>
        <v>1.7241379310344799E-3</v>
      </c>
      <c r="N235">
        <v>-28</v>
      </c>
      <c r="O235" t="s">
        <v>137</v>
      </c>
      <c r="P235" s="127" t="s">
        <v>315</v>
      </c>
      <c r="Q235" s="126" t="s">
        <v>319</v>
      </c>
      <c r="R235">
        <v>166</v>
      </c>
      <c r="S235" s="2">
        <v>91</v>
      </c>
      <c r="T235" t="s">
        <v>295</v>
      </c>
      <c r="U235" t="s">
        <v>300</v>
      </c>
      <c r="V235" t="s">
        <v>298</v>
      </c>
      <c r="W235" s="41"/>
      <c r="X235" s="41"/>
      <c r="Y235" s="34"/>
      <c r="Z235" s="34"/>
      <c r="AA235" s="35">
        <f>IF(TA[[#This Row],[Work Start time on Fault]]="NA","",(TA[[#This Row],[Fault Acknowledgement Time ]]-TA[[#This Row],[Fault Time]])*24)</f>
        <v>0</v>
      </c>
      <c r="AB235" s="35">
        <f>(TA[[#This Row],[Work Start time on Fault]]-TA[[#This Row],[Fault Time]])*24</f>
        <v>0</v>
      </c>
      <c r="AC235" s="34">
        <f>(TA[[#This Row],[Work Completion time on fault]]-TA[[#This Row],[Fault Time]])*24</f>
        <v>0</v>
      </c>
      <c r="AD235" s="35">
        <f>IFERROR((TA[[#This Row],[Work Completion time on fault]]-TA[[#This Row],[Fault Time]])*24,"")</f>
        <v>0</v>
      </c>
      <c r="AE235" t="s">
        <v>328</v>
      </c>
      <c r="AF235" t="s">
        <v>256</v>
      </c>
      <c r="AG235" s="2"/>
      <c r="AH235" s="44">
        <f>1-COS(RADIANS(TA[[#This Row],[Avg. Target Angle during Fault Time (Radians)]]-TA[[#This Row],[Angle of affected equipment ]]))</f>
        <v>0.11705240714107301</v>
      </c>
      <c r="AI235" s="35">
        <f>IFERROR(TA[[#This Row],[Breakdown Time]]*TA[[#This Row],[Plant Equivalent Weightage]],"")</f>
        <v>0</v>
      </c>
    </row>
    <row r="236" spans="1:35">
      <c r="A236" s="2">
        <f t="shared" si="13"/>
        <v>233</v>
      </c>
      <c r="B236" s="156">
        <f t="shared" si="11"/>
        <v>2026</v>
      </c>
      <c r="C236" s="129">
        <f t="shared" si="12"/>
        <v>2025</v>
      </c>
      <c r="D236" s="2" t="s">
        <v>155</v>
      </c>
      <c r="E236" s="2" t="s">
        <v>155</v>
      </c>
      <c r="F236" s="39">
        <v>45748</v>
      </c>
      <c r="G236" s="2">
        <f>DAY(EOMONTH(TA[[#This Row],[Month Year]],0))</f>
        <v>30</v>
      </c>
      <c r="H236" s="21">
        <v>45760</v>
      </c>
      <c r="I236" s="41">
        <f>IFERROR(VLOOKUP(TA[[#This Row],[Date]],Raw_Data[[Date]:[Sunset Time (POA&lt;20 W/m2)]],3,0),"")</f>
        <v>0.26111111111111113</v>
      </c>
      <c r="J236" s="41">
        <f>IFERROR(VLOOKUP(TA[[#This Row],[Date]],Raw_Data[[Date]:[Sunset Time (POA&lt;20 W/m2)]],4,0),"")</f>
        <v>0.76388888888888884</v>
      </c>
      <c r="K236" s="35">
        <f>IFERROR((TA[[#This Row],[Sunset Time (POA&lt;20 W/m2)]]-TA[[#This Row],[Sunrise Time (POA&gt;20 W/m2)]])*24,"")</f>
        <v>12.066666666666666</v>
      </c>
      <c r="L236" s="2" t="s">
        <v>294</v>
      </c>
      <c r="M236" s="42">
        <f>IFERROR(VLOOKUP(TA[[#This Row],[Affected Equipment]],'Basic Data'!$I$2:$K$40,3,0),"")</f>
        <v>1.7241379310344799E-3</v>
      </c>
      <c r="N236">
        <v>-28</v>
      </c>
      <c r="O236" t="s">
        <v>133</v>
      </c>
      <c r="P236" s="127" t="s">
        <v>316</v>
      </c>
      <c r="Q236" s="126" t="s">
        <v>316</v>
      </c>
      <c r="R236">
        <v>117</v>
      </c>
      <c r="S236" s="2">
        <v>20</v>
      </c>
      <c r="T236" t="s">
        <v>295</v>
      </c>
      <c r="U236" t="s">
        <v>300</v>
      </c>
      <c r="V236" t="s">
        <v>298</v>
      </c>
      <c r="W236" s="41"/>
      <c r="X236" s="41"/>
      <c r="Y236" s="34"/>
      <c r="Z236" s="34"/>
      <c r="AA236" s="35">
        <f>IF(TA[[#This Row],[Work Start time on Fault]]="NA","",(TA[[#This Row],[Fault Acknowledgement Time ]]-TA[[#This Row],[Fault Time]])*24)</f>
        <v>0</v>
      </c>
      <c r="AB236" s="35">
        <f>(TA[[#This Row],[Work Start time on Fault]]-TA[[#This Row],[Fault Time]])*24</f>
        <v>0</v>
      </c>
      <c r="AC236" s="34">
        <f>(TA[[#This Row],[Work Completion time on fault]]-TA[[#This Row],[Fault Time]])*24</f>
        <v>0</v>
      </c>
      <c r="AD236" s="35">
        <f>IFERROR((TA[[#This Row],[Work Completion time on fault]]-TA[[#This Row],[Fault Time]])*24,"")</f>
        <v>0</v>
      </c>
      <c r="AE236" t="s">
        <v>328</v>
      </c>
      <c r="AF236" t="s">
        <v>256</v>
      </c>
      <c r="AG236" s="2"/>
      <c r="AH236" s="44">
        <f>1-COS(RADIANS(TA[[#This Row],[Avg. Target Angle during Fault Time (Radians)]]-TA[[#This Row],[Angle of affected equipment ]]))</f>
        <v>0.11705240714107301</v>
      </c>
      <c r="AI236" s="35">
        <f>IFERROR(TA[[#This Row],[Breakdown Time]]*TA[[#This Row],[Plant Equivalent Weightage]],"")</f>
        <v>0</v>
      </c>
    </row>
    <row r="237" spans="1:35">
      <c r="A237" s="2">
        <f t="shared" si="13"/>
        <v>234</v>
      </c>
      <c r="B237" s="156">
        <f t="shared" si="11"/>
        <v>2026</v>
      </c>
      <c r="C237" s="129">
        <f t="shared" si="12"/>
        <v>2025</v>
      </c>
      <c r="D237" s="2" t="s">
        <v>155</v>
      </c>
      <c r="E237" s="2" t="s">
        <v>155</v>
      </c>
      <c r="F237" s="39">
        <v>45748</v>
      </c>
      <c r="G237" s="2">
        <f>DAY(EOMONTH(TA[[#This Row],[Month Year]],0))</f>
        <v>30</v>
      </c>
      <c r="H237" s="21">
        <v>45760</v>
      </c>
      <c r="I237" s="41">
        <f>IFERROR(VLOOKUP(TA[[#This Row],[Date]],Raw_Data[[Date]:[Sunset Time (POA&lt;20 W/m2)]],3,0),"")</f>
        <v>0.26111111111111113</v>
      </c>
      <c r="J237" s="41">
        <f>IFERROR(VLOOKUP(TA[[#This Row],[Date]],Raw_Data[[Date]:[Sunset Time (POA&lt;20 W/m2)]],4,0),"")</f>
        <v>0.76388888888888884</v>
      </c>
      <c r="K237" s="35">
        <f>IFERROR((TA[[#This Row],[Sunset Time (POA&lt;20 W/m2)]]-TA[[#This Row],[Sunrise Time (POA&gt;20 W/m2)]])*24,"")</f>
        <v>12.066666666666666</v>
      </c>
      <c r="L237" s="2" t="s">
        <v>294</v>
      </c>
      <c r="M237" s="42">
        <f>IFERROR(VLOOKUP(TA[[#This Row],[Affected Equipment]],'Basic Data'!$I$2:$K$40,3,0),"")</f>
        <v>1.7241379310344799E-3</v>
      </c>
      <c r="N237">
        <v>-28</v>
      </c>
      <c r="O237" t="s">
        <v>133</v>
      </c>
      <c r="P237" s="127" t="s">
        <v>316</v>
      </c>
      <c r="Q237" s="126" t="s">
        <v>316</v>
      </c>
      <c r="R237">
        <v>118</v>
      </c>
      <c r="S237" s="2">
        <v>22</v>
      </c>
      <c r="T237" t="s">
        <v>295</v>
      </c>
      <c r="U237" t="s">
        <v>300</v>
      </c>
      <c r="V237" t="s">
        <v>298</v>
      </c>
      <c r="W237" s="41"/>
      <c r="X237" s="41"/>
      <c r="Y237" s="34"/>
      <c r="Z237" s="34"/>
      <c r="AA237" s="35">
        <f>IF(TA[[#This Row],[Work Start time on Fault]]="NA","",(TA[[#This Row],[Fault Acknowledgement Time ]]-TA[[#This Row],[Fault Time]])*24)</f>
        <v>0</v>
      </c>
      <c r="AB237" s="35">
        <f>(TA[[#This Row],[Work Start time on Fault]]-TA[[#This Row],[Fault Time]])*24</f>
        <v>0</v>
      </c>
      <c r="AC237" s="34">
        <f>(TA[[#This Row],[Work Completion time on fault]]-TA[[#This Row],[Fault Time]])*24</f>
        <v>0</v>
      </c>
      <c r="AD237" s="35">
        <f>IFERROR((TA[[#This Row],[Work Completion time on fault]]-TA[[#This Row],[Fault Time]])*24,"")</f>
        <v>0</v>
      </c>
      <c r="AE237" t="s">
        <v>328</v>
      </c>
      <c r="AF237" t="s">
        <v>256</v>
      </c>
      <c r="AG237" s="2"/>
      <c r="AH237" s="44">
        <f>1-COS(RADIANS(TA[[#This Row],[Avg. Target Angle during Fault Time (Radians)]]-TA[[#This Row],[Angle of affected equipment ]]))</f>
        <v>0.11705240714107301</v>
      </c>
      <c r="AI237" s="35">
        <f>IFERROR(TA[[#This Row],[Breakdown Time]]*TA[[#This Row],[Plant Equivalent Weightage]],"")</f>
        <v>0</v>
      </c>
    </row>
    <row r="238" spans="1:35">
      <c r="A238" s="2">
        <f t="shared" si="13"/>
        <v>235</v>
      </c>
      <c r="B238" s="156">
        <f t="shared" si="11"/>
        <v>2026</v>
      </c>
      <c r="C238" s="129">
        <f t="shared" si="12"/>
        <v>2025</v>
      </c>
      <c r="D238" s="2" t="s">
        <v>155</v>
      </c>
      <c r="E238" s="2" t="s">
        <v>155</v>
      </c>
      <c r="F238" s="39">
        <v>45748</v>
      </c>
      <c r="G238" s="2">
        <f>DAY(EOMONTH(TA[[#This Row],[Month Year]],0))</f>
        <v>30</v>
      </c>
      <c r="H238" s="21">
        <v>45760</v>
      </c>
      <c r="I238" s="41">
        <f>IFERROR(VLOOKUP(TA[[#This Row],[Date]],Raw_Data[[Date]:[Sunset Time (POA&lt;20 W/m2)]],3,0),"")</f>
        <v>0.26111111111111113</v>
      </c>
      <c r="J238" s="41">
        <f>IFERROR(VLOOKUP(TA[[#This Row],[Date]],Raw_Data[[Date]:[Sunset Time (POA&lt;20 W/m2)]],4,0),"")</f>
        <v>0.76388888888888884</v>
      </c>
      <c r="K238" s="35">
        <f>IFERROR((TA[[#This Row],[Sunset Time (POA&lt;20 W/m2)]]-TA[[#This Row],[Sunrise Time (POA&gt;20 W/m2)]])*24,"")</f>
        <v>12.066666666666666</v>
      </c>
      <c r="L238" s="2" t="s">
        <v>296</v>
      </c>
      <c r="M238" s="42">
        <f>IFERROR(VLOOKUP(TA[[#This Row],[Affected Equipment]],'Basic Data'!$I$2:$K$40,3,0),"")</f>
        <v>8.6206896551724102E-3</v>
      </c>
      <c r="N238">
        <v>-28</v>
      </c>
      <c r="O238" t="s">
        <v>135</v>
      </c>
      <c r="P238" s="22" t="s">
        <v>323</v>
      </c>
      <c r="Q238" s="2" t="s">
        <v>329</v>
      </c>
      <c r="R238">
        <v>45</v>
      </c>
      <c r="S238" s="2">
        <v>8</v>
      </c>
      <c r="T238" t="s">
        <v>297</v>
      </c>
      <c r="U238" t="s">
        <v>326</v>
      </c>
      <c r="V238" t="s">
        <v>301</v>
      </c>
      <c r="W238" s="41">
        <f>IFERROR(VLOOKUP(TA[[#This Row],[Date]],Raw_Data[[Date]:[Sunset Time (POA&lt;20 W/m2)]],3,0),"")</f>
        <v>0.26111111111111113</v>
      </c>
      <c r="X238" s="41">
        <f>IFERROR(VLOOKUP(TA[[#This Row],[Date]],Raw_Data[[Date]:[Sunset Time (POA&lt;20 W/m2)]],3,0),"")</f>
        <v>0.26111111111111113</v>
      </c>
      <c r="Y238" s="34"/>
      <c r="Z238" s="34">
        <v>0.76041666666666663</v>
      </c>
      <c r="AA238" s="35">
        <f>IF(TA[[#This Row],[Work Start time on Fault]]="NA","",(TA[[#This Row],[Fault Acknowledgement Time ]]-TA[[#This Row],[Fault Time]])*24)</f>
        <v>0</v>
      </c>
      <c r="AB238" s="35">
        <f>(TA[[#This Row],[Work Start time on Fault]]-TA[[#This Row],[Fault Time]])*24</f>
        <v>-6.2666666666666675</v>
      </c>
      <c r="AC238" s="34">
        <f>(TA[[#This Row],[Work Completion time on fault]]-TA[[#This Row],[Fault Time]])*24</f>
        <v>11.983333333333333</v>
      </c>
      <c r="AD238" s="35">
        <f>IFERROR((TA[[#This Row],[Work Completion time on fault]]-TA[[#This Row],[Fault Time]])*24,"")</f>
        <v>11.983333333333333</v>
      </c>
      <c r="AE238" t="s">
        <v>309</v>
      </c>
      <c r="AF238" t="s">
        <v>256</v>
      </c>
      <c r="AG238" s="2"/>
      <c r="AH238" s="44">
        <f>1-COS(RADIANS(TA[[#This Row],[Avg. Target Angle during Fault Time (Radians)]]-TA[[#This Row],[Angle of affected equipment ]]))</f>
        <v>0.11705240714107301</v>
      </c>
      <c r="AI238" s="35">
        <f>IFERROR(TA[[#This Row],[Breakdown Time]]*TA[[#This Row],[Plant Equivalent Weightage]],"")</f>
        <v>0.10330459770114937</v>
      </c>
    </row>
    <row r="239" spans="1:35">
      <c r="A239" s="2">
        <f t="shared" si="13"/>
        <v>236</v>
      </c>
      <c r="B239" s="156">
        <f t="shared" si="11"/>
        <v>2026</v>
      </c>
      <c r="C239" s="129">
        <f t="shared" si="12"/>
        <v>2025</v>
      </c>
      <c r="D239" s="2" t="s">
        <v>155</v>
      </c>
      <c r="E239" s="2" t="s">
        <v>155</v>
      </c>
      <c r="F239" s="39">
        <v>45748</v>
      </c>
      <c r="G239" s="2">
        <f>DAY(EOMONTH(TA[[#This Row],[Month Year]],0))</f>
        <v>30</v>
      </c>
      <c r="H239" s="21">
        <v>45760</v>
      </c>
      <c r="I239" s="41">
        <f>IFERROR(VLOOKUP(TA[[#This Row],[Date]],Raw_Data[[Date]:[Sunset Time (POA&lt;20 W/m2)]],3,0),"")</f>
        <v>0.26111111111111113</v>
      </c>
      <c r="J239" s="41">
        <f>IFERROR(VLOOKUP(TA[[#This Row],[Date]],Raw_Data[[Date]:[Sunset Time (POA&lt;20 W/m2)]],4,0),"")</f>
        <v>0.76388888888888884</v>
      </c>
      <c r="K239" s="35">
        <f>IFERROR((TA[[#This Row],[Sunset Time (POA&lt;20 W/m2)]]-TA[[#This Row],[Sunrise Time (POA&gt;20 W/m2)]])*24,"")</f>
        <v>12.066666666666666</v>
      </c>
      <c r="L239" s="2" t="s">
        <v>296</v>
      </c>
      <c r="M239" s="42">
        <f>IFERROR(VLOOKUP(TA[[#This Row],[Affected Equipment]],'Basic Data'!$I$2:$K$40,3,0),"")</f>
        <v>8.6206896551724102E-3</v>
      </c>
      <c r="N239">
        <v>-28</v>
      </c>
      <c r="O239" t="s">
        <v>135</v>
      </c>
      <c r="P239" s="22" t="s">
        <v>323</v>
      </c>
      <c r="Q239" s="2" t="s">
        <v>329</v>
      </c>
      <c r="R239">
        <v>47</v>
      </c>
      <c r="S239" s="2">
        <v>18</v>
      </c>
      <c r="T239" t="s">
        <v>297</v>
      </c>
      <c r="U239" t="s">
        <v>326</v>
      </c>
      <c r="V239" t="s">
        <v>301</v>
      </c>
      <c r="W239" s="41">
        <f>IFERROR(VLOOKUP(TA[[#This Row],[Date]],Raw_Data[[Date]:[Sunset Time (POA&lt;20 W/m2)]],3,0),"")</f>
        <v>0.26111111111111113</v>
      </c>
      <c r="X239" s="41">
        <f>IFERROR(VLOOKUP(TA[[#This Row],[Date]],Raw_Data[[Date]:[Sunset Time (POA&lt;20 W/m2)]],3,0),"")</f>
        <v>0.26111111111111113</v>
      </c>
      <c r="Y239" s="34"/>
      <c r="Z239" s="34">
        <v>0.76041666666666663</v>
      </c>
      <c r="AA239" s="35">
        <f>IF(TA[[#This Row],[Work Start time on Fault]]="NA","",(TA[[#This Row],[Fault Acknowledgement Time ]]-TA[[#This Row],[Fault Time]])*24)</f>
        <v>0</v>
      </c>
      <c r="AB239" s="35">
        <f>(TA[[#This Row],[Work Start time on Fault]]-TA[[#This Row],[Fault Time]])*24</f>
        <v>-6.2666666666666675</v>
      </c>
      <c r="AC239" s="34">
        <f>(TA[[#This Row],[Work Completion time on fault]]-TA[[#This Row],[Fault Time]])*24</f>
        <v>11.983333333333333</v>
      </c>
      <c r="AD239" s="35">
        <f>IFERROR((TA[[#This Row],[Work Completion time on fault]]-TA[[#This Row],[Fault Time]])*24,"")</f>
        <v>11.983333333333333</v>
      </c>
      <c r="AE239" t="s">
        <v>309</v>
      </c>
      <c r="AF239" t="s">
        <v>256</v>
      </c>
      <c r="AG239" s="2"/>
      <c r="AH239" s="44">
        <f>1-COS(RADIANS(TA[[#This Row],[Avg. Target Angle during Fault Time (Radians)]]-TA[[#This Row],[Angle of affected equipment ]]))</f>
        <v>0.11705240714107301</v>
      </c>
      <c r="AI239" s="35">
        <f>IFERROR(TA[[#This Row],[Breakdown Time]]*TA[[#This Row],[Plant Equivalent Weightage]],"")</f>
        <v>0.10330459770114937</v>
      </c>
    </row>
    <row r="240" spans="1:35">
      <c r="A240" s="2">
        <f t="shared" si="13"/>
        <v>237</v>
      </c>
      <c r="B240" s="156">
        <f t="shared" si="11"/>
        <v>2026</v>
      </c>
      <c r="C240" s="129">
        <f t="shared" si="12"/>
        <v>2025</v>
      </c>
      <c r="D240" s="2" t="s">
        <v>155</v>
      </c>
      <c r="E240" s="2" t="s">
        <v>155</v>
      </c>
      <c r="F240" s="39">
        <v>45748</v>
      </c>
      <c r="G240" s="2">
        <f>DAY(EOMONTH(TA[[#This Row],[Month Year]],0))</f>
        <v>30</v>
      </c>
      <c r="H240" s="21">
        <v>45760</v>
      </c>
      <c r="I240" s="41">
        <f>IFERROR(VLOOKUP(TA[[#This Row],[Date]],Raw_Data[[Date]:[Sunset Time (POA&lt;20 W/m2)]],3,0),"")</f>
        <v>0.26111111111111113</v>
      </c>
      <c r="J240" s="41">
        <f>IFERROR(VLOOKUP(TA[[#This Row],[Date]],Raw_Data[[Date]:[Sunset Time (POA&lt;20 W/m2)]],4,0),"")</f>
        <v>0.76388888888888884</v>
      </c>
      <c r="K240" s="35">
        <f>IFERROR((TA[[#This Row],[Sunset Time (POA&lt;20 W/m2)]]-TA[[#This Row],[Sunrise Time (POA&gt;20 W/m2)]])*24,"")</f>
        <v>12.066666666666666</v>
      </c>
      <c r="L240" s="2" t="s">
        <v>296</v>
      </c>
      <c r="M240" s="42">
        <f>IFERROR(VLOOKUP(TA[[#This Row],[Affected Equipment]],'Basic Data'!$I$2:$K$40,3,0),"")</f>
        <v>8.6206896551724102E-3</v>
      </c>
      <c r="N240">
        <v>-28</v>
      </c>
      <c r="O240" t="s">
        <v>134</v>
      </c>
      <c r="P240" s="22" t="s">
        <v>330</v>
      </c>
      <c r="Q240" s="2" t="s">
        <v>323</v>
      </c>
      <c r="R240">
        <v>30</v>
      </c>
      <c r="S240" s="2">
        <v>57</v>
      </c>
      <c r="T240" t="s">
        <v>297</v>
      </c>
      <c r="U240" t="s">
        <v>326</v>
      </c>
      <c r="V240" t="s">
        <v>301</v>
      </c>
      <c r="W240" s="41">
        <f>IFERROR(VLOOKUP(TA[[#This Row],[Date]],Raw_Data[[Date]:[Sunset Time (POA&lt;20 W/m2)]],3,0),"")</f>
        <v>0.26111111111111113</v>
      </c>
      <c r="X240" s="41">
        <f>IFERROR(VLOOKUP(TA[[#This Row],[Date]],Raw_Data[[Date]:[Sunset Time (POA&lt;20 W/m2)]],3,0),"")</f>
        <v>0.26111111111111113</v>
      </c>
      <c r="Y240" s="34"/>
      <c r="Z240" s="34">
        <v>0.76041666666666663</v>
      </c>
      <c r="AA240" s="35">
        <f>IF(TA[[#This Row],[Work Start time on Fault]]="NA","",(TA[[#This Row],[Fault Acknowledgement Time ]]-TA[[#This Row],[Fault Time]])*24)</f>
        <v>0</v>
      </c>
      <c r="AB240" s="35">
        <f>(TA[[#This Row],[Work Start time on Fault]]-TA[[#This Row],[Fault Time]])*24</f>
        <v>-6.2666666666666675</v>
      </c>
      <c r="AC240" s="34">
        <f>(TA[[#This Row],[Work Completion time on fault]]-TA[[#This Row],[Fault Time]])*24</f>
        <v>11.983333333333333</v>
      </c>
      <c r="AD240" s="35">
        <f>IFERROR((TA[[#This Row],[Work Completion time on fault]]-TA[[#This Row],[Fault Time]])*24,"")</f>
        <v>11.983333333333333</v>
      </c>
      <c r="AE240" t="s">
        <v>309</v>
      </c>
      <c r="AF240" t="s">
        <v>256</v>
      </c>
      <c r="AG240" s="2"/>
      <c r="AH240" s="44">
        <f>1-COS(RADIANS(TA[[#This Row],[Avg. Target Angle during Fault Time (Radians)]]-TA[[#This Row],[Angle of affected equipment ]]))</f>
        <v>0.11705240714107301</v>
      </c>
      <c r="AI240" s="35">
        <f>IFERROR(TA[[#This Row],[Breakdown Time]]*TA[[#This Row],[Plant Equivalent Weightage]],"")</f>
        <v>0.10330459770114937</v>
      </c>
    </row>
    <row r="241" spans="1:35">
      <c r="A241" s="2">
        <f t="shared" si="13"/>
        <v>238</v>
      </c>
      <c r="B241" s="156">
        <f t="shared" si="11"/>
        <v>2026</v>
      </c>
      <c r="C241" s="129">
        <f t="shared" si="12"/>
        <v>2025</v>
      </c>
      <c r="D241" s="2" t="s">
        <v>155</v>
      </c>
      <c r="E241" s="2" t="s">
        <v>155</v>
      </c>
      <c r="F241" s="39">
        <v>45748</v>
      </c>
      <c r="G241" s="2">
        <f>DAY(EOMONTH(TA[[#This Row],[Month Year]],0))</f>
        <v>30</v>
      </c>
      <c r="H241" s="21">
        <v>45760</v>
      </c>
      <c r="I241" s="41">
        <f>IFERROR(VLOOKUP(TA[[#This Row],[Date]],Raw_Data[[Date]:[Sunset Time (POA&lt;20 W/m2)]],3,0),"")</f>
        <v>0.26111111111111113</v>
      </c>
      <c r="J241" s="41">
        <f>IFERROR(VLOOKUP(TA[[#This Row],[Date]],Raw_Data[[Date]:[Sunset Time (POA&lt;20 W/m2)]],4,0),"")</f>
        <v>0.76388888888888884</v>
      </c>
      <c r="K241" s="35">
        <f>IFERROR((TA[[#This Row],[Sunset Time (POA&lt;20 W/m2)]]-TA[[#This Row],[Sunrise Time (POA&gt;20 W/m2)]])*24,"")</f>
        <v>12.066666666666666</v>
      </c>
      <c r="L241" s="2" t="s">
        <v>296</v>
      </c>
      <c r="M241" s="42">
        <f>IFERROR(VLOOKUP(TA[[#This Row],[Affected Equipment]],'Basic Data'!$I$2:$K$40,3,0),"")</f>
        <v>8.6206896551724102E-3</v>
      </c>
      <c r="N241">
        <v>-28</v>
      </c>
      <c r="O241" t="s">
        <v>134</v>
      </c>
      <c r="P241" s="22" t="s">
        <v>330</v>
      </c>
      <c r="Q241" s="2" t="s">
        <v>323</v>
      </c>
      <c r="R241">
        <v>31</v>
      </c>
      <c r="S241" s="2">
        <v>61</v>
      </c>
      <c r="T241" t="s">
        <v>297</v>
      </c>
      <c r="U241" t="s">
        <v>326</v>
      </c>
      <c r="V241" t="s">
        <v>301</v>
      </c>
      <c r="W241" s="41">
        <f>IFERROR(VLOOKUP(TA[[#This Row],[Date]],Raw_Data[[Date]:[Sunset Time (POA&lt;20 W/m2)]],3,0),"")</f>
        <v>0.26111111111111113</v>
      </c>
      <c r="X241" s="41">
        <f>IFERROR(VLOOKUP(TA[[#This Row],[Date]],Raw_Data[[Date]:[Sunset Time (POA&lt;20 W/m2)]],3,0),"")</f>
        <v>0.26111111111111113</v>
      </c>
      <c r="Y241" s="34"/>
      <c r="Z241" s="34">
        <v>0.76041666666666663</v>
      </c>
      <c r="AA241" s="35">
        <f>IF(TA[[#This Row],[Work Start time on Fault]]="NA","",(TA[[#This Row],[Fault Acknowledgement Time ]]-TA[[#This Row],[Fault Time]])*24)</f>
        <v>0</v>
      </c>
      <c r="AB241" s="35">
        <f>(TA[[#This Row],[Work Start time on Fault]]-TA[[#This Row],[Fault Time]])*24</f>
        <v>-6.2666666666666675</v>
      </c>
      <c r="AC241" s="34">
        <f>(TA[[#This Row],[Work Completion time on fault]]-TA[[#This Row],[Fault Time]])*24</f>
        <v>11.983333333333333</v>
      </c>
      <c r="AD241" s="35">
        <f>IFERROR((TA[[#This Row],[Work Completion time on fault]]-TA[[#This Row],[Fault Time]])*24,"")</f>
        <v>11.983333333333333</v>
      </c>
      <c r="AE241" t="s">
        <v>309</v>
      </c>
      <c r="AF241" t="s">
        <v>256</v>
      </c>
      <c r="AG241" s="2"/>
      <c r="AH241" s="44">
        <f>1-COS(RADIANS(TA[[#This Row],[Avg. Target Angle during Fault Time (Radians)]]-TA[[#This Row],[Angle of affected equipment ]]))</f>
        <v>0.11705240714107301</v>
      </c>
      <c r="AI241" s="35">
        <f>IFERROR(TA[[#This Row],[Breakdown Time]]*TA[[#This Row],[Plant Equivalent Weightage]],"")</f>
        <v>0.10330459770114937</v>
      </c>
    </row>
    <row r="242" spans="1:35">
      <c r="A242" s="2">
        <f t="shared" si="13"/>
        <v>239</v>
      </c>
      <c r="B242" s="156">
        <f t="shared" si="11"/>
        <v>2026</v>
      </c>
      <c r="C242" s="129">
        <f t="shared" si="12"/>
        <v>2025</v>
      </c>
      <c r="D242" s="2" t="s">
        <v>155</v>
      </c>
      <c r="E242" s="2" t="s">
        <v>155</v>
      </c>
      <c r="F242" s="39">
        <v>45748</v>
      </c>
      <c r="G242" s="2">
        <f>DAY(EOMONTH(TA[[#This Row],[Month Year]],0))</f>
        <v>30</v>
      </c>
      <c r="H242" s="21">
        <v>45760</v>
      </c>
      <c r="I242" s="41">
        <f>IFERROR(VLOOKUP(TA[[#This Row],[Date]],Raw_Data[[Date]:[Sunset Time (POA&lt;20 W/m2)]],3,0),"")</f>
        <v>0.26111111111111113</v>
      </c>
      <c r="J242" s="41">
        <f>IFERROR(VLOOKUP(TA[[#This Row],[Date]],Raw_Data[[Date]:[Sunset Time (POA&lt;20 W/m2)]],4,0),"")</f>
        <v>0.76388888888888884</v>
      </c>
      <c r="K242" s="35">
        <f>IFERROR((TA[[#This Row],[Sunset Time (POA&lt;20 W/m2)]]-TA[[#This Row],[Sunrise Time (POA&gt;20 W/m2)]])*24,"")</f>
        <v>12.066666666666666</v>
      </c>
      <c r="L242" s="2" t="s">
        <v>312</v>
      </c>
      <c r="M242" s="42">
        <f>IFERROR(VLOOKUP(TA[[#This Row],[Affected Equipment]],'Basic Data'!$I$2:$K$40,3,0),"")</f>
        <v>5.74712643678161E-3</v>
      </c>
      <c r="N242">
        <v>-28</v>
      </c>
      <c r="O242" t="s">
        <v>133</v>
      </c>
      <c r="P242" s="22" t="s">
        <v>330</v>
      </c>
      <c r="Q242" s="2" t="s">
        <v>323</v>
      </c>
      <c r="R242">
        <v>26</v>
      </c>
      <c r="S242" s="2">
        <v>37</v>
      </c>
      <c r="T242" t="s">
        <v>297</v>
      </c>
      <c r="U242" t="s">
        <v>326</v>
      </c>
      <c r="V242" t="s">
        <v>301</v>
      </c>
      <c r="W242" s="41">
        <f>IFERROR(VLOOKUP(TA[[#This Row],[Date]],Raw_Data[[Date]:[Sunset Time (POA&lt;20 W/m2)]],3,0),"")</f>
        <v>0.26111111111111113</v>
      </c>
      <c r="X242" s="41">
        <f>IFERROR(VLOOKUP(TA[[#This Row],[Date]],Raw_Data[[Date]:[Sunset Time (POA&lt;20 W/m2)]],3,0),"")</f>
        <v>0.26111111111111113</v>
      </c>
      <c r="Y242" s="34"/>
      <c r="Z242" s="34">
        <v>0.76041666666666663</v>
      </c>
      <c r="AA242" s="35">
        <f>IF(TA[[#This Row],[Work Start time on Fault]]="NA","",(TA[[#This Row],[Fault Acknowledgement Time ]]-TA[[#This Row],[Fault Time]])*24)</f>
        <v>0</v>
      </c>
      <c r="AB242" s="35">
        <f>(TA[[#This Row],[Work Start time on Fault]]-TA[[#This Row],[Fault Time]])*24</f>
        <v>-6.2666666666666675</v>
      </c>
      <c r="AC242" s="34">
        <f>(TA[[#This Row],[Work Completion time on fault]]-TA[[#This Row],[Fault Time]])*24</f>
        <v>11.983333333333333</v>
      </c>
      <c r="AD242" s="35">
        <f>IFERROR((TA[[#This Row],[Work Completion time on fault]]-TA[[#This Row],[Fault Time]])*24,"")</f>
        <v>11.983333333333333</v>
      </c>
      <c r="AE242" t="s">
        <v>309</v>
      </c>
      <c r="AF242" t="s">
        <v>256</v>
      </c>
      <c r="AG242" s="2"/>
      <c r="AH242" s="44">
        <f>1-COS(RADIANS(TA[[#This Row],[Avg. Target Angle during Fault Time (Radians)]]-TA[[#This Row],[Angle of affected equipment ]]))</f>
        <v>0.11705240714107301</v>
      </c>
      <c r="AI242" s="35">
        <f>IFERROR(TA[[#This Row],[Breakdown Time]]*TA[[#This Row],[Plant Equivalent Weightage]],"")</f>
        <v>6.886973180076629E-2</v>
      </c>
    </row>
    <row r="243" spans="1:35">
      <c r="A243" s="2">
        <f t="shared" si="13"/>
        <v>240</v>
      </c>
      <c r="B243" s="156">
        <f t="shared" si="11"/>
        <v>2026</v>
      </c>
      <c r="C243" s="129">
        <f t="shared" si="12"/>
        <v>2025</v>
      </c>
      <c r="D243" s="2" t="s">
        <v>155</v>
      </c>
      <c r="E243" s="2" t="s">
        <v>155</v>
      </c>
      <c r="F243" s="39">
        <v>45748</v>
      </c>
      <c r="G243" s="2">
        <f>DAY(EOMONTH(TA[[#This Row],[Month Year]],0))</f>
        <v>30</v>
      </c>
      <c r="H243" s="21">
        <v>45760</v>
      </c>
      <c r="I243" s="41">
        <f>IFERROR(VLOOKUP(TA[[#This Row],[Date]],Raw_Data[[Date]:[Sunset Time (POA&lt;20 W/m2)]],3,0),"")</f>
        <v>0.26111111111111113</v>
      </c>
      <c r="J243" s="41">
        <f>IFERROR(VLOOKUP(TA[[#This Row],[Date]],Raw_Data[[Date]:[Sunset Time (POA&lt;20 W/m2)]],4,0),"")</f>
        <v>0.76388888888888884</v>
      </c>
      <c r="K243" s="35">
        <f>IFERROR((TA[[#This Row],[Sunset Time (POA&lt;20 W/m2)]]-TA[[#This Row],[Sunrise Time (POA&gt;20 W/m2)]])*24,"")</f>
        <v>12.066666666666666</v>
      </c>
      <c r="L243" s="2" t="s">
        <v>312</v>
      </c>
      <c r="M243" s="42">
        <f>IFERROR(VLOOKUP(TA[[#This Row],[Affected Equipment]],'Basic Data'!$I$2:$K$40,3,0),"")</f>
        <v>5.74712643678161E-3</v>
      </c>
      <c r="N243">
        <v>-28</v>
      </c>
      <c r="O243" t="s">
        <v>133</v>
      </c>
      <c r="P243" s="22" t="s">
        <v>330</v>
      </c>
      <c r="Q243" s="2" t="s">
        <v>323</v>
      </c>
      <c r="R243">
        <v>27</v>
      </c>
      <c r="S243" s="2">
        <v>42</v>
      </c>
      <c r="T243" t="s">
        <v>297</v>
      </c>
      <c r="U243" t="s">
        <v>326</v>
      </c>
      <c r="V243" t="s">
        <v>301</v>
      </c>
      <c r="W243" s="41">
        <f>IFERROR(VLOOKUP(TA[[#This Row],[Date]],Raw_Data[[Date]:[Sunset Time (POA&lt;20 W/m2)]],3,0),"")</f>
        <v>0.26111111111111113</v>
      </c>
      <c r="X243" s="41">
        <f>IFERROR(VLOOKUP(TA[[#This Row],[Date]],Raw_Data[[Date]:[Sunset Time (POA&lt;20 W/m2)]],3,0),"")</f>
        <v>0.26111111111111113</v>
      </c>
      <c r="Y243" s="34"/>
      <c r="Z243" s="34">
        <v>0.76041666666666663</v>
      </c>
      <c r="AA243" s="35">
        <f>IF(TA[[#This Row],[Work Start time on Fault]]="NA","",(TA[[#This Row],[Fault Acknowledgement Time ]]-TA[[#This Row],[Fault Time]])*24)</f>
        <v>0</v>
      </c>
      <c r="AB243" s="35">
        <f>(TA[[#This Row],[Work Start time on Fault]]-TA[[#This Row],[Fault Time]])*24</f>
        <v>-6.2666666666666675</v>
      </c>
      <c r="AC243" s="34">
        <f>(TA[[#This Row],[Work Completion time on fault]]-TA[[#This Row],[Fault Time]])*24</f>
        <v>11.983333333333333</v>
      </c>
      <c r="AD243" s="35">
        <f>IFERROR((TA[[#This Row],[Work Completion time on fault]]-TA[[#This Row],[Fault Time]])*24,"")</f>
        <v>11.983333333333333</v>
      </c>
      <c r="AE243" t="s">
        <v>309</v>
      </c>
      <c r="AF243" t="s">
        <v>256</v>
      </c>
      <c r="AG243" s="2"/>
      <c r="AH243" s="44">
        <f>1-COS(RADIANS(TA[[#This Row],[Avg. Target Angle during Fault Time (Radians)]]-TA[[#This Row],[Angle of affected equipment ]]))</f>
        <v>0.11705240714107301</v>
      </c>
      <c r="AI243" s="35">
        <f>IFERROR(TA[[#This Row],[Breakdown Time]]*TA[[#This Row],[Plant Equivalent Weightage]],"")</f>
        <v>6.886973180076629E-2</v>
      </c>
    </row>
    <row r="244" spans="1:35">
      <c r="A244" s="2">
        <f t="shared" si="13"/>
        <v>241</v>
      </c>
      <c r="B244" s="156">
        <f t="shared" si="11"/>
        <v>2026</v>
      </c>
      <c r="C244" s="129">
        <f t="shared" si="12"/>
        <v>2025</v>
      </c>
      <c r="D244" s="2" t="s">
        <v>155</v>
      </c>
      <c r="E244" s="2" t="s">
        <v>155</v>
      </c>
      <c r="F244" s="39">
        <v>45748</v>
      </c>
      <c r="G244" s="2">
        <f>DAY(EOMONTH(TA[[#This Row],[Month Year]],0))</f>
        <v>30</v>
      </c>
      <c r="H244" s="21">
        <v>45761</v>
      </c>
      <c r="I244" s="41">
        <f>IFERROR(VLOOKUP(TA[[#This Row],[Date]],Raw_Data[[Date]:[Sunset Time (POA&lt;20 W/m2)]],3,0),"")</f>
        <v>0.26041666666666669</v>
      </c>
      <c r="J244" s="41">
        <f>IFERROR(VLOOKUP(TA[[#This Row],[Date]],Raw_Data[[Date]:[Sunset Time (POA&lt;20 W/m2)]],4,0),"")</f>
        <v>0.76388888888888884</v>
      </c>
      <c r="K244" s="35">
        <f>IFERROR((TA[[#This Row],[Sunset Time (POA&lt;20 W/m2)]]-TA[[#This Row],[Sunrise Time (POA&gt;20 W/m2)]])*24,"")</f>
        <v>12.08333333333333</v>
      </c>
      <c r="L244" s="2" t="s">
        <v>294</v>
      </c>
      <c r="M244" s="42">
        <f>IFERROR(VLOOKUP(TA[[#This Row],[Affected Equipment]],'Basic Data'!$I$2:$K$40,3,0),"")</f>
        <v>1.7241379310344799E-3</v>
      </c>
      <c r="N244">
        <v>-28</v>
      </c>
      <c r="O244" t="s">
        <v>135</v>
      </c>
      <c r="P244" s="127" t="s">
        <v>318</v>
      </c>
      <c r="Q244" s="126" t="s">
        <v>318</v>
      </c>
      <c r="R244">
        <v>130</v>
      </c>
      <c r="S244" s="2">
        <v>37</v>
      </c>
      <c r="T244" t="s">
        <v>295</v>
      </c>
      <c r="U244" t="s">
        <v>300</v>
      </c>
      <c r="V244" t="s">
        <v>298</v>
      </c>
      <c r="W244" s="41"/>
      <c r="X244" s="41"/>
      <c r="Y244" s="34"/>
      <c r="Z244" s="34"/>
      <c r="AA244" s="35">
        <f>IF(TA[[#This Row],[Work Start time on Fault]]="NA","",(TA[[#This Row],[Fault Acknowledgement Time ]]-TA[[#This Row],[Fault Time]])*24)</f>
        <v>0</v>
      </c>
      <c r="AB244" s="35">
        <f>(TA[[#This Row],[Work Start time on Fault]]-TA[[#This Row],[Fault Time]])*24</f>
        <v>0</v>
      </c>
      <c r="AC244" s="34">
        <f>(TA[[#This Row],[Work Completion time on fault]]-TA[[#This Row],[Fault Time]])*24</f>
        <v>0</v>
      </c>
      <c r="AD244" s="35">
        <f>IFERROR((TA[[#This Row],[Work Completion time on fault]]-TA[[#This Row],[Fault Time]])*24,"")</f>
        <v>0</v>
      </c>
      <c r="AE244" t="s">
        <v>328</v>
      </c>
      <c r="AF244" t="s">
        <v>256</v>
      </c>
      <c r="AG244" s="2"/>
      <c r="AH244" s="44">
        <f>1-COS(RADIANS(TA[[#This Row],[Avg. Target Angle during Fault Time (Radians)]]-TA[[#This Row],[Angle of affected equipment ]]))</f>
        <v>0.11705240714107301</v>
      </c>
      <c r="AI244" s="35">
        <f>IFERROR(TA[[#This Row],[Breakdown Time]]*TA[[#This Row],[Plant Equivalent Weightage]],"")</f>
        <v>0</v>
      </c>
    </row>
    <row r="245" spans="1:35">
      <c r="A245" s="2">
        <f t="shared" si="13"/>
        <v>242</v>
      </c>
      <c r="B245" s="156">
        <f t="shared" si="11"/>
        <v>2026</v>
      </c>
      <c r="C245" s="129">
        <f t="shared" si="12"/>
        <v>2025</v>
      </c>
      <c r="D245" s="2" t="s">
        <v>155</v>
      </c>
      <c r="E245" s="2" t="s">
        <v>155</v>
      </c>
      <c r="F245" s="39">
        <v>45748</v>
      </c>
      <c r="G245" s="2">
        <f>DAY(EOMONTH(TA[[#This Row],[Month Year]],0))</f>
        <v>30</v>
      </c>
      <c r="H245" s="21">
        <v>45761</v>
      </c>
      <c r="I245" s="41">
        <f>IFERROR(VLOOKUP(TA[[#This Row],[Date]],Raw_Data[[Date]:[Sunset Time (POA&lt;20 W/m2)]],3,0),"")</f>
        <v>0.26041666666666669</v>
      </c>
      <c r="J245" s="41">
        <f>IFERROR(VLOOKUP(TA[[#This Row],[Date]],Raw_Data[[Date]:[Sunset Time (POA&lt;20 W/m2)]],4,0),"")</f>
        <v>0.76388888888888884</v>
      </c>
      <c r="K245" s="35">
        <f>IFERROR((TA[[#This Row],[Sunset Time (POA&lt;20 W/m2)]]-TA[[#This Row],[Sunrise Time (POA&gt;20 W/m2)]])*24,"")</f>
        <v>12.08333333333333</v>
      </c>
      <c r="L245" s="2" t="s">
        <v>294</v>
      </c>
      <c r="M245" s="42">
        <f>IFERROR(VLOOKUP(TA[[#This Row],[Affected Equipment]],'Basic Data'!$I$2:$K$40,3,0),"")</f>
        <v>1.7241379310344799E-3</v>
      </c>
      <c r="N245">
        <v>-28</v>
      </c>
      <c r="O245" t="s">
        <v>135</v>
      </c>
      <c r="P245" s="127" t="s">
        <v>318</v>
      </c>
      <c r="Q245" s="126" t="s">
        <v>318</v>
      </c>
      <c r="R245">
        <v>131</v>
      </c>
      <c r="S245" s="2">
        <v>38</v>
      </c>
      <c r="T245" t="s">
        <v>295</v>
      </c>
      <c r="U245" t="s">
        <v>300</v>
      </c>
      <c r="V245" t="s">
        <v>298</v>
      </c>
      <c r="W245" s="41"/>
      <c r="X245" s="41"/>
      <c r="Y245" s="34"/>
      <c r="Z245" s="34"/>
      <c r="AA245" s="35">
        <f>IF(TA[[#This Row],[Work Start time on Fault]]="NA","",(TA[[#This Row],[Fault Acknowledgement Time ]]-TA[[#This Row],[Fault Time]])*24)</f>
        <v>0</v>
      </c>
      <c r="AB245" s="35">
        <f>(TA[[#This Row],[Work Start time on Fault]]-TA[[#This Row],[Fault Time]])*24</f>
        <v>0</v>
      </c>
      <c r="AC245" s="34">
        <f>(TA[[#This Row],[Work Completion time on fault]]-TA[[#This Row],[Fault Time]])*24</f>
        <v>0</v>
      </c>
      <c r="AD245" s="35">
        <f>IFERROR((TA[[#This Row],[Work Completion time on fault]]-TA[[#This Row],[Fault Time]])*24,"")</f>
        <v>0</v>
      </c>
      <c r="AE245" t="s">
        <v>328</v>
      </c>
      <c r="AF245" t="s">
        <v>256</v>
      </c>
      <c r="AG245" s="2"/>
      <c r="AH245" s="44">
        <f>1-COS(RADIANS(TA[[#This Row],[Avg. Target Angle during Fault Time (Radians)]]-TA[[#This Row],[Angle of affected equipment ]]))</f>
        <v>0.11705240714107301</v>
      </c>
      <c r="AI245" s="35">
        <f>IFERROR(TA[[#This Row],[Breakdown Time]]*TA[[#This Row],[Plant Equivalent Weightage]],"")</f>
        <v>0</v>
      </c>
    </row>
    <row r="246" spans="1:35">
      <c r="A246" s="2">
        <f t="shared" si="13"/>
        <v>243</v>
      </c>
      <c r="B246" s="156">
        <f t="shared" si="11"/>
        <v>2026</v>
      </c>
      <c r="C246" s="129">
        <f t="shared" si="12"/>
        <v>2025</v>
      </c>
      <c r="D246" s="2" t="s">
        <v>155</v>
      </c>
      <c r="E246" s="2" t="s">
        <v>155</v>
      </c>
      <c r="F246" s="39">
        <v>45748</v>
      </c>
      <c r="G246" s="2">
        <f>DAY(EOMONTH(TA[[#This Row],[Month Year]],0))</f>
        <v>30</v>
      </c>
      <c r="H246" s="21">
        <v>45761</v>
      </c>
      <c r="I246" s="41">
        <f>IFERROR(VLOOKUP(TA[[#This Row],[Date]],Raw_Data[[Date]:[Sunset Time (POA&lt;20 W/m2)]],3,0),"")</f>
        <v>0.26041666666666669</v>
      </c>
      <c r="J246" s="41">
        <f>IFERROR(VLOOKUP(TA[[#This Row],[Date]],Raw_Data[[Date]:[Sunset Time (POA&lt;20 W/m2)]],4,0),"")</f>
        <v>0.76388888888888884</v>
      </c>
      <c r="K246" s="35">
        <f>IFERROR((TA[[#This Row],[Sunset Time (POA&lt;20 W/m2)]]-TA[[#This Row],[Sunrise Time (POA&gt;20 W/m2)]])*24,"")</f>
        <v>12.08333333333333</v>
      </c>
      <c r="L246" s="2" t="s">
        <v>294</v>
      </c>
      <c r="M246" s="42">
        <f>IFERROR(VLOOKUP(TA[[#This Row],[Affected Equipment]],'Basic Data'!$I$2:$K$40,3,0),"")</f>
        <v>1.7241379310344799E-3</v>
      </c>
      <c r="N246">
        <v>-28</v>
      </c>
      <c r="O246" t="s">
        <v>135</v>
      </c>
      <c r="P246" s="127" t="s">
        <v>318</v>
      </c>
      <c r="Q246" s="126" t="s">
        <v>318</v>
      </c>
      <c r="R246">
        <v>131</v>
      </c>
      <c r="S246" s="2">
        <v>39</v>
      </c>
      <c r="T246" t="s">
        <v>295</v>
      </c>
      <c r="U246" t="s">
        <v>300</v>
      </c>
      <c r="V246" t="s">
        <v>298</v>
      </c>
      <c r="W246" s="41"/>
      <c r="X246" s="41"/>
      <c r="Y246" s="34"/>
      <c r="Z246" s="34"/>
      <c r="AA246" s="35">
        <f>IF(TA[[#This Row],[Work Start time on Fault]]="NA","",(TA[[#This Row],[Fault Acknowledgement Time ]]-TA[[#This Row],[Fault Time]])*24)</f>
        <v>0</v>
      </c>
      <c r="AB246" s="35">
        <f>(TA[[#This Row],[Work Start time on Fault]]-TA[[#This Row],[Fault Time]])*24</f>
        <v>0</v>
      </c>
      <c r="AC246" s="34">
        <f>(TA[[#This Row],[Work Completion time on fault]]-TA[[#This Row],[Fault Time]])*24</f>
        <v>0</v>
      </c>
      <c r="AD246" s="35">
        <f>IFERROR((TA[[#This Row],[Work Completion time on fault]]-TA[[#This Row],[Fault Time]])*24,"")</f>
        <v>0</v>
      </c>
      <c r="AE246" t="s">
        <v>328</v>
      </c>
      <c r="AF246" t="s">
        <v>256</v>
      </c>
      <c r="AG246" s="2"/>
      <c r="AH246" s="44">
        <f>1-COS(RADIANS(TA[[#This Row],[Avg. Target Angle during Fault Time (Radians)]]-TA[[#This Row],[Angle of affected equipment ]]))</f>
        <v>0.11705240714107301</v>
      </c>
      <c r="AI246" s="35">
        <f>IFERROR(TA[[#This Row],[Breakdown Time]]*TA[[#This Row],[Plant Equivalent Weightage]],"")</f>
        <v>0</v>
      </c>
    </row>
    <row r="247" spans="1:35">
      <c r="A247" s="2">
        <f t="shared" si="13"/>
        <v>244</v>
      </c>
      <c r="B247" s="156">
        <f t="shared" si="11"/>
        <v>2026</v>
      </c>
      <c r="C247" s="129">
        <f t="shared" si="12"/>
        <v>2025</v>
      </c>
      <c r="D247" s="2" t="s">
        <v>155</v>
      </c>
      <c r="E247" s="2" t="s">
        <v>155</v>
      </c>
      <c r="F247" s="39">
        <v>45748</v>
      </c>
      <c r="G247" s="2">
        <f>DAY(EOMONTH(TA[[#This Row],[Month Year]],0))</f>
        <v>30</v>
      </c>
      <c r="H247" s="21">
        <v>45761</v>
      </c>
      <c r="I247" s="41">
        <f>IFERROR(VLOOKUP(TA[[#This Row],[Date]],Raw_Data[[Date]:[Sunset Time (POA&lt;20 W/m2)]],3,0),"")</f>
        <v>0.26041666666666669</v>
      </c>
      <c r="J247" s="41">
        <f>IFERROR(VLOOKUP(TA[[#This Row],[Date]],Raw_Data[[Date]:[Sunset Time (POA&lt;20 W/m2)]],4,0),"")</f>
        <v>0.76388888888888884</v>
      </c>
      <c r="K247" s="35">
        <f>IFERROR((TA[[#This Row],[Sunset Time (POA&lt;20 W/m2)]]-TA[[#This Row],[Sunrise Time (POA&gt;20 W/m2)]])*24,"")</f>
        <v>12.08333333333333</v>
      </c>
      <c r="L247" s="2" t="s">
        <v>296</v>
      </c>
      <c r="M247" s="42">
        <f>IFERROR(VLOOKUP(TA[[#This Row],[Affected Equipment]],'Basic Data'!$I$2:$K$40,3,0),"")</f>
        <v>8.6206896551724102E-3</v>
      </c>
      <c r="N247">
        <v>-28</v>
      </c>
      <c r="O247" t="s">
        <v>135</v>
      </c>
      <c r="P247" s="127" t="s">
        <v>318</v>
      </c>
      <c r="Q247" s="2" t="s">
        <v>321</v>
      </c>
      <c r="R247">
        <v>133</v>
      </c>
      <c r="S247" s="2">
        <v>26</v>
      </c>
      <c r="T247" t="s">
        <v>297</v>
      </c>
      <c r="U247" t="s">
        <v>300</v>
      </c>
      <c r="V247" t="s">
        <v>314</v>
      </c>
      <c r="W247" s="41"/>
      <c r="X247" s="41"/>
      <c r="Y247" s="34"/>
      <c r="Z247" s="34"/>
      <c r="AA247" s="35">
        <f>IF(TA[[#This Row],[Work Start time on Fault]]="NA","",(TA[[#This Row],[Fault Acknowledgement Time ]]-TA[[#This Row],[Fault Time]])*24)</f>
        <v>0</v>
      </c>
      <c r="AB247" s="35">
        <f>(TA[[#This Row],[Work Start time on Fault]]-TA[[#This Row],[Fault Time]])*24</f>
        <v>0</v>
      </c>
      <c r="AC247" s="34">
        <f>(TA[[#This Row],[Work Completion time on fault]]-TA[[#This Row],[Fault Time]])*24</f>
        <v>0</v>
      </c>
      <c r="AD247" s="35">
        <f>IFERROR((TA[[#This Row],[Work Completion time on fault]]-TA[[#This Row],[Fault Time]])*24,"")</f>
        <v>0</v>
      </c>
      <c r="AE247" t="s">
        <v>328</v>
      </c>
      <c r="AF247" t="s">
        <v>256</v>
      </c>
      <c r="AG247" s="2"/>
      <c r="AH247" s="44">
        <f>1-COS(RADIANS(TA[[#This Row],[Avg. Target Angle during Fault Time (Radians)]]-TA[[#This Row],[Angle of affected equipment ]]))</f>
        <v>0.11705240714107301</v>
      </c>
      <c r="AI247" s="35">
        <f>IFERROR(TA[[#This Row],[Breakdown Time]]*TA[[#This Row],[Plant Equivalent Weightage]],"")</f>
        <v>0</v>
      </c>
    </row>
    <row r="248" spans="1:35">
      <c r="A248" s="2">
        <f t="shared" si="13"/>
        <v>245</v>
      </c>
      <c r="B248" s="156">
        <f t="shared" si="11"/>
        <v>2026</v>
      </c>
      <c r="C248" s="129">
        <f t="shared" si="12"/>
        <v>2025</v>
      </c>
      <c r="D248" s="2" t="s">
        <v>155</v>
      </c>
      <c r="E248" s="2" t="s">
        <v>155</v>
      </c>
      <c r="F248" s="39">
        <v>45748</v>
      </c>
      <c r="G248" s="2">
        <f>DAY(EOMONTH(TA[[#This Row],[Month Year]],0))</f>
        <v>30</v>
      </c>
      <c r="H248" s="21">
        <v>45761</v>
      </c>
      <c r="I248" s="41">
        <f>IFERROR(VLOOKUP(TA[[#This Row],[Date]],Raw_Data[[Date]:[Sunset Time (POA&lt;20 W/m2)]],3,0),"")</f>
        <v>0.26041666666666669</v>
      </c>
      <c r="J248" s="41">
        <f>IFERROR(VLOOKUP(TA[[#This Row],[Date]],Raw_Data[[Date]:[Sunset Time (POA&lt;20 W/m2)]],4,0),"")</f>
        <v>0.76388888888888884</v>
      </c>
      <c r="K248" s="35">
        <f>IFERROR((TA[[#This Row],[Sunset Time (POA&lt;20 W/m2)]]-TA[[#This Row],[Sunrise Time (POA&gt;20 W/m2)]])*24,"")</f>
        <v>12.08333333333333</v>
      </c>
      <c r="L248" s="2" t="s">
        <v>294</v>
      </c>
      <c r="M248" s="42">
        <f>IFERROR(VLOOKUP(TA[[#This Row],[Affected Equipment]],'Basic Data'!$I$2:$K$40,3,0),"")</f>
        <v>1.7241379310344799E-3</v>
      </c>
      <c r="N248">
        <v>-28</v>
      </c>
      <c r="O248" t="s">
        <v>133</v>
      </c>
      <c r="P248" s="127" t="s">
        <v>316</v>
      </c>
      <c r="Q248" s="126" t="s">
        <v>317</v>
      </c>
      <c r="R248">
        <v>7</v>
      </c>
      <c r="S248" s="2">
        <v>32</v>
      </c>
      <c r="T248" t="s">
        <v>295</v>
      </c>
      <c r="U248" t="s">
        <v>300</v>
      </c>
      <c r="V248" t="s">
        <v>298</v>
      </c>
      <c r="W248" s="41"/>
      <c r="X248" s="41"/>
      <c r="Y248" s="34"/>
      <c r="Z248" s="34"/>
      <c r="AA248" s="35">
        <f>IF(TA[[#This Row],[Work Start time on Fault]]="NA","",(TA[[#This Row],[Fault Acknowledgement Time ]]-TA[[#This Row],[Fault Time]])*24)</f>
        <v>0</v>
      </c>
      <c r="AB248" s="35">
        <f>(TA[[#This Row],[Work Start time on Fault]]-TA[[#This Row],[Fault Time]])*24</f>
        <v>0</v>
      </c>
      <c r="AC248" s="34">
        <f>(TA[[#This Row],[Work Completion time on fault]]-TA[[#This Row],[Fault Time]])*24</f>
        <v>0</v>
      </c>
      <c r="AD248" s="35">
        <f>IFERROR((TA[[#This Row],[Work Completion time on fault]]-TA[[#This Row],[Fault Time]])*24,"")</f>
        <v>0</v>
      </c>
      <c r="AE248" t="s">
        <v>328</v>
      </c>
      <c r="AF248" t="s">
        <v>256</v>
      </c>
      <c r="AG248" s="2"/>
      <c r="AH248" s="44">
        <f>1-COS(RADIANS(TA[[#This Row],[Avg. Target Angle during Fault Time (Radians)]]-TA[[#This Row],[Angle of affected equipment ]]))</f>
        <v>0.11705240714107301</v>
      </c>
      <c r="AI248" s="35">
        <f>IFERROR(TA[[#This Row],[Breakdown Time]]*TA[[#This Row],[Plant Equivalent Weightage]],"")</f>
        <v>0</v>
      </c>
    </row>
    <row r="249" spans="1:35">
      <c r="A249" s="2">
        <f t="shared" si="13"/>
        <v>246</v>
      </c>
      <c r="B249" s="156">
        <f t="shared" si="11"/>
        <v>2026</v>
      </c>
      <c r="C249" s="129">
        <f t="shared" si="12"/>
        <v>2025</v>
      </c>
      <c r="D249" s="2" t="s">
        <v>155</v>
      </c>
      <c r="E249" s="2" t="s">
        <v>155</v>
      </c>
      <c r="F249" s="39">
        <v>45748</v>
      </c>
      <c r="G249" s="2">
        <f>DAY(EOMONTH(TA[[#This Row],[Month Year]],0))</f>
        <v>30</v>
      </c>
      <c r="H249" s="21">
        <v>45761</v>
      </c>
      <c r="I249" s="41">
        <f>IFERROR(VLOOKUP(TA[[#This Row],[Date]],Raw_Data[[Date]:[Sunset Time (POA&lt;20 W/m2)]],3,0),"")</f>
        <v>0.26041666666666669</v>
      </c>
      <c r="J249" s="41">
        <f>IFERROR(VLOOKUP(TA[[#This Row],[Date]],Raw_Data[[Date]:[Sunset Time (POA&lt;20 W/m2)]],4,0),"")</f>
        <v>0.76388888888888884</v>
      </c>
      <c r="K249" s="35">
        <f>IFERROR((TA[[#This Row],[Sunset Time (POA&lt;20 W/m2)]]-TA[[#This Row],[Sunrise Time (POA&gt;20 W/m2)]])*24,"")</f>
        <v>12.08333333333333</v>
      </c>
      <c r="L249" s="2" t="s">
        <v>294</v>
      </c>
      <c r="M249" s="42">
        <f>IFERROR(VLOOKUP(TA[[#This Row],[Affected Equipment]],'Basic Data'!$I$2:$K$40,3,0),"")</f>
        <v>1.7241379310344799E-3</v>
      </c>
      <c r="N249">
        <v>-28</v>
      </c>
      <c r="O249" t="s">
        <v>137</v>
      </c>
      <c r="P249" s="127" t="s">
        <v>315</v>
      </c>
      <c r="Q249" s="126" t="s">
        <v>319</v>
      </c>
      <c r="R249">
        <v>166</v>
      </c>
      <c r="S249" s="2">
        <v>91</v>
      </c>
      <c r="T249" t="s">
        <v>295</v>
      </c>
      <c r="U249" t="s">
        <v>300</v>
      </c>
      <c r="V249" t="s">
        <v>298</v>
      </c>
      <c r="W249" s="41"/>
      <c r="X249" s="41"/>
      <c r="Y249" s="34"/>
      <c r="Z249" s="34"/>
      <c r="AA249" s="35">
        <f>IF(TA[[#This Row],[Work Start time on Fault]]="NA","",(TA[[#This Row],[Fault Acknowledgement Time ]]-TA[[#This Row],[Fault Time]])*24)</f>
        <v>0</v>
      </c>
      <c r="AB249" s="35">
        <f>(TA[[#This Row],[Work Start time on Fault]]-TA[[#This Row],[Fault Time]])*24</f>
        <v>0</v>
      </c>
      <c r="AC249" s="34">
        <f>(TA[[#This Row],[Work Completion time on fault]]-TA[[#This Row],[Fault Time]])*24</f>
        <v>0</v>
      </c>
      <c r="AD249" s="35">
        <f>IFERROR((TA[[#This Row],[Work Completion time on fault]]-TA[[#This Row],[Fault Time]])*24,"")</f>
        <v>0</v>
      </c>
      <c r="AE249" t="s">
        <v>328</v>
      </c>
      <c r="AF249" t="s">
        <v>256</v>
      </c>
      <c r="AG249" s="2"/>
      <c r="AH249" s="44">
        <f>1-COS(RADIANS(TA[[#This Row],[Avg. Target Angle during Fault Time (Radians)]]-TA[[#This Row],[Angle of affected equipment ]]))</f>
        <v>0.11705240714107301</v>
      </c>
      <c r="AI249" s="35">
        <f>IFERROR(TA[[#This Row],[Breakdown Time]]*TA[[#This Row],[Plant Equivalent Weightage]],"")</f>
        <v>0</v>
      </c>
    </row>
    <row r="250" spans="1:35">
      <c r="A250" s="2">
        <f t="shared" si="13"/>
        <v>247</v>
      </c>
      <c r="B250" s="156">
        <f t="shared" si="11"/>
        <v>2026</v>
      </c>
      <c r="C250" s="129">
        <f t="shared" si="12"/>
        <v>2025</v>
      </c>
      <c r="D250" s="2" t="s">
        <v>155</v>
      </c>
      <c r="E250" s="2" t="s">
        <v>155</v>
      </c>
      <c r="F250" s="39">
        <v>45748</v>
      </c>
      <c r="G250" s="2">
        <f>DAY(EOMONTH(TA[[#This Row],[Month Year]],0))</f>
        <v>30</v>
      </c>
      <c r="H250" s="21">
        <v>45761</v>
      </c>
      <c r="I250" s="41">
        <f>IFERROR(VLOOKUP(TA[[#This Row],[Date]],Raw_Data[[Date]:[Sunset Time (POA&lt;20 W/m2)]],3,0),"")</f>
        <v>0.26041666666666669</v>
      </c>
      <c r="J250" s="41">
        <f>IFERROR(VLOOKUP(TA[[#This Row],[Date]],Raw_Data[[Date]:[Sunset Time (POA&lt;20 W/m2)]],4,0),"")</f>
        <v>0.76388888888888884</v>
      </c>
      <c r="K250" s="35">
        <f>IFERROR((TA[[#This Row],[Sunset Time (POA&lt;20 W/m2)]]-TA[[#This Row],[Sunrise Time (POA&gt;20 W/m2)]])*24,"")</f>
        <v>12.08333333333333</v>
      </c>
      <c r="L250" s="2" t="s">
        <v>294</v>
      </c>
      <c r="M250" s="42">
        <f>IFERROR(VLOOKUP(TA[[#This Row],[Affected Equipment]],'Basic Data'!$I$2:$K$40,3,0),"")</f>
        <v>1.7241379310344799E-3</v>
      </c>
      <c r="N250">
        <v>-28</v>
      </c>
      <c r="O250" t="s">
        <v>133</v>
      </c>
      <c r="P250" s="127" t="s">
        <v>316</v>
      </c>
      <c r="Q250" s="126" t="s">
        <v>316</v>
      </c>
      <c r="R250">
        <v>117</v>
      </c>
      <c r="S250" s="2">
        <v>20</v>
      </c>
      <c r="T250" t="s">
        <v>295</v>
      </c>
      <c r="U250" t="s">
        <v>300</v>
      </c>
      <c r="V250" t="s">
        <v>298</v>
      </c>
      <c r="W250" s="41"/>
      <c r="X250" s="41"/>
      <c r="Y250" s="34"/>
      <c r="Z250" s="34"/>
      <c r="AA250" s="35">
        <f>IF(TA[[#This Row],[Work Start time on Fault]]="NA","",(TA[[#This Row],[Fault Acknowledgement Time ]]-TA[[#This Row],[Fault Time]])*24)</f>
        <v>0</v>
      </c>
      <c r="AB250" s="35">
        <f>(TA[[#This Row],[Work Start time on Fault]]-TA[[#This Row],[Fault Time]])*24</f>
        <v>0</v>
      </c>
      <c r="AC250" s="34">
        <f>(TA[[#This Row],[Work Completion time on fault]]-TA[[#This Row],[Fault Time]])*24</f>
        <v>0</v>
      </c>
      <c r="AD250" s="35">
        <f>IFERROR((TA[[#This Row],[Work Completion time on fault]]-TA[[#This Row],[Fault Time]])*24,"")</f>
        <v>0</v>
      </c>
      <c r="AE250" t="s">
        <v>328</v>
      </c>
      <c r="AF250" t="s">
        <v>256</v>
      </c>
      <c r="AG250" s="2"/>
      <c r="AH250" s="44">
        <f>1-COS(RADIANS(TA[[#This Row],[Avg. Target Angle during Fault Time (Radians)]]-TA[[#This Row],[Angle of affected equipment ]]))</f>
        <v>0.11705240714107301</v>
      </c>
      <c r="AI250" s="35">
        <f>IFERROR(TA[[#This Row],[Breakdown Time]]*TA[[#This Row],[Plant Equivalent Weightage]],"")</f>
        <v>0</v>
      </c>
    </row>
    <row r="251" spans="1:35">
      <c r="A251" s="2">
        <f t="shared" si="13"/>
        <v>248</v>
      </c>
      <c r="B251" s="156">
        <f t="shared" si="11"/>
        <v>2026</v>
      </c>
      <c r="C251" s="129">
        <f t="shared" si="12"/>
        <v>2025</v>
      </c>
      <c r="D251" s="2" t="s">
        <v>155</v>
      </c>
      <c r="E251" s="2" t="s">
        <v>155</v>
      </c>
      <c r="F251" s="39">
        <v>45748</v>
      </c>
      <c r="G251" s="2">
        <f>DAY(EOMONTH(TA[[#This Row],[Month Year]],0))</f>
        <v>30</v>
      </c>
      <c r="H251" s="21">
        <v>45761</v>
      </c>
      <c r="I251" s="41">
        <f>IFERROR(VLOOKUP(TA[[#This Row],[Date]],Raw_Data[[Date]:[Sunset Time (POA&lt;20 W/m2)]],3,0),"")</f>
        <v>0.26041666666666669</v>
      </c>
      <c r="J251" s="41">
        <f>IFERROR(VLOOKUP(TA[[#This Row],[Date]],Raw_Data[[Date]:[Sunset Time (POA&lt;20 W/m2)]],4,0),"")</f>
        <v>0.76388888888888884</v>
      </c>
      <c r="K251" s="35">
        <f>IFERROR((TA[[#This Row],[Sunset Time (POA&lt;20 W/m2)]]-TA[[#This Row],[Sunrise Time (POA&gt;20 W/m2)]])*24,"")</f>
        <v>12.08333333333333</v>
      </c>
      <c r="L251" s="2" t="s">
        <v>294</v>
      </c>
      <c r="M251" s="42">
        <f>IFERROR(VLOOKUP(TA[[#This Row],[Affected Equipment]],'Basic Data'!$I$2:$K$40,3,0),"")</f>
        <v>1.7241379310344799E-3</v>
      </c>
      <c r="N251">
        <v>-28</v>
      </c>
      <c r="O251" t="s">
        <v>133</v>
      </c>
      <c r="P251" s="127" t="s">
        <v>316</v>
      </c>
      <c r="Q251" s="126" t="s">
        <v>316</v>
      </c>
      <c r="R251">
        <v>118</v>
      </c>
      <c r="S251" s="2">
        <v>22</v>
      </c>
      <c r="T251" t="s">
        <v>295</v>
      </c>
      <c r="U251" t="s">
        <v>300</v>
      </c>
      <c r="V251" t="s">
        <v>298</v>
      </c>
      <c r="W251" s="41"/>
      <c r="X251" s="41"/>
      <c r="Y251" s="34"/>
      <c r="Z251" s="34"/>
      <c r="AA251" s="35">
        <f>IF(TA[[#This Row],[Work Start time on Fault]]="NA","",(TA[[#This Row],[Fault Acknowledgement Time ]]-TA[[#This Row],[Fault Time]])*24)</f>
        <v>0</v>
      </c>
      <c r="AB251" s="35">
        <f>(TA[[#This Row],[Work Start time on Fault]]-TA[[#This Row],[Fault Time]])*24</f>
        <v>0</v>
      </c>
      <c r="AC251" s="34">
        <f>(TA[[#This Row],[Work Completion time on fault]]-TA[[#This Row],[Fault Time]])*24</f>
        <v>0</v>
      </c>
      <c r="AD251" s="35">
        <f>IFERROR((TA[[#This Row],[Work Completion time on fault]]-TA[[#This Row],[Fault Time]])*24,"")</f>
        <v>0</v>
      </c>
      <c r="AE251" t="s">
        <v>328</v>
      </c>
      <c r="AF251" t="s">
        <v>256</v>
      </c>
      <c r="AG251" s="2"/>
      <c r="AH251" s="44">
        <f>1-COS(RADIANS(TA[[#This Row],[Avg. Target Angle during Fault Time (Radians)]]-TA[[#This Row],[Angle of affected equipment ]]))</f>
        <v>0.11705240714107301</v>
      </c>
      <c r="AI251" s="35">
        <f>IFERROR(TA[[#This Row],[Breakdown Time]]*TA[[#This Row],[Plant Equivalent Weightage]],"")</f>
        <v>0</v>
      </c>
    </row>
    <row r="252" spans="1:35">
      <c r="A252" s="2">
        <f t="shared" si="13"/>
        <v>249</v>
      </c>
      <c r="B252" s="156">
        <f t="shared" si="11"/>
        <v>2026</v>
      </c>
      <c r="C252" s="129">
        <f t="shared" si="12"/>
        <v>2025</v>
      </c>
      <c r="D252" s="2" t="s">
        <v>155</v>
      </c>
      <c r="E252" s="2" t="s">
        <v>155</v>
      </c>
      <c r="F252" s="39">
        <v>45748</v>
      </c>
      <c r="G252" s="2">
        <f>DAY(EOMONTH(TA[[#This Row],[Month Year]],0))</f>
        <v>30</v>
      </c>
      <c r="H252" s="21">
        <v>45761</v>
      </c>
      <c r="I252" s="41">
        <f>IFERROR(VLOOKUP(TA[[#This Row],[Date]],Raw_Data[[Date]:[Sunset Time (POA&lt;20 W/m2)]],3,0),"")</f>
        <v>0.26041666666666669</v>
      </c>
      <c r="J252" s="41">
        <f>IFERROR(VLOOKUP(TA[[#This Row],[Date]],Raw_Data[[Date]:[Sunset Time (POA&lt;20 W/m2)]],4,0),"")</f>
        <v>0.76388888888888884</v>
      </c>
      <c r="K252" s="35">
        <f>IFERROR((TA[[#This Row],[Sunset Time (POA&lt;20 W/m2)]]-TA[[#This Row],[Sunrise Time (POA&gt;20 W/m2)]])*24,"")</f>
        <v>12.08333333333333</v>
      </c>
      <c r="L252" s="2" t="s">
        <v>296</v>
      </c>
      <c r="M252" s="42">
        <f>IFERROR(VLOOKUP(TA[[#This Row],[Affected Equipment]],'Basic Data'!$I$2:$K$40,3,0),"")</f>
        <v>8.6206896551724102E-3</v>
      </c>
      <c r="N252">
        <v>-28</v>
      </c>
      <c r="O252" t="s">
        <v>135</v>
      </c>
      <c r="P252" s="22" t="s">
        <v>323</v>
      </c>
      <c r="Q252" s="2" t="s">
        <v>329</v>
      </c>
      <c r="R252">
        <v>45</v>
      </c>
      <c r="S252" s="2">
        <v>8</v>
      </c>
      <c r="T252" t="s">
        <v>297</v>
      </c>
      <c r="U252" t="s">
        <v>326</v>
      </c>
      <c r="V252" t="s">
        <v>301</v>
      </c>
      <c r="W252" s="41">
        <f>IFERROR(VLOOKUP(TA[[#This Row],[Date]],Raw_Data[[Date]:[Sunset Time (POA&lt;20 W/m2)]],3,0),"")</f>
        <v>0.26041666666666669</v>
      </c>
      <c r="X252" s="41">
        <f>IFERROR(VLOOKUP(TA[[#This Row],[Date]],Raw_Data[[Date]:[Sunset Time (POA&lt;20 W/m2)]],3,0),"")</f>
        <v>0.26041666666666669</v>
      </c>
      <c r="Y252" s="34"/>
      <c r="Z252" s="34">
        <v>0.76041666666666663</v>
      </c>
      <c r="AA252" s="35">
        <f>IF(TA[[#This Row],[Work Start time on Fault]]="NA","",(TA[[#This Row],[Fault Acknowledgement Time ]]-TA[[#This Row],[Fault Time]])*24)</f>
        <v>0</v>
      </c>
      <c r="AB252" s="35">
        <f>(TA[[#This Row],[Work Start time on Fault]]-TA[[#This Row],[Fault Time]])*24</f>
        <v>-6.25</v>
      </c>
      <c r="AC252" s="34">
        <f>(TA[[#This Row],[Work Completion time on fault]]-TA[[#This Row],[Fault Time]])*24</f>
        <v>11.999999999999998</v>
      </c>
      <c r="AD252" s="35">
        <f>IFERROR((TA[[#This Row],[Work Completion time on fault]]-TA[[#This Row],[Fault Time]])*24,"")</f>
        <v>11.999999999999998</v>
      </c>
      <c r="AE252" t="s">
        <v>309</v>
      </c>
      <c r="AF252" t="s">
        <v>256</v>
      </c>
      <c r="AG252" s="2"/>
      <c r="AH252" s="44">
        <f>1-COS(RADIANS(TA[[#This Row],[Avg. Target Angle during Fault Time (Radians)]]-TA[[#This Row],[Angle of affected equipment ]]))</f>
        <v>0.11705240714107301</v>
      </c>
      <c r="AI252" s="35">
        <f>IFERROR(TA[[#This Row],[Breakdown Time]]*TA[[#This Row],[Plant Equivalent Weightage]],"")</f>
        <v>0.10344827586206891</v>
      </c>
    </row>
    <row r="253" spans="1:35">
      <c r="A253" s="2">
        <f t="shared" si="13"/>
        <v>250</v>
      </c>
      <c r="B253" s="156">
        <f t="shared" si="11"/>
        <v>2026</v>
      </c>
      <c r="C253" s="129">
        <f t="shared" si="12"/>
        <v>2025</v>
      </c>
      <c r="D253" s="2" t="s">
        <v>155</v>
      </c>
      <c r="E253" s="2" t="s">
        <v>155</v>
      </c>
      <c r="F253" s="39">
        <v>45748</v>
      </c>
      <c r="G253" s="2">
        <f>DAY(EOMONTH(TA[[#This Row],[Month Year]],0))</f>
        <v>30</v>
      </c>
      <c r="H253" s="21">
        <v>45761</v>
      </c>
      <c r="I253" s="41">
        <f>IFERROR(VLOOKUP(TA[[#This Row],[Date]],Raw_Data[[Date]:[Sunset Time (POA&lt;20 W/m2)]],3,0),"")</f>
        <v>0.26041666666666669</v>
      </c>
      <c r="J253" s="41">
        <f>IFERROR(VLOOKUP(TA[[#This Row],[Date]],Raw_Data[[Date]:[Sunset Time (POA&lt;20 W/m2)]],4,0),"")</f>
        <v>0.76388888888888884</v>
      </c>
      <c r="K253" s="35">
        <f>IFERROR((TA[[#This Row],[Sunset Time (POA&lt;20 W/m2)]]-TA[[#This Row],[Sunrise Time (POA&gt;20 W/m2)]])*24,"")</f>
        <v>12.08333333333333</v>
      </c>
      <c r="L253" s="2" t="s">
        <v>296</v>
      </c>
      <c r="M253" s="42">
        <f>IFERROR(VLOOKUP(TA[[#This Row],[Affected Equipment]],'Basic Data'!$I$2:$K$40,3,0),"")</f>
        <v>8.6206896551724102E-3</v>
      </c>
      <c r="N253">
        <v>-28</v>
      </c>
      <c r="O253" t="s">
        <v>135</v>
      </c>
      <c r="P253" s="22" t="s">
        <v>323</v>
      </c>
      <c r="Q253" s="2" t="s">
        <v>329</v>
      </c>
      <c r="R253">
        <v>47</v>
      </c>
      <c r="S253" s="2">
        <v>18</v>
      </c>
      <c r="T253" t="s">
        <v>297</v>
      </c>
      <c r="U253" t="s">
        <v>326</v>
      </c>
      <c r="V253" t="s">
        <v>301</v>
      </c>
      <c r="W253" s="41">
        <f>IFERROR(VLOOKUP(TA[[#This Row],[Date]],Raw_Data[[Date]:[Sunset Time (POA&lt;20 W/m2)]],3,0),"")</f>
        <v>0.26041666666666669</v>
      </c>
      <c r="X253" s="41">
        <f>IFERROR(VLOOKUP(TA[[#This Row],[Date]],Raw_Data[[Date]:[Sunset Time (POA&lt;20 W/m2)]],3,0),"")</f>
        <v>0.26041666666666669</v>
      </c>
      <c r="Y253" s="34"/>
      <c r="Z253" s="34">
        <v>0.76041666666666663</v>
      </c>
      <c r="AA253" s="35">
        <f>IF(TA[[#This Row],[Work Start time on Fault]]="NA","",(TA[[#This Row],[Fault Acknowledgement Time ]]-TA[[#This Row],[Fault Time]])*24)</f>
        <v>0</v>
      </c>
      <c r="AB253" s="35">
        <f>(TA[[#This Row],[Work Start time on Fault]]-TA[[#This Row],[Fault Time]])*24</f>
        <v>-6.25</v>
      </c>
      <c r="AC253" s="34">
        <f>(TA[[#This Row],[Work Completion time on fault]]-TA[[#This Row],[Fault Time]])*24</f>
        <v>11.999999999999998</v>
      </c>
      <c r="AD253" s="35">
        <f>IFERROR((TA[[#This Row],[Work Completion time on fault]]-TA[[#This Row],[Fault Time]])*24,"")</f>
        <v>11.999999999999998</v>
      </c>
      <c r="AE253" t="s">
        <v>309</v>
      </c>
      <c r="AF253" t="s">
        <v>256</v>
      </c>
      <c r="AG253" s="2"/>
      <c r="AH253" s="44">
        <f>1-COS(RADIANS(TA[[#This Row],[Avg. Target Angle during Fault Time (Radians)]]-TA[[#This Row],[Angle of affected equipment ]]))</f>
        <v>0.11705240714107301</v>
      </c>
      <c r="AI253" s="35">
        <f>IFERROR(TA[[#This Row],[Breakdown Time]]*TA[[#This Row],[Plant Equivalent Weightage]],"")</f>
        <v>0.10344827586206891</v>
      </c>
    </row>
    <row r="254" spans="1:35">
      <c r="A254" s="2">
        <f t="shared" si="13"/>
        <v>251</v>
      </c>
      <c r="B254" s="156">
        <f t="shared" si="11"/>
        <v>2026</v>
      </c>
      <c r="C254" s="129">
        <f t="shared" si="12"/>
        <v>2025</v>
      </c>
      <c r="D254" s="2" t="s">
        <v>155</v>
      </c>
      <c r="E254" s="2" t="s">
        <v>155</v>
      </c>
      <c r="F254" s="39">
        <v>45748</v>
      </c>
      <c r="G254" s="2">
        <f>DAY(EOMONTH(TA[[#This Row],[Month Year]],0))</f>
        <v>30</v>
      </c>
      <c r="H254" s="21">
        <v>45761</v>
      </c>
      <c r="I254" s="41">
        <f>IFERROR(VLOOKUP(TA[[#This Row],[Date]],Raw_Data[[Date]:[Sunset Time (POA&lt;20 W/m2)]],3,0),"")</f>
        <v>0.26041666666666669</v>
      </c>
      <c r="J254" s="41">
        <f>IFERROR(VLOOKUP(TA[[#This Row],[Date]],Raw_Data[[Date]:[Sunset Time (POA&lt;20 W/m2)]],4,0),"")</f>
        <v>0.76388888888888884</v>
      </c>
      <c r="K254" s="35">
        <f>IFERROR((TA[[#This Row],[Sunset Time (POA&lt;20 W/m2)]]-TA[[#This Row],[Sunrise Time (POA&gt;20 W/m2)]])*24,"")</f>
        <v>12.08333333333333</v>
      </c>
      <c r="L254" s="2" t="s">
        <v>296</v>
      </c>
      <c r="M254" s="42">
        <f>IFERROR(VLOOKUP(TA[[#This Row],[Affected Equipment]],'Basic Data'!$I$2:$K$40,3,0),"")</f>
        <v>8.6206896551724102E-3</v>
      </c>
      <c r="N254">
        <v>-28</v>
      </c>
      <c r="O254" t="s">
        <v>134</v>
      </c>
      <c r="P254" s="22" t="s">
        <v>330</v>
      </c>
      <c r="Q254" s="2" t="s">
        <v>323</v>
      </c>
      <c r="R254">
        <v>30</v>
      </c>
      <c r="S254" s="2">
        <v>57</v>
      </c>
      <c r="T254" t="s">
        <v>297</v>
      </c>
      <c r="U254" t="s">
        <v>326</v>
      </c>
      <c r="V254" t="s">
        <v>301</v>
      </c>
      <c r="W254" s="41">
        <f>IFERROR(VLOOKUP(TA[[#This Row],[Date]],Raw_Data[[Date]:[Sunset Time (POA&lt;20 W/m2)]],3,0),"")</f>
        <v>0.26041666666666669</v>
      </c>
      <c r="X254" s="41">
        <f>IFERROR(VLOOKUP(TA[[#This Row],[Date]],Raw_Data[[Date]:[Sunset Time (POA&lt;20 W/m2)]],3,0),"")</f>
        <v>0.26041666666666669</v>
      </c>
      <c r="Y254" s="34"/>
      <c r="Z254" s="34">
        <v>0.76041666666666663</v>
      </c>
      <c r="AA254" s="35">
        <f>IF(TA[[#This Row],[Work Start time on Fault]]="NA","",(TA[[#This Row],[Fault Acknowledgement Time ]]-TA[[#This Row],[Fault Time]])*24)</f>
        <v>0</v>
      </c>
      <c r="AB254" s="35">
        <f>(TA[[#This Row],[Work Start time on Fault]]-TA[[#This Row],[Fault Time]])*24</f>
        <v>-6.25</v>
      </c>
      <c r="AC254" s="34">
        <f>(TA[[#This Row],[Work Completion time on fault]]-TA[[#This Row],[Fault Time]])*24</f>
        <v>11.999999999999998</v>
      </c>
      <c r="AD254" s="35">
        <f>IFERROR((TA[[#This Row],[Work Completion time on fault]]-TA[[#This Row],[Fault Time]])*24,"")</f>
        <v>11.999999999999998</v>
      </c>
      <c r="AE254" t="s">
        <v>309</v>
      </c>
      <c r="AF254" t="s">
        <v>256</v>
      </c>
      <c r="AG254" s="2"/>
      <c r="AH254" s="44">
        <f>1-COS(RADIANS(TA[[#This Row],[Avg. Target Angle during Fault Time (Radians)]]-TA[[#This Row],[Angle of affected equipment ]]))</f>
        <v>0.11705240714107301</v>
      </c>
      <c r="AI254" s="35">
        <f>IFERROR(TA[[#This Row],[Breakdown Time]]*TA[[#This Row],[Plant Equivalent Weightage]],"")</f>
        <v>0.10344827586206891</v>
      </c>
    </row>
    <row r="255" spans="1:35">
      <c r="A255" s="2">
        <f t="shared" si="13"/>
        <v>252</v>
      </c>
      <c r="B255" s="156">
        <f t="shared" si="11"/>
        <v>2026</v>
      </c>
      <c r="C255" s="129">
        <f t="shared" si="12"/>
        <v>2025</v>
      </c>
      <c r="D255" s="2" t="s">
        <v>155</v>
      </c>
      <c r="E255" s="2" t="s">
        <v>155</v>
      </c>
      <c r="F255" s="39">
        <v>45748</v>
      </c>
      <c r="G255" s="2">
        <f>DAY(EOMONTH(TA[[#This Row],[Month Year]],0))</f>
        <v>30</v>
      </c>
      <c r="H255" s="21">
        <v>45761</v>
      </c>
      <c r="I255" s="41">
        <f>IFERROR(VLOOKUP(TA[[#This Row],[Date]],Raw_Data[[Date]:[Sunset Time (POA&lt;20 W/m2)]],3,0),"")</f>
        <v>0.26041666666666669</v>
      </c>
      <c r="J255" s="41">
        <f>IFERROR(VLOOKUP(TA[[#This Row],[Date]],Raw_Data[[Date]:[Sunset Time (POA&lt;20 W/m2)]],4,0),"")</f>
        <v>0.76388888888888884</v>
      </c>
      <c r="K255" s="35">
        <f>IFERROR((TA[[#This Row],[Sunset Time (POA&lt;20 W/m2)]]-TA[[#This Row],[Sunrise Time (POA&gt;20 W/m2)]])*24,"")</f>
        <v>12.08333333333333</v>
      </c>
      <c r="L255" s="2" t="s">
        <v>296</v>
      </c>
      <c r="M255" s="42">
        <f>IFERROR(VLOOKUP(TA[[#This Row],[Affected Equipment]],'Basic Data'!$I$2:$K$40,3,0),"")</f>
        <v>8.6206896551724102E-3</v>
      </c>
      <c r="N255">
        <v>-28</v>
      </c>
      <c r="O255" t="s">
        <v>134</v>
      </c>
      <c r="P255" s="22" t="s">
        <v>330</v>
      </c>
      <c r="Q255" s="2" t="s">
        <v>323</v>
      </c>
      <c r="R255">
        <v>31</v>
      </c>
      <c r="S255" s="2">
        <v>61</v>
      </c>
      <c r="T255" t="s">
        <v>297</v>
      </c>
      <c r="U255" t="s">
        <v>326</v>
      </c>
      <c r="V255" t="s">
        <v>301</v>
      </c>
      <c r="W255" s="41">
        <f>IFERROR(VLOOKUP(TA[[#This Row],[Date]],Raw_Data[[Date]:[Sunset Time (POA&lt;20 W/m2)]],3,0),"")</f>
        <v>0.26041666666666669</v>
      </c>
      <c r="X255" s="41">
        <f>IFERROR(VLOOKUP(TA[[#This Row],[Date]],Raw_Data[[Date]:[Sunset Time (POA&lt;20 W/m2)]],3,0),"")</f>
        <v>0.26041666666666669</v>
      </c>
      <c r="Y255" s="34"/>
      <c r="Z255" s="34">
        <v>0.76041666666666663</v>
      </c>
      <c r="AA255" s="35">
        <f>IF(TA[[#This Row],[Work Start time on Fault]]="NA","",(TA[[#This Row],[Fault Acknowledgement Time ]]-TA[[#This Row],[Fault Time]])*24)</f>
        <v>0</v>
      </c>
      <c r="AB255" s="35">
        <f>(TA[[#This Row],[Work Start time on Fault]]-TA[[#This Row],[Fault Time]])*24</f>
        <v>-6.25</v>
      </c>
      <c r="AC255" s="34">
        <f>(TA[[#This Row],[Work Completion time on fault]]-TA[[#This Row],[Fault Time]])*24</f>
        <v>11.999999999999998</v>
      </c>
      <c r="AD255" s="35">
        <f>IFERROR((TA[[#This Row],[Work Completion time on fault]]-TA[[#This Row],[Fault Time]])*24,"")</f>
        <v>11.999999999999998</v>
      </c>
      <c r="AE255" t="s">
        <v>309</v>
      </c>
      <c r="AF255" t="s">
        <v>256</v>
      </c>
      <c r="AG255" s="2"/>
      <c r="AH255" s="44">
        <f>1-COS(RADIANS(TA[[#This Row],[Avg. Target Angle during Fault Time (Radians)]]-TA[[#This Row],[Angle of affected equipment ]]))</f>
        <v>0.11705240714107301</v>
      </c>
      <c r="AI255" s="35">
        <f>IFERROR(TA[[#This Row],[Breakdown Time]]*TA[[#This Row],[Plant Equivalent Weightage]],"")</f>
        <v>0.10344827586206891</v>
      </c>
    </row>
    <row r="256" spans="1:35">
      <c r="A256" s="2">
        <f t="shared" si="13"/>
        <v>253</v>
      </c>
      <c r="B256" s="156">
        <f t="shared" si="11"/>
        <v>2026</v>
      </c>
      <c r="C256" s="129">
        <f t="shared" si="12"/>
        <v>2025</v>
      </c>
      <c r="D256" s="2" t="s">
        <v>155</v>
      </c>
      <c r="E256" s="2" t="s">
        <v>155</v>
      </c>
      <c r="F256" s="39">
        <v>45748</v>
      </c>
      <c r="G256" s="2">
        <f>DAY(EOMONTH(TA[[#This Row],[Month Year]],0))</f>
        <v>30</v>
      </c>
      <c r="H256" s="21">
        <v>45761</v>
      </c>
      <c r="I256" s="41">
        <f>IFERROR(VLOOKUP(TA[[#This Row],[Date]],Raw_Data[[Date]:[Sunset Time (POA&lt;20 W/m2)]],3,0),"")</f>
        <v>0.26041666666666669</v>
      </c>
      <c r="J256" s="41">
        <f>IFERROR(VLOOKUP(TA[[#This Row],[Date]],Raw_Data[[Date]:[Sunset Time (POA&lt;20 W/m2)]],4,0),"")</f>
        <v>0.76388888888888884</v>
      </c>
      <c r="K256" s="35">
        <f>IFERROR((TA[[#This Row],[Sunset Time (POA&lt;20 W/m2)]]-TA[[#This Row],[Sunrise Time (POA&gt;20 W/m2)]])*24,"")</f>
        <v>12.08333333333333</v>
      </c>
      <c r="L256" s="2" t="s">
        <v>312</v>
      </c>
      <c r="M256" s="42">
        <f>IFERROR(VLOOKUP(TA[[#This Row],[Affected Equipment]],'Basic Data'!$I$2:$K$40,3,0),"")</f>
        <v>5.74712643678161E-3</v>
      </c>
      <c r="N256">
        <v>-28</v>
      </c>
      <c r="O256" t="s">
        <v>133</v>
      </c>
      <c r="P256" s="22" t="s">
        <v>330</v>
      </c>
      <c r="Q256" s="2" t="s">
        <v>323</v>
      </c>
      <c r="R256">
        <v>26</v>
      </c>
      <c r="S256" s="2">
        <v>37</v>
      </c>
      <c r="T256" t="s">
        <v>297</v>
      </c>
      <c r="U256" t="s">
        <v>326</v>
      </c>
      <c r="V256" t="s">
        <v>301</v>
      </c>
      <c r="W256" s="41">
        <f>IFERROR(VLOOKUP(TA[[#This Row],[Date]],Raw_Data[[Date]:[Sunset Time (POA&lt;20 W/m2)]],3,0),"")</f>
        <v>0.26041666666666669</v>
      </c>
      <c r="X256" s="41">
        <f>IFERROR(VLOOKUP(TA[[#This Row],[Date]],Raw_Data[[Date]:[Sunset Time (POA&lt;20 W/m2)]],3,0),"")</f>
        <v>0.26041666666666669</v>
      </c>
      <c r="Y256" s="34"/>
      <c r="Z256" s="34">
        <v>0.76041666666666663</v>
      </c>
      <c r="AA256" s="35">
        <f>IF(TA[[#This Row],[Work Start time on Fault]]="NA","",(TA[[#This Row],[Fault Acknowledgement Time ]]-TA[[#This Row],[Fault Time]])*24)</f>
        <v>0</v>
      </c>
      <c r="AB256" s="35">
        <f>(TA[[#This Row],[Work Start time on Fault]]-TA[[#This Row],[Fault Time]])*24</f>
        <v>-6.25</v>
      </c>
      <c r="AC256" s="34">
        <f>(TA[[#This Row],[Work Completion time on fault]]-TA[[#This Row],[Fault Time]])*24</f>
        <v>11.999999999999998</v>
      </c>
      <c r="AD256" s="35">
        <f>IFERROR((TA[[#This Row],[Work Completion time on fault]]-TA[[#This Row],[Fault Time]])*24,"")</f>
        <v>11.999999999999998</v>
      </c>
      <c r="AE256" t="s">
        <v>309</v>
      </c>
      <c r="AF256" t="s">
        <v>256</v>
      </c>
      <c r="AG256" s="2"/>
      <c r="AH256" s="44">
        <f>1-COS(RADIANS(TA[[#This Row],[Avg. Target Angle during Fault Time (Radians)]]-TA[[#This Row],[Angle of affected equipment ]]))</f>
        <v>0.11705240714107301</v>
      </c>
      <c r="AI256" s="35">
        <f>IFERROR(TA[[#This Row],[Breakdown Time]]*TA[[#This Row],[Plant Equivalent Weightage]],"")</f>
        <v>6.8965517241379309E-2</v>
      </c>
    </row>
    <row r="257" spans="1:35">
      <c r="A257" s="2">
        <f t="shared" si="13"/>
        <v>254</v>
      </c>
      <c r="B257" s="156">
        <f t="shared" si="11"/>
        <v>2026</v>
      </c>
      <c r="C257" s="129">
        <f t="shared" si="12"/>
        <v>2025</v>
      </c>
      <c r="D257" s="2" t="s">
        <v>155</v>
      </c>
      <c r="E257" s="2" t="s">
        <v>155</v>
      </c>
      <c r="F257" s="39">
        <v>45748</v>
      </c>
      <c r="G257" s="2">
        <f>DAY(EOMONTH(TA[[#This Row],[Month Year]],0))</f>
        <v>30</v>
      </c>
      <c r="H257" s="21">
        <v>45761</v>
      </c>
      <c r="I257" s="41">
        <f>IFERROR(VLOOKUP(TA[[#This Row],[Date]],Raw_Data[[Date]:[Sunset Time (POA&lt;20 W/m2)]],3,0),"")</f>
        <v>0.26041666666666669</v>
      </c>
      <c r="J257" s="41">
        <f>IFERROR(VLOOKUP(TA[[#This Row],[Date]],Raw_Data[[Date]:[Sunset Time (POA&lt;20 W/m2)]],4,0),"")</f>
        <v>0.76388888888888884</v>
      </c>
      <c r="K257" s="35">
        <f>IFERROR((TA[[#This Row],[Sunset Time (POA&lt;20 W/m2)]]-TA[[#This Row],[Sunrise Time (POA&gt;20 W/m2)]])*24,"")</f>
        <v>12.08333333333333</v>
      </c>
      <c r="L257" s="2" t="s">
        <v>312</v>
      </c>
      <c r="M257" s="42">
        <f>IFERROR(VLOOKUP(TA[[#This Row],[Affected Equipment]],'Basic Data'!$I$2:$K$40,3,0),"")</f>
        <v>5.74712643678161E-3</v>
      </c>
      <c r="N257">
        <v>-28</v>
      </c>
      <c r="O257" t="s">
        <v>133</v>
      </c>
      <c r="P257" s="22" t="s">
        <v>330</v>
      </c>
      <c r="Q257" s="2" t="s">
        <v>323</v>
      </c>
      <c r="R257">
        <v>27</v>
      </c>
      <c r="S257" s="2">
        <v>42</v>
      </c>
      <c r="T257" t="s">
        <v>297</v>
      </c>
      <c r="U257" t="s">
        <v>326</v>
      </c>
      <c r="V257" t="s">
        <v>301</v>
      </c>
      <c r="W257" s="41">
        <f>IFERROR(VLOOKUP(TA[[#This Row],[Date]],Raw_Data[[Date]:[Sunset Time (POA&lt;20 W/m2)]],3,0),"")</f>
        <v>0.26041666666666669</v>
      </c>
      <c r="X257" s="41">
        <f>IFERROR(VLOOKUP(TA[[#This Row],[Date]],Raw_Data[[Date]:[Sunset Time (POA&lt;20 W/m2)]],3,0),"")</f>
        <v>0.26041666666666669</v>
      </c>
      <c r="Y257" s="34"/>
      <c r="Z257" s="34">
        <v>0.76041666666666663</v>
      </c>
      <c r="AA257" s="35">
        <f>IF(TA[[#This Row],[Work Start time on Fault]]="NA","",(TA[[#This Row],[Fault Acknowledgement Time ]]-TA[[#This Row],[Fault Time]])*24)</f>
        <v>0</v>
      </c>
      <c r="AB257" s="35">
        <f>(TA[[#This Row],[Work Start time on Fault]]-TA[[#This Row],[Fault Time]])*24</f>
        <v>-6.25</v>
      </c>
      <c r="AC257" s="34">
        <f>(TA[[#This Row],[Work Completion time on fault]]-TA[[#This Row],[Fault Time]])*24</f>
        <v>11.999999999999998</v>
      </c>
      <c r="AD257" s="35">
        <f>IFERROR((TA[[#This Row],[Work Completion time on fault]]-TA[[#This Row],[Fault Time]])*24,"")</f>
        <v>11.999999999999998</v>
      </c>
      <c r="AE257" t="s">
        <v>309</v>
      </c>
      <c r="AF257" t="s">
        <v>256</v>
      </c>
      <c r="AG257" s="2"/>
      <c r="AH257" s="44">
        <f>1-COS(RADIANS(TA[[#This Row],[Avg. Target Angle during Fault Time (Radians)]]-TA[[#This Row],[Angle of affected equipment ]]))</f>
        <v>0.11705240714107301</v>
      </c>
      <c r="AI257" s="35">
        <f>IFERROR(TA[[#This Row],[Breakdown Time]]*TA[[#This Row],[Plant Equivalent Weightage]],"")</f>
        <v>6.8965517241379309E-2</v>
      </c>
    </row>
    <row r="258" spans="1:35">
      <c r="A258" s="2">
        <f t="shared" si="13"/>
        <v>255</v>
      </c>
      <c r="B258" s="156">
        <f t="shared" si="11"/>
        <v>2026</v>
      </c>
      <c r="C258" s="129">
        <f t="shared" si="12"/>
        <v>2025</v>
      </c>
      <c r="D258" s="2" t="s">
        <v>155</v>
      </c>
      <c r="E258" s="2" t="s">
        <v>155</v>
      </c>
      <c r="F258" s="39">
        <v>45748</v>
      </c>
      <c r="G258" s="2">
        <f>DAY(EOMONTH(TA[[#This Row],[Month Year]],0))</f>
        <v>30</v>
      </c>
      <c r="H258" s="21">
        <v>45762</v>
      </c>
      <c r="I258" s="41">
        <f>IFERROR(VLOOKUP(TA[[#This Row],[Date]],Raw_Data[[Date]:[Sunset Time (POA&lt;20 W/m2)]],3,0),"")</f>
        <v>0.2590277777777778</v>
      </c>
      <c r="J258" s="41">
        <f>IFERROR(VLOOKUP(TA[[#This Row],[Date]],Raw_Data[[Date]:[Sunset Time (POA&lt;20 W/m2)]],4,0),"")</f>
        <v>0.7680555555555556</v>
      </c>
      <c r="K258" s="35">
        <f>IFERROR((TA[[#This Row],[Sunset Time (POA&lt;20 W/m2)]]-TA[[#This Row],[Sunrise Time (POA&gt;20 W/m2)]])*24,"")</f>
        <v>12.216666666666669</v>
      </c>
      <c r="L258" s="2" t="s">
        <v>294</v>
      </c>
      <c r="M258" s="42">
        <f>IFERROR(VLOOKUP(TA[[#This Row],[Affected Equipment]],'Basic Data'!$I$2:$K$40,3,0),"")</f>
        <v>1.7241379310344799E-3</v>
      </c>
      <c r="N258">
        <v>-28</v>
      </c>
      <c r="O258" t="s">
        <v>135</v>
      </c>
      <c r="P258" s="127" t="s">
        <v>318</v>
      </c>
      <c r="Q258" s="126" t="s">
        <v>318</v>
      </c>
      <c r="R258">
        <v>130</v>
      </c>
      <c r="S258" s="2">
        <v>37</v>
      </c>
      <c r="T258" t="s">
        <v>295</v>
      </c>
      <c r="U258" t="s">
        <v>300</v>
      </c>
      <c r="V258" t="s">
        <v>298</v>
      </c>
      <c r="W258" s="41"/>
      <c r="X258" s="41"/>
      <c r="Y258" s="34"/>
      <c r="Z258" s="34"/>
      <c r="AA258" s="35">
        <f>IF(TA[[#This Row],[Work Start time on Fault]]="NA","",(TA[[#This Row],[Fault Acknowledgement Time ]]-TA[[#This Row],[Fault Time]])*24)</f>
        <v>0</v>
      </c>
      <c r="AB258" s="35">
        <f>(TA[[#This Row],[Work Start time on Fault]]-TA[[#This Row],[Fault Time]])*24</f>
        <v>0</v>
      </c>
      <c r="AC258" s="34">
        <f>(TA[[#This Row],[Work Completion time on fault]]-TA[[#This Row],[Fault Time]])*24</f>
        <v>0</v>
      </c>
      <c r="AD258" s="35">
        <f>IFERROR((TA[[#This Row],[Work Completion time on fault]]-TA[[#This Row],[Fault Time]])*24,"")</f>
        <v>0</v>
      </c>
      <c r="AE258" t="s">
        <v>328</v>
      </c>
      <c r="AF258" t="s">
        <v>256</v>
      </c>
      <c r="AG258" s="2"/>
      <c r="AH258" s="44">
        <f>1-COS(RADIANS(TA[[#This Row],[Avg. Target Angle during Fault Time (Radians)]]-TA[[#This Row],[Angle of affected equipment ]]))</f>
        <v>0.11705240714107301</v>
      </c>
      <c r="AI258" s="35">
        <f>IFERROR(TA[[#This Row],[Breakdown Time]]*TA[[#This Row],[Plant Equivalent Weightage]],"")</f>
        <v>0</v>
      </c>
    </row>
    <row r="259" spans="1:35">
      <c r="A259" s="2">
        <f t="shared" si="13"/>
        <v>256</v>
      </c>
      <c r="B259" s="156">
        <f t="shared" si="11"/>
        <v>2026</v>
      </c>
      <c r="C259" s="129">
        <f t="shared" si="12"/>
        <v>2025</v>
      </c>
      <c r="D259" s="2" t="s">
        <v>155</v>
      </c>
      <c r="E259" s="2" t="s">
        <v>155</v>
      </c>
      <c r="F259" s="39">
        <v>45748</v>
      </c>
      <c r="G259" s="2">
        <f>DAY(EOMONTH(TA[[#This Row],[Month Year]],0))</f>
        <v>30</v>
      </c>
      <c r="H259" s="21">
        <v>45762</v>
      </c>
      <c r="I259" s="41">
        <f>IFERROR(VLOOKUP(TA[[#This Row],[Date]],Raw_Data[[Date]:[Sunset Time (POA&lt;20 W/m2)]],3,0),"")</f>
        <v>0.2590277777777778</v>
      </c>
      <c r="J259" s="41">
        <f>IFERROR(VLOOKUP(TA[[#This Row],[Date]],Raw_Data[[Date]:[Sunset Time (POA&lt;20 W/m2)]],4,0),"")</f>
        <v>0.7680555555555556</v>
      </c>
      <c r="K259" s="35">
        <f>IFERROR((TA[[#This Row],[Sunset Time (POA&lt;20 W/m2)]]-TA[[#This Row],[Sunrise Time (POA&gt;20 W/m2)]])*24,"")</f>
        <v>12.216666666666669</v>
      </c>
      <c r="L259" s="2" t="s">
        <v>294</v>
      </c>
      <c r="M259" s="42">
        <f>IFERROR(VLOOKUP(TA[[#This Row],[Affected Equipment]],'Basic Data'!$I$2:$K$40,3,0),"")</f>
        <v>1.7241379310344799E-3</v>
      </c>
      <c r="N259">
        <v>-28</v>
      </c>
      <c r="O259" t="s">
        <v>135</v>
      </c>
      <c r="P259" s="127" t="s">
        <v>318</v>
      </c>
      <c r="Q259" s="126" t="s">
        <v>318</v>
      </c>
      <c r="R259">
        <v>131</v>
      </c>
      <c r="S259" s="2">
        <v>38</v>
      </c>
      <c r="T259" t="s">
        <v>295</v>
      </c>
      <c r="U259" t="s">
        <v>300</v>
      </c>
      <c r="V259" t="s">
        <v>298</v>
      </c>
      <c r="W259" s="41"/>
      <c r="X259" s="41"/>
      <c r="Y259" s="34"/>
      <c r="Z259" s="34"/>
      <c r="AA259" s="35">
        <f>IF(TA[[#This Row],[Work Start time on Fault]]="NA","",(TA[[#This Row],[Fault Acknowledgement Time ]]-TA[[#This Row],[Fault Time]])*24)</f>
        <v>0</v>
      </c>
      <c r="AB259" s="35">
        <f>(TA[[#This Row],[Work Start time on Fault]]-TA[[#This Row],[Fault Time]])*24</f>
        <v>0</v>
      </c>
      <c r="AC259" s="34">
        <f>(TA[[#This Row],[Work Completion time on fault]]-TA[[#This Row],[Fault Time]])*24</f>
        <v>0</v>
      </c>
      <c r="AD259" s="35">
        <f>IFERROR((TA[[#This Row],[Work Completion time on fault]]-TA[[#This Row],[Fault Time]])*24,"")</f>
        <v>0</v>
      </c>
      <c r="AE259" t="s">
        <v>328</v>
      </c>
      <c r="AF259" t="s">
        <v>256</v>
      </c>
      <c r="AG259" s="2"/>
      <c r="AH259" s="44">
        <f>1-COS(RADIANS(TA[[#This Row],[Avg. Target Angle during Fault Time (Radians)]]-TA[[#This Row],[Angle of affected equipment ]]))</f>
        <v>0.11705240714107301</v>
      </c>
      <c r="AI259" s="35">
        <f>IFERROR(TA[[#This Row],[Breakdown Time]]*TA[[#This Row],[Plant Equivalent Weightage]],"")</f>
        <v>0</v>
      </c>
    </row>
    <row r="260" spans="1:35">
      <c r="A260" s="2">
        <f t="shared" si="13"/>
        <v>257</v>
      </c>
      <c r="B260" s="156">
        <f t="shared" si="11"/>
        <v>2026</v>
      </c>
      <c r="C260" s="129">
        <f t="shared" si="12"/>
        <v>2025</v>
      </c>
      <c r="D260" s="2" t="s">
        <v>155</v>
      </c>
      <c r="E260" s="2" t="s">
        <v>155</v>
      </c>
      <c r="F260" s="39">
        <v>45748</v>
      </c>
      <c r="G260" s="2">
        <f>DAY(EOMONTH(TA[[#This Row],[Month Year]],0))</f>
        <v>30</v>
      </c>
      <c r="H260" s="21">
        <v>45762</v>
      </c>
      <c r="I260" s="41">
        <f>IFERROR(VLOOKUP(TA[[#This Row],[Date]],Raw_Data[[Date]:[Sunset Time (POA&lt;20 W/m2)]],3,0),"")</f>
        <v>0.2590277777777778</v>
      </c>
      <c r="J260" s="41">
        <f>IFERROR(VLOOKUP(TA[[#This Row],[Date]],Raw_Data[[Date]:[Sunset Time (POA&lt;20 W/m2)]],4,0),"")</f>
        <v>0.7680555555555556</v>
      </c>
      <c r="K260" s="35">
        <f>IFERROR((TA[[#This Row],[Sunset Time (POA&lt;20 W/m2)]]-TA[[#This Row],[Sunrise Time (POA&gt;20 W/m2)]])*24,"")</f>
        <v>12.216666666666669</v>
      </c>
      <c r="L260" s="2" t="s">
        <v>294</v>
      </c>
      <c r="M260" s="42">
        <f>IFERROR(VLOOKUP(TA[[#This Row],[Affected Equipment]],'Basic Data'!$I$2:$K$40,3,0),"")</f>
        <v>1.7241379310344799E-3</v>
      </c>
      <c r="N260">
        <v>-28</v>
      </c>
      <c r="O260" t="s">
        <v>135</v>
      </c>
      <c r="P260" s="127" t="s">
        <v>318</v>
      </c>
      <c r="Q260" s="126" t="s">
        <v>318</v>
      </c>
      <c r="R260">
        <v>131</v>
      </c>
      <c r="S260" s="2">
        <v>39</v>
      </c>
      <c r="T260" t="s">
        <v>295</v>
      </c>
      <c r="U260" t="s">
        <v>300</v>
      </c>
      <c r="V260" t="s">
        <v>298</v>
      </c>
      <c r="W260" s="41"/>
      <c r="X260" s="41"/>
      <c r="Y260" s="34"/>
      <c r="Z260" s="34"/>
      <c r="AA260" s="35">
        <f>IF(TA[[#This Row],[Work Start time on Fault]]="NA","",(TA[[#This Row],[Fault Acknowledgement Time ]]-TA[[#This Row],[Fault Time]])*24)</f>
        <v>0</v>
      </c>
      <c r="AB260" s="35">
        <f>(TA[[#This Row],[Work Start time on Fault]]-TA[[#This Row],[Fault Time]])*24</f>
        <v>0</v>
      </c>
      <c r="AC260" s="34">
        <f>(TA[[#This Row],[Work Completion time on fault]]-TA[[#This Row],[Fault Time]])*24</f>
        <v>0</v>
      </c>
      <c r="AD260" s="35">
        <f>IFERROR((TA[[#This Row],[Work Completion time on fault]]-TA[[#This Row],[Fault Time]])*24,"")</f>
        <v>0</v>
      </c>
      <c r="AE260" t="s">
        <v>328</v>
      </c>
      <c r="AF260" t="s">
        <v>256</v>
      </c>
      <c r="AG260" s="2"/>
      <c r="AH260" s="44">
        <f>1-COS(RADIANS(TA[[#This Row],[Avg. Target Angle during Fault Time (Radians)]]-TA[[#This Row],[Angle of affected equipment ]]))</f>
        <v>0.11705240714107301</v>
      </c>
      <c r="AI260" s="35">
        <f>IFERROR(TA[[#This Row],[Breakdown Time]]*TA[[#This Row],[Plant Equivalent Weightage]],"")</f>
        <v>0</v>
      </c>
    </row>
    <row r="261" spans="1:35">
      <c r="A261" s="2">
        <f t="shared" si="13"/>
        <v>258</v>
      </c>
      <c r="B261" s="156">
        <f t="shared" ref="B261:B324" si="14">YEAR(H261)+IF(MONTH(H261)&gt;=4,1,0)</f>
        <v>2026</v>
      </c>
      <c r="C261" s="129">
        <f t="shared" ref="C261:C324" si="15">YEAR(H261)</f>
        <v>2025</v>
      </c>
      <c r="D261" s="2" t="s">
        <v>155</v>
      </c>
      <c r="E261" s="2" t="s">
        <v>155</v>
      </c>
      <c r="F261" s="39">
        <v>45748</v>
      </c>
      <c r="G261" s="2">
        <f>DAY(EOMONTH(TA[[#This Row],[Month Year]],0))</f>
        <v>30</v>
      </c>
      <c r="H261" s="21">
        <v>45762</v>
      </c>
      <c r="I261" s="41">
        <f>IFERROR(VLOOKUP(TA[[#This Row],[Date]],Raw_Data[[Date]:[Sunset Time (POA&lt;20 W/m2)]],3,0),"")</f>
        <v>0.2590277777777778</v>
      </c>
      <c r="J261" s="41">
        <f>IFERROR(VLOOKUP(TA[[#This Row],[Date]],Raw_Data[[Date]:[Sunset Time (POA&lt;20 W/m2)]],4,0),"")</f>
        <v>0.7680555555555556</v>
      </c>
      <c r="K261" s="35">
        <f>IFERROR((TA[[#This Row],[Sunset Time (POA&lt;20 W/m2)]]-TA[[#This Row],[Sunrise Time (POA&gt;20 W/m2)]])*24,"")</f>
        <v>12.216666666666669</v>
      </c>
      <c r="L261" s="2" t="s">
        <v>296</v>
      </c>
      <c r="M261" s="42">
        <f>IFERROR(VLOOKUP(TA[[#This Row],[Affected Equipment]],'Basic Data'!$I$2:$K$40,3,0),"")</f>
        <v>8.6206896551724102E-3</v>
      </c>
      <c r="N261">
        <v>-28</v>
      </c>
      <c r="O261" t="s">
        <v>135</v>
      </c>
      <c r="P261" s="127" t="s">
        <v>318</v>
      </c>
      <c r="Q261" s="2" t="s">
        <v>321</v>
      </c>
      <c r="R261">
        <v>133</v>
      </c>
      <c r="S261" s="2">
        <v>26</v>
      </c>
      <c r="T261" t="s">
        <v>297</v>
      </c>
      <c r="U261" t="s">
        <v>300</v>
      </c>
      <c r="V261" t="s">
        <v>314</v>
      </c>
      <c r="W261" s="41"/>
      <c r="X261" s="41"/>
      <c r="Y261" s="34"/>
      <c r="Z261" s="34"/>
      <c r="AA261" s="35">
        <f>IF(TA[[#This Row],[Work Start time on Fault]]="NA","",(TA[[#This Row],[Fault Acknowledgement Time ]]-TA[[#This Row],[Fault Time]])*24)</f>
        <v>0</v>
      </c>
      <c r="AB261" s="35">
        <f>(TA[[#This Row],[Work Start time on Fault]]-TA[[#This Row],[Fault Time]])*24</f>
        <v>0</v>
      </c>
      <c r="AC261" s="34">
        <f>(TA[[#This Row],[Work Completion time on fault]]-TA[[#This Row],[Fault Time]])*24</f>
        <v>0</v>
      </c>
      <c r="AD261" s="35">
        <f>IFERROR((TA[[#This Row],[Work Completion time on fault]]-TA[[#This Row],[Fault Time]])*24,"")</f>
        <v>0</v>
      </c>
      <c r="AE261" t="s">
        <v>328</v>
      </c>
      <c r="AF261" t="s">
        <v>256</v>
      </c>
      <c r="AG261" s="2"/>
      <c r="AH261" s="44">
        <f>1-COS(RADIANS(TA[[#This Row],[Avg. Target Angle during Fault Time (Radians)]]-TA[[#This Row],[Angle of affected equipment ]]))</f>
        <v>0.11705240714107301</v>
      </c>
      <c r="AI261" s="35">
        <f>IFERROR(TA[[#This Row],[Breakdown Time]]*TA[[#This Row],[Plant Equivalent Weightage]],"")</f>
        <v>0</v>
      </c>
    </row>
    <row r="262" spans="1:35">
      <c r="A262" s="2">
        <f t="shared" si="13"/>
        <v>259</v>
      </c>
      <c r="B262" s="156">
        <f t="shared" si="14"/>
        <v>2026</v>
      </c>
      <c r="C262" s="129">
        <f t="shared" si="15"/>
        <v>2025</v>
      </c>
      <c r="D262" s="2" t="s">
        <v>155</v>
      </c>
      <c r="E262" s="2" t="s">
        <v>155</v>
      </c>
      <c r="F262" s="39">
        <v>45748</v>
      </c>
      <c r="G262" s="2">
        <f>DAY(EOMONTH(TA[[#This Row],[Month Year]],0))</f>
        <v>30</v>
      </c>
      <c r="H262" s="21">
        <v>45762</v>
      </c>
      <c r="I262" s="41">
        <f>IFERROR(VLOOKUP(TA[[#This Row],[Date]],Raw_Data[[Date]:[Sunset Time (POA&lt;20 W/m2)]],3,0),"")</f>
        <v>0.2590277777777778</v>
      </c>
      <c r="J262" s="41">
        <f>IFERROR(VLOOKUP(TA[[#This Row],[Date]],Raw_Data[[Date]:[Sunset Time (POA&lt;20 W/m2)]],4,0),"")</f>
        <v>0.7680555555555556</v>
      </c>
      <c r="K262" s="35">
        <f>IFERROR((TA[[#This Row],[Sunset Time (POA&lt;20 W/m2)]]-TA[[#This Row],[Sunrise Time (POA&gt;20 W/m2)]])*24,"")</f>
        <v>12.216666666666669</v>
      </c>
      <c r="L262" s="2" t="s">
        <v>294</v>
      </c>
      <c r="M262" s="42">
        <f>IFERROR(VLOOKUP(TA[[#This Row],[Affected Equipment]],'Basic Data'!$I$2:$K$40,3,0),"")</f>
        <v>1.7241379310344799E-3</v>
      </c>
      <c r="N262">
        <v>-28</v>
      </c>
      <c r="O262" t="s">
        <v>133</v>
      </c>
      <c r="P262" s="127" t="s">
        <v>316</v>
      </c>
      <c r="Q262" s="126" t="s">
        <v>317</v>
      </c>
      <c r="R262">
        <v>7</v>
      </c>
      <c r="S262" s="2">
        <v>32</v>
      </c>
      <c r="T262" t="s">
        <v>295</v>
      </c>
      <c r="U262" t="s">
        <v>300</v>
      </c>
      <c r="V262" t="s">
        <v>298</v>
      </c>
      <c r="W262" s="41"/>
      <c r="X262" s="41"/>
      <c r="Y262" s="34"/>
      <c r="Z262" s="34"/>
      <c r="AA262" s="35">
        <f>IF(TA[[#This Row],[Work Start time on Fault]]="NA","",(TA[[#This Row],[Fault Acknowledgement Time ]]-TA[[#This Row],[Fault Time]])*24)</f>
        <v>0</v>
      </c>
      <c r="AB262" s="35">
        <f>(TA[[#This Row],[Work Start time on Fault]]-TA[[#This Row],[Fault Time]])*24</f>
        <v>0</v>
      </c>
      <c r="AC262" s="34">
        <f>(TA[[#This Row],[Work Completion time on fault]]-TA[[#This Row],[Fault Time]])*24</f>
        <v>0</v>
      </c>
      <c r="AD262" s="35">
        <f>IFERROR((TA[[#This Row],[Work Completion time on fault]]-TA[[#This Row],[Fault Time]])*24,"")</f>
        <v>0</v>
      </c>
      <c r="AE262" t="s">
        <v>328</v>
      </c>
      <c r="AF262" t="s">
        <v>256</v>
      </c>
      <c r="AG262" s="2"/>
      <c r="AH262" s="44">
        <f>1-COS(RADIANS(TA[[#This Row],[Avg. Target Angle during Fault Time (Radians)]]-TA[[#This Row],[Angle of affected equipment ]]))</f>
        <v>0.11705240714107301</v>
      </c>
      <c r="AI262" s="35">
        <f>IFERROR(TA[[#This Row],[Breakdown Time]]*TA[[#This Row],[Plant Equivalent Weightage]],"")</f>
        <v>0</v>
      </c>
    </row>
    <row r="263" spans="1:35">
      <c r="A263" s="2">
        <f t="shared" si="13"/>
        <v>260</v>
      </c>
      <c r="B263" s="156">
        <f t="shared" si="14"/>
        <v>2026</v>
      </c>
      <c r="C263" s="129">
        <f t="shared" si="15"/>
        <v>2025</v>
      </c>
      <c r="D263" s="2" t="s">
        <v>155</v>
      </c>
      <c r="E263" s="2" t="s">
        <v>155</v>
      </c>
      <c r="F263" s="39">
        <v>45748</v>
      </c>
      <c r="G263" s="2">
        <f>DAY(EOMONTH(TA[[#This Row],[Month Year]],0))</f>
        <v>30</v>
      </c>
      <c r="H263" s="21">
        <v>45762</v>
      </c>
      <c r="I263" s="41">
        <f>IFERROR(VLOOKUP(TA[[#This Row],[Date]],Raw_Data[[Date]:[Sunset Time (POA&lt;20 W/m2)]],3,0),"")</f>
        <v>0.2590277777777778</v>
      </c>
      <c r="J263" s="41">
        <f>IFERROR(VLOOKUP(TA[[#This Row],[Date]],Raw_Data[[Date]:[Sunset Time (POA&lt;20 W/m2)]],4,0),"")</f>
        <v>0.7680555555555556</v>
      </c>
      <c r="K263" s="35">
        <f>IFERROR((TA[[#This Row],[Sunset Time (POA&lt;20 W/m2)]]-TA[[#This Row],[Sunrise Time (POA&gt;20 W/m2)]])*24,"")</f>
        <v>12.216666666666669</v>
      </c>
      <c r="L263" s="2" t="s">
        <v>294</v>
      </c>
      <c r="M263" s="42">
        <f>IFERROR(VLOOKUP(TA[[#This Row],[Affected Equipment]],'Basic Data'!$I$2:$K$40,3,0),"")</f>
        <v>1.7241379310344799E-3</v>
      </c>
      <c r="N263">
        <v>-28</v>
      </c>
      <c r="O263" t="s">
        <v>137</v>
      </c>
      <c r="P263" s="127" t="s">
        <v>315</v>
      </c>
      <c r="Q263" s="126" t="s">
        <v>319</v>
      </c>
      <c r="R263">
        <v>166</v>
      </c>
      <c r="S263" s="2">
        <v>91</v>
      </c>
      <c r="T263" t="s">
        <v>295</v>
      </c>
      <c r="U263" t="s">
        <v>300</v>
      </c>
      <c r="V263" t="s">
        <v>298</v>
      </c>
      <c r="W263" s="41"/>
      <c r="X263" s="41"/>
      <c r="Y263" s="34"/>
      <c r="Z263" s="34"/>
      <c r="AA263" s="35">
        <f>IF(TA[[#This Row],[Work Start time on Fault]]="NA","",(TA[[#This Row],[Fault Acknowledgement Time ]]-TA[[#This Row],[Fault Time]])*24)</f>
        <v>0</v>
      </c>
      <c r="AB263" s="35">
        <f>(TA[[#This Row],[Work Start time on Fault]]-TA[[#This Row],[Fault Time]])*24</f>
        <v>0</v>
      </c>
      <c r="AC263" s="34">
        <f>(TA[[#This Row],[Work Completion time on fault]]-TA[[#This Row],[Fault Time]])*24</f>
        <v>0</v>
      </c>
      <c r="AD263" s="35">
        <f>IFERROR((TA[[#This Row],[Work Completion time on fault]]-TA[[#This Row],[Fault Time]])*24,"")</f>
        <v>0</v>
      </c>
      <c r="AE263" t="s">
        <v>328</v>
      </c>
      <c r="AF263" t="s">
        <v>256</v>
      </c>
      <c r="AG263" s="2"/>
      <c r="AH263" s="44">
        <f>1-COS(RADIANS(TA[[#This Row],[Avg. Target Angle during Fault Time (Radians)]]-TA[[#This Row],[Angle of affected equipment ]]))</f>
        <v>0.11705240714107301</v>
      </c>
      <c r="AI263" s="35">
        <f>IFERROR(TA[[#This Row],[Breakdown Time]]*TA[[#This Row],[Plant Equivalent Weightage]],"")</f>
        <v>0</v>
      </c>
    </row>
    <row r="264" spans="1:35">
      <c r="A264" s="2">
        <f t="shared" si="13"/>
        <v>261</v>
      </c>
      <c r="B264" s="156">
        <f t="shared" si="14"/>
        <v>2026</v>
      </c>
      <c r="C264" s="129">
        <f t="shared" si="15"/>
        <v>2025</v>
      </c>
      <c r="D264" s="2" t="s">
        <v>155</v>
      </c>
      <c r="E264" s="2" t="s">
        <v>155</v>
      </c>
      <c r="F264" s="39">
        <v>45748</v>
      </c>
      <c r="G264" s="2">
        <f>DAY(EOMONTH(TA[[#This Row],[Month Year]],0))</f>
        <v>30</v>
      </c>
      <c r="H264" s="21">
        <v>45762</v>
      </c>
      <c r="I264" s="41">
        <f>IFERROR(VLOOKUP(TA[[#This Row],[Date]],Raw_Data[[Date]:[Sunset Time (POA&lt;20 W/m2)]],3,0),"")</f>
        <v>0.2590277777777778</v>
      </c>
      <c r="J264" s="41">
        <f>IFERROR(VLOOKUP(TA[[#This Row],[Date]],Raw_Data[[Date]:[Sunset Time (POA&lt;20 W/m2)]],4,0),"")</f>
        <v>0.7680555555555556</v>
      </c>
      <c r="K264" s="35">
        <f>IFERROR((TA[[#This Row],[Sunset Time (POA&lt;20 W/m2)]]-TA[[#This Row],[Sunrise Time (POA&gt;20 W/m2)]])*24,"")</f>
        <v>12.216666666666669</v>
      </c>
      <c r="L264" s="2" t="s">
        <v>294</v>
      </c>
      <c r="M264" s="42">
        <f>IFERROR(VLOOKUP(TA[[#This Row],[Affected Equipment]],'Basic Data'!$I$2:$K$40,3,0),"")</f>
        <v>1.7241379310344799E-3</v>
      </c>
      <c r="N264">
        <v>-28</v>
      </c>
      <c r="O264" t="s">
        <v>133</v>
      </c>
      <c r="P264" s="127" t="s">
        <v>316</v>
      </c>
      <c r="Q264" s="126" t="s">
        <v>316</v>
      </c>
      <c r="R264">
        <v>117</v>
      </c>
      <c r="S264" s="2">
        <v>20</v>
      </c>
      <c r="T264" t="s">
        <v>295</v>
      </c>
      <c r="U264" t="s">
        <v>300</v>
      </c>
      <c r="V264" t="s">
        <v>298</v>
      </c>
      <c r="W264" s="41"/>
      <c r="X264" s="41"/>
      <c r="Y264" s="34"/>
      <c r="Z264" s="34"/>
      <c r="AA264" s="35">
        <f>IF(TA[[#This Row],[Work Start time on Fault]]="NA","",(TA[[#This Row],[Fault Acknowledgement Time ]]-TA[[#This Row],[Fault Time]])*24)</f>
        <v>0</v>
      </c>
      <c r="AB264" s="35">
        <f>(TA[[#This Row],[Work Start time on Fault]]-TA[[#This Row],[Fault Time]])*24</f>
        <v>0</v>
      </c>
      <c r="AC264" s="34">
        <f>(TA[[#This Row],[Work Completion time on fault]]-TA[[#This Row],[Fault Time]])*24</f>
        <v>0</v>
      </c>
      <c r="AD264" s="35">
        <f>IFERROR((TA[[#This Row],[Work Completion time on fault]]-TA[[#This Row],[Fault Time]])*24,"")</f>
        <v>0</v>
      </c>
      <c r="AE264" t="s">
        <v>328</v>
      </c>
      <c r="AF264" t="s">
        <v>256</v>
      </c>
      <c r="AG264" s="2"/>
      <c r="AH264" s="44">
        <f>1-COS(RADIANS(TA[[#This Row],[Avg. Target Angle during Fault Time (Radians)]]-TA[[#This Row],[Angle of affected equipment ]]))</f>
        <v>0.11705240714107301</v>
      </c>
      <c r="AI264" s="35">
        <f>IFERROR(TA[[#This Row],[Breakdown Time]]*TA[[#This Row],[Plant Equivalent Weightage]],"")</f>
        <v>0</v>
      </c>
    </row>
    <row r="265" spans="1:35">
      <c r="A265" s="2">
        <f t="shared" si="13"/>
        <v>262</v>
      </c>
      <c r="B265" s="156">
        <f t="shared" si="14"/>
        <v>2026</v>
      </c>
      <c r="C265" s="129">
        <f t="shared" si="15"/>
        <v>2025</v>
      </c>
      <c r="D265" s="2" t="s">
        <v>155</v>
      </c>
      <c r="E265" s="2" t="s">
        <v>155</v>
      </c>
      <c r="F265" s="39">
        <v>45748</v>
      </c>
      <c r="G265" s="2">
        <f>DAY(EOMONTH(TA[[#This Row],[Month Year]],0))</f>
        <v>30</v>
      </c>
      <c r="H265" s="21">
        <v>45762</v>
      </c>
      <c r="I265" s="41">
        <f>IFERROR(VLOOKUP(TA[[#This Row],[Date]],Raw_Data[[Date]:[Sunset Time (POA&lt;20 W/m2)]],3,0),"")</f>
        <v>0.2590277777777778</v>
      </c>
      <c r="J265" s="41">
        <f>IFERROR(VLOOKUP(TA[[#This Row],[Date]],Raw_Data[[Date]:[Sunset Time (POA&lt;20 W/m2)]],4,0),"")</f>
        <v>0.7680555555555556</v>
      </c>
      <c r="K265" s="35">
        <f>IFERROR((TA[[#This Row],[Sunset Time (POA&lt;20 W/m2)]]-TA[[#This Row],[Sunrise Time (POA&gt;20 W/m2)]])*24,"")</f>
        <v>12.216666666666669</v>
      </c>
      <c r="L265" s="2" t="s">
        <v>294</v>
      </c>
      <c r="M265" s="42">
        <f>IFERROR(VLOOKUP(TA[[#This Row],[Affected Equipment]],'Basic Data'!$I$2:$K$40,3,0),"")</f>
        <v>1.7241379310344799E-3</v>
      </c>
      <c r="N265">
        <v>-28</v>
      </c>
      <c r="O265" t="s">
        <v>133</v>
      </c>
      <c r="P265" s="127" t="s">
        <v>316</v>
      </c>
      <c r="Q265" s="126" t="s">
        <v>316</v>
      </c>
      <c r="R265">
        <v>118</v>
      </c>
      <c r="S265" s="2">
        <v>22</v>
      </c>
      <c r="T265" t="s">
        <v>295</v>
      </c>
      <c r="U265" t="s">
        <v>300</v>
      </c>
      <c r="V265" t="s">
        <v>298</v>
      </c>
      <c r="W265" s="41"/>
      <c r="X265" s="41"/>
      <c r="Y265" s="34"/>
      <c r="Z265" s="34"/>
      <c r="AA265" s="35">
        <f>IF(TA[[#This Row],[Work Start time on Fault]]="NA","",(TA[[#This Row],[Fault Acknowledgement Time ]]-TA[[#This Row],[Fault Time]])*24)</f>
        <v>0</v>
      </c>
      <c r="AB265" s="35">
        <f>(TA[[#This Row],[Work Start time on Fault]]-TA[[#This Row],[Fault Time]])*24</f>
        <v>0</v>
      </c>
      <c r="AC265" s="34">
        <f>(TA[[#This Row],[Work Completion time on fault]]-TA[[#This Row],[Fault Time]])*24</f>
        <v>0</v>
      </c>
      <c r="AD265" s="35">
        <f>IFERROR((TA[[#This Row],[Work Completion time on fault]]-TA[[#This Row],[Fault Time]])*24,"")</f>
        <v>0</v>
      </c>
      <c r="AE265" t="s">
        <v>328</v>
      </c>
      <c r="AF265" t="s">
        <v>256</v>
      </c>
      <c r="AG265" s="2"/>
      <c r="AH265" s="44">
        <f>1-COS(RADIANS(TA[[#This Row],[Avg. Target Angle during Fault Time (Radians)]]-TA[[#This Row],[Angle of affected equipment ]]))</f>
        <v>0.11705240714107301</v>
      </c>
      <c r="AI265" s="35">
        <f>IFERROR(TA[[#This Row],[Breakdown Time]]*TA[[#This Row],[Plant Equivalent Weightage]],"")</f>
        <v>0</v>
      </c>
    </row>
    <row r="266" spans="1:35">
      <c r="A266" s="2">
        <f t="shared" si="13"/>
        <v>263</v>
      </c>
      <c r="B266" s="156">
        <f t="shared" si="14"/>
        <v>2026</v>
      </c>
      <c r="C266" s="129">
        <f t="shared" si="15"/>
        <v>2025</v>
      </c>
      <c r="D266" s="2" t="s">
        <v>155</v>
      </c>
      <c r="E266" s="2" t="s">
        <v>155</v>
      </c>
      <c r="F266" s="39">
        <v>45748</v>
      </c>
      <c r="G266" s="2">
        <f>DAY(EOMONTH(TA[[#This Row],[Month Year]],0))</f>
        <v>30</v>
      </c>
      <c r="H266" s="21">
        <v>45762</v>
      </c>
      <c r="I266" s="41">
        <f>IFERROR(VLOOKUP(TA[[#This Row],[Date]],Raw_Data[[Date]:[Sunset Time (POA&lt;20 W/m2)]],3,0),"")</f>
        <v>0.2590277777777778</v>
      </c>
      <c r="J266" s="41">
        <f>IFERROR(VLOOKUP(TA[[#This Row],[Date]],Raw_Data[[Date]:[Sunset Time (POA&lt;20 W/m2)]],4,0),"")</f>
        <v>0.7680555555555556</v>
      </c>
      <c r="K266" s="35">
        <f>IFERROR((TA[[#This Row],[Sunset Time (POA&lt;20 W/m2)]]-TA[[#This Row],[Sunrise Time (POA&gt;20 W/m2)]])*24,"")</f>
        <v>12.216666666666669</v>
      </c>
      <c r="L266" s="2" t="s">
        <v>296</v>
      </c>
      <c r="M266" s="42">
        <f>IFERROR(VLOOKUP(TA[[#This Row],[Affected Equipment]],'Basic Data'!$I$2:$K$40,3,0),"")</f>
        <v>8.6206896551724102E-3</v>
      </c>
      <c r="N266">
        <v>-28</v>
      </c>
      <c r="O266" t="s">
        <v>135</v>
      </c>
      <c r="P266" s="22" t="s">
        <v>323</v>
      </c>
      <c r="Q266" s="2" t="s">
        <v>329</v>
      </c>
      <c r="R266">
        <v>45</v>
      </c>
      <c r="S266" s="2">
        <v>8</v>
      </c>
      <c r="T266" t="s">
        <v>297</v>
      </c>
      <c r="U266" t="s">
        <v>326</v>
      </c>
      <c r="V266" t="s">
        <v>301</v>
      </c>
      <c r="W266" s="41">
        <f>IFERROR(VLOOKUP(TA[[#This Row],[Date]],Raw_Data[[Date]:[Sunset Time (POA&lt;20 W/m2)]],3,0),"")</f>
        <v>0.2590277777777778</v>
      </c>
      <c r="X266" s="41">
        <f>IFERROR(VLOOKUP(TA[[#This Row],[Date]],Raw_Data[[Date]:[Sunset Time (POA&lt;20 W/m2)]],3,0),"")</f>
        <v>0.2590277777777778</v>
      </c>
      <c r="Y266" s="34"/>
      <c r="Z266" s="34">
        <v>0.76041666666666663</v>
      </c>
      <c r="AA266" s="35">
        <f>IF(TA[[#This Row],[Work Start time on Fault]]="NA","",(TA[[#This Row],[Fault Acknowledgement Time ]]-TA[[#This Row],[Fault Time]])*24)</f>
        <v>0</v>
      </c>
      <c r="AB266" s="35">
        <f>(TA[[#This Row],[Work Start time on Fault]]-TA[[#This Row],[Fault Time]])*24</f>
        <v>-6.2166666666666668</v>
      </c>
      <c r="AC266" s="34">
        <f>(TA[[#This Row],[Work Completion time on fault]]-TA[[#This Row],[Fault Time]])*24</f>
        <v>12.033333333333333</v>
      </c>
      <c r="AD266" s="35">
        <f>IFERROR((TA[[#This Row],[Work Completion time on fault]]-TA[[#This Row],[Fault Time]])*24,"")</f>
        <v>12.033333333333333</v>
      </c>
      <c r="AE266" t="s">
        <v>309</v>
      </c>
      <c r="AF266" t="s">
        <v>256</v>
      </c>
      <c r="AG266" s="2"/>
      <c r="AH266" s="44">
        <f>1-COS(RADIANS(TA[[#This Row],[Avg. Target Angle during Fault Time (Radians)]]-TA[[#This Row],[Angle of affected equipment ]]))</f>
        <v>0.11705240714107301</v>
      </c>
      <c r="AI266" s="35">
        <f>IFERROR(TA[[#This Row],[Breakdown Time]]*TA[[#This Row],[Plant Equivalent Weightage]],"")</f>
        <v>0.10373563218390801</v>
      </c>
    </row>
    <row r="267" spans="1:35">
      <c r="A267" s="2">
        <f t="shared" si="13"/>
        <v>264</v>
      </c>
      <c r="B267" s="156">
        <f t="shared" si="14"/>
        <v>2026</v>
      </c>
      <c r="C267" s="129">
        <f t="shared" si="15"/>
        <v>2025</v>
      </c>
      <c r="D267" s="2" t="s">
        <v>155</v>
      </c>
      <c r="E267" s="2" t="s">
        <v>155</v>
      </c>
      <c r="F267" s="39">
        <v>45748</v>
      </c>
      <c r="G267" s="2">
        <f>DAY(EOMONTH(TA[[#This Row],[Month Year]],0))</f>
        <v>30</v>
      </c>
      <c r="H267" s="21">
        <v>45762</v>
      </c>
      <c r="I267" s="41">
        <f>IFERROR(VLOOKUP(TA[[#This Row],[Date]],Raw_Data[[Date]:[Sunset Time (POA&lt;20 W/m2)]],3,0),"")</f>
        <v>0.2590277777777778</v>
      </c>
      <c r="J267" s="41">
        <f>IFERROR(VLOOKUP(TA[[#This Row],[Date]],Raw_Data[[Date]:[Sunset Time (POA&lt;20 W/m2)]],4,0),"")</f>
        <v>0.7680555555555556</v>
      </c>
      <c r="K267" s="35">
        <f>IFERROR((TA[[#This Row],[Sunset Time (POA&lt;20 W/m2)]]-TA[[#This Row],[Sunrise Time (POA&gt;20 W/m2)]])*24,"")</f>
        <v>12.216666666666669</v>
      </c>
      <c r="L267" s="2" t="s">
        <v>296</v>
      </c>
      <c r="M267" s="42">
        <f>IFERROR(VLOOKUP(TA[[#This Row],[Affected Equipment]],'Basic Data'!$I$2:$K$40,3,0),"")</f>
        <v>8.6206896551724102E-3</v>
      </c>
      <c r="N267">
        <v>-28</v>
      </c>
      <c r="O267" t="s">
        <v>135</v>
      </c>
      <c r="P267" s="22" t="s">
        <v>323</v>
      </c>
      <c r="Q267" s="2" t="s">
        <v>329</v>
      </c>
      <c r="R267">
        <v>47</v>
      </c>
      <c r="S267" s="2">
        <v>18</v>
      </c>
      <c r="T267" t="s">
        <v>297</v>
      </c>
      <c r="U267" t="s">
        <v>326</v>
      </c>
      <c r="V267" t="s">
        <v>301</v>
      </c>
      <c r="W267" s="41">
        <f>IFERROR(VLOOKUP(TA[[#This Row],[Date]],Raw_Data[[Date]:[Sunset Time (POA&lt;20 W/m2)]],3,0),"")</f>
        <v>0.2590277777777778</v>
      </c>
      <c r="X267" s="41">
        <f>IFERROR(VLOOKUP(TA[[#This Row],[Date]],Raw_Data[[Date]:[Sunset Time (POA&lt;20 W/m2)]],3,0),"")</f>
        <v>0.2590277777777778</v>
      </c>
      <c r="Y267" s="34"/>
      <c r="Z267" s="34">
        <v>0.76041666666666663</v>
      </c>
      <c r="AA267" s="35">
        <f>IF(TA[[#This Row],[Work Start time on Fault]]="NA","",(TA[[#This Row],[Fault Acknowledgement Time ]]-TA[[#This Row],[Fault Time]])*24)</f>
        <v>0</v>
      </c>
      <c r="AB267" s="35">
        <f>(TA[[#This Row],[Work Start time on Fault]]-TA[[#This Row],[Fault Time]])*24</f>
        <v>-6.2166666666666668</v>
      </c>
      <c r="AC267" s="34">
        <f>(TA[[#This Row],[Work Completion time on fault]]-TA[[#This Row],[Fault Time]])*24</f>
        <v>12.033333333333333</v>
      </c>
      <c r="AD267" s="35">
        <f>IFERROR((TA[[#This Row],[Work Completion time on fault]]-TA[[#This Row],[Fault Time]])*24,"")</f>
        <v>12.033333333333333</v>
      </c>
      <c r="AE267" t="s">
        <v>309</v>
      </c>
      <c r="AF267" t="s">
        <v>256</v>
      </c>
      <c r="AG267" s="2"/>
      <c r="AH267" s="44">
        <f>1-COS(RADIANS(TA[[#This Row],[Avg. Target Angle during Fault Time (Radians)]]-TA[[#This Row],[Angle of affected equipment ]]))</f>
        <v>0.11705240714107301</v>
      </c>
      <c r="AI267" s="35">
        <f>IFERROR(TA[[#This Row],[Breakdown Time]]*TA[[#This Row],[Plant Equivalent Weightage]],"")</f>
        <v>0.10373563218390801</v>
      </c>
    </row>
    <row r="268" spans="1:35">
      <c r="A268" s="2">
        <f t="shared" si="13"/>
        <v>265</v>
      </c>
      <c r="B268" s="156">
        <f t="shared" si="14"/>
        <v>2026</v>
      </c>
      <c r="C268" s="129">
        <f t="shared" si="15"/>
        <v>2025</v>
      </c>
      <c r="D268" s="2" t="s">
        <v>155</v>
      </c>
      <c r="E268" s="2" t="s">
        <v>155</v>
      </c>
      <c r="F268" s="39">
        <v>45748</v>
      </c>
      <c r="G268" s="2">
        <f>DAY(EOMONTH(TA[[#This Row],[Month Year]],0))</f>
        <v>30</v>
      </c>
      <c r="H268" s="21">
        <v>45762</v>
      </c>
      <c r="I268" s="41">
        <f>IFERROR(VLOOKUP(TA[[#This Row],[Date]],Raw_Data[[Date]:[Sunset Time (POA&lt;20 W/m2)]],3,0),"")</f>
        <v>0.2590277777777778</v>
      </c>
      <c r="J268" s="41">
        <f>IFERROR(VLOOKUP(TA[[#This Row],[Date]],Raw_Data[[Date]:[Sunset Time (POA&lt;20 W/m2)]],4,0),"")</f>
        <v>0.7680555555555556</v>
      </c>
      <c r="K268" s="35">
        <f>IFERROR((TA[[#This Row],[Sunset Time (POA&lt;20 W/m2)]]-TA[[#This Row],[Sunrise Time (POA&gt;20 W/m2)]])*24,"")</f>
        <v>12.216666666666669</v>
      </c>
      <c r="L268" s="2" t="s">
        <v>296</v>
      </c>
      <c r="M268" s="42">
        <f>IFERROR(VLOOKUP(TA[[#This Row],[Affected Equipment]],'Basic Data'!$I$2:$K$40,3,0),"")</f>
        <v>8.6206896551724102E-3</v>
      </c>
      <c r="N268">
        <v>-28</v>
      </c>
      <c r="O268" t="s">
        <v>134</v>
      </c>
      <c r="P268" s="22" t="s">
        <v>330</v>
      </c>
      <c r="Q268" s="2" t="s">
        <v>323</v>
      </c>
      <c r="R268">
        <v>30</v>
      </c>
      <c r="S268" s="2">
        <v>57</v>
      </c>
      <c r="T268" t="s">
        <v>297</v>
      </c>
      <c r="U268" t="s">
        <v>326</v>
      </c>
      <c r="V268" t="s">
        <v>301</v>
      </c>
      <c r="W268" s="41">
        <f>IFERROR(VLOOKUP(TA[[#This Row],[Date]],Raw_Data[[Date]:[Sunset Time (POA&lt;20 W/m2)]],3,0),"")</f>
        <v>0.2590277777777778</v>
      </c>
      <c r="X268" s="41">
        <f>IFERROR(VLOOKUP(TA[[#This Row],[Date]],Raw_Data[[Date]:[Sunset Time (POA&lt;20 W/m2)]],3,0),"")</f>
        <v>0.2590277777777778</v>
      </c>
      <c r="Y268" s="34"/>
      <c r="Z268" s="34">
        <v>0.76041666666666663</v>
      </c>
      <c r="AA268" s="35">
        <f>IF(TA[[#This Row],[Work Start time on Fault]]="NA","",(TA[[#This Row],[Fault Acknowledgement Time ]]-TA[[#This Row],[Fault Time]])*24)</f>
        <v>0</v>
      </c>
      <c r="AB268" s="35">
        <f>(TA[[#This Row],[Work Start time on Fault]]-TA[[#This Row],[Fault Time]])*24</f>
        <v>-6.2166666666666668</v>
      </c>
      <c r="AC268" s="34">
        <f>(TA[[#This Row],[Work Completion time on fault]]-TA[[#This Row],[Fault Time]])*24</f>
        <v>12.033333333333333</v>
      </c>
      <c r="AD268" s="35">
        <f>IFERROR((TA[[#This Row],[Work Completion time on fault]]-TA[[#This Row],[Fault Time]])*24,"")</f>
        <v>12.033333333333333</v>
      </c>
      <c r="AE268" t="s">
        <v>309</v>
      </c>
      <c r="AF268" t="s">
        <v>256</v>
      </c>
      <c r="AG268" s="2"/>
      <c r="AH268" s="44">
        <f>1-COS(RADIANS(TA[[#This Row],[Avg. Target Angle during Fault Time (Radians)]]-TA[[#This Row],[Angle of affected equipment ]]))</f>
        <v>0.11705240714107301</v>
      </c>
      <c r="AI268" s="35">
        <f>IFERROR(TA[[#This Row],[Breakdown Time]]*TA[[#This Row],[Plant Equivalent Weightage]],"")</f>
        <v>0.10373563218390801</v>
      </c>
    </row>
    <row r="269" spans="1:35">
      <c r="A269" s="2">
        <f t="shared" si="13"/>
        <v>266</v>
      </c>
      <c r="B269" s="156">
        <f t="shared" si="14"/>
        <v>2026</v>
      </c>
      <c r="C269" s="129">
        <f t="shared" si="15"/>
        <v>2025</v>
      </c>
      <c r="D269" s="2" t="s">
        <v>155</v>
      </c>
      <c r="E269" s="2" t="s">
        <v>155</v>
      </c>
      <c r="F269" s="39">
        <v>45748</v>
      </c>
      <c r="G269" s="2">
        <f>DAY(EOMONTH(TA[[#This Row],[Month Year]],0))</f>
        <v>30</v>
      </c>
      <c r="H269" s="21">
        <v>45762</v>
      </c>
      <c r="I269" s="41">
        <f>IFERROR(VLOOKUP(TA[[#This Row],[Date]],Raw_Data[[Date]:[Sunset Time (POA&lt;20 W/m2)]],3,0),"")</f>
        <v>0.2590277777777778</v>
      </c>
      <c r="J269" s="41">
        <f>IFERROR(VLOOKUP(TA[[#This Row],[Date]],Raw_Data[[Date]:[Sunset Time (POA&lt;20 W/m2)]],4,0),"")</f>
        <v>0.7680555555555556</v>
      </c>
      <c r="K269" s="35">
        <f>IFERROR((TA[[#This Row],[Sunset Time (POA&lt;20 W/m2)]]-TA[[#This Row],[Sunrise Time (POA&gt;20 W/m2)]])*24,"")</f>
        <v>12.216666666666669</v>
      </c>
      <c r="L269" s="2" t="s">
        <v>296</v>
      </c>
      <c r="M269" s="42">
        <f>IFERROR(VLOOKUP(TA[[#This Row],[Affected Equipment]],'Basic Data'!$I$2:$K$40,3,0),"")</f>
        <v>8.6206896551724102E-3</v>
      </c>
      <c r="N269">
        <v>-28</v>
      </c>
      <c r="O269" t="s">
        <v>134</v>
      </c>
      <c r="P269" s="22" t="s">
        <v>330</v>
      </c>
      <c r="Q269" s="2" t="s">
        <v>323</v>
      </c>
      <c r="R269">
        <v>31</v>
      </c>
      <c r="S269" s="2">
        <v>61</v>
      </c>
      <c r="T269" t="s">
        <v>297</v>
      </c>
      <c r="U269" t="s">
        <v>326</v>
      </c>
      <c r="V269" t="s">
        <v>301</v>
      </c>
      <c r="W269" s="41">
        <f>IFERROR(VLOOKUP(TA[[#This Row],[Date]],Raw_Data[[Date]:[Sunset Time (POA&lt;20 W/m2)]],3,0),"")</f>
        <v>0.2590277777777778</v>
      </c>
      <c r="X269" s="41">
        <f>IFERROR(VLOOKUP(TA[[#This Row],[Date]],Raw_Data[[Date]:[Sunset Time (POA&lt;20 W/m2)]],3,0),"")</f>
        <v>0.2590277777777778</v>
      </c>
      <c r="Y269" s="34"/>
      <c r="Z269" s="34">
        <v>0.76041666666666663</v>
      </c>
      <c r="AA269" s="35">
        <f>IF(TA[[#This Row],[Work Start time on Fault]]="NA","",(TA[[#This Row],[Fault Acknowledgement Time ]]-TA[[#This Row],[Fault Time]])*24)</f>
        <v>0</v>
      </c>
      <c r="AB269" s="35">
        <f>(TA[[#This Row],[Work Start time on Fault]]-TA[[#This Row],[Fault Time]])*24</f>
        <v>-6.2166666666666668</v>
      </c>
      <c r="AC269" s="34">
        <f>(TA[[#This Row],[Work Completion time on fault]]-TA[[#This Row],[Fault Time]])*24</f>
        <v>12.033333333333333</v>
      </c>
      <c r="AD269" s="35">
        <f>IFERROR((TA[[#This Row],[Work Completion time on fault]]-TA[[#This Row],[Fault Time]])*24,"")</f>
        <v>12.033333333333333</v>
      </c>
      <c r="AE269" t="s">
        <v>309</v>
      </c>
      <c r="AF269" t="s">
        <v>256</v>
      </c>
      <c r="AG269" s="2"/>
      <c r="AH269" s="44">
        <f>1-COS(RADIANS(TA[[#This Row],[Avg. Target Angle during Fault Time (Radians)]]-TA[[#This Row],[Angle of affected equipment ]]))</f>
        <v>0.11705240714107301</v>
      </c>
      <c r="AI269" s="35">
        <f>IFERROR(TA[[#This Row],[Breakdown Time]]*TA[[#This Row],[Plant Equivalent Weightage]],"")</f>
        <v>0.10373563218390801</v>
      </c>
    </row>
    <row r="270" spans="1:35">
      <c r="A270" s="2">
        <f t="shared" si="13"/>
        <v>267</v>
      </c>
      <c r="B270" s="156">
        <f t="shared" si="14"/>
        <v>2026</v>
      </c>
      <c r="C270" s="129">
        <f t="shared" si="15"/>
        <v>2025</v>
      </c>
      <c r="D270" s="2" t="s">
        <v>155</v>
      </c>
      <c r="E270" s="2" t="s">
        <v>155</v>
      </c>
      <c r="F270" s="39">
        <v>45748</v>
      </c>
      <c r="G270" s="2">
        <f>DAY(EOMONTH(TA[[#This Row],[Month Year]],0))</f>
        <v>30</v>
      </c>
      <c r="H270" s="21">
        <v>45762</v>
      </c>
      <c r="I270" s="41">
        <f>IFERROR(VLOOKUP(TA[[#This Row],[Date]],Raw_Data[[Date]:[Sunset Time (POA&lt;20 W/m2)]],3,0),"")</f>
        <v>0.2590277777777778</v>
      </c>
      <c r="J270" s="41">
        <f>IFERROR(VLOOKUP(TA[[#This Row],[Date]],Raw_Data[[Date]:[Sunset Time (POA&lt;20 W/m2)]],4,0),"")</f>
        <v>0.7680555555555556</v>
      </c>
      <c r="K270" s="35">
        <f>IFERROR((TA[[#This Row],[Sunset Time (POA&lt;20 W/m2)]]-TA[[#This Row],[Sunrise Time (POA&gt;20 W/m2)]])*24,"")</f>
        <v>12.216666666666669</v>
      </c>
      <c r="L270" s="2" t="s">
        <v>312</v>
      </c>
      <c r="M270" s="42">
        <f>IFERROR(VLOOKUP(TA[[#This Row],[Affected Equipment]],'Basic Data'!$I$2:$K$40,3,0),"")</f>
        <v>5.74712643678161E-3</v>
      </c>
      <c r="N270">
        <v>-28</v>
      </c>
      <c r="O270" t="s">
        <v>133</v>
      </c>
      <c r="P270" s="22" t="s">
        <v>330</v>
      </c>
      <c r="Q270" s="2" t="s">
        <v>323</v>
      </c>
      <c r="R270">
        <v>26</v>
      </c>
      <c r="S270" s="2">
        <v>37</v>
      </c>
      <c r="T270" t="s">
        <v>297</v>
      </c>
      <c r="U270" t="s">
        <v>326</v>
      </c>
      <c r="V270" t="s">
        <v>301</v>
      </c>
      <c r="W270" s="41">
        <f>IFERROR(VLOOKUP(TA[[#This Row],[Date]],Raw_Data[[Date]:[Sunset Time (POA&lt;20 W/m2)]],3,0),"")</f>
        <v>0.2590277777777778</v>
      </c>
      <c r="X270" s="41">
        <f>IFERROR(VLOOKUP(TA[[#This Row],[Date]],Raw_Data[[Date]:[Sunset Time (POA&lt;20 W/m2)]],3,0),"")</f>
        <v>0.2590277777777778</v>
      </c>
      <c r="Y270" s="34"/>
      <c r="Z270" s="34">
        <v>0.76041666666666663</v>
      </c>
      <c r="AA270" s="35">
        <f>IF(TA[[#This Row],[Work Start time on Fault]]="NA","",(TA[[#This Row],[Fault Acknowledgement Time ]]-TA[[#This Row],[Fault Time]])*24)</f>
        <v>0</v>
      </c>
      <c r="AB270" s="35">
        <f>(TA[[#This Row],[Work Start time on Fault]]-TA[[#This Row],[Fault Time]])*24</f>
        <v>-6.2166666666666668</v>
      </c>
      <c r="AC270" s="34">
        <f>(TA[[#This Row],[Work Completion time on fault]]-TA[[#This Row],[Fault Time]])*24</f>
        <v>12.033333333333333</v>
      </c>
      <c r="AD270" s="35">
        <f>IFERROR((TA[[#This Row],[Work Completion time on fault]]-TA[[#This Row],[Fault Time]])*24,"")</f>
        <v>12.033333333333333</v>
      </c>
      <c r="AE270" t="s">
        <v>309</v>
      </c>
      <c r="AF270" t="s">
        <v>256</v>
      </c>
      <c r="AG270" s="2"/>
      <c r="AH270" s="44">
        <f>1-COS(RADIANS(TA[[#This Row],[Avg. Target Angle during Fault Time (Radians)]]-TA[[#This Row],[Angle of affected equipment ]]))</f>
        <v>0.11705240714107301</v>
      </c>
      <c r="AI270" s="35">
        <f>IFERROR(TA[[#This Row],[Breakdown Time]]*TA[[#This Row],[Plant Equivalent Weightage]],"")</f>
        <v>6.9157088122605376E-2</v>
      </c>
    </row>
    <row r="271" spans="1:35">
      <c r="A271" s="2">
        <f t="shared" si="13"/>
        <v>268</v>
      </c>
      <c r="B271" s="156">
        <f t="shared" si="14"/>
        <v>2026</v>
      </c>
      <c r="C271" s="129">
        <f t="shared" si="15"/>
        <v>2025</v>
      </c>
      <c r="D271" s="2" t="s">
        <v>155</v>
      </c>
      <c r="E271" s="2" t="s">
        <v>155</v>
      </c>
      <c r="F271" s="39">
        <v>45748</v>
      </c>
      <c r="G271" s="2">
        <f>DAY(EOMONTH(TA[[#This Row],[Month Year]],0))</f>
        <v>30</v>
      </c>
      <c r="H271" s="21">
        <v>45762</v>
      </c>
      <c r="I271" s="41">
        <f>IFERROR(VLOOKUP(TA[[#This Row],[Date]],Raw_Data[[Date]:[Sunset Time (POA&lt;20 W/m2)]],3,0),"")</f>
        <v>0.2590277777777778</v>
      </c>
      <c r="J271" s="41">
        <f>IFERROR(VLOOKUP(TA[[#This Row],[Date]],Raw_Data[[Date]:[Sunset Time (POA&lt;20 W/m2)]],4,0),"")</f>
        <v>0.7680555555555556</v>
      </c>
      <c r="K271" s="35">
        <f>IFERROR((TA[[#This Row],[Sunset Time (POA&lt;20 W/m2)]]-TA[[#This Row],[Sunrise Time (POA&gt;20 W/m2)]])*24,"")</f>
        <v>12.216666666666669</v>
      </c>
      <c r="L271" s="2" t="s">
        <v>312</v>
      </c>
      <c r="M271" s="42">
        <f>IFERROR(VLOOKUP(TA[[#This Row],[Affected Equipment]],'Basic Data'!$I$2:$K$40,3,0),"")</f>
        <v>5.74712643678161E-3</v>
      </c>
      <c r="N271">
        <v>-28</v>
      </c>
      <c r="O271" t="s">
        <v>133</v>
      </c>
      <c r="P271" s="22" t="s">
        <v>330</v>
      </c>
      <c r="Q271" s="2" t="s">
        <v>323</v>
      </c>
      <c r="R271">
        <v>27</v>
      </c>
      <c r="S271" s="2">
        <v>42</v>
      </c>
      <c r="T271" t="s">
        <v>297</v>
      </c>
      <c r="U271" t="s">
        <v>326</v>
      </c>
      <c r="V271" t="s">
        <v>301</v>
      </c>
      <c r="W271" s="41">
        <f>IFERROR(VLOOKUP(TA[[#This Row],[Date]],Raw_Data[[Date]:[Sunset Time (POA&lt;20 W/m2)]],3,0),"")</f>
        <v>0.2590277777777778</v>
      </c>
      <c r="X271" s="41">
        <f>IFERROR(VLOOKUP(TA[[#This Row],[Date]],Raw_Data[[Date]:[Sunset Time (POA&lt;20 W/m2)]],3,0),"")</f>
        <v>0.2590277777777778</v>
      </c>
      <c r="Y271" s="34"/>
      <c r="Z271" s="34">
        <v>0.76041666666666663</v>
      </c>
      <c r="AA271" s="35">
        <f>IF(TA[[#This Row],[Work Start time on Fault]]="NA","",(TA[[#This Row],[Fault Acknowledgement Time ]]-TA[[#This Row],[Fault Time]])*24)</f>
        <v>0</v>
      </c>
      <c r="AB271" s="35">
        <f>(TA[[#This Row],[Work Start time on Fault]]-TA[[#This Row],[Fault Time]])*24</f>
        <v>-6.2166666666666668</v>
      </c>
      <c r="AC271" s="34">
        <f>(TA[[#This Row],[Work Completion time on fault]]-TA[[#This Row],[Fault Time]])*24</f>
        <v>12.033333333333333</v>
      </c>
      <c r="AD271" s="35">
        <f>IFERROR((TA[[#This Row],[Work Completion time on fault]]-TA[[#This Row],[Fault Time]])*24,"")</f>
        <v>12.033333333333333</v>
      </c>
      <c r="AE271" t="s">
        <v>309</v>
      </c>
      <c r="AF271" t="s">
        <v>256</v>
      </c>
      <c r="AG271" s="2"/>
      <c r="AH271" s="44">
        <f>1-COS(RADIANS(TA[[#This Row],[Avg. Target Angle during Fault Time (Radians)]]-TA[[#This Row],[Angle of affected equipment ]]))</f>
        <v>0.11705240714107301</v>
      </c>
      <c r="AI271" s="35">
        <f>IFERROR(TA[[#This Row],[Breakdown Time]]*TA[[#This Row],[Plant Equivalent Weightage]],"")</f>
        <v>6.9157088122605376E-2</v>
      </c>
    </row>
    <row r="272" spans="1:35">
      <c r="A272" s="2">
        <f t="shared" si="13"/>
        <v>269</v>
      </c>
      <c r="B272" s="156">
        <f t="shared" si="14"/>
        <v>2026</v>
      </c>
      <c r="C272" s="129">
        <f t="shared" si="15"/>
        <v>2025</v>
      </c>
      <c r="D272" s="2" t="s">
        <v>155</v>
      </c>
      <c r="E272" s="2" t="s">
        <v>155</v>
      </c>
      <c r="F272" s="39">
        <v>45748</v>
      </c>
      <c r="G272" s="2">
        <f>DAY(EOMONTH(TA[[#This Row],[Month Year]],0))</f>
        <v>30</v>
      </c>
      <c r="H272" s="21">
        <v>45763</v>
      </c>
      <c r="I272" s="41">
        <f>IFERROR(VLOOKUP(TA[[#This Row],[Date]],Raw_Data[[Date]:[Sunset Time (POA&lt;20 W/m2)]],3,0),"")</f>
        <v>0.26041666666666669</v>
      </c>
      <c r="J272" s="41">
        <f>IFERROR(VLOOKUP(TA[[#This Row],[Date]],Raw_Data[[Date]:[Sunset Time (POA&lt;20 W/m2)]],4,0),"")</f>
        <v>0.76458333333333328</v>
      </c>
      <c r="K272" s="35">
        <f>IFERROR((TA[[#This Row],[Sunset Time (POA&lt;20 W/m2)]]-TA[[#This Row],[Sunrise Time (POA&gt;20 W/m2)]])*24,"")</f>
        <v>12.1</v>
      </c>
      <c r="L272" s="2" t="s">
        <v>294</v>
      </c>
      <c r="M272" s="42">
        <f>IFERROR(VLOOKUP(TA[[#This Row],[Affected Equipment]],'Basic Data'!$I$2:$K$40,3,0),"")</f>
        <v>1.7241379310344799E-3</v>
      </c>
      <c r="N272">
        <v>-28</v>
      </c>
      <c r="O272" t="s">
        <v>135</v>
      </c>
      <c r="P272" s="127" t="s">
        <v>318</v>
      </c>
      <c r="Q272" s="126" t="s">
        <v>318</v>
      </c>
      <c r="R272">
        <v>130</v>
      </c>
      <c r="S272" s="2">
        <v>37</v>
      </c>
      <c r="T272" t="s">
        <v>295</v>
      </c>
      <c r="U272" t="s">
        <v>300</v>
      </c>
      <c r="V272" t="s">
        <v>298</v>
      </c>
      <c r="W272" s="41"/>
      <c r="X272" s="41"/>
      <c r="Y272" s="34"/>
      <c r="Z272" s="34"/>
      <c r="AA272" s="35">
        <f>IF(TA[[#This Row],[Work Start time on Fault]]="NA","",(TA[[#This Row],[Fault Acknowledgement Time ]]-TA[[#This Row],[Fault Time]])*24)</f>
        <v>0</v>
      </c>
      <c r="AB272" s="35">
        <f>(TA[[#This Row],[Work Start time on Fault]]-TA[[#This Row],[Fault Time]])*24</f>
        <v>0</v>
      </c>
      <c r="AC272" s="34">
        <f>(TA[[#This Row],[Work Completion time on fault]]-TA[[#This Row],[Fault Time]])*24</f>
        <v>0</v>
      </c>
      <c r="AD272" s="35">
        <f>IFERROR((TA[[#This Row],[Work Completion time on fault]]-TA[[#This Row],[Fault Time]])*24,"")</f>
        <v>0</v>
      </c>
      <c r="AE272" t="s">
        <v>328</v>
      </c>
      <c r="AF272" t="s">
        <v>256</v>
      </c>
      <c r="AG272" s="2"/>
      <c r="AH272" s="44">
        <f>1-COS(RADIANS(TA[[#This Row],[Avg. Target Angle during Fault Time (Radians)]]-TA[[#This Row],[Angle of affected equipment ]]))</f>
        <v>0.11705240714107301</v>
      </c>
      <c r="AI272" s="35">
        <f>IFERROR(TA[[#This Row],[Breakdown Time]]*TA[[#This Row],[Plant Equivalent Weightage]],"")</f>
        <v>0</v>
      </c>
    </row>
    <row r="273" spans="1:35">
      <c r="A273" s="2">
        <f t="shared" si="13"/>
        <v>270</v>
      </c>
      <c r="B273" s="156">
        <f t="shared" si="14"/>
        <v>2026</v>
      </c>
      <c r="C273" s="129">
        <f t="shared" si="15"/>
        <v>2025</v>
      </c>
      <c r="D273" s="2" t="s">
        <v>155</v>
      </c>
      <c r="E273" s="2" t="s">
        <v>155</v>
      </c>
      <c r="F273" s="39">
        <v>45748</v>
      </c>
      <c r="G273" s="2">
        <f>DAY(EOMONTH(TA[[#This Row],[Month Year]],0))</f>
        <v>30</v>
      </c>
      <c r="H273" s="21">
        <v>45763</v>
      </c>
      <c r="I273" s="41">
        <f>IFERROR(VLOOKUP(TA[[#This Row],[Date]],Raw_Data[[Date]:[Sunset Time (POA&lt;20 W/m2)]],3,0),"")</f>
        <v>0.26041666666666669</v>
      </c>
      <c r="J273" s="41">
        <f>IFERROR(VLOOKUP(TA[[#This Row],[Date]],Raw_Data[[Date]:[Sunset Time (POA&lt;20 W/m2)]],4,0),"")</f>
        <v>0.76458333333333328</v>
      </c>
      <c r="K273" s="35">
        <f>IFERROR((TA[[#This Row],[Sunset Time (POA&lt;20 W/m2)]]-TA[[#This Row],[Sunrise Time (POA&gt;20 W/m2)]])*24,"")</f>
        <v>12.1</v>
      </c>
      <c r="L273" s="2" t="s">
        <v>294</v>
      </c>
      <c r="M273" s="42">
        <f>IFERROR(VLOOKUP(TA[[#This Row],[Affected Equipment]],'Basic Data'!$I$2:$K$40,3,0),"")</f>
        <v>1.7241379310344799E-3</v>
      </c>
      <c r="N273">
        <v>-28</v>
      </c>
      <c r="O273" t="s">
        <v>135</v>
      </c>
      <c r="P273" s="127" t="s">
        <v>318</v>
      </c>
      <c r="Q273" s="126" t="s">
        <v>318</v>
      </c>
      <c r="R273">
        <v>131</v>
      </c>
      <c r="S273" s="2">
        <v>38</v>
      </c>
      <c r="T273" t="s">
        <v>295</v>
      </c>
      <c r="U273" t="s">
        <v>300</v>
      </c>
      <c r="V273" t="s">
        <v>298</v>
      </c>
      <c r="W273" s="41"/>
      <c r="X273" s="41"/>
      <c r="Y273" s="34"/>
      <c r="Z273" s="34"/>
      <c r="AA273" s="35">
        <f>IF(TA[[#This Row],[Work Start time on Fault]]="NA","",(TA[[#This Row],[Fault Acknowledgement Time ]]-TA[[#This Row],[Fault Time]])*24)</f>
        <v>0</v>
      </c>
      <c r="AB273" s="35">
        <f>(TA[[#This Row],[Work Start time on Fault]]-TA[[#This Row],[Fault Time]])*24</f>
        <v>0</v>
      </c>
      <c r="AC273" s="34">
        <f>(TA[[#This Row],[Work Completion time on fault]]-TA[[#This Row],[Fault Time]])*24</f>
        <v>0</v>
      </c>
      <c r="AD273" s="35">
        <f>IFERROR((TA[[#This Row],[Work Completion time on fault]]-TA[[#This Row],[Fault Time]])*24,"")</f>
        <v>0</v>
      </c>
      <c r="AE273" t="s">
        <v>328</v>
      </c>
      <c r="AF273" t="s">
        <v>256</v>
      </c>
      <c r="AG273" s="2"/>
      <c r="AH273" s="44">
        <f>1-COS(RADIANS(TA[[#This Row],[Avg. Target Angle during Fault Time (Radians)]]-TA[[#This Row],[Angle of affected equipment ]]))</f>
        <v>0.11705240714107301</v>
      </c>
      <c r="AI273" s="35">
        <f>IFERROR(TA[[#This Row],[Breakdown Time]]*TA[[#This Row],[Plant Equivalent Weightage]],"")</f>
        <v>0</v>
      </c>
    </row>
    <row r="274" spans="1:35">
      <c r="A274" s="2">
        <f t="shared" si="13"/>
        <v>271</v>
      </c>
      <c r="B274" s="156">
        <f t="shared" si="14"/>
        <v>2026</v>
      </c>
      <c r="C274" s="129">
        <f t="shared" si="15"/>
        <v>2025</v>
      </c>
      <c r="D274" s="2" t="s">
        <v>155</v>
      </c>
      <c r="E274" s="2" t="s">
        <v>155</v>
      </c>
      <c r="F274" s="39">
        <v>45748</v>
      </c>
      <c r="G274" s="2">
        <f>DAY(EOMONTH(TA[[#This Row],[Month Year]],0))</f>
        <v>30</v>
      </c>
      <c r="H274" s="21">
        <v>45763</v>
      </c>
      <c r="I274" s="41">
        <f>IFERROR(VLOOKUP(TA[[#This Row],[Date]],Raw_Data[[Date]:[Sunset Time (POA&lt;20 W/m2)]],3,0),"")</f>
        <v>0.26041666666666669</v>
      </c>
      <c r="J274" s="41">
        <f>IFERROR(VLOOKUP(TA[[#This Row],[Date]],Raw_Data[[Date]:[Sunset Time (POA&lt;20 W/m2)]],4,0),"")</f>
        <v>0.76458333333333328</v>
      </c>
      <c r="K274" s="35">
        <f>IFERROR((TA[[#This Row],[Sunset Time (POA&lt;20 W/m2)]]-TA[[#This Row],[Sunrise Time (POA&gt;20 W/m2)]])*24,"")</f>
        <v>12.1</v>
      </c>
      <c r="L274" s="2" t="s">
        <v>294</v>
      </c>
      <c r="M274" s="42">
        <f>IFERROR(VLOOKUP(TA[[#This Row],[Affected Equipment]],'Basic Data'!$I$2:$K$40,3,0),"")</f>
        <v>1.7241379310344799E-3</v>
      </c>
      <c r="N274">
        <v>-28</v>
      </c>
      <c r="O274" t="s">
        <v>135</v>
      </c>
      <c r="P274" s="127" t="s">
        <v>318</v>
      </c>
      <c r="Q274" s="126" t="s">
        <v>318</v>
      </c>
      <c r="R274">
        <v>131</v>
      </c>
      <c r="S274" s="2">
        <v>39</v>
      </c>
      <c r="T274" t="s">
        <v>295</v>
      </c>
      <c r="U274" t="s">
        <v>300</v>
      </c>
      <c r="V274" t="s">
        <v>298</v>
      </c>
      <c r="W274" s="41"/>
      <c r="X274" s="41"/>
      <c r="Y274" s="34"/>
      <c r="Z274" s="34"/>
      <c r="AA274" s="35">
        <f>IF(TA[[#This Row],[Work Start time on Fault]]="NA","",(TA[[#This Row],[Fault Acknowledgement Time ]]-TA[[#This Row],[Fault Time]])*24)</f>
        <v>0</v>
      </c>
      <c r="AB274" s="35">
        <f>(TA[[#This Row],[Work Start time on Fault]]-TA[[#This Row],[Fault Time]])*24</f>
        <v>0</v>
      </c>
      <c r="AC274" s="34">
        <f>(TA[[#This Row],[Work Completion time on fault]]-TA[[#This Row],[Fault Time]])*24</f>
        <v>0</v>
      </c>
      <c r="AD274" s="35">
        <f>IFERROR((TA[[#This Row],[Work Completion time on fault]]-TA[[#This Row],[Fault Time]])*24,"")</f>
        <v>0</v>
      </c>
      <c r="AE274" t="s">
        <v>328</v>
      </c>
      <c r="AF274" t="s">
        <v>256</v>
      </c>
      <c r="AG274" s="2"/>
      <c r="AH274" s="44">
        <f>1-COS(RADIANS(TA[[#This Row],[Avg. Target Angle during Fault Time (Radians)]]-TA[[#This Row],[Angle of affected equipment ]]))</f>
        <v>0.11705240714107301</v>
      </c>
      <c r="AI274" s="35">
        <f>IFERROR(TA[[#This Row],[Breakdown Time]]*TA[[#This Row],[Plant Equivalent Weightage]],"")</f>
        <v>0</v>
      </c>
    </row>
    <row r="275" spans="1:35">
      <c r="A275" s="2">
        <f t="shared" si="13"/>
        <v>272</v>
      </c>
      <c r="B275" s="156">
        <f t="shared" si="14"/>
        <v>2026</v>
      </c>
      <c r="C275" s="129">
        <f t="shared" si="15"/>
        <v>2025</v>
      </c>
      <c r="D275" s="2" t="s">
        <v>155</v>
      </c>
      <c r="E275" s="2" t="s">
        <v>155</v>
      </c>
      <c r="F275" s="39">
        <v>45748</v>
      </c>
      <c r="G275" s="2">
        <f>DAY(EOMONTH(TA[[#This Row],[Month Year]],0))</f>
        <v>30</v>
      </c>
      <c r="H275" s="21">
        <v>45763</v>
      </c>
      <c r="I275" s="41">
        <f>IFERROR(VLOOKUP(TA[[#This Row],[Date]],Raw_Data[[Date]:[Sunset Time (POA&lt;20 W/m2)]],3,0),"")</f>
        <v>0.26041666666666669</v>
      </c>
      <c r="J275" s="41">
        <f>IFERROR(VLOOKUP(TA[[#This Row],[Date]],Raw_Data[[Date]:[Sunset Time (POA&lt;20 W/m2)]],4,0),"")</f>
        <v>0.76458333333333328</v>
      </c>
      <c r="K275" s="35">
        <f>IFERROR((TA[[#This Row],[Sunset Time (POA&lt;20 W/m2)]]-TA[[#This Row],[Sunrise Time (POA&gt;20 W/m2)]])*24,"")</f>
        <v>12.1</v>
      </c>
      <c r="L275" s="2" t="s">
        <v>296</v>
      </c>
      <c r="M275" s="42">
        <f>IFERROR(VLOOKUP(TA[[#This Row],[Affected Equipment]],'Basic Data'!$I$2:$K$40,3,0),"")</f>
        <v>8.6206896551724102E-3</v>
      </c>
      <c r="N275">
        <v>-28</v>
      </c>
      <c r="O275" t="s">
        <v>135</v>
      </c>
      <c r="P275" s="127" t="s">
        <v>318</v>
      </c>
      <c r="Q275" s="2" t="s">
        <v>321</v>
      </c>
      <c r="R275">
        <v>133</v>
      </c>
      <c r="S275" s="2">
        <v>26</v>
      </c>
      <c r="T275" t="s">
        <v>297</v>
      </c>
      <c r="U275" t="s">
        <v>300</v>
      </c>
      <c r="V275" t="s">
        <v>314</v>
      </c>
      <c r="W275" s="41"/>
      <c r="X275" s="41"/>
      <c r="Y275" s="34"/>
      <c r="Z275" s="34"/>
      <c r="AA275" s="35">
        <f>IF(TA[[#This Row],[Work Start time on Fault]]="NA","",(TA[[#This Row],[Fault Acknowledgement Time ]]-TA[[#This Row],[Fault Time]])*24)</f>
        <v>0</v>
      </c>
      <c r="AB275" s="35">
        <f>(TA[[#This Row],[Work Start time on Fault]]-TA[[#This Row],[Fault Time]])*24</f>
        <v>0</v>
      </c>
      <c r="AC275" s="34">
        <f>(TA[[#This Row],[Work Completion time on fault]]-TA[[#This Row],[Fault Time]])*24</f>
        <v>0</v>
      </c>
      <c r="AD275" s="35">
        <f>IFERROR((TA[[#This Row],[Work Completion time on fault]]-TA[[#This Row],[Fault Time]])*24,"")</f>
        <v>0</v>
      </c>
      <c r="AE275" t="s">
        <v>328</v>
      </c>
      <c r="AF275" t="s">
        <v>256</v>
      </c>
      <c r="AG275" s="2"/>
      <c r="AH275" s="44">
        <f>1-COS(RADIANS(TA[[#This Row],[Avg. Target Angle during Fault Time (Radians)]]-TA[[#This Row],[Angle of affected equipment ]]))</f>
        <v>0.11705240714107301</v>
      </c>
      <c r="AI275" s="35">
        <f>IFERROR(TA[[#This Row],[Breakdown Time]]*TA[[#This Row],[Plant Equivalent Weightage]],"")</f>
        <v>0</v>
      </c>
    </row>
    <row r="276" spans="1:35">
      <c r="A276" s="2">
        <f t="shared" si="13"/>
        <v>273</v>
      </c>
      <c r="B276" s="156">
        <f t="shared" si="14"/>
        <v>2026</v>
      </c>
      <c r="C276" s="129">
        <f t="shared" si="15"/>
        <v>2025</v>
      </c>
      <c r="D276" s="2" t="s">
        <v>155</v>
      </c>
      <c r="E276" s="2" t="s">
        <v>155</v>
      </c>
      <c r="F276" s="39">
        <v>45748</v>
      </c>
      <c r="G276" s="2">
        <f>DAY(EOMONTH(TA[[#This Row],[Month Year]],0))</f>
        <v>30</v>
      </c>
      <c r="H276" s="21">
        <v>45763</v>
      </c>
      <c r="I276" s="41">
        <f>IFERROR(VLOOKUP(TA[[#This Row],[Date]],Raw_Data[[Date]:[Sunset Time (POA&lt;20 W/m2)]],3,0),"")</f>
        <v>0.26041666666666669</v>
      </c>
      <c r="J276" s="41">
        <f>IFERROR(VLOOKUP(TA[[#This Row],[Date]],Raw_Data[[Date]:[Sunset Time (POA&lt;20 W/m2)]],4,0),"")</f>
        <v>0.76458333333333328</v>
      </c>
      <c r="K276" s="35">
        <f>IFERROR((TA[[#This Row],[Sunset Time (POA&lt;20 W/m2)]]-TA[[#This Row],[Sunrise Time (POA&gt;20 W/m2)]])*24,"")</f>
        <v>12.1</v>
      </c>
      <c r="L276" s="2" t="s">
        <v>294</v>
      </c>
      <c r="M276" s="42">
        <f>IFERROR(VLOOKUP(TA[[#This Row],[Affected Equipment]],'Basic Data'!$I$2:$K$40,3,0),"")</f>
        <v>1.7241379310344799E-3</v>
      </c>
      <c r="N276">
        <v>-28</v>
      </c>
      <c r="O276" t="s">
        <v>133</v>
      </c>
      <c r="P276" s="127" t="s">
        <v>316</v>
      </c>
      <c r="Q276" s="126" t="s">
        <v>317</v>
      </c>
      <c r="R276">
        <v>7</v>
      </c>
      <c r="S276" s="2">
        <v>32</v>
      </c>
      <c r="T276" t="s">
        <v>295</v>
      </c>
      <c r="U276" t="s">
        <v>300</v>
      </c>
      <c r="V276" t="s">
        <v>298</v>
      </c>
      <c r="W276" s="41"/>
      <c r="X276" s="41"/>
      <c r="Y276" s="34"/>
      <c r="Z276" s="34"/>
      <c r="AA276" s="35">
        <f>IF(TA[[#This Row],[Work Start time on Fault]]="NA","",(TA[[#This Row],[Fault Acknowledgement Time ]]-TA[[#This Row],[Fault Time]])*24)</f>
        <v>0</v>
      </c>
      <c r="AB276" s="35">
        <f>(TA[[#This Row],[Work Start time on Fault]]-TA[[#This Row],[Fault Time]])*24</f>
        <v>0</v>
      </c>
      <c r="AC276" s="34">
        <f>(TA[[#This Row],[Work Completion time on fault]]-TA[[#This Row],[Fault Time]])*24</f>
        <v>0</v>
      </c>
      <c r="AD276" s="35">
        <f>IFERROR((TA[[#This Row],[Work Completion time on fault]]-TA[[#This Row],[Fault Time]])*24,"")</f>
        <v>0</v>
      </c>
      <c r="AE276" t="s">
        <v>328</v>
      </c>
      <c r="AF276" t="s">
        <v>256</v>
      </c>
      <c r="AG276" s="2"/>
      <c r="AH276" s="44">
        <f>1-COS(RADIANS(TA[[#This Row],[Avg. Target Angle during Fault Time (Radians)]]-TA[[#This Row],[Angle of affected equipment ]]))</f>
        <v>0.11705240714107301</v>
      </c>
      <c r="AI276" s="35">
        <f>IFERROR(TA[[#This Row],[Breakdown Time]]*TA[[#This Row],[Plant Equivalent Weightage]],"")</f>
        <v>0</v>
      </c>
    </row>
    <row r="277" spans="1:35">
      <c r="A277" s="2">
        <f t="shared" si="13"/>
        <v>274</v>
      </c>
      <c r="B277" s="156">
        <f t="shared" si="14"/>
        <v>2026</v>
      </c>
      <c r="C277" s="129">
        <f t="shared" si="15"/>
        <v>2025</v>
      </c>
      <c r="D277" s="2" t="s">
        <v>155</v>
      </c>
      <c r="E277" s="2" t="s">
        <v>155</v>
      </c>
      <c r="F277" s="39">
        <v>45748</v>
      </c>
      <c r="G277" s="2">
        <f>DAY(EOMONTH(TA[[#This Row],[Month Year]],0))</f>
        <v>30</v>
      </c>
      <c r="H277" s="21">
        <v>45763</v>
      </c>
      <c r="I277" s="41">
        <f>IFERROR(VLOOKUP(TA[[#This Row],[Date]],Raw_Data[[Date]:[Sunset Time (POA&lt;20 W/m2)]],3,0),"")</f>
        <v>0.26041666666666669</v>
      </c>
      <c r="J277" s="41">
        <f>IFERROR(VLOOKUP(TA[[#This Row],[Date]],Raw_Data[[Date]:[Sunset Time (POA&lt;20 W/m2)]],4,0),"")</f>
        <v>0.76458333333333328</v>
      </c>
      <c r="K277" s="35">
        <f>IFERROR((TA[[#This Row],[Sunset Time (POA&lt;20 W/m2)]]-TA[[#This Row],[Sunrise Time (POA&gt;20 W/m2)]])*24,"")</f>
        <v>12.1</v>
      </c>
      <c r="L277" s="2" t="s">
        <v>294</v>
      </c>
      <c r="M277" s="42">
        <f>IFERROR(VLOOKUP(TA[[#This Row],[Affected Equipment]],'Basic Data'!$I$2:$K$40,3,0),"")</f>
        <v>1.7241379310344799E-3</v>
      </c>
      <c r="N277">
        <v>-28</v>
      </c>
      <c r="O277" t="s">
        <v>137</v>
      </c>
      <c r="P277" s="127" t="s">
        <v>315</v>
      </c>
      <c r="Q277" s="126" t="s">
        <v>319</v>
      </c>
      <c r="R277">
        <v>166</v>
      </c>
      <c r="S277" s="2">
        <v>91</v>
      </c>
      <c r="T277" t="s">
        <v>295</v>
      </c>
      <c r="U277" t="s">
        <v>300</v>
      </c>
      <c r="V277" t="s">
        <v>298</v>
      </c>
      <c r="W277" s="41"/>
      <c r="X277" s="41"/>
      <c r="Y277" s="34"/>
      <c r="Z277" s="34"/>
      <c r="AA277" s="35">
        <f>IF(TA[[#This Row],[Work Start time on Fault]]="NA","",(TA[[#This Row],[Fault Acknowledgement Time ]]-TA[[#This Row],[Fault Time]])*24)</f>
        <v>0</v>
      </c>
      <c r="AB277" s="35">
        <f>(TA[[#This Row],[Work Start time on Fault]]-TA[[#This Row],[Fault Time]])*24</f>
        <v>0</v>
      </c>
      <c r="AC277" s="34">
        <f>(TA[[#This Row],[Work Completion time on fault]]-TA[[#This Row],[Fault Time]])*24</f>
        <v>0</v>
      </c>
      <c r="AD277" s="35">
        <f>IFERROR((TA[[#This Row],[Work Completion time on fault]]-TA[[#This Row],[Fault Time]])*24,"")</f>
        <v>0</v>
      </c>
      <c r="AE277" t="s">
        <v>328</v>
      </c>
      <c r="AF277" t="s">
        <v>256</v>
      </c>
      <c r="AG277" s="2"/>
      <c r="AH277" s="44">
        <f>1-COS(RADIANS(TA[[#This Row],[Avg. Target Angle during Fault Time (Radians)]]-TA[[#This Row],[Angle of affected equipment ]]))</f>
        <v>0.11705240714107301</v>
      </c>
      <c r="AI277" s="35">
        <f>IFERROR(TA[[#This Row],[Breakdown Time]]*TA[[#This Row],[Plant Equivalent Weightage]],"")</f>
        <v>0</v>
      </c>
    </row>
    <row r="278" spans="1:35">
      <c r="A278" s="2">
        <f t="shared" si="13"/>
        <v>275</v>
      </c>
      <c r="B278" s="156">
        <f t="shared" si="14"/>
        <v>2026</v>
      </c>
      <c r="C278" s="129">
        <f t="shared" si="15"/>
        <v>2025</v>
      </c>
      <c r="D278" s="2" t="s">
        <v>155</v>
      </c>
      <c r="E278" s="2" t="s">
        <v>155</v>
      </c>
      <c r="F278" s="39">
        <v>45748</v>
      </c>
      <c r="G278" s="2">
        <f>DAY(EOMONTH(TA[[#This Row],[Month Year]],0))</f>
        <v>30</v>
      </c>
      <c r="H278" s="21">
        <v>45763</v>
      </c>
      <c r="I278" s="41">
        <f>IFERROR(VLOOKUP(TA[[#This Row],[Date]],Raw_Data[[Date]:[Sunset Time (POA&lt;20 W/m2)]],3,0),"")</f>
        <v>0.26041666666666669</v>
      </c>
      <c r="J278" s="41">
        <f>IFERROR(VLOOKUP(TA[[#This Row],[Date]],Raw_Data[[Date]:[Sunset Time (POA&lt;20 W/m2)]],4,0),"")</f>
        <v>0.76458333333333328</v>
      </c>
      <c r="K278" s="35">
        <f>IFERROR((TA[[#This Row],[Sunset Time (POA&lt;20 W/m2)]]-TA[[#This Row],[Sunrise Time (POA&gt;20 W/m2)]])*24,"")</f>
        <v>12.1</v>
      </c>
      <c r="L278" s="2" t="s">
        <v>294</v>
      </c>
      <c r="M278" s="42">
        <f>IFERROR(VLOOKUP(TA[[#This Row],[Affected Equipment]],'Basic Data'!$I$2:$K$40,3,0),"")</f>
        <v>1.7241379310344799E-3</v>
      </c>
      <c r="N278">
        <v>-28</v>
      </c>
      <c r="O278" t="s">
        <v>133</v>
      </c>
      <c r="P278" s="127" t="s">
        <v>316</v>
      </c>
      <c r="Q278" s="126" t="s">
        <v>316</v>
      </c>
      <c r="R278">
        <v>117</v>
      </c>
      <c r="S278" s="2">
        <v>20</v>
      </c>
      <c r="T278" t="s">
        <v>295</v>
      </c>
      <c r="U278" t="s">
        <v>300</v>
      </c>
      <c r="V278" t="s">
        <v>298</v>
      </c>
      <c r="W278" s="41"/>
      <c r="X278" s="41"/>
      <c r="Y278" s="34"/>
      <c r="Z278" s="34"/>
      <c r="AA278" s="35">
        <f>IF(TA[[#This Row],[Work Start time on Fault]]="NA","",(TA[[#This Row],[Fault Acknowledgement Time ]]-TA[[#This Row],[Fault Time]])*24)</f>
        <v>0</v>
      </c>
      <c r="AB278" s="35">
        <f>(TA[[#This Row],[Work Start time on Fault]]-TA[[#This Row],[Fault Time]])*24</f>
        <v>0</v>
      </c>
      <c r="AC278" s="34">
        <f>(TA[[#This Row],[Work Completion time on fault]]-TA[[#This Row],[Fault Time]])*24</f>
        <v>0</v>
      </c>
      <c r="AD278" s="35">
        <f>IFERROR((TA[[#This Row],[Work Completion time on fault]]-TA[[#This Row],[Fault Time]])*24,"")</f>
        <v>0</v>
      </c>
      <c r="AE278" t="s">
        <v>328</v>
      </c>
      <c r="AF278" t="s">
        <v>256</v>
      </c>
      <c r="AG278" s="2"/>
      <c r="AH278" s="44">
        <f>1-COS(RADIANS(TA[[#This Row],[Avg. Target Angle during Fault Time (Radians)]]-TA[[#This Row],[Angle of affected equipment ]]))</f>
        <v>0.11705240714107301</v>
      </c>
      <c r="AI278" s="35">
        <f>IFERROR(TA[[#This Row],[Breakdown Time]]*TA[[#This Row],[Plant Equivalent Weightage]],"")</f>
        <v>0</v>
      </c>
    </row>
    <row r="279" spans="1:35">
      <c r="A279" s="2">
        <f t="shared" si="13"/>
        <v>276</v>
      </c>
      <c r="B279" s="156">
        <f t="shared" si="14"/>
        <v>2026</v>
      </c>
      <c r="C279" s="129">
        <f t="shared" si="15"/>
        <v>2025</v>
      </c>
      <c r="D279" s="2" t="s">
        <v>155</v>
      </c>
      <c r="E279" s="2" t="s">
        <v>155</v>
      </c>
      <c r="F279" s="39">
        <v>45748</v>
      </c>
      <c r="G279" s="2">
        <f>DAY(EOMONTH(TA[[#This Row],[Month Year]],0))</f>
        <v>30</v>
      </c>
      <c r="H279" s="21">
        <v>45763</v>
      </c>
      <c r="I279" s="41">
        <f>IFERROR(VLOOKUP(TA[[#This Row],[Date]],Raw_Data[[Date]:[Sunset Time (POA&lt;20 W/m2)]],3,0),"")</f>
        <v>0.26041666666666669</v>
      </c>
      <c r="J279" s="41">
        <f>IFERROR(VLOOKUP(TA[[#This Row],[Date]],Raw_Data[[Date]:[Sunset Time (POA&lt;20 W/m2)]],4,0),"")</f>
        <v>0.76458333333333328</v>
      </c>
      <c r="K279" s="35">
        <f>IFERROR((TA[[#This Row],[Sunset Time (POA&lt;20 W/m2)]]-TA[[#This Row],[Sunrise Time (POA&gt;20 W/m2)]])*24,"")</f>
        <v>12.1</v>
      </c>
      <c r="L279" s="2" t="s">
        <v>294</v>
      </c>
      <c r="M279" s="42">
        <f>IFERROR(VLOOKUP(TA[[#This Row],[Affected Equipment]],'Basic Data'!$I$2:$K$40,3,0),"")</f>
        <v>1.7241379310344799E-3</v>
      </c>
      <c r="N279">
        <v>-28</v>
      </c>
      <c r="O279" t="s">
        <v>133</v>
      </c>
      <c r="P279" s="127" t="s">
        <v>316</v>
      </c>
      <c r="Q279" s="126" t="s">
        <v>316</v>
      </c>
      <c r="R279">
        <v>118</v>
      </c>
      <c r="S279" s="2">
        <v>22</v>
      </c>
      <c r="T279" t="s">
        <v>295</v>
      </c>
      <c r="U279" t="s">
        <v>300</v>
      </c>
      <c r="V279" t="s">
        <v>298</v>
      </c>
      <c r="W279" s="41"/>
      <c r="X279" s="41"/>
      <c r="Y279" s="34"/>
      <c r="Z279" s="34"/>
      <c r="AA279" s="35">
        <f>IF(TA[[#This Row],[Work Start time on Fault]]="NA","",(TA[[#This Row],[Fault Acknowledgement Time ]]-TA[[#This Row],[Fault Time]])*24)</f>
        <v>0</v>
      </c>
      <c r="AB279" s="35">
        <f>(TA[[#This Row],[Work Start time on Fault]]-TA[[#This Row],[Fault Time]])*24</f>
        <v>0</v>
      </c>
      <c r="AC279" s="34">
        <f>(TA[[#This Row],[Work Completion time on fault]]-TA[[#This Row],[Fault Time]])*24</f>
        <v>0</v>
      </c>
      <c r="AD279" s="35">
        <f>IFERROR((TA[[#This Row],[Work Completion time on fault]]-TA[[#This Row],[Fault Time]])*24,"")</f>
        <v>0</v>
      </c>
      <c r="AE279" t="s">
        <v>328</v>
      </c>
      <c r="AF279" t="s">
        <v>256</v>
      </c>
      <c r="AG279" s="2"/>
      <c r="AH279" s="44">
        <f>1-COS(RADIANS(TA[[#This Row],[Avg. Target Angle during Fault Time (Radians)]]-TA[[#This Row],[Angle of affected equipment ]]))</f>
        <v>0.11705240714107301</v>
      </c>
      <c r="AI279" s="35">
        <f>IFERROR(TA[[#This Row],[Breakdown Time]]*TA[[#This Row],[Plant Equivalent Weightage]],"")</f>
        <v>0</v>
      </c>
    </row>
    <row r="280" spans="1:35">
      <c r="A280" s="2">
        <f t="shared" si="13"/>
        <v>277</v>
      </c>
      <c r="B280" s="156">
        <f t="shared" si="14"/>
        <v>2026</v>
      </c>
      <c r="C280" s="129">
        <f t="shared" si="15"/>
        <v>2025</v>
      </c>
      <c r="D280" s="2" t="s">
        <v>155</v>
      </c>
      <c r="E280" s="2" t="s">
        <v>155</v>
      </c>
      <c r="F280" s="39">
        <v>45748</v>
      </c>
      <c r="G280" s="2">
        <f>DAY(EOMONTH(TA[[#This Row],[Month Year]],0))</f>
        <v>30</v>
      </c>
      <c r="H280" s="21">
        <v>45763</v>
      </c>
      <c r="I280" s="41">
        <f>IFERROR(VLOOKUP(TA[[#This Row],[Date]],Raw_Data[[Date]:[Sunset Time (POA&lt;20 W/m2)]],3,0),"")</f>
        <v>0.26041666666666669</v>
      </c>
      <c r="J280" s="41">
        <f>IFERROR(VLOOKUP(TA[[#This Row],[Date]],Raw_Data[[Date]:[Sunset Time (POA&lt;20 W/m2)]],4,0),"")</f>
        <v>0.76458333333333328</v>
      </c>
      <c r="K280" s="35">
        <f>IFERROR((TA[[#This Row],[Sunset Time (POA&lt;20 W/m2)]]-TA[[#This Row],[Sunrise Time (POA&gt;20 W/m2)]])*24,"")</f>
        <v>12.1</v>
      </c>
      <c r="L280" s="2" t="s">
        <v>296</v>
      </c>
      <c r="M280" s="42">
        <f>IFERROR(VLOOKUP(TA[[#This Row],[Affected Equipment]],'Basic Data'!$I$2:$K$40,3,0),"")</f>
        <v>8.6206896551724102E-3</v>
      </c>
      <c r="N280">
        <v>-28</v>
      </c>
      <c r="O280" t="s">
        <v>135</v>
      </c>
      <c r="P280" s="22" t="s">
        <v>323</v>
      </c>
      <c r="Q280" s="2" t="s">
        <v>329</v>
      </c>
      <c r="R280">
        <v>45</v>
      </c>
      <c r="S280" s="2">
        <v>8</v>
      </c>
      <c r="T280" t="s">
        <v>297</v>
      </c>
      <c r="U280" t="s">
        <v>326</v>
      </c>
      <c r="V280" t="s">
        <v>301</v>
      </c>
      <c r="W280" s="41">
        <f>IFERROR(VLOOKUP(TA[[#This Row],[Date]],Raw_Data[[Date]:[Sunset Time (POA&lt;20 W/m2)]],3,0),"")</f>
        <v>0.26041666666666669</v>
      </c>
      <c r="X280" s="41">
        <f>IFERROR(VLOOKUP(TA[[#This Row],[Date]],Raw_Data[[Date]:[Sunset Time (POA&lt;20 W/m2)]],3,0),"")</f>
        <v>0.26041666666666669</v>
      </c>
      <c r="Y280" s="34"/>
      <c r="Z280" s="34">
        <v>0.76041666666666663</v>
      </c>
      <c r="AA280" s="35">
        <f>IF(TA[[#This Row],[Work Start time on Fault]]="NA","",(TA[[#This Row],[Fault Acknowledgement Time ]]-TA[[#This Row],[Fault Time]])*24)</f>
        <v>0</v>
      </c>
      <c r="AB280" s="35">
        <f>(TA[[#This Row],[Work Start time on Fault]]-TA[[#This Row],[Fault Time]])*24</f>
        <v>-6.25</v>
      </c>
      <c r="AC280" s="34">
        <f>(TA[[#This Row],[Work Completion time on fault]]-TA[[#This Row],[Fault Time]])*24</f>
        <v>11.999999999999998</v>
      </c>
      <c r="AD280" s="35">
        <f>IFERROR((TA[[#This Row],[Work Completion time on fault]]-TA[[#This Row],[Fault Time]])*24,"")</f>
        <v>11.999999999999998</v>
      </c>
      <c r="AE280" t="s">
        <v>309</v>
      </c>
      <c r="AF280" t="s">
        <v>256</v>
      </c>
      <c r="AG280" s="2"/>
      <c r="AH280" s="44">
        <f>1-COS(RADIANS(TA[[#This Row],[Avg. Target Angle during Fault Time (Radians)]]-TA[[#This Row],[Angle of affected equipment ]]))</f>
        <v>0.11705240714107301</v>
      </c>
      <c r="AI280" s="35">
        <f>IFERROR(TA[[#This Row],[Breakdown Time]]*TA[[#This Row],[Plant Equivalent Weightage]],"")</f>
        <v>0.10344827586206891</v>
      </c>
    </row>
    <row r="281" spans="1:35">
      <c r="A281" s="2">
        <f t="shared" si="13"/>
        <v>278</v>
      </c>
      <c r="B281" s="156">
        <f t="shared" si="14"/>
        <v>2026</v>
      </c>
      <c r="C281" s="129">
        <f t="shared" si="15"/>
        <v>2025</v>
      </c>
      <c r="D281" s="2" t="s">
        <v>155</v>
      </c>
      <c r="E281" s="2" t="s">
        <v>155</v>
      </c>
      <c r="F281" s="39">
        <v>45748</v>
      </c>
      <c r="G281" s="2">
        <f>DAY(EOMONTH(TA[[#This Row],[Month Year]],0))</f>
        <v>30</v>
      </c>
      <c r="H281" s="21">
        <v>45763</v>
      </c>
      <c r="I281" s="41">
        <f>IFERROR(VLOOKUP(TA[[#This Row],[Date]],Raw_Data[[Date]:[Sunset Time (POA&lt;20 W/m2)]],3,0),"")</f>
        <v>0.26041666666666669</v>
      </c>
      <c r="J281" s="41">
        <f>IFERROR(VLOOKUP(TA[[#This Row],[Date]],Raw_Data[[Date]:[Sunset Time (POA&lt;20 W/m2)]],4,0),"")</f>
        <v>0.76458333333333328</v>
      </c>
      <c r="K281" s="35">
        <f>IFERROR((TA[[#This Row],[Sunset Time (POA&lt;20 W/m2)]]-TA[[#This Row],[Sunrise Time (POA&gt;20 W/m2)]])*24,"")</f>
        <v>12.1</v>
      </c>
      <c r="L281" s="2" t="s">
        <v>296</v>
      </c>
      <c r="M281" s="42">
        <f>IFERROR(VLOOKUP(TA[[#This Row],[Affected Equipment]],'Basic Data'!$I$2:$K$40,3,0),"")</f>
        <v>8.6206896551724102E-3</v>
      </c>
      <c r="N281">
        <v>-28</v>
      </c>
      <c r="O281" t="s">
        <v>135</v>
      </c>
      <c r="P281" s="22" t="s">
        <v>323</v>
      </c>
      <c r="Q281" s="2" t="s">
        <v>329</v>
      </c>
      <c r="R281">
        <v>47</v>
      </c>
      <c r="S281" s="2">
        <v>18</v>
      </c>
      <c r="T281" t="s">
        <v>297</v>
      </c>
      <c r="U281" t="s">
        <v>326</v>
      </c>
      <c r="V281" t="s">
        <v>301</v>
      </c>
      <c r="W281" s="41">
        <f>IFERROR(VLOOKUP(TA[[#This Row],[Date]],Raw_Data[[Date]:[Sunset Time (POA&lt;20 W/m2)]],3,0),"")</f>
        <v>0.26041666666666669</v>
      </c>
      <c r="X281" s="41">
        <f>IFERROR(VLOOKUP(TA[[#This Row],[Date]],Raw_Data[[Date]:[Sunset Time (POA&lt;20 W/m2)]],3,0),"")</f>
        <v>0.26041666666666669</v>
      </c>
      <c r="Y281" s="34"/>
      <c r="Z281" s="34">
        <v>0.76041666666666663</v>
      </c>
      <c r="AA281" s="35">
        <f>IF(TA[[#This Row],[Work Start time on Fault]]="NA","",(TA[[#This Row],[Fault Acknowledgement Time ]]-TA[[#This Row],[Fault Time]])*24)</f>
        <v>0</v>
      </c>
      <c r="AB281" s="35">
        <f>(TA[[#This Row],[Work Start time on Fault]]-TA[[#This Row],[Fault Time]])*24</f>
        <v>-6.25</v>
      </c>
      <c r="AC281" s="34">
        <f>(TA[[#This Row],[Work Completion time on fault]]-TA[[#This Row],[Fault Time]])*24</f>
        <v>11.999999999999998</v>
      </c>
      <c r="AD281" s="35">
        <f>IFERROR((TA[[#This Row],[Work Completion time on fault]]-TA[[#This Row],[Fault Time]])*24,"")</f>
        <v>11.999999999999998</v>
      </c>
      <c r="AE281" t="s">
        <v>309</v>
      </c>
      <c r="AF281" t="s">
        <v>256</v>
      </c>
      <c r="AG281" s="2"/>
      <c r="AH281" s="44">
        <f>1-COS(RADIANS(TA[[#This Row],[Avg. Target Angle during Fault Time (Radians)]]-TA[[#This Row],[Angle of affected equipment ]]))</f>
        <v>0.11705240714107301</v>
      </c>
      <c r="AI281" s="35">
        <f>IFERROR(TA[[#This Row],[Breakdown Time]]*TA[[#This Row],[Plant Equivalent Weightage]],"")</f>
        <v>0.10344827586206891</v>
      </c>
    </row>
    <row r="282" spans="1:35">
      <c r="A282" s="2">
        <f t="shared" si="13"/>
        <v>279</v>
      </c>
      <c r="B282" s="156">
        <f t="shared" si="14"/>
        <v>2026</v>
      </c>
      <c r="C282" s="129">
        <f t="shared" si="15"/>
        <v>2025</v>
      </c>
      <c r="D282" s="2" t="s">
        <v>155</v>
      </c>
      <c r="E282" s="2" t="s">
        <v>155</v>
      </c>
      <c r="F282" s="39">
        <v>45748</v>
      </c>
      <c r="G282" s="2">
        <f>DAY(EOMONTH(TA[[#This Row],[Month Year]],0))</f>
        <v>30</v>
      </c>
      <c r="H282" s="21">
        <v>45763</v>
      </c>
      <c r="I282" s="41">
        <f>IFERROR(VLOOKUP(TA[[#This Row],[Date]],Raw_Data[[Date]:[Sunset Time (POA&lt;20 W/m2)]],3,0),"")</f>
        <v>0.26041666666666669</v>
      </c>
      <c r="J282" s="41">
        <f>IFERROR(VLOOKUP(TA[[#This Row],[Date]],Raw_Data[[Date]:[Sunset Time (POA&lt;20 W/m2)]],4,0),"")</f>
        <v>0.76458333333333328</v>
      </c>
      <c r="K282" s="35">
        <f>IFERROR((TA[[#This Row],[Sunset Time (POA&lt;20 W/m2)]]-TA[[#This Row],[Sunrise Time (POA&gt;20 W/m2)]])*24,"")</f>
        <v>12.1</v>
      </c>
      <c r="L282" s="2" t="s">
        <v>296</v>
      </c>
      <c r="M282" s="42">
        <f>IFERROR(VLOOKUP(TA[[#This Row],[Affected Equipment]],'Basic Data'!$I$2:$K$40,3,0),"")</f>
        <v>8.6206896551724102E-3</v>
      </c>
      <c r="N282">
        <v>-28</v>
      </c>
      <c r="O282" t="s">
        <v>134</v>
      </c>
      <c r="P282" s="22" t="s">
        <v>330</v>
      </c>
      <c r="Q282" s="2" t="s">
        <v>323</v>
      </c>
      <c r="R282">
        <v>30</v>
      </c>
      <c r="S282" s="2">
        <v>57</v>
      </c>
      <c r="T282" t="s">
        <v>297</v>
      </c>
      <c r="U282" t="s">
        <v>326</v>
      </c>
      <c r="V282" t="s">
        <v>301</v>
      </c>
      <c r="W282" s="41">
        <f>IFERROR(VLOOKUP(TA[[#This Row],[Date]],Raw_Data[[Date]:[Sunset Time (POA&lt;20 W/m2)]],3,0),"")</f>
        <v>0.26041666666666669</v>
      </c>
      <c r="X282" s="41">
        <f>IFERROR(VLOOKUP(TA[[#This Row],[Date]],Raw_Data[[Date]:[Sunset Time (POA&lt;20 W/m2)]],3,0),"")</f>
        <v>0.26041666666666669</v>
      </c>
      <c r="Y282" s="34"/>
      <c r="Z282" s="34">
        <v>0.76041666666666663</v>
      </c>
      <c r="AA282" s="35">
        <f>IF(TA[[#This Row],[Work Start time on Fault]]="NA","",(TA[[#This Row],[Fault Acknowledgement Time ]]-TA[[#This Row],[Fault Time]])*24)</f>
        <v>0</v>
      </c>
      <c r="AB282" s="35">
        <f>(TA[[#This Row],[Work Start time on Fault]]-TA[[#This Row],[Fault Time]])*24</f>
        <v>-6.25</v>
      </c>
      <c r="AC282" s="34">
        <f>(TA[[#This Row],[Work Completion time on fault]]-TA[[#This Row],[Fault Time]])*24</f>
        <v>11.999999999999998</v>
      </c>
      <c r="AD282" s="35">
        <f>IFERROR((TA[[#This Row],[Work Completion time on fault]]-TA[[#This Row],[Fault Time]])*24,"")</f>
        <v>11.999999999999998</v>
      </c>
      <c r="AE282" t="s">
        <v>309</v>
      </c>
      <c r="AF282" t="s">
        <v>256</v>
      </c>
      <c r="AG282" s="2"/>
      <c r="AH282" s="44">
        <f>1-COS(RADIANS(TA[[#This Row],[Avg. Target Angle during Fault Time (Radians)]]-TA[[#This Row],[Angle of affected equipment ]]))</f>
        <v>0.11705240714107301</v>
      </c>
      <c r="AI282" s="35">
        <f>IFERROR(TA[[#This Row],[Breakdown Time]]*TA[[#This Row],[Plant Equivalent Weightage]],"")</f>
        <v>0.10344827586206891</v>
      </c>
    </row>
    <row r="283" spans="1:35">
      <c r="A283" s="2">
        <f t="shared" si="13"/>
        <v>280</v>
      </c>
      <c r="B283" s="156">
        <f t="shared" si="14"/>
        <v>2026</v>
      </c>
      <c r="C283" s="129">
        <f t="shared" si="15"/>
        <v>2025</v>
      </c>
      <c r="D283" s="2" t="s">
        <v>155</v>
      </c>
      <c r="E283" s="2" t="s">
        <v>155</v>
      </c>
      <c r="F283" s="39">
        <v>45748</v>
      </c>
      <c r="G283" s="2">
        <f>DAY(EOMONTH(TA[[#This Row],[Month Year]],0))</f>
        <v>30</v>
      </c>
      <c r="H283" s="21">
        <v>45763</v>
      </c>
      <c r="I283" s="41">
        <f>IFERROR(VLOOKUP(TA[[#This Row],[Date]],Raw_Data[[Date]:[Sunset Time (POA&lt;20 W/m2)]],3,0),"")</f>
        <v>0.26041666666666669</v>
      </c>
      <c r="J283" s="41">
        <f>IFERROR(VLOOKUP(TA[[#This Row],[Date]],Raw_Data[[Date]:[Sunset Time (POA&lt;20 W/m2)]],4,0),"")</f>
        <v>0.76458333333333328</v>
      </c>
      <c r="K283" s="35">
        <f>IFERROR((TA[[#This Row],[Sunset Time (POA&lt;20 W/m2)]]-TA[[#This Row],[Sunrise Time (POA&gt;20 W/m2)]])*24,"")</f>
        <v>12.1</v>
      </c>
      <c r="L283" s="2" t="s">
        <v>296</v>
      </c>
      <c r="M283" s="42">
        <f>IFERROR(VLOOKUP(TA[[#This Row],[Affected Equipment]],'Basic Data'!$I$2:$K$40,3,0),"")</f>
        <v>8.6206896551724102E-3</v>
      </c>
      <c r="N283">
        <v>-28</v>
      </c>
      <c r="O283" t="s">
        <v>134</v>
      </c>
      <c r="P283" s="22" t="s">
        <v>330</v>
      </c>
      <c r="Q283" s="2" t="s">
        <v>323</v>
      </c>
      <c r="R283">
        <v>31</v>
      </c>
      <c r="S283" s="2">
        <v>61</v>
      </c>
      <c r="T283" t="s">
        <v>297</v>
      </c>
      <c r="U283" t="s">
        <v>326</v>
      </c>
      <c r="V283" t="s">
        <v>301</v>
      </c>
      <c r="W283" s="41">
        <f>IFERROR(VLOOKUP(TA[[#This Row],[Date]],Raw_Data[[Date]:[Sunset Time (POA&lt;20 W/m2)]],3,0),"")</f>
        <v>0.26041666666666669</v>
      </c>
      <c r="X283" s="41">
        <f>IFERROR(VLOOKUP(TA[[#This Row],[Date]],Raw_Data[[Date]:[Sunset Time (POA&lt;20 W/m2)]],3,0),"")</f>
        <v>0.26041666666666669</v>
      </c>
      <c r="Y283" s="34"/>
      <c r="Z283" s="34">
        <v>0.76041666666666663</v>
      </c>
      <c r="AA283" s="35">
        <f>IF(TA[[#This Row],[Work Start time on Fault]]="NA","",(TA[[#This Row],[Fault Acknowledgement Time ]]-TA[[#This Row],[Fault Time]])*24)</f>
        <v>0</v>
      </c>
      <c r="AB283" s="35">
        <f>(TA[[#This Row],[Work Start time on Fault]]-TA[[#This Row],[Fault Time]])*24</f>
        <v>-6.25</v>
      </c>
      <c r="AC283" s="34">
        <f>(TA[[#This Row],[Work Completion time on fault]]-TA[[#This Row],[Fault Time]])*24</f>
        <v>11.999999999999998</v>
      </c>
      <c r="AD283" s="35">
        <f>IFERROR((TA[[#This Row],[Work Completion time on fault]]-TA[[#This Row],[Fault Time]])*24,"")</f>
        <v>11.999999999999998</v>
      </c>
      <c r="AE283" t="s">
        <v>309</v>
      </c>
      <c r="AF283" t="s">
        <v>256</v>
      </c>
      <c r="AG283" s="2"/>
      <c r="AH283" s="44">
        <f>1-COS(RADIANS(TA[[#This Row],[Avg. Target Angle during Fault Time (Radians)]]-TA[[#This Row],[Angle of affected equipment ]]))</f>
        <v>0.11705240714107301</v>
      </c>
      <c r="AI283" s="35">
        <f>IFERROR(TA[[#This Row],[Breakdown Time]]*TA[[#This Row],[Plant Equivalent Weightage]],"")</f>
        <v>0.10344827586206891</v>
      </c>
    </row>
    <row r="284" spans="1:35">
      <c r="A284" s="2">
        <f t="shared" si="13"/>
        <v>281</v>
      </c>
      <c r="B284" s="156">
        <f t="shared" si="14"/>
        <v>2026</v>
      </c>
      <c r="C284" s="129">
        <f t="shared" si="15"/>
        <v>2025</v>
      </c>
      <c r="D284" s="2" t="s">
        <v>155</v>
      </c>
      <c r="E284" s="2" t="s">
        <v>155</v>
      </c>
      <c r="F284" s="39">
        <v>45748</v>
      </c>
      <c r="G284" s="2">
        <f>DAY(EOMONTH(TA[[#This Row],[Month Year]],0))</f>
        <v>30</v>
      </c>
      <c r="H284" s="21">
        <v>45763</v>
      </c>
      <c r="I284" s="41">
        <f>IFERROR(VLOOKUP(TA[[#This Row],[Date]],Raw_Data[[Date]:[Sunset Time (POA&lt;20 W/m2)]],3,0),"")</f>
        <v>0.26041666666666669</v>
      </c>
      <c r="J284" s="41">
        <f>IFERROR(VLOOKUP(TA[[#This Row],[Date]],Raw_Data[[Date]:[Sunset Time (POA&lt;20 W/m2)]],4,0),"")</f>
        <v>0.76458333333333328</v>
      </c>
      <c r="K284" s="35">
        <f>IFERROR((TA[[#This Row],[Sunset Time (POA&lt;20 W/m2)]]-TA[[#This Row],[Sunrise Time (POA&gt;20 W/m2)]])*24,"")</f>
        <v>12.1</v>
      </c>
      <c r="L284" s="2" t="s">
        <v>312</v>
      </c>
      <c r="M284" s="42">
        <f>IFERROR(VLOOKUP(TA[[#This Row],[Affected Equipment]],'Basic Data'!$I$2:$K$40,3,0),"")</f>
        <v>5.74712643678161E-3</v>
      </c>
      <c r="N284">
        <v>-28</v>
      </c>
      <c r="O284" t="s">
        <v>133</v>
      </c>
      <c r="P284" s="22" t="s">
        <v>330</v>
      </c>
      <c r="Q284" s="2" t="s">
        <v>323</v>
      </c>
      <c r="R284">
        <v>26</v>
      </c>
      <c r="S284" s="2">
        <v>37</v>
      </c>
      <c r="T284" t="s">
        <v>297</v>
      </c>
      <c r="U284" t="s">
        <v>326</v>
      </c>
      <c r="V284" t="s">
        <v>301</v>
      </c>
      <c r="W284" s="41">
        <f>IFERROR(VLOOKUP(TA[[#This Row],[Date]],Raw_Data[[Date]:[Sunset Time (POA&lt;20 W/m2)]],3,0),"")</f>
        <v>0.26041666666666669</v>
      </c>
      <c r="X284" s="41">
        <f>IFERROR(VLOOKUP(TA[[#This Row],[Date]],Raw_Data[[Date]:[Sunset Time (POA&lt;20 W/m2)]],3,0),"")</f>
        <v>0.26041666666666669</v>
      </c>
      <c r="Y284" s="34"/>
      <c r="Z284" s="34">
        <v>0.76041666666666663</v>
      </c>
      <c r="AA284" s="35">
        <f>IF(TA[[#This Row],[Work Start time on Fault]]="NA","",(TA[[#This Row],[Fault Acknowledgement Time ]]-TA[[#This Row],[Fault Time]])*24)</f>
        <v>0</v>
      </c>
      <c r="AB284" s="35">
        <f>(TA[[#This Row],[Work Start time on Fault]]-TA[[#This Row],[Fault Time]])*24</f>
        <v>-6.25</v>
      </c>
      <c r="AC284" s="34">
        <f>(TA[[#This Row],[Work Completion time on fault]]-TA[[#This Row],[Fault Time]])*24</f>
        <v>11.999999999999998</v>
      </c>
      <c r="AD284" s="35">
        <f>IFERROR((TA[[#This Row],[Work Completion time on fault]]-TA[[#This Row],[Fault Time]])*24,"")</f>
        <v>11.999999999999998</v>
      </c>
      <c r="AE284" t="s">
        <v>309</v>
      </c>
      <c r="AF284" t="s">
        <v>256</v>
      </c>
      <c r="AG284" s="2"/>
      <c r="AH284" s="44">
        <f>1-COS(RADIANS(TA[[#This Row],[Avg. Target Angle during Fault Time (Radians)]]-TA[[#This Row],[Angle of affected equipment ]]))</f>
        <v>0.11705240714107301</v>
      </c>
      <c r="AI284" s="35">
        <f>IFERROR(TA[[#This Row],[Breakdown Time]]*TA[[#This Row],[Plant Equivalent Weightage]],"")</f>
        <v>6.8965517241379309E-2</v>
      </c>
    </row>
    <row r="285" spans="1:35">
      <c r="A285" s="2">
        <f t="shared" si="13"/>
        <v>282</v>
      </c>
      <c r="B285" s="156">
        <f t="shared" si="14"/>
        <v>2026</v>
      </c>
      <c r="C285" s="129">
        <f t="shared" si="15"/>
        <v>2025</v>
      </c>
      <c r="D285" s="2" t="s">
        <v>155</v>
      </c>
      <c r="E285" s="2" t="s">
        <v>155</v>
      </c>
      <c r="F285" s="39">
        <v>45748</v>
      </c>
      <c r="G285" s="2">
        <f>DAY(EOMONTH(TA[[#This Row],[Month Year]],0))</f>
        <v>30</v>
      </c>
      <c r="H285" s="21">
        <v>45763</v>
      </c>
      <c r="I285" s="41">
        <f>IFERROR(VLOOKUP(TA[[#This Row],[Date]],Raw_Data[[Date]:[Sunset Time (POA&lt;20 W/m2)]],3,0),"")</f>
        <v>0.26041666666666669</v>
      </c>
      <c r="J285" s="41">
        <f>IFERROR(VLOOKUP(TA[[#This Row],[Date]],Raw_Data[[Date]:[Sunset Time (POA&lt;20 W/m2)]],4,0),"")</f>
        <v>0.76458333333333328</v>
      </c>
      <c r="K285" s="35">
        <f>IFERROR((TA[[#This Row],[Sunset Time (POA&lt;20 W/m2)]]-TA[[#This Row],[Sunrise Time (POA&gt;20 W/m2)]])*24,"")</f>
        <v>12.1</v>
      </c>
      <c r="L285" s="2" t="s">
        <v>312</v>
      </c>
      <c r="M285" s="42">
        <f>IFERROR(VLOOKUP(TA[[#This Row],[Affected Equipment]],'Basic Data'!$I$2:$K$40,3,0),"")</f>
        <v>5.74712643678161E-3</v>
      </c>
      <c r="N285">
        <v>-28</v>
      </c>
      <c r="O285" t="s">
        <v>133</v>
      </c>
      <c r="P285" s="22" t="s">
        <v>330</v>
      </c>
      <c r="Q285" s="2" t="s">
        <v>323</v>
      </c>
      <c r="R285">
        <v>27</v>
      </c>
      <c r="S285" s="2">
        <v>42</v>
      </c>
      <c r="T285" t="s">
        <v>297</v>
      </c>
      <c r="U285" t="s">
        <v>326</v>
      </c>
      <c r="V285" t="s">
        <v>301</v>
      </c>
      <c r="W285" s="41">
        <f>IFERROR(VLOOKUP(TA[[#This Row],[Date]],Raw_Data[[Date]:[Sunset Time (POA&lt;20 W/m2)]],3,0),"")</f>
        <v>0.26041666666666669</v>
      </c>
      <c r="X285" s="41">
        <f>IFERROR(VLOOKUP(TA[[#This Row],[Date]],Raw_Data[[Date]:[Sunset Time (POA&lt;20 W/m2)]],3,0),"")</f>
        <v>0.26041666666666669</v>
      </c>
      <c r="Y285" s="34"/>
      <c r="Z285" s="34">
        <v>0.76041666666666663</v>
      </c>
      <c r="AA285" s="35">
        <f>IF(TA[[#This Row],[Work Start time on Fault]]="NA","",(TA[[#This Row],[Fault Acknowledgement Time ]]-TA[[#This Row],[Fault Time]])*24)</f>
        <v>0</v>
      </c>
      <c r="AB285" s="35">
        <f>(TA[[#This Row],[Work Start time on Fault]]-TA[[#This Row],[Fault Time]])*24</f>
        <v>-6.25</v>
      </c>
      <c r="AC285" s="34">
        <f>(TA[[#This Row],[Work Completion time on fault]]-TA[[#This Row],[Fault Time]])*24</f>
        <v>11.999999999999998</v>
      </c>
      <c r="AD285" s="35">
        <f>IFERROR((TA[[#This Row],[Work Completion time on fault]]-TA[[#This Row],[Fault Time]])*24,"")</f>
        <v>11.999999999999998</v>
      </c>
      <c r="AE285" t="s">
        <v>309</v>
      </c>
      <c r="AF285" t="s">
        <v>256</v>
      </c>
      <c r="AG285" s="2"/>
      <c r="AH285" s="44">
        <f>1-COS(RADIANS(TA[[#This Row],[Avg. Target Angle during Fault Time (Radians)]]-TA[[#This Row],[Angle of affected equipment ]]))</f>
        <v>0.11705240714107301</v>
      </c>
      <c r="AI285" s="35">
        <f>IFERROR(TA[[#This Row],[Breakdown Time]]*TA[[#This Row],[Plant Equivalent Weightage]],"")</f>
        <v>6.8965517241379309E-2</v>
      </c>
    </row>
    <row r="286" spans="1:35">
      <c r="A286" s="2">
        <f t="shared" si="13"/>
        <v>283</v>
      </c>
      <c r="B286" s="156">
        <f t="shared" si="14"/>
        <v>2026</v>
      </c>
      <c r="C286" s="129">
        <f t="shared" si="15"/>
        <v>2025</v>
      </c>
      <c r="D286" s="2" t="s">
        <v>155</v>
      </c>
      <c r="E286" s="2" t="s">
        <v>155</v>
      </c>
      <c r="F286" s="39">
        <v>45748</v>
      </c>
      <c r="G286" s="2">
        <f>DAY(EOMONTH(TA[[#This Row],[Month Year]],0))</f>
        <v>30</v>
      </c>
      <c r="H286" s="21">
        <v>45764</v>
      </c>
      <c r="I286" s="41">
        <f>IFERROR(VLOOKUP(TA[[#This Row],[Date]],Raw_Data[[Date]:[Sunset Time (POA&lt;20 W/m2)]],3,0),"")</f>
        <v>0.25833333333333336</v>
      </c>
      <c r="J286" s="41">
        <f>IFERROR(VLOOKUP(TA[[#This Row],[Date]],Raw_Data[[Date]:[Sunset Time (POA&lt;20 W/m2)]],4,0),"")</f>
        <v>0.76527777777777772</v>
      </c>
      <c r="K286" s="35">
        <f>IFERROR((TA[[#This Row],[Sunset Time (POA&lt;20 W/m2)]]-TA[[#This Row],[Sunrise Time (POA&gt;20 W/m2)]])*24,"")</f>
        <v>12.166666666666666</v>
      </c>
      <c r="L286" s="2" t="s">
        <v>294</v>
      </c>
      <c r="M286" s="42">
        <f>IFERROR(VLOOKUP(TA[[#This Row],[Affected Equipment]],'Basic Data'!$I$2:$K$40,3,0),"")</f>
        <v>1.7241379310344799E-3</v>
      </c>
      <c r="N286">
        <v>-28</v>
      </c>
      <c r="O286" t="s">
        <v>135</v>
      </c>
      <c r="P286" s="127" t="s">
        <v>318</v>
      </c>
      <c r="Q286" s="126" t="s">
        <v>318</v>
      </c>
      <c r="R286">
        <v>130</v>
      </c>
      <c r="S286" s="2">
        <v>37</v>
      </c>
      <c r="T286" t="s">
        <v>295</v>
      </c>
      <c r="U286" t="s">
        <v>300</v>
      </c>
      <c r="V286" t="s">
        <v>298</v>
      </c>
      <c r="W286" s="41"/>
      <c r="X286" s="41"/>
      <c r="Y286" s="34"/>
      <c r="Z286" s="34"/>
      <c r="AA286" s="35">
        <f>IF(TA[[#This Row],[Work Start time on Fault]]="NA","",(TA[[#This Row],[Fault Acknowledgement Time ]]-TA[[#This Row],[Fault Time]])*24)</f>
        <v>0</v>
      </c>
      <c r="AB286" s="35">
        <f>(TA[[#This Row],[Work Start time on Fault]]-TA[[#This Row],[Fault Time]])*24</f>
        <v>0</v>
      </c>
      <c r="AC286" s="34">
        <f>(TA[[#This Row],[Work Completion time on fault]]-TA[[#This Row],[Fault Time]])*24</f>
        <v>0</v>
      </c>
      <c r="AD286" s="35">
        <f>IFERROR((TA[[#This Row],[Work Completion time on fault]]-TA[[#This Row],[Fault Time]])*24,"")</f>
        <v>0</v>
      </c>
      <c r="AE286" t="s">
        <v>328</v>
      </c>
      <c r="AF286" t="s">
        <v>256</v>
      </c>
      <c r="AG286" s="2"/>
      <c r="AH286" s="44">
        <f>1-COS(RADIANS(TA[[#This Row],[Avg. Target Angle during Fault Time (Radians)]]-TA[[#This Row],[Angle of affected equipment ]]))</f>
        <v>0.11705240714107301</v>
      </c>
      <c r="AI286" s="35">
        <f>IFERROR(TA[[#This Row],[Breakdown Time]]*TA[[#This Row],[Plant Equivalent Weightage]],"")</f>
        <v>0</v>
      </c>
    </row>
    <row r="287" spans="1:35">
      <c r="A287" s="2">
        <f t="shared" si="13"/>
        <v>284</v>
      </c>
      <c r="B287" s="156">
        <f t="shared" si="14"/>
        <v>2026</v>
      </c>
      <c r="C287" s="129">
        <f t="shared" si="15"/>
        <v>2025</v>
      </c>
      <c r="D287" s="2" t="s">
        <v>155</v>
      </c>
      <c r="E287" s="2" t="s">
        <v>155</v>
      </c>
      <c r="F287" s="39">
        <v>45748</v>
      </c>
      <c r="G287" s="2">
        <f>DAY(EOMONTH(TA[[#This Row],[Month Year]],0))</f>
        <v>30</v>
      </c>
      <c r="H287" s="21">
        <v>45764</v>
      </c>
      <c r="I287" s="41">
        <f>IFERROR(VLOOKUP(TA[[#This Row],[Date]],Raw_Data[[Date]:[Sunset Time (POA&lt;20 W/m2)]],3,0),"")</f>
        <v>0.25833333333333336</v>
      </c>
      <c r="J287" s="41">
        <f>IFERROR(VLOOKUP(TA[[#This Row],[Date]],Raw_Data[[Date]:[Sunset Time (POA&lt;20 W/m2)]],4,0),"")</f>
        <v>0.76527777777777772</v>
      </c>
      <c r="K287" s="35">
        <f>IFERROR((TA[[#This Row],[Sunset Time (POA&lt;20 W/m2)]]-TA[[#This Row],[Sunrise Time (POA&gt;20 W/m2)]])*24,"")</f>
        <v>12.166666666666666</v>
      </c>
      <c r="L287" s="2" t="s">
        <v>294</v>
      </c>
      <c r="M287" s="42">
        <f>IFERROR(VLOOKUP(TA[[#This Row],[Affected Equipment]],'Basic Data'!$I$2:$K$40,3,0),"")</f>
        <v>1.7241379310344799E-3</v>
      </c>
      <c r="N287">
        <v>-28</v>
      </c>
      <c r="O287" t="s">
        <v>135</v>
      </c>
      <c r="P287" s="127" t="s">
        <v>318</v>
      </c>
      <c r="Q287" s="126" t="s">
        <v>318</v>
      </c>
      <c r="R287">
        <v>131</v>
      </c>
      <c r="S287" s="2">
        <v>38</v>
      </c>
      <c r="T287" t="s">
        <v>295</v>
      </c>
      <c r="U287" t="s">
        <v>300</v>
      </c>
      <c r="V287" t="s">
        <v>298</v>
      </c>
      <c r="W287" s="41"/>
      <c r="X287" s="41"/>
      <c r="Y287" s="34"/>
      <c r="Z287" s="34"/>
      <c r="AA287" s="35">
        <f>IF(TA[[#This Row],[Work Start time on Fault]]="NA","",(TA[[#This Row],[Fault Acknowledgement Time ]]-TA[[#This Row],[Fault Time]])*24)</f>
        <v>0</v>
      </c>
      <c r="AB287" s="35">
        <f>(TA[[#This Row],[Work Start time on Fault]]-TA[[#This Row],[Fault Time]])*24</f>
        <v>0</v>
      </c>
      <c r="AC287" s="34">
        <f>(TA[[#This Row],[Work Completion time on fault]]-TA[[#This Row],[Fault Time]])*24</f>
        <v>0</v>
      </c>
      <c r="AD287" s="35">
        <f>IFERROR((TA[[#This Row],[Work Completion time on fault]]-TA[[#This Row],[Fault Time]])*24,"")</f>
        <v>0</v>
      </c>
      <c r="AE287" t="s">
        <v>328</v>
      </c>
      <c r="AF287" t="s">
        <v>256</v>
      </c>
      <c r="AG287" s="2"/>
      <c r="AH287" s="44">
        <f>1-COS(RADIANS(TA[[#This Row],[Avg. Target Angle during Fault Time (Radians)]]-TA[[#This Row],[Angle of affected equipment ]]))</f>
        <v>0.11705240714107301</v>
      </c>
      <c r="AI287" s="35">
        <f>IFERROR(TA[[#This Row],[Breakdown Time]]*TA[[#This Row],[Plant Equivalent Weightage]],"")</f>
        <v>0</v>
      </c>
    </row>
    <row r="288" spans="1:35">
      <c r="A288" s="2">
        <f t="shared" si="13"/>
        <v>285</v>
      </c>
      <c r="B288" s="156">
        <f t="shared" si="14"/>
        <v>2026</v>
      </c>
      <c r="C288" s="129">
        <f t="shared" si="15"/>
        <v>2025</v>
      </c>
      <c r="D288" s="2" t="s">
        <v>155</v>
      </c>
      <c r="E288" s="2" t="s">
        <v>155</v>
      </c>
      <c r="F288" s="39">
        <v>45748</v>
      </c>
      <c r="G288" s="2">
        <f>DAY(EOMONTH(TA[[#This Row],[Month Year]],0))</f>
        <v>30</v>
      </c>
      <c r="H288" s="21">
        <v>45764</v>
      </c>
      <c r="I288" s="41">
        <f>IFERROR(VLOOKUP(TA[[#This Row],[Date]],Raw_Data[[Date]:[Sunset Time (POA&lt;20 W/m2)]],3,0),"")</f>
        <v>0.25833333333333336</v>
      </c>
      <c r="J288" s="41">
        <f>IFERROR(VLOOKUP(TA[[#This Row],[Date]],Raw_Data[[Date]:[Sunset Time (POA&lt;20 W/m2)]],4,0),"")</f>
        <v>0.76527777777777772</v>
      </c>
      <c r="K288" s="35">
        <f>IFERROR((TA[[#This Row],[Sunset Time (POA&lt;20 W/m2)]]-TA[[#This Row],[Sunrise Time (POA&gt;20 W/m2)]])*24,"")</f>
        <v>12.166666666666666</v>
      </c>
      <c r="L288" s="2" t="s">
        <v>294</v>
      </c>
      <c r="M288" s="42">
        <f>IFERROR(VLOOKUP(TA[[#This Row],[Affected Equipment]],'Basic Data'!$I$2:$K$40,3,0),"")</f>
        <v>1.7241379310344799E-3</v>
      </c>
      <c r="N288">
        <v>-28</v>
      </c>
      <c r="O288" t="s">
        <v>135</v>
      </c>
      <c r="P288" s="127" t="s">
        <v>318</v>
      </c>
      <c r="Q288" s="126" t="s">
        <v>318</v>
      </c>
      <c r="R288">
        <v>131</v>
      </c>
      <c r="S288" s="2">
        <v>39</v>
      </c>
      <c r="T288" t="s">
        <v>295</v>
      </c>
      <c r="U288" t="s">
        <v>300</v>
      </c>
      <c r="V288" t="s">
        <v>298</v>
      </c>
      <c r="W288" s="41"/>
      <c r="X288" s="41"/>
      <c r="Y288" s="34"/>
      <c r="Z288" s="34"/>
      <c r="AA288" s="35">
        <f>IF(TA[[#This Row],[Work Start time on Fault]]="NA","",(TA[[#This Row],[Fault Acknowledgement Time ]]-TA[[#This Row],[Fault Time]])*24)</f>
        <v>0</v>
      </c>
      <c r="AB288" s="35">
        <f>(TA[[#This Row],[Work Start time on Fault]]-TA[[#This Row],[Fault Time]])*24</f>
        <v>0</v>
      </c>
      <c r="AC288" s="34">
        <f>(TA[[#This Row],[Work Completion time on fault]]-TA[[#This Row],[Fault Time]])*24</f>
        <v>0</v>
      </c>
      <c r="AD288" s="35">
        <f>IFERROR((TA[[#This Row],[Work Completion time on fault]]-TA[[#This Row],[Fault Time]])*24,"")</f>
        <v>0</v>
      </c>
      <c r="AE288" t="s">
        <v>328</v>
      </c>
      <c r="AF288" t="s">
        <v>256</v>
      </c>
      <c r="AG288" s="2"/>
      <c r="AH288" s="44">
        <f>1-COS(RADIANS(TA[[#This Row],[Avg. Target Angle during Fault Time (Radians)]]-TA[[#This Row],[Angle of affected equipment ]]))</f>
        <v>0.11705240714107301</v>
      </c>
      <c r="AI288" s="35">
        <f>IFERROR(TA[[#This Row],[Breakdown Time]]*TA[[#This Row],[Plant Equivalent Weightage]],"")</f>
        <v>0</v>
      </c>
    </row>
    <row r="289" spans="1:35">
      <c r="A289" s="2">
        <f t="shared" si="13"/>
        <v>286</v>
      </c>
      <c r="B289" s="156">
        <f t="shared" si="14"/>
        <v>2026</v>
      </c>
      <c r="C289" s="129">
        <f t="shared" si="15"/>
        <v>2025</v>
      </c>
      <c r="D289" s="2" t="s">
        <v>155</v>
      </c>
      <c r="E289" s="2" t="s">
        <v>155</v>
      </c>
      <c r="F289" s="39">
        <v>45748</v>
      </c>
      <c r="G289" s="2">
        <f>DAY(EOMONTH(TA[[#This Row],[Month Year]],0))</f>
        <v>30</v>
      </c>
      <c r="H289" s="21">
        <v>45764</v>
      </c>
      <c r="I289" s="41">
        <f>IFERROR(VLOOKUP(TA[[#This Row],[Date]],Raw_Data[[Date]:[Sunset Time (POA&lt;20 W/m2)]],3,0),"")</f>
        <v>0.25833333333333336</v>
      </c>
      <c r="J289" s="41">
        <f>IFERROR(VLOOKUP(TA[[#This Row],[Date]],Raw_Data[[Date]:[Sunset Time (POA&lt;20 W/m2)]],4,0),"")</f>
        <v>0.76527777777777772</v>
      </c>
      <c r="K289" s="35">
        <f>IFERROR((TA[[#This Row],[Sunset Time (POA&lt;20 W/m2)]]-TA[[#This Row],[Sunrise Time (POA&gt;20 W/m2)]])*24,"")</f>
        <v>12.166666666666666</v>
      </c>
      <c r="L289" s="2" t="s">
        <v>296</v>
      </c>
      <c r="M289" s="42">
        <f>IFERROR(VLOOKUP(TA[[#This Row],[Affected Equipment]],'Basic Data'!$I$2:$K$40,3,0),"")</f>
        <v>8.6206896551724102E-3</v>
      </c>
      <c r="N289">
        <v>-28</v>
      </c>
      <c r="O289" t="s">
        <v>135</v>
      </c>
      <c r="P289" s="127" t="s">
        <v>318</v>
      </c>
      <c r="Q289" s="2" t="s">
        <v>321</v>
      </c>
      <c r="R289">
        <v>133</v>
      </c>
      <c r="S289" s="2">
        <v>26</v>
      </c>
      <c r="T289" t="s">
        <v>297</v>
      </c>
      <c r="U289" t="s">
        <v>300</v>
      </c>
      <c r="V289" t="s">
        <v>314</v>
      </c>
      <c r="W289" s="41"/>
      <c r="X289" s="41"/>
      <c r="Y289" s="34"/>
      <c r="Z289" s="34"/>
      <c r="AA289" s="35">
        <f>IF(TA[[#This Row],[Work Start time on Fault]]="NA","",(TA[[#This Row],[Fault Acknowledgement Time ]]-TA[[#This Row],[Fault Time]])*24)</f>
        <v>0</v>
      </c>
      <c r="AB289" s="35">
        <f>(TA[[#This Row],[Work Start time on Fault]]-TA[[#This Row],[Fault Time]])*24</f>
        <v>0</v>
      </c>
      <c r="AC289" s="34">
        <f>(TA[[#This Row],[Work Completion time on fault]]-TA[[#This Row],[Fault Time]])*24</f>
        <v>0</v>
      </c>
      <c r="AD289" s="35">
        <f>IFERROR((TA[[#This Row],[Work Completion time on fault]]-TA[[#This Row],[Fault Time]])*24,"")</f>
        <v>0</v>
      </c>
      <c r="AE289" t="s">
        <v>328</v>
      </c>
      <c r="AF289" t="s">
        <v>256</v>
      </c>
      <c r="AG289" s="2"/>
      <c r="AH289" s="44">
        <f>1-COS(RADIANS(TA[[#This Row],[Avg. Target Angle during Fault Time (Radians)]]-TA[[#This Row],[Angle of affected equipment ]]))</f>
        <v>0.11705240714107301</v>
      </c>
      <c r="AI289" s="35">
        <f>IFERROR(TA[[#This Row],[Breakdown Time]]*TA[[#This Row],[Plant Equivalent Weightage]],"")</f>
        <v>0</v>
      </c>
    </row>
    <row r="290" spans="1:35">
      <c r="A290" s="2">
        <f t="shared" si="13"/>
        <v>287</v>
      </c>
      <c r="B290" s="156">
        <f t="shared" si="14"/>
        <v>2026</v>
      </c>
      <c r="C290" s="129">
        <f t="shared" si="15"/>
        <v>2025</v>
      </c>
      <c r="D290" s="2" t="s">
        <v>155</v>
      </c>
      <c r="E290" s="2" t="s">
        <v>155</v>
      </c>
      <c r="F290" s="39">
        <v>45748</v>
      </c>
      <c r="G290" s="2">
        <f>DAY(EOMONTH(TA[[#This Row],[Month Year]],0))</f>
        <v>30</v>
      </c>
      <c r="H290" s="21">
        <v>45764</v>
      </c>
      <c r="I290" s="41">
        <f>IFERROR(VLOOKUP(TA[[#This Row],[Date]],Raw_Data[[Date]:[Sunset Time (POA&lt;20 W/m2)]],3,0),"")</f>
        <v>0.25833333333333336</v>
      </c>
      <c r="J290" s="41">
        <f>IFERROR(VLOOKUP(TA[[#This Row],[Date]],Raw_Data[[Date]:[Sunset Time (POA&lt;20 W/m2)]],4,0),"")</f>
        <v>0.76527777777777772</v>
      </c>
      <c r="K290" s="35">
        <f>IFERROR((TA[[#This Row],[Sunset Time (POA&lt;20 W/m2)]]-TA[[#This Row],[Sunrise Time (POA&gt;20 W/m2)]])*24,"")</f>
        <v>12.166666666666666</v>
      </c>
      <c r="L290" s="2" t="s">
        <v>294</v>
      </c>
      <c r="M290" s="42">
        <f>IFERROR(VLOOKUP(TA[[#This Row],[Affected Equipment]],'Basic Data'!$I$2:$K$40,3,0),"")</f>
        <v>1.7241379310344799E-3</v>
      </c>
      <c r="N290">
        <v>-28</v>
      </c>
      <c r="O290" t="s">
        <v>133</v>
      </c>
      <c r="P290" s="127" t="s">
        <v>316</v>
      </c>
      <c r="Q290" s="126" t="s">
        <v>317</v>
      </c>
      <c r="R290">
        <v>7</v>
      </c>
      <c r="S290" s="2">
        <v>32</v>
      </c>
      <c r="T290" t="s">
        <v>295</v>
      </c>
      <c r="U290" t="s">
        <v>300</v>
      </c>
      <c r="V290" t="s">
        <v>298</v>
      </c>
      <c r="W290" s="41"/>
      <c r="X290" s="41"/>
      <c r="Y290" s="34"/>
      <c r="Z290" s="34"/>
      <c r="AA290" s="35">
        <f>IF(TA[[#This Row],[Work Start time on Fault]]="NA","",(TA[[#This Row],[Fault Acknowledgement Time ]]-TA[[#This Row],[Fault Time]])*24)</f>
        <v>0</v>
      </c>
      <c r="AB290" s="35">
        <f>(TA[[#This Row],[Work Start time on Fault]]-TA[[#This Row],[Fault Time]])*24</f>
        <v>0</v>
      </c>
      <c r="AC290" s="34">
        <f>(TA[[#This Row],[Work Completion time on fault]]-TA[[#This Row],[Fault Time]])*24</f>
        <v>0</v>
      </c>
      <c r="AD290" s="35">
        <f>IFERROR((TA[[#This Row],[Work Completion time on fault]]-TA[[#This Row],[Fault Time]])*24,"")</f>
        <v>0</v>
      </c>
      <c r="AE290" t="s">
        <v>328</v>
      </c>
      <c r="AF290" t="s">
        <v>256</v>
      </c>
      <c r="AG290" s="2"/>
      <c r="AH290" s="44">
        <f>1-COS(RADIANS(TA[[#This Row],[Avg. Target Angle during Fault Time (Radians)]]-TA[[#This Row],[Angle of affected equipment ]]))</f>
        <v>0.11705240714107301</v>
      </c>
      <c r="AI290" s="35">
        <f>IFERROR(TA[[#This Row],[Breakdown Time]]*TA[[#This Row],[Plant Equivalent Weightage]],"")</f>
        <v>0</v>
      </c>
    </row>
    <row r="291" spans="1:35">
      <c r="A291" s="2">
        <f t="shared" ref="A291:A356" si="16">A290+1</f>
        <v>288</v>
      </c>
      <c r="B291" s="156">
        <f t="shared" si="14"/>
        <v>2026</v>
      </c>
      <c r="C291" s="129">
        <f t="shared" si="15"/>
        <v>2025</v>
      </c>
      <c r="D291" s="2" t="s">
        <v>155</v>
      </c>
      <c r="E291" s="2" t="s">
        <v>155</v>
      </c>
      <c r="F291" s="39">
        <v>45748</v>
      </c>
      <c r="G291" s="2">
        <f>DAY(EOMONTH(TA[[#This Row],[Month Year]],0))</f>
        <v>30</v>
      </c>
      <c r="H291" s="21">
        <v>45764</v>
      </c>
      <c r="I291" s="41">
        <f>IFERROR(VLOOKUP(TA[[#This Row],[Date]],Raw_Data[[Date]:[Sunset Time (POA&lt;20 W/m2)]],3,0),"")</f>
        <v>0.25833333333333336</v>
      </c>
      <c r="J291" s="41">
        <f>IFERROR(VLOOKUP(TA[[#This Row],[Date]],Raw_Data[[Date]:[Sunset Time (POA&lt;20 W/m2)]],4,0),"")</f>
        <v>0.76527777777777772</v>
      </c>
      <c r="K291" s="35">
        <f>IFERROR((TA[[#This Row],[Sunset Time (POA&lt;20 W/m2)]]-TA[[#This Row],[Sunrise Time (POA&gt;20 W/m2)]])*24,"")</f>
        <v>12.166666666666666</v>
      </c>
      <c r="L291" s="2" t="s">
        <v>294</v>
      </c>
      <c r="M291" s="42">
        <f>IFERROR(VLOOKUP(TA[[#This Row],[Affected Equipment]],'Basic Data'!$I$2:$K$40,3,0),"")</f>
        <v>1.7241379310344799E-3</v>
      </c>
      <c r="N291">
        <v>-28</v>
      </c>
      <c r="O291" t="s">
        <v>137</v>
      </c>
      <c r="P291" s="127" t="s">
        <v>315</v>
      </c>
      <c r="Q291" s="126" t="s">
        <v>319</v>
      </c>
      <c r="R291">
        <v>166</v>
      </c>
      <c r="S291" s="2">
        <v>91</v>
      </c>
      <c r="T291" t="s">
        <v>295</v>
      </c>
      <c r="U291" t="s">
        <v>300</v>
      </c>
      <c r="V291" t="s">
        <v>298</v>
      </c>
      <c r="W291" s="41"/>
      <c r="X291" s="41"/>
      <c r="Y291" s="34"/>
      <c r="Z291" s="34"/>
      <c r="AA291" s="35">
        <f>IF(TA[[#This Row],[Work Start time on Fault]]="NA","",(TA[[#This Row],[Fault Acknowledgement Time ]]-TA[[#This Row],[Fault Time]])*24)</f>
        <v>0</v>
      </c>
      <c r="AB291" s="35">
        <f>(TA[[#This Row],[Work Start time on Fault]]-TA[[#This Row],[Fault Time]])*24</f>
        <v>0</v>
      </c>
      <c r="AC291" s="34">
        <f>(TA[[#This Row],[Work Completion time on fault]]-TA[[#This Row],[Fault Time]])*24</f>
        <v>0</v>
      </c>
      <c r="AD291" s="35">
        <f>IFERROR((TA[[#This Row],[Work Completion time on fault]]-TA[[#This Row],[Fault Time]])*24,"")</f>
        <v>0</v>
      </c>
      <c r="AE291" t="s">
        <v>328</v>
      </c>
      <c r="AF291" t="s">
        <v>256</v>
      </c>
      <c r="AG291" s="2"/>
      <c r="AH291" s="44">
        <f>1-COS(RADIANS(TA[[#This Row],[Avg. Target Angle during Fault Time (Radians)]]-TA[[#This Row],[Angle of affected equipment ]]))</f>
        <v>0.11705240714107301</v>
      </c>
      <c r="AI291" s="35">
        <f>IFERROR(TA[[#This Row],[Breakdown Time]]*TA[[#This Row],[Plant Equivalent Weightage]],"")</f>
        <v>0</v>
      </c>
    </row>
    <row r="292" spans="1:35">
      <c r="A292" s="2">
        <f t="shared" si="16"/>
        <v>289</v>
      </c>
      <c r="B292" s="156">
        <f t="shared" si="14"/>
        <v>2026</v>
      </c>
      <c r="C292" s="129">
        <f t="shared" si="15"/>
        <v>2025</v>
      </c>
      <c r="D292" s="2" t="s">
        <v>155</v>
      </c>
      <c r="E292" s="2" t="s">
        <v>155</v>
      </c>
      <c r="F292" s="39">
        <v>45748</v>
      </c>
      <c r="G292" s="2">
        <f>DAY(EOMONTH(TA[[#This Row],[Month Year]],0))</f>
        <v>30</v>
      </c>
      <c r="H292" s="21">
        <v>45764</v>
      </c>
      <c r="I292" s="41">
        <f>IFERROR(VLOOKUP(TA[[#This Row],[Date]],Raw_Data[[Date]:[Sunset Time (POA&lt;20 W/m2)]],3,0),"")</f>
        <v>0.25833333333333336</v>
      </c>
      <c r="J292" s="41">
        <f>IFERROR(VLOOKUP(TA[[#This Row],[Date]],Raw_Data[[Date]:[Sunset Time (POA&lt;20 W/m2)]],4,0),"")</f>
        <v>0.76527777777777772</v>
      </c>
      <c r="K292" s="35">
        <f>IFERROR((TA[[#This Row],[Sunset Time (POA&lt;20 W/m2)]]-TA[[#This Row],[Sunrise Time (POA&gt;20 W/m2)]])*24,"")</f>
        <v>12.166666666666666</v>
      </c>
      <c r="L292" s="2" t="s">
        <v>294</v>
      </c>
      <c r="M292" s="42">
        <f>IFERROR(VLOOKUP(TA[[#This Row],[Affected Equipment]],'Basic Data'!$I$2:$K$40,3,0),"")</f>
        <v>1.7241379310344799E-3</v>
      </c>
      <c r="N292">
        <v>-28</v>
      </c>
      <c r="O292" t="s">
        <v>133</v>
      </c>
      <c r="P292" s="127" t="s">
        <v>316</v>
      </c>
      <c r="Q292" s="126" t="s">
        <v>316</v>
      </c>
      <c r="R292">
        <v>117</v>
      </c>
      <c r="S292" s="2">
        <v>20</v>
      </c>
      <c r="T292" t="s">
        <v>295</v>
      </c>
      <c r="U292" t="s">
        <v>300</v>
      </c>
      <c r="V292" t="s">
        <v>298</v>
      </c>
      <c r="W292" s="41"/>
      <c r="X292" s="41"/>
      <c r="Y292" s="34"/>
      <c r="Z292" s="34"/>
      <c r="AA292" s="35">
        <f>IF(TA[[#This Row],[Work Start time on Fault]]="NA","",(TA[[#This Row],[Fault Acknowledgement Time ]]-TA[[#This Row],[Fault Time]])*24)</f>
        <v>0</v>
      </c>
      <c r="AB292" s="35">
        <f>(TA[[#This Row],[Work Start time on Fault]]-TA[[#This Row],[Fault Time]])*24</f>
        <v>0</v>
      </c>
      <c r="AC292" s="34">
        <f>(TA[[#This Row],[Work Completion time on fault]]-TA[[#This Row],[Fault Time]])*24</f>
        <v>0</v>
      </c>
      <c r="AD292" s="35">
        <f>IFERROR((TA[[#This Row],[Work Completion time on fault]]-TA[[#This Row],[Fault Time]])*24,"")</f>
        <v>0</v>
      </c>
      <c r="AE292" t="s">
        <v>328</v>
      </c>
      <c r="AF292" t="s">
        <v>256</v>
      </c>
      <c r="AG292" s="2"/>
      <c r="AH292" s="44">
        <f>1-COS(RADIANS(TA[[#This Row],[Avg. Target Angle during Fault Time (Radians)]]-TA[[#This Row],[Angle of affected equipment ]]))</f>
        <v>0.11705240714107301</v>
      </c>
      <c r="AI292" s="35">
        <f>IFERROR(TA[[#This Row],[Breakdown Time]]*TA[[#This Row],[Plant Equivalent Weightage]],"")</f>
        <v>0</v>
      </c>
    </row>
    <row r="293" spans="1:35">
      <c r="A293" s="2">
        <f t="shared" si="16"/>
        <v>290</v>
      </c>
      <c r="B293" s="156">
        <f t="shared" si="14"/>
        <v>2026</v>
      </c>
      <c r="C293" s="129">
        <f t="shared" si="15"/>
        <v>2025</v>
      </c>
      <c r="D293" s="2" t="s">
        <v>155</v>
      </c>
      <c r="E293" s="2" t="s">
        <v>155</v>
      </c>
      <c r="F293" s="39">
        <v>45748</v>
      </c>
      <c r="G293" s="2">
        <f>DAY(EOMONTH(TA[[#This Row],[Month Year]],0))</f>
        <v>30</v>
      </c>
      <c r="H293" s="21">
        <v>45764</v>
      </c>
      <c r="I293" s="41">
        <f>IFERROR(VLOOKUP(TA[[#This Row],[Date]],Raw_Data[[Date]:[Sunset Time (POA&lt;20 W/m2)]],3,0),"")</f>
        <v>0.25833333333333336</v>
      </c>
      <c r="J293" s="41">
        <f>IFERROR(VLOOKUP(TA[[#This Row],[Date]],Raw_Data[[Date]:[Sunset Time (POA&lt;20 W/m2)]],4,0),"")</f>
        <v>0.76527777777777772</v>
      </c>
      <c r="K293" s="35">
        <f>IFERROR((TA[[#This Row],[Sunset Time (POA&lt;20 W/m2)]]-TA[[#This Row],[Sunrise Time (POA&gt;20 W/m2)]])*24,"")</f>
        <v>12.166666666666666</v>
      </c>
      <c r="L293" s="2" t="s">
        <v>294</v>
      </c>
      <c r="M293" s="42">
        <f>IFERROR(VLOOKUP(TA[[#This Row],[Affected Equipment]],'Basic Data'!$I$2:$K$40,3,0),"")</f>
        <v>1.7241379310344799E-3</v>
      </c>
      <c r="N293">
        <v>-28</v>
      </c>
      <c r="O293" t="s">
        <v>133</v>
      </c>
      <c r="P293" s="127" t="s">
        <v>316</v>
      </c>
      <c r="Q293" s="126" t="s">
        <v>316</v>
      </c>
      <c r="R293">
        <v>118</v>
      </c>
      <c r="S293" s="2">
        <v>22</v>
      </c>
      <c r="T293" t="s">
        <v>295</v>
      </c>
      <c r="U293" t="s">
        <v>300</v>
      </c>
      <c r="V293" t="s">
        <v>298</v>
      </c>
      <c r="W293" s="41"/>
      <c r="X293" s="41"/>
      <c r="Y293" s="34"/>
      <c r="Z293" s="34"/>
      <c r="AA293" s="35">
        <f>IF(TA[[#This Row],[Work Start time on Fault]]="NA","",(TA[[#This Row],[Fault Acknowledgement Time ]]-TA[[#This Row],[Fault Time]])*24)</f>
        <v>0</v>
      </c>
      <c r="AB293" s="35">
        <f>(TA[[#This Row],[Work Start time on Fault]]-TA[[#This Row],[Fault Time]])*24</f>
        <v>0</v>
      </c>
      <c r="AC293" s="34">
        <f>(TA[[#This Row],[Work Completion time on fault]]-TA[[#This Row],[Fault Time]])*24</f>
        <v>0</v>
      </c>
      <c r="AD293" s="35">
        <f>IFERROR((TA[[#This Row],[Work Completion time on fault]]-TA[[#This Row],[Fault Time]])*24,"")</f>
        <v>0</v>
      </c>
      <c r="AE293" t="s">
        <v>328</v>
      </c>
      <c r="AF293" t="s">
        <v>256</v>
      </c>
      <c r="AG293" s="2"/>
      <c r="AH293" s="44">
        <f>1-COS(RADIANS(TA[[#This Row],[Avg. Target Angle during Fault Time (Radians)]]-TA[[#This Row],[Angle of affected equipment ]]))</f>
        <v>0.11705240714107301</v>
      </c>
      <c r="AI293" s="35">
        <f>IFERROR(TA[[#This Row],[Breakdown Time]]*TA[[#This Row],[Plant Equivalent Weightage]],"")</f>
        <v>0</v>
      </c>
    </row>
    <row r="294" spans="1:35">
      <c r="A294" s="2">
        <f t="shared" si="16"/>
        <v>291</v>
      </c>
      <c r="B294" s="156">
        <f t="shared" si="14"/>
        <v>2026</v>
      </c>
      <c r="C294" s="129">
        <f t="shared" si="15"/>
        <v>2025</v>
      </c>
      <c r="D294" s="2" t="s">
        <v>155</v>
      </c>
      <c r="E294" s="2" t="s">
        <v>155</v>
      </c>
      <c r="F294" s="39">
        <v>45748</v>
      </c>
      <c r="G294" s="2">
        <f>DAY(EOMONTH(TA[[#This Row],[Month Year]],0))</f>
        <v>30</v>
      </c>
      <c r="H294" s="21">
        <v>45764</v>
      </c>
      <c r="I294" s="41">
        <f>IFERROR(VLOOKUP(TA[[#This Row],[Date]],Raw_Data[[Date]:[Sunset Time (POA&lt;20 W/m2)]],3,0),"")</f>
        <v>0.25833333333333336</v>
      </c>
      <c r="J294" s="41">
        <f>IFERROR(VLOOKUP(TA[[#This Row],[Date]],Raw_Data[[Date]:[Sunset Time (POA&lt;20 W/m2)]],4,0),"")</f>
        <v>0.76527777777777772</v>
      </c>
      <c r="K294" s="35">
        <f>IFERROR((TA[[#This Row],[Sunset Time (POA&lt;20 W/m2)]]-TA[[#This Row],[Sunrise Time (POA&gt;20 W/m2)]])*24,"")</f>
        <v>12.166666666666666</v>
      </c>
      <c r="L294" s="2" t="s">
        <v>296</v>
      </c>
      <c r="M294" s="42">
        <f>IFERROR(VLOOKUP(TA[[#This Row],[Affected Equipment]],'Basic Data'!$I$2:$K$40,3,0),"")</f>
        <v>8.6206896551724102E-3</v>
      </c>
      <c r="N294">
        <v>-28</v>
      </c>
      <c r="O294" t="s">
        <v>135</v>
      </c>
      <c r="P294" s="22" t="s">
        <v>323</v>
      </c>
      <c r="Q294" s="2" t="s">
        <v>329</v>
      </c>
      <c r="R294">
        <v>45</v>
      </c>
      <c r="S294" s="2">
        <v>8</v>
      </c>
      <c r="T294" t="s">
        <v>297</v>
      </c>
      <c r="U294" t="s">
        <v>326</v>
      </c>
      <c r="V294" t="s">
        <v>301</v>
      </c>
      <c r="W294" s="41">
        <f>IFERROR(VLOOKUP(TA[[#This Row],[Date]],Raw_Data[[Date]:[Sunset Time (POA&lt;20 W/m2)]],3,0),"")</f>
        <v>0.25833333333333336</v>
      </c>
      <c r="X294" s="41">
        <f>IFERROR(VLOOKUP(TA[[#This Row],[Date]],Raw_Data[[Date]:[Sunset Time (POA&lt;20 W/m2)]],3,0),"")</f>
        <v>0.25833333333333336</v>
      </c>
      <c r="Y294" s="34"/>
      <c r="Z294" s="34">
        <v>0.76041666666666663</v>
      </c>
      <c r="AA294" s="35">
        <f>IF(TA[[#This Row],[Work Start time on Fault]]="NA","",(TA[[#This Row],[Fault Acknowledgement Time ]]-TA[[#This Row],[Fault Time]])*24)</f>
        <v>0</v>
      </c>
      <c r="AB294" s="35">
        <f>(TA[[#This Row],[Work Start time on Fault]]-TA[[#This Row],[Fault Time]])*24</f>
        <v>-6.2000000000000011</v>
      </c>
      <c r="AC294" s="34">
        <f>(TA[[#This Row],[Work Completion time on fault]]-TA[[#This Row],[Fault Time]])*24</f>
        <v>12.049999999999997</v>
      </c>
      <c r="AD294" s="35">
        <f>IFERROR((TA[[#This Row],[Work Completion time on fault]]-TA[[#This Row],[Fault Time]])*24,"")</f>
        <v>12.049999999999997</v>
      </c>
      <c r="AE294" t="s">
        <v>309</v>
      </c>
      <c r="AF294" t="s">
        <v>256</v>
      </c>
      <c r="AG294" s="2"/>
      <c r="AH294" s="44">
        <f>1-COS(RADIANS(TA[[#This Row],[Avg. Target Angle during Fault Time (Radians)]]-TA[[#This Row],[Angle of affected equipment ]]))</f>
        <v>0.11705240714107301</v>
      </c>
      <c r="AI294" s="35">
        <f>IFERROR(TA[[#This Row],[Breakdown Time]]*TA[[#This Row],[Plant Equivalent Weightage]],"")</f>
        <v>0.10387931034482752</v>
      </c>
    </row>
    <row r="295" spans="1:35">
      <c r="A295" s="2">
        <f t="shared" si="16"/>
        <v>292</v>
      </c>
      <c r="B295" s="156">
        <f t="shared" si="14"/>
        <v>2026</v>
      </c>
      <c r="C295" s="129">
        <f t="shared" si="15"/>
        <v>2025</v>
      </c>
      <c r="D295" s="2" t="s">
        <v>155</v>
      </c>
      <c r="E295" s="2" t="s">
        <v>155</v>
      </c>
      <c r="F295" s="39">
        <v>45748</v>
      </c>
      <c r="G295" s="2">
        <f>DAY(EOMONTH(TA[[#This Row],[Month Year]],0))</f>
        <v>30</v>
      </c>
      <c r="H295" s="21">
        <v>45764</v>
      </c>
      <c r="I295" s="41">
        <f>IFERROR(VLOOKUP(TA[[#This Row],[Date]],Raw_Data[[Date]:[Sunset Time (POA&lt;20 W/m2)]],3,0),"")</f>
        <v>0.25833333333333336</v>
      </c>
      <c r="J295" s="41">
        <f>IFERROR(VLOOKUP(TA[[#This Row],[Date]],Raw_Data[[Date]:[Sunset Time (POA&lt;20 W/m2)]],4,0),"")</f>
        <v>0.76527777777777772</v>
      </c>
      <c r="K295" s="35">
        <f>IFERROR((TA[[#This Row],[Sunset Time (POA&lt;20 W/m2)]]-TA[[#This Row],[Sunrise Time (POA&gt;20 W/m2)]])*24,"")</f>
        <v>12.166666666666666</v>
      </c>
      <c r="L295" s="2" t="s">
        <v>296</v>
      </c>
      <c r="M295" s="42">
        <f>IFERROR(VLOOKUP(TA[[#This Row],[Affected Equipment]],'Basic Data'!$I$2:$K$40,3,0),"")</f>
        <v>8.6206896551724102E-3</v>
      </c>
      <c r="N295">
        <v>-28</v>
      </c>
      <c r="O295" t="s">
        <v>135</v>
      </c>
      <c r="P295" s="22" t="s">
        <v>323</v>
      </c>
      <c r="Q295" s="2" t="s">
        <v>329</v>
      </c>
      <c r="R295">
        <v>47</v>
      </c>
      <c r="S295" s="2">
        <v>18</v>
      </c>
      <c r="T295" t="s">
        <v>297</v>
      </c>
      <c r="U295" t="s">
        <v>326</v>
      </c>
      <c r="V295" t="s">
        <v>301</v>
      </c>
      <c r="W295" s="41">
        <f>IFERROR(VLOOKUP(TA[[#This Row],[Date]],Raw_Data[[Date]:[Sunset Time (POA&lt;20 W/m2)]],3,0),"")</f>
        <v>0.25833333333333336</v>
      </c>
      <c r="X295" s="41">
        <f>IFERROR(VLOOKUP(TA[[#This Row],[Date]],Raw_Data[[Date]:[Sunset Time (POA&lt;20 W/m2)]],3,0),"")</f>
        <v>0.25833333333333336</v>
      </c>
      <c r="Y295" s="34"/>
      <c r="Z295" s="34">
        <v>0.76041666666666663</v>
      </c>
      <c r="AA295" s="35">
        <f>IF(TA[[#This Row],[Work Start time on Fault]]="NA","",(TA[[#This Row],[Fault Acknowledgement Time ]]-TA[[#This Row],[Fault Time]])*24)</f>
        <v>0</v>
      </c>
      <c r="AB295" s="35">
        <f>(TA[[#This Row],[Work Start time on Fault]]-TA[[#This Row],[Fault Time]])*24</f>
        <v>-6.2000000000000011</v>
      </c>
      <c r="AC295" s="34">
        <f>(TA[[#This Row],[Work Completion time on fault]]-TA[[#This Row],[Fault Time]])*24</f>
        <v>12.049999999999997</v>
      </c>
      <c r="AD295" s="35">
        <f>IFERROR((TA[[#This Row],[Work Completion time on fault]]-TA[[#This Row],[Fault Time]])*24,"")</f>
        <v>12.049999999999997</v>
      </c>
      <c r="AE295" t="s">
        <v>309</v>
      </c>
      <c r="AF295" t="s">
        <v>256</v>
      </c>
      <c r="AG295" s="2"/>
      <c r="AH295" s="44">
        <f>1-COS(RADIANS(TA[[#This Row],[Avg. Target Angle during Fault Time (Radians)]]-TA[[#This Row],[Angle of affected equipment ]]))</f>
        <v>0.11705240714107301</v>
      </c>
      <c r="AI295" s="35">
        <f>IFERROR(TA[[#This Row],[Breakdown Time]]*TA[[#This Row],[Plant Equivalent Weightage]],"")</f>
        <v>0.10387931034482752</v>
      </c>
    </row>
    <row r="296" spans="1:35">
      <c r="A296" s="2">
        <f t="shared" si="16"/>
        <v>293</v>
      </c>
      <c r="B296" s="156">
        <f t="shared" si="14"/>
        <v>2026</v>
      </c>
      <c r="C296" s="129">
        <f t="shared" si="15"/>
        <v>2025</v>
      </c>
      <c r="D296" s="2" t="s">
        <v>155</v>
      </c>
      <c r="E296" s="2" t="s">
        <v>155</v>
      </c>
      <c r="F296" s="39">
        <v>45748</v>
      </c>
      <c r="G296" s="2">
        <f>DAY(EOMONTH(TA[[#This Row],[Month Year]],0))</f>
        <v>30</v>
      </c>
      <c r="H296" s="21">
        <v>45764</v>
      </c>
      <c r="I296" s="41">
        <f>IFERROR(VLOOKUP(TA[[#This Row],[Date]],Raw_Data[[Date]:[Sunset Time (POA&lt;20 W/m2)]],3,0),"")</f>
        <v>0.25833333333333336</v>
      </c>
      <c r="J296" s="41">
        <f>IFERROR(VLOOKUP(TA[[#This Row],[Date]],Raw_Data[[Date]:[Sunset Time (POA&lt;20 W/m2)]],4,0),"")</f>
        <v>0.76527777777777772</v>
      </c>
      <c r="K296" s="35">
        <f>IFERROR((TA[[#This Row],[Sunset Time (POA&lt;20 W/m2)]]-TA[[#This Row],[Sunrise Time (POA&gt;20 W/m2)]])*24,"")</f>
        <v>12.166666666666666</v>
      </c>
      <c r="L296" s="2" t="s">
        <v>296</v>
      </c>
      <c r="M296" s="42">
        <f>IFERROR(VLOOKUP(TA[[#This Row],[Affected Equipment]],'Basic Data'!$I$2:$K$40,3,0),"")</f>
        <v>8.6206896551724102E-3</v>
      </c>
      <c r="N296">
        <v>-28</v>
      </c>
      <c r="O296" t="s">
        <v>134</v>
      </c>
      <c r="P296" s="22" t="s">
        <v>330</v>
      </c>
      <c r="Q296" s="2" t="s">
        <v>323</v>
      </c>
      <c r="R296">
        <v>30</v>
      </c>
      <c r="S296" s="2">
        <v>57</v>
      </c>
      <c r="T296" t="s">
        <v>297</v>
      </c>
      <c r="U296" t="s">
        <v>326</v>
      </c>
      <c r="V296" t="s">
        <v>301</v>
      </c>
      <c r="W296" s="41">
        <f>IFERROR(VLOOKUP(TA[[#This Row],[Date]],Raw_Data[[Date]:[Sunset Time (POA&lt;20 W/m2)]],3,0),"")</f>
        <v>0.25833333333333336</v>
      </c>
      <c r="X296" s="41">
        <f>IFERROR(VLOOKUP(TA[[#This Row],[Date]],Raw_Data[[Date]:[Sunset Time (POA&lt;20 W/m2)]],3,0),"")</f>
        <v>0.25833333333333336</v>
      </c>
      <c r="Y296" s="34"/>
      <c r="Z296" s="34">
        <v>0.76041666666666663</v>
      </c>
      <c r="AA296" s="35">
        <f>IF(TA[[#This Row],[Work Start time on Fault]]="NA","",(TA[[#This Row],[Fault Acknowledgement Time ]]-TA[[#This Row],[Fault Time]])*24)</f>
        <v>0</v>
      </c>
      <c r="AB296" s="35">
        <f>(TA[[#This Row],[Work Start time on Fault]]-TA[[#This Row],[Fault Time]])*24</f>
        <v>-6.2000000000000011</v>
      </c>
      <c r="AC296" s="34">
        <f>(TA[[#This Row],[Work Completion time on fault]]-TA[[#This Row],[Fault Time]])*24</f>
        <v>12.049999999999997</v>
      </c>
      <c r="AD296" s="35">
        <f>IFERROR((TA[[#This Row],[Work Completion time on fault]]-TA[[#This Row],[Fault Time]])*24,"")</f>
        <v>12.049999999999997</v>
      </c>
      <c r="AE296" t="s">
        <v>309</v>
      </c>
      <c r="AF296" t="s">
        <v>256</v>
      </c>
      <c r="AG296" s="2"/>
      <c r="AH296" s="44">
        <f>1-COS(RADIANS(TA[[#This Row],[Avg. Target Angle during Fault Time (Radians)]]-TA[[#This Row],[Angle of affected equipment ]]))</f>
        <v>0.11705240714107301</v>
      </c>
      <c r="AI296" s="35">
        <f>IFERROR(TA[[#This Row],[Breakdown Time]]*TA[[#This Row],[Plant Equivalent Weightage]],"")</f>
        <v>0.10387931034482752</v>
      </c>
    </row>
    <row r="297" spans="1:35">
      <c r="A297" s="2">
        <f t="shared" si="16"/>
        <v>294</v>
      </c>
      <c r="B297" s="156">
        <f t="shared" si="14"/>
        <v>2026</v>
      </c>
      <c r="C297" s="129">
        <f t="shared" si="15"/>
        <v>2025</v>
      </c>
      <c r="D297" s="2" t="s">
        <v>155</v>
      </c>
      <c r="E297" s="2" t="s">
        <v>155</v>
      </c>
      <c r="F297" s="39">
        <v>45748</v>
      </c>
      <c r="G297" s="2">
        <f>DAY(EOMONTH(TA[[#This Row],[Month Year]],0))</f>
        <v>30</v>
      </c>
      <c r="H297" s="21">
        <v>45764</v>
      </c>
      <c r="I297" s="41">
        <f>IFERROR(VLOOKUP(TA[[#This Row],[Date]],Raw_Data[[Date]:[Sunset Time (POA&lt;20 W/m2)]],3,0),"")</f>
        <v>0.25833333333333336</v>
      </c>
      <c r="J297" s="41">
        <f>IFERROR(VLOOKUP(TA[[#This Row],[Date]],Raw_Data[[Date]:[Sunset Time (POA&lt;20 W/m2)]],4,0),"")</f>
        <v>0.76527777777777772</v>
      </c>
      <c r="K297" s="35">
        <f>IFERROR((TA[[#This Row],[Sunset Time (POA&lt;20 W/m2)]]-TA[[#This Row],[Sunrise Time (POA&gt;20 W/m2)]])*24,"")</f>
        <v>12.166666666666666</v>
      </c>
      <c r="L297" s="2" t="s">
        <v>296</v>
      </c>
      <c r="M297" s="42">
        <f>IFERROR(VLOOKUP(TA[[#This Row],[Affected Equipment]],'Basic Data'!$I$2:$K$40,3,0),"")</f>
        <v>8.6206896551724102E-3</v>
      </c>
      <c r="N297">
        <v>-28</v>
      </c>
      <c r="O297" t="s">
        <v>134</v>
      </c>
      <c r="P297" s="22" t="s">
        <v>330</v>
      </c>
      <c r="Q297" s="2" t="s">
        <v>323</v>
      </c>
      <c r="R297">
        <v>31</v>
      </c>
      <c r="S297" s="2">
        <v>61</v>
      </c>
      <c r="T297" t="s">
        <v>297</v>
      </c>
      <c r="U297" t="s">
        <v>326</v>
      </c>
      <c r="V297" t="s">
        <v>301</v>
      </c>
      <c r="W297" s="41">
        <f>IFERROR(VLOOKUP(TA[[#This Row],[Date]],Raw_Data[[Date]:[Sunset Time (POA&lt;20 W/m2)]],3,0),"")</f>
        <v>0.25833333333333336</v>
      </c>
      <c r="X297" s="41">
        <f>IFERROR(VLOOKUP(TA[[#This Row],[Date]],Raw_Data[[Date]:[Sunset Time (POA&lt;20 W/m2)]],3,0),"")</f>
        <v>0.25833333333333336</v>
      </c>
      <c r="Y297" s="34"/>
      <c r="Z297" s="34">
        <v>0.76041666666666663</v>
      </c>
      <c r="AA297" s="35">
        <f>IF(TA[[#This Row],[Work Start time on Fault]]="NA","",(TA[[#This Row],[Fault Acknowledgement Time ]]-TA[[#This Row],[Fault Time]])*24)</f>
        <v>0</v>
      </c>
      <c r="AB297" s="35">
        <f>(TA[[#This Row],[Work Start time on Fault]]-TA[[#This Row],[Fault Time]])*24</f>
        <v>-6.2000000000000011</v>
      </c>
      <c r="AC297" s="34">
        <f>(TA[[#This Row],[Work Completion time on fault]]-TA[[#This Row],[Fault Time]])*24</f>
        <v>12.049999999999997</v>
      </c>
      <c r="AD297" s="35">
        <f>IFERROR((TA[[#This Row],[Work Completion time on fault]]-TA[[#This Row],[Fault Time]])*24,"")</f>
        <v>12.049999999999997</v>
      </c>
      <c r="AE297" t="s">
        <v>309</v>
      </c>
      <c r="AF297" t="s">
        <v>256</v>
      </c>
      <c r="AG297" s="2"/>
      <c r="AH297" s="44">
        <f>1-COS(RADIANS(TA[[#This Row],[Avg. Target Angle during Fault Time (Radians)]]-TA[[#This Row],[Angle of affected equipment ]]))</f>
        <v>0.11705240714107301</v>
      </c>
      <c r="AI297" s="35">
        <f>IFERROR(TA[[#This Row],[Breakdown Time]]*TA[[#This Row],[Plant Equivalent Weightage]],"")</f>
        <v>0.10387931034482752</v>
      </c>
    </row>
    <row r="298" spans="1:35">
      <c r="A298" s="2">
        <f t="shared" si="16"/>
        <v>295</v>
      </c>
      <c r="B298" s="156">
        <f t="shared" si="14"/>
        <v>2026</v>
      </c>
      <c r="C298" s="129">
        <f t="shared" si="15"/>
        <v>2025</v>
      </c>
      <c r="D298" s="2" t="s">
        <v>155</v>
      </c>
      <c r="E298" s="2" t="s">
        <v>155</v>
      </c>
      <c r="F298" s="39">
        <v>45748</v>
      </c>
      <c r="G298" s="2">
        <f>DAY(EOMONTH(TA[[#This Row],[Month Year]],0))</f>
        <v>30</v>
      </c>
      <c r="H298" s="21">
        <v>45764</v>
      </c>
      <c r="I298" s="41">
        <f>IFERROR(VLOOKUP(TA[[#This Row],[Date]],Raw_Data[[Date]:[Sunset Time (POA&lt;20 W/m2)]],3,0),"")</f>
        <v>0.25833333333333336</v>
      </c>
      <c r="J298" s="41">
        <f>IFERROR(VLOOKUP(TA[[#This Row],[Date]],Raw_Data[[Date]:[Sunset Time (POA&lt;20 W/m2)]],4,0),"")</f>
        <v>0.76527777777777772</v>
      </c>
      <c r="K298" s="35">
        <f>IFERROR((TA[[#This Row],[Sunset Time (POA&lt;20 W/m2)]]-TA[[#This Row],[Sunrise Time (POA&gt;20 W/m2)]])*24,"")</f>
        <v>12.166666666666666</v>
      </c>
      <c r="L298" s="2" t="s">
        <v>312</v>
      </c>
      <c r="M298" s="42">
        <f>IFERROR(VLOOKUP(TA[[#This Row],[Affected Equipment]],'Basic Data'!$I$2:$K$40,3,0),"")</f>
        <v>5.74712643678161E-3</v>
      </c>
      <c r="N298">
        <v>-28</v>
      </c>
      <c r="O298" t="s">
        <v>133</v>
      </c>
      <c r="P298" s="22" t="s">
        <v>330</v>
      </c>
      <c r="Q298" s="2" t="s">
        <v>323</v>
      </c>
      <c r="R298">
        <v>26</v>
      </c>
      <c r="S298" s="2">
        <v>37</v>
      </c>
      <c r="T298" t="s">
        <v>297</v>
      </c>
      <c r="U298" t="s">
        <v>326</v>
      </c>
      <c r="V298" t="s">
        <v>301</v>
      </c>
      <c r="W298" s="41">
        <f>IFERROR(VLOOKUP(TA[[#This Row],[Date]],Raw_Data[[Date]:[Sunset Time (POA&lt;20 W/m2)]],3,0),"")</f>
        <v>0.25833333333333336</v>
      </c>
      <c r="X298" s="41">
        <f>IFERROR(VLOOKUP(TA[[#This Row],[Date]],Raw_Data[[Date]:[Sunset Time (POA&lt;20 W/m2)]],3,0),"")</f>
        <v>0.25833333333333336</v>
      </c>
      <c r="Y298" s="34"/>
      <c r="Z298" s="34">
        <v>0.76041666666666663</v>
      </c>
      <c r="AA298" s="35">
        <f>IF(TA[[#This Row],[Work Start time on Fault]]="NA","",(TA[[#This Row],[Fault Acknowledgement Time ]]-TA[[#This Row],[Fault Time]])*24)</f>
        <v>0</v>
      </c>
      <c r="AB298" s="35">
        <f>(TA[[#This Row],[Work Start time on Fault]]-TA[[#This Row],[Fault Time]])*24</f>
        <v>-6.2000000000000011</v>
      </c>
      <c r="AC298" s="34">
        <f>(TA[[#This Row],[Work Completion time on fault]]-TA[[#This Row],[Fault Time]])*24</f>
        <v>12.049999999999997</v>
      </c>
      <c r="AD298" s="35">
        <f>IFERROR((TA[[#This Row],[Work Completion time on fault]]-TA[[#This Row],[Fault Time]])*24,"")</f>
        <v>12.049999999999997</v>
      </c>
      <c r="AE298" t="s">
        <v>309</v>
      </c>
      <c r="AF298" t="s">
        <v>256</v>
      </c>
      <c r="AG298" s="2"/>
      <c r="AH298" s="44">
        <f>1-COS(RADIANS(TA[[#This Row],[Avg. Target Angle during Fault Time (Radians)]]-TA[[#This Row],[Angle of affected equipment ]]))</f>
        <v>0.11705240714107301</v>
      </c>
      <c r="AI298" s="35">
        <f>IFERROR(TA[[#This Row],[Breakdown Time]]*TA[[#This Row],[Plant Equivalent Weightage]],"")</f>
        <v>6.9252873563218381E-2</v>
      </c>
    </row>
    <row r="299" spans="1:35">
      <c r="A299" s="2">
        <f t="shared" si="16"/>
        <v>296</v>
      </c>
      <c r="B299" s="156">
        <f t="shared" si="14"/>
        <v>2026</v>
      </c>
      <c r="C299" s="129">
        <f t="shared" si="15"/>
        <v>2025</v>
      </c>
      <c r="D299" s="2" t="s">
        <v>155</v>
      </c>
      <c r="E299" s="2" t="s">
        <v>155</v>
      </c>
      <c r="F299" s="39">
        <v>45748</v>
      </c>
      <c r="G299" s="2">
        <f>DAY(EOMONTH(TA[[#This Row],[Month Year]],0))</f>
        <v>30</v>
      </c>
      <c r="H299" s="21">
        <v>45764</v>
      </c>
      <c r="I299" s="41">
        <f>IFERROR(VLOOKUP(TA[[#This Row],[Date]],Raw_Data[[Date]:[Sunset Time (POA&lt;20 W/m2)]],3,0),"")</f>
        <v>0.25833333333333336</v>
      </c>
      <c r="J299" s="41">
        <f>IFERROR(VLOOKUP(TA[[#This Row],[Date]],Raw_Data[[Date]:[Sunset Time (POA&lt;20 W/m2)]],4,0),"")</f>
        <v>0.76527777777777772</v>
      </c>
      <c r="K299" s="35">
        <f>IFERROR((TA[[#This Row],[Sunset Time (POA&lt;20 W/m2)]]-TA[[#This Row],[Sunrise Time (POA&gt;20 W/m2)]])*24,"")</f>
        <v>12.166666666666666</v>
      </c>
      <c r="L299" s="2" t="s">
        <v>312</v>
      </c>
      <c r="M299" s="42">
        <f>IFERROR(VLOOKUP(TA[[#This Row],[Affected Equipment]],'Basic Data'!$I$2:$K$40,3,0),"")</f>
        <v>5.74712643678161E-3</v>
      </c>
      <c r="N299">
        <v>-28</v>
      </c>
      <c r="O299" t="s">
        <v>133</v>
      </c>
      <c r="P299" s="22" t="s">
        <v>330</v>
      </c>
      <c r="Q299" s="2" t="s">
        <v>323</v>
      </c>
      <c r="R299">
        <v>27</v>
      </c>
      <c r="S299" s="2">
        <v>42</v>
      </c>
      <c r="T299" t="s">
        <v>297</v>
      </c>
      <c r="U299" t="s">
        <v>326</v>
      </c>
      <c r="V299" t="s">
        <v>301</v>
      </c>
      <c r="W299" s="41">
        <f>IFERROR(VLOOKUP(TA[[#This Row],[Date]],Raw_Data[[Date]:[Sunset Time (POA&lt;20 W/m2)]],3,0),"")</f>
        <v>0.25833333333333336</v>
      </c>
      <c r="X299" s="41">
        <f>IFERROR(VLOOKUP(TA[[#This Row],[Date]],Raw_Data[[Date]:[Sunset Time (POA&lt;20 W/m2)]],3,0),"")</f>
        <v>0.25833333333333336</v>
      </c>
      <c r="Y299" s="34"/>
      <c r="Z299" s="34">
        <v>0.76041666666666663</v>
      </c>
      <c r="AA299" s="35">
        <f>IF(TA[[#This Row],[Work Start time on Fault]]="NA","",(TA[[#This Row],[Fault Acknowledgement Time ]]-TA[[#This Row],[Fault Time]])*24)</f>
        <v>0</v>
      </c>
      <c r="AB299" s="35">
        <f>(TA[[#This Row],[Work Start time on Fault]]-TA[[#This Row],[Fault Time]])*24</f>
        <v>-6.2000000000000011</v>
      </c>
      <c r="AC299" s="34">
        <f>(TA[[#This Row],[Work Completion time on fault]]-TA[[#This Row],[Fault Time]])*24</f>
        <v>12.049999999999997</v>
      </c>
      <c r="AD299" s="35">
        <f>IFERROR((TA[[#This Row],[Work Completion time on fault]]-TA[[#This Row],[Fault Time]])*24,"")</f>
        <v>12.049999999999997</v>
      </c>
      <c r="AE299" t="s">
        <v>309</v>
      </c>
      <c r="AF299" t="s">
        <v>256</v>
      </c>
      <c r="AG299" s="2"/>
      <c r="AH299" s="44">
        <f>1-COS(RADIANS(TA[[#This Row],[Avg. Target Angle during Fault Time (Radians)]]-TA[[#This Row],[Angle of affected equipment ]]))</f>
        <v>0.11705240714107301</v>
      </c>
      <c r="AI299" s="35">
        <f>IFERROR(TA[[#This Row],[Breakdown Time]]*TA[[#This Row],[Plant Equivalent Weightage]],"")</f>
        <v>6.9252873563218381E-2</v>
      </c>
    </row>
    <row r="300" spans="1:35">
      <c r="A300" s="2">
        <f t="shared" si="16"/>
        <v>297</v>
      </c>
      <c r="B300" s="156">
        <f t="shared" si="14"/>
        <v>2026</v>
      </c>
      <c r="C300" s="129">
        <f t="shared" si="15"/>
        <v>2025</v>
      </c>
      <c r="D300" s="2" t="s">
        <v>155</v>
      </c>
      <c r="E300" s="2" t="s">
        <v>155</v>
      </c>
      <c r="F300" s="39">
        <v>45748</v>
      </c>
      <c r="G300" s="2">
        <f>DAY(EOMONTH(TA[[#This Row],[Month Year]],0))</f>
        <v>30</v>
      </c>
      <c r="H300" s="21">
        <v>45765</v>
      </c>
      <c r="I300" s="41">
        <f>IFERROR(VLOOKUP(TA[[#This Row],[Date]],Raw_Data[[Date]:[Sunset Time (POA&lt;20 W/m2)]],3,0),"")</f>
        <v>0.26250000000000001</v>
      </c>
      <c r="J300" s="41">
        <f>IFERROR(VLOOKUP(TA[[#This Row],[Date]],Raw_Data[[Date]:[Sunset Time (POA&lt;20 W/m2)]],4,0),"")</f>
        <v>0.70833333333333337</v>
      </c>
      <c r="K300" s="35">
        <f>IFERROR((TA[[#This Row],[Sunset Time (POA&lt;20 W/m2)]]-TA[[#This Row],[Sunrise Time (POA&gt;20 W/m2)]])*24,"")</f>
        <v>10.700000000000001</v>
      </c>
      <c r="L300" s="2" t="s">
        <v>294</v>
      </c>
      <c r="M300" s="42">
        <f>IFERROR(VLOOKUP(TA[[#This Row],[Affected Equipment]],'Basic Data'!$I$2:$K$40,3,0),"")</f>
        <v>1.7241379310344799E-3</v>
      </c>
      <c r="N300">
        <v>-28</v>
      </c>
      <c r="O300" t="s">
        <v>135</v>
      </c>
      <c r="P300" s="127" t="s">
        <v>318</v>
      </c>
      <c r="Q300" s="126" t="s">
        <v>318</v>
      </c>
      <c r="R300">
        <v>130</v>
      </c>
      <c r="S300" s="2">
        <v>37</v>
      </c>
      <c r="T300" t="s">
        <v>295</v>
      </c>
      <c r="U300" t="s">
        <v>300</v>
      </c>
      <c r="V300" t="s">
        <v>298</v>
      </c>
      <c r="W300" s="41"/>
      <c r="X300" s="41"/>
      <c r="Y300" s="34"/>
      <c r="Z300" s="34"/>
      <c r="AA300" s="35">
        <f>IF(TA[[#This Row],[Work Start time on Fault]]="NA","",(TA[[#This Row],[Fault Acknowledgement Time ]]-TA[[#This Row],[Fault Time]])*24)</f>
        <v>0</v>
      </c>
      <c r="AB300" s="35">
        <f>(TA[[#This Row],[Work Start time on Fault]]-TA[[#This Row],[Fault Time]])*24</f>
        <v>0</v>
      </c>
      <c r="AC300" s="34">
        <f>(TA[[#This Row],[Work Completion time on fault]]-TA[[#This Row],[Fault Time]])*24</f>
        <v>0</v>
      </c>
      <c r="AD300" s="35">
        <f>IFERROR((TA[[#This Row],[Work Completion time on fault]]-TA[[#This Row],[Fault Time]])*24,"")</f>
        <v>0</v>
      </c>
      <c r="AE300" t="s">
        <v>328</v>
      </c>
      <c r="AF300" t="s">
        <v>256</v>
      </c>
      <c r="AG300" s="2"/>
      <c r="AH300" s="44">
        <f>1-COS(RADIANS(TA[[#This Row],[Avg. Target Angle during Fault Time (Radians)]]-TA[[#This Row],[Angle of affected equipment ]]))</f>
        <v>0.11705240714107301</v>
      </c>
      <c r="AI300" s="35">
        <f>IFERROR(TA[[#This Row],[Breakdown Time]]*TA[[#This Row],[Plant Equivalent Weightage]],"")</f>
        <v>0</v>
      </c>
    </row>
    <row r="301" spans="1:35">
      <c r="A301" s="2">
        <f t="shared" si="16"/>
        <v>298</v>
      </c>
      <c r="B301" s="156">
        <f t="shared" si="14"/>
        <v>2026</v>
      </c>
      <c r="C301" s="129">
        <f t="shared" si="15"/>
        <v>2025</v>
      </c>
      <c r="D301" s="2" t="s">
        <v>155</v>
      </c>
      <c r="E301" s="2" t="s">
        <v>155</v>
      </c>
      <c r="F301" s="39">
        <v>45748</v>
      </c>
      <c r="G301" s="2">
        <f>DAY(EOMONTH(TA[[#This Row],[Month Year]],0))</f>
        <v>30</v>
      </c>
      <c r="H301" s="21">
        <v>45765</v>
      </c>
      <c r="I301" s="41">
        <f>IFERROR(VLOOKUP(TA[[#This Row],[Date]],Raw_Data[[Date]:[Sunset Time (POA&lt;20 W/m2)]],3,0),"")</f>
        <v>0.26250000000000001</v>
      </c>
      <c r="J301" s="41">
        <f>IFERROR(VLOOKUP(TA[[#This Row],[Date]],Raw_Data[[Date]:[Sunset Time (POA&lt;20 W/m2)]],4,0),"")</f>
        <v>0.70833333333333337</v>
      </c>
      <c r="K301" s="35">
        <f>IFERROR((TA[[#This Row],[Sunset Time (POA&lt;20 W/m2)]]-TA[[#This Row],[Sunrise Time (POA&gt;20 W/m2)]])*24,"")</f>
        <v>10.700000000000001</v>
      </c>
      <c r="L301" s="2" t="s">
        <v>294</v>
      </c>
      <c r="M301" s="42">
        <f>IFERROR(VLOOKUP(TA[[#This Row],[Affected Equipment]],'Basic Data'!$I$2:$K$40,3,0),"")</f>
        <v>1.7241379310344799E-3</v>
      </c>
      <c r="N301">
        <v>-28</v>
      </c>
      <c r="O301" t="s">
        <v>135</v>
      </c>
      <c r="P301" s="127" t="s">
        <v>318</v>
      </c>
      <c r="Q301" s="126" t="s">
        <v>318</v>
      </c>
      <c r="R301">
        <v>131</v>
      </c>
      <c r="S301" s="2">
        <v>38</v>
      </c>
      <c r="T301" t="s">
        <v>295</v>
      </c>
      <c r="U301" t="s">
        <v>300</v>
      </c>
      <c r="V301" t="s">
        <v>298</v>
      </c>
      <c r="W301" s="41"/>
      <c r="X301" s="41"/>
      <c r="Y301" s="34"/>
      <c r="Z301" s="34"/>
      <c r="AA301" s="35">
        <f>IF(TA[[#This Row],[Work Start time on Fault]]="NA","",(TA[[#This Row],[Fault Acknowledgement Time ]]-TA[[#This Row],[Fault Time]])*24)</f>
        <v>0</v>
      </c>
      <c r="AB301" s="35">
        <f>(TA[[#This Row],[Work Start time on Fault]]-TA[[#This Row],[Fault Time]])*24</f>
        <v>0</v>
      </c>
      <c r="AC301" s="34">
        <f>(TA[[#This Row],[Work Completion time on fault]]-TA[[#This Row],[Fault Time]])*24</f>
        <v>0</v>
      </c>
      <c r="AD301" s="35">
        <f>IFERROR((TA[[#This Row],[Work Completion time on fault]]-TA[[#This Row],[Fault Time]])*24,"")</f>
        <v>0</v>
      </c>
      <c r="AE301" t="s">
        <v>328</v>
      </c>
      <c r="AF301" t="s">
        <v>256</v>
      </c>
      <c r="AG301" s="2"/>
      <c r="AH301" s="44">
        <f>1-COS(RADIANS(TA[[#This Row],[Avg. Target Angle during Fault Time (Radians)]]-TA[[#This Row],[Angle of affected equipment ]]))</f>
        <v>0.11705240714107301</v>
      </c>
      <c r="AI301" s="35">
        <f>IFERROR(TA[[#This Row],[Breakdown Time]]*TA[[#This Row],[Plant Equivalent Weightage]],"")</f>
        <v>0</v>
      </c>
    </row>
    <row r="302" spans="1:35">
      <c r="A302" s="2">
        <f t="shared" si="16"/>
        <v>299</v>
      </c>
      <c r="B302" s="156">
        <f t="shared" si="14"/>
        <v>2026</v>
      </c>
      <c r="C302" s="129">
        <f t="shared" si="15"/>
        <v>2025</v>
      </c>
      <c r="D302" s="2" t="s">
        <v>155</v>
      </c>
      <c r="E302" s="2" t="s">
        <v>155</v>
      </c>
      <c r="F302" s="39">
        <v>45748</v>
      </c>
      <c r="G302" s="2">
        <f>DAY(EOMONTH(TA[[#This Row],[Month Year]],0))</f>
        <v>30</v>
      </c>
      <c r="H302" s="21">
        <v>45765</v>
      </c>
      <c r="I302" s="41">
        <f>IFERROR(VLOOKUP(TA[[#This Row],[Date]],Raw_Data[[Date]:[Sunset Time (POA&lt;20 W/m2)]],3,0),"")</f>
        <v>0.26250000000000001</v>
      </c>
      <c r="J302" s="41">
        <f>IFERROR(VLOOKUP(TA[[#This Row],[Date]],Raw_Data[[Date]:[Sunset Time (POA&lt;20 W/m2)]],4,0),"")</f>
        <v>0.70833333333333337</v>
      </c>
      <c r="K302" s="35">
        <f>IFERROR((TA[[#This Row],[Sunset Time (POA&lt;20 W/m2)]]-TA[[#This Row],[Sunrise Time (POA&gt;20 W/m2)]])*24,"")</f>
        <v>10.700000000000001</v>
      </c>
      <c r="L302" s="2" t="s">
        <v>294</v>
      </c>
      <c r="M302" s="42">
        <f>IFERROR(VLOOKUP(TA[[#This Row],[Affected Equipment]],'Basic Data'!$I$2:$K$40,3,0),"")</f>
        <v>1.7241379310344799E-3</v>
      </c>
      <c r="N302">
        <v>-28</v>
      </c>
      <c r="O302" t="s">
        <v>135</v>
      </c>
      <c r="P302" s="127" t="s">
        <v>318</v>
      </c>
      <c r="Q302" s="126" t="s">
        <v>318</v>
      </c>
      <c r="R302">
        <v>131</v>
      </c>
      <c r="S302" s="2">
        <v>39</v>
      </c>
      <c r="T302" t="s">
        <v>295</v>
      </c>
      <c r="U302" t="s">
        <v>300</v>
      </c>
      <c r="V302" t="s">
        <v>298</v>
      </c>
      <c r="W302" s="41"/>
      <c r="X302" s="41"/>
      <c r="Y302" s="34"/>
      <c r="Z302" s="34"/>
      <c r="AA302" s="35">
        <f>IF(TA[[#This Row],[Work Start time on Fault]]="NA","",(TA[[#This Row],[Fault Acknowledgement Time ]]-TA[[#This Row],[Fault Time]])*24)</f>
        <v>0</v>
      </c>
      <c r="AB302" s="35">
        <f>(TA[[#This Row],[Work Start time on Fault]]-TA[[#This Row],[Fault Time]])*24</f>
        <v>0</v>
      </c>
      <c r="AC302" s="34">
        <f>(TA[[#This Row],[Work Completion time on fault]]-TA[[#This Row],[Fault Time]])*24</f>
        <v>0</v>
      </c>
      <c r="AD302" s="35">
        <f>IFERROR((TA[[#This Row],[Work Completion time on fault]]-TA[[#This Row],[Fault Time]])*24,"")</f>
        <v>0</v>
      </c>
      <c r="AE302" t="s">
        <v>328</v>
      </c>
      <c r="AF302" t="s">
        <v>256</v>
      </c>
      <c r="AG302" s="2"/>
      <c r="AH302" s="44">
        <f>1-COS(RADIANS(TA[[#This Row],[Avg. Target Angle during Fault Time (Radians)]]-TA[[#This Row],[Angle of affected equipment ]]))</f>
        <v>0.11705240714107301</v>
      </c>
      <c r="AI302" s="35">
        <f>IFERROR(TA[[#This Row],[Breakdown Time]]*TA[[#This Row],[Plant Equivalent Weightage]],"")</f>
        <v>0</v>
      </c>
    </row>
    <row r="303" spans="1:35">
      <c r="A303" s="2">
        <f t="shared" si="16"/>
        <v>300</v>
      </c>
      <c r="B303" s="156">
        <f t="shared" si="14"/>
        <v>2026</v>
      </c>
      <c r="C303" s="129">
        <f t="shared" si="15"/>
        <v>2025</v>
      </c>
      <c r="D303" s="2" t="s">
        <v>155</v>
      </c>
      <c r="E303" s="2" t="s">
        <v>155</v>
      </c>
      <c r="F303" s="39">
        <v>45748</v>
      </c>
      <c r="G303" s="2">
        <f>DAY(EOMONTH(TA[[#This Row],[Month Year]],0))</f>
        <v>30</v>
      </c>
      <c r="H303" s="21">
        <v>45765</v>
      </c>
      <c r="I303" s="41">
        <f>IFERROR(VLOOKUP(TA[[#This Row],[Date]],Raw_Data[[Date]:[Sunset Time (POA&lt;20 W/m2)]],3,0),"")</f>
        <v>0.26250000000000001</v>
      </c>
      <c r="J303" s="41">
        <f>IFERROR(VLOOKUP(TA[[#This Row],[Date]],Raw_Data[[Date]:[Sunset Time (POA&lt;20 W/m2)]],4,0),"")</f>
        <v>0.70833333333333337</v>
      </c>
      <c r="K303" s="35">
        <f>IFERROR((TA[[#This Row],[Sunset Time (POA&lt;20 W/m2)]]-TA[[#This Row],[Sunrise Time (POA&gt;20 W/m2)]])*24,"")</f>
        <v>10.700000000000001</v>
      </c>
      <c r="L303" s="2" t="s">
        <v>296</v>
      </c>
      <c r="M303" s="42">
        <f>IFERROR(VLOOKUP(TA[[#This Row],[Affected Equipment]],'Basic Data'!$I$2:$K$40,3,0),"")</f>
        <v>8.6206896551724102E-3</v>
      </c>
      <c r="N303">
        <v>-28</v>
      </c>
      <c r="O303" t="s">
        <v>135</v>
      </c>
      <c r="P303" s="127" t="s">
        <v>318</v>
      </c>
      <c r="Q303" s="2" t="s">
        <v>321</v>
      </c>
      <c r="R303">
        <v>133</v>
      </c>
      <c r="S303" s="2">
        <v>26</v>
      </c>
      <c r="T303" t="s">
        <v>297</v>
      </c>
      <c r="U303" t="s">
        <v>300</v>
      </c>
      <c r="V303" t="s">
        <v>314</v>
      </c>
      <c r="W303" s="41"/>
      <c r="X303" s="41"/>
      <c r="Y303" s="34"/>
      <c r="Z303" s="34"/>
      <c r="AA303" s="35">
        <f>IF(TA[[#This Row],[Work Start time on Fault]]="NA","",(TA[[#This Row],[Fault Acknowledgement Time ]]-TA[[#This Row],[Fault Time]])*24)</f>
        <v>0</v>
      </c>
      <c r="AB303" s="35">
        <f>(TA[[#This Row],[Work Start time on Fault]]-TA[[#This Row],[Fault Time]])*24</f>
        <v>0</v>
      </c>
      <c r="AC303" s="34">
        <f>(TA[[#This Row],[Work Completion time on fault]]-TA[[#This Row],[Fault Time]])*24</f>
        <v>0</v>
      </c>
      <c r="AD303" s="35">
        <f>IFERROR((TA[[#This Row],[Work Completion time on fault]]-TA[[#This Row],[Fault Time]])*24,"")</f>
        <v>0</v>
      </c>
      <c r="AE303" t="s">
        <v>328</v>
      </c>
      <c r="AF303" t="s">
        <v>256</v>
      </c>
      <c r="AG303" s="2"/>
      <c r="AH303" s="44">
        <f>1-COS(RADIANS(TA[[#This Row],[Avg. Target Angle during Fault Time (Radians)]]-TA[[#This Row],[Angle of affected equipment ]]))</f>
        <v>0.11705240714107301</v>
      </c>
      <c r="AI303" s="35">
        <f>IFERROR(TA[[#This Row],[Breakdown Time]]*TA[[#This Row],[Plant Equivalent Weightage]],"")</f>
        <v>0</v>
      </c>
    </row>
    <row r="304" spans="1:35">
      <c r="A304" s="2">
        <f t="shared" si="16"/>
        <v>301</v>
      </c>
      <c r="B304" s="156">
        <f t="shared" si="14"/>
        <v>2026</v>
      </c>
      <c r="C304" s="129">
        <f t="shared" si="15"/>
        <v>2025</v>
      </c>
      <c r="D304" s="2" t="s">
        <v>155</v>
      </c>
      <c r="E304" s="2" t="s">
        <v>155</v>
      </c>
      <c r="F304" s="39">
        <v>45748</v>
      </c>
      <c r="G304" s="2">
        <f>DAY(EOMONTH(TA[[#This Row],[Month Year]],0))</f>
        <v>30</v>
      </c>
      <c r="H304" s="21">
        <v>45765</v>
      </c>
      <c r="I304" s="41">
        <f>IFERROR(VLOOKUP(TA[[#This Row],[Date]],Raw_Data[[Date]:[Sunset Time (POA&lt;20 W/m2)]],3,0),"")</f>
        <v>0.26250000000000001</v>
      </c>
      <c r="J304" s="41">
        <f>IFERROR(VLOOKUP(TA[[#This Row],[Date]],Raw_Data[[Date]:[Sunset Time (POA&lt;20 W/m2)]],4,0),"")</f>
        <v>0.70833333333333337</v>
      </c>
      <c r="K304" s="35">
        <f>IFERROR((TA[[#This Row],[Sunset Time (POA&lt;20 W/m2)]]-TA[[#This Row],[Sunrise Time (POA&gt;20 W/m2)]])*24,"")</f>
        <v>10.700000000000001</v>
      </c>
      <c r="L304" s="2" t="s">
        <v>294</v>
      </c>
      <c r="M304" s="42">
        <f>IFERROR(VLOOKUP(TA[[#This Row],[Affected Equipment]],'Basic Data'!$I$2:$K$40,3,0),"")</f>
        <v>1.7241379310344799E-3</v>
      </c>
      <c r="N304">
        <v>-28</v>
      </c>
      <c r="O304" t="s">
        <v>133</v>
      </c>
      <c r="P304" s="127" t="s">
        <v>316</v>
      </c>
      <c r="Q304" s="126" t="s">
        <v>317</v>
      </c>
      <c r="R304">
        <v>7</v>
      </c>
      <c r="S304" s="2">
        <v>32</v>
      </c>
      <c r="T304" t="s">
        <v>295</v>
      </c>
      <c r="U304" t="s">
        <v>300</v>
      </c>
      <c r="V304" t="s">
        <v>298</v>
      </c>
      <c r="W304" s="41"/>
      <c r="X304" s="41"/>
      <c r="Y304" s="34"/>
      <c r="Z304" s="34"/>
      <c r="AA304" s="35">
        <f>IF(TA[[#This Row],[Work Start time on Fault]]="NA","",(TA[[#This Row],[Fault Acknowledgement Time ]]-TA[[#This Row],[Fault Time]])*24)</f>
        <v>0</v>
      </c>
      <c r="AB304" s="35">
        <f>(TA[[#This Row],[Work Start time on Fault]]-TA[[#This Row],[Fault Time]])*24</f>
        <v>0</v>
      </c>
      <c r="AC304" s="34">
        <f>(TA[[#This Row],[Work Completion time on fault]]-TA[[#This Row],[Fault Time]])*24</f>
        <v>0</v>
      </c>
      <c r="AD304" s="35">
        <f>IFERROR((TA[[#This Row],[Work Completion time on fault]]-TA[[#This Row],[Fault Time]])*24,"")</f>
        <v>0</v>
      </c>
      <c r="AE304" t="s">
        <v>328</v>
      </c>
      <c r="AF304" t="s">
        <v>256</v>
      </c>
      <c r="AG304" s="2"/>
      <c r="AH304" s="44">
        <f>1-COS(RADIANS(TA[[#This Row],[Avg. Target Angle during Fault Time (Radians)]]-TA[[#This Row],[Angle of affected equipment ]]))</f>
        <v>0.11705240714107301</v>
      </c>
      <c r="AI304" s="35">
        <f>IFERROR(TA[[#This Row],[Breakdown Time]]*TA[[#This Row],[Plant Equivalent Weightage]],"")</f>
        <v>0</v>
      </c>
    </row>
    <row r="305" spans="1:35">
      <c r="A305" s="2">
        <f t="shared" si="16"/>
        <v>302</v>
      </c>
      <c r="B305" s="156">
        <f t="shared" si="14"/>
        <v>2026</v>
      </c>
      <c r="C305" s="129">
        <f t="shared" si="15"/>
        <v>2025</v>
      </c>
      <c r="D305" s="2" t="s">
        <v>155</v>
      </c>
      <c r="E305" s="2" t="s">
        <v>155</v>
      </c>
      <c r="F305" s="39">
        <v>45748</v>
      </c>
      <c r="G305" s="2">
        <f>DAY(EOMONTH(TA[[#This Row],[Month Year]],0))</f>
        <v>30</v>
      </c>
      <c r="H305" s="21">
        <v>45765</v>
      </c>
      <c r="I305" s="41">
        <f>IFERROR(VLOOKUP(TA[[#This Row],[Date]],Raw_Data[[Date]:[Sunset Time (POA&lt;20 W/m2)]],3,0),"")</f>
        <v>0.26250000000000001</v>
      </c>
      <c r="J305" s="41">
        <f>IFERROR(VLOOKUP(TA[[#This Row],[Date]],Raw_Data[[Date]:[Sunset Time (POA&lt;20 W/m2)]],4,0),"")</f>
        <v>0.70833333333333337</v>
      </c>
      <c r="K305" s="35">
        <f>IFERROR((TA[[#This Row],[Sunset Time (POA&lt;20 W/m2)]]-TA[[#This Row],[Sunrise Time (POA&gt;20 W/m2)]])*24,"")</f>
        <v>10.700000000000001</v>
      </c>
      <c r="L305" s="2" t="s">
        <v>294</v>
      </c>
      <c r="M305" s="42">
        <f>IFERROR(VLOOKUP(TA[[#This Row],[Affected Equipment]],'Basic Data'!$I$2:$K$40,3,0),"")</f>
        <v>1.7241379310344799E-3</v>
      </c>
      <c r="N305">
        <v>-28</v>
      </c>
      <c r="O305" t="s">
        <v>137</v>
      </c>
      <c r="P305" s="127" t="s">
        <v>315</v>
      </c>
      <c r="Q305" s="126" t="s">
        <v>319</v>
      </c>
      <c r="R305">
        <v>166</v>
      </c>
      <c r="S305" s="2">
        <v>91</v>
      </c>
      <c r="T305" t="s">
        <v>295</v>
      </c>
      <c r="U305" t="s">
        <v>300</v>
      </c>
      <c r="V305" t="s">
        <v>298</v>
      </c>
      <c r="W305" s="41"/>
      <c r="X305" s="41"/>
      <c r="Y305" s="34"/>
      <c r="Z305" s="34"/>
      <c r="AA305" s="35">
        <f>IF(TA[[#This Row],[Work Start time on Fault]]="NA","",(TA[[#This Row],[Fault Acknowledgement Time ]]-TA[[#This Row],[Fault Time]])*24)</f>
        <v>0</v>
      </c>
      <c r="AB305" s="35">
        <f>(TA[[#This Row],[Work Start time on Fault]]-TA[[#This Row],[Fault Time]])*24</f>
        <v>0</v>
      </c>
      <c r="AC305" s="34">
        <f>(TA[[#This Row],[Work Completion time on fault]]-TA[[#This Row],[Fault Time]])*24</f>
        <v>0</v>
      </c>
      <c r="AD305" s="35">
        <f>IFERROR((TA[[#This Row],[Work Completion time on fault]]-TA[[#This Row],[Fault Time]])*24,"")</f>
        <v>0</v>
      </c>
      <c r="AE305" t="s">
        <v>328</v>
      </c>
      <c r="AF305" t="s">
        <v>256</v>
      </c>
      <c r="AG305" s="2"/>
      <c r="AH305" s="44">
        <f>1-COS(RADIANS(TA[[#This Row],[Avg. Target Angle during Fault Time (Radians)]]-TA[[#This Row],[Angle of affected equipment ]]))</f>
        <v>0.11705240714107301</v>
      </c>
      <c r="AI305" s="35">
        <f>IFERROR(TA[[#This Row],[Breakdown Time]]*TA[[#This Row],[Plant Equivalent Weightage]],"")</f>
        <v>0</v>
      </c>
    </row>
    <row r="306" spans="1:35">
      <c r="A306" s="2">
        <f t="shared" si="16"/>
        <v>303</v>
      </c>
      <c r="B306" s="156">
        <f t="shared" si="14"/>
        <v>2026</v>
      </c>
      <c r="C306" s="129">
        <f t="shared" si="15"/>
        <v>2025</v>
      </c>
      <c r="D306" s="2" t="s">
        <v>155</v>
      </c>
      <c r="E306" s="2" t="s">
        <v>155</v>
      </c>
      <c r="F306" s="39">
        <v>45748</v>
      </c>
      <c r="G306" s="2">
        <f>DAY(EOMONTH(TA[[#This Row],[Month Year]],0))</f>
        <v>30</v>
      </c>
      <c r="H306" s="21">
        <v>45765</v>
      </c>
      <c r="I306" s="41">
        <f>IFERROR(VLOOKUP(TA[[#This Row],[Date]],Raw_Data[[Date]:[Sunset Time (POA&lt;20 W/m2)]],3,0),"")</f>
        <v>0.26250000000000001</v>
      </c>
      <c r="J306" s="41">
        <f>IFERROR(VLOOKUP(TA[[#This Row],[Date]],Raw_Data[[Date]:[Sunset Time (POA&lt;20 W/m2)]],4,0),"")</f>
        <v>0.70833333333333337</v>
      </c>
      <c r="K306" s="35">
        <f>IFERROR((TA[[#This Row],[Sunset Time (POA&lt;20 W/m2)]]-TA[[#This Row],[Sunrise Time (POA&gt;20 W/m2)]])*24,"")</f>
        <v>10.700000000000001</v>
      </c>
      <c r="L306" s="2" t="s">
        <v>294</v>
      </c>
      <c r="M306" s="42">
        <f>IFERROR(VLOOKUP(TA[[#This Row],[Affected Equipment]],'Basic Data'!$I$2:$K$40,3,0),"")</f>
        <v>1.7241379310344799E-3</v>
      </c>
      <c r="N306">
        <v>-28</v>
      </c>
      <c r="O306" t="s">
        <v>133</v>
      </c>
      <c r="P306" s="127" t="s">
        <v>316</v>
      </c>
      <c r="Q306" s="126" t="s">
        <v>316</v>
      </c>
      <c r="R306">
        <v>117</v>
      </c>
      <c r="S306" s="2">
        <v>20</v>
      </c>
      <c r="T306" t="s">
        <v>295</v>
      </c>
      <c r="U306" t="s">
        <v>300</v>
      </c>
      <c r="V306" t="s">
        <v>298</v>
      </c>
      <c r="W306" s="41"/>
      <c r="X306" s="41"/>
      <c r="Y306" s="34"/>
      <c r="Z306" s="34"/>
      <c r="AA306" s="35">
        <f>IF(TA[[#This Row],[Work Start time on Fault]]="NA","",(TA[[#This Row],[Fault Acknowledgement Time ]]-TA[[#This Row],[Fault Time]])*24)</f>
        <v>0</v>
      </c>
      <c r="AB306" s="35">
        <f>(TA[[#This Row],[Work Start time on Fault]]-TA[[#This Row],[Fault Time]])*24</f>
        <v>0</v>
      </c>
      <c r="AC306" s="34">
        <f>(TA[[#This Row],[Work Completion time on fault]]-TA[[#This Row],[Fault Time]])*24</f>
        <v>0</v>
      </c>
      <c r="AD306" s="35">
        <f>IFERROR((TA[[#This Row],[Work Completion time on fault]]-TA[[#This Row],[Fault Time]])*24,"")</f>
        <v>0</v>
      </c>
      <c r="AE306" t="s">
        <v>328</v>
      </c>
      <c r="AF306" t="s">
        <v>256</v>
      </c>
      <c r="AG306" s="2"/>
      <c r="AH306" s="44">
        <f>1-COS(RADIANS(TA[[#This Row],[Avg. Target Angle during Fault Time (Radians)]]-TA[[#This Row],[Angle of affected equipment ]]))</f>
        <v>0.11705240714107301</v>
      </c>
      <c r="AI306" s="35">
        <f>IFERROR(TA[[#This Row],[Breakdown Time]]*TA[[#This Row],[Plant Equivalent Weightage]],"")</f>
        <v>0</v>
      </c>
    </row>
    <row r="307" spans="1:35">
      <c r="A307" s="2">
        <f t="shared" si="16"/>
        <v>304</v>
      </c>
      <c r="B307" s="156">
        <f t="shared" si="14"/>
        <v>2026</v>
      </c>
      <c r="C307" s="129">
        <f t="shared" si="15"/>
        <v>2025</v>
      </c>
      <c r="D307" s="2" t="s">
        <v>155</v>
      </c>
      <c r="E307" s="2" t="s">
        <v>155</v>
      </c>
      <c r="F307" s="39">
        <v>45748</v>
      </c>
      <c r="G307" s="2">
        <f>DAY(EOMONTH(TA[[#This Row],[Month Year]],0))</f>
        <v>30</v>
      </c>
      <c r="H307" s="21">
        <v>45765</v>
      </c>
      <c r="I307" s="41">
        <f>IFERROR(VLOOKUP(TA[[#This Row],[Date]],Raw_Data[[Date]:[Sunset Time (POA&lt;20 W/m2)]],3,0),"")</f>
        <v>0.26250000000000001</v>
      </c>
      <c r="J307" s="41">
        <f>IFERROR(VLOOKUP(TA[[#This Row],[Date]],Raw_Data[[Date]:[Sunset Time (POA&lt;20 W/m2)]],4,0),"")</f>
        <v>0.70833333333333337</v>
      </c>
      <c r="K307" s="35">
        <f>IFERROR((TA[[#This Row],[Sunset Time (POA&lt;20 W/m2)]]-TA[[#This Row],[Sunrise Time (POA&gt;20 W/m2)]])*24,"")</f>
        <v>10.700000000000001</v>
      </c>
      <c r="L307" s="2" t="s">
        <v>294</v>
      </c>
      <c r="M307" s="42">
        <f>IFERROR(VLOOKUP(TA[[#This Row],[Affected Equipment]],'Basic Data'!$I$2:$K$40,3,0),"")</f>
        <v>1.7241379310344799E-3</v>
      </c>
      <c r="N307">
        <v>-28</v>
      </c>
      <c r="O307" t="s">
        <v>133</v>
      </c>
      <c r="P307" s="127" t="s">
        <v>316</v>
      </c>
      <c r="Q307" s="126" t="s">
        <v>316</v>
      </c>
      <c r="R307">
        <v>118</v>
      </c>
      <c r="S307" s="2">
        <v>22</v>
      </c>
      <c r="T307" t="s">
        <v>295</v>
      </c>
      <c r="U307" t="s">
        <v>300</v>
      </c>
      <c r="V307" t="s">
        <v>298</v>
      </c>
      <c r="W307" s="41"/>
      <c r="X307" s="41"/>
      <c r="Y307" s="34"/>
      <c r="Z307" s="34"/>
      <c r="AA307" s="35">
        <f>IF(TA[[#This Row],[Work Start time on Fault]]="NA","",(TA[[#This Row],[Fault Acknowledgement Time ]]-TA[[#This Row],[Fault Time]])*24)</f>
        <v>0</v>
      </c>
      <c r="AB307" s="35">
        <f>(TA[[#This Row],[Work Start time on Fault]]-TA[[#This Row],[Fault Time]])*24</f>
        <v>0</v>
      </c>
      <c r="AC307" s="34">
        <f>(TA[[#This Row],[Work Completion time on fault]]-TA[[#This Row],[Fault Time]])*24</f>
        <v>0</v>
      </c>
      <c r="AD307" s="35">
        <f>IFERROR((TA[[#This Row],[Work Completion time on fault]]-TA[[#This Row],[Fault Time]])*24,"")</f>
        <v>0</v>
      </c>
      <c r="AE307" t="s">
        <v>328</v>
      </c>
      <c r="AF307" t="s">
        <v>256</v>
      </c>
      <c r="AG307" s="2"/>
      <c r="AH307" s="44">
        <f>1-COS(RADIANS(TA[[#This Row],[Avg. Target Angle during Fault Time (Radians)]]-TA[[#This Row],[Angle of affected equipment ]]))</f>
        <v>0.11705240714107301</v>
      </c>
      <c r="AI307" s="35">
        <f>IFERROR(TA[[#This Row],[Breakdown Time]]*TA[[#This Row],[Plant Equivalent Weightage]],"")</f>
        <v>0</v>
      </c>
    </row>
    <row r="308" spans="1:35">
      <c r="A308" s="2">
        <f t="shared" si="16"/>
        <v>305</v>
      </c>
      <c r="B308" s="156">
        <f t="shared" si="14"/>
        <v>2026</v>
      </c>
      <c r="C308" s="129">
        <f t="shared" si="15"/>
        <v>2025</v>
      </c>
      <c r="D308" s="2" t="s">
        <v>155</v>
      </c>
      <c r="E308" s="2" t="s">
        <v>155</v>
      </c>
      <c r="F308" s="39">
        <v>45748</v>
      </c>
      <c r="G308" s="2">
        <f>DAY(EOMONTH(TA[[#This Row],[Month Year]],0))</f>
        <v>30</v>
      </c>
      <c r="H308" s="21">
        <v>45765</v>
      </c>
      <c r="I308" s="41">
        <f>IFERROR(VLOOKUP(TA[[#This Row],[Date]],Raw_Data[[Date]:[Sunset Time (POA&lt;20 W/m2)]],3,0),"")</f>
        <v>0.26250000000000001</v>
      </c>
      <c r="J308" s="41">
        <f>IFERROR(VLOOKUP(TA[[#This Row],[Date]],Raw_Data[[Date]:[Sunset Time (POA&lt;20 W/m2)]],4,0),"")</f>
        <v>0.70833333333333337</v>
      </c>
      <c r="K308" s="35">
        <f>IFERROR((TA[[#This Row],[Sunset Time (POA&lt;20 W/m2)]]-TA[[#This Row],[Sunrise Time (POA&gt;20 W/m2)]])*24,"")</f>
        <v>10.700000000000001</v>
      </c>
      <c r="L308" s="2" t="s">
        <v>296</v>
      </c>
      <c r="M308" s="42">
        <f>IFERROR(VLOOKUP(TA[[#This Row],[Affected Equipment]],'Basic Data'!$I$2:$K$40,3,0),"")</f>
        <v>8.6206896551724102E-3</v>
      </c>
      <c r="N308">
        <v>-28</v>
      </c>
      <c r="O308" t="s">
        <v>135</v>
      </c>
      <c r="P308" s="22" t="s">
        <v>323</v>
      </c>
      <c r="Q308" s="2" t="s">
        <v>329</v>
      </c>
      <c r="R308">
        <v>45</v>
      </c>
      <c r="S308" s="2">
        <v>8</v>
      </c>
      <c r="T308" t="s">
        <v>297</v>
      </c>
      <c r="U308" t="s">
        <v>326</v>
      </c>
      <c r="V308" t="s">
        <v>301</v>
      </c>
      <c r="W308" s="41">
        <f>IFERROR(VLOOKUP(TA[[#This Row],[Date]],Raw_Data[[Date]:[Sunset Time (POA&lt;20 W/m2)]],3,0),"")</f>
        <v>0.26250000000000001</v>
      </c>
      <c r="X308" s="41">
        <f>IFERROR(VLOOKUP(TA[[#This Row],[Date]],Raw_Data[[Date]:[Sunset Time (POA&lt;20 W/m2)]],3,0),"")</f>
        <v>0.26250000000000001</v>
      </c>
      <c r="Y308" s="34"/>
      <c r="Z308" s="34">
        <v>0.76041666666666663</v>
      </c>
      <c r="AA308" s="35">
        <f>IF(TA[[#This Row],[Work Start time on Fault]]="NA","",(TA[[#This Row],[Fault Acknowledgement Time ]]-TA[[#This Row],[Fault Time]])*24)</f>
        <v>0</v>
      </c>
      <c r="AB308" s="35">
        <f>(TA[[#This Row],[Work Start time on Fault]]-TA[[#This Row],[Fault Time]])*24</f>
        <v>-6.3000000000000007</v>
      </c>
      <c r="AC308" s="34">
        <f>(TA[[#This Row],[Work Completion time on fault]]-TA[[#This Row],[Fault Time]])*24</f>
        <v>11.95</v>
      </c>
      <c r="AD308" s="35">
        <f>IFERROR((TA[[#This Row],[Work Completion time on fault]]-TA[[#This Row],[Fault Time]])*24,"")</f>
        <v>11.95</v>
      </c>
      <c r="AE308" t="s">
        <v>309</v>
      </c>
      <c r="AF308" t="s">
        <v>256</v>
      </c>
      <c r="AG308" s="2"/>
      <c r="AH308" s="44">
        <f>1-COS(RADIANS(TA[[#This Row],[Avg. Target Angle during Fault Time (Radians)]]-TA[[#This Row],[Angle of affected equipment ]]))</f>
        <v>0.11705240714107301</v>
      </c>
      <c r="AI308" s="35">
        <f>IFERROR(TA[[#This Row],[Breakdown Time]]*TA[[#This Row],[Plant Equivalent Weightage]],"")</f>
        <v>0.1030172413793103</v>
      </c>
    </row>
    <row r="309" spans="1:35">
      <c r="A309" s="2">
        <f t="shared" si="16"/>
        <v>306</v>
      </c>
      <c r="B309" s="156">
        <f t="shared" si="14"/>
        <v>2026</v>
      </c>
      <c r="C309" s="129">
        <f t="shared" si="15"/>
        <v>2025</v>
      </c>
      <c r="D309" s="2" t="s">
        <v>155</v>
      </c>
      <c r="E309" s="2" t="s">
        <v>155</v>
      </c>
      <c r="F309" s="39">
        <v>45748</v>
      </c>
      <c r="G309" s="2">
        <f>DAY(EOMONTH(TA[[#This Row],[Month Year]],0))</f>
        <v>30</v>
      </c>
      <c r="H309" s="21">
        <v>45765</v>
      </c>
      <c r="I309" s="41">
        <f>IFERROR(VLOOKUP(TA[[#This Row],[Date]],Raw_Data[[Date]:[Sunset Time (POA&lt;20 W/m2)]],3,0),"")</f>
        <v>0.26250000000000001</v>
      </c>
      <c r="J309" s="41">
        <f>IFERROR(VLOOKUP(TA[[#This Row],[Date]],Raw_Data[[Date]:[Sunset Time (POA&lt;20 W/m2)]],4,0),"")</f>
        <v>0.70833333333333337</v>
      </c>
      <c r="K309" s="35">
        <f>IFERROR((TA[[#This Row],[Sunset Time (POA&lt;20 W/m2)]]-TA[[#This Row],[Sunrise Time (POA&gt;20 W/m2)]])*24,"")</f>
        <v>10.700000000000001</v>
      </c>
      <c r="L309" s="2" t="s">
        <v>296</v>
      </c>
      <c r="M309" s="42">
        <f>IFERROR(VLOOKUP(TA[[#This Row],[Affected Equipment]],'Basic Data'!$I$2:$K$40,3,0),"")</f>
        <v>8.6206896551724102E-3</v>
      </c>
      <c r="N309">
        <v>-28</v>
      </c>
      <c r="O309" t="s">
        <v>135</v>
      </c>
      <c r="P309" s="22" t="s">
        <v>323</v>
      </c>
      <c r="Q309" s="2" t="s">
        <v>329</v>
      </c>
      <c r="R309">
        <v>47</v>
      </c>
      <c r="S309" s="2">
        <v>18</v>
      </c>
      <c r="T309" t="s">
        <v>297</v>
      </c>
      <c r="U309" t="s">
        <v>326</v>
      </c>
      <c r="V309" t="s">
        <v>301</v>
      </c>
      <c r="W309" s="41">
        <f>IFERROR(VLOOKUP(TA[[#This Row],[Date]],Raw_Data[[Date]:[Sunset Time (POA&lt;20 W/m2)]],3,0),"")</f>
        <v>0.26250000000000001</v>
      </c>
      <c r="X309" s="41">
        <f>IFERROR(VLOOKUP(TA[[#This Row],[Date]],Raw_Data[[Date]:[Sunset Time (POA&lt;20 W/m2)]],3,0),"")</f>
        <v>0.26250000000000001</v>
      </c>
      <c r="Y309" s="34"/>
      <c r="Z309" s="34">
        <v>0.76041666666666663</v>
      </c>
      <c r="AA309" s="35">
        <f>IF(TA[[#This Row],[Work Start time on Fault]]="NA","",(TA[[#This Row],[Fault Acknowledgement Time ]]-TA[[#This Row],[Fault Time]])*24)</f>
        <v>0</v>
      </c>
      <c r="AB309" s="35">
        <f>(TA[[#This Row],[Work Start time on Fault]]-TA[[#This Row],[Fault Time]])*24</f>
        <v>-6.3000000000000007</v>
      </c>
      <c r="AC309" s="34">
        <f>(TA[[#This Row],[Work Completion time on fault]]-TA[[#This Row],[Fault Time]])*24</f>
        <v>11.95</v>
      </c>
      <c r="AD309" s="35">
        <f>IFERROR((TA[[#This Row],[Work Completion time on fault]]-TA[[#This Row],[Fault Time]])*24,"")</f>
        <v>11.95</v>
      </c>
      <c r="AE309" t="s">
        <v>309</v>
      </c>
      <c r="AF309" t="s">
        <v>256</v>
      </c>
      <c r="AG309" s="2"/>
      <c r="AH309" s="44">
        <f>1-COS(RADIANS(TA[[#This Row],[Avg. Target Angle during Fault Time (Radians)]]-TA[[#This Row],[Angle of affected equipment ]]))</f>
        <v>0.11705240714107301</v>
      </c>
      <c r="AI309" s="35">
        <f>IFERROR(TA[[#This Row],[Breakdown Time]]*TA[[#This Row],[Plant Equivalent Weightage]],"")</f>
        <v>0.1030172413793103</v>
      </c>
    </row>
    <row r="310" spans="1:35">
      <c r="A310" s="2">
        <f t="shared" si="16"/>
        <v>307</v>
      </c>
      <c r="B310" s="156">
        <f t="shared" si="14"/>
        <v>2026</v>
      </c>
      <c r="C310" s="129">
        <f t="shared" si="15"/>
        <v>2025</v>
      </c>
      <c r="D310" s="2" t="s">
        <v>155</v>
      </c>
      <c r="E310" s="2" t="s">
        <v>155</v>
      </c>
      <c r="F310" s="39">
        <v>45748</v>
      </c>
      <c r="G310" s="2">
        <f>DAY(EOMONTH(TA[[#This Row],[Month Year]],0))</f>
        <v>30</v>
      </c>
      <c r="H310" s="21">
        <v>45765</v>
      </c>
      <c r="I310" s="41">
        <f>IFERROR(VLOOKUP(TA[[#This Row],[Date]],Raw_Data[[Date]:[Sunset Time (POA&lt;20 W/m2)]],3,0),"")</f>
        <v>0.26250000000000001</v>
      </c>
      <c r="J310" s="41">
        <f>IFERROR(VLOOKUP(TA[[#This Row],[Date]],Raw_Data[[Date]:[Sunset Time (POA&lt;20 W/m2)]],4,0),"")</f>
        <v>0.70833333333333337</v>
      </c>
      <c r="K310" s="35">
        <f>IFERROR((TA[[#This Row],[Sunset Time (POA&lt;20 W/m2)]]-TA[[#This Row],[Sunrise Time (POA&gt;20 W/m2)]])*24,"")</f>
        <v>10.700000000000001</v>
      </c>
      <c r="L310" s="2" t="s">
        <v>296</v>
      </c>
      <c r="M310" s="42">
        <f>IFERROR(VLOOKUP(TA[[#This Row],[Affected Equipment]],'Basic Data'!$I$2:$K$40,3,0),"")</f>
        <v>8.6206896551724102E-3</v>
      </c>
      <c r="N310">
        <v>-28</v>
      </c>
      <c r="O310" t="s">
        <v>134</v>
      </c>
      <c r="P310" s="22" t="s">
        <v>330</v>
      </c>
      <c r="Q310" s="2" t="s">
        <v>323</v>
      </c>
      <c r="R310">
        <v>30</v>
      </c>
      <c r="S310" s="2">
        <v>57</v>
      </c>
      <c r="T310" t="s">
        <v>297</v>
      </c>
      <c r="U310" t="s">
        <v>326</v>
      </c>
      <c r="V310" t="s">
        <v>301</v>
      </c>
      <c r="W310" s="41">
        <f>IFERROR(VLOOKUP(TA[[#This Row],[Date]],Raw_Data[[Date]:[Sunset Time (POA&lt;20 W/m2)]],3,0),"")</f>
        <v>0.26250000000000001</v>
      </c>
      <c r="X310" s="41">
        <f>IFERROR(VLOOKUP(TA[[#This Row],[Date]],Raw_Data[[Date]:[Sunset Time (POA&lt;20 W/m2)]],3,0),"")</f>
        <v>0.26250000000000001</v>
      </c>
      <c r="Y310" s="34"/>
      <c r="Z310" s="34">
        <v>0.76041666666666663</v>
      </c>
      <c r="AA310" s="35">
        <f>IF(TA[[#This Row],[Work Start time on Fault]]="NA","",(TA[[#This Row],[Fault Acknowledgement Time ]]-TA[[#This Row],[Fault Time]])*24)</f>
        <v>0</v>
      </c>
      <c r="AB310" s="35">
        <f>(TA[[#This Row],[Work Start time on Fault]]-TA[[#This Row],[Fault Time]])*24</f>
        <v>-6.3000000000000007</v>
      </c>
      <c r="AC310" s="34">
        <f>(TA[[#This Row],[Work Completion time on fault]]-TA[[#This Row],[Fault Time]])*24</f>
        <v>11.95</v>
      </c>
      <c r="AD310" s="35">
        <f>IFERROR((TA[[#This Row],[Work Completion time on fault]]-TA[[#This Row],[Fault Time]])*24,"")</f>
        <v>11.95</v>
      </c>
      <c r="AE310" t="s">
        <v>309</v>
      </c>
      <c r="AF310" t="s">
        <v>256</v>
      </c>
      <c r="AG310" s="2"/>
      <c r="AH310" s="44">
        <f>1-COS(RADIANS(TA[[#This Row],[Avg. Target Angle during Fault Time (Radians)]]-TA[[#This Row],[Angle of affected equipment ]]))</f>
        <v>0.11705240714107301</v>
      </c>
      <c r="AI310" s="35">
        <f>IFERROR(TA[[#This Row],[Breakdown Time]]*TA[[#This Row],[Plant Equivalent Weightage]],"")</f>
        <v>0.1030172413793103</v>
      </c>
    </row>
    <row r="311" spans="1:35">
      <c r="A311" s="2">
        <f t="shared" si="16"/>
        <v>308</v>
      </c>
      <c r="B311" s="156">
        <f t="shared" si="14"/>
        <v>2026</v>
      </c>
      <c r="C311" s="129">
        <f t="shared" si="15"/>
        <v>2025</v>
      </c>
      <c r="D311" s="2" t="s">
        <v>155</v>
      </c>
      <c r="E311" s="2" t="s">
        <v>155</v>
      </c>
      <c r="F311" s="39">
        <v>45748</v>
      </c>
      <c r="G311" s="2">
        <f>DAY(EOMONTH(TA[[#This Row],[Month Year]],0))</f>
        <v>30</v>
      </c>
      <c r="H311" s="21">
        <v>45765</v>
      </c>
      <c r="I311" s="41">
        <f>IFERROR(VLOOKUP(TA[[#This Row],[Date]],Raw_Data[[Date]:[Sunset Time (POA&lt;20 W/m2)]],3,0),"")</f>
        <v>0.26250000000000001</v>
      </c>
      <c r="J311" s="41">
        <f>IFERROR(VLOOKUP(TA[[#This Row],[Date]],Raw_Data[[Date]:[Sunset Time (POA&lt;20 W/m2)]],4,0),"")</f>
        <v>0.70833333333333337</v>
      </c>
      <c r="K311" s="35">
        <f>IFERROR((TA[[#This Row],[Sunset Time (POA&lt;20 W/m2)]]-TA[[#This Row],[Sunrise Time (POA&gt;20 W/m2)]])*24,"")</f>
        <v>10.700000000000001</v>
      </c>
      <c r="L311" s="2" t="s">
        <v>296</v>
      </c>
      <c r="M311" s="42">
        <f>IFERROR(VLOOKUP(TA[[#This Row],[Affected Equipment]],'Basic Data'!$I$2:$K$40,3,0),"")</f>
        <v>8.6206896551724102E-3</v>
      </c>
      <c r="N311">
        <v>-28</v>
      </c>
      <c r="O311" t="s">
        <v>134</v>
      </c>
      <c r="P311" s="22" t="s">
        <v>330</v>
      </c>
      <c r="Q311" s="2" t="s">
        <v>323</v>
      </c>
      <c r="R311">
        <v>31</v>
      </c>
      <c r="S311" s="2">
        <v>61</v>
      </c>
      <c r="T311" t="s">
        <v>297</v>
      </c>
      <c r="U311" t="s">
        <v>326</v>
      </c>
      <c r="V311" t="s">
        <v>301</v>
      </c>
      <c r="W311" s="41">
        <f>IFERROR(VLOOKUP(TA[[#This Row],[Date]],Raw_Data[[Date]:[Sunset Time (POA&lt;20 W/m2)]],3,0),"")</f>
        <v>0.26250000000000001</v>
      </c>
      <c r="X311" s="41">
        <f>IFERROR(VLOOKUP(TA[[#This Row],[Date]],Raw_Data[[Date]:[Sunset Time (POA&lt;20 W/m2)]],3,0),"")</f>
        <v>0.26250000000000001</v>
      </c>
      <c r="Y311" s="34"/>
      <c r="Z311" s="34">
        <v>0.76041666666666663</v>
      </c>
      <c r="AA311" s="35">
        <f>IF(TA[[#This Row],[Work Start time on Fault]]="NA","",(TA[[#This Row],[Fault Acknowledgement Time ]]-TA[[#This Row],[Fault Time]])*24)</f>
        <v>0</v>
      </c>
      <c r="AB311" s="35">
        <f>(TA[[#This Row],[Work Start time on Fault]]-TA[[#This Row],[Fault Time]])*24</f>
        <v>-6.3000000000000007</v>
      </c>
      <c r="AC311" s="34">
        <f>(TA[[#This Row],[Work Completion time on fault]]-TA[[#This Row],[Fault Time]])*24</f>
        <v>11.95</v>
      </c>
      <c r="AD311" s="35">
        <f>IFERROR((TA[[#This Row],[Work Completion time on fault]]-TA[[#This Row],[Fault Time]])*24,"")</f>
        <v>11.95</v>
      </c>
      <c r="AE311" t="s">
        <v>309</v>
      </c>
      <c r="AF311" t="s">
        <v>256</v>
      </c>
      <c r="AG311" s="2"/>
      <c r="AH311" s="44">
        <f>1-COS(RADIANS(TA[[#This Row],[Avg. Target Angle during Fault Time (Radians)]]-TA[[#This Row],[Angle of affected equipment ]]))</f>
        <v>0.11705240714107301</v>
      </c>
      <c r="AI311" s="35">
        <f>IFERROR(TA[[#This Row],[Breakdown Time]]*TA[[#This Row],[Plant Equivalent Weightage]],"")</f>
        <v>0.1030172413793103</v>
      </c>
    </row>
    <row r="312" spans="1:35">
      <c r="A312" s="2">
        <f t="shared" si="16"/>
        <v>309</v>
      </c>
      <c r="B312" s="156">
        <f t="shared" si="14"/>
        <v>2026</v>
      </c>
      <c r="C312" s="129">
        <f t="shared" si="15"/>
        <v>2025</v>
      </c>
      <c r="D312" s="2" t="s">
        <v>155</v>
      </c>
      <c r="E312" s="2" t="s">
        <v>155</v>
      </c>
      <c r="F312" s="39">
        <v>45748</v>
      </c>
      <c r="G312" s="2">
        <f>DAY(EOMONTH(TA[[#This Row],[Month Year]],0))</f>
        <v>30</v>
      </c>
      <c r="H312" s="21">
        <v>45765</v>
      </c>
      <c r="I312" s="41">
        <f>IFERROR(VLOOKUP(TA[[#This Row],[Date]],Raw_Data[[Date]:[Sunset Time (POA&lt;20 W/m2)]],3,0),"")</f>
        <v>0.26250000000000001</v>
      </c>
      <c r="J312" s="41">
        <f>IFERROR(VLOOKUP(TA[[#This Row],[Date]],Raw_Data[[Date]:[Sunset Time (POA&lt;20 W/m2)]],4,0),"")</f>
        <v>0.70833333333333337</v>
      </c>
      <c r="K312" s="35">
        <f>IFERROR((TA[[#This Row],[Sunset Time (POA&lt;20 W/m2)]]-TA[[#This Row],[Sunrise Time (POA&gt;20 W/m2)]])*24,"")</f>
        <v>10.700000000000001</v>
      </c>
      <c r="L312" s="2" t="s">
        <v>312</v>
      </c>
      <c r="M312" s="42">
        <f>IFERROR(VLOOKUP(TA[[#This Row],[Affected Equipment]],'Basic Data'!$I$2:$K$40,3,0),"")</f>
        <v>5.74712643678161E-3</v>
      </c>
      <c r="N312">
        <v>-28</v>
      </c>
      <c r="O312" t="s">
        <v>133</v>
      </c>
      <c r="P312" s="22" t="s">
        <v>330</v>
      </c>
      <c r="Q312" s="2" t="s">
        <v>323</v>
      </c>
      <c r="R312">
        <v>26</v>
      </c>
      <c r="S312" s="2">
        <v>37</v>
      </c>
      <c r="T312" t="s">
        <v>297</v>
      </c>
      <c r="U312" t="s">
        <v>326</v>
      </c>
      <c r="V312" t="s">
        <v>301</v>
      </c>
      <c r="W312" s="41">
        <f>IFERROR(VLOOKUP(TA[[#This Row],[Date]],Raw_Data[[Date]:[Sunset Time (POA&lt;20 W/m2)]],3,0),"")</f>
        <v>0.26250000000000001</v>
      </c>
      <c r="X312" s="41">
        <f>IFERROR(VLOOKUP(TA[[#This Row],[Date]],Raw_Data[[Date]:[Sunset Time (POA&lt;20 W/m2)]],3,0),"")</f>
        <v>0.26250000000000001</v>
      </c>
      <c r="Y312" s="34"/>
      <c r="Z312" s="34">
        <v>0.76041666666666663</v>
      </c>
      <c r="AA312" s="35">
        <f>IF(TA[[#This Row],[Work Start time on Fault]]="NA","",(TA[[#This Row],[Fault Acknowledgement Time ]]-TA[[#This Row],[Fault Time]])*24)</f>
        <v>0</v>
      </c>
      <c r="AB312" s="35">
        <f>(TA[[#This Row],[Work Start time on Fault]]-TA[[#This Row],[Fault Time]])*24</f>
        <v>-6.3000000000000007</v>
      </c>
      <c r="AC312" s="34">
        <f>(TA[[#This Row],[Work Completion time on fault]]-TA[[#This Row],[Fault Time]])*24</f>
        <v>11.95</v>
      </c>
      <c r="AD312" s="35">
        <f>IFERROR((TA[[#This Row],[Work Completion time on fault]]-TA[[#This Row],[Fault Time]])*24,"")</f>
        <v>11.95</v>
      </c>
      <c r="AE312" t="s">
        <v>309</v>
      </c>
      <c r="AF312" t="s">
        <v>256</v>
      </c>
      <c r="AG312" s="2"/>
      <c r="AH312" s="44">
        <f>1-COS(RADIANS(TA[[#This Row],[Avg. Target Angle during Fault Time (Radians)]]-TA[[#This Row],[Angle of affected equipment ]]))</f>
        <v>0.11705240714107301</v>
      </c>
      <c r="AI312" s="35">
        <f>IFERROR(TA[[#This Row],[Breakdown Time]]*TA[[#This Row],[Plant Equivalent Weightage]],"")</f>
        <v>6.8678160919540238E-2</v>
      </c>
    </row>
    <row r="313" spans="1:35">
      <c r="A313" s="2">
        <f t="shared" si="16"/>
        <v>310</v>
      </c>
      <c r="B313" s="156">
        <f t="shared" si="14"/>
        <v>2026</v>
      </c>
      <c r="C313" s="129">
        <f t="shared" si="15"/>
        <v>2025</v>
      </c>
      <c r="D313" s="2" t="s">
        <v>155</v>
      </c>
      <c r="E313" s="2" t="s">
        <v>155</v>
      </c>
      <c r="F313" s="39">
        <v>45748</v>
      </c>
      <c r="G313" s="2">
        <f>DAY(EOMONTH(TA[[#This Row],[Month Year]],0))</f>
        <v>30</v>
      </c>
      <c r="H313" s="21">
        <v>45765</v>
      </c>
      <c r="I313" s="41">
        <f>IFERROR(VLOOKUP(TA[[#This Row],[Date]],Raw_Data[[Date]:[Sunset Time (POA&lt;20 W/m2)]],3,0),"")</f>
        <v>0.26250000000000001</v>
      </c>
      <c r="J313" s="41">
        <f>IFERROR(VLOOKUP(TA[[#This Row],[Date]],Raw_Data[[Date]:[Sunset Time (POA&lt;20 W/m2)]],4,0),"")</f>
        <v>0.70833333333333337</v>
      </c>
      <c r="K313" s="35">
        <f>IFERROR((TA[[#This Row],[Sunset Time (POA&lt;20 W/m2)]]-TA[[#This Row],[Sunrise Time (POA&gt;20 W/m2)]])*24,"")</f>
        <v>10.700000000000001</v>
      </c>
      <c r="L313" s="2" t="s">
        <v>312</v>
      </c>
      <c r="M313" s="42">
        <f>IFERROR(VLOOKUP(TA[[#This Row],[Affected Equipment]],'Basic Data'!$I$2:$K$40,3,0),"")</f>
        <v>5.74712643678161E-3</v>
      </c>
      <c r="N313">
        <v>-28</v>
      </c>
      <c r="O313" t="s">
        <v>133</v>
      </c>
      <c r="P313" s="22" t="s">
        <v>330</v>
      </c>
      <c r="Q313" s="2" t="s">
        <v>323</v>
      </c>
      <c r="R313">
        <v>27</v>
      </c>
      <c r="S313" s="2">
        <v>42</v>
      </c>
      <c r="T313" t="s">
        <v>297</v>
      </c>
      <c r="U313" t="s">
        <v>326</v>
      </c>
      <c r="V313" t="s">
        <v>301</v>
      </c>
      <c r="W313" s="41">
        <f>IFERROR(VLOOKUP(TA[[#This Row],[Date]],Raw_Data[[Date]:[Sunset Time (POA&lt;20 W/m2)]],3,0),"")</f>
        <v>0.26250000000000001</v>
      </c>
      <c r="X313" s="41">
        <f>IFERROR(VLOOKUP(TA[[#This Row],[Date]],Raw_Data[[Date]:[Sunset Time (POA&lt;20 W/m2)]],3,0),"")</f>
        <v>0.26250000000000001</v>
      </c>
      <c r="Y313" s="34"/>
      <c r="Z313" s="34">
        <v>0.76041666666666663</v>
      </c>
      <c r="AA313" s="35">
        <f>IF(TA[[#This Row],[Work Start time on Fault]]="NA","",(TA[[#This Row],[Fault Acknowledgement Time ]]-TA[[#This Row],[Fault Time]])*24)</f>
        <v>0</v>
      </c>
      <c r="AB313" s="35">
        <f>(TA[[#This Row],[Work Start time on Fault]]-TA[[#This Row],[Fault Time]])*24</f>
        <v>-6.3000000000000007</v>
      </c>
      <c r="AC313" s="34">
        <f>(TA[[#This Row],[Work Completion time on fault]]-TA[[#This Row],[Fault Time]])*24</f>
        <v>11.95</v>
      </c>
      <c r="AD313" s="35">
        <f>IFERROR((TA[[#This Row],[Work Completion time on fault]]-TA[[#This Row],[Fault Time]])*24,"")</f>
        <v>11.95</v>
      </c>
      <c r="AE313" t="s">
        <v>309</v>
      </c>
      <c r="AF313" t="s">
        <v>256</v>
      </c>
      <c r="AG313" s="2"/>
      <c r="AH313" s="44">
        <f>1-COS(RADIANS(TA[[#This Row],[Avg. Target Angle during Fault Time (Radians)]]-TA[[#This Row],[Angle of affected equipment ]]))</f>
        <v>0.11705240714107301</v>
      </c>
      <c r="AI313" s="35">
        <f>IFERROR(TA[[#This Row],[Breakdown Time]]*TA[[#This Row],[Plant Equivalent Weightage]],"")</f>
        <v>6.8678160919540238E-2</v>
      </c>
    </row>
    <row r="314" spans="1:35">
      <c r="A314" s="2">
        <f t="shared" si="16"/>
        <v>311</v>
      </c>
      <c r="B314" s="156">
        <f t="shared" si="14"/>
        <v>2026</v>
      </c>
      <c r="C314" s="129">
        <f t="shared" si="15"/>
        <v>2025</v>
      </c>
      <c r="D314" s="2" t="s">
        <v>155</v>
      </c>
      <c r="E314" s="2" t="s">
        <v>155</v>
      </c>
      <c r="F314" s="39">
        <v>45748</v>
      </c>
      <c r="G314" s="2">
        <f>DAY(EOMONTH(TA[[#This Row],[Month Year]],0))</f>
        <v>30</v>
      </c>
      <c r="H314" s="21">
        <v>45766</v>
      </c>
      <c r="I314" s="41">
        <f>IFERROR(VLOOKUP(TA[[#This Row],[Date]],Raw_Data[[Date]:[Sunset Time (POA&lt;20 W/m2)]],3,0),"")</f>
        <v>0.26805555555555555</v>
      </c>
      <c r="J314" s="41">
        <f>IFERROR(VLOOKUP(TA[[#This Row],[Date]],Raw_Data[[Date]:[Sunset Time (POA&lt;20 W/m2)]],4,0),"")</f>
        <v>0.7729166666666667</v>
      </c>
      <c r="K314" s="35">
        <f>IFERROR((TA[[#This Row],[Sunset Time (POA&lt;20 W/m2)]]-TA[[#This Row],[Sunrise Time (POA&gt;20 W/m2)]])*24,"")</f>
        <v>12.116666666666669</v>
      </c>
      <c r="L314" s="2" t="s">
        <v>294</v>
      </c>
      <c r="M314" s="42">
        <f>IFERROR(VLOOKUP(TA[[#This Row],[Affected Equipment]],'Basic Data'!$I$2:$K$40,3,0),"")</f>
        <v>1.7241379310344799E-3</v>
      </c>
      <c r="N314">
        <v>-28</v>
      </c>
      <c r="O314" t="s">
        <v>135</v>
      </c>
      <c r="P314" s="127" t="s">
        <v>318</v>
      </c>
      <c r="Q314" s="126" t="s">
        <v>318</v>
      </c>
      <c r="R314">
        <v>130</v>
      </c>
      <c r="S314" s="2">
        <v>37</v>
      </c>
      <c r="T314" t="s">
        <v>295</v>
      </c>
      <c r="U314" t="s">
        <v>300</v>
      </c>
      <c r="V314" t="s">
        <v>298</v>
      </c>
      <c r="W314" s="41"/>
      <c r="X314" s="41"/>
      <c r="Y314" s="34"/>
      <c r="Z314" s="34"/>
      <c r="AA314" s="35">
        <f>IF(TA[[#This Row],[Work Start time on Fault]]="NA","",(TA[[#This Row],[Fault Acknowledgement Time ]]-TA[[#This Row],[Fault Time]])*24)</f>
        <v>0</v>
      </c>
      <c r="AB314" s="35">
        <f>(TA[[#This Row],[Work Start time on Fault]]-TA[[#This Row],[Fault Time]])*24</f>
        <v>0</v>
      </c>
      <c r="AC314" s="34">
        <f>(TA[[#This Row],[Work Completion time on fault]]-TA[[#This Row],[Fault Time]])*24</f>
        <v>0</v>
      </c>
      <c r="AD314" s="35">
        <f>IFERROR((TA[[#This Row],[Work Completion time on fault]]-TA[[#This Row],[Fault Time]])*24,"")</f>
        <v>0</v>
      </c>
      <c r="AE314" t="s">
        <v>328</v>
      </c>
      <c r="AF314" t="s">
        <v>256</v>
      </c>
      <c r="AG314" s="2"/>
      <c r="AH314" s="44">
        <f>1-COS(RADIANS(TA[[#This Row],[Avg. Target Angle during Fault Time (Radians)]]-TA[[#This Row],[Angle of affected equipment ]]))</f>
        <v>0.11705240714107301</v>
      </c>
      <c r="AI314" s="35">
        <f>IFERROR(TA[[#This Row],[Breakdown Time]]*TA[[#This Row],[Plant Equivalent Weightage]],"")</f>
        <v>0</v>
      </c>
    </row>
    <row r="315" spans="1:35">
      <c r="A315" s="2">
        <f t="shared" si="16"/>
        <v>312</v>
      </c>
      <c r="B315" s="156">
        <f t="shared" si="14"/>
        <v>2026</v>
      </c>
      <c r="C315" s="129">
        <f t="shared" si="15"/>
        <v>2025</v>
      </c>
      <c r="D315" s="2" t="s">
        <v>155</v>
      </c>
      <c r="E315" s="2" t="s">
        <v>155</v>
      </c>
      <c r="F315" s="39">
        <v>45748</v>
      </c>
      <c r="G315" s="2">
        <f>DAY(EOMONTH(TA[[#This Row],[Month Year]],0))</f>
        <v>30</v>
      </c>
      <c r="H315" s="21">
        <v>45766</v>
      </c>
      <c r="I315" s="41">
        <f>IFERROR(VLOOKUP(TA[[#This Row],[Date]],Raw_Data[[Date]:[Sunset Time (POA&lt;20 W/m2)]],3,0),"")</f>
        <v>0.26805555555555555</v>
      </c>
      <c r="J315" s="41">
        <f>IFERROR(VLOOKUP(TA[[#This Row],[Date]],Raw_Data[[Date]:[Sunset Time (POA&lt;20 W/m2)]],4,0),"")</f>
        <v>0.7729166666666667</v>
      </c>
      <c r="K315" s="35">
        <f>IFERROR((TA[[#This Row],[Sunset Time (POA&lt;20 W/m2)]]-TA[[#This Row],[Sunrise Time (POA&gt;20 W/m2)]])*24,"")</f>
        <v>12.116666666666669</v>
      </c>
      <c r="L315" s="2" t="s">
        <v>294</v>
      </c>
      <c r="M315" s="42">
        <f>IFERROR(VLOOKUP(TA[[#This Row],[Affected Equipment]],'Basic Data'!$I$2:$K$40,3,0),"")</f>
        <v>1.7241379310344799E-3</v>
      </c>
      <c r="N315">
        <v>-28</v>
      </c>
      <c r="O315" t="s">
        <v>135</v>
      </c>
      <c r="P315" s="127" t="s">
        <v>318</v>
      </c>
      <c r="Q315" s="126" t="s">
        <v>318</v>
      </c>
      <c r="R315">
        <v>131</v>
      </c>
      <c r="S315" s="2">
        <v>38</v>
      </c>
      <c r="T315" t="s">
        <v>295</v>
      </c>
      <c r="U315" t="s">
        <v>300</v>
      </c>
      <c r="V315" t="s">
        <v>298</v>
      </c>
      <c r="W315" s="41"/>
      <c r="X315" s="41"/>
      <c r="Y315" s="34"/>
      <c r="Z315" s="34"/>
      <c r="AA315" s="35">
        <f>IF(TA[[#This Row],[Work Start time on Fault]]="NA","",(TA[[#This Row],[Fault Acknowledgement Time ]]-TA[[#This Row],[Fault Time]])*24)</f>
        <v>0</v>
      </c>
      <c r="AB315" s="35">
        <f>(TA[[#This Row],[Work Start time on Fault]]-TA[[#This Row],[Fault Time]])*24</f>
        <v>0</v>
      </c>
      <c r="AC315" s="34">
        <f>(TA[[#This Row],[Work Completion time on fault]]-TA[[#This Row],[Fault Time]])*24</f>
        <v>0</v>
      </c>
      <c r="AD315" s="35">
        <f>IFERROR((TA[[#This Row],[Work Completion time on fault]]-TA[[#This Row],[Fault Time]])*24,"")</f>
        <v>0</v>
      </c>
      <c r="AE315" t="s">
        <v>328</v>
      </c>
      <c r="AF315" t="s">
        <v>256</v>
      </c>
      <c r="AG315" s="2"/>
      <c r="AH315" s="44">
        <f>1-COS(RADIANS(TA[[#This Row],[Avg. Target Angle during Fault Time (Radians)]]-TA[[#This Row],[Angle of affected equipment ]]))</f>
        <v>0.11705240714107301</v>
      </c>
      <c r="AI315" s="35">
        <f>IFERROR(TA[[#This Row],[Breakdown Time]]*TA[[#This Row],[Plant Equivalent Weightage]],"")</f>
        <v>0</v>
      </c>
    </row>
    <row r="316" spans="1:35">
      <c r="A316" s="2">
        <f t="shared" si="16"/>
        <v>313</v>
      </c>
      <c r="B316" s="156">
        <f t="shared" si="14"/>
        <v>2026</v>
      </c>
      <c r="C316" s="129">
        <f t="shared" si="15"/>
        <v>2025</v>
      </c>
      <c r="D316" s="2" t="s">
        <v>155</v>
      </c>
      <c r="E316" s="2" t="s">
        <v>155</v>
      </c>
      <c r="F316" s="39">
        <v>45748</v>
      </c>
      <c r="G316" s="2">
        <f>DAY(EOMONTH(TA[[#This Row],[Month Year]],0))</f>
        <v>30</v>
      </c>
      <c r="H316" s="21">
        <v>45766</v>
      </c>
      <c r="I316" s="41">
        <f>IFERROR(VLOOKUP(TA[[#This Row],[Date]],Raw_Data[[Date]:[Sunset Time (POA&lt;20 W/m2)]],3,0),"")</f>
        <v>0.26805555555555555</v>
      </c>
      <c r="J316" s="41">
        <f>IFERROR(VLOOKUP(TA[[#This Row],[Date]],Raw_Data[[Date]:[Sunset Time (POA&lt;20 W/m2)]],4,0),"")</f>
        <v>0.7729166666666667</v>
      </c>
      <c r="K316" s="35">
        <f>IFERROR((TA[[#This Row],[Sunset Time (POA&lt;20 W/m2)]]-TA[[#This Row],[Sunrise Time (POA&gt;20 W/m2)]])*24,"")</f>
        <v>12.116666666666669</v>
      </c>
      <c r="L316" s="2" t="s">
        <v>294</v>
      </c>
      <c r="M316" s="42">
        <f>IFERROR(VLOOKUP(TA[[#This Row],[Affected Equipment]],'Basic Data'!$I$2:$K$40,3,0),"")</f>
        <v>1.7241379310344799E-3</v>
      </c>
      <c r="N316">
        <v>-28</v>
      </c>
      <c r="O316" t="s">
        <v>135</v>
      </c>
      <c r="P316" s="127" t="s">
        <v>318</v>
      </c>
      <c r="Q316" s="126" t="s">
        <v>318</v>
      </c>
      <c r="R316">
        <v>131</v>
      </c>
      <c r="S316" s="2">
        <v>39</v>
      </c>
      <c r="T316" t="s">
        <v>295</v>
      </c>
      <c r="U316" t="s">
        <v>300</v>
      </c>
      <c r="V316" t="s">
        <v>298</v>
      </c>
      <c r="W316" s="41"/>
      <c r="X316" s="41"/>
      <c r="Y316" s="34"/>
      <c r="Z316" s="34"/>
      <c r="AA316" s="35">
        <f>IF(TA[[#This Row],[Work Start time on Fault]]="NA","",(TA[[#This Row],[Fault Acknowledgement Time ]]-TA[[#This Row],[Fault Time]])*24)</f>
        <v>0</v>
      </c>
      <c r="AB316" s="35">
        <f>(TA[[#This Row],[Work Start time on Fault]]-TA[[#This Row],[Fault Time]])*24</f>
        <v>0</v>
      </c>
      <c r="AC316" s="34">
        <f>(TA[[#This Row],[Work Completion time on fault]]-TA[[#This Row],[Fault Time]])*24</f>
        <v>0</v>
      </c>
      <c r="AD316" s="35">
        <f>IFERROR((TA[[#This Row],[Work Completion time on fault]]-TA[[#This Row],[Fault Time]])*24,"")</f>
        <v>0</v>
      </c>
      <c r="AE316" t="s">
        <v>328</v>
      </c>
      <c r="AF316" t="s">
        <v>256</v>
      </c>
      <c r="AG316" s="2"/>
      <c r="AH316" s="44">
        <f>1-COS(RADIANS(TA[[#This Row],[Avg. Target Angle during Fault Time (Radians)]]-TA[[#This Row],[Angle of affected equipment ]]))</f>
        <v>0.11705240714107301</v>
      </c>
      <c r="AI316" s="35">
        <f>IFERROR(TA[[#This Row],[Breakdown Time]]*TA[[#This Row],[Plant Equivalent Weightage]],"")</f>
        <v>0</v>
      </c>
    </row>
    <row r="317" spans="1:35">
      <c r="A317" s="2">
        <f t="shared" si="16"/>
        <v>314</v>
      </c>
      <c r="B317" s="156">
        <f t="shared" si="14"/>
        <v>2026</v>
      </c>
      <c r="C317" s="129">
        <f t="shared" si="15"/>
        <v>2025</v>
      </c>
      <c r="D317" s="2" t="s">
        <v>155</v>
      </c>
      <c r="E317" s="2" t="s">
        <v>155</v>
      </c>
      <c r="F317" s="39">
        <v>45748</v>
      </c>
      <c r="G317" s="2">
        <f>DAY(EOMONTH(TA[[#This Row],[Month Year]],0))</f>
        <v>30</v>
      </c>
      <c r="H317" s="21">
        <v>45766</v>
      </c>
      <c r="I317" s="41">
        <f>IFERROR(VLOOKUP(TA[[#This Row],[Date]],Raw_Data[[Date]:[Sunset Time (POA&lt;20 W/m2)]],3,0),"")</f>
        <v>0.26805555555555555</v>
      </c>
      <c r="J317" s="41">
        <f>IFERROR(VLOOKUP(TA[[#This Row],[Date]],Raw_Data[[Date]:[Sunset Time (POA&lt;20 W/m2)]],4,0),"")</f>
        <v>0.7729166666666667</v>
      </c>
      <c r="K317" s="35">
        <f>IFERROR((TA[[#This Row],[Sunset Time (POA&lt;20 W/m2)]]-TA[[#This Row],[Sunrise Time (POA&gt;20 W/m2)]])*24,"")</f>
        <v>12.116666666666669</v>
      </c>
      <c r="L317" s="2" t="s">
        <v>296</v>
      </c>
      <c r="M317" s="42">
        <f>IFERROR(VLOOKUP(TA[[#This Row],[Affected Equipment]],'Basic Data'!$I$2:$K$40,3,0),"")</f>
        <v>8.6206896551724102E-3</v>
      </c>
      <c r="N317">
        <v>-28</v>
      </c>
      <c r="O317" t="s">
        <v>135</v>
      </c>
      <c r="P317" s="127" t="s">
        <v>318</v>
      </c>
      <c r="Q317" s="2" t="s">
        <v>321</v>
      </c>
      <c r="R317">
        <v>133</v>
      </c>
      <c r="S317" s="2">
        <v>26</v>
      </c>
      <c r="T317" t="s">
        <v>297</v>
      </c>
      <c r="U317" t="s">
        <v>300</v>
      </c>
      <c r="V317" t="s">
        <v>314</v>
      </c>
      <c r="W317" s="41"/>
      <c r="X317" s="41"/>
      <c r="Y317" s="34"/>
      <c r="Z317" s="34"/>
      <c r="AA317" s="35">
        <f>IF(TA[[#This Row],[Work Start time on Fault]]="NA","",(TA[[#This Row],[Fault Acknowledgement Time ]]-TA[[#This Row],[Fault Time]])*24)</f>
        <v>0</v>
      </c>
      <c r="AB317" s="35">
        <f>(TA[[#This Row],[Work Start time on Fault]]-TA[[#This Row],[Fault Time]])*24</f>
        <v>0</v>
      </c>
      <c r="AC317" s="34">
        <f>(TA[[#This Row],[Work Completion time on fault]]-TA[[#This Row],[Fault Time]])*24</f>
        <v>0</v>
      </c>
      <c r="AD317" s="35">
        <f>IFERROR((TA[[#This Row],[Work Completion time on fault]]-TA[[#This Row],[Fault Time]])*24,"")</f>
        <v>0</v>
      </c>
      <c r="AE317" t="s">
        <v>328</v>
      </c>
      <c r="AF317" t="s">
        <v>256</v>
      </c>
      <c r="AG317" s="2"/>
      <c r="AH317" s="44">
        <f>1-COS(RADIANS(TA[[#This Row],[Avg. Target Angle during Fault Time (Radians)]]-TA[[#This Row],[Angle of affected equipment ]]))</f>
        <v>0.11705240714107301</v>
      </c>
      <c r="AI317" s="35">
        <f>IFERROR(TA[[#This Row],[Breakdown Time]]*TA[[#This Row],[Plant Equivalent Weightage]],"")</f>
        <v>0</v>
      </c>
    </row>
    <row r="318" spans="1:35">
      <c r="A318" s="2">
        <f t="shared" si="16"/>
        <v>315</v>
      </c>
      <c r="B318" s="156">
        <f t="shared" si="14"/>
        <v>2026</v>
      </c>
      <c r="C318" s="129">
        <f t="shared" si="15"/>
        <v>2025</v>
      </c>
      <c r="D318" s="2" t="s">
        <v>155</v>
      </c>
      <c r="E318" s="2" t="s">
        <v>155</v>
      </c>
      <c r="F318" s="39">
        <v>45748</v>
      </c>
      <c r="G318" s="2">
        <f>DAY(EOMONTH(TA[[#This Row],[Month Year]],0))</f>
        <v>30</v>
      </c>
      <c r="H318" s="21">
        <v>45766</v>
      </c>
      <c r="I318" s="41">
        <f>IFERROR(VLOOKUP(TA[[#This Row],[Date]],Raw_Data[[Date]:[Sunset Time (POA&lt;20 W/m2)]],3,0),"")</f>
        <v>0.26805555555555555</v>
      </c>
      <c r="J318" s="41">
        <f>IFERROR(VLOOKUP(TA[[#This Row],[Date]],Raw_Data[[Date]:[Sunset Time (POA&lt;20 W/m2)]],4,0),"")</f>
        <v>0.7729166666666667</v>
      </c>
      <c r="K318" s="35">
        <f>IFERROR((TA[[#This Row],[Sunset Time (POA&lt;20 W/m2)]]-TA[[#This Row],[Sunrise Time (POA&gt;20 W/m2)]])*24,"")</f>
        <v>12.116666666666669</v>
      </c>
      <c r="L318" s="2" t="s">
        <v>294</v>
      </c>
      <c r="M318" s="42">
        <f>IFERROR(VLOOKUP(TA[[#This Row],[Affected Equipment]],'Basic Data'!$I$2:$K$40,3,0),"")</f>
        <v>1.7241379310344799E-3</v>
      </c>
      <c r="N318">
        <v>-28</v>
      </c>
      <c r="O318" t="s">
        <v>133</v>
      </c>
      <c r="P318" s="127" t="s">
        <v>316</v>
      </c>
      <c r="Q318" s="126" t="s">
        <v>317</v>
      </c>
      <c r="R318">
        <v>7</v>
      </c>
      <c r="S318" s="2">
        <v>32</v>
      </c>
      <c r="T318" t="s">
        <v>295</v>
      </c>
      <c r="U318" t="s">
        <v>300</v>
      </c>
      <c r="V318" t="s">
        <v>298</v>
      </c>
      <c r="W318" s="41"/>
      <c r="X318" s="41"/>
      <c r="Y318" s="34"/>
      <c r="Z318" s="34"/>
      <c r="AA318" s="35">
        <f>IF(TA[[#This Row],[Work Start time on Fault]]="NA","",(TA[[#This Row],[Fault Acknowledgement Time ]]-TA[[#This Row],[Fault Time]])*24)</f>
        <v>0</v>
      </c>
      <c r="AB318" s="35">
        <f>(TA[[#This Row],[Work Start time on Fault]]-TA[[#This Row],[Fault Time]])*24</f>
        <v>0</v>
      </c>
      <c r="AC318" s="34">
        <f>(TA[[#This Row],[Work Completion time on fault]]-TA[[#This Row],[Fault Time]])*24</f>
        <v>0</v>
      </c>
      <c r="AD318" s="35">
        <f>IFERROR((TA[[#This Row],[Work Completion time on fault]]-TA[[#This Row],[Fault Time]])*24,"")</f>
        <v>0</v>
      </c>
      <c r="AE318" t="s">
        <v>328</v>
      </c>
      <c r="AF318" t="s">
        <v>256</v>
      </c>
      <c r="AG318" s="2"/>
      <c r="AH318" s="44">
        <f>1-COS(RADIANS(TA[[#This Row],[Avg. Target Angle during Fault Time (Radians)]]-TA[[#This Row],[Angle of affected equipment ]]))</f>
        <v>0.11705240714107301</v>
      </c>
      <c r="AI318" s="35">
        <f>IFERROR(TA[[#This Row],[Breakdown Time]]*TA[[#This Row],[Plant Equivalent Weightage]],"")</f>
        <v>0</v>
      </c>
    </row>
    <row r="319" spans="1:35">
      <c r="A319" s="2">
        <f t="shared" si="16"/>
        <v>316</v>
      </c>
      <c r="B319" s="156">
        <f t="shared" si="14"/>
        <v>2026</v>
      </c>
      <c r="C319" s="129">
        <f t="shared" si="15"/>
        <v>2025</v>
      </c>
      <c r="D319" s="2" t="s">
        <v>155</v>
      </c>
      <c r="E319" s="2" t="s">
        <v>155</v>
      </c>
      <c r="F319" s="39">
        <v>45748</v>
      </c>
      <c r="G319" s="2">
        <f>DAY(EOMONTH(TA[[#This Row],[Month Year]],0))</f>
        <v>30</v>
      </c>
      <c r="H319" s="21">
        <v>45766</v>
      </c>
      <c r="I319" s="41">
        <f>IFERROR(VLOOKUP(TA[[#This Row],[Date]],Raw_Data[[Date]:[Sunset Time (POA&lt;20 W/m2)]],3,0),"")</f>
        <v>0.26805555555555555</v>
      </c>
      <c r="J319" s="41">
        <f>IFERROR(VLOOKUP(TA[[#This Row],[Date]],Raw_Data[[Date]:[Sunset Time (POA&lt;20 W/m2)]],4,0),"")</f>
        <v>0.7729166666666667</v>
      </c>
      <c r="K319" s="35">
        <f>IFERROR((TA[[#This Row],[Sunset Time (POA&lt;20 W/m2)]]-TA[[#This Row],[Sunrise Time (POA&gt;20 W/m2)]])*24,"")</f>
        <v>12.116666666666669</v>
      </c>
      <c r="L319" s="2" t="s">
        <v>294</v>
      </c>
      <c r="M319" s="42">
        <f>IFERROR(VLOOKUP(TA[[#This Row],[Affected Equipment]],'Basic Data'!$I$2:$K$40,3,0),"")</f>
        <v>1.7241379310344799E-3</v>
      </c>
      <c r="N319">
        <v>-28</v>
      </c>
      <c r="O319" t="s">
        <v>137</v>
      </c>
      <c r="P319" s="127" t="s">
        <v>315</v>
      </c>
      <c r="Q319" s="126" t="s">
        <v>319</v>
      </c>
      <c r="R319">
        <v>166</v>
      </c>
      <c r="S319" s="2">
        <v>91</v>
      </c>
      <c r="T319" t="s">
        <v>295</v>
      </c>
      <c r="U319" t="s">
        <v>300</v>
      </c>
      <c r="V319" t="s">
        <v>298</v>
      </c>
      <c r="W319" s="41"/>
      <c r="X319" s="41"/>
      <c r="Y319" s="34"/>
      <c r="Z319" s="34"/>
      <c r="AA319" s="35">
        <f>IF(TA[[#This Row],[Work Start time on Fault]]="NA","",(TA[[#This Row],[Fault Acknowledgement Time ]]-TA[[#This Row],[Fault Time]])*24)</f>
        <v>0</v>
      </c>
      <c r="AB319" s="35">
        <f>(TA[[#This Row],[Work Start time on Fault]]-TA[[#This Row],[Fault Time]])*24</f>
        <v>0</v>
      </c>
      <c r="AC319" s="34">
        <f>(TA[[#This Row],[Work Completion time on fault]]-TA[[#This Row],[Fault Time]])*24</f>
        <v>0</v>
      </c>
      <c r="AD319" s="35">
        <f>IFERROR((TA[[#This Row],[Work Completion time on fault]]-TA[[#This Row],[Fault Time]])*24,"")</f>
        <v>0</v>
      </c>
      <c r="AE319" t="s">
        <v>328</v>
      </c>
      <c r="AF319" t="s">
        <v>256</v>
      </c>
      <c r="AG319" s="2"/>
      <c r="AH319" s="44">
        <f>1-COS(RADIANS(TA[[#This Row],[Avg. Target Angle during Fault Time (Radians)]]-TA[[#This Row],[Angle of affected equipment ]]))</f>
        <v>0.11705240714107301</v>
      </c>
      <c r="AI319" s="35">
        <f>IFERROR(TA[[#This Row],[Breakdown Time]]*TA[[#This Row],[Plant Equivalent Weightage]],"")</f>
        <v>0</v>
      </c>
    </row>
    <row r="320" spans="1:35">
      <c r="A320" s="2">
        <f t="shared" si="16"/>
        <v>317</v>
      </c>
      <c r="B320" s="156">
        <f t="shared" si="14"/>
        <v>2026</v>
      </c>
      <c r="C320" s="129">
        <f t="shared" si="15"/>
        <v>2025</v>
      </c>
      <c r="D320" s="2" t="s">
        <v>155</v>
      </c>
      <c r="E320" s="2" t="s">
        <v>155</v>
      </c>
      <c r="F320" s="39">
        <v>45748</v>
      </c>
      <c r="G320" s="2">
        <f>DAY(EOMONTH(TA[[#This Row],[Month Year]],0))</f>
        <v>30</v>
      </c>
      <c r="H320" s="21">
        <v>45766</v>
      </c>
      <c r="I320" s="41">
        <f>IFERROR(VLOOKUP(TA[[#This Row],[Date]],Raw_Data[[Date]:[Sunset Time (POA&lt;20 W/m2)]],3,0),"")</f>
        <v>0.26805555555555555</v>
      </c>
      <c r="J320" s="41">
        <f>IFERROR(VLOOKUP(TA[[#This Row],[Date]],Raw_Data[[Date]:[Sunset Time (POA&lt;20 W/m2)]],4,0),"")</f>
        <v>0.7729166666666667</v>
      </c>
      <c r="K320" s="35">
        <f>IFERROR((TA[[#This Row],[Sunset Time (POA&lt;20 W/m2)]]-TA[[#This Row],[Sunrise Time (POA&gt;20 W/m2)]])*24,"")</f>
        <v>12.116666666666669</v>
      </c>
      <c r="L320" s="2" t="s">
        <v>294</v>
      </c>
      <c r="M320" s="42">
        <f>IFERROR(VLOOKUP(TA[[#This Row],[Affected Equipment]],'Basic Data'!$I$2:$K$40,3,0),"")</f>
        <v>1.7241379310344799E-3</v>
      </c>
      <c r="N320">
        <v>-28</v>
      </c>
      <c r="O320" t="s">
        <v>133</v>
      </c>
      <c r="P320" s="127" t="s">
        <v>316</v>
      </c>
      <c r="Q320" s="126" t="s">
        <v>316</v>
      </c>
      <c r="R320">
        <v>117</v>
      </c>
      <c r="S320" s="2">
        <v>20</v>
      </c>
      <c r="T320" t="s">
        <v>295</v>
      </c>
      <c r="U320" t="s">
        <v>300</v>
      </c>
      <c r="V320" t="s">
        <v>298</v>
      </c>
      <c r="W320" s="41"/>
      <c r="X320" s="41"/>
      <c r="Y320" s="34"/>
      <c r="Z320" s="34"/>
      <c r="AA320" s="35">
        <f>IF(TA[[#This Row],[Work Start time on Fault]]="NA","",(TA[[#This Row],[Fault Acknowledgement Time ]]-TA[[#This Row],[Fault Time]])*24)</f>
        <v>0</v>
      </c>
      <c r="AB320" s="35">
        <f>(TA[[#This Row],[Work Start time on Fault]]-TA[[#This Row],[Fault Time]])*24</f>
        <v>0</v>
      </c>
      <c r="AC320" s="34">
        <f>(TA[[#This Row],[Work Completion time on fault]]-TA[[#This Row],[Fault Time]])*24</f>
        <v>0</v>
      </c>
      <c r="AD320" s="35">
        <f>IFERROR((TA[[#This Row],[Work Completion time on fault]]-TA[[#This Row],[Fault Time]])*24,"")</f>
        <v>0</v>
      </c>
      <c r="AE320" t="s">
        <v>328</v>
      </c>
      <c r="AF320" t="s">
        <v>256</v>
      </c>
      <c r="AG320" s="2"/>
      <c r="AH320" s="44">
        <f>1-COS(RADIANS(TA[[#This Row],[Avg. Target Angle during Fault Time (Radians)]]-TA[[#This Row],[Angle of affected equipment ]]))</f>
        <v>0.11705240714107301</v>
      </c>
      <c r="AI320" s="35">
        <f>IFERROR(TA[[#This Row],[Breakdown Time]]*TA[[#This Row],[Plant Equivalent Weightage]],"")</f>
        <v>0</v>
      </c>
    </row>
    <row r="321" spans="1:35">
      <c r="A321" s="2">
        <f t="shared" si="16"/>
        <v>318</v>
      </c>
      <c r="B321" s="156">
        <f t="shared" si="14"/>
        <v>2026</v>
      </c>
      <c r="C321" s="129">
        <f t="shared" si="15"/>
        <v>2025</v>
      </c>
      <c r="D321" s="2" t="s">
        <v>155</v>
      </c>
      <c r="E321" s="2" t="s">
        <v>155</v>
      </c>
      <c r="F321" s="39">
        <v>45748</v>
      </c>
      <c r="G321" s="2">
        <f>DAY(EOMONTH(TA[[#This Row],[Month Year]],0))</f>
        <v>30</v>
      </c>
      <c r="H321" s="21">
        <v>45766</v>
      </c>
      <c r="I321" s="41">
        <f>IFERROR(VLOOKUP(TA[[#This Row],[Date]],Raw_Data[[Date]:[Sunset Time (POA&lt;20 W/m2)]],3,0),"")</f>
        <v>0.26805555555555555</v>
      </c>
      <c r="J321" s="41">
        <f>IFERROR(VLOOKUP(TA[[#This Row],[Date]],Raw_Data[[Date]:[Sunset Time (POA&lt;20 W/m2)]],4,0),"")</f>
        <v>0.7729166666666667</v>
      </c>
      <c r="K321" s="35">
        <f>IFERROR((TA[[#This Row],[Sunset Time (POA&lt;20 W/m2)]]-TA[[#This Row],[Sunrise Time (POA&gt;20 W/m2)]])*24,"")</f>
        <v>12.116666666666669</v>
      </c>
      <c r="L321" s="2" t="s">
        <v>294</v>
      </c>
      <c r="M321" s="42">
        <f>IFERROR(VLOOKUP(TA[[#This Row],[Affected Equipment]],'Basic Data'!$I$2:$K$40,3,0),"")</f>
        <v>1.7241379310344799E-3</v>
      </c>
      <c r="N321">
        <v>-28</v>
      </c>
      <c r="O321" t="s">
        <v>133</v>
      </c>
      <c r="P321" s="127" t="s">
        <v>316</v>
      </c>
      <c r="Q321" s="126" t="s">
        <v>316</v>
      </c>
      <c r="R321">
        <v>118</v>
      </c>
      <c r="S321" s="2">
        <v>22</v>
      </c>
      <c r="T321" t="s">
        <v>295</v>
      </c>
      <c r="U321" t="s">
        <v>300</v>
      </c>
      <c r="V321" t="s">
        <v>298</v>
      </c>
      <c r="W321" s="41"/>
      <c r="X321" s="41"/>
      <c r="Y321" s="34"/>
      <c r="Z321" s="34"/>
      <c r="AA321" s="35">
        <f>IF(TA[[#This Row],[Work Start time on Fault]]="NA","",(TA[[#This Row],[Fault Acknowledgement Time ]]-TA[[#This Row],[Fault Time]])*24)</f>
        <v>0</v>
      </c>
      <c r="AB321" s="35">
        <f>(TA[[#This Row],[Work Start time on Fault]]-TA[[#This Row],[Fault Time]])*24</f>
        <v>0</v>
      </c>
      <c r="AC321" s="34">
        <f>(TA[[#This Row],[Work Completion time on fault]]-TA[[#This Row],[Fault Time]])*24</f>
        <v>0</v>
      </c>
      <c r="AD321" s="35">
        <f>IFERROR((TA[[#This Row],[Work Completion time on fault]]-TA[[#This Row],[Fault Time]])*24,"")</f>
        <v>0</v>
      </c>
      <c r="AE321" t="s">
        <v>328</v>
      </c>
      <c r="AF321" t="s">
        <v>256</v>
      </c>
      <c r="AG321" s="2"/>
      <c r="AH321" s="44">
        <f>1-COS(RADIANS(TA[[#This Row],[Avg. Target Angle during Fault Time (Radians)]]-TA[[#This Row],[Angle of affected equipment ]]))</f>
        <v>0.11705240714107301</v>
      </c>
      <c r="AI321" s="35">
        <f>IFERROR(TA[[#This Row],[Breakdown Time]]*TA[[#This Row],[Plant Equivalent Weightage]],"")</f>
        <v>0</v>
      </c>
    </row>
    <row r="322" spans="1:35">
      <c r="A322" s="2">
        <f t="shared" si="16"/>
        <v>319</v>
      </c>
      <c r="B322" s="156">
        <f t="shared" si="14"/>
        <v>2026</v>
      </c>
      <c r="C322" s="129">
        <f t="shared" si="15"/>
        <v>2025</v>
      </c>
      <c r="D322" s="2" t="s">
        <v>155</v>
      </c>
      <c r="E322" s="2" t="s">
        <v>155</v>
      </c>
      <c r="F322" s="39">
        <v>45748</v>
      </c>
      <c r="G322" s="2">
        <f>DAY(EOMONTH(TA[[#This Row],[Month Year]],0))</f>
        <v>30</v>
      </c>
      <c r="H322" s="21">
        <v>45766</v>
      </c>
      <c r="I322" s="41">
        <f>IFERROR(VLOOKUP(TA[[#This Row],[Date]],Raw_Data[[Date]:[Sunset Time (POA&lt;20 W/m2)]],3,0),"")</f>
        <v>0.26805555555555555</v>
      </c>
      <c r="J322" s="41">
        <f>IFERROR(VLOOKUP(TA[[#This Row],[Date]],Raw_Data[[Date]:[Sunset Time (POA&lt;20 W/m2)]],4,0),"")</f>
        <v>0.7729166666666667</v>
      </c>
      <c r="K322" s="35">
        <f>IFERROR((TA[[#This Row],[Sunset Time (POA&lt;20 W/m2)]]-TA[[#This Row],[Sunrise Time (POA&gt;20 W/m2)]])*24,"")</f>
        <v>12.116666666666669</v>
      </c>
      <c r="L322" s="2" t="s">
        <v>296</v>
      </c>
      <c r="M322" s="42">
        <f>IFERROR(VLOOKUP(TA[[#This Row],[Affected Equipment]],'Basic Data'!$I$2:$K$40,3,0),"")</f>
        <v>8.6206896551724102E-3</v>
      </c>
      <c r="N322">
        <v>-28</v>
      </c>
      <c r="O322" t="s">
        <v>135</v>
      </c>
      <c r="P322" s="22" t="s">
        <v>323</v>
      </c>
      <c r="Q322" s="2" t="s">
        <v>329</v>
      </c>
      <c r="R322">
        <v>45</v>
      </c>
      <c r="S322" s="2">
        <v>8</v>
      </c>
      <c r="T322" t="s">
        <v>297</v>
      </c>
      <c r="U322" t="s">
        <v>326</v>
      </c>
      <c r="V322" t="s">
        <v>301</v>
      </c>
      <c r="W322" s="41">
        <f>IFERROR(VLOOKUP(TA[[#This Row],[Date]],Raw_Data[[Date]:[Sunset Time (POA&lt;20 W/m2)]],3,0),"")</f>
        <v>0.26805555555555555</v>
      </c>
      <c r="X322" s="41">
        <f>IFERROR(VLOOKUP(TA[[#This Row],[Date]],Raw_Data[[Date]:[Sunset Time (POA&lt;20 W/m2)]],3,0),"")</f>
        <v>0.26805555555555555</v>
      </c>
      <c r="Y322" s="34"/>
      <c r="Z322" s="34">
        <v>0.76041666666666663</v>
      </c>
      <c r="AA322" s="35">
        <f>IF(TA[[#This Row],[Work Start time on Fault]]="NA","",(TA[[#This Row],[Fault Acknowledgement Time ]]-TA[[#This Row],[Fault Time]])*24)</f>
        <v>0</v>
      </c>
      <c r="AB322" s="35">
        <f>(TA[[#This Row],[Work Start time on Fault]]-TA[[#This Row],[Fault Time]])*24</f>
        <v>-6.4333333333333336</v>
      </c>
      <c r="AC322" s="34">
        <f>(TA[[#This Row],[Work Completion time on fault]]-TA[[#This Row],[Fault Time]])*24</f>
        <v>11.816666666666666</v>
      </c>
      <c r="AD322" s="35">
        <f>IFERROR((TA[[#This Row],[Work Completion time on fault]]-TA[[#This Row],[Fault Time]])*24,"")</f>
        <v>11.816666666666666</v>
      </c>
      <c r="AE322" t="s">
        <v>309</v>
      </c>
      <c r="AF322" t="s">
        <v>256</v>
      </c>
      <c r="AG322" s="2"/>
      <c r="AH322" s="44">
        <f>1-COS(RADIANS(TA[[#This Row],[Avg. Target Angle during Fault Time (Radians)]]-TA[[#This Row],[Angle of affected equipment ]]))</f>
        <v>0.11705240714107301</v>
      </c>
      <c r="AI322" s="35">
        <f>IFERROR(TA[[#This Row],[Breakdown Time]]*TA[[#This Row],[Plant Equivalent Weightage]],"")</f>
        <v>0.10186781609195397</v>
      </c>
    </row>
    <row r="323" spans="1:35">
      <c r="A323" s="2">
        <f t="shared" si="16"/>
        <v>320</v>
      </c>
      <c r="B323" s="156">
        <f t="shared" si="14"/>
        <v>2026</v>
      </c>
      <c r="C323" s="129">
        <f t="shared" si="15"/>
        <v>2025</v>
      </c>
      <c r="D323" s="2" t="s">
        <v>155</v>
      </c>
      <c r="E323" s="2" t="s">
        <v>155</v>
      </c>
      <c r="F323" s="39">
        <v>45748</v>
      </c>
      <c r="G323" s="2">
        <f>DAY(EOMONTH(TA[[#This Row],[Month Year]],0))</f>
        <v>30</v>
      </c>
      <c r="H323" s="21">
        <v>45766</v>
      </c>
      <c r="I323" s="41">
        <f>IFERROR(VLOOKUP(TA[[#This Row],[Date]],Raw_Data[[Date]:[Sunset Time (POA&lt;20 W/m2)]],3,0),"")</f>
        <v>0.26805555555555555</v>
      </c>
      <c r="J323" s="41">
        <f>IFERROR(VLOOKUP(TA[[#This Row],[Date]],Raw_Data[[Date]:[Sunset Time (POA&lt;20 W/m2)]],4,0),"")</f>
        <v>0.7729166666666667</v>
      </c>
      <c r="K323" s="35">
        <f>IFERROR((TA[[#This Row],[Sunset Time (POA&lt;20 W/m2)]]-TA[[#This Row],[Sunrise Time (POA&gt;20 W/m2)]])*24,"")</f>
        <v>12.116666666666669</v>
      </c>
      <c r="L323" s="2" t="s">
        <v>296</v>
      </c>
      <c r="M323" s="42">
        <f>IFERROR(VLOOKUP(TA[[#This Row],[Affected Equipment]],'Basic Data'!$I$2:$K$40,3,0),"")</f>
        <v>8.6206896551724102E-3</v>
      </c>
      <c r="N323">
        <v>-28</v>
      </c>
      <c r="O323" t="s">
        <v>135</v>
      </c>
      <c r="P323" s="22" t="s">
        <v>323</v>
      </c>
      <c r="Q323" s="2" t="s">
        <v>329</v>
      </c>
      <c r="R323">
        <v>47</v>
      </c>
      <c r="S323" s="2">
        <v>18</v>
      </c>
      <c r="T323" t="s">
        <v>297</v>
      </c>
      <c r="U323" t="s">
        <v>326</v>
      </c>
      <c r="V323" t="s">
        <v>301</v>
      </c>
      <c r="W323" s="41">
        <f>IFERROR(VLOOKUP(TA[[#This Row],[Date]],Raw_Data[[Date]:[Sunset Time (POA&lt;20 W/m2)]],3,0),"")</f>
        <v>0.26805555555555555</v>
      </c>
      <c r="X323" s="41">
        <f>IFERROR(VLOOKUP(TA[[#This Row],[Date]],Raw_Data[[Date]:[Sunset Time (POA&lt;20 W/m2)]],3,0),"")</f>
        <v>0.26805555555555555</v>
      </c>
      <c r="Y323" s="34"/>
      <c r="Z323" s="34">
        <v>0.76041666666666663</v>
      </c>
      <c r="AA323" s="35">
        <f>IF(TA[[#This Row],[Work Start time on Fault]]="NA","",(TA[[#This Row],[Fault Acknowledgement Time ]]-TA[[#This Row],[Fault Time]])*24)</f>
        <v>0</v>
      </c>
      <c r="AB323" s="35">
        <f>(TA[[#This Row],[Work Start time on Fault]]-TA[[#This Row],[Fault Time]])*24</f>
        <v>-6.4333333333333336</v>
      </c>
      <c r="AC323" s="34">
        <f>(TA[[#This Row],[Work Completion time on fault]]-TA[[#This Row],[Fault Time]])*24</f>
        <v>11.816666666666666</v>
      </c>
      <c r="AD323" s="35">
        <f>IFERROR((TA[[#This Row],[Work Completion time on fault]]-TA[[#This Row],[Fault Time]])*24,"")</f>
        <v>11.816666666666666</v>
      </c>
      <c r="AE323" t="s">
        <v>309</v>
      </c>
      <c r="AF323" t="s">
        <v>256</v>
      </c>
      <c r="AG323" s="2"/>
      <c r="AH323" s="44">
        <f>1-COS(RADIANS(TA[[#This Row],[Avg. Target Angle during Fault Time (Radians)]]-TA[[#This Row],[Angle of affected equipment ]]))</f>
        <v>0.11705240714107301</v>
      </c>
      <c r="AI323" s="35">
        <f>IFERROR(TA[[#This Row],[Breakdown Time]]*TA[[#This Row],[Plant Equivalent Weightage]],"")</f>
        <v>0.10186781609195397</v>
      </c>
    </row>
    <row r="324" spans="1:35">
      <c r="A324" s="2">
        <f t="shared" si="16"/>
        <v>321</v>
      </c>
      <c r="B324" s="156">
        <f t="shared" si="14"/>
        <v>2026</v>
      </c>
      <c r="C324" s="129">
        <f t="shared" si="15"/>
        <v>2025</v>
      </c>
      <c r="D324" s="2" t="s">
        <v>155</v>
      </c>
      <c r="E324" s="2" t="s">
        <v>155</v>
      </c>
      <c r="F324" s="39">
        <v>45748</v>
      </c>
      <c r="G324" s="2">
        <f>DAY(EOMONTH(TA[[#This Row],[Month Year]],0))</f>
        <v>30</v>
      </c>
      <c r="H324" s="21">
        <v>45766</v>
      </c>
      <c r="I324" s="41">
        <f>IFERROR(VLOOKUP(TA[[#This Row],[Date]],Raw_Data[[Date]:[Sunset Time (POA&lt;20 W/m2)]],3,0),"")</f>
        <v>0.26805555555555555</v>
      </c>
      <c r="J324" s="41">
        <f>IFERROR(VLOOKUP(TA[[#This Row],[Date]],Raw_Data[[Date]:[Sunset Time (POA&lt;20 W/m2)]],4,0),"")</f>
        <v>0.7729166666666667</v>
      </c>
      <c r="K324" s="35">
        <f>IFERROR((TA[[#This Row],[Sunset Time (POA&lt;20 W/m2)]]-TA[[#This Row],[Sunrise Time (POA&gt;20 W/m2)]])*24,"")</f>
        <v>12.116666666666669</v>
      </c>
      <c r="L324" s="2" t="s">
        <v>296</v>
      </c>
      <c r="M324" s="42">
        <f>IFERROR(VLOOKUP(TA[[#This Row],[Affected Equipment]],'Basic Data'!$I$2:$K$40,3,0),"")</f>
        <v>8.6206896551724102E-3</v>
      </c>
      <c r="N324">
        <v>-28</v>
      </c>
      <c r="O324" t="s">
        <v>134</v>
      </c>
      <c r="P324" s="22" t="s">
        <v>330</v>
      </c>
      <c r="Q324" s="2" t="s">
        <v>323</v>
      </c>
      <c r="R324">
        <v>30</v>
      </c>
      <c r="S324" s="2">
        <v>57</v>
      </c>
      <c r="T324" t="s">
        <v>297</v>
      </c>
      <c r="U324" t="s">
        <v>326</v>
      </c>
      <c r="V324" t="s">
        <v>301</v>
      </c>
      <c r="W324" s="41">
        <f>IFERROR(VLOOKUP(TA[[#This Row],[Date]],Raw_Data[[Date]:[Sunset Time (POA&lt;20 W/m2)]],3,0),"")</f>
        <v>0.26805555555555555</v>
      </c>
      <c r="X324" s="41">
        <f>IFERROR(VLOOKUP(TA[[#This Row],[Date]],Raw_Data[[Date]:[Sunset Time (POA&lt;20 W/m2)]],3,0),"")</f>
        <v>0.26805555555555555</v>
      </c>
      <c r="Y324" s="34"/>
      <c r="Z324" s="34">
        <v>0.76041666666666663</v>
      </c>
      <c r="AA324" s="35">
        <f>IF(TA[[#This Row],[Work Start time on Fault]]="NA","",(TA[[#This Row],[Fault Acknowledgement Time ]]-TA[[#This Row],[Fault Time]])*24)</f>
        <v>0</v>
      </c>
      <c r="AB324" s="35">
        <f>(TA[[#This Row],[Work Start time on Fault]]-TA[[#This Row],[Fault Time]])*24</f>
        <v>-6.4333333333333336</v>
      </c>
      <c r="AC324" s="34">
        <f>(TA[[#This Row],[Work Completion time on fault]]-TA[[#This Row],[Fault Time]])*24</f>
        <v>11.816666666666666</v>
      </c>
      <c r="AD324" s="35">
        <f>IFERROR((TA[[#This Row],[Work Completion time on fault]]-TA[[#This Row],[Fault Time]])*24,"")</f>
        <v>11.816666666666666</v>
      </c>
      <c r="AE324" t="s">
        <v>309</v>
      </c>
      <c r="AF324" t="s">
        <v>256</v>
      </c>
      <c r="AG324" s="2"/>
      <c r="AH324" s="44">
        <f>1-COS(RADIANS(TA[[#This Row],[Avg. Target Angle during Fault Time (Radians)]]-TA[[#This Row],[Angle of affected equipment ]]))</f>
        <v>0.11705240714107301</v>
      </c>
      <c r="AI324" s="35">
        <f>IFERROR(TA[[#This Row],[Breakdown Time]]*TA[[#This Row],[Plant Equivalent Weightage]],"")</f>
        <v>0.10186781609195397</v>
      </c>
    </row>
    <row r="325" spans="1:35">
      <c r="A325" s="2">
        <f t="shared" si="16"/>
        <v>322</v>
      </c>
      <c r="B325" s="156">
        <f t="shared" ref="B325:B388" si="17">YEAR(H325)+IF(MONTH(H325)&gt;=4,1,0)</f>
        <v>2026</v>
      </c>
      <c r="C325" s="129">
        <f t="shared" ref="C325:C388" si="18">YEAR(H325)</f>
        <v>2025</v>
      </c>
      <c r="D325" s="2" t="s">
        <v>155</v>
      </c>
      <c r="E325" s="2" t="s">
        <v>155</v>
      </c>
      <c r="F325" s="39">
        <v>45748</v>
      </c>
      <c r="G325" s="2">
        <f>DAY(EOMONTH(TA[[#This Row],[Month Year]],0))</f>
        <v>30</v>
      </c>
      <c r="H325" s="21">
        <v>45766</v>
      </c>
      <c r="I325" s="41">
        <f>IFERROR(VLOOKUP(TA[[#This Row],[Date]],Raw_Data[[Date]:[Sunset Time (POA&lt;20 W/m2)]],3,0),"")</f>
        <v>0.26805555555555555</v>
      </c>
      <c r="J325" s="41">
        <f>IFERROR(VLOOKUP(TA[[#This Row],[Date]],Raw_Data[[Date]:[Sunset Time (POA&lt;20 W/m2)]],4,0),"")</f>
        <v>0.7729166666666667</v>
      </c>
      <c r="K325" s="35">
        <f>IFERROR((TA[[#This Row],[Sunset Time (POA&lt;20 W/m2)]]-TA[[#This Row],[Sunrise Time (POA&gt;20 W/m2)]])*24,"")</f>
        <v>12.116666666666669</v>
      </c>
      <c r="L325" s="2" t="s">
        <v>296</v>
      </c>
      <c r="M325" s="42">
        <f>IFERROR(VLOOKUP(TA[[#This Row],[Affected Equipment]],'Basic Data'!$I$2:$K$40,3,0),"")</f>
        <v>8.6206896551724102E-3</v>
      </c>
      <c r="N325">
        <v>-28</v>
      </c>
      <c r="O325" t="s">
        <v>134</v>
      </c>
      <c r="P325" s="22" t="s">
        <v>330</v>
      </c>
      <c r="Q325" s="2" t="s">
        <v>323</v>
      </c>
      <c r="R325">
        <v>31</v>
      </c>
      <c r="S325" s="2">
        <v>61</v>
      </c>
      <c r="T325" t="s">
        <v>297</v>
      </c>
      <c r="U325" t="s">
        <v>326</v>
      </c>
      <c r="V325" t="s">
        <v>301</v>
      </c>
      <c r="W325" s="41">
        <f>IFERROR(VLOOKUP(TA[[#This Row],[Date]],Raw_Data[[Date]:[Sunset Time (POA&lt;20 W/m2)]],3,0),"")</f>
        <v>0.26805555555555555</v>
      </c>
      <c r="X325" s="41">
        <f>IFERROR(VLOOKUP(TA[[#This Row],[Date]],Raw_Data[[Date]:[Sunset Time (POA&lt;20 W/m2)]],3,0),"")</f>
        <v>0.26805555555555555</v>
      </c>
      <c r="Y325" s="34"/>
      <c r="Z325" s="34">
        <v>0.76041666666666663</v>
      </c>
      <c r="AA325" s="35">
        <f>IF(TA[[#This Row],[Work Start time on Fault]]="NA","",(TA[[#This Row],[Fault Acknowledgement Time ]]-TA[[#This Row],[Fault Time]])*24)</f>
        <v>0</v>
      </c>
      <c r="AB325" s="35">
        <f>(TA[[#This Row],[Work Start time on Fault]]-TA[[#This Row],[Fault Time]])*24</f>
        <v>-6.4333333333333336</v>
      </c>
      <c r="AC325" s="34">
        <f>(TA[[#This Row],[Work Completion time on fault]]-TA[[#This Row],[Fault Time]])*24</f>
        <v>11.816666666666666</v>
      </c>
      <c r="AD325" s="35">
        <f>IFERROR((TA[[#This Row],[Work Completion time on fault]]-TA[[#This Row],[Fault Time]])*24,"")</f>
        <v>11.816666666666666</v>
      </c>
      <c r="AE325" t="s">
        <v>309</v>
      </c>
      <c r="AF325" t="s">
        <v>256</v>
      </c>
      <c r="AG325" s="2"/>
      <c r="AH325" s="44">
        <f>1-COS(RADIANS(TA[[#This Row],[Avg. Target Angle during Fault Time (Radians)]]-TA[[#This Row],[Angle of affected equipment ]]))</f>
        <v>0.11705240714107301</v>
      </c>
      <c r="AI325" s="35">
        <f>IFERROR(TA[[#This Row],[Breakdown Time]]*TA[[#This Row],[Plant Equivalent Weightage]],"")</f>
        <v>0.10186781609195397</v>
      </c>
    </row>
    <row r="326" spans="1:35">
      <c r="A326" s="2">
        <f t="shared" si="16"/>
        <v>323</v>
      </c>
      <c r="B326" s="156">
        <f t="shared" si="17"/>
        <v>2026</v>
      </c>
      <c r="C326" s="129">
        <f t="shared" si="18"/>
        <v>2025</v>
      </c>
      <c r="D326" s="2" t="s">
        <v>155</v>
      </c>
      <c r="E326" s="2" t="s">
        <v>155</v>
      </c>
      <c r="F326" s="39">
        <v>45748</v>
      </c>
      <c r="G326" s="2">
        <f>DAY(EOMONTH(TA[[#This Row],[Month Year]],0))</f>
        <v>30</v>
      </c>
      <c r="H326" s="21">
        <v>45766</v>
      </c>
      <c r="I326" s="41">
        <f>IFERROR(VLOOKUP(TA[[#This Row],[Date]],Raw_Data[[Date]:[Sunset Time (POA&lt;20 W/m2)]],3,0),"")</f>
        <v>0.26805555555555555</v>
      </c>
      <c r="J326" s="41">
        <f>IFERROR(VLOOKUP(TA[[#This Row],[Date]],Raw_Data[[Date]:[Sunset Time (POA&lt;20 W/m2)]],4,0),"")</f>
        <v>0.7729166666666667</v>
      </c>
      <c r="K326" s="35">
        <f>IFERROR((TA[[#This Row],[Sunset Time (POA&lt;20 W/m2)]]-TA[[#This Row],[Sunrise Time (POA&gt;20 W/m2)]])*24,"")</f>
        <v>12.116666666666669</v>
      </c>
      <c r="L326" s="2" t="s">
        <v>312</v>
      </c>
      <c r="M326" s="42">
        <f>IFERROR(VLOOKUP(TA[[#This Row],[Affected Equipment]],'Basic Data'!$I$2:$K$40,3,0),"")</f>
        <v>5.74712643678161E-3</v>
      </c>
      <c r="N326">
        <v>-28</v>
      </c>
      <c r="O326" t="s">
        <v>133</v>
      </c>
      <c r="P326" s="22" t="s">
        <v>330</v>
      </c>
      <c r="Q326" s="2" t="s">
        <v>323</v>
      </c>
      <c r="R326">
        <v>26</v>
      </c>
      <c r="S326" s="2">
        <v>37</v>
      </c>
      <c r="T326" t="s">
        <v>297</v>
      </c>
      <c r="U326" t="s">
        <v>326</v>
      </c>
      <c r="V326" t="s">
        <v>301</v>
      </c>
      <c r="W326" s="41">
        <f>IFERROR(VLOOKUP(TA[[#This Row],[Date]],Raw_Data[[Date]:[Sunset Time (POA&lt;20 W/m2)]],3,0),"")</f>
        <v>0.26805555555555555</v>
      </c>
      <c r="X326" s="41">
        <f>IFERROR(VLOOKUP(TA[[#This Row],[Date]],Raw_Data[[Date]:[Sunset Time (POA&lt;20 W/m2)]],3,0),"")</f>
        <v>0.26805555555555555</v>
      </c>
      <c r="Y326" s="34"/>
      <c r="Z326" s="34">
        <v>0.76041666666666663</v>
      </c>
      <c r="AA326" s="35">
        <f>IF(TA[[#This Row],[Work Start time on Fault]]="NA","",(TA[[#This Row],[Fault Acknowledgement Time ]]-TA[[#This Row],[Fault Time]])*24)</f>
        <v>0</v>
      </c>
      <c r="AB326" s="35">
        <f>(TA[[#This Row],[Work Start time on Fault]]-TA[[#This Row],[Fault Time]])*24</f>
        <v>-6.4333333333333336</v>
      </c>
      <c r="AC326" s="34">
        <f>(TA[[#This Row],[Work Completion time on fault]]-TA[[#This Row],[Fault Time]])*24</f>
        <v>11.816666666666666</v>
      </c>
      <c r="AD326" s="35">
        <f>IFERROR((TA[[#This Row],[Work Completion time on fault]]-TA[[#This Row],[Fault Time]])*24,"")</f>
        <v>11.816666666666666</v>
      </c>
      <c r="AE326" t="s">
        <v>309</v>
      </c>
      <c r="AF326" t="s">
        <v>256</v>
      </c>
      <c r="AG326" s="2"/>
      <c r="AH326" s="44">
        <f>1-COS(RADIANS(TA[[#This Row],[Avg. Target Angle during Fault Time (Radians)]]-TA[[#This Row],[Angle of affected equipment ]]))</f>
        <v>0.11705240714107301</v>
      </c>
      <c r="AI326" s="35">
        <f>IFERROR(TA[[#This Row],[Breakdown Time]]*TA[[#This Row],[Plant Equivalent Weightage]],"")</f>
        <v>6.7911877394636028E-2</v>
      </c>
    </row>
    <row r="327" spans="1:35">
      <c r="A327" s="2">
        <f t="shared" si="16"/>
        <v>324</v>
      </c>
      <c r="B327" s="156">
        <f t="shared" si="17"/>
        <v>2026</v>
      </c>
      <c r="C327" s="129">
        <f t="shared" si="18"/>
        <v>2025</v>
      </c>
      <c r="D327" s="2" t="s">
        <v>155</v>
      </c>
      <c r="E327" s="2" t="s">
        <v>155</v>
      </c>
      <c r="F327" s="39">
        <v>45748</v>
      </c>
      <c r="G327" s="2">
        <f>DAY(EOMONTH(TA[[#This Row],[Month Year]],0))</f>
        <v>30</v>
      </c>
      <c r="H327" s="21">
        <v>45766</v>
      </c>
      <c r="I327" s="41">
        <f>IFERROR(VLOOKUP(TA[[#This Row],[Date]],Raw_Data[[Date]:[Sunset Time (POA&lt;20 W/m2)]],3,0),"")</f>
        <v>0.26805555555555555</v>
      </c>
      <c r="J327" s="41">
        <f>IFERROR(VLOOKUP(TA[[#This Row],[Date]],Raw_Data[[Date]:[Sunset Time (POA&lt;20 W/m2)]],4,0),"")</f>
        <v>0.7729166666666667</v>
      </c>
      <c r="K327" s="35">
        <f>IFERROR((TA[[#This Row],[Sunset Time (POA&lt;20 W/m2)]]-TA[[#This Row],[Sunrise Time (POA&gt;20 W/m2)]])*24,"")</f>
        <v>12.116666666666669</v>
      </c>
      <c r="L327" s="2" t="s">
        <v>312</v>
      </c>
      <c r="M327" s="42">
        <f>IFERROR(VLOOKUP(TA[[#This Row],[Affected Equipment]],'Basic Data'!$I$2:$K$40,3,0),"")</f>
        <v>5.74712643678161E-3</v>
      </c>
      <c r="N327">
        <v>-28</v>
      </c>
      <c r="O327" t="s">
        <v>133</v>
      </c>
      <c r="P327" s="22" t="s">
        <v>330</v>
      </c>
      <c r="Q327" s="2" t="s">
        <v>323</v>
      </c>
      <c r="R327">
        <v>27</v>
      </c>
      <c r="S327" s="2">
        <v>42</v>
      </c>
      <c r="T327" t="s">
        <v>297</v>
      </c>
      <c r="U327" t="s">
        <v>326</v>
      </c>
      <c r="V327" t="s">
        <v>301</v>
      </c>
      <c r="W327" s="41">
        <f>IFERROR(VLOOKUP(TA[[#This Row],[Date]],Raw_Data[[Date]:[Sunset Time (POA&lt;20 W/m2)]],3,0),"")</f>
        <v>0.26805555555555555</v>
      </c>
      <c r="X327" s="41">
        <f>IFERROR(VLOOKUP(TA[[#This Row],[Date]],Raw_Data[[Date]:[Sunset Time (POA&lt;20 W/m2)]],3,0),"")</f>
        <v>0.26805555555555555</v>
      </c>
      <c r="Y327" s="34"/>
      <c r="Z327" s="34">
        <v>0.76041666666666663</v>
      </c>
      <c r="AA327" s="35">
        <f>IF(TA[[#This Row],[Work Start time on Fault]]="NA","",(TA[[#This Row],[Fault Acknowledgement Time ]]-TA[[#This Row],[Fault Time]])*24)</f>
        <v>0</v>
      </c>
      <c r="AB327" s="35">
        <f>(TA[[#This Row],[Work Start time on Fault]]-TA[[#This Row],[Fault Time]])*24</f>
        <v>-6.4333333333333336</v>
      </c>
      <c r="AC327" s="34">
        <f>(TA[[#This Row],[Work Completion time on fault]]-TA[[#This Row],[Fault Time]])*24</f>
        <v>11.816666666666666</v>
      </c>
      <c r="AD327" s="35">
        <f>IFERROR((TA[[#This Row],[Work Completion time on fault]]-TA[[#This Row],[Fault Time]])*24,"")</f>
        <v>11.816666666666666</v>
      </c>
      <c r="AE327" t="s">
        <v>309</v>
      </c>
      <c r="AF327" t="s">
        <v>256</v>
      </c>
      <c r="AG327" s="2"/>
      <c r="AH327" s="44">
        <f>1-COS(RADIANS(TA[[#This Row],[Avg. Target Angle during Fault Time (Radians)]]-TA[[#This Row],[Angle of affected equipment ]]))</f>
        <v>0.11705240714107301</v>
      </c>
      <c r="AI327" s="35">
        <f>IFERROR(TA[[#This Row],[Breakdown Time]]*TA[[#This Row],[Plant Equivalent Weightage]],"")</f>
        <v>6.7911877394636028E-2</v>
      </c>
    </row>
    <row r="328" spans="1:35">
      <c r="A328" s="2">
        <f t="shared" si="16"/>
        <v>325</v>
      </c>
      <c r="B328" s="156">
        <f t="shared" si="17"/>
        <v>2026</v>
      </c>
      <c r="C328" s="129">
        <f t="shared" si="18"/>
        <v>2025</v>
      </c>
      <c r="D328" s="2" t="s">
        <v>155</v>
      </c>
      <c r="E328" s="2" t="s">
        <v>155</v>
      </c>
      <c r="F328" s="39">
        <v>45748</v>
      </c>
      <c r="G328" s="2">
        <f>DAY(EOMONTH(TA[[#This Row],[Month Year]],0))</f>
        <v>30</v>
      </c>
      <c r="H328" s="21">
        <v>45767</v>
      </c>
      <c r="I328" s="41">
        <f>IFERROR(VLOOKUP(TA[[#This Row],[Date]],Raw_Data[[Date]:[Sunset Time (POA&lt;20 W/m2)]],3,0),"")</f>
        <v>0.25833333333333336</v>
      </c>
      <c r="J328" s="41">
        <f>IFERROR(VLOOKUP(TA[[#This Row],[Date]],Raw_Data[[Date]:[Sunset Time (POA&lt;20 W/m2)]],4,0),"")</f>
        <v>0.76875000000000004</v>
      </c>
      <c r="K328" s="35">
        <f>IFERROR((TA[[#This Row],[Sunset Time (POA&lt;20 W/m2)]]-TA[[#This Row],[Sunrise Time (POA&gt;20 W/m2)]])*24,"")</f>
        <v>12.250000000000002</v>
      </c>
      <c r="L328" s="2" t="s">
        <v>294</v>
      </c>
      <c r="M328" s="42">
        <f>IFERROR(VLOOKUP(TA[[#This Row],[Affected Equipment]],'Basic Data'!$I$2:$K$40,3,0),"")</f>
        <v>1.7241379310344799E-3</v>
      </c>
      <c r="N328">
        <v>-28</v>
      </c>
      <c r="O328" t="s">
        <v>135</v>
      </c>
      <c r="P328" s="127" t="s">
        <v>318</v>
      </c>
      <c r="Q328" s="126" t="s">
        <v>318</v>
      </c>
      <c r="R328">
        <v>130</v>
      </c>
      <c r="S328" s="2">
        <v>37</v>
      </c>
      <c r="T328" t="s">
        <v>295</v>
      </c>
      <c r="U328" t="s">
        <v>300</v>
      </c>
      <c r="V328" t="s">
        <v>298</v>
      </c>
      <c r="W328" s="41"/>
      <c r="X328" s="41"/>
      <c r="Y328" s="34"/>
      <c r="Z328" s="34"/>
      <c r="AA328" s="35">
        <f>IF(TA[[#This Row],[Work Start time on Fault]]="NA","",(TA[[#This Row],[Fault Acknowledgement Time ]]-TA[[#This Row],[Fault Time]])*24)</f>
        <v>0</v>
      </c>
      <c r="AB328" s="35">
        <f>(TA[[#This Row],[Work Start time on Fault]]-TA[[#This Row],[Fault Time]])*24</f>
        <v>0</v>
      </c>
      <c r="AC328" s="34">
        <f>(TA[[#This Row],[Work Completion time on fault]]-TA[[#This Row],[Fault Time]])*24</f>
        <v>0</v>
      </c>
      <c r="AD328" s="35">
        <f>IFERROR((TA[[#This Row],[Work Completion time on fault]]-TA[[#This Row],[Fault Time]])*24,"")</f>
        <v>0</v>
      </c>
      <c r="AE328" t="s">
        <v>328</v>
      </c>
      <c r="AF328" t="s">
        <v>256</v>
      </c>
      <c r="AG328" s="2"/>
      <c r="AH328" s="44">
        <f>1-COS(RADIANS(TA[[#This Row],[Avg. Target Angle during Fault Time (Radians)]]-TA[[#This Row],[Angle of affected equipment ]]))</f>
        <v>0.11705240714107301</v>
      </c>
      <c r="AI328" s="35">
        <f>IFERROR(TA[[#This Row],[Breakdown Time]]*TA[[#This Row],[Plant Equivalent Weightage]],"")</f>
        <v>0</v>
      </c>
    </row>
    <row r="329" spans="1:35">
      <c r="A329" s="2">
        <f t="shared" si="16"/>
        <v>326</v>
      </c>
      <c r="B329" s="156">
        <f t="shared" si="17"/>
        <v>2026</v>
      </c>
      <c r="C329" s="129">
        <f t="shared" si="18"/>
        <v>2025</v>
      </c>
      <c r="D329" s="2" t="s">
        <v>155</v>
      </c>
      <c r="E329" s="2" t="s">
        <v>155</v>
      </c>
      <c r="F329" s="39">
        <v>45748</v>
      </c>
      <c r="G329" s="2">
        <f>DAY(EOMONTH(TA[[#This Row],[Month Year]],0))</f>
        <v>30</v>
      </c>
      <c r="H329" s="21">
        <v>45767</v>
      </c>
      <c r="I329" s="41">
        <f>IFERROR(VLOOKUP(TA[[#This Row],[Date]],Raw_Data[[Date]:[Sunset Time (POA&lt;20 W/m2)]],3,0),"")</f>
        <v>0.25833333333333336</v>
      </c>
      <c r="J329" s="41">
        <f>IFERROR(VLOOKUP(TA[[#This Row],[Date]],Raw_Data[[Date]:[Sunset Time (POA&lt;20 W/m2)]],4,0),"")</f>
        <v>0.76875000000000004</v>
      </c>
      <c r="K329" s="35">
        <f>IFERROR((TA[[#This Row],[Sunset Time (POA&lt;20 W/m2)]]-TA[[#This Row],[Sunrise Time (POA&gt;20 W/m2)]])*24,"")</f>
        <v>12.250000000000002</v>
      </c>
      <c r="L329" s="2" t="s">
        <v>294</v>
      </c>
      <c r="M329" s="42">
        <f>IFERROR(VLOOKUP(TA[[#This Row],[Affected Equipment]],'Basic Data'!$I$2:$K$40,3,0),"")</f>
        <v>1.7241379310344799E-3</v>
      </c>
      <c r="N329">
        <v>-28</v>
      </c>
      <c r="O329" t="s">
        <v>135</v>
      </c>
      <c r="P329" s="127" t="s">
        <v>318</v>
      </c>
      <c r="Q329" s="126" t="s">
        <v>318</v>
      </c>
      <c r="R329">
        <v>131</v>
      </c>
      <c r="S329" s="2">
        <v>38</v>
      </c>
      <c r="T329" t="s">
        <v>295</v>
      </c>
      <c r="U329" t="s">
        <v>300</v>
      </c>
      <c r="V329" t="s">
        <v>298</v>
      </c>
      <c r="W329" s="41"/>
      <c r="X329" s="41"/>
      <c r="Y329" s="34"/>
      <c r="Z329" s="34"/>
      <c r="AA329" s="35">
        <f>IF(TA[[#This Row],[Work Start time on Fault]]="NA","",(TA[[#This Row],[Fault Acknowledgement Time ]]-TA[[#This Row],[Fault Time]])*24)</f>
        <v>0</v>
      </c>
      <c r="AB329" s="35">
        <f>(TA[[#This Row],[Work Start time on Fault]]-TA[[#This Row],[Fault Time]])*24</f>
        <v>0</v>
      </c>
      <c r="AC329" s="34">
        <f>(TA[[#This Row],[Work Completion time on fault]]-TA[[#This Row],[Fault Time]])*24</f>
        <v>0</v>
      </c>
      <c r="AD329" s="35">
        <f>IFERROR((TA[[#This Row],[Work Completion time on fault]]-TA[[#This Row],[Fault Time]])*24,"")</f>
        <v>0</v>
      </c>
      <c r="AE329" t="s">
        <v>328</v>
      </c>
      <c r="AF329" t="s">
        <v>256</v>
      </c>
      <c r="AG329" s="2"/>
      <c r="AH329" s="44">
        <f>1-COS(RADIANS(TA[[#This Row],[Avg. Target Angle during Fault Time (Radians)]]-TA[[#This Row],[Angle of affected equipment ]]))</f>
        <v>0.11705240714107301</v>
      </c>
      <c r="AI329" s="35">
        <f>IFERROR(TA[[#This Row],[Breakdown Time]]*TA[[#This Row],[Plant Equivalent Weightage]],"")</f>
        <v>0</v>
      </c>
    </row>
    <row r="330" spans="1:35">
      <c r="A330" s="2">
        <f t="shared" si="16"/>
        <v>327</v>
      </c>
      <c r="B330" s="156">
        <f t="shared" si="17"/>
        <v>2026</v>
      </c>
      <c r="C330" s="129">
        <f t="shared" si="18"/>
        <v>2025</v>
      </c>
      <c r="D330" s="2" t="s">
        <v>155</v>
      </c>
      <c r="E330" s="2" t="s">
        <v>155</v>
      </c>
      <c r="F330" s="39">
        <v>45748</v>
      </c>
      <c r="G330" s="2">
        <f>DAY(EOMONTH(TA[[#This Row],[Month Year]],0))</f>
        <v>30</v>
      </c>
      <c r="H330" s="21">
        <v>45767</v>
      </c>
      <c r="I330" s="41">
        <f>IFERROR(VLOOKUP(TA[[#This Row],[Date]],Raw_Data[[Date]:[Sunset Time (POA&lt;20 W/m2)]],3,0),"")</f>
        <v>0.25833333333333336</v>
      </c>
      <c r="J330" s="41">
        <f>IFERROR(VLOOKUP(TA[[#This Row],[Date]],Raw_Data[[Date]:[Sunset Time (POA&lt;20 W/m2)]],4,0),"")</f>
        <v>0.76875000000000004</v>
      </c>
      <c r="K330" s="35">
        <f>IFERROR((TA[[#This Row],[Sunset Time (POA&lt;20 W/m2)]]-TA[[#This Row],[Sunrise Time (POA&gt;20 W/m2)]])*24,"")</f>
        <v>12.250000000000002</v>
      </c>
      <c r="L330" s="2" t="s">
        <v>294</v>
      </c>
      <c r="M330" s="42">
        <f>IFERROR(VLOOKUP(TA[[#This Row],[Affected Equipment]],'Basic Data'!$I$2:$K$40,3,0),"")</f>
        <v>1.7241379310344799E-3</v>
      </c>
      <c r="N330">
        <v>-28</v>
      </c>
      <c r="O330" t="s">
        <v>135</v>
      </c>
      <c r="P330" s="127" t="s">
        <v>318</v>
      </c>
      <c r="Q330" s="126" t="s">
        <v>318</v>
      </c>
      <c r="R330">
        <v>131</v>
      </c>
      <c r="S330" s="2">
        <v>39</v>
      </c>
      <c r="T330" t="s">
        <v>295</v>
      </c>
      <c r="U330" t="s">
        <v>300</v>
      </c>
      <c r="V330" t="s">
        <v>298</v>
      </c>
      <c r="W330" s="41"/>
      <c r="X330" s="41"/>
      <c r="Y330" s="34"/>
      <c r="Z330" s="34"/>
      <c r="AA330" s="35">
        <f>IF(TA[[#This Row],[Work Start time on Fault]]="NA","",(TA[[#This Row],[Fault Acknowledgement Time ]]-TA[[#This Row],[Fault Time]])*24)</f>
        <v>0</v>
      </c>
      <c r="AB330" s="35">
        <f>(TA[[#This Row],[Work Start time on Fault]]-TA[[#This Row],[Fault Time]])*24</f>
        <v>0</v>
      </c>
      <c r="AC330" s="34">
        <f>(TA[[#This Row],[Work Completion time on fault]]-TA[[#This Row],[Fault Time]])*24</f>
        <v>0</v>
      </c>
      <c r="AD330" s="35">
        <f>IFERROR((TA[[#This Row],[Work Completion time on fault]]-TA[[#This Row],[Fault Time]])*24,"")</f>
        <v>0</v>
      </c>
      <c r="AE330" t="s">
        <v>328</v>
      </c>
      <c r="AF330" t="s">
        <v>256</v>
      </c>
      <c r="AG330" s="2"/>
      <c r="AH330" s="44">
        <f>1-COS(RADIANS(TA[[#This Row],[Avg. Target Angle during Fault Time (Radians)]]-TA[[#This Row],[Angle of affected equipment ]]))</f>
        <v>0.11705240714107301</v>
      </c>
      <c r="AI330" s="35">
        <f>IFERROR(TA[[#This Row],[Breakdown Time]]*TA[[#This Row],[Plant Equivalent Weightage]],"")</f>
        <v>0</v>
      </c>
    </row>
    <row r="331" spans="1:35">
      <c r="A331" s="2">
        <f t="shared" si="16"/>
        <v>328</v>
      </c>
      <c r="B331" s="156">
        <f t="shared" si="17"/>
        <v>2026</v>
      </c>
      <c r="C331" s="129">
        <f t="shared" si="18"/>
        <v>2025</v>
      </c>
      <c r="D331" s="2" t="s">
        <v>155</v>
      </c>
      <c r="E331" s="2" t="s">
        <v>155</v>
      </c>
      <c r="F331" s="39">
        <v>45748</v>
      </c>
      <c r="G331" s="2">
        <f>DAY(EOMONTH(TA[[#This Row],[Month Year]],0))</f>
        <v>30</v>
      </c>
      <c r="H331" s="21">
        <v>45767</v>
      </c>
      <c r="I331" s="41">
        <f>IFERROR(VLOOKUP(TA[[#This Row],[Date]],Raw_Data[[Date]:[Sunset Time (POA&lt;20 W/m2)]],3,0),"")</f>
        <v>0.25833333333333336</v>
      </c>
      <c r="J331" s="41">
        <f>IFERROR(VLOOKUP(TA[[#This Row],[Date]],Raw_Data[[Date]:[Sunset Time (POA&lt;20 W/m2)]],4,0),"")</f>
        <v>0.76875000000000004</v>
      </c>
      <c r="K331" s="35">
        <f>IFERROR((TA[[#This Row],[Sunset Time (POA&lt;20 W/m2)]]-TA[[#This Row],[Sunrise Time (POA&gt;20 W/m2)]])*24,"")</f>
        <v>12.250000000000002</v>
      </c>
      <c r="L331" s="2" t="s">
        <v>296</v>
      </c>
      <c r="M331" s="42">
        <f>IFERROR(VLOOKUP(TA[[#This Row],[Affected Equipment]],'Basic Data'!$I$2:$K$40,3,0),"")</f>
        <v>8.6206896551724102E-3</v>
      </c>
      <c r="N331">
        <v>-28</v>
      </c>
      <c r="O331" t="s">
        <v>135</v>
      </c>
      <c r="P331" s="127" t="s">
        <v>318</v>
      </c>
      <c r="Q331" s="2" t="s">
        <v>321</v>
      </c>
      <c r="R331">
        <v>133</v>
      </c>
      <c r="S331" s="2">
        <v>26</v>
      </c>
      <c r="T331" t="s">
        <v>297</v>
      </c>
      <c r="U331" t="s">
        <v>300</v>
      </c>
      <c r="V331" t="s">
        <v>314</v>
      </c>
      <c r="W331" s="41"/>
      <c r="X331" s="41"/>
      <c r="Y331" s="34"/>
      <c r="Z331" s="34"/>
      <c r="AA331" s="35">
        <f>IF(TA[[#This Row],[Work Start time on Fault]]="NA","",(TA[[#This Row],[Fault Acknowledgement Time ]]-TA[[#This Row],[Fault Time]])*24)</f>
        <v>0</v>
      </c>
      <c r="AB331" s="35">
        <f>(TA[[#This Row],[Work Start time on Fault]]-TA[[#This Row],[Fault Time]])*24</f>
        <v>0</v>
      </c>
      <c r="AC331" s="34">
        <f>(TA[[#This Row],[Work Completion time on fault]]-TA[[#This Row],[Fault Time]])*24</f>
        <v>0</v>
      </c>
      <c r="AD331" s="35">
        <f>IFERROR((TA[[#This Row],[Work Completion time on fault]]-TA[[#This Row],[Fault Time]])*24,"")</f>
        <v>0</v>
      </c>
      <c r="AE331" t="s">
        <v>328</v>
      </c>
      <c r="AF331" t="s">
        <v>256</v>
      </c>
      <c r="AG331" s="2"/>
      <c r="AH331" s="44">
        <f>1-COS(RADIANS(TA[[#This Row],[Avg. Target Angle during Fault Time (Radians)]]-TA[[#This Row],[Angle of affected equipment ]]))</f>
        <v>0.11705240714107301</v>
      </c>
      <c r="AI331" s="35">
        <f>IFERROR(TA[[#This Row],[Breakdown Time]]*TA[[#This Row],[Plant Equivalent Weightage]],"")</f>
        <v>0</v>
      </c>
    </row>
    <row r="332" spans="1:35">
      <c r="A332" s="2">
        <f t="shared" si="16"/>
        <v>329</v>
      </c>
      <c r="B332" s="156">
        <f t="shared" si="17"/>
        <v>2026</v>
      </c>
      <c r="C332" s="129">
        <f t="shared" si="18"/>
        <v>2025</v>
      </c>
      <c r="D332" s="2" t="s">
        <v>155</v>
      </c>
      <c r="E332" s="2" t="s">
        <v>155</v>
      </c>
      <c r="F332" s="39">
        <v>45748</v>
      </c>
      <c r="G332" s="2">
        <f>DAY(EOMONTH(TA[[#This Row],[Month Year]],0))</f>
        <v>30</v>
      </c>
      <c r="H332" s="21">
        <v>45767</v>
      </c>
      <c r="I332" s="41">
        <f>IFERROR(VLOOKUP(TA[[#This Row],[Date]],Raw_Data[[Date]:[Sunset Time (POA&lt;20 W/m2)]],3,0),"")</f>
        <v>0.25833333333333336</v>
      </c>
      <c r="J332" s="41">
        <f>IFERROR(VLOOKUP(TA[[#This Row],[Date]],Raw_Data[[Date]:[Sunset Time (POA&lt;20 W/m2)]],4,0),"")</f>
        <v>0.76875000000000004</v>
      </c>
      <c r="K332" s="35">
        <f>IFERROR((TA[[#This Row],[Sunset Time (POA&lt;20 W/m2)]]-TA[[#This Row],[Sunrise Time (POA&gt;20 W/m2)]])*24,"")</f>
        <v>12.250000000000002</v>
      </c>
      <c r="L332" s="2" t="s">
        <v>294</v>
      </c>
      <c r="M332" s="42">
        <f>IFERROR(VLOOKUP(TA[[#This Row],[Affected Equipment]],'Basic Data'!$I$2:$K$40,3,0),"")</f>
        <v>1.7241379310344799E-3</v>
      </c>
      <c r="N332">
        <v>-28</v>
      </c>
      <c r="O332" t="s">
        <v>133</v>
      </c>
      <c r="P332" s="127" t="s">
        <v>316</v>
      </c>
      <c r="Q332" s="126" t="s">
        <v>317</v>
      </c>
      <c r="R332">
        <v>7</v>
      </c>
      <c r="S332" s="2">
        <v>32</v>
      </c>
      <c r="T332" t="s">
        <v>295</v>
      </c>
      <c r="U332" t="s">
        <v>300</v>
      </c>
      <c r="V332" t="s">
        <v>298</v>
      </c>
      <c r="W332" s="41"/>
      <c r="X332" s="41"/>
      <c r="Y332" s="34"/>
      <c r="Z332" s="34"/>
      <c r="AA332" s="35">
        <f>IF(TA[[#This Row],[Work Start time on Fault]]="NA","",(TA[[#This Row],[Fault Acknowledgement Time ]]-TA[[#This Row],[Fault Time]])*24)</f>
        <v>0</v>
      </c>
      <c r="AB332" s="35">
        <f>(TA[[#This Row],[Work Start time on Fault]]-TA[[#This Row],[Fault Time]])*24</f>
        <v>0</v>
      </c>
      <c r="AC332" s="34">
        <f>(TA[[#This Row],[Work Completion time on fault]]-TA[[#This Row],[Fault Time]])*24</f>
        <v>0</v>
      </c>
      <c r="AD332" s="35">
        <f>IFERROR((TA[[#This Row],[Work Completion time on fault]]-TA[[#This Row],[Fault Time]])*24,"")</f>
        <v>0</v>
      </c>
      <c r="AE332" t="s">
        <v>328</v>
      </c>
      <c r="AF332" t="s">
        <v>256</v>
      </c>
      <c r="AG332" s="2"/>
      <c r="AH332" s="44">
        <f>1-COS(RADIANS(TA[[#This Row],[Avg. Target Angle during Fault Time (Radians)]]-TA[[#This Row],[Angle of affected equipment ]]))</f>
        <v>0.11705240714107301</v>
      </c>
      <c r="AI332" s="35">
        <f>IFERROR(TA[[#This Row],[Breakdown Time]]*TA[[#This Row],[Plant Equivalent Weightage]],"")</f>
        <v>0</v>
      </c>
    </row>
    <row r="333" spans="1:35">
      <c r="A333" s="2">
        <f t="shared" si="16"/>
        <v>330</v>
      </c>
      <c r="B333" s="156">
        <f t="shared" si="17"/>
        <v>2026</v>
      </c>
      <c r="C333" s="129">
        <f t="shared" si="18"/>
        <v>2025</v>
      </c>
      <c r="D333" s="2" t="s">
        <v>155</v>
      </c>
      <c r="E333" s="2" t="s">
        <v>155</v>
      </c>
      <c r="F333" s="39">
        <v>45748</v>
      </c>
      <c r="G333" s="2">
        <f>DAY(EOMONTH(TA[[#This Row],[Month Year]],0))</f>
        <v>30</v>
      </c>
      <c r="H333" s="21">
        <v>45767</v>
      </c>
      <c r="I333" s="41">
        <f>IFERROR(VLOOKUP(TA[[#This Row],[Date]],Raw_Data[[Date]:[Sunset Time (POA&lt;20 W/m2)]],3,0),"")</f>
        <v>0.25833333333333336</v>
      </c>
      <c r="J333" s="41">
        <f>IFERROR(VLOOKUP(TA[[#This Row],[Date]],Raw_Data[[Date]:[Sunset Time (POA&lt;20 W/m2)]],4,0),"")</f>
        <v>0.76875000000000004</v>
      </c>
      <c r="K333" s="35">
        <f>IFERROR((TA[[#This Row],[Sunset Time (POA&lt;20 W/m2)]]-TA[[#This Row],[Sunrise Time (POA&gt;20 W/m2)]])*24,"")</f>
        <v>12.250000000000002</v>
      </c>
      <c r="L333" s="2" t="s">
        <v>294</v>
      </c>
      <c r="M333" s="42">
        <f>IFERROR(VLOOKUP(TA[[#This Row],[Affected Equipment]],'Basic Data'!$I$2:$K$40,3,0),"")</f>
        <v>1.7241379310344799E-3</v>
      </c>
      <c r="N333">
        <v>-28</v>
      </c>
      <c r="O333" t="s">
        <v>137</v>
      </c>
      <c r="P333" s="127" t="s">
        <v>315</v>
      </c>
      <c r="Q333" s="126" t="s">
        <v>319</v>
      </c>
      <c r="R333">
        <v>166</v>
      </c>
      <c r="S333" s="2">
        <v>91</v>
      </c>
      <c r="T333" t="s">
        <v>295</v>
      </c>
      <c r="U333" t="s">
        <v>300</v>
      </c>
      <c r="V333" t="s">
        <v>298</v>
      </c>
      <c r="W333" s="41"/>
      <c r="X333" s="41"/>
      <c r="Y333" s="34"/>
      <c r="Z333" s="34"/>
      <c r="AA333" s="35">
        <f>IF(TA[[#This Row],[Work Start time on Fault]]="NA","",(TA[[#This Row],[Fault Acknowledgement Time ]]-TA[[#This Row],[Fault Time]])*24)</f>
        <v>0</v>
      </c>
      <c r="AB333" s="35">
        <f>(TA[[#This Row],[Work Start time on Fault]]-TA[[#This Row],[Fault Time]])*24</f>
        <v>0</v>
      </c>
      <c r="AC333" s="34">
        <f>(TA[[#This Row],[Work Completion time on fault]]-TA[[#This Row],[Fault Time]])*24</f>
        <v>0</v>
      </c>
      <c r="AD333" s="35">
        <f>IFERROR((TA[[#This Row],[Work Completion time on fault]]-TA[[#This Row],[Fault Time]])*24,"")</f>
        <v>0</v>
      </c>
      <c r="AE333" t="s">
        <v>328</v>
      </c>
      <c r="AF333" t="s">
        <v>256</v>
      </c>
      <c r="AG333" s="2"/>
      <c r="AH333" s="44">
        <f>1-COS(RADIANS(TA[[#This Row],[Avg. Target Angle during Fault Time (Radians)]]-TA[[#This Row],[Angle of affected equipment ]]))</f>
        <v>0.11705240714107301</v>
      </c>
      <c r="AI333" s="35">
        <f>IFERROR(TA[[#This Row],[Breakdown Time]]*TA[[#This Row],[Plant Equivalent Weightage]],"")</f>
        <v>0</v>
      </c>
    </row>
    <row r="334" spans="1:35">
      <c r="A334" s="2">
        <f t="shared" si="16"/>
        <v>331</v>
      </c>
      <c r="B334" s="156">
        <f t="shared" si="17"/>
        <v>2026</v>
      </c>
      <c r="C334" s="129">
        <f t="shared" si="18"/>
        <v>2025</v>
      </c>
      <c r="D334" s="2" t="s">
        <v>155</v>
      </c>
      <c r="E334" s="2" t="s">
        <v>155</v>
      </c>
      <c r="F334" s="39">
        <v>45748</v>
      </c>
      <c r="G334" s="2">
        <f>DAY(EOMONTH(TA[[#This Row],[Month Year]],0))</f>
        <v>30</v>
      </c>
      <c r="H334" s="21">
        <v>45767</v>
      </c>
      <c r="I334" s="41">
        <f>IFERROR(VLOOKUP(TA[[#This Row],[Date]],Raw_Data[[Date]:[Sunset Time (POA&lt;20 W/m2)]],3,0),"")</f>
        <v>0.25833333333333336</v>
      </c>
      <c r="J334" s="41">
        <f>IFERROR(VLOOKUP(TA[[#This Row],[Date]],Raw_Data[[Date]:[Sunset Time (POA&lt;20 W/m2)]],4,0),"")</f>
        <v>0.76875000000000004</v>
      </c>
      <c r="K334" s="35">
        <f>IFERROR((TA[[#This Row],[Sunset Time (POA&lt;20 W/m2)]]-TA[[#This Row],[Sunrise Time (POA&gt;20 W/m2)]])*24,"")</f>
        <v>12.250000000000002</v>
      </c>
      <c r="L334" s="2" t="s">
        <v>294</v>
      </c>
      <c r="M334" s="42">
        <f>IFERROR(VLOOKUP(TA[[#This Row],[Affected Equipment]],'Basic Data'!$I$2:$K$40,3,0),"")</f>
        <v>1.7241379310344799E-3</v>
      </c>
      <c r="N334">
        <v>-28</v>
      </c>
      <c r="O334" t="s">
        <v>133</v>
      </c>
      <c r="P334" s="127" t="s">
        <v>316</v>
      </c>
      <c r="Q334" s="126" t="s">
        <v>316</v>
      </c>
      <c r="R334">
        <v>117</v>
      </c>
      <c r="S334" s="2">
        <v>20</v>
      </c>
      <c r="T334" t="s">
        <v>295</v>
      </c>
      <c r="U334" t="s">
        <v>300</v>
      </c>
      <c r="V334" t="s">
        <v>298</v>
      </c>
      <c r="W334" s="41"/>
      <c r="X334" s="41"/>
      <c r="Y334" s="34"/>
      <c r="Z334" s="34"/>
      <c r="AA334" s="35">
        <f>IF(TA[[#This Row],[Work Start time on Fault]]="NA","",(TA[[#This Row],[Fault Acknowledgement Time ]]-TA[[#This Row],[Fault Time]])*24)</f>
        <v>0</v>
      </c>
      <c r="AB334" s="35">
        <f>(TA[[#This Row],[Work Start time on Fault]]-TA[[#This Row],[Fault Time]])*24</f>
        <v>0</v>
      </c>
      <c r="AC334" s="34">
        <f>(TA[[#This Row],[Work Completion time on fault]]-TA[[#This Row],[Fault Time]])*24</f>
        <v>0</v>
      </c>
      <c r="AD334" s="35">
        <f>IFERROR((TA[[#This Row],[Work Completion time on fault]]-TA[[#This Row],[Fault Time]])*24,"")</f>
        <v>0</v>
      </c>
      <c r="AE334" t="s">
        <v>328</v>
      </c>
      <c r="AF334" t="s">
        <v>256</v>
      </c>
      <c r="AG334" s="2"/>
      <c r="AH334" s="44">
        <f>1-COS(RADIANS(TA[[#This Row],[Avg. Target Angle during Fault Time (Radians)]]-TA[[#This Row],[Angle of affected equipment ]]))</f>
        <v>0.11705240714107301</v>
      </c>
      <c r="AI334" s="35">
        <f>IFERROR(TA[[#This Row],[Breakdown Time]]*TA[[#This Row],[Plant Equivalent Weightage]],"")</f>
        <v>0</v>
      </c>
    </row>
    <row r="335" spans="1:35">
      <c r="A335" s="2">
        <f t="shared" si="16"/>
        <v>332</v>
      </c>
      <c r="B335" s="156">
        <f t="shared" si="17"/>
        <v>2026</v>
      </c>
      <c r="C335" s="129">
        <f t="shared" si="18"/>
        <v>2025</v>
      </c>
      <c r="D335" s="2" t="s">
        <v>155</v>
      </c>
      <c r="E335" s="2" t="s">
        <v>155</v>
      </c>
      <c r="F335" s="39">
        <v>45748</v>
      </c>
      <c r="G335" s="2">
        <f>DAY(EOMONTH(TA[[#This Row],[Month Year]],0))</f>
        <v>30</v>
      </c>
      <c r="H335" s="21">
        <v>45767</v>
      </c>
      <c r="I335" s="41">
        <f>IFERROR(VLOOKUP(TA[[#This Row],[Date]],Raw_Data[[Date]:[Sunset Time (POA&lt;20 W/m2)]],3,0),"")</f>
        <v>0.25833333333333336</v>
      </c>
      <c r="J335" s="41">
        <f>IFERROR(VLOOKUP(TA[[#This Row],[Date]],Raw_Data[[Date]:[Sunset Time (POA&lt;20 W/m2)]],4,0),"")</f>
        <v>0.76875000000000004</v>
      </c>
      <c r="K335" s="35">
        <f>IFERROR((TA[[#This Row],[Sunset Time (POA&lt;20 W/m2)]]-TA[[#This Row],[Sunrise Time (POA&gt;20 W/m2)]])*24,"")</f>
        <v>12.250000000000002</v>
      </c>
      <c r="L335" s="2" t="s">
        <v>294</v>
      </c>
      <c r="M335" s="42">
        <f>IFERROR(VLOOKUP(TA[[#This Row],[Affected Equipment]],'Basic Data'!$I$2:$K$40,3,0),"")</f>
        <v>1.7241379310344799E-3</v>
      </c>
      <c r="N335">
        <v>-28</v>
      </c>
      <c r="O335" t="s">
        <v>133</v>
      </c>
      <c r="P335" s="127" t="s">
        <v>316</v>
      </c>
      <c r="Q335" s="126" t="s">
        <v>316</v>
      </c>
      <c r="R335">
        <v>118</v>
      </c>
      <c r="S335" s="2">
        <v>22</v>
      </c>
      <c r="T335" t="s">
        <v>295</v>
      </c>
      <c r="U335" t="s">
        <v>300</v>
      </c>
      <c r="V335" t="s">
        <v>298</v>
      </c>
      <c r="W335" s="41"/>
      <c r="X335" s="41"/>
      <c r="Y335" s="34"/>
      <c r="Z335" s="34"/>
      <c r="AA335" s="35">
        <f>IF(TA[[#This Row],[Work Start time on Fault]]="NA","",(TA[[#This Row],[Fault Acknowledgement Time ]]-TA[[#This Row],[Fault Time]])*24)</f>
        <v>0</v>
      </c>
      <c r="AB335" s="35">
        <f>(TA[[#This Row],[Work Start time on Fault]]-TA[[#This Row],[Fault Time]])*24</f>
        <v>0</v>
      </c>
      <c r="AC335" s="34">
        <f>(TA[[#This Row],[Work Completion time on fault]]-TA[[#This Row],[Fault Time]])*24</f>
        <v>0</v>
      </c>
      <c r="AD335" s="35">
        <f>IFERROR((TA[[#This Row],[Work Completion time on fault]]-TA[[#This Row],[Fault Time]])*24,"")</f>
        <v>0</v>
      </c>
      <c r="AE335" t="s">
        <v>328</v>
      </c>
      <c r="AF335" t="s">
        <v>256</v>
      </c>
      <c r="AG335" s="2"/>
      <c r="AH335" s="44">
        <f>1-COS(RADIANS(TA[[#This Row],[Avg. Target Angle during Fault Time (Radians)]]-TA[[#This Row],[Angle of affected equipment ]]))</f>
        <v>0.11705240714107301</v>
      </c>
      <c r="AI335" s="35">
        <f>IFERROR(TA[[#This Row],[Breakdown Time]]*TA[[#This Row],[Plant Equivalent Weightage]],"")</f>
        <v>0</v>
      </c>
    </row>
    <row r="336" spans="1:35">
      <c r="A336" s="2">
        <f t="shared" si="16"/>
        <v>333</v>
      </c>
      <c r="B336" s="156">
        <f t="shared" si="17"/>
        <v>2026</v>
      </c>
      <c r="C336" s="129">
        <f t="shared" si="18"/>
        <v>2025</v>
      </c>
      <c r="D336" s="2" t="s">
        <v>155</v>
      </c>
      <c r="E336" s="2" t="s">
        <v>155</v>
      </c>
      <c r="F336" s="39">
        <v>45748</v>
      </c>
      <c r="G336" s="2">
        <f>DAY(EOMONTH(TA[[#This Row],[Month Year]],0))</f>
        <v>30</v>
      </c>
      <c r="H336" s="21">
        <v>45767</v>
      </c>
      <c r="I336" s="41">
        <f>IFERROR(VLOOKUP(TA[[#This Row],[Date]],Raw_Data[[Date]:[Sunset Time (POA&lt;20 W/m2)]],3,0),"")</f>
        <v>0.25833333333333336</v>
      </c>
      <c r="J336" s="41">
        <f>IFERROR(VLOOKUP(TA[[#This Row],[Date]],Raw_Data[[Date]:[Sunset Time (POA&lt;20 W/m2)]],4,0),"")</f>
        <v>0.76875000000000004</v>
      </c>
      <c r="K336" s="35">
        <f>IFERROR((TA[[#This Row],[Sunset Time (POA&lt;20 W/m2)]]-TA[[#This Row],[Sunrise Time (POA&gt;20 W/m2)]])*24,"")</f>
        <v>12.250000000000002</v>
      </c>
      <c r="L336" s="2" t="s">
        <v>296</v>
      </c>
      <c r="M336" s="42">
        <f>IFERROR(VLOOKUP(TA[[#This Row],[Affected Equipment]],'Basic Data'!$I$2:$K$40,3,0),"")</f>
        <v>8.6206896551724102E-3</v>
      </c>
      <c r="N336">
        <v>-28</v>
      </c>
      <c r="O336" t="s">
        <v>135</v>
      </c>
      <c r="P336" s="22" t="s">
        <v>323</v>
      </c>
      <c r="Q336" s="2" t="s">
        <v>329</v>
      </c>
      <c r="R336">
        <v>45</v>
      </c>
      <c r="S336" s="2">
        <v>8</v>
      </c>
      <c r="T336" t="s">
        <v>297</v>
      </c>
      <c r="U336" t="s">
        <v>326</v>
      </c>
      <c r="V336" t="s">
        <v>301</v>
      </c>
      <c r="W336" s="41">
        <f>IFERROR(VLOOKUP(TA[[#This Row],[Date]],Raw_Data[[Date]:[Sunset Time (POA&lt;20 W/m2)]],3,0),"")</f>
        <v>0.25833333333333336</v>
      </c>
      <c r="X336" s="41">
        <f>IFERROR(VLOOKUP(TA[[#This Row],[Date]],Raw_Data[[Date]:[Sunset Time (POA&lt;20 W/m2)]],3,0),"")</f>
        <v>0.25833333333333336</v>
      </c>
      <c r="Y336" s="34"/>
      <c r="Z336" s="34">
        <v>0.76041666666666663</v>
      </c>
      <c r="AA336" s="35">
        <f>IF(TA[[#This Row],[Work Start time on Fault]]="NA","",(TA[[#This Row],[Fault Acknowledgement Time ]]-TA[[#This Row],[Fault Time]])*24)</f>
        <v>0</v>
      </c>
      <c r="AB336" s="35">
        <f>(TA[[#This Row],[Work Start time on Fault]]-TA[[#This Row],[Fault Time]])*24</f>
        <v>-6.2000000000000011</v>
      </c>
      <c r="AC336" s="34">
        <f>(TA[[#This Row],[Work Completion time on fault]]-TA[[#This Row],[Fault Time]])*24</f>
        <v>12.049999999999997</v>
      </c>
      <c r="AD336" s="35">
        <f>IFERROR((TA[[#This Row],[Work Completion time on fault]]-TA[[#This Row],[Fault Time]])*24,"")</f>
        <v>12.049999999999997</v>
      </c>
      <c r="AE336" t="s">
        <v>309</v>
      </c>
      <c r="AF336" t="s">
        <v>256</v>
      </c>
      <c r="AG336" s="2"/>
      <c r="AH336" s="44">
        <f>1-COS(RADIANS(TA[[#This Row],[Avg. Target Angle during Fault Time (Radians)]]-TA[[#This Row],[Angle of affected equipment ]]))</f>
        <v>0.11705240714107301</v>
      </c>
      <c r="AI336" s="35">
        <f>IFERROR(TA[[#This Row],[Breakdown Time]]*TA[[#This Row],[Plant Equivalent Weightage]],"")</f>
        <v>0.10387931034482752</v>
      </c>
    </row>
    <row r="337" spans="1:35">
      <c r="A337" s="2">
        <f t="shared" si="16"/>
        <v>334</v>
      </c>
      <c r="B337" s="156">
        <f t="shared" si="17"/>
        <v>2026</v>
      </c>
      <c r="C337" s="129">
        <f t="shared" si="18"/>
        <v>2025</v>
      </c>
      <c r="D337" s="2" t="s">
        <v>155</v>
      </c>
      <c r="E337" s="2" t="s">
        <v>155</v>
      </c>
      <c r="F337" s="39">
        <v>45748</v>
      </c>
      <c r="G337" s="2">
        <f>DAY(EOMONTH(TA[[#This Row],[Month Year]],0))</f>
        <v>30</v>
      </c>
      <c r="H337" s="21">
        <v>45767</v>
      </c>
      <c r="I337" s="41">
        <f>IFERROR(VLOOKUP(TA[[#This Row],[Date]],Raw_Data[[Date]:[Sunset Time (POA&lt;20 W/m2)]],3,0),"")</f>
        <v>0.25833333333333336</v>
      </c>
      <c r="J337" s="41">
        <f>IFERROR(VLOOKUP(TA[[#This Row],[Date]],Raw_Data[[Date]:[Sunset Time (POA&lt;20 W/m2)]],4,0),"")</f>
        <v>0.76875000000000004</v>
      </c>
      <c r="K337" s="35">
        <f>IFERROR((TA[[#This Row],[Sunset Time (POA&lt;20 W/m2)]]-TA[[#This Row],[Sunrise Time (POA&gt;20 W/m2)]])*24,"")</f>
        <v>12.250000000000002</v>
      </c>
      <c r="L337" s="2" t="s">
        <v>296</v>
      </c>
      <c r="M337" s="42">
        <f>IFERROR(VLOOKUP(TA[[#This Row],[Affected Equipment]],'Basic Data'!$I$2:$K$40,3,0),"")</f>
        <v>8.6206896551724102E-3</v>
      </c>
      <c r="N337">
        <v>-28</v>
      </c>
      <c r="O337" t="s">
        <v>135</v>
      </c>
      <c r="P337" s="22" t="s">
        <v>323</v>
      </c>
      <c r="Q337" s="2" t="s">
        <v>329</v>
      </c>
      <c r="R337">
        <v>47</v>
      </c>
      <c r="S337" s="2">
        <v>18</v>
      </c>
      <c r="T337" t="s">
        <v>297</v>
      </c>
      <c r="U337" t="s">
        <v>326</v>
      </c>
      <c r="V337" t="s">
        <v>301</v>
      </c>
      <c r="W337" s="41">
        <f>IFERROR(VLOOKUP(TA[[#This Row],[Date]],Raw_Data[[Date]:[Sunset Time (POA&lt;20 W/m2)]],3,0),"")</f>
        <v>0.25833333333333336</v>
      </c>
      <c r="X337" s="41">
        <f>IFERROR(VLOOKUP(TA[[#This Row],[Date]],Raw_Data[[Date]:[Sunset Time (POA&lt;20 W/m2)]],3,0),"")</f>
        <v>0.25833333333333336</v>
      </c>
      <c r="Y337" s="34"/>
      <c r="Z337" s="34">
        <v>0.76041666666666663</v>
      </c>
      <c r="AA337" s="35">
        <f>IF(TA[[#This Row],[Work Start time on Fault]]="NA","",(TA[[#This Row],[Fault Acknowledgement Time ]]-TA[[#This Row],[Fault Time]])*24)</f>
        <v>0</v>
      </c>
      <c r="AB337" s="35">
        <f>(TA[[#This Row],[Work Start time on Fault]]-TA[[#This Row],[Fault Time]])*24</f>
        <v>-6.2000000000000011</v>
      </c>
      <c r="AC337" s="34">
        <f>(TA[[#This Row],[Work Completion time on fault]]-TA[[#This Row],[Fault Time]])*24</f>
        <v>12.049999999999997</v>
      </c>
      <c r="AD337" s="35">
        <f>IFERROR((TA[[#This Row],[Work Completion time on fault]]-TA[[#This Row],[Fault Time]])*24,"")</f>
        <v>12.049999999999997</v>
      </c>
      <c r="AE337" t="s">
        <v>309</v>
      </c>
      <c r="AF337" t="s">
        <v>256</v>
      </c>
      <c r="AG337" s="2"/>
      <c r="AH337" s="44">
        <f>1-COS(RADIANS(TA[[#This Row],[Avg. Target Angle during Fault Time (Radians)]]-TA[[#This Row],[Angle of affected equipment ]]))</f>
        <v>0.11705240714107301</v>
      </c>
      <c r="AI337" s="35">
        <f>IFERROR(TA[[#This Row],[Breakdown Time]]*TA[[#This Row],[Plant Equivalent Weightage]],"")</f>
        <v>0.10387931034482752</v>
      </c>
    </row>
    <row r="338" spans="1:35">
      <c r="A338" s="2">
        <f t="shared" si="16"/>
        <v>335</v>
      </c>
      <c r="B338" s="156">
        <f t="shared" si="17"/>
        <v>2026</v>
      </c>
      <c r="C338" s="129">
        <f t="shared" si="18"/>
        <v>2025</v>
      </c>
      <c r="D338" s="2" t="s">
        <v>155</v>
      </c>
      <c r="E338" s="2" t="s">
        <v>155</v>
      </c>
      <c r="F338" s="39">
        <v>45748</v>
      </c>
      <c r="G338" s="2">
        <f>DAY(EOMONTH(TA[[#This Row],[Month Year]],0))</f>
        <v>30</v>
      </c>
      <c r="H338" s="21">
        <v>45767</v>
      </c>
      <c r="I338" s="41">
        <f>IFERROR(VLOOKUP(TA[[#This Row],[Date]],Raw_Data[[Date]:[Sunset Time (POA&lt;20 W/m2)]],3,0),"")</f>
        <v>0.25833333333333336</v>
      </c>
      <c r="J338" s="41">
        <f>IFERROR(VLOOKUP(TA[[#This Row],[Date]],Raw_Data[[Date]:[Sunset Time (POA&lt;20 W/m2)]],4,0),"")</f>
        <v>0.76875000000000004</v>
      </c>
      <c r="K338" s="35">
        <f>IFERROR((TA[[#This Row],[Sunset Time (POA&lt;20 W/m2)]]-TA[[#This Row],[Sunrise Time (POA&gt;20 W/m2)]])*24,"")</f>
        <v>12.250000000000002</v>
      </c>
      <c r="L338" s="2" t="s">
        <v>296</v>
      </c>
      <c r="M338" s="42">
        <f>IFERROR(VLOOKUP(TA[[#This Row],[Affected Equipment]],'Basic Data'!$I$2:$K$40,3,0),"")</f>
        <v>8.6206896551724102E-3</v>
      </c>
      <c r="N338">
        <v>-28</v>
      </c>
      <c r="O338" t="s">
        <v>134</v>
      </c>
      <c r="P338" s="22" t="s">
        <v>330</v>
      </c>
      <c r="Q338" s="2" t="s">
        <v>323</v>
      </c>
      <c r="R338">
        <v>30</v>
      </c>
      <c r="S338" s="2">
        <v>57</v>
      </c>
      <c r="T338" t="s">
        <v>297</v>
      </c>
      <c r="U338" t="s">
        <v>326</v>
      </c>
      <c r="V338" t="s">
        <v>301</v>
      </c>
      <c r="W338" s="41">
        <f>IFERROR(VLOOKUP(TA[[#This Row],[Date]],Raw_Data[[Date]:[Sunset Time (POA&lt;20 W/m2)]],3,0),"")</f>
        <v>0.25833333333333336</v>
      </c>
      <c r="X338" s="41">
        <f>IFERROR(VLOOKUP(TA[[#This Row],[Date]],Raw_Data[[Date]:[Sunset Time (POA&lt;20 W/m2)]],3,0),"")</f>
        <v>0.25833333333333336</v>
      </c>
      <c r="Y338" s="34"/>
      <c r="Z338" s="34">
        <v>0.76041666666666663</v>
      </c>
      <c r="AA338" s="35">
        <f>IF(TA[[#This Row],[Work Start time on Fault]]="NA","",(TA[[#This Row],[Fault Acknowledgement Time ]]-TA[[#This Row],[Fault Time]])*24)</f>
        <v>0</v>
      </c>
      <c r="AB338" s="35">
        <f>(TA[[#This Row],[Work Start time on Fault]]-TA[[#This Row],[Fault Time]])*24</f>
        <v>-6.2000000000000011</v>
      </c>
      <c r="AC338" s="34">
        <f>(TA[[#This Row],[Work Completion time on fault]]-TA[[#This Row],[Fault Time]])*24</f>
        <v>12.049999999999997</v>
      </c>
      <c r="AD338" s="35">
        <f>IFERROR((TA[[#This Row],[Work Completion time on fault]]-TA[[#This Row],[Fault Time]])*24,"")</f>
        <v>12.049999999999997</v>
      </c>
      <c r="AE338" t="s">
        <v>309</v>
      </c>
      <c r="AF338" t="s">
        <v>256</v>
      </c>
      <c r="AG338" s="2"/>
      <c r="AH338" s="44">
        <f>1-COS(RADIANS(TA[[#This Row],[Avg. Target Angle during Fault Time (Radians)]]-TA[[#This Row],[Angle of affected equipment ]]))</f>
        <v>0.11705240714107301</v>
      </c>
      <c r="AI338" s="35">
        <f>IFERROR(TA[[#This Row],[Breakdown Time]]*TA[[#This Row],[Plant Equivalent Weightage]],"")</f>
        <v>0.10387931034482752</v>
      </c>
    </row>
    <row r="339" spans="1:35">
      <c r="A339" s="2">
        <f t="shared" si="16"/>
        <v>336</v>
      </c>
      <c r="B339" s="156">
        <f t="shared" si="17"/>
        <v>2026</v>
      </c>
      <c r="C339" s="129">
        <f t="shared" si="18"/>
        <v>2025</v>
      </c>
      <c r="D339" s="2" t="s">
        <v>155</v>
      </c>
      <c r="E339" s="2" t="s">
        <v>155</v>
      </c>
      <c r="F339" s="39">
        <v>45748</v>
      </c>
      <c r="G339" s="2">
        <f>DAY(EOMONTH(TA[[#This Row],[Month Year]],0))</f>
        <v>30</v>
      </c>
      <c r="H339" s="21">
        <v>45767</v>
      </c>
      <c r="I339" s="41">
        <f>IFERROR(VLOOKUP(TA[[#This Row],[Date]],Raw_Data[[Date]:[Sunset Time (POA&lt;20 W/m2)]],3,0),"")</f>
        <v>0.25833333333333336</v>
      </c>
      <c r="J339" s="41">
        <f>IFERROR(VLOOKUP(TA[[#This Row],[Date]],Raw_Data[[Date]:[Sunset Time (POA&lt;20 W/m2)]],4,0),"")</f>
        <v>0.76875000000000004</v>
      </c>
      <c r="K339" s="35">
        <f>IFERROR((TA[[#This Row],[Sunset Time (POA&lt;20 W/m2)]]-TA[[#This Row],[Sunrise Time (POA&gt;20 W/m2)]])*24,"")</f>
        <v>12.250000000000002</v>
      </c>
      <c r="L339" s="2" t="s">
        <v>296</v>
      </c>
      <c r="M339" s="42">
        <f>IFERROR(VLOOKUP(TA[[#This Row],[Affected Equipment]],'Basic Data'!$I$2:$K$40,3,0),"")</f>
        <v>8.6206896551724102E-3</v>
      </c>
      <c r="N339">
        <v>-28</v>
      </c>
      <c r="O339" t="s">
        <v>134</v>
      </c>
      <c r="P339" s="22" t="s">
        <v>330</v>
      </c>
      <c r="Q339" s="2" t="s">
        <v>323</v>
      </c>
      <c r="R339">
        <v>31</v>
      </c>
      <c r="S339" s="2">
        <v>61</v>
      </c>
      <c r="T339" t="s">
        <v>297</v>
      </c>
      <c r="U339" t="s">
        <v>326</v>
      </c>
      <c r="V339" t="s">
        <v>301</v>
      </c>
      <c r="W339" s="41">
        <f>IFERROR(VLOOKUP(TA[[#This Row],[Date]],Raw_Data[[Date]:[Sunset Time (POA&lt;20 W/m2)]],3,0),"")</f>
        <v>0.25833333333333336</v>
      </c>
      <c r="X339" s="41">
        <f>IFERROR(VLOOKUP(TA[[#This Row],[Date]],Raw_Data[[Date]:[Sunset Time (POA&lt;20 W/m2)]],3,0),"")</f>
        <v>0.25833333333333336</v>
      </c>
      <c r="Y339" s="34"/>
      <c r="Z339" s="34">
        <v>0.76041666666666663</v>
      </c>
      <c r="AA339" s="35">
        <f>IF(TA[[#This Row],[Work Start time on Fault]]="NA","",(TA[[#This Row],[Fault Acknowledgement Time ]]-TA[[#This Row],[Fault Time]])*24)</f>
        <v>0</v>
      </c>
      <c r="AB339" s="35">
        <f>(TA[[#This Row],[Work Start time on Fault]]-TA[[#This Row],[Fault Time]])*24</f>
        <v>-6.2000000000000011</v>
      </c>
      <c r="AC339" s="34">
        <f>(TA[[#This Row],[Work Completion time on fault]]-TA[[#This Row],[Fault Time]])*24</f>
        <v>12.049999999999997</v>
      </c>
      <c r="AD339" s="35">
        <f>IFERROR((TA[[#This Row],[Work Completion time on fault]]-TA[[#This Row],[Fault Time]])*24,"")</f>
        <v>12.049999999999997</v>
      </c>
      <c r="AE339" t="s">
        <v>309</v>
      </c>
      <c r="AF339" t="s">
        <v>256</v>
      </c>
      <c r="AG339" s="2"/>
      <c r="AH339" s="44">
        <f>1-COS(RADIANS(TA[[#This Row],[Avg. Target Angle during Fault Time (Radians)]]-TA[[#This Row],[Angle of affected equipment ]]))</f>
        <v>0.11705240714107301</v>
      </c>
      <c r="AI339" s="35">
        <f>IFERROR(TA[[#This Row],[Breakdown Time]]*TA[[#This Row],[Plant Equivalent Weightage]],"")</f>
        <v>0.10387931034482752</v>
      </c>
    </row>
    <row r="340" spans="1:35">
      <c r="A340" s="2">
        <f t="shared" si="16"/>
        <v>337</v>
      </c>
      <c r="B340" s="156">
        <f t="shared" si="17"/>
        <v>2026</v>
      </c>
      <c r="C340" s="129">
        <f t="shared" si="18"/>
        <v>2025</v>
      </c>
      <c r="D340" s="2" t="s">
        <v>155</v>
      </c>
      <c r="E340" s="2" t="s">
        <v>155</v>
      </c>
      <c r="F340" s="39">
        <v>45748</v>
      </c>
      <c r="G340" s="2">
        <f>DAY(EOMONTH(TA[[#This Row],[Month Year]],0))</f>
        <v>30</v>
      </c>
      <c r="H340" s="21">
        <v>45767</v>
      </c>
      <c r="I340" s="41">
        <f>IFERROR(VLOOKUP(TA[[#This Row],[Date]],Raw_Data[[Date]:[Sunset Time (POA&lt;20 W/m2)]],3,0),"")</f>
        <v>0.25833333333333336</v>
      </c>
      <c r="J340" s="41">
        <f>IFERROR(VLOOKUP(TA[[#This Row],[Date]],Raw_Data[[Date]:[Sunset Time (POA&lt;20 W/m2)]],4,0),"")</f>
        <v>0.76875000000000004</v>
      </c>
      <c r="K340" s="35">
        <f>IFERROR((TA[[#This Row],[Sunset Time (POA&lt;20 W/m2)]]-TA[[#This Row],[Sunrise Time (POA&gt;20 W/m2)]])*24,"")</f>
        <v>12.250000000000002</v>
      </c>
      <c r="L340" s="2" t="s">
        <v>312</v>
      </c>
      <c r="M340" s="42">
        <f>IFERROR(VLOOKUP(TA[[#This Row],[Affected Equipment]],'Basic Data'!$I$2:$K$40,3,0),"")</f>
        <v>5.74712643678161E-3</v>
      </c>
      <c r="N340">
        <v>-28</v>
      </c>
      <c r="O340" t="s">
        <v>133</v>
      </c>
      <c r="P340" s="22" t="s">
        <v>330</v>
      </c>
      <c r="Q340" s="2" t="s">
        <v>323</v>
      </c>
      <c r="R340">
        <v>26</v>
      </c>
      <c r="S340" s="2">
        <v>37</v>
      </c>
      <c r="T340" t="s">
        <v>297</v>
      </c>
      <c r="U340" t="s">
        <v>326</v>
      </c>
      <c r="V340" t="s">
        <v>301</v>
      </c>
      <c r="W340" s="41">
        <f>IFERROR(VLOOKUP(TA[[#This Row],[Date]],Raw_Data[[Date]:[Sunset Time (POA&lt;20 W/m2)]],3,0),"")</f>
        <v>0.25833333333333336</v>
      </c>
      <c r="X340" s="41">
        <f>IFERROR(VLOOKUP(TA[[#This Row],[Date]],Raw_Data[[Date]:[Sunset Time (POA&lt;20 W/m2)]],3,0),"")</f>
        <v>0.25833333333333336</v>
      </c>
      <c r="Y340" s="34"/>
      <c r="Z340" s="34">
        <v>0.76041666666666663</v>
      </c>
      <c r="AA340" s="35">
        <f>IF(TA[[#This Row],[Work Start time on Fault]]="NA","",(TA[[#This Row],[Fault Acknowledgement Time ]]-TA[[#This Row],[Fault Time]])*24)</f>
        <v>0</v>
      </c>
      <c r="AB340" s="35">
        <f>(TA[[#This Row],[Work Start time on Fault]]-TA[[#This Row],[Fault Time]])*24</f>
        <v>-6.2000000000000011</v>
      </c>
      <c r="AC340" s="34">
        <f>(TA[[#This Row],[Work Completion time on fault]]-TA[[#This Row],[Fault Time]])*24</f>
        <v>12.049999999999997</v>
      </c>
      <c r="AD340" s="35">
        <f>IFERROR((TA[[#This Row],[Work Completion time on fault]]-TA[[#This Row],[Fault Time]])*24,"")</f>
        <v>12.049999999999997</v>
      </c>
      <c r="AE340" t="s">
        <v>309</v>
      </c>
      <c r="AF340" t="s">
        <v>256</v>
      </c>
      <c r="AG340" s="2"/>
      <c r="AH340" s="44">
        <f>1-COS(RADIANS(TA[[#This Row],[Avg. Target Angle during Fault Time (Radians)]]-TA[[#This Row],[Angle of affected equipment ]]))</f>
        <v>0.11705240714107301</v>
      </c>
      <c r="AI340" s="35">
        <f>IFERROR(TA[[#This Row],[Breakdown Time]]*TA[[#This Row],[Plant Equivalent Weightage]],"")</f>
        <v>6.9252873563218381E-2</v>
      </c>
    </row>
    <row r="341" spans="1:35">
      <c r="A341" s="2">
        <f t="shared" si="16"/>
        <v>338</v>
      </c>
      <c r="B341" s="156">
        <f t="shared" si="17"/>
        <v>2026</v>
      </c>
      <c r="C341" s="129">
        <f t="shared" si="18"/>
        <v>2025</v>
      </c>
      <c r="D341" s="2" t="s">
        <v>155</v>
      </c>
      <c r="E341" s="2" t="s">
        <v>155</v>
      </c>
      <c r="F341" s="39">
        <v>45748</v>
      </c>
      <c r="G341" s="2">
        <f>DAY(EOMONTH(TA[[#This Row],[Month Year]],0))</f>
        <v>30</v>
      </c>
      <c r="H341" s="21">
        <v>45767</v>
      </c>
      <c r="I341" s="41">
        <f>IFERROR(VLOOKUP(TA[[#This Row],[Date]],Raw_Data[[Date]:[Sunset Time (POA&lt;20 W/m2)]],3,0),"")</f>
        <v>0.25833333333333336</v>
      </c>
      <c r="J341" s="41">
        <f>IFERROR(VLOOKUP(TA[[#This Row],[Date]],Raw_Data[[Date]:[Sunset Time (POA&lt;20 W/m2)]],4,0),"")</f>
        <v>0.76875000000000004</v>
      </c>
      <c r="K341" s="35">
        <f>IFERROR((TA[[#This Row],[Sunset Time (POA&lt;20 W/m2)]]-TA[[#This Row],[Sunrise Time (POA&gt;20 W/m2)]])*24,"")</f>
        <v>12.250000000000002</v>
      </c>
      <c r="L341" s="2" t="s">
        <v>312</v>
      </c>
      <c r="M341" s="42">
        <f>IFERROR(VLOOKUP(TA[[#This Row],[Affected Equipment]],'Basic Data'!$I$2:$K$40,3,0),"")</f>
        <v>5.74712643678161E-3</v>
      </c>
      <c r="N341">
        <v>-28</v>
      </c>
      <c r="O341" t="s">
        <v>133</v>
      </c>
      <c r="P341" s="22" t="s">
        <v>330</v>
      </c>
      <c r="Q341" s="2" t="s">
        <v>323</v>
      </c>
      <c r="R341">
        <v>27</v>
      </c>
      <c r="S341" s="2">
        <v>42</v>
      </c>
      <c r="T341" t="s">
        <v>297</v>
      </c>
      <c r="U341" t="s">
        <v>326</v>
      </c>
      <c r="V341" t="s">
        <v>301</v>
      </c>
      <c r="W341" s="41">
        <f>IFERROR(VLOOKUP(TA[[#This Row],[Date]],Raw_Data[[Date]:[Sunset Time (POA&lt;20 W/m2)]],3,0),"")</f>
        <v>0.25833333333333336</v>
      </c>
      <c r="X341" s="41">
        <f>IFERROR(VLOOKUP(TA[[#This Row],[Date]],Raw_Data[[Date]:[Sunset Time (POA&lt;20 W/m2)]],3,0),"")</f>
        <v>0.25833333333333336</v>
      </c>
      <c r="Y341" s="34"/>
      <c r="Z341" s="34">
        <v>0.76041666666666663</v>
      </c>
      <c r="AA341" s="35">
        <f>IF(TA[[#This Row],[Work Start time on Fault]]="NA","",(TA[[#This Row],[Fault Acknowledgement Time ]]-TA[[#This Row],[Fault Time]])*24)</f>
        <v>0</v>
      </c>
      <c r="AB341" s="35">
        <f>(TA[[#This Row],[Work Start time on Fault]]-TA[[#This Row],[Fault Time]])*24</f>
        <v>-6.2000000000000011</v>
      </c>
      <c r="AC341" s="34">
        <f>(TA[[#This Row],[Work Completion time on fault]]-TA[[#This Row],[Fault Time]])*24</f>
        <v>12.049999999999997</v>
      </c>
      <c r="AD341" s="35">
        <f>IFERROR((TA[[#This Row],[Work Completion time on fault]]-TA[[#This Row],[Fault Time]])*24,"")</f>
        <v>12.049999999999997</v>
      </c>
      <c r="AE341" t="s">
        <v>309</v>
      </c>
      <c r="AF341" t="s">
        <v>256</v>
      </c>
      <c r="AG341" s="2"/>
      <c r="AH341" s="44">
        <f>1-COS(RADIANS(TA[[#This Row],[Avg. Target Angle during Fault Time (Radians)]]-TA[[#This Row],[Angle of affected equipment ]]))</f>
        <v>0.11705240714107301</v>
      </c>
      <c r="AI341" s="35">
        <f>IFERROR(TA[[#This Row],[Breakdown Time]]*TA[[#This Row],[Plant Equivalent Weightage]],"")</f>
        <v>6.9252873563218381E-2</v>
      </c>
    </row>
    <row r="342" spans="1:35">
      <c r="A342" s="2">
        <f t="shared" si="16"/>
        <v>339</v>
      </c>
      <c r="B342" s="156">
        <f t="shared" si="17"/>
        <v>2026</v>
      </c>
      <c r="C342" s="129">
        <f t="shared" si="18"/>
        <v>2025</v>
      </c>
      <c r="D342" s="2" t="s">
        <v>155</v>
      </c>
      <c r="E342" s="2" t="s">
        <v>155</v>
      </c>
      <c r="F342" s="39">
        <v>45748</v>
      </c>
      <c r="G342" s="2">
        <f>DAY(EOMONTH(TA[[#This Row],[Month Year]],0))</f>
        <v>30</v>
      </c>
      <c r="H342" s="21">
        <v>45768</v>
      </c>
      <c r="I342" s="41">
        <f>IFERROR(VLOOKUP(TA[[#This Row],[Date]],Raw_Data[[Date]:[Sunset Time (POA&lt;20 W/m2)]],3,0),"")</f>
        <v>0.25555555555555554</v>
      </c>
      <c r="J342" s="41">
        <f>IFERROR(VLOOKUP(TA[[#This Row],[Date]],Raw_Data[[Date]:[Sunset Time (POA&lt;20 W/m2)]],4,0),"")</f>
        <v>0.75694444444444442</v>
      </c>
      <c r="K342" s="35">
        <f>IFERROR((TA[[#This Row],[Sunset Time (POA&lt;20 W/m2)]]-TA[[#This Row],[Sunrise Time (POA&gt;20 W/m2)]])*24,"")</f>
        <v>12.033333333333333</v>
      </c>
      <c r="L342" s="2" t="s">
        <v>294</v>
      </c>
      <c r="M342" s="42">
        <f>IFERROR(VLOOKUP(TA[[#This Row],[Affected Equipment]],'Basic Data'!$I$2:$K$40,3,0),"")</f>
        <v>1.7241379310344799E-3</v>
      </c>
      <c r="N342">
        <v>-28</v>
      </c>
      <c r="O342" t="s">
        <v>135</v>
      </c>
      <c r="P342" s="127" t="s">
        <v>318</v>
      </c>
      <c r="Q342" s="126" t="s">
        <v>318</v>
      </c>
      <c r="R342">
        <v>130</v>
      </c>
      <c r="S342" s="2">
        <v>37</v>
      </c>
      <c r="T342" t="s">
        <v>295</v>
      </c>
      <c r="U342" t="s">
        <v>300</v>
      </c>
      <c r="V342" t="s">
        <v>298</v>
      </c>
      <c r="W342" s="41"/>
      <c r="X342" s="41"/>
      <c r="Y342" s="34"/>
      <c r="Z342" s="34"/>
      <c r="AA342" s="35">
        <f>IF(TA[[#This Row],[Work Start time on Fault]]="NA","",(TA[[#This Row],[Fault Acknowledgement Time ]]-TA[[#This Row],[Fault Time]])*24)</f>
        <v>0</v>
      </c>
      <c r="AB342" s="35">
        <f>(TA[[#This Row],[Work Start time on Fault]]-TA[[#This Row],[Fault Time]])*24</f>
        <v>0</v>
      </c>
      <c r="AC342" s="34">
        <f>(TA[[#This Row],[Work Completion time on fault]]-TA[[#This Row],[Fault Time]])*24</f>
        <v>0</v>
      </c>
      <c r="AD342" s="35">
        <f>IFERROR((TA[[#This Row],[Work Completion time on fault]]-TA[[#This Row],[Fault Time]])*24,"")</f>
        <v>0</v>
      </c>
      <c r="AE342" t="s">
        <v>328</v>
      </c>
      <c r="AF342" t="s">
        <v>256</v>
      </c>
      <c r="AG342" s="2"/>
      <c r="AH342" s="44">
        <f>1-COS(RADIANS(TA[[#This Row],[Avg. Target Angle during Fault Time (Radians)]]-TA[[#This Row],[Angle of affected equipment ]]))</f>
        <v>0.11705240714107301</v>
      </c>
      <c r="AI342" s="35">
        <f>IFERROR(TA[[#This Row],[Breakdown Time]]*TA[[#This Row],[Plant Equivalent Weightage]],"")</f>
        <v>0</v>
      </c>
    </row>
    <row r="343" spans="1:35">
      <c r="A343" s="2">
        <f t="shared" si="16"/>
        <v>340</v>
      </c>
      <c r="B343" s="156">
        <f t="shared" si="17"/>
        <v>2026</v>
      </c>
      <c r="C343" s="129">
        <f t="shared" si="18"/>
        <v>2025</v>
      </c>
      <c r="D343" s="2" t="s">
        <v>155</v>
      </c>
      <c r="E343" s="2" t="s">
        <v>155</v>
      </c>
      <c r="F343" s="39">
        <v>45748</v>
      </c>
      <c r="G343" s="2">
        <f>DAY(EOMONTH(TA[[#This Row],[Month Year]],0))</f>
        <v>30</v>
      </c>
      <c r="H343" s="21">
        <v>45768</v>
      </c>
      <c r="I343" s="41">
        <f>IFERROR(VLOOKUP(TA[[#This Row],[Date]],Raw_Data[[Date]:[Sunset Time (POA&lt;20 W/m2)]],3,0),"")</f>
        <v>0.25555555555555554</v>
      </c>
      <c r="J343" s="41">
        <f>IFERROR(VLOOKUP(TA[[#This Row],[Date]],Raw_Data[[Date]:[Sunset Time (POA&lt;20 W/m2)]],4,0),"")</f>
        <v>0.75694444444444442</v>
      </c>
      <c r="K343" s="35">
        <f>IFERROR((TA[[#This Row],[Sunset Time (POA&lt;20 W/m2)]]-TA[[#This Row],[Sunrise Time (POA&gt;20 W/m2)]])*24,"")</f>
        <v>12.033333333333333</v>
      </c>
      <c r="L343" s="2" t="s">
        <v>294</v>
      </c>
      <c r="M343" s="42">
        <f>IFERROR(VLOOKUP(TA[[#This Row],[Affected Equipment]],'Basic Data'!$I$2:$K$40,3,0),"")</f>
        <v>1.7241379310344799E-3</v>
      </c>
      <c r="N343">
        <v>-28</v>
      </c>
      <c r="O343" t="s">
        <v>135</v>
      </c>
      <c r="P343" s="127" t="s">
        <v>318</v>
      </c>
      <c r="Q343" s="126" t="s">
        <v>318</v>
      </c>
      <c r="R343">
        <v>131</v>
      </c>
      <c r="S343" s="2">
        <v>38</v>
      </c>
      <c r="T343" t="s">
        <v>295</v>
      </c>
      <c r="U343" t="s">
        <v>300</v>
      </c>
      <c r="V343" t="s">
        <v>298</v>
      </c>
      <c r="W343" s="41"/>
      <c r="X343" s="41"/>
      <c r="Y343" s="34"/>
      <c r="Z343" s="34"/>
      <c r="AA343" s="35">
        <f>IF(TA[[#This Row],[Work Start time on Fault]]="NA","",(TA[[#This Row],[Fault Acknowledgement Time ]]-TA[[#This Row],[Fault Time]])*24)</f>
        <v>0</v>
      </c>
      <c r="AB343" s="35">
        <f>(TA[[#This Row],[Work Start time on Fault]]-TA[[#This Row],[Fault Time]])*24</f>
        <v>0</v>
      </c>
      <c r="AC343" s="34">
        <f>(TA[[#This Row],[Work Completion time on fault]]-TA[[#This Row],[Fault Time]])*24</f>
        <v>0</v>
      </c>
      <c r="AD343" s="35">
        <f>IFERROR((TA[[#This Row],[Work Completion time on fault]]-TA[[#This Row],[Fault Time]])*24,"")</f>
        <v>0</v>
      </c>
      <c r="AE343" t="s">
        <v>328</v>
      </c>
      <c r="AF343" t="s">
        <v>256</v>
      </c>
      <c r="AG343" s="2"/>
      <c r="AH343" s="44">
        <f>1-COS(RADIANS(TA[[#This Row],[Avg. Target Angle during Fault Time (Radians)]]-TA[[#This Row],[Angle of affected equipment ]]))</f>
        <v>0.11705240714107301</v>
      </c>
      <c r="AI343" s="35">
        <f>IFERROR(TA[[#This Row],[Breakdown Time]]*TA[[#This Row],[Plant Equivalent Weightage]],"")</f>
        <v>0</v>
      </c>
    </row>
    <row r="344" spans="1:35">
      <c r="A344" s="2">
        <f t="shared" si="16"/>
        <v>341</v>
      </c>
      <c r="B344" s="156">
        <f t="shared" si="17"/>
        <v>2026</v>
      </c>
      <c r="C344" s="129">
        <f t="shared" si="18"/>
        <v>2025</v>
      </c>
      <c r="D344" s="2" t="s">
        <v>155</v>
      </c>
      <c r="E344" s="2" t="s">
        <v>155</v>
      </c>
      <c r="F344" s="39">
        <v>45748</v>
      </c>
      <c r="G344" s="2">
        <f>DAY(EOMONTH(TA[[#This Row],[Month Year]],0))</f>
        <v>30</v>
      </c>
      <c r="H344" s="21">
        <v>45768</v>
      </c>
      <c r="I344" s="41">
        <f>IFERROR(VLOOKUP(TA[[#This Row],[Date]],Raw_Data[[Date]:[Sunset Time (POA&lt;20 W/m2)]],3,0),"")</f>
        <v>0.25555555555555554</v>
      </c>
      <c r="J344" s="41">
        <f>IFERROR(VLOOKUP(TA[[#This Row],[Date]],Raw_Data[[Date]:[Sunset Time (POA&lt;20 W/m2)]],4,0),"")</f>
        <v>0.75694444444444442</v>
      </c>
      <c r="K344" s="35">
        <f>IFERROR((TA[[#This Row],[Sunset Time (POA&lt;20 W/m2)]]-TA[[#This Row],[Sunrise Time (POA&gt;20 W/m2)]])*24,"")</f>
        <v>12.033333333333333</v>
      </c>
      <c r="L344" s="2" t="s">
        <v>294</v>
      </c>
      <c r="M344" s="42">
        <f>IFERROR(VLOOKUP(TA[[#This Row],[Affected Equipment]],'Basic Data'!$I$2:$K$40,3,0),"")</f>
        <v>1.7241379310344799E-3</v>
      </c>
      <c r="N344">
        <v>-28</v>
      </c>
      <c r="O344" t="s">
        <v>135</v>
      </c>
      <c r="P344" s="127" t="s">
        <v>318</v>
      </c>
      <c r="Q344" s="126" t="s">
        <v>318</v>
      </c>
      <c r="R344">
        <v>131</v>
      </c>
      <c r="S344" s="2">
        <v>39</v>
      </c>
      <c r="T344" t="s">
        <v>295</v>
      </c>
      <c r="U344" t="s">
        <v>300</v>
      </c>
      <c r="V344" t="s">
        <v>298</v>
      </c>
      <c r="W344" s="41"/>
      <c r="X344" s="41"/>
      <c r="Y344" s="34"/>
      <c r="Z344" s="34"/>
      <c r="AA344" s="35">
        <f>IF(TA[[#This Row],[Work Start time on Fault]]="NA","",(TA[[#This Row],[Fault Acknowledgement Time ]]-TA[[#This Row],[Fault Time]])*24)</f>
        <v>0</v>
      </c>
      <c r="AB344" s="35">
        <f>(TA[[#This Row],[Work Start time on Fault]]-TA[[#This Row],[Fault Time]])*24</f>
        <v>0</v>
      </c>
      <c r="AC344" s="34">
        <f>(TA[[#This Row],[Work Completion time on fault]]-TA[[#This Row],[Fault Time]])*24</f>
        <v>0</v>
      </c>
      <c r="AD344" s="35">
        <f>IFERROR((TA[[#This Row],[Work Completion time on fault]]-TA[[#This Row],[Fault Time]])*24,"")</f>
        <v>0</v>
      </c>
      <c r="AE344" t="s">
        <v>328</v>
      </c>
      <c r="AF344" t="s">
        <v>256</v>
      </c>
      <c r="AG344" s="2"/>
      <c r="AH344" s="44">
        <f>1-COS(RADIANS(TA[[#This Row],[Avg. Target Angle during Fault Time (Radians)]]-TA[[#This Row],[Angle of affected equipment ]]))</f>
        <v>0.11705240714107301</v>
      </c>
      <c r="AI344" s="35">
        <f>IFERROR(TA[[#This Row],[Breakdown Time]]*TA[[#This Row],[Plant Equivalent Weightage]],"")</f>
        <v>0</v>
      </c>
    </row>
    <row r="345" spans="1:35">
      <c r="A345" s="2">
        <f t="shared" si="16"/>
        <v>342</v>
      </c>
      <c r="B345" s="156">
        <f t="shared" si="17"/>
        <v>2026</v>
      </c>
      <c r="C345" s="129">
        <f t="shared" si="18"/>
        <v>2025</v>
      </c>
      <c r="D345" s="2" t="s">
        <v>155</v>
      </c>
      <c r="E345" s="2" t="s">
        <v>155</v>
      </c>
      <c r="F345" s="39">
        <v>45748</v>
      </c>
      <c r="G345" s="2">
        <f>DAY(EOMONTH(TA[[#This Row],[Month Year]],0))</f>
        <v>30</v>
      </c>
      <c r="H345" s="21">
        <v>45768</v>
      </c>
      <c r="I345" s="41">
        <f>IFERROR(VLOOKUP(TA[[#This Row],[Date]],Raw_Data[[Date]:[Sunset Time (POA&lt;20 W/m2)]],3,0),"")</f>
        <v>0.25555555555555554</v>
      </c>
      <c r="J345" s="41">
        <f>IFERROR(VLOOKUP(TA[[#This Row],[Date]],Raw_Data[[Date]:[Sunset Time (POA&lt;20 W/m2)]],4,0),"")</f>
        <v>0.75694444444444442</v>
      </c>
      <c r="K345" s="35">
        <f>IFERROR((TA[[#This Row],[Sunset Time (POA&lt;20 W/m2)]]-TA[[#This Row],[Sunrise Time (POA&gt;20 W/m2)]])*24,"")</f>
        <v>12.033333333333333</v>
      </c>
      <c r="L345" s="2" t="s">
        <v>296</v>
      </c>
      <c r="M345" s="42">
        <f>IFERROR(VLOOKUP(TA[[#This Row],[Affected Equipment]],'Basic Data'!$I$2:$K$40,3,0),"")</f>
        <v>8.6206896551724102E-3</v>
      </c>
      <c r="N345">
        <v>-28</v>
      </c>
      <c r="O345" t="s">
        <v>135</v>
      </c>
      <c r="P345" s="127" t="s">
        <v>318</v>
      </c>
      <c r="Q345" s="2" t="s">
        <v>321</v>
      </c>
      <c r="R345">
        <v>133</v>
      </c>
      <c r="S345" s="2">
        <v>26</v>
      </c>
      <c r="T345" t="s">
        <v>297</v>
      </c>
      <c r="U345" t="s">
        <v>300</v>
      </c>
      <c r="V345" t="s">
        <v>314</v>
      </c>
      <c r="W345" s="41">
        <f>IFERROR(VLOOKUP(TA[[#This Row],[Date]],Raw_Data[[Date]:[Sunset Time (POA&lt;20 W/m2)]],3,0),"")</f>
        <v>0.25555555555555554</v>
      </c>
      <c r="X345" s="41">
        <f>IFERROR(VLOOKUP(TA[[#This Row],[Date]],Raw_Data[[Date]:[Sunset Time (POA&lt;20 W/m2)]],3,0),"")</f>
        <v>0.25555555555555554</v>
      </c>
      <c r="Y345" s="34"/>
      <c r="Z345" s="34">
        <v>0.76041666666666663</v>
      </c>
      <c r="AA345" s="35">
        <f>IF(TA[[#This Row],[Work Start time on Fault]]="NA","",(TA[[#This Row],[Fault Acknowledgement Time ]]-TA[[#This Row],[Fault Time]])*24)</f>
        <v>0</v>
      </c>
      <c r="AB345" s="35">
        <f>(TA[[#This Row],[Work Start time on Fault]]-TA[[#This Row],[Fault Time]])*24</f>
        <v>-6.1333333333333329</v>
      </c>
      <c r="AC345" s="34">
        <f>(TA[[#This Row],[Work Completion time on fault]]-TA[[#This Row],[Fault Time]])*24</f>
        <v>12.116666666666667</v>
      </c>
      <c r="AD345" s="35">
        <f>IFERROR((TA[[#This Row],[Work Completion time on fault]]-TA[[#This Row],[Fault Time]])*24,"")</f>
        <v>12.116666666666667</v>
      </c>
      <c r="AE345" t="s">
        <v>328</v>
      </c>
      <c r="AF345" t="s">
        <v>256</v>
      </c>
      <c r="AG345" s="2"/>
      <c r="AH345" s="44">
        <f>1-COS(RADIANS(TA[[#This Row],[Avg. Target Angle during Fault Time (Radians)]]-TA[[#This Row],[Angle of affected equipment ]]))</f>
        <v>0.11705240714107301</v>
      </c>
      <c r="AI345" s="35">
        <f>IFERROR(TA[[#This Row],[Breakdown Time]]*TA[[#This Row],[Plant Equivalent Weightage]],"")</f>
        <v>0.1044540229885057</v>
      </c>
    </row>
    <row r="346" spans="1:35">
      <c r="A346" s="2">
        <f t="shared" si="16"/>
        <v>343</v>
      </c>
      <c r="B346" s="156">
        <f t="shared" si="17"/>
        <v>2026</v>
      </c>
      <c r="C346" s="129">
        <f t="shared" si="18"/>
        <v>2025</v>
      </c>
      <c r="D346" s="2" t="s">
        <v>155</v>
      </c>
      <c r="E346" s="2" t="s">
        <v>155</v>
      </c>
      <c r="F346" s="39">
        <v>45748</v>
      </c>
      <c r="G346" s="2">
        <f>DAY(EOMONTH(TA[[#This Row],[Month Year]],0))</f>
        <v>30</v>
      </c>
      <c r="H346" s="21">
        <v>45768</v>
      </c>
      <c r="I346" s="41">
        <f>IFERROR(VLOOKUP(TA[[#This Row],[Date]],Raw_Data[[Date]:[Sunset Time (POA&lt;20 W/m2)]],3,0),"")</f>
        <v>0.25555555555555554</v>
      </c>
      <c r="J346" s="41">
        <f>IFERROR(VLOOKUP(TA[[#This Row],[Date]],Raw_Data[[Date]:[Sunset Time (POA&lt;20 W/m2)]],4,0),"")</f>
        <v>0.75694444444444442</v>
      </c>
      <c r="K346" s="35">
        <f>IFERROR((TA[[#This Row],[Sunset Time (POA&lt;20 W/m2)]]-TA[[#This Row],[Sunrise Time (POA&gt;20 W/m2)]])*24,"")</f>
        <v>12.033333333333333</v>
      </c>
      <c r="L346" s="2" t="s">
        <v>294</v>
      </c>
      <c r="M346" s="42">
        <f>IFERROR(VLOOKUP(TA[[#This Row],[Affected Equipment]],'Basic Data'!$I$2:$K$40,3,0),"")</f>
        <v>1.7241379310344799E-3</v>
      </c>
      <c r="N346">
        <v>-28</v>
      </c>
      <c r="O346" t="s">
        <v>133</v>
      </c>
      <c r="P346" s="127" t="s">
        <v>316</v>
      </c>
      <c r="Q346" s="126" t="s">
        <v>317</v>
      </c>
      <c r="R346">
        <v>7</v>
      </c>
      <c r="S346" s="2">
        <v>32</v>
      </c>
      <c r="T346" t="s">
        <v>295</v>
      </c>
      <c r="U346" t="s">
        <v>300</v>
      </c>
      <c r="V346" t="s">
        <v>298</v>
      </c>
      <c r="W346" s="41"/>
      <c r="X346" s="41"/>
      <c r="Y346" s="34"/>
      <c r="Z346" s="34"/>
      <c r="AA346" s="35">
        <f>IF(TA[[#This Row],[Work Start time on Fault]]="NA","",(TA[[#This Row],[Fault Acknowledgement Time ]]-TA[[#This Row],[Fault Time]])*24)</f>
        <v>0</v>
      </c>
      <c r="AB346" s="35">
        <f>(TA[[#This Row],[Work Start time on Fault]]-TA[[#This Row],[Fault Time]])*24</f>
        <v>0</v>
      </c>
      <c r="AC346" s="34">
        <f>(TA[[#This Row],[Work Completion time on fault]]-TA[[#This Row],[Fault Time]])*24</f>
        <v>0</v>
      </c>
      <c r="AD346" s="35">
        <f>IFERROR((TA[[#This Row],[Work Completion time on fault]]-TA[[#This Row],[Fault Time]])*24,"")</f>
        <v>0</v>
      </c>
      <c r="AE346" t="s">
        <v>328</v>
      </c>
      <c r="AF346" t="s">
        <v>256</v>
      </c>
      <c r="AG346" s="2"/>
      <c r="AH346" s="44">
        <f>1-COS(RADIANS(TA[[#This Row],[Avg. Target Angle during Fault Time (Radians)]]-TA[[#This Row],[Angle of affected equipment ]]))</f>
        <v>0.11705240714107301</v>
      </c>
      <c r="AI346" s="35">
        <f>IFERROR(TA[[#This Row],[Breakdown Time]]*TA[[#This Row],[Plant Equivalent Weightage]],"")</f>
        <v>0</v>
      </c>
    </row>
    <row r="347" spans="1:35">
      <c r="A347" s="2">
        <f t="shared" si="16"/>
        <v>344</v>
      </c>
      <c r="B347" s="156">
        <f t="shared" si="17"/>
        <v>2026</v>
      </c>
      <c r="C347" s="129">
        <f t="shared" si="18"/>
        <v>2025</v>
      </c>
      <c r="D347" s="2" t="s">
        <v>155</v>
      </c>
      <c r="E347" s="2" t="s">
        <v>155</v>
      </c>
      <c r="F347" s="39">
        <v>45748</v>
      </c>
      <c r="G347" s="2">
        <f>DAY(EOMONTH(TA[[#This Row],[Month Year]],0))</f>
        <v>30</v>
      </c>
      <c r="H347" s="21">
        <v>45768</v>
      </c>
      <c r="I347" s="41">
        <f>IFERROR(VLOOKUP(TA[[#This Row],[Date]],Raw_Data[[Date]:[Sunset Time (POA&lt;20 W/m2)]],3,0),"")</f>
        <v>0.25555555555555554</v>
      </c>
      <c r="J347" s="41">
        <f>IFERROR(VLOOKUP(TA[[#This Row],[Date]],Raw_Data[[Date]:[Sunset Time (POA&lt;20 W/m2)]],4,0),"")</f>
        <v>0.75694444444444442</v>
      </c>
      <c r="K347" s="35">
        <f>IFERROR((TA[[#This Row],[Sunset Time (POA&lt;20 W/m2)]]-TA[[#This Row],[Sunrise Time (POA&gt;20 W/m2)]])*24,"")</f>
        <v>12.033333333333333</v>
      </c>
      <c r="L347" s="2" t="s">
        <v>294</v>
      </c>
      <c r="M347" s="42">
        <f>IFERROR(VLOOKUP(TA[[#This Row],[Affected Equipment]],'Basic Data'!$I$2:$K$40,3,0),"")</f>
        <v>1.7241379310344799E-3</v>
      </c>
      <c r="N347">
        <v>-28</v>
      </c>
      <c r="O347" t="s">
        <v>137</v>
      </c>
      <c r="P347" s="127" t="s">
        <v>315</v>
      </c>
      <c r="Q347" s="126" t="s">
        <v>319</v>
      </c>
      <c r="R347">
        <v>166</v>
      </c>
      <c r="S347" s="2">
        <v>91</v>
      </c>
      <c r="T347" t="s">
        <v>295</v>
      </c>
      <c r="U347" t="s">
        <v>300</v>
      </c>
      <c r="V347" t="s">
        <v>298</v>
      </c>
      <c r="W347" s="41"/>
      <c r="X347" s="41"/>
      <c r="Y347" s="34"/>
      <c r="Z347" s="34"/>
      <c r="AA347" s="35">
        <f>IF(TA[[#This Row],[Work Start time on Fault]]="NA","",(TA[[#This Row],[Fault Acknowledgement Time ]]-TA[[#This Row],[Fault Time]])*24)</f>
        <v>0</v>
      </c>
      <c r="AB347" s="35">
        <f>(TA[[#This Row],[Work Start time on Fault]]-TA[[#This Row],[Fault Time]])*24</f>
        <v>0</v>
      </c>
      <c r="AC347" s="34">
        <f>(TA[[#This Row],[Work Completion time on fault]]-TA[[#This Row],[Fault Time]])*24</f>
        <v>0</v>
      </c>
      <c r="AD347" s="35">
        <f>IFERROR((TA[[#This Row],[Work Completion time on fault]]-TA[[#This Row],[Fault Time]])*24,"")</f>
        <v>0</v>
      </c>
      <c r="AE347" t="s">
        <v>328</v>
      </c>
      <c r="AF347" t="s">
        <v>256</v>
      </c>
      <c r="AG347" s="2"/>
      <c r="AH347" s="44">
        <f>1-COS(RADIANS(TA[[#This Row],[Avg. Target Angle during Fault Time (Radians)]]-TA[[#This Row],[Angle of affected equipment ]]))</f>
        <v>0.11705240714107301</v>
      </c>
      <c r="AI347" s="35">
        <f>IFERROR(TA[[#This Row],[Breakdown Time]]*TA[[#This Row],[Plant Equivalent Weightage]],"")</f>
        <v>0</v>
      </c>
    </row>
    <row r="348" spans="1:35">
      <c r="A348" s="2">
        <f t="shared" si="16"/>
        <v>345</v>
      </c>
      <c r="B348" s="156">
        <f t="shared" si="17"/>
        <v>2026</v>
      </c>
      <c r="C348" s="129">
        <f t="shared" si="18"/>
        <v>2025</v>
      </c>
      <c r="D348" s="2" t="s">
        <v>155</v>
      </c>
      <c r="E348" s="2" t="s">
        <v>155</v>
      </c>
      <c r="F348" s="39">
        <v>45748</v>
      </c>
      <c r="G348" s="2">
        <f>DAY(EOMONTH(TA[[#This Row],[Month Year]],0))</f>
        <v>30</v>
      </c>
      <c r="H348" s="21">
        <v>45768</v>
      </c>
      <c r="I348" s="41">
        <f>IFERROR(VLOOKUP(TA[[#This Row],[Date]],Raw_Data[[Date]:[Sunset Time (POA&lt;20 W/m2)]],3,0),"")</f>
        <v>0.25555555555555554</v>
      </c>
      <c r="J348" s="41">
        <f>IFERROR(VLOOKUP(TA[[#This Row],[Date]],Raw_Data[[Date]:[Sunset Time (POA&lt;20 W/m2)]],4,0),"")</f>
        <v>0.75694444444444442</v>
      </c>
      <c r="K348" s="35">
        <f>IFERROR((TA[[#This Row],[Sunset Time (POA&lt;20 W/m2)]]-TA[[#This Row],[Sunrise Time (POA&gt;20 W/m2)]])*24,"")</f>
        <v>12.033333333333333</v>
      </c>
      <c r="L348" s="2" t="s">
        <v>294</v>
      </c>
      <c r="M348" s="42">
        <f>IFERROR(VLOOKUP(TA[[#This Row],[Affected Equipment]],'Basic Data'!$I$2:$K$40,3,0),"")</f>
        <v>1.7241379310344799E-3</v>
      </c>
      <c r="N348">
        <v>-28</v>
      </c>
      <c r="O348" t="s">
        <v>133</v>
      </c>
      <c r="P348" s="127" t="s">
        <v>316</v>
      </c>
      <c r="Q348" s="126" t="s">
        <v>316</v>
      </c>
      <c r="R348">
        <v>117</v>
      </c>
      <c r="S348" s="2">
        <v>20</v>
      </c>
      <c r="T348" t="s">
        <v>295</v>
      </c>
      <c r="U348" t="s">
        <v>300</v>
      </c>
      <c r="V348" t="s">
        <v>298</v>
      </c>
      <c r="W348" s="41"/>
      <c r="X348" s="41"/>
      <c r="Y348" s="34"/>
      <c r="Z348" s="34"/>
      <c r="AA348" s="35">
        <f>IF(TA[[#This Row],[Work Start time on Fault]]="NA","",(TA[[#This Row],[Fault Acknowledgement Time ]]-TA[[#This Row],[Fault Time]])*24)</f>
        <v>0</v>
      </c>
      <c r="AB348" s="35">
        <f>(TA[[#This Row],[Work Start time on Fault]]-TA[[#This Row],[Fault Time]])*24</f>
        <v>0</v>
      </c>
      <c r="AC348" s="34">
        <f>(TA[[#This Row],[Work Completion time on fault]]-TA[[#This Row],[Fault Time]])*24</f>
        <v>0</v>
      </c>
      <c r="AD348" s="35">
        <f>IFERROR((TA[[#This Row],[Work Completion time on fault]]-TA[[#This Row],[Fault Time]])*24,"")</f>
        <v>0</v>
      </c>
      <c r="AE348" t="s">
        <v>328</v>
      </c>
      <c r="AF348" t="s">
        <v>256</v>
      </c>
      <c r="AG348" s="2"/>
      <c r="AH348" s="44">
        <f>1-COS(RADIANS(TA[[#This Row],[Avg. Target Angle during Fault Time (Radians)]]-TA[[#This Row],[Angle of affected equipment ]]))</f>
        <v>0.11705240714107301</v>
      </c>
      <c r="AI348" s="35">
        <f>IFERROR(TA[[#This Row],[Breakdown Time]]*TA[[#This Row],[Plant Equivalent Weightage]],"")</f>
        <v>0</v>
      </c>
    </row>
    <row r="349" spans="1:35">
      <c r="A349" s="2">
        <f t="shared" si="16"/>
        <v>346</v>
      </c>
      <c r="B349" s="156">
        <f t="shared" si="17"/>
        <v>2026</v>
      </c>
      <c r="C349" s="129">
        <f t="shared" si="18"/>
        <v>2025</v>
      </c>
      <c r="D349" s="2" t="s">
        <v>155</v>
      </c>
      <c r="E349" s="2" t="s">
        <v>155</v>
      </c>
      <c r="F349" s="39">
        <v>45748</v>
      </c>
      <c r="G349" s="2">
        <f>DAY(EOMONTH(TA[[#This Row],[Month Year]],0))</f>
        <v>30</v>
      </c>
      <c r="H349" s="21">
        <v>45768</v>
      </c>
      <c r="I349" s="41">
        <f>IFERROR(VLOOKUP(TA[[#This Row],[Date]],Raw_Data[[Date]:[Sunset Time (POA&lt;20 W/m2)]],3,0),"")</f>
        <v>0.25555555555555554</v>
      </c>
      <c r="J349" s="41">
        <f>IFERROR(VLOOKUP(TA[[#This Row],[Date]],Raw_Data[[Date]:[Sunset Time (POA&lt;20 W/m2)]],4,0),"")</f>
        <v>0.75694444444444442</v>
      </c>
      <c r="K349" s="35">
        <f>IFERROR((TA[[#This Row],[Sunset Time (POA&lt;20 W/m2)]]-TA[[#This Row],[Sunrise Time (POA&gt;20 W/m2)]])*24,"")</f>
        <v>12.033333333333333</v>
      </c>
      <c r="L349" s="2" t="s">
        <v>294</v>
      </c>
      <c r="M349" s="42">
        <f>IFERROR(VLOOKUP(TA[[#This Row],[Affected Equipment]],'Basic Data'!$I$2:$K$40,3,0),"")</f>
        <v>1.7241379310344799E-3</v>
      </c>
      <c r="N349">
        <v>-28</v>
      </c>
      <c r="O349" t="s">
        <v>133</v>
      </c>
      <c r="P349" s="127" t="s">
        <v>316</v>
      </c>
      <c r="Q349" s="126" t="s">
        <v>316</v>
      </c>
      <c r="R349">
        <v>118</v>
      </c>
      <c r="S349" s="2">
        <v>22</v>
      </c>
      <c r="T349" t="s">
        <v>295</v>
      </c>
      <c r="U349" t="s">
        <v>300</v>
      </c>
      <c r="V349" t="s">
        <v>298</v>
      </c>
      <c r="W349" s="41"/>
      <c r="X349" s="41"/>
      <c r="Y349" s="34"/>
      <c r="Z349" s="34"/>
      <c r="AA349" s="35">
        <f>IF(TA[[#This Row],[Work Start time on Fault]]="NA","",(TA[[#This Row],[Fault Acknowledgement Time ]]-TA[[#This Row],[Fault Time]])*24)</f>
        <v>0</v>
      </c>
      <c r="AB349" s="35">
        <f>(TA[[#This Row],[Work Start time on Fault]]-TA[[#This Row],[Fault Time]])*24</f>
        <v>0</v>
      </c>
      <c r="AC349" s="34">
        <f>(TA[[#This Row],[Work Completion time on fault]]-TA[[#This Row],[Fault Time]])*24</f>
        <v>0</v>
      </c>
      <c r="AD349" s="35">
        <f>IFERROR((TA[[#This Row],[Work Completion time on fault]]-TA[[#This Row],[Fault Time]])*24,"")</f>
        <v>0</v>
      </c>
      <c r="AE349" t="s">
        <v>328</v>
      </c>
      <c r="AF349" t="s">
        <v>256</v>
      </c>
      <c r="AG349" s="2"/>
      <c r="AH349" s="44">
        <f>1-COS(RADIANS(TA[[#This Row],[Avg. Target Angle during Fault Time (Radians)]]-TA[[#This Row],[Angle of affected equipment ]]))</f>
        <v>0.11705240714107301</v>
      </c>
      <c r="AI349" s="35">
        <f>IFERROR(TA[[#This Row],[Breakdown Time]]*TA[[#This Row],[Plant Equivalent Weightage]],"")</f>
        <v>0</v>
      </c>
    </row>
    <row r="350" spans="1:35">
      <c r="A350" s="2">
        <f t="shared" si="16"/>
        <v>347</v>
      </c>
      <c r="B350" s="156">
        <f t="shared" si="17"/>
        <v>2026</v>
      </c>
      <c r="C350" s="129">
        <f t="shared" si="18"/>
        <v>2025</v>
      </c>
      <c r="D350" s="2" t="s">
        <v>155</v>
      </c>
      <c r="E350" s="2" t="s">
        <v>155</v>
      </c>
      <c r="F350" s="39">
        <v>45748</v>
      </c>
      <c r="G350" s="2">
        <f>DAY(EOMONTH(TA[[#This Row],[Month Year]],0))</f>
        <v>30</v>
      </c>
      <c r="H350" s="21">
        <v>45768</v>
      </c>
      <c r="I350" s="41">
        <f>IFERROR(VLOOKUP(TA[[#This Row],[Date]],Raw_Data[[Date]:[Sunset Time (POA&lt;20 W/m2)]],3,0),"")</f>
        <v>0.25555555555555554</v>
      </c>
      <c r="J350" s="41">
        <f>IFERROR(VLOOKUP(TA[[#This Row],[Date]],Raw_Data[[Date]:[Sunset Time (POA&lt;20 W/m2)]],4,0),"")</f>
        <v>0.75694444444444442</v>
      </c>
      <c r="K350" s="35">
        <f>IFERROR((TA[[#This Row],[Sunset Time (POA&lt;20 W/m2)]]-TA[[#This Row],[Sunrise Time (POA&gt;20 W/m2)]])*24,"")</f>
        <v>12.033333333333333</v>
      </c>
      <c r="L350" s="2" t="s">
        <v>296</v>
      </c>
      <c r="M350" s="42">
        <f>IFERROR(VLOOKUP(TA[[#This Row],[Affected Equipment]],'Basic Data'!$I$2:$K$40,3,0),"")</f>
        <v>8.6206896551724102E-3</v>
      </c>
      <c r="N350">
        <v>-28</v>
      </c>
      <c r="O350" t="s">
        <v>135</v>
      </c>
      <c r="P350" s="22" t="s">
        <v>323</v>
      </c>
      <c r="Q350" s="2" t="s">
        <v>329</v>
      </c>
      <c r="R350">
        <v>45</v>
      </c>
      <c r="S350" s="2">
        <v>8</v>
      </c>
      <c r="T350" t="s">
        <v>297</v>
      </c>
      <c r="U350" t="s">
        <v>326</v>
      </c>
      <c r="V350" t="s">
        <v>301</v>
      </c>
      <c r="W350" s="41"/>
      <c r="X350" s="41"/>
      <c r="Y350" s="34"/>
      <c r="Z350" s="34"/>
      <c r="AA350" s="35">
        <f>IF(TA[[#This Row],[Work Start time on Fault]]="NA","",(TA[[#This Row],[Fault Acknowledgement Time ]]-TA[[#This Row],[Fault Time]])*24)</f>
        <v>0</v>
      </c>
      <c r="AB350" s="35">
        <f>(TA[[#This Row],[Work Start time on Fault]]-TA[[#This Row],[Fault Time]])*24</f>
        <v>0</v>
      </c>
      <c r="AC350" s="34">
        <f>(TA[[#This Row],[Work Completion time on fault]]-TA[[#This Row],[Fault Time]])*24</f>
        <v>0</v>
      </c>
      <c r="AD350" s="35">
        <f>IFERROR((TA[[#This Row],[Work Completion time on fault]]-TA[[#This Row],[Fault Time]])*24,"")</f>
        <v>0</v>
      </c>
      <c r="AE350" t="s">
        <v>328</v>
      </c>
      <c r="AF350" t="s">
        <v>256</v>
      </c>
      <c r="AG350" s="2"/>
      <c r="AH350" s="44">
        <f>1-COS(RADIANS(TA[[#This Row],[Avg. Target Angle during Fault Time (Radians)]]-TA[[#This Row],[Angle of affected equipment ]]))</f>
        <v>0.11705240714107301</v>
      </c>
      <c r="AI350" s="35">
        <f>IFERROR(TA[[#This Row],[Breakdown Time]]*TA[[#This Row],[Plant Equivalent Weightage]],"")</f>
        <v>0</v>
      </c>
    </row>
    <row r="351" spans="1:35">
      <c r="A351" s="2">
        <f t="shared" si="16"/>
        <v>348</v>
      </c>
      <c r="B351" s="156">
        <f t="shared" si="17"/>
        <v>2026</v>
      </c>
      <c r="C351" s="129">
        <f t="shared" si="18"/>
        <v>2025</v>
      </c>
      <c r="D351" s="2" t="s">
        <v>155</v>
      </c>
      <c r="E351" s="2" t="s">
        <v>155</v>
      </c>
      <c r="F351" s="39">
        <v>45748</v>
      </c>
      <c r="G351" s="2">
        <f>DAY(EOMONTH(TA[[#This Row],[Month Year]],0))</f>
        <v>30</v>
      </c>
      <c r="H351" s="21">
        <v>45768</v>
      </c>
      <c r="I351" s="41">
        <f>IFERROR(VLOOKUP(TA[[#This Row],[Date]],Raw_Data[[Date]:[Sunset Time (POA&lt;20 W/m2)]],3,0),"")</f>
        <v>0.25555555555555554</v>
      </c>
      <c r="J351" s="41">
        <f>IFERROR(VLOOKUP(TA[[#This Row],[Date]],Raw_Data[[Date]:[Sunset Time (POA&lt;20 W/m2)]],4,0),"")</f>
        <v>0.75694444444444442</v>
      </c>
      <c r="K351" s="35">
        <f>IFERROR((TA[[#This Row],[Sunset Time (POA&lt;20 W/m2)]]-TA[[#This Row],[Sunrise Time (POA&gt;20 W/m2)]])*24,"")</f>
        <v>12.033333333333333</v>
      </c>
      <c r="L351" s="2" t="s">
        <v>296</v>
      </c>
      <c r="M351" s="42">
        <f>IFERROR(VLOOKUP(TA[[#This Row],[Affected Equipment]],'Basic Data'!$I$2:$K$40,3,0),"")</f>
        <v>8.6206896551724102E-3</v>
      </c>
      <c r="N351">
        <v>-28</v>
      </c>
      <c r="O351" t="s">
        <v>135</v>
      </c>
      <c r="P351" s="22" t="s">
        <v>323</v>
      </c>
      <c r="Q351" s="2" t="s">
        <v>329</v>
      </c>
      <c r="R351">
        <v>47</v>
      </c>
      <c r="S351" s="2">
        <v>18</v>
      </c>
      <c r="T351" t="s">
        <v>297</v>
      </c>
      <c r="U351" t="s">
        <v>326</v>
      </c>
      <c r="V351" t="s">
        <v>301</v>
      </c>
      <c r="W351" s="41"/>
      <c r="X351" s="41"/>
      <c r="Y351" s="34"/>
      <c r="Z351" s="34"/>
      <c r="AA351" s="35">
        <f>IF(TA[[#This Row],[Work Start time on Fault]]="NA","",(TA[[#This Row],[Fault Acknowledgement Time ]]-TA[[#This Row],[Fault Time]])*24)</f>
        <v>0</v>
      </c>
      <c r="AB351" s="35">
        <f>(TA[[#This Row],[Work Start time on Fault]]-TA[[#This Row],[Fault Time]])*24</f>
        <v>0</v>
      </c>
      <c r="AC351" s="34">
        <f>(TA[[#This Row],[Work Completion time on fault]]-TA[[#This Row],[Fault Time]])*24</f>
        <v>0</v>
      </c>
      <c r="AD351" s="35">
        <f>IFERROR((TA[[#This Row],[Work Completion time on fault]]-TA[[#This Row],[Fault Time]])*24,"")</f>
        <v>0</v>
      </c>
      <c r="AE351" t="s">
        <v>328</v>
      </c>
      <c r="AF351" t="s">
        <v>256</v>
      </c>
      <c r="AG351" s="2"/>
      <c r="AH351" s="44">
        <f>1-COS(RADIANS(TA[[#This Row],[Avg. Target Angle during Fault Time (Radians)]]-TA[[#This Row],[Angle of affected equipment ]]))</f>
        <v>0.11705240714107301</v>
      </c>
      <c r="AI351" s="35">
        <f>IFERROR(TA[[#This Row],[Breakdown Time]]*TA[[#This Row],[Plant Equivalent Weightage]],"")</f>
        <v>0</v>
      </c>
    </row>
    <row r="352" spans="1:35">
      <c r="A352" s="2">
        <f t="shared" si="16"/>
        <v>349</v>
      </c>
      <c r="B352" s="156">
        <f t="shared" si="17"/>
        <v>2026</v>
      </c>
      <c r="C352" s="129">
        <f t="shared" si="18"/>
        <v>2025</v>
      </c>
      <c r="D352" s="2" t="s">
        <v>155</v>
      </c>
      <c r="E352" s="2" t="s">
        <v>155</v>
      </c>
      <c r="F352" s="39">
        <v>45748</v>
      </c>
      <c r="G352" s="2">
        <f>DAY(EOMONTH(TA[[#This Row],[Month Year]],0))</f>
        <v>30</v>
      </c>
      <c r="H352" s="21">
        <v>45768</v>
      </c>
      <c r="I352" s="41">
        <f>IFERROR(VLOOKUP(TA[[#This Row],[Date]],Raw_Data[[Date]:[Sunset Time (POA&lt;20 W/m2)]],3,0),"")</f>
        <v>0.25555555555555554</v>
      </c>
      <c r="J352" s="41">
        <f>IFERROR(VLOOKUP(TA[[#This Row],[Date]],Raw_Data[[Date]:[Sunset Time (POA&lt;20 W/m2)]],4,0),"")</f>
        <v>0.75694444444444442</v>
      </c>
      <c r="K352" s="35">
        <f>IFERROR((TA[[#This Row],[Sunset Time (POA&lt;20 W/m2)]]-TA[[#This Row],[Sunrise Time (POA&gt;20 W/m2)]])*24,"")</f>
        <v>12.033333333333333</v>
      </c>
      <c r="L352" s="2" t="s">
        <v>296</v>
      </c>
      <c r="M352" s="42">
        <f>IFERROR(VLOOKUP(TA[[#This Row],[Affected Equipment]],'Basic Data'!$I$2:$K$40,3,0),"")</f>
        <v>8.6206896551724102E-3</v>
      </c>
      <c r="N352">
        <v>-28</v>
      </c>
      <c r="O352" t="s">
        <v>134</v>
      </c>
      <c r="P352" s="22" t="s">
        <v>330</v>
      </c>
      <c r="Q352" s="2" t="s">
        <v>323</v>
      </c>
      <c r="R352">
        <v>30</v>
      </c>
      <c r="S352" s="2">
        <v>57</v>
      </c>
      <c r="T352" t="s">
        <v>297</v>
      </c>
      <c r="U352" t="s">
        <v>326</v>
      </c>
      <c r="V352" t="s">
        <v>301</v>
      </c>
      <c r="W352" s="41"/>
      <c r="X352" s="41"/>
      <c r="Y352" s="34"/>
      <c r="Z352" s="34"/>
      <c r="AA352" s="35">
        <f>IF(TA[[#This Row],[Work Start time on Fault]]="NA","",(TA[[#This Row],[Fault Acknowledgement Time ]]-TA[[#This Row],[Fault Time]])*24)</f>
        <v>0</v>
      </c>
      <c r="AB352" s="35">
        <f>(TA[[#This Row],[Work Start time on Fault]]-TA[[#This Row],[Fault Time]])*24</f>
        <v>0</v>
      </c>
      <c r="AC352" s="34">
        <f>(TA[[#This Row],[Work Completion time on fault]]-TA[[#This Row],[Fault Time]])*24</f>
        <v>0</v>
      </c>
      <c r="AD352" s="35">
        <f>IFERROR((TA[[#This Row],[Work Completion time on fault]]-TA[[#This Row],[Fault Time]])*24,"")</f>
        <v>0</v>
      </c>
      <c r="AE352" t="s">
        <v>328</v>
      </c>
      <c r="AF352" t="s">
        <v>256</v>
      </c>
      <c r="AG352" s="2"/>
      <c r="AH352" s="44">
        <f>1-COS(RADIANS(TA[[#This Row],[Avg. Target Angle during Fault Time (Radians)]]-TA[[#This Row],[Angle of affected equipment ]]))</f>
        <v>0.11705240714107301</v>
      </c>
      <c r="AI352" s="35">
        <f>IFERROR(TA[[#This Row],[Breakdown Time]]*TA[[#This Row],[Plant Equivalent Weightage]],"")</f>
        <v>0</v>
      </c>
    </row>
    <row r="353" spans="1:35">
      <c r="A353" s="2">
        <f t="shared" si="16"/>
        <v>350</v>
      </c>
      <c r="B353" s="156">
        <f t="shared" si="17"/>
        <v>2026</v>
      </c>
      <c r="C353" s="129">
        <f t="shared" si="18"/>
        <v>2025</v>
      </c>
      <c r="D353" s="2" t="s">
        <v>155</v>
      </c>
      <c r="E353" s="2" t="s">
        <v>155</v>
      </c>
      <c r="F353" s="39">
        <v>45748</v>
      </c>
      <c r="G353" s="2">
        <f>DAY(EOMONTH(TA[[#This Row],[Month Year]],0))</f>
        <v>30</v>
      </c>
      <c r="H353" s="21">
        <v>45768</v>
      </c>
      <c r="I353" s="41">
        <f>IFERROR(VLOOKUP(TA[[#This Row],[Date]],Raw_Data[[Date]:[Sunset Time (POA&lt;20 W/m2)]],3,0),"")</f>
        <v>0.25555555555555554</v>
      </c>
      <c r="J353" s="41">
        <f>IFERROR(VLOOKUP(TA[[#This Row],[Date]],Raw_Data[[Date]:[Sunset Time (POA&lt;20 W/m2)]],4,0),"")</f>
        <v>0.75694444444444442</v>
      </c>
      <c r="K353" s="35">
        <f>IFERROR((TA[[#This Row],[Sunset Time (POA&lt;20 W/m2)]]-TA[[#This Row],[Sunrise Time (POA&gt;20 W/m2)]])*24,"")</f>
        <v>12.033333333333333</v>
      </c>
      <c r="L353" s="2" t="s">
        <v>296</v>
      </c>
      <c r="M353" s="42">
        <f>IFERROR(VLOOKUP(TA[[#This Row],[Affected Equipment]],'Basic Data'!$I$2:$K$40,3,0),"")</f>
        <v>8.6206896551724102E-3</v>
      </c>
      <c r="N353">
        <v>-28</v>
      </c>
      <c r="O353" t="s">
        <v>134</v>
      </c>
      <c r="P353" s="22" t="s">
        <v>330</v>
      </c>
      <c r="Q353" s="2" t="s">
        <v>323</v>
      </c>
      <c r="R353">
        <v>31</v>
      </c>
      <c r="S353" s="2">
        <v>61</v>
      </c>
      <c r="T353" t="s">
        <v>297</v>
      </c>
      <c r="U353" t="s">
        <v>326</v>
      </c>
      <c r="V353" t="s">
        <v>301</v>
      </c>
      <c r="W353" s="41"/>
      <c r="X353" s="41"/>
      <c r="Y353" s="34"/>
      <c r="Z353" s="34"/>
      <c r="AA353" s="35">
        <f>IF(TA[[#This Row],[Work Start time on Fault]]="NA","",(TA[[#This Row],[Fault Acknowledgement Time ]]-TA[[#This Row],[Fault Time]])*24)</f>
        <v>0</v>
      </c>
      <c r="AB353" s="35">
        <f>(TA[[#This Row],[Work Start time on Fault]]-TA[[#This Row],[Fault Time]])*24</f>
        <v>0</v>
      </c>
      <c r="AC353" s="34">
        <f>(TA[[#This Row],[Work Completion time on fault]]-TA[[#This Row],[Fault Time]])*24</f>
        <v>0</v>
      </c>
      <c r="AD353" s="35">
        <f>IFERROR((TA[[#This Row],[Work Completion time on fault]]-TA[[#This Row],[Fault Time]])*24,"")</f>
        <v>0</v>
      </c>
      <c r="AE353" t="s">
        <v>328</v>
      </c>
      <c r="AF353" t="s">
        <v>256</v>
      </c>
      <c r="AG353" s="2"/>
      <c r="AH353" s="44">
        <f>1-COS(RADIANS(TA[[#This Row],[Avg. Target Angle during Fault Time (Radians)]]-TA[[#This Row],[Angle of affected equipment ]]))</f>
        <v>0.11705240714107301</v>
      </c>
      <c r="AI353" s="35">
        <f>IFERROR(TA[[#This Row],[Breakdown Time]]*TA[[#This Row],[Plant Equivalent Weightage]],"")</f>
        <v>0</v>
      </c>
    </row>
    <row r="354" spans="1:35">
      <c r="A354" s="2">
        <f t="shared" si="16"/>
        <v>351</v>
      </c>
      <c r="B354" s="156">
        <f t="shared" si="17"/>
        <v>2026</v>
      </c>
      <c r="C354" s="129">
        <f t="shared" si="18"/>
        <v>2025</v>
      </c>
      <c r="D354" s="2" t="s">
        <v>155</v>
      </c>
      <c r="E354" s="2" t="s">
        <v>155</v>
      </c>
      <c r="F354" s="39">
        <v>45748</v>
      </c>
      <c r="G354" s="2">
        <f>DAY(EOMONTH(TA[[#This Row],[Month Year]],0))</f>
        <v>30</v>
      </c>
      <c r="H354" s="21">
        <v>45768</v>
      </c>
      <c r="I354" s="41">
        <f>IFERROR(VLOOKUP(TA[[#This Row],[Date]],Raw_Data[[Date]:[Sunset Time (POA&lt;20 W/m2)]],3,0),"")</f>
        <v>0.25555555555555554</v>
      </c>
      <c r="J354" s="41">
        <f>IFERROR(VLOOKUP(TA[[#This Row],[Date]],Raw_Data[[Date]:[Sunset Time (POA&lt;20 W/m2)]],4,0),"")</f>
        <v>0.75694444444444442</v>
      </c>
      <c r="K354" s="35">
        <f>IFERROR((TA[[#This Row],[Sunset Time (POA&lt;20 W/m2)]]-TA[[#This Row],[Sunrise Time (POA&gt;20 W/m2)]])*24,"")</f>
        <v>12.033333333333333</v>
      </c>
      <c r="L354" s="2" t="s">
        <v>312</v>
      </c>
      <c r="M354" s="42">
        <f>IFERROR(VLOOKUP(TA[[#This Row],[Affected Equipment]],'Basic Data'!$I$2:$K$40,3,0),"")</f>
        <v>5.74712643678161E-3</v>
      </c>
      <c r="N354">
        <v>-28</v>
      </c>
      <c r="O354" t="s">
        <v>133</v>
      </c>
      <c r="P354" s="22" t="s">
        <v>330</v>
      </c>
      <c r="Q354" s="2" t="s">
        <v>323</v>
      </c>
      <c r="R354">
        <v>26</v>
      </c>
      <c r="S354" s="2">
        <v>37</v>
      </c>
      <c r="T354" t="s">
        <v>297</v>
      </c>
      <c r="U354" t="s">
        <v>326</v>
      </c>
      <c r="V354" t="s">
        <v>301</v>
      </c>
      <c r="W354" s="41"/>
      <c r="X354" s="41"/>
      <c r="Y354" s="34"/>
      <c r="Z354" s="34"/>
      <c r="AA354" s="35">
        <f>IF(TA[[#This Row],[Work Start time on Fault]]="NA","",(TA[[#This Row],[Fault Acknowledgement Time ]]-TA[[#This Row],[Fault Time]])*24)</f>
        <v>0</v>
      </c>
      <c r="AB354" s="35">
        <f>(TA[[#This Row],[Work Start time on Fault]]-TA[[#This Row],[Fault Time]])*24</f>
        <v>0</v>
      </c>
      <c r="AC354" s="34">
        <f>(TA[[#This Row],[Work Completion time on fault]]-TA[[#This Row],[Fault Time]])*24</f>
        <v>0</v>
      </c>
      <c r="AD354" s="35">
        <f>IFERROR((TA[[#This Row],[Work Completion time on fault]]-TA[[#This Row],[Fault Time]])*24,"")</f>
        <v>0</v>
      </c>
      <c r="AE354" t="s">
        <v>328</v>
      </c>
      <c r="AF354" t="s">
        <v>256</v>
      </c>
      <c r="AG354" s="2"/>
      <c r="AH354" s="44">
        <f>1-COS(RADIANS(TA[[#This Row],[Avg. Target Angle during Fault Time (Radians)]]-TA[[#This Row],[Angle of affected equipment ]]))</f>
        <v>0.11705240714107301</v>
      </c>
      <c r="AI354" s="35">
        <f>IFERROR(TA[[#This Row],[Breakdown Time]]*TA[[#This Row],[Plant Equivalent Weightage]],"")</f>
        <v>0</v>
      </c>
    </row>
    <row r="355" spans="1:35">
      <c r="A355" s="2">
        <f t="shared" ref="A355" si="19">A354+1</f>
        <v>352</v>
      </c>
      <c r="B355" s="156">
        <f t="shared" si="17"/>
        <v>2026</v>
      </c>
      <c r="C355" s="129">
        <f t="shared" si="18"/>
        <v>2025</v>
      </c>
      <c r="D355" s="2" t="s">
        <v>155</v>
      </c>
      <c r="E355" s="2" t="s">
        <v>155</v>
      </c>
      <c r="F355" s="39">
        <v>45748</v>
      </c>
      <c r="G355" s="2">
        <f>DAY(EOMONTH(TA[[#This Row],[Month Year]],0))</f>
        <v>30</v>
      </c>
      <c r="H355" s="21">
        <v>45768</v>
      </c>
      <c r="I355" s="41">
        <f>IFERROR(VLOOKUP(TA[[#This Row],[Date]],Raw_Data[[Date]:[Sunset Time (POA&lt;20 W/m2)]],3,0),"")</f>
        <v>0.25555555555555554</v>
      </c>
      <c r="J355" s="41">
        <f>IFERROR(VLOOKUP(TA[[#This Row],[Date]],Raw_Data[[Date]:[Sunset Time (POA&lt;20 W/m2)]],4,0),"")</f>
        <v>0.75694444444444442</v>
      </c>
      <c r="K355" s="35">
        <f>IFERROR((TA[[#This Row],[Sunset Time (POA&lt;20 W/m2)]]-TA[[#This Row],[Sunrise Time (POA&gt;20 W/m2)]])*24,"")</f>
        <v>12.033333333333333</v>
      </c>
      <c r="L355" s="2" t="s">
        <v>312</v>
      </c>
      <c r="M355" s="42">
        <f>IFERROR(VLOOKUP(TA[[#This Row],[Affected Equipment]],'Basic Data'!$I$2:$K$40,3,0),"")</f>
        <v>5.74712643678161E-3</v>
      </c>
      <c r="N355">
        <v>-28</v>
      </c>
      <c r="O355" t="s">
        <v>133</v>
      </c>
      <c r="P355" s="22" t="s">
        <v>330</v>
      </c>
      <c r="Q355" s="2" t="s">
        <v>323</v>
      </c>
      <c r="R355">
        <v>27</v>
      </c>
      <c r="S355" s="2">
        <v>42</v>
      </c>
      <c r="T355" t="s">
        <v>297</v>
      </c>
      <c r="U355" t="s">
        <v>326</v>
      </c>
      <c r="V355" t="s">
        <v>301</v>
      </c>
      <c r="W355" s="41">
        <f>IFERROR(VLOOKUP(TA[[#This Row],[Date]],Raw_Data[[Date]:[Sunset Time (POA&lt;20 W/m2)]],3,0),"")</f>
        <v>0.25555555555555554</v>
      </c>
      <c r="X355" s="41">
        <f>IFERROR(VLOOKUP(TA[[#This Row],[Date]],Raw_Data[[Date]:[Sunset Time (POA&lt;20 W/m2)]],3,0),"")</f>
        <v>0.25555555555555554</v>
      </c>
      <c r="Y355" s="34"/>
      <c r="Z355" s="34">
        <v>0.76041666666666663</v>
      </c>
      <c r="AA355" s="35">
        <f>IF(TA[[#This Row],[Work Start time on Fault]]="NA","",(TA[[#This Row],[Fault Acknowledgement Time ]]-TA[[#This Row],[Fault Time]])*24)</f>
        <v>0</v>
      </c>
      <c r="AB355" s="35">
        <f>(TA[[#This Row],[Work Start time on Fault]]-TA[[#This Row],[Fault Time]])*24</f>
        <v>-6.1333333333333329</v>
      </c>
      <c r="AC355" s="34">
        <f>(TA[[#This Row],[Work Completion time on fault]]-TA[[#This Row],[Fault Time]])*24</f>
        <v>12.116666666666667</v>
      </c>
      <c r="AD355" s="35">
        <f>IFERROR((TA[[#This Row],[Work Completion time on fault]]-TA[[#This Row],[Fault Time]])*24,"")</f>
        <v>12.116666666666667</v>
      </c>
      <c r="AE355" t="s">
        <v>309</v>
      </c>
      <c r="AF355" t="s">
        <v>256</v>
      </c>
      <c r="AG355" s="2"/>
      <c r="AH355" s="44">
        <f>1-COS(RADIANS(TA[[#This Row],[Avg. Target Angle during Fault Time (Radians)]]-TA[[#This Row],[Angle of affected equipment ]]))</f>
        <v>0.11705240714107301</v>
      </c>
      <c r="AI355" s="35">
        <f>IFERROR(TA[[#This Row],[Breakdown Time]]*TA[[#This Row],[Plant Equivalent Weightage]],"")</f>
        <v>6.9636015325670514E-2</v>
      </c>
    </row>
    <row r="356" spans="1:35">
      <c r="A356" s="2">
        <f t="shared" si="16"/>
        <v>353</v>
      </c>
      <c r="B356" s="156">
        <f t="shared" si="17"/>
        <v>2026</v>
      </c>
      <c r="C356" s="129">
        <f t="shared" si="18"/>
        <v>2025</v>
      </c>
      <c r="D356" s="2" t="s">
        <v>155</v>
      </c>
      <c r="E356" s="2" t="s">
        <v>155</v>
      </c>
      <c r="F356" s="39">
        <v>45748</v>
      </c>
      <c r="G356" s="2">
        <f>DAY(EOMONTH(TA[[#This Row],[Month Year]],0))</f>
        <v>30</v>
      </c>
      <c r="H356" s="21">
        <v>45769</v>
      </c>
      <c r="I356" s="41">
        <f>IFERROR(VLOOKUP(TA[[#This Row],[Date]],Raw_Data[[Date]:[Sunset Time (POA&lt;20 W/m2)]],3,0),"")</f>
        <v>0.2638888888888889</v>
      </c>
      <c r="J356" s="41">
        <f>IFERROR(VLOOKUP(TA[[#This Row],[Date]],Raw_Data[[Date]:[Sunset Time (POA&lt;20 W/m2)]],4,0),"")</f>
        <v>0.7680555555555556</v>
      </c>
      <c r="K356" s="35">
        <f>IFERROR((TA[[#This Row],[Sunset Time (POA&lt;20 W/m2)]]-TA[[#This Row],[Sunrise Time (POA&gt;20 W/m2)]])*24,"")</f>
        <v>12.1</v>
      </c>
      <c r="L356" s="2" t="s">
        <v>294</v>
      </c>
      <c r="M356" s="42">
        <f>IFERROR(VLOOKUP(TA[[#This Row],[Affected Equipment]],'Basic Data'!$I$2:$K$40,3,0),"")</f>
        <v>1.7241379310344799E-3</v>
      </c>
      <c r="N356">
        <v>-28</v>
      </c>
      <c r="O356" t="s">
        <v>135</v>
      </c>
      <c r="P356" s="127" t="s">
        <v>318</v>
      </c>
      <c r="Q356" s="126" t="s">
        <v>318</v>
      </c>
      <c r="R356">
        <v>130</v>
      </c>
      <c r="S356" s="2">
        <v>37</v>
      </c>
      <c r="T356" t="s">
        <v>295</v>
      </c>
      <c r="U356" t="s">
        <v>300</v>
      </c>
      <c r="V356" t="s">
        <v>298</v>
      </c>
      <c r="W356" s="41"/>
      <c r="X356" s="41"/>
      <c r="Y356" s="34"/>
      <c r="Z356" s="34"/>
      <c r="AA356" s="35">
        <f>IF(TA[[#This Row],[Work Start time on Fault]]="NA","",(TA[[#This Row],[Fault Acknowledgement Time ]]-TA[[#This Row],[Fault Time]])*24)</f>
        <v>0</v>
      </c>
      <c r="AB356" s="35">
        <f>(TA[[#This Row],[Work Start time on Fault]]-TA[[#This Row],[Fault Time]])*24</f>
        <v>0</v>
      </c>
      <c r="AC356" s="34">
        <f>(TA[[#This Row],[Work Completion time on fault]]-TA[[#This Row],[Fault Time]])*24</f>
        <v>0</v>
      </c>
      <c r="AD356" s="35">
        <f>IFERROR((TA[[#This Row],[Work Completion time on fault]]-TA[[#This Row],[Fault Time]])*24,"")</f>
        <v>0</v>
      </c>
      <c r="AE356" t="s">
        <v>328</v>
      </c>
      <c r="AF356" t="s">
        <v>256</v>
      </c>
      <c r="AG356" s="2"/>
      <c r="AH356" s="44">
        <f>1-COS(RADIANS(TA[[#This Row],[Avg. Target Angle during Fault Time (Radians)]]-TA[[#This Row],[Angle of affected equipment ]]))</f>
        <v>0.11705240714107301</v>
      </c>
      <c r="AI356" s="35">
        <f>IFERROR(TA[[#This Row],[Breakdown Time]]*TA[[#This Row],[Plant Equivalent Weightage]],"")</f>
        <v>0</v>
      </c>
    </row>
    <row r="357" spans="1:35">
      <c r="A357" s="2">
        <f t="shared" ref="A357:A420" si="20">A356+1</f>
        <v>354</v>
      </c>
      <c r="B357" s="156">
        <f t="shared" si="17"/>
        <v>2026</v>
      </c>
      <c r="C357" s="129">
        <f t="shared" si="18"/>
        <v>2025</v>
      </c>
      <c r="D357" s="2" t="s">
        <v>155</v>
      </c>
      <c r="E357" s="2" t="s">
        <v>155</v>
      </c>
      <c r="F357" s="39">
        <v>45748</v>
      </c>
      <c r="G357" s="2">
        <f>DAY(EOMONTH(TA[[#This Row],[Month Year]],0))</f>
        <v>30</v>
      </c>
      <c r="H357" s="21">
        <v>45769</v>
      </c>
      <c r="I357" s="41">
        <f>IFERROR(VLOOKUP(TA[[#This Row],[Date]],Raw_Data[[Date]:[Sunset Time (POA&lt;20 W/m2)]],3,0),"")</f>
        <v>0.2638888888888889</v>
      </c>
      <c r="J357" s="41">
        <f>IFERROR(VLOOKUP(TA[[#This Row],[Date]],Raw_Data[[Date]:[Sunset Time (POA&lt;20 W/m2)]],4,0),"")</f>
        <v>0.7680555555555556</v>
      </c>
      <c r="K357" s="35">
        <f>IFERROR((TA[[#This Row],[Sunset Time (POA&lt;20 W/m2)]]-TA[[#This Row],[Sunrise Time (POA&gt;20 W/m2)]])*24,"")</f>
        <v>12.1</v>
      </c>
      <c r="L357" s="2" t="s">
        <v>294</v>
      </c>
      <c r="M357" s="42">
        <f>IFERROR(VLOOKUP(TA[[#This Row],[Affected Equipment]],'Basic Data'!$I$2:$K$40,3,0),"")</f>
        <v>1.7241379310344799E-3</v>
      </c>
      <c r="N357">
        <v>-28</v>
      </c>
      <c r="O357" t="s">
        <v>135</v>
      </c>
      <c r="P357" s="127" t="s">
        <v>318</v>
      </c>
      <c r="Q357" s="126" t="s">
        <v>318</v>
      </c>
      <c r="R357">
        <v>131</v>
      </c>
      <c r="S357" s="2">
        <v>38</v>
      </c>
      <c r="T357" t="s">
        <v>295</v>
      </c>
      <c r="U357" t="s">
        <v>300</v>
      </c>
      <c r="V357" t="s">
        <v>298</v>
      </c>
      <c r="W357" s="41"/>
      <c r="X357" s="41"/>
      <c r="Y357" s="34"/>
      <c r="Z357" s="34"/>
      <c r="AA357" s="35">
        <f>IF(TA[[#This Row],[Work Start time on Fault]]="NA","",(TA[[#This Row],[Fault Acknowledgement Time ]]-TA[[#This Row],[Fault Time]])*24)</f>
        <v>0</v>
      </c>
      <c r="AB357" s="35">
        <f>(TA[[#This Row],[Work Start time on Fault]]-TA[[#This Row],[Fault Time]])*24</f>
        <v>0</v>
      </c>
      <c r="AC357" s="34">
        <f>(TA[[#This Row],[Work Completion time on fault]]-TA[[#This Row],[Fault Time]])*24</f>
        <v>0</v>
      </c>
      <c r="AD357" s="35">
        <f>IFERROR((TA[[#This Row],[Work Completion time on fault]]-TA[[#This Row],[Fault Time]])*24,"")</f>
        <v>0</v>
      </c>
      <c r="AE357" t="s">
        <v>328</v>
      </c>
      <c r="AF357" t="s">
        <v>256</v>
      </c>
      <c r="AG357" s="2"/>
      <c r="AH357" s="44">
        <f>1-COS(RADIANS(TA[[#This Row],[Avg. Target Angle during Fault Time (Radians)]]-TA[[#This Row],[Angle of affected equipment ]]))</f>
        <v>0.11705240714107301</v>
      </c>
      <c r="AI357" s="35">
        <f>IFERROR(TA[[#This Row],[Breakdown Time]]*TA[[#This Row],[Plant Equivalent Weightage]],"")</f>
        <v>0</v>
      </c>
    </row>
    <row r="358" spans="1:35">
      <c r="A358" s="2">
        <f t="shared" si="20"/>
        <v>355</v>
      </c>
      <c r="B358" s="156">
        <f t="shared" si="17"/>
        <v>2026</v>
      </c>
      <c r="C358" s="129">
        <f t="shared" si="18"/>
        <v>2025</v>
      </c>
      <c r="D358" s="2" t="s">
        <v>155</v>
      </c>
      <c r="E358" s="2" t="s">
        <v>155</v>
      </c>
      <c r="F358" s="39">
        <v>45748</v>
      </c>
      <c r="G358" s="2">
        <f>DAY(EOMONTH(TA[[#This Row],[Month Year]],0))</f>
        <v>30</v>
      </c>
      <c r="H358" s="21">
        <v>45769</v>
      </c>
      <c r="I358" s="41">
        <f>IFERROR(VLOOKUP(TA[[#This Row],[Date]],Raw_Data[[Date]:[Sunset Time (POA&lt;20 W/m2)]],3,0),"")</f>
        <v>0.2638888888888889</v>
      </c>
      <c r="J358" s="41">
        <f>IFERROR(VLOOKUP(TA[[#This Row],[Date]],Raw_Data[[Date]:[Sunset Time (POA&lt;20 W/m2)]],4,0),"")</f>
        <v>0.7680555555555556</v>
      </c>
      <c r="K358" s="35">
        <f>IFERROR((TA[[#This Row],[Sunset Time (POA&lt;20 W/m2)]]-TA[[#This Row],[Sunrise Time (POA&gt;20 W/m2)]])*24,"")</f>
        <v>12.1</v>
      </c>
      <c r="L358" s="2" t="s">
        <v>294</v>
      </c>
      <c r="M358" s="42">
        <f>IFERROR(VLOOKUP(TA[[#This Row],[Affected Equipment]],'Basic Data'!$I$2:$K$40,3,0),"")</f>
        <v>1.7241379310344799E-3</v>
      </c>
      <c r="N358">
        <v>-28</v>
      </c>
      <c r="O358" t="s">
        <v>135</v>
      </c>
      <c r="P358" s="127" t="s">
        <v>318</v>
      </c>
      <c r="Q358" s="126" t="s">
        <v>318</v>
      </c>
      <c r="R358">
        <v>131</v>
      </c>
      <c r="S358" s="2">
        <v>39</v>
      </c>
      <c r="T358" t="s">
        <v>295</v>
      </c>
      <c r="U358" t="s">
        <v>300</v>
      </c>
      <c r="V358" t="s">
        <v>298</v>
      </c>
      <c r="W358" s="41"/>
      <c r="X358" s="41"/>
      <c r="Y358" s="34"/>
      <c r="Z358" s="34"/>
      <c r="AA358" s="35">
        <f>IF(TA[[#This Row],[Work Start time on Fault]]="NA","",(TA[[#This Row],[Fault Acknowledgement Time ]]-TA[[#This Row],[Fault Time]])*24)</f>
        <v>0</v>
      </c>
      <c r="AB358" s="35">
        <f>(TA[[#This Row],[Work Start time on Fault]]-TA[[#This Row],[Fault Time]])*24</f>
        <v>0</v>
      </c>
      <c r="AC358" s="34">
        <f>(TA[[#This Row],[Work Completion time on fault]]-TA[[#This Row],[Fault Time]])*24</f>
        <v>0</v>
      </c>
      <c r="AD358" s="35">
        <f>IFERROR((TA[[#This Row],[Work Completion time on fault]]-TA[[#This Row],[Fault Time]])*24,"")</f>
        <v>0</v>
      </c>
      <c r="AE358" t="s">
        <v>328</v>
      </c>
      <c r="AF358" t="s">
        <v>256</v>
      </c>
      <c r="AG358" s="2"/>
      <c r="AH358" s="44">
        <f>1-COS(RADIANS(TA[[#This Row],[Avg. Target Angle during Fault Time (Radians)]]-TA[[#This Row],[Angle of affected equipment ]]))</f>
        <v>0.11705240714107301</v>
      </c>
      <c r="AI358" s="35">
        <f>IFERROR(TA[[#This Row],[Breakdown Time]]*TA[[#This Row],[Plant Equivalent Weightage]],"")</f>
        <v>0</v>
      </c>
    </row>
    <row r="359" spans="1:35">
      <c r="A359" s="2">
        <f t="shared" si="20"/>
        <v>356</v>
      </c>
      <c r="B359" s="156">
        <f t="shared" si="17"/>
        <v>2026</v>
      </c>
      <c r="C359" s="129">
        <f t="shared" si="18"/>
        <v>2025</v>
      </c>
      <c r="D359" s="2" t="s">
        <v>155</v>
      </c>
      <c r="E359" s="2" t="s">
        <v>155</v>
      </c>
      <c r="F359" s="39">
        <v>45748</v>
      </c>
      <c r="G359" s="2">
        <f>DAY(EOMONTH(TA[[#This Row],[Month Year]],0))</f>
        <v>30</v>
      </c>
      <c r="H359" s="21">
        <v>45769</v>
      </c>
      <c r="I359" s="41">
        <f>IFERROR(VLOOKUP(TA[[#This Row],[Date]],Raw_Data[[Date]:[Sunset Time (POA&lt;20 W/m2)]],3,0),"")</f>
        <v>0.2638888888888889</v>
      </c>
      <c r="J359" s="41">
        <f>IFERROR(VLOOKUP(TA[[#This Row],[Date]],Raw_Data[[Date]:[Sunset Time (POA&lt;20 W/m2)]],4,0),"")</f>
        <v>0.7680555555555556</v>
      </c>
      <c r="K359" s="35">
        <f>IFERROR((TA[[#This Row],[Sunset Time (POA&lt;20 W/m2)]]-TA[[#This Row],[Sunrise Time (POA&gt;20 W/m2)]])*24,"")</f>
        <v>12.1</v>
      </c>
      <c r="L359" s="2" t="s">
        <v>296</v>
      </c>
      <c r="M359" s="42">
        <f>IFERROR(VLOOKUP(TA[[#This Row],[Affected Equipment]],'Basic Data'!$I$2:$K$40,3,0),"")</f>
        <v>8.6206896551724102E-3</v>
      </c>
      <c r="N359">
        <v>-28</v>
      </c>
      <c r="O359" t="s">
        <v>135</v>
      </c>
      <c r="P359" s="127" t="s">
        <v>318</v>
      </c>
      <c r="Q359" s="2" t="s">
        <v>321</v>
      </c>
      <c r="R359">
        <v>133</v>
      </c>
      <c r="S359" s="2">
        <v>26</v>
      </c>
      <c r="T359" t="s">
        <v>297</v>
      </c>
      <c r="U359" t="s">
        <v>300</v>
      </c>
      <c r="V359" t="s">
        <v>314</v>
      </c>
      <c r="W359" s="41">
        <f>IFERROR(VLOOKUP(TA[[#This Row],[Date]],Raw_Data[[Date]:[Sunset Time (POA&lt;20 W/m2)]],3,0),"")</f>
        <v>0.2638888888888889</v>
      </c>
      <c r="X359" s="41">
        <f>IFERROR(VLOOKUP(TA[[#This Row],[Date]],Raw_Data[[Date]:[Sunset Time (POA&lt;20 W/m2)]],3,0),"")</f>
        <v>0.2638888888888889</v>
      </c>
      <c r="Y359" s="34"/>
      <c r="Z359" s="34">
        <v>0.76041666666666663</v>
      </c>
      <c r="AA359" s="35">
        <f>IF(TA[[#This Row],[Work Start time on Fault]]="NA","",(TA[[#This Row],[Fault Acknowledgement Time ]]-TA[[#This Row],[Fault Time]])*24)</f>
        <v>0</v>
      </c>
      <c r="AB359" s="35">
        <f>(TA[[#This Row],[Work Start time on Fault]]-TA[[#This Row],[Fault Time]])*24</f>
        <v>-6.3333333333333339</v>
      </c>
      <c r="AC359" s="34">
        <f>(TA[[#This Row],[Work Completion time on fault]]-TA[[#This Row],[Fault Time]])*24</f>
        <v>11.916666666666666</v>
      </c>
      <c r="AD359" s="35">
        <f>IFERROR((TA[[#This Row],[Work Completion time on fault]]-TA[[#This Row],[Fault Time]])*24,"")</f>
        <v>11.916666666666666</v>
      </c>
      <c r="AE359" t="s">
        <v>328</v>
      </c>
      <c r="AF359" t="s">
        <v>256</v>
      </c>
      <c r="AG359" s="2"/>
      <c r="AH359" s="44">
        <f>1-COS(RADIANS(TA[[#This Row],[Avg. Target Angle during Fault Time (Radians)]]-TA[[#This Row],[Angle of affected equipment ]]))</f>
        <v>0.11705240714107301</v>
      </c>
      <c r="AI359" s="35">
        <f>IFERROR(TA[[#This Row],[Breakdown Time]]*TA[[#This Row],[Plant Equivalent Weightage]],"")</f>
        <v>0.10272988505747122</v>
      </c>
    </row>
    <row r="360" spans="1:35">
      <c r="A360" s="2">
        <f t="shared" si="20"/>
        <v>357</v>
      </c>
      <c r="B360" s="156">
        <f t="shared" si="17"/>
        <v>2026</v>
      </c>
      <c r="C360" s="129">
        <f t="shared" si="18"/>
        <v>2025</v>
      </c>
      <c r="D360" s="2" t="s">
        <v>155</v>
      </c>
      <c r="E360" s="2" t="s">
        <v>155</v>
      </c>
      <c r="F360" s="39">
        <v>45748</v>
      </c>
      <c r="G360" s="2">
        <f>DAY(EOMONTH(TA[[#This Row],[Month Year]],0))</f>
        <v>30</v>
      </c>
      <c r="H360" s="21">
        <v>45769</v>
      </c>
      <c r="I360" s="41">
        <f>IFERROR(VLOOKUP(TA[[#This Row],[Date]],Raw_Data[[Date]:[Sunset Time (POA&lt;20 W/m2)]],3,0),"")</f>
        <v>0.2638888888888889</v>
      </c>
      <c r="J360" s="41">
        <f>IFERROR(VLOOKUP(TA[[#This Row],[Date]],Raw_Data[[Date]:[Sunset Time (POA&lt;20 W/m2)]],4,0),"")</f>
        <v>0.7680555555555556</v>
      </c>
      <c r="K360" s="35">
        <f>IFERROR((TA[[#This Row],[Sunset Time (POA&lt;20 W/m2)]]-TA[[#This Row],[Sunrise Time (POA&gt;20 W/m2)]])*24,"")</f>
        <v>12.1</v>
      </c>
      <c r="L360" s="2" t="s">
        <v>294</v>
      </c>
      <c r="M360" s="42">
        <f>IFERROR(VLOOKUP(TA[[#This Row],[Affected Equipment]],'Basic Data'!$I$2:$K$40,3,0),"")</f>
        <v>1.7241379310344799E-3</v>
      </c>
      <c r="N360">
        <v>-28</v>
      </c>
      <c r="O360" t="s">
        <v>133</v>
      </c>
      <c r="P360" s="127" t="s">
        <v>316</v>
      </c>
      <c r="Q360" s="126" t="s">
        <v>317</v>
      </c>
      <c r="R360">
        <v>7</v>
      </c>
      <c r="S360" s="2">
        <v>32</v>
      </c>
      <c r="T360" t="s">
        <v>295</v>
      </c>
      <c r="U360" t="s">
        <v>300</v>
      </c>
      <c r="V360" t="s">
        <v>298</v>
      </c>
      <c r="W360" s="41"/>
      <c r="X360" s="41"/>
      <c r="Y360" s="34"/>
      <c r="Z360" s="34"/>
      <c r="AA360" s="35">
        <f>IF(TA[[#This Row],[Work Start time on Fault]]="NA","",(TA[[#This Row],[Fault Acknowledgement Time ]]-TA[[#This Row],[Fault Time]])*24)</f>
        <v>0</v>
      </c>
      <c r="AB360" s="35">
        <f>(TA[[#This Row],[Work Start time on Fault]]-TA[[#This Row],[Fault Time]])*24</f>
        <v>0</v>
      </c>
      <c r="AC360" s="34">
        <f>(TA[[#This Row],[Work Completion time on fault]]-TA[[#This Row],[Fault Time]])*24</f>
        <v>0</v>
      </c>
      <c r="AD360" s="35">
        <f>IFERROR((TA[[#This Row],[Work Completion time on fault]]-TA[[#This Row],[Fault Time]])*24,"")</f>
        <v>0</v>
      </c>
      <c r="AE360" t="s">
        <v>328</v>
      </c>
      <c r="AF360" t="s">
        <v>256</v>
      </c>
      <c r="AG360" s="2"/>
      <c r="AH360" s="44">
        <f>1-COS(RADIANS(TA[[#This Row],[Avg. Target Angle during Fault Time (Radians)]]-TA[[#This Row],[Angle of affected equipment ]]))</f>
        <v>0.11705240714107301</v>
      </c>
      <c r="AI360" s="35">
        <f>IFERROR(TA[[#This Row],[Breakdown Time]]*TA[[#This Row],[Plant Equivalent Weightage]],"")</f>
        <v>0</v>
      </c>
    </row>
    <row r="361" spans="1:35">
      <c r="A361" s="2">
        <f t="shared" si="20"/>
        <v>358</v>
      </c>
      <c r="B361" s="156">
        <f t="shared" si="17"/>
        <v>2026</v>
      </c>
      <c r="C361" s="129">
        <f t="shared" si="18"/>
        <v>2025</v>
      </c>
      <c r="D361" s="2" t="s">
        <v>155</v>
      </c>
      <c r="E361" s="2" t="s">
        <v>155</v>
      </c>
      <c r="F361" s="39">
        <v>45748</v>
      </c>
      <c r="G361" s="2">
        <f>DAY(EOMONTH(TA[[#This Row],[Month Year]],0))</f>
        <v>30</v>
      </c>
      <c r="H361" s="21">
        <v>45769</v>
      </c>
      <c r="I361" s="41">
        <f>IFERROR(VLOOKUP(TA[[#This Row],[Date]],Raw_Data[[Date]:[Sunset Time (POA&lt;20 W/m2)]],3,0),"")</f>
        <v>0.2638888888888889</v>
      </c>
      <c r="J361" s="41">
        <f>IFERROR(VLOOKUP(TA[[#This Row],[Date]],Raw_Data[[Date]:[Sunset Time (POA&lt;20 W/m2)]],4,0),"")</f>
        <v>0.7680555555555556</v>
      </c>
      <c r="K361" s="35">
        <f>IFERROR((TA[[#This Row],[Sunset Time (POA&lt;20 W/m2)]]-TA[[#This Row],[Sunrise Time (POA&gt;20 W/m2)]])*24,"")</f>
        <v>12.1</v>
      </c>
      <c r="L361" s="2" t="s">
        <v>294</v>
      </c>
      <c r="M361" s="42">
        <f>IFERROR(VLOOKUP(TA[[#This Row],[Affected Equipment]],'Basic Data'!$I$2:$K$40,3,0),"")</f>
        <v>1.7241379310344799E-3</v>
      </c>
      <c r="N361">
        <v>-28</v>
      </c>
      <c r="O361" t="s">
        <v>137</v>
      </c>
      <c r="P361" s="127" t="s">
        <v>315</v>
      </c>
      <c r="Q361" s="126" t="s">
        <v>319</v>
      </c>
      <c r="R361">
        <v>166</v>
      </c>
      <c r="S361" s="2">
        <v>91</v>
      </c>
      <c r="T361" t="s">
        <v>295</v>
      </c>
      <c r="U361" t="s">
        <v>300</v>
      </c>
      <c r="V361" t="s">
        <v>298</v>
      </c>
      <c r="W361" s="41"/>
      <c r="X361" s="41"/>
      <c r="Y361" s="34"/>
      <c r="Z361" s="34"/>
      <c r="AA361" s="35">
        <f>IF(TA[[#This Row],[Work Start time on Fault]]="NA","",(TA[[#This Row],[Fault Acknowledgement Time ]]-TA[[#This Row],[Fault Time]])*24)</f>
        <v>0</v>
      </c>
      <c r="AB361" s="35">
        <f>(TA[[#This Row],[Work Start time on Fault]]-TA[[#This Row],[Fault Time]])*24</f>
        <v>0</v>
      </c>
      <c r="AC361" s="34">
        <f>(TA[[#This Row],[Work Completion time on fault]]-TA[[#This Row],[Fault Time]])*24</f>
        <v>0</v>
      </c>
      <c r="AD361" s="35">
        <f>IFERROR((TA[[#This Row],[Work Completion time on fault]]-TA[[#This Row],[Fault Time]])*24,"")</f>
        <v>0</v>
      </c>
      <c r="AE361" t="s">
        <v>328</v>
      </c>
      <c r="AF361" t="s">
        <v>256</v>
      </c>
      <c r="AG361" s="2"/>
      <c r="AH361" s="44">
        <f>1-COS(RADIANS(TA[[#This Row],[Avg. Target Angle during Fault Time (Radians)]]-TA[[#This Row],[Angle of affected equipment ]]))</f>
        <v>0.11705240714107301</v>
      </c>
      <c r="AI361" s="35">
        <f>IFERROR(TA[[#This Row],[Breakdown Time]]*TA[[#This Row],[Plant Equivalent Weightage]],"")</f>
        <v>0</v>
      </c>
    </row>
    <row r="362" spans="1:35">
      <c r="A362" s="2">
        <f t="shared" si="20"/>
        <v>359</v>
      </c>
      <c r="B362" s="156">
        <f t="shared" si="17"/>
        <v>2026</v>
      </c>
      <c r="C362" s="129">
        <f t="shared" si="18"/>
        <v>2025</v>
      </c>
      <c r="D362" s="2" t="s">
        <v>155</v>
      </c>
      <c r="E362" s="2" t="s">
        <v>155</v>
      </c>
      <c r="F362" s="39">
        <v>45748</v>
      </c>
      <c r="G362" s="2">
        <f>DAY(EOMONTH(TA[[#This Row],[Month Year]],0))</f>
        <v>30</v>
      </c>
      <c r="H362" s="21">
        <v>45769</v>
      </c>
      <c r="I362" s="41">
        <f>IFERROR(VLOOKUP(TA[[#This Row],[Date]],Raw_Data[[Date]:[Sunset Time (POA&lt;20 W/m2)]],3,0),"")</f>
        <v>0.2638888888888889</v>
      </c>
      <c r="J362" s="41">
        <f>IFERROR(VLOOKUP(TA[[#This Row],[Date]],Raw_Data[[Date]:[Sunset Time (POA&lt;20 W/m2)]],4,0),"")</f>
        <v>0.7680555555555556</v>
      </c>
      <c r="K362" s="35">
        <f>IFERROR((TA[[#This Row],[Sunset Time (POA&lt;20 W/m2)]]-TA[[#This Row],[Sunrise Time (POA&gt;20 W/m2)]])*24,"")</f>
        <v>12.1</v>
      </c>
      <c r="L362" s="2" t="s">
        <v>294</v>
      </c>
      <c r="M362" s="42">
        <f>IFERROR(VLOOKUP(TA[[#This Row],[Affected Equipment]],'Basic Data'!$I$2:$K$40,3,0),"")</f>
        <v>1.7241379310344799E-3</v>
      </c>
      <c r="N362">
        <v>-28</v>
      </c>
      <c r="O362" t="s">
        <v>133</v>
      </c>
      <c r="P362" s="127" t="s">
        <v>316</v>
      </c>
      <c r="Q362" s="126" t="s">
        <v>316</v>
      </c>
      <c r="R362">
        <v>117</v>
      </c>
      <c r="S362" s="2">
        <v>20</v>
      </c>
      <c r="T362" t="s">
        <v>295</v>
      </c>
      <c r="U362" t="s">
        <v>300</v>
      </c>
      <c r="V362" t="s">
        <v>298</v>
      </c>
      <c r="W362" s="41"/>
      <c r="X362" s="41"/>
      <c r="Y362" s="34"/>
      <c r="Z362" s="34"/>
      <c r="AA362" s="35">
        <f>IF(TA[[#This Row],[Work Start time on Fault]]="NA","",(TA[[#This Row],[Fault Acknowledgement Time ]]-TA[[#This Row],[Fault Time]])*24)</f>
        <v>0</v>
      </c>
      <c r="AB362" s="35">
        <f>(TA[[#This Row],[Work Start time on Fault]]-TA[[#This Row],[Fault Time]])*24</f>
        <v>0</v>
      </c>
      <c r="AC362" s="34">
        <f>(TA[[#This Row],[Work Completion time on fault]]-TA[[#This Row],[Fault Time]])*24</f>
        <v>0</v>
      </c>
      <c r="AD362" s="35">
        <f>IFERROR((TA[[#This Row],[Work Completion time on fault]]-TA[[#This Row],[Fault Time]])*24,"")</f>
        <v>0</v>
      </c>
      <c r="AE362" t="s">
        <v>328</v>
      </c>
      <c r="AF362" t="s">
        <v>256</v>
      </c>
      <c r="AG362" s="2"/>
      <c r="AH362" s="44">
        <f>1-COS(RADIANS(TA[[#This Row],[Avg. Target Angle during Fault Time (Radians)]]-TA[[#This Row],[Angle of affected equipment ]]))</f>
        <v>0.11705240714107301</v>
      </c>
      <c r="AI362" s="35">
        <f>IFERROR(TA[[#This Row],[Breakdown Time]]*TA[[#This Row],[Plant Equivalent Weightage]],"")</f>
        <v>0</v>
      </c>
    </row>
    <row r="363" spans="1:35">
      <c r="A363" s="2">
        <f t="shared" si="20"/>
        <v>360</v>
      </c>
      <c r="B363" s="156">
        <f t="shared" si="17"/>
        <v>2026</v>
      </c>
      <c r="C363" s="129">
        <f t="shared" si="18"/>
        <v>2025</v>
      </c>
      <c r="D363" s="2" t="s">
        <v>155</v>
      </c>
      <c r="E363" s="2" t="s">
        <v>155</v>
      </c>
      <c r="F363" s="39">
        <v>45748</v>
      </c>
      <c r="G363" s="2">
        <f>DAY(EOMONTH(TA[[#This Row],[Month Year]],0))</f>
        <v>30</v>
      </c>
      <c r="H363" s="21">
        <v>45769</v>
      </c>
      <c r="I363" s="41">
        <f>IFERROR(VLOOKUP(TA[[#This Row],[Date]],Raw_Data[[Date]:[Sunset Time (POA&lt;20 W/m2)]],3,0),"")</f>
        <v>0.2638888888888889</v>
      </c>
      <c r="J363" s="41">
        <f>IFERROR(VLOOKUP(TA[[#This Row],[Date]],Raw_Data[[Date]:[Sunset Time (POA&lt;20 W/m2)]],4,0),"")</f>
        <v>0.7680555555555556</v>
      </c>
      <c r="K363" s="35">
        <f>IFERROR((TA[[#This Row],[Sunset Time (POA&lt;20 W/m2)]]-TA[[#This Row],[Sunrise Time (POA&gt;20 W/m2)]])*24,"")</f>
        <v>12.1</v>
      </c>
      <c r="L363" s="2" t="s">
        <v>294</v>
      </c>
      <c r="M363" s="42">
        <f>IFERROR(VLOOKUP(TA[[#This Row],[Affected Equipment]],'Basic Data'!$I$2:$K$40,3,0),"")</f>
        <v>1.7241379310344799E-3</v>
      </c>
      <c r="N363">
        <v>-28</v>
      </c>
      <c r="O363" t="s">
        <v>133</v>
      </c>
      <c r="P363" s="127" t="s">
        <v>316</v>
      </c>
      <c r="Q363" s="126" t="s">
        <v>316</v>
      </c>
      <c r="R363">
        <v>118</v>
      </c>
      <c r="S363" s="2">
        <v>22</v>
      </c>
      <c r="T363" t="s">
        <v>295</v>
      </c>
      <c r="U363" t="s">
        <v>300</v>
      </c>
      <c r="V363" t="s">
        <v>298</v>
      </c>
      <c r="W363" s="41"/>
      <c r="X363" s="41"/>
      <c r="Y363" s="34"/>
      <c r="Z363" s="34"/>
      <c r="AA363" s="35">
        <f>IF(TA[[#This Row],[Work Start time on Fault]]="NA","",(TA[[#This Row],[Fault Acknowledgement Time ]]-TA[[#This Row],[Fault Time]])*24)</f>
        <v>0</v>
      </c>
      <c r="AB363" s="35">
        <f>(TA[[#This Row],[Work Start time on Fault]]-TA[[#This Row],[Fault Time]])*24</f>
        <v>0</v>
      </c>
      <c r="AC363" s="34">
        <f>(TA[[#This Row],[Work Completion time on fault]]-TA[[#This Row],[Fault Time]])*24</f>
        <v>0</v>
      </c>
      <c r="AD363" s="35">
        <f>IFERROR((TA[[#This Row],[Work Completion time on fault]]-TA[[#This Row],[Fault Time]])*24,"")</f>
        <v>0</v>
      </c>
      <c r="AE363" t="s">
        <v>328</v>
      </c>
      <c r="AF363" t="s">
        <v>256</v>
      </c>
      <c r="AG363" s="2"/>
      <c r="AH363" s="44">
        <f>1-COS(RADIANS(TA[[#This Row],[Avg. Target Angle during Fault Time (Radians)]]-TA[[#This Row],[Angle of affected equipment ]]))</f>
        <v>0.11705240714107301</v>
      </c>
      <c r="AI363" s="35">
        <f>IFERROR(TA[[#This Row],[Breakdown Time]]*TA[[#This Row],[Plant Equivalent Weightage]],"")</f>
        <v>0</v>
      </c>
    </row>
    <row r="364" spans="1:35">
      <c r="A364" s="2">
        <f t="shared" si="20"/>
        <v>361</v>
      </c>
      <c r="B364" s="156">
        <f t="shared" si="17"/>
        <v>2026</v>
      </c>
      <c r="C364" s="129">
        <f t="shared" si="18"/>
        <v>2025</v>
      </c>
      <c r="D364" s="2" t="s">
        <v>155</v>
      </c>
      <c r="E364" s="2" t="s">
        <v>155</v>
      </c>
      <c r="F364" s="39">
        <v>45748</v>
      </c>
      <c r="G364" s="2">
        <f>DAY(EOMONTH(TA[[#This Row],[Month Year]],0))</f>
        <v>30</v>
      </c>
      <c r="H364" s="21">
        <v>45769</v>
      </c>
      <c r="I364" s="41">
        <f>IFERROR(VLOOKUP(TA[[#This Row],[Date]],Raw_Data[[Date]:[Sunset Time (POA&lt;20 W/m2)]],3,0),"")</f>
        <v>0.2638888888888889</v>
      </c>
      <c r="J364" s="41">
        <f>IFERROR(VLOOKUP(TA[[#This Row],[Date]],Raw_Data[[Date]:[Sunset Time (POA&lt;20 W/m2)]],4,0),"")</f>
        <v>0.7680555555555556</v>
      </c>
      <c r="K364" s="35">
        <f>IFERROR((TA[[#This Row],[Sunset Time (POA&lt;20 W/m2)]]-TA[[#This Row],[Sunrise Time (POA&gt;20 W/m2)]])*24,"")</f>
        <v>12.1</v>
      </c>
      <c r="L364" s="2" t="s">
        <v>296</v>
      </c>
      <c r="M364" s="42">
        <f>IFERROR(VLOOKUP(TA[[#This Row],[Affected Equipment]],'Basic Data'!$I$2:$K$40,3,0),"")</f>
        <v>8.6206896551724102E-3</v>
      </c>
      <c r="N364">
        <v>-28</v>
      </c>
      <c r="O364" t="s">
        <v>135</v>
      </c>
      <c r="P364" s="22" t="s">
        <v>323</v>
      </c>
      <c r="Q364" s="2" t="s">
        <v>329</v>
      </c>
      <c r="R364">
        <v>45</v>
      </c>
      <c r="S364" s="2">
        <v>8</v>
      </c>
      <c r="T364" t="s">
        <v>297</v>
      </c>
      <c r="U364" t="s">
        <v>326</v>
      </c>
      <c r="V364" t="s">
        <v>301</v>
      </c>
      <c r="W364" s="41"/>
      <c r="X364" s="41"/>
      <c r="Y364" s="34"/>
      <c r="Z364" s="34"/>
      <c r="AA364" s="35">
        <f>IF(TA[[#This Row],[Work Start time on Fault]]="NA","",(TA[[#This Row],[Fault Acknowledgement Time ]]-TA[[#This Row],[Fault Time]])*24)</f>
        <v>0</v>
      </c>
      <c r="AB364" s="35">
        <f>(TA[[#This Row],[Work Start time on Fault]]-TA[[#This Row],[Fault Time]])*24</f>
        <v>0</v>
      </c>
      <c r="AC364" s="34">
        <f>(TA[[#This Row],[Work Completion time on fault]]-TA[[#This Row],[Fault Time]])*24</f>
        <v>0</v>
      </c>
      <c r="AD364" s="35">
        <f>IFERROR((TA[[#This Row],[Work Completion time on fault]]-TA[[#This Row],[Fault Time]])*24,"")</f>
        <v>0</v>
      </c>
      <c r="AE364" t="s">
        <v>328</v>
      </c>
      <c r="AF364" t="s">
        <v>256</v>
      </c>
      <c r="AG364" s="2"/>
      <c r="AH364" s="44">
        <f>1-COS(RADIANS(TA[[#This Row],[Avg. Target Angle during Fault Time (Radians)]]-TA[[#This Row],[Angle of affected equipment ]]))</f>
        <v>0.11705240714107301</v>
      </c>
      <c r="AI364" s="35">
        <f>IFERROR(TA[[#This Row],[Breakdown Time]]*TA[[#This Row],[Plant Equivalent Weightage]],"")</f>
        <v>0</v>
      </c>
    </row>
    <row r="365" spans="1:35">
      <c r="A365" s="2">
        <f t="shared" si="20"/>
        <v>362</v>
      </c>
      <c r="B365" s="156">
        <f t="shared" si="17"/>
        <v>2026</v>
      </c>
      <c r="C365" s="129">
        <f t="shared" si="18"/>
        <v>2025</v>
      </c>
      <c r="D365" s="2" t="s">
        <v>155</v>
      </c>
      <c r="E365" s="2" t="s">
        <v>155</v>
      </c>
      <c r="F365" s="39">
        <v>45748</v>
      </c>
      <c r="G365" s="2">
        <f>DAY(EOMONTH(TA[[#This Row],[Month Year]],0))</f>
        <v>30</v>
      </c>
      <c r="H365" s="21">
        <v>45769</v>
      </c>
      <c r="I365" s="41">
        <f>IFERROR(VLOOKUP(TA[[#This Row],[Date]],Raw_Data[[Date]:[Sunset Time (POA&lt;20 W/m2)]],3,0),"")</f>
        <v>0.2638888888888889</v>
      </c>
      <c r="J365" s="41">
        <f>IFERROR(VLOOKUP(TA[[#This Row],[Date]],Raw_Data[[Date]:[Sunset Time (POA&lt;20 W/m2)]],4,0),"")</f>
        <v>0.7680555555555556</v>
      </c>
      <c r="K365" s="35">
        <f>IFERROR((TA[[#This Row],[Sunset Time (POA&lt;20 W/m2)]]-TA[[#This Row],[Sunrise Time (POA&gt;20 W/m2)]])*24,"")</f>
        <v>12.1</v>
      </c>
      <c r="L365" s="2" t="s">
        <v>296</v>
      </c>
      <c r="M365" s="42">
        <f>IFERROR(VLOOKUP(TA[[#This Row],[Affected Equipment]],'Basic Data'!$I$2:$K$40,3,0),"")</f>
        <v>8.6206896551724102E-3</v>
      </c>
      <c r="N365">
        <v>-28</v>
      </c>
      <c r="O365" t="s">
        <v>135</v>
      </c>
      <c r="P365" s="22" t="s">
        <v>323</v>
      </c>
      <c r="Q365" s="2" t="s">
        <v>329</v>
      </c>
      <c r="R365">
        <v>47</v>
      </c>
      <c r="S365" s="2">
        <v>18</v>
      </c>
      <c r="T365" t="s">
        <v>297</v>
      </c>
      <c r="U365" t="s">
        <v>326</v>
      </c>
      <c r="V365" t="s">
        <v>301</v>
      </c>
      <c r="W365" s="41"/>
      <c r="X365" s="41"/>
      <c r="Y365" s="34"/>
      <c r="Z365" s="34"/>
      <c r="AA365" s="35">
        <f>IF(TA[[#This Row],[Work Start time on Fault]]="NA","",(TA[[#This Row],[Fault Acknowledgement Time ]]-TA[[#This Row],[Fault Time]])*24)</f>
        <v>0</v>
      </c>
      <c r="AB365" s="35">
        <f>(TA[[#This Row],[Work Start time on Fault]]-TA[[#This Row],[Fault Time]])*24</f>
        <v>0</v>
      </c>
      <c r="AC365" s="34">
        <f>(TA[[#This Row],[Work Completion time on fault]]-TA[[#This Row],[Fault Time]])*24</f>
        <v>0</v>
      </c>
      <c r="AD365" s="35">
        <f>IFERROR((TA[[#This Row],[Work Completion time on fault]]-TA[[#This Row],[Fault Time]])*24,"")</f>
        <v>0</v>
      </c>
      <c r="AE365" t="s">
        <v>328</v>
      </c>
      <c r="AF365" t="s">
        <v>256</v>
      </c>
      <c r="AG365" s="2"/>
      <c r="AH365" s="44">
        <f>1-COS(RADIANS(TA[[#This Row],[Avg. Target Angle during Fault Time (Radians)]]-TA[[#This Row],[Angle of affected equipment ]]))</f>
        <v>0.11705240714107301</v>
      </c>
      <c r="AI365" s="35">
        <f>IFERROR(TA[[#This Row],[Breakdown Time]]*TA[[#This Row],[Plant Equivalent Weightage]],"")</f>
        <v>0</v>
      </c>
    </row>
    <row r="366" spans="1:35">
      <c r="A366" s="2">
        <f t="shared" si="20"/>
        <v>363</v>
      </c>
      <c r="B366" s="156">
        <f t="shared" si="17"/>
        <v>2026</v>
      </c>
      <c r="C366" s="129">
        <f t="shared" si="18"/>
        <v>2025</v>
      </c>
      <c r="D366" s="2" t="s">
        <v>155</v>
      </c>
      <c r="E366" s="2" t="s">
        <v>155</v>
      </c>
      <c r="F366" s="39">
        <v>45748</v>
      </c>
      <c r="G366" s="2">
        <f>DAY(EOMONTH(TA[[#This Row],[Month Year]],0))</f>
        <v>30</v>
      </c>
      <c r="H366" s="21">
        <v>45769</v>
      </c>
      <c r="I366" s="41">
        <f>IFERROR(VLOOKUP(TA[[#This Row],[Date]],Raw_Data[[Date]:[Sunset Time (POA&lt;20 W/m2)]],3,0),"")</f>
        <v>0.2638888888888889</v>
      </c>
      <c r="J366" s="41">
        <f>IFERROR(VLOOKUP(TA[[#This Row],[Date]],Raw_Data[[Date]:[Sunset Time (POA&lt;20 W/m2)]],4,0),"")</f>
        <v>0.7680555555555556</v>
      </c>
      <c r="K366" s="35">
        <f>IFERROR((TA[[#This Row],[Sunset Time (POA&lt;20 W/m2)]]-TA[[#This Row],[Sunrise Time (POA&gt;20 W/m2)]])*24,"")</f>
        <v>12.1</v>
      </c>
      <c r="L366" s="2" t="s">
        <v>296</v>
      </c>
      <c r="M366" s="42">
        <f>IFERROR(VLOOKUP(TA[[#This Row],[Affected Equipment]],'Basic Data'!$I$2:$K$40,3,0),"")</f>
        <v>8.6206896551724102E-3</v>
      </c>
      <c r="N366">
        <v>-28</v>
      </c>
      <c r="O366" t="s">
        <v>134</v>
      </c>
      <c r="P366" s="22" t="s">
        <v>330</v>
      </c>
      <c r="Q366" s="2" t="s">
        <v>323</v>
      </c>
      <c r="R366">
        <v>30</v>
      </c>
      <c r="S366" s="2">
        <v>57</v>
      </c>
      <c r="T366" t="s">
        <v>297</v>
      </c>
      <c r="U366" t="s">
        <v>326</v>
      </c>
      <c r="V366" t="s">
        <v>301</v>
      </c>
      <c r="W366" s="41"/>
      <c r="X366" s="41"/>
      <c r="Y366" s="34"/>
      <c r="Z366" s="34"/>
      <c r="AA366" s="35">
        <f>IF(TA[[#This Row],[Work Start time on Fault]]="NA","",(TA[[#This Row],[Fault Acknowledgement Time ]]-TA[[#This Row],[Fault Time]])*24)</f>
        <v>0</v>
      </c>
      <c r="AB366" s="35">
        <f>(TA[[#This Row],[Work Start time on Fault]]-TA[[#This Row],[Fault Time]])*24</f>
        <v>0</v>
      </c>
      <c r="AC366" s="34">
        <f>(TA[[#This Row],[Work Completion time on fault]]-TA[[#This Row],[Fault Time]])*24</f>
        <v>0</v>
      </c>
      <c r="AD366" s="35">
        <f>IFERROR((TA[[#This Row],[Work Completion time on fault]]-TA[[#This Row],[Fault Time]])*24,"")</f>
        <v>0</v>
      </c>
      <c r="AE366" t="s">
        <v>328</v>
      </c>
      <c r="AF366" t="s">
        <v>256</v>
      </c>
      <c r="AG366" s="2"/>
      <c r="AH366" s="44">
        <f>1-COS(RADIANS(TA[[#This Row],[Avg. Target Angle during Fault Time (Radians)]]-TA[[#This Row],[Angle of affected equipment ]]))</f>
        <v>0.11705240714107301</v>
      </c>
      <c r="AI366" s="35">
        <f>IFERROR(TA[[#This Row],[Breakdown Time]]*TA[[#This Row],[Plant Equivalent Weightage]],"")</f>
        <v>0</v>
      </c>
    </row>
    <row r="367" spans="1:35">
      <c r="A367" s="2">
        <f t="shared" si="20"/>
        <v>364</v>
      </c>
      <c r="B367" s="156">
        <f t="shared" si="17"/>
        <v>2026</v>
      </c>
      <c r="C367" s="129">
        <f t="shared" si="18"/>
        <v>2025</v>
      </c>
      <c r="D367" s="2" t="s">
        <v>155</v>
      </c>
      <c r="E367" s="2" t="s">
        <v>155</v>
      </c>
      <c r="F367" s="39">
        <v>45748</v>
      </c>
      <c r="G367" s="2">
        <f>DAY(EOMONTH(TA[[#This Row],[Month Year]],0))</f>
        <v>30</v>
      </c>
      <c r="H367" s="21">
        <v>45769</v>
      </c>
      <c r="I367" s="41">
        <f>IFERROR(VLOOKUP(TA[[#This Row],[Date]],Raw_Data[[Date]:[Sunset Time (POA&lt;20 W/m2)]],3,0),"")</f>
        <v>0.2638888888888889</v>
      </c>
      <c r="J367" s="41">
        <f>IFERROR(VLOOKUP(TA[[#This Row],[Date]],Raw_Data[[Date]:[Sunset Time (POA&lt;20 W/m2)]],4,0),"")</f>
        <v>0.7680555555555556</v>
      </c>
      <c r="K367" s="35">
        <f>IFERROR((TA[[#This Row],[Sunset Time (POA&lt;20 W/m2)]]-TA[[#This Row],[Sunrise Time (POA&gt;20 W/m2)]])*24,"")</f>
        <v>12.1</v>
      </c>
      <c r="L367" s="2" t="s">
        <v>296</v>
      </c>
      <c r="M367" s="42">
        <f>IFERROR(VLOOKUP(TA[[#This Row],[Affected Equipment]],'Basic Data'!$I$2:$K$40,3,0),"")</f>
        <v>8.6206896551724102E-3</v>
      </c>
      <c r="N367">
        <v>-28</v>
      </c>
      <c r="O367" t="s">
        <v>134</v>
      </c>
      <c r="P367" s="22" t="s">
        <v>330</v>
      </c>
      <c r="Q367" s="2" t="s">
        <v>323</v>
      </c>
      <c r="R367">
        <v>31</v>
      </c>
      <c r="S367" s="2">
        <v>61</v>
      </c>
      <c r="T367" t="s">
        <v>297</v>
      </c>
      <c r="U367" t="s">
        <v>326</v>
      </c>
      <c r="V367" t="s">
        <v>301</v>
      </c>
      <c r="W367" s="41"/>
      <c r="X367" s="41"/>
      <c r="Y367" s="34"/>
      <c r="Z367" s="34"/>
      <c r="AA367" s="35">
        <f>IF(TA[[#This Row],[Work Start time on Fault]]="NA","",(TA[[#This Row],[Fault Acknowledgement Time ]]-TA[[#This Row],[Fault Time]])*24)</f>
        <v>0</v>
      </c>
      <c r="AB367" s="35">
        <f>(TA[[#This Row],[Work Start time on Fault]]-TA[[#This Row],[Fault Time]])*24</f>
        <v>0</v>
      </c>
      <c r="AC367" s="34">
        <f>(TA[[#This Row],[Work Completion time on fault]]-TA[[#This Row],[Fault Time]])*24</f>
        <v>0</v>
      </c>
      <c r="AD367" s="35">
        <f>IFERROR((TA[[#This Row],[Work Completion time on fault]]-TA[[#This Row],[Fault Time]])*24,"")</f>
        <v>0</v>
      </c>
      <c r="AE367" t="s">
        <v>328</v>
      </c>
      <c r="AF367" t="s">
        <v>256</v>
      </c>
      <c r="AG367" s="2"/>
      <c r="AH367" s="44">
        <f>1-COS(RADIANS(TA[[#This Row],[Avg. Target Angle during Fault Time (Radians)]]-TA[[#This Row],[Angle of affected equipment ]]))</f>
        <v>0.11705240714107301</v>
      </c>
      <c r="AI367" s="35">
        <f>IFERROR(TA[[#This Row],[Breakdown Time]]*TA[[#This Row],[Plant Equivalent Weightage]],"")</f>
        <v>0</v>
      </c>
    </row>
    <row r="368" spans="1:35">
      <c r="A368" s="2">
        <f t="shared" si="20"/>
        <v>365</v>
      </c>
      <c r="B368" s="156">
        <f t="shared" si="17"/>
        <v>2026</v>
      </c>
      <c r="C368" s="129">
        <f t="shared" si="18"/>
        <v>2025</v>
      </c>
      <c r="D368" s="2" t="s">
        <v>155</v>
      </c>
      <c r="E368" s="2" t="s">
        <v>155</v>
      </c>
      <c r="F368" s="39">
        <v>45748</v>
      </c>
      <c r="G368" s="2">
        <f>DAY(EOMONTH(TA[[#This Row],[Month Year]],0))</f>
        <v>30</v>
      </c>
      <c r="H368" s="21">
        <v>45769</v>
      </c>
      <c r="I368" s="41">
        <f>IFERROR(VLOOKUP(TA[[#This Row],[Date]],Raw_Data[[Date]:[Sunset Time (POA&lt;20 W/m2)]],3,0),"")</f>
        <v>0.2638888888888889</v>
      </c>
      <c r="J368" s="41">
        <f>IFERROR(VLOOKUP(TA[[#This Row],[Date]],Raw_Data[[Date]:[Sunset Time (POA&lt;20 W/m2)]],4,0),"")</f>
        <v>0.7680555555555556</v>
      </c>
      <c r="K368" s="35">
        <f>IFERROR((TA[[#This Row],[Sunset Time (POA&lt;20 W/m2)]]-TA[[#This Row],[Sunrise Time (POA&gt;20 W/m2)]])*24,"")</f>
        <v>12.1</v>
      </c>
      <c r="L368" s="2" t="s">
        <v>312</v>
      </c>
      <c r="M368" s="42">
        <f>IFERROR(VLOOKUP(TA[[#This Row],[Affected Equipment]],'Basic Data'!$I$2:$K$40,3,0),"")</f>
        <v>5.74712643678161E-3</v>
      </c>
      <c r="N368">
        <v>-28</v>
      </c>
      <c r="O368" t="s">
        <v>133</v>
      </c>
      <c r="P368" s="22" t="s">
        <v>330</v>
      </c>
      <c r="Q368" s="2" t="s">
        <v>323</v>
      </c>
      <c r="R368">
        <v>26</v>
      </c>
      <c r="S368" s="2">
        <v>37</v>
      </c>
      <c r="T368" t="s">
        <v>297</v>
      </c>
      <c r="U368" t="s">
        <v>326</v>
      </c>
      <c r="V368" t="s">
        <v>301</v>
      </c>
      <c r="W368" s="41"/>
      <c r="X368" s="41"/>
      <c r="Y368" s="34"/>
      <c r="Z368" s="34"/>
      <c r="AA368" s="35">
        <f>IF(TA[[#This Row],[Work Start time on Fault]]="NA","",(TA[[#This Row],[Fault Acknowledgement Time ]]-TA[[#This Row],[Fault Time]])*24)</f>
        <v>0</v>
      </c>
      <c r="AB368" s="35">
        <f>(TA[[#This Row],[Work Start time on Fault]]-TA[[#This Row],[Fault Time]])*24</f>
        <v>0</v>
      </c>
      <c r="AC368" s="34">
        <f>(TA[[#This Row],[Work Completion time on fault]]-TA[[#This Row],[Fault Time]])*24</f>
        <v>0</v>
      </c>
      <c r="AD368" s="35">
        <f>IFERROR((TA[[#This Row],[Work Completion time on fault]]-TA[[#This Row],[Fault Time]])*24,"")</f>
        <v>0</v>
      </c>
      <c r="AE368" t="s">
        <v>328</v>
      </c>
      <c r="AF368" t="s">
        <v>256</v>
      </c>
      <c r="AG368" s="2"/>
      <c r="AH368" s="44">
        <f>1-COS(RADIANS(TA[[#This Row],[Avg. Target Angle during Fault Time (Radians)]]-TA[[#This Row],[Angle of affected equipment ]]))</f>
        <v>0.11705240714107301</v>
      </c>
      <c r="AI368" s="35">
        <f>IFERROR(TA[[#This Row],[Breakdown Time]]*TA[[#This Row],[Plant Equivalent Weightage]],"")</f>
        <v>0</v>
      </c>
    </row>
    <row r="369" spans="1:35">
      <c r="A369" s="2">
        <f t="shared" si="20"/>
        <v>366</v>
      </c>
      <c r="B369" s="156">
        <f t="shared" si="17"/>
        <v>2026</v>
      </c>
      <c r="C369" s="129">
        <f t="shared" si="18"/>
        <v>2025</v>
      </c>
      <c r="D369" s="2" t="s">
        <v>155</v>
      </c>
      <c r="E369" s="2" t="s">
        <v>155</v>
      </c>
      <c r="F369" s="39">
        <v>45748</v>
      </c>
      <c r="G369" s="2">
        <f>DAY(EOMONTH(TA[[#This Row],[Month Year]],0))</f>
        <v>30</v>
      </c>
      <c r="H369" s="21">
        <v>45769</v>
      </c>
      <c r="I369" s="41">
        <f>IFERROR(VLOOKUP(TA[[#This Row],[Date]],Raw_Data[[Date]:[Sunset Time (POA&lt;20 W/m2)]],3,0),"")</f>
        <v>0.2638888888888889</v>
      </c>
      <c r="J369" s="41">
        <f>IFERROR(VLOOKUP(TA[[#This Row],[Date]],Raw_Data[[Date]:[Sunset Time (POA&lt;20 W/m2)]],4,0),"")</f>
        <v>0.7680555555555556</v>
      </c>
      <c r="K369" s="35">
        <f>IFERROR((TA[[#This Row],[Sunset Time (POA&lt;20 W/m2)]]-TA[[#This Row],[Sunrise Time (POA&gt;20 W/m2)]])*24,"")</f>
        <v>12.1</v>
      </c>
      <c r="L369" s="2" t="s">
        <v>312</v>
      </c>
      <c r="M369" s="42">
        <f>IFERROR(VLOOKUP(TA[[#This Row],[Affected Equipment]],'Basic Data'!$I$2:$K$40,3,0),"")</f>
        <v>5.74712643678161E-3</v>
      </c>
      <c r="N369">
        <v>-28</v>
      </c>
      <c r="O369" t="s">
        <v>133</v>
      </c>
      <c r="P369" s="22" t="s">
        <v>330</v>
      </c>
      <c r="Q369" s="2" t="s">
        <v>323</v>
      </c>
      <c r="R369">
        <v>27</v>
      </c>
      <c r="S369" s="2">
        <v>42</v>
      </c>
      <c r="T369" t="s">
        <v>297</v>
      </c>
      <c r="U369" t="s">
        <v>326</v>
      </c>
      <c r="V369" t="s">
        <v>301</v>
      </c>
      <c r="W369" s="41">
        <f>IFERROR(VLOOKUP(TA[[#This Row],[Date]],Raw_Data[[Date]:[Sunset Time (POA&lt;20 W/m2)]],3,0),"")</f>
        <v>0.2638888888888889</v>
      </c>
      <c r="X369" s="41">
        <f>IFERROR(VLOOKUP(TA[[#This Row],[Date]],Raw_Data[[Date]:[Sunset Time (POA&lt;20 W/m2)]],3,0),"")</f>
        <v>0.2638888888888889</v>
      </c>
      <c r="Y369" s="34"/>
      <c r="Z369" s="34">
        <v>0.76041666666666663</v>
      </c>
      <c r="AA369" s="35">
        <f>IF(TA[[#This Row],[Work Start time on Fault]]="NA","",(TA[[#This Row],[Fault Acknowledgement Time ]]-TA[[#This Row],[Fault Time]])*24)</f>
        <v>0</v>
      </c>
      <c r="AB369" s="35">
        <f>(TA[[#This Row],[Work Start time on Fault]]-TA[[#This Row],[Fault Time]])*24</f>
        <v>-6.3333333333333339</v>
      </c>
      <c r="AC369" s="34">
        <f>(TA[[#This Row],[Work Completion time on fault]]-TA[[#This Row],[Fault Time]])*24</f>
        <v>11.916666666666666</v>
      </c>
      <c r="AD369" s="35">
        <f>IFERROR((TA[[#This Row],[Work Completion time on fault]]-TA[[#This Row],[Fault Time]])*24,"")</f>
        <v>11.916666666666666</v>
      </c>
      <c r="AE369" t="s">
        <v>309</v>
      </c>
      <c r="AF369" t="s">
        <v>256</v>
      </c>
      <c r="AG369" s="2"/>
      <c r="AH369" s="44">
        <f>1-COS(RADIANS(TA[[#This Row],[Avg. Target Angle during Fault Time (Radians)]]-TA[[#This Row],[Angle of affected equipment ]]))</f>
        <v>0.11705240714107301</v>
      </c>
      <c r="AI369" s="35">
        <f>IFERROR(TA[[#This Row],[Breakdown Time]]*TA[[#This Row],[Plant Equivalent Weightage]],"")</f>
        <v>6.8486590038314185E-2</v>
      </c>
    </row>
    <row r="370" spans="1:35">
      <c r="A370" s="2">
        <f t="shared" si="20"/>
        <v>367</v>
      </c>
      <c r="B370" s="156">
        <f t="shared" si="17"/>
        <v>2026</v>
      </c>
      <c r="C370" s="129">
        <f t="shared" si="18"/>
        <v>2025</v>
      </c>
      <c r="D370" s="2" t="s">
        <v>155</v>
      </c>
      <c r="E370" s="2" t="s">
        <v>155</v>
      </c>
      <c r="F370" s="39">
        <v>45748</v>
      </c>
      <c r="G370" s="2">
        <f>DAY(EOMONTH(TA[[#This Row],[Month Year]],0))</f>
        <v>30</v>
      </c>
      <c r="H370" s="21">
        <v>45770</v>
      </c>
      <c r="I370" s="41">
        <f>IFERROR(VLOOKUP(TA[[#This Row],[Date]],Raw_Data[[Date]:[Sunset Time (POA&lt;20 W/m2)]],3,0),"")</f>
        <v>0.26041666666666669</v>
      </c>
      <c r="J370" s="41">
        <f>IFERROR(VLOOKUP(TA[[#This Row],[Date]],Raw_Data[[Date]:[Sunset Time (POA&lt;20 W/m2)]],4,0),"")</f>
        <v>0.7631944444444444</v>
      </c>
      <c r="K370" s="35">
        <f>IFERROR((TA[[#This Row],[Sunset Time (POA&lt;20 W/m2)]]-TA[[#This Row],[Sunrise Time (POA&gt;20 W/m2)]])*24,"")</f>
        <v>12.066666666666666</v>
      </c>
      <c r="L370" s="2" t="s">
        <v>294</v>
      </c>
      <c r="M370" s="42">
        <f>IFERROR(VLOOKUP(TA[[#This Row],[Affected Equipment]],'Basic Data'!$I$2:$K$40,3,0),"")</f>
        <v>1.7241379310344799E-3</v>
      </c>
      <c r="N370">
        <v>-28</v>
      </c>
      <c r="O370" t="s">
        <v>135</v>
      </c>
      <c r="P370" s="127" t="s">
        <v>318</v>
      </c>
      <c r="Q370" s="126" t="s">
        <v>318</v>
      </c>
      <c r="R370">
        <v>130</v>
      </c>
      <c r="S370" s="2">
        <v>37</v>
      </c>
      <c r="T370" t="s">
        <v>295</v>
      </c>
      <c r="U370" t="s">
        <v>300</v>
      </c>
      <c r="V370" t="s">
        <v>298</v>
      </c>
      <c r="W370" s="41"/>
      <c r="X370" s="41"/>
      <c r="Y370" s="34"/>
      <c r="Z370" s="34"/>
      <c r="AA370" s="35">
        <f>IF(TA[[#This Row],[Work Start time on Fault]]="NA","",(TA[[#This Row],[Fault Acknowledgement Time ]]-TA[[#This Row],[Fault Time]])*24)</f>
        <v>0</v>
      </c>
      <c r="AB370" s="35">
        <f>(TA[[#This Row],[Work Start time on Fault]]-TA[[#This Row],[Fault Time]])*24</f>
        <v>0</v>
      </c>
      <c r="AC370" s="34">
        <f>(TA[[#This Row],[Work Completion time on fault]]-TA[[#This Row],[Fault Time]])*24</f>
        <v>0</v>
      </c>
      <c r="AD370" s="35">
        <f>IFERROR((TA[[#This Row],[Work Completion time on fault]]-TA[[#This Row],[Fault Time]])*24,"")</f>
        <v>0</v>
      </c>
      <c r="AE370" t="s">
        <v>328</v>
      </c>
      <c r="AF370" t="s">
        <v>256</v>
      </c>
      <c r="AG370" s="2"/>
      <c r="AH370" s="44">
        <f>1-COS(RADIANS(TA[[#This Row],[Avg. Target Angle during Fault Time (Radians)]]-TA[[#This Row],[Angle of affected equipment ]]))</f>
        <v>0.11705240714107301</v>
      </c>
      <c r="AI370" s="35">
        <f>IFERROR(TA[[#This Row],[Breakdown Time]]*TA[[#This Row],[Plant Equivalent Weightage]],"")</f>
        <v>0</v>
      </c>
    </row>
    <row r="371" spans="1:35">
      <c r="A371" s="2">
        <f t="shared" si="20"/>
        <v>368</v>
      </c>
      <c r="B371" s="156">
        <f t="shared" si="17"/>
        <v>2026</v>
      </c>
      <c r="C371" s="129">
        <f t="shared" si="18"/>
        <v>2025</v>
      </c>
      <c r="D371" s="2" t="s">
        <v>155</v>
      </c>
      <c r="E371" s="2" t="s">
        <v>155</v>
      </c>
      <c r="F371" s="39">
        <v>45748</v>
      </c>
      <c r="G371" s="2">
        <f>DAY(EOMONTH(TA[[#This Row],[Month Year]],0))</f>
        <v>30</v>
      </c>
      <c r="H371" s="21">
        <v>45770</v>
      </c>
      <c r="I371" s="41">
        <f>IFERROR(VLOOKUP(TA[[#This Row],[Date]],Raw_Data[[Date]:[Sunset Time (POA&lt;20 W/m2)]],3,0),"")</f>
        <v>0.26041666666666669</v>
      </c>
      <c r="J371" s="41">
        <f>IFERROR(VLOOKUP(TA[[#This Row],[Date]],Raw_Data[[Date]:[Sunset Time (POA&lt;20 W/m2)]],4,0),"")</f>
        <v>0.7631944444444444</v>
      </c>
      <c r="K371" s="35">
        <f>IFERROR((TA[[#This Row],[Sunset Time (POA&lt;20 W/m2)]]-TA[[#This Row],[Sunrise Time (POA&gt;20 W/m2)]])*24,"")</f>
        <v>12.066666666666666</v>
      </c>
      <c r="L371" s="2" t="s">
        <v>294</v>
      </c>
      <c r="M371" s="42">
        <f>IFERROR(VLOOKUP(TA[[#This Row],[Affected Equipment]],'Basic Data'!$I$2:$K$40,3,0),"")</f>
        <v>1.7241379310344799E-3</v>
      </c>
      <c r="N371">
        <v>-28</v>
      </c>
      <c r="O371" t="s">
        <v>135</v>
      </c>
      <c r="P371" s="127" t="s">
        <v>318</v>
      </c>
      <c r="Q371" s="126" t="s">
        <v>318</v>
      </c>
      <c r="R371">
        <v>131</v>
      </c>
      <c r="S371" s="2">
        <v>38</v>
      </c>
      <c r="T371" t="s">
        <v>295</v>
      </c>
      <c r="U371" t="s">
        <v>300</v>
      </c>
      <c r="V371" t="s">
        <v>298</v>
      </c>
      <c r="W371" s="41"/>
      <c r="X371" s="41"/>
      <c r="Y371" s="34"/>
      <c r="Z371" s="34"/>
      <c r="AA371" s="35">
        <f>IF(TA[[#This Row],[Work Start time on Fault]]="NA","",(TA[[#This Row],[Fault Acknowledgement Time ]]-TA[[#This Row],[Fault Time]])*24)</f>
        <v>0</v>
      </c>
      <c r="AB371" s="35">
        <f>(TA[[#This Row],[Work Start time on Fault]]-TA[[#This Row],[Fault Time]])*24</f>
        <v>0</v>
      </c>
      <c r="AC371" s="34">
        <f>(TA[[#This Row],[Work Completion time on fault]]-TA[[#This Row],[Fault Time]])*24</f>
        <v>0</v>
      </c>
      <c r="AD371" s="35">
        <f>IFERROR((TA[[#This Row],[Work Completion time on fault]]-TA[[#This Row],[Fault Time]])*24,"")</f>
        <v>0</v>
      </c>
      <c r="AE371" t="s">
        <v>328</v>
      </c>
      <c r="AF371" t="s">
        <v>256</v>
      </c>
      <c r="AG371" s="2"/>
      <c r="AH371" s="44">
        <f>1-COS(RADIANS(TA[[#This Row],[Avg. Target Angle during Fault Time (Radians)]]-TA[[#This Row],[Angle of affected equipment ]]))</f>
        <v>0.11705240714107301</v>
      </c>
      <c r="AI371" s="35">
        <f>IFERROR(TA[[#This Row],[Breakdown Time]]*TA[[#This Row],[Plant Equivalent Weightage]],"")</f>
        <v>0</v>
      </c>
    </row>
    <row r="372" spans="1:35">
      <c r="A372" s="2">
        <f t="shared" si="20"/>
        <v>369</v>
      </c>
      <c r="B372" s="156">
        <f t="shared" si="17"/>
        <v>2026</v>
      </c>
      <c r="C372" s="129">
        <f t="shared" si="18"/>
        <v>2025</v>
      </c>
      <c r="D372" s="2" t="s">
        <v>155</v>
      </c>
      <c r="E372" s="2" t="s">
        <v>155</v>
      </c>
      <c r="F372" s="39">
        <v>45748</v>
      </c>
      <c r="G372" s="2">
        <f>DAY(EOMONTH(TA[[#This Row],[Month Year]],0))</f>
        <v>30</v>
      </c>
      <c r="H372" s="21">
        <v>45770</v>
      </c>
      <c r="I372" s="41">
        <f>IFERROR(VLOOKUP(TA[[#This Row],[Date]],Raw_Data[[Date]:[Sunset Time (POA&lt;20 W/m2)]],3,0),"")</f>
        <v>0.26041666666666669</v>
      </c>
      <c r="J372" s="41">
        <f>IFERROR(VLOOKUP(TA[[#This Row],[Date]],Raw_Data[[Date]:[Sunset Time (POA&lt;20 W/m2)]],4,0),"")</f>
        <v>0.7631944444444444</v>
      </c>
      <c r="K372" s="35">
        <f>IFERROR((TA[[#This Row],[Sunset Time (POA&lt;20 W/m2)]]-TA[[#This Row],[Sunrise Time (POA&gt;20 W/m2)]])*24,"")</f>
        <v>12.066666666666666</v>
      </c>
      <c r="L372" s="2" t="s">
        <v>294</v>
      </c>
      <c r="M372" s="42">
        <f>IFERROR(VLOOKUP(TA[[#This Row],[Affected Equipment]],'Basic Data'!$I$2:$K$40,3,0),"")</f>
        <v>1.7241379310344799E-3</v>
      </c>
      <c r="N372">
        <v>-28</v>
      </c>
      <c r="O372" t="s">
        <v>135</v>
      </c>
      <c r="P372" s="127" t="s">
        <v>318</v>
      </c>
      <c r="Q372" s="126" t="s">
        <v>318</v>
      </c>
      <c r="R372">
        <v>131</v>
      </c>
      <c r="S372" s="2">
        <v>39</v>
      </c>
      <c r="T372" t="s">
        <v>295</v>
      </c>
      <c r="U372" t="s">
        <v>300</v>
      </c>
      <c r="V372" t="s">
        <v>298</v>
      </c>
      <c r="W372" s="41"/>
      <c r="X372" s="41"/>
      <c r="Y372" s="34"/>
      <c r="Z372" s="34"/>
      <c r="AA372" s="35">
        <f>IF(TA[[#This Row],[Work Start time on Fault]]="NA","",(TA[[#This Row],[Fault Acknowledgement Time ]]-TA[[#This Row],[Fault Time]])*24)</f>
        <v>0</v>
      </c>
      <c r="AB372" s="35">
        <f>(TA[[#This Row],[Work Start time on Fault]]-TA[[#This Row],[Fault Time]])*24</f>
        <v>0</v>
      </c>
      <c r="AC372" s="34">
        <f>(TA[[#This Row],[Work Completion time on fault]]-TA[[#This Row],[Fault Time]])*24</f>
        <v>0</v>
      </c>
      <c r="AD372" s="35">
        <f>IFERROR((TA[[#This Row],[Work Completion time on fault]]-TA[[#This Row],[Fault Time]])*24,"")</f>
        <v>0</v>
      </c>
      <c r="AE372" t="s">
        <v>328</v>
      </c>
      <c r="AF372" t="s">
        <v>256</v>
      </c>
      <c r="AG372" s="2"/>
      <c r="AH372" s="44">
        <f>1-COS(RADIANS(TA[[#This Row],[Avg. Target Angle during Fault Time (Radians)]]-TA[[#This Row],[Angle of affected equipment ]]))</f>
        <v>0.11705240714107301</v>
      </c>
      <c r="AI372" s="35">
        <f>IFERROR(TA[[#This Row],[Breakdown Time]]*TA[[#This Row],[Plant Equivalent Weightage]],"")</f>
        <v>0</v>
      </c>
    </row>
    <row r="373" spans="1:35">
      <c r="A373" s="2">
        <f t="shared" si="20"/>
        <v>370</v>
      </c>
      <c r="B373" s="156">
        <f t="shared" si="17"/>
        <v>2026</v>
      </c>
      <c r="C373" s="129">
        <f t="shared" si="18"/>
        <v>2025</v>
      </c>
      <c r="D373" s="2" t="s">
        <v>155</v>
      </c>
      <c r="E373" s="2" t="s">
        <v>155</v>
      </c>
      <c r="F373" s="39">
        <v>45748</v>
      </c>
      <c r="G373" s="2">
        <f>DAY(EOMONTH(TA[[#This Row],[Month Year]],0))</f>
        <v>30</v>
      </c>
      <c r="H373" s="21">
        <v>45770</v>
      </c>
      <c r="I373" s="41">
        <f>IFERROR(VLOOKUP(TA[[#This Row],[Date]],Raw_Data[[Date]:[Sunset Time (POA&lt;20 W/m2)]],3,0),"")</f>
        <v>0.26041666666666669</v>
      </c>
      <c r="J373" s="41">
        <f>IFERROR(VLOOKUP(TA[[#This Row],[Date]],Raw_Data[[Date]:[Sunset Time (POA&lt;20 W/m2)]],4,0),"")</f>
        <v>0.7631944444444444</v>
      </c>
      <c r="K373" s="35">
        <f>IFERROR((TA[[#This Row],[Sunset Time (POA&lt;20 W/m2)]]-TA[[#This Row],[Sunrise Time (POA&gt;20 W/m2)]])*24,"")</f>
        <v>12.066666666666666</v>
      </c>
      <c r="L373" s="2" t="s">
        <v>296</v>
      </c>
      <c r="M373" s="42">
        <f>IFERROR(VLOOKUP(TA[[#This Row],[Affected Equipment]],'Basic Data'!$I$2:$K$40,3,0),"")</f>
        <v>8.6206896551724102E-3</v>
      </c>
      <c r="N373">
        <v>-28</v>
      </c>
      <c r="O373" t="s">
        <v>135</v>
      </c>
      <c r="P373" s="127" t="s">
        <v>318</v>
      </c>
      <c r="Q373" s="2" t="s">
        <v>321</v>
      </c>
      <c r="R373">
        <v>133</v>
      </c>
      <c r="S373" s="2">
        <v>26</v>
      </c>
      <c r="T373" t="s">
        <v>297</v>
      </c>
      <c r="U373" t="s">
        <v>300</v>
      </c>
      <c r="V373" t="s">
        <v>314</v>
      </c>
      <c r="W373" s="41">
        <f>IFERROR(VLOOKUP(TA[[#This Row],[Date]],Raw_Data[[Date]:[Sunset Time (POA&lt;20 W/m2)]],3,0),"")</f>
        <v>0.26041666666666669</v>
      </c>
      <c r="X373" s="41">
        <f>IFERROR(VLOOKUP(TA[[#This Row],[Date]],Raw_Data[[Date]:[Sunset Time (POA&lt;20 W/m2)]],3,0),"")</f>
        <v>0.26041666666666669</v>
      </c>
      <c r="Y373" s="34"/>
      <c r="Z373" s="34">
        <v>0.76041666666666663</v>
      </c>
      <c r="AA373" s="35">
        <f>IF(TA[[#This Row],[Work Start time on Fault]]="NA","",(TA[[#This Row],[Fault Acknowledgement Time ]]-TA[[#This Row],[Fault Time]])*24)</f>
        <v>0</v>
      </c>
      <c r="AB373" s="35">
        <f>(TA[[#This Row],[Work Start time on Fault]]-TA[[#This Row],[Fault Time]])*24</f>
        <v>-6.25</v>
      </c>
      <c r="AC373" s="34">
        <f>(TA[[#This Row],[Work Completion time on fault]]-TA[[#This Row],[Fault Time]])*24</f>
        <v>11.999999999999998</v>
      </c>
      <c r="AD373" s="35">
        <f>IFERROR((TA[[#This Row],[Work Completion time on fault]]-TA[[#This Row],[Fault Time]])*24,"")</f>
        <v>11.999999999999998</v>
      </c>
      <c r="AE373" t="s">
        <v>328</v>
      </c>
      <c r="AF373" t="s">
        <v>256</v>
      </c>
      <c r="AG373" s="2"/>
      <c r="AH373" s="44">
        <f>1-COS(RADIANS(TA[[#This Row],[Avg. Target Angle during Fault Time (Radians)]]-TA[[#This Row],[Angle of affected equipment ]]))</f>
        <v>0.11705240714107301</v>
      </c>
      <c r="AI373" s="35">
        <f>IFERROR(TA[[#This Row],[Breakdown Time]]*TA[[#This Row],[Plant Equivalent Weightage]],"")</f>
        <v>0.10344827586206891</v>
      </c>
    </row>
    <row r="374" spans="1:35">
      <c r="A374" s="2">
        <f t="shared" si="20"/>
        <v>371</v>
      </c>
      <c r="B374" s="156">
        <f t="shared" si="17"/>
        <v>2026</v>
      </c>
      <c r="C374" s="129">
        <f t="shared" si="18"/>
        <v>2025</v>
      </c>
      <c r="D374" s="2" t="s">
        <v>155</v>
      </c>
      <c r="E374" s="2" t="s">
        <v>155</v>
      </c>
      <c r="F374" s="39">
        <v>45748</v>
      </c>
      <c r="G374" s="2">
        <f>DAY(EOMONTH(TA[[#This Row],[Month Year]],0))</f>
        <v>30</v>
      </c>
      <c r="H374" s="21">
        <v>45770</v>
      </c>
      <c r="I374" s="41">
        <f>IFERROR(VLOOKUP(TA[[#This Row],[Date]],Raw_Data[[Date]:[Sunset Time (POA&lt;20 W/m2)]],3,0),"")</f>
        <v>0.26041666666666669</v>
      </c>
      <c r="J374" s="41">
        <f>IFERROR(VLOOKUP(TA[[#This Row],[Date]],Raw_Data[[Date]:[Sunset Time (POA&lt;20 W/m2)]],4,0),"")</f>
        <v>0.7631944444444444</v>
      </c>
      <c r="K374" s="35">
        <f>IFERROR((TA[[#This Row],[Sunset Time (POA&lt;20 W/m2)]]-TA[[#This Row],[Sunrise Time (POA&gt;20 W/m2)]])*24,"")</f>
        <v>12.066666666666666</v>
      </c>
      <c r="L374" s="2" t="s">
        <v>294</v>
      </c>
      <c r="M374" s="42">
        <f>IFERROR(VLOOKUP(TA[[#This Row],[Affected Equipment]],'Basic Data'!$I$2:$K$40,3,0),"")</f>
        <v>1.7241379310344799E-3</v>
      </c>
      <c r="N374">
        <v>-28</v>
      </c>
      <c r="O374" t="s">
        <v>133</v>
      </c>
      <c r="P374" s="127" t="s">
        <v>316</v>
      </c>
      <c r="Q374" s="126" t="s">
        <v>317</v>
      </c>
      <c r="R374">
        <v>7</v>
      </c>
      <c r="S374" s="2">
        <v>32</v>
      </c>
      <c r="T374" t="s">
        <v>295</v>
      </c>
      <c r="U374" t="s">
        <v>300</v>
      </c>
      <c r="V374" t="s">
        <v>298</v>
      </c>
      <c r="W374" s="41"/>
      <c r="X374" s="41"/>
      <c r="Y374" s="34"/>
      <c r="Z374" s="34"/>
      <c r="AA374" s="35">
        <f>IF(TA[[#This Row],[Work Start time on Fault]]="NA","",(TA[[#This Row],[Fault Acknowledgement Time ]]-TA[[#This Row],[Fault Time]])*24)</f>
        <v>0</v>
      </c>
      <c r="AB374" s="35">
        <f>(TA[[#This Row],[Work Start time on Fault]]-TA[[#This Row],[Fault Time]])*24</f>
        <v>0</v>
      </c>
      <c r="AC374" s="34">
        <f>(TA[[#This Row],[Work Completion time on fault]]-TA[[#This Row],[Fault Time]])*24</f>
        <v>0</v>
      </c>
      <c r="AD374" s="35">
        <f>IFERROR((TA[[#This Row],[Work Completion time on fault]]-TA[[#This Row],[Fault Time]])*24,"")</f>
        <v>0</v>
      </c>
      <c r="AE374" t="s">
        <v>328</v>
      </c>
      <c r="AF374" t="s">
        <v>256</v>
      </c>
      <c r="AG374" s="2"/>
      <c r="AH374" s="44">
        <f>1-COS(RADIANS(TA[[#This Row],[Avg. Target Angle during Fault Time (Radians)]]-TA[[#This Row],[Angle of affected equipment ]]))</f>
        <v>0.11705240714107301</v>
      </c>
      <c r="AI374" s="35">
        <f>IFERROR(TA[[#This Row],[Breakdown Time]]*TA[[#This Row],[Plant Equivalent Weightage]],"")</f>
        <v>0</v>
      </c>
    </row>
    <row r="375" spans="1:35">
      <c r="A375" s="2">
        <f t="shared" si="20"/>
        <v>372</v>
      </c>
      <c r="B375" s="156">
        <f t="shared" si="17"/>
        <v>2026</v>
      </c>
      <c r="C375" s="129">
        <f t="shared" si="18"/>
        <v>2025</v>
      </c>
      <c r="D375" s="2" t="s">
        <v>155</v>
      </c>
      <c r="E375" s="2" t="s">
        <v>155</v>
      </c>
      <c r="F375" s="39">
        <v>45748</v>
      </c>
      <c r="G375" s="2">
        <f>DAY(EOMONTH(TA[[#This Row],[Month Year]],0))</f>
        <v>30</v>
      </c>
      <c r="H375" s="21">
        <v>45770</v>
      </c>
      <c r="I375" s="41">
        <f>IFERROR(VLOOKUP(TA[[#This Row],[Date]],Raw_Data[[Date]:[Sunset Time (POA&lt;20 W/m2)]],3,0),"")</f>
        <v>0.26041666666666669</v>
      </c>
      <c r="J375" s="41">
        <f>IFERROR(VLOOKUP(TA[[#This Row],[Date]],Raw_Data[[Date]:[Sunset Time (POA&lt;20 W/m2)]],4,0),"")</f>
        <v>0.7631944444444444</v>
      </c>
      <c r="K375" s="35">
        <f>IFERROR((TA[[#This Row],[Sunset Time (POA&lt;20 W/m2)]]-TA[[#This Row],[Sunrise Time (POA&gt;20 W/m2)]])*24,"")</f>
        <v>12.066666666666666</v>
      </c>
      <c r="L375" s="2" t="s">
        <v>294</v>
      </c>
      <c r="M375" s="42">
        <f>IFERROR(VLOOKUP(TA[[#This Row],[Affected Equipment]],'Basic Data'!$I$2:$K$40,3,0),"")</f>
        <v>1.7241379310344799E-3</v>
      </c>
      <c r="N375">
        <v>-28</v>
      </c>
      <c r="O375" t="s">
        <v>137</v>
      </c>
      <c r="P375" s="127" t="s">
        <v>315</v>
      </c>
      <c r="Q375" s="126" t="s">
        <v>319</v>
      </c>
      <c r="R375">
        <v>166</v>
      </c>
      <c r="S375" s="2">
        <v>91</v>
      </c>
      <c r="T375" t="s">
        <v>295</v>
      </c>
      <c r="U375" t="s">
        <v>300</v>
      </c>
      <c r="V375" t="s">
        <v>298</v>
      </c>
      <c r="W375" s="41"/>
      <c r="X375" s="41"/>
      <c r="Y375" s="34"/>
      <c r="Z375" s="34"/>
      <c r="AA375" s="35">
        <f>IF(TA[[#This Row],[Work Start time on Fault]]="NA","",(TA[[#This Row],[Fault Acknowledgement Time ]]-TA[[#This Row],[Fault Time]])*24)</f>
        <v>0</v>
      </c>
      <c r="AB375" s="35">
        <f>(TA[[#This Row],[Work Start time on Fault]]-TA[[#This Row],[Fault Time]])*24</f>
        <v>0</v>
      </c>
      <c r="AC375" s="34">
        <f>(TA[[#This Row],[Work Completion time on fault]]-TA[[#This Row],[Fault Time]])*24</f>
        <v>0</v>
      </c>
      <c r="AD375" s="35">
        <f>IFERROR((TA[[#This Row],[Work Completion time on fault]]-TA[[#This Row],[Fault Time]])*24,"")</f>
        <v>0</v>
      </c>
      <c r="AE375" t="s">
        <v>328</v>
      </c>
      <c r="AF375" t="s">
        <v>256</v>
      </c>
      <c r="AG375" s="2"/>
      <c r="AH375" s="44">
        <f>1-COS(RADIANS(TA[[#This Row],[Avg. Target Angle during Fault Time (Radians)]]-TA[[#This Row],[Angle of affected equipment ]]))</f>
        <v>0.11705240714107301</v>
      </c>
      <c r="AI375" s="35">
        <f>IFERROR(TA[[#This Row],[Breakdown Time]]*TA[[#This Row],[Plant Equivalent Weightage]],"")</f>
        <v>0</v>
      </c>
    </row>
    <row r="376" spans="1:35">
      <c r="A376" s="2">
        <f t="shared" si="20"/>
        <v>373</v>
      </c>
      <c r="B376" s="156">
        <f t="shared" si="17"/>
        <v>2026</v>
      </c>
      <c r="C376" s="129">
        <f t="shared" si="18"/>
        <v>2025</v>
      </c>
      <c r="D376" s="2" t="s">
        <v>155</v>
      </c>
      <c r="E376" s="2" t="s">
        <v>155</v>
      </c>
      <c r="F376" s="39">
        <v>45748</v>
      </c>
      <c r="G376" s="2">
        <f>DAY(EOMONTH(TA[[#This Row],[Month Year]],0))</f>
        <v>30</v>
      </c>
      <c r="H376" s="21">
        <v>45770</v>
      </c>
      <c r="I376" s="41">
        <f>IFERROR(VLOOKUP(TA[[#This Row],[Date]],Raw_Data[[Date]:[Sunset Time (POA&lt;20 W/m2)]],3,0),"")</f>
        <v>0.26041666666666669</v>
      </c>
      <c r="J376" s="41">
        <f>IFERROR(VLOOKUP(TA[[#This Row],[Date]],Raw_Data[[Date]:[Sunset Time (POA&lt;20 W/m2)]],4,0),"")</f>
        <v>0.7631944444444444</v>
      </c>
      <c r="K376" s="35">
        <f>IFERROR((TA[[#This Row],[Sunset Time (POA&lt;20 W/m2)]]-TA[[#This Row],[Sunrise Time (POA&gt;20 W/m2)]])*24,"")</f>
        <v>12.066666666666666</v>
      </c>
      <c r="L376" s="2" t="s">
        <v>294</v>
      </c>
      <c r="M376" s="42">
        <f>IFERROR(VLOOKUP(TA[[#This Row],[Affected Equipment]],'Basic Data'!$I$2:$K$40,3,0),"")</f>
        <v>1.7241379310344799E-3</v>
      </c>
      <c r="N376">
        <v>-28</v>
      </c>
      <c r="O376" t="s">
        <v>133</v>
      </c>
      <c r="P376" s="127" t="s">
        <v>316</v>
      </c>
      <c r="Q376" s="126" t="s">
        <v>316</v>
      </c>
      <c r="R376">
        <v>117</v>
      </c>
      <c r="S376" s="2">
        <v>20</v>
      </c>
      <c r="T376" t="s">
        <v>295</v>
      </c>
      <c r="U376" t="s">
        <v>300</v>
      </c>
      <c r="V376" t="s">
        <v>298</v>
      </c>
      <c r="W376" s="41"/>
      <c r="X376" s="41"/>
      <c r="Y376" s="34"/>
      <c r="Z376" s="34"/>
      <c r="AA376" s="35">
        <f>IF(TA[[#This Row],[Work Start time on Fault]]="NA","",(TA[[#This Row],[Fault Acknowledgement Time ]]-TA[[#This Row],[Fault Time]])*24)</f>
        <v>0</v>
      </c>
      <c r="AB376" s="35">
        <f>(TA[[#This Row],[Work Start time on Fault]]-TA[[#This Row],[Fault Time]])*24</f>
        <v>0</v>
      </c>
      <c r="AC376" s="34">
        <f>(TA[[#This Row],[Work Completion time on fault]]-TA[[#This Row],[Fault Time]])*24</f>
        <v>0</v>
      </c>
      <c r="AD376" s="35">
        <f>IFERROR((TA[[#This Row],[Work Completion time on fault]]-TA[[#This Row],[Fault Time]])*24,"")</f>
        <v>0</v>
      </c>
      <c r="AE376" t="s">
        <v>328</v>
      </c>
      <c r="AF376" t="s">
        <v>256</v>
      </c>
      <c r="AG376" s="2"/>
      <c r="AH376" s="44">
        <f>1-COS(RADIANS(TA[[#This Row],[Avg. Target Angle during Fault Time (Radians)]]-TA[[#This Row],[Angle of affected equipment ]]))</f>
        <v>0.11705240714107301</v>
      </c>
      <c r="AI376" s="35">
        <f>IFERROR(TA[[#This Row],[Breakdown Time]]*TA[[#This Row],[Plant Equivalent Weightage]],"")</f>
        <v>0</v>
      </c>
    </row>
    <row r="377" spans="1:35">
      <c r="A377" s="2">
        <f t="shared" si="20"/>
        <v>374</v>
      </c>
      <c r="B377" s="156">
        <f t="shared" si="17"/>
        <v>2026</v>
      </c>
      <c r="C377" s="129">
        <f t="shared" si="18"/>
        <v>2025</v>
      </c>
      <c r="D377" s="2" t="s">
        <v>155</v>
      </c>
      <c r="E377" s="2" t="s">
        <v>155</v>
      </c>
      <c r="F377" s="39">
        <v>45748</v>
      </c>
      <c r="G377" s="2">
        <f>DAY(EOMONTH(TA[[#This Row],[Month Year]],0))</f>
        <v>30</v>
      </c>
      <c r="H377" s="21">
        <v>45770</v>
      </c>
      <c r="I377" s="41">
        <f>IFERROR(VLOOKUP(TA[[#This Row],[Date]],Raw_Data[[Date]:[Sunset Time (POA&lt;20 W/m2)]],3,0),"")</f>
        <v>0.26041666666666669</v>
      </c>
      <c r="J377" s="41">
        <f>IFERROR(VLOOKUP(TA[[#This Row],[Date]],Raw_Data[[Date]:[Sunset Time (POA&lt;20 W/m2)]],4,0),"")</f>
        <v>0.7631944444444444</v>
      </c>
      <c r="K377" s="35">
        <f>IFERROR((TA[[#This Row],[Sunset Time (POA&lt;20 W/m2)]]-TA[[#This Row],[Sunrise Time (POA&gt;20 W/m2)]])*24,"")</f>
        <v>12.066666666666666</v>
      </c>
      <c r="L377" s="2" t="s">
        <v>294</v>
      </c>
      <c r="M377" s="42">
        <f>IFERROR(VLOOKUP(TA[[#This Row],[Affected Equipment]],'Basic Data'!$I$2:$K$40,3,0),"")</f>
        <v>1.7241379310344799E-3</v>
      </c>
      <c r="N377">
        <v>-28</v>
      </c>
      <c r="O377" t="s">
        <v>133</v>
      </c>
      <c r="P377" s="127" t="s">
        <v>316</v>
      </c>
      <c r="Q377" s="126" t="s">
        <v>316</v>
      </c>
      <c r="R377">
        <v>118</v>
      </c>
      <c r="S377" s="2">
        <v>22</v>
      </c>
      <c r="T377" t="s">
        <v>295</v>
      </c>
      <c r="U377" t="s">
        <v>300</v>
      </c>
      <c r="V377" t="s">
        <v>298</v>
      </c>
      <c r="W377" s="41"/>
      <c r="X377" s="41"/>
      <c r="Y377" s="34"/>
      <c r="Z377" s="34"/>
      <c r="AA377" s="35">
        <f>IF(TA[[#This Row],[Work Start time on Fault]]="NA","",(TA[[#This Row],[Fault Acknowledgement Time ]]-TA[[#This Row],[Fault Time]])*24)</f>
        <v>0</v>
      </c>
      <c r="AB377" s="35">
        <f>(TA[[#This Row],[Work Start time on Fault]]-TA[[#This Row],[Fault Time]])*24</f>
        <v>0</v>
      </c>
      <c r="AC377" s="34">
        <f>(TA[[#This Row],[Work Completion time on fault]]-TA[[#This Row],[Fault Time]])*24</f>
        <v>0</v>
      </c>
      <c r="AD377" s="35">
        <f>IFERROR((TA[[#This Row],[Work Completion time on fault]]-TA[[#This Row],[Fault Time]])*24,"")</f>
        <v>0</v>
      </c>
      <c r="AE377" t="s">
        <v>328</v>
      </c>
      <c r="AF377" t="s">
        <v>256</v>
      </c>
      <c r="AG377" s="2"/>
      <c r="AH377" s="44">
        <f>1-COS(RADIANS(TA[[#This Row],[Avg. Target Angle during Fault Time (Radians)]]-TA[[#This Row],[Angle of affected equipment ]]))</f>
        <v>0.11705240714107301</v>
      </c>
      <c r="AI377" s="35">
        <f>IFERROR(TA[[#This Row],[Breakdown Time]]*TA[[#This Row],[Plant Equivalent Weightage]],"")</f>
        <v>0</v>
      </c>
    </row>
    <row r="378" spans="1:35">
      <c r="A378" s="2">
        <f t="shared" si="20"/>
        <v>375</v>
      </c>
      <c r="B378" s="156">
        <f t="shared" si="17"/>
        <v>2026</v>
      </c>
      <c r="C378" s="129">
        <f t="shared" si="18"/>
        <v>2025</v>
      </c>
      <c r="D378" s="2" t="s">
        <v>155</v>
      </c>
      <c r="E378" s="2" t="s">
        <v>155</v>
      </c>
      <c r="F378" s="39">
        <v>45748</v>
      </c>
      <c r="G378" s="2">
        <f>DAY(EOMONTH(TA[[#This Row],[Month Year]],0))</f>
        <v>30</v>
      </c>
      <c r="H378" s="21">
        <v>45770</v>
      </c>
      <c r="I378" s="41">
        <f>IFERROR(VLOOKUP(TA[[#This Row],[Date]],Raw_Data[[Date]:[Sunset Time (POA&lt;20 W/m2)]],3,0),"")</f>
        <v>0.26041666666666669</v>
      </c>
      <c r="J378" s="41">
        <f>IFERROR(VLOOKUP(TA[[#This Row],[Date]],Raw_Data[[Date]:[Sunset Time (POA&lt;20 W/m2)]],4,0),"")</f>
        <v>0.7631944444444444</v>
      </c>
      <c r="K378" s="35">
        <f>IFERROR((TA[[#This Row],[Sunset Time (POA&lt;20 W/m2)]]-TA[[#This Row],[Sunrise Time (POA&gt;20 W/m2)]])*24,"")</f>
        <v>12.066666666666666</v>
      </c>
      <c r="L378" s="2" t="s">
        <v>296</v>
      </c>
      <c r="M378" s="42">
        <f>IFERROR(VLOOKUP(TA[[#This Row],[Affected Equipment]],'Basic Data'!$I$2:$K$40,3,0),"")</f>
        <v>8.6206896551724102E-3</v>
      </c>
      <c r="N378">
        <v>-28</v>
      </c>
      <c r="O378" t="s">
        <v>135</v>
      </c>
      <c r="P378" s="22" t="s">
        <v>323</v>
      </c>
      <c r="Q378" s="2" t="s">
        <v>329</v>
      </c>
      <c r="R378">
        <v>45</v>
      </c>
      <c r="S378" s="2">
        <v>8</v>
      </c>
      <c r="T378" t="s">
        <v>297</v>
      </c>
      <c r="U378" t="s">
        <v>326</v>
      </c>
      <c r="V378" t="s">
        <v>301</v>
      </c>
      <c r="W378" s="41"/>
      <c r="X378" s="41"/>
      <c r="Y378" s="34"/>
      <c r="Z378" s="34"/>
      <c r="AA378" s="35">
        <f>IF(TA[[#This Row],[Work Start time on Fault]]="NA","",(TA[[#This Row],[Fault Acknowledgement Time ]]-TA[[#This Row],[Fault Time]])*24)</f>
        <v>0</v>
      </c>
      <c r="AB378" s="35">
        <f>(TA[[#This Row],[Work Start time on Fault]]-TA[[#This Row],[Fault Time]])*24</f>
        <v>0</v>
      </c>
      <c r="AC378" s="34">
        <f>(TA[[#This Row],[Work Completion time on fault]]-TA[[#This Row],[Fault Time]])*24</f>
        <v>0</v>
      </c>
      <c r="AD378" s="35">
        <f>IFERROR((TA[[#This Row],[Work Completion time on fault]]-TA[[#This Row],[Fault Time]])*24,"")</f>
        <v>0</v>
      </c>
      <c r="AE378" t="s">
        <v>328</v>
      </c>
      <c r="AF378" t="s">
        <v>256</v>
      </c>
      <c r="AG378" s="2"/>
      <c r="AH378" s="44">
        <f>1-COS(RADIANS(TA[[#This Row],[Avg. Target Angle during Fault Time (Radians)]]-TA[[#This Row],[Angle of affected equipment ]]))</f>
        <v>0.11705240714107301</v>
      </c>
      <c r="AI378" s="35">
        <f>IFERROR(TA[[#This Row],[Breakdown Time]]*TA[[#This Row],[Plant Equivalent Weightage]],"")</f>
        <v>0</v>
      </c>
    </row>
    <row r="379" spans="1:35">
      <c r="A379" s="2">
        <f t="shared" si="20"/>
        <v>376</v>
      </c>
      <c r="B379" s="156">
        <f t="shared" si="17"/>
        <v>2026</v>
      </c>
      <c r="C379" s="129">
        <f t="shared" si="18"/>
        <v>2025</v>
      </c>
      <c r="D379" s="2" t="s">
        <v>155</v>
      </c>
      <c r="E379" s="2" t="s">
        <v>155</v>
      </c>
      <c r="F379" s="39">
        <v>45748</v>
      </c>
      <c r="G379" s="2">
        <f>DAY(EOMONTH(TA[[#This Row],[Month Year]],0))</f>
        <v>30</v>
      </c>
      <c r="H379" s="21">
        <v>45770</v>
      </c>
      <c r="I379" s="41">
        <f>IFERROR(VLOOKUP(TA[[#This Row],[Date]],Raw_Data[[Date]:[Sunset Time (POA&lt;20 W/m2)]],3,0),"")</f>
        <v>0.26041666666666669</v>
      </c>
      <c r="J379" s="41">
        <f>IFERROR(VLOOKUP(TA[[#This Row],[Date]],Raw_Data[[Date]:[Sunset Time (POA&lt;20 W/m2)]],4,0),"")</f>
        <v>0.7631944444444444</v>
      </c>
      <c r="K379" s="35">
        <f>IFERROR((TA[[#This Row],[Sunset Time (POA&lt;20 W/m2)]]-TA[[#This Row],[Sunrise Time (POA&gt;20 W/m2)]])*24,"")</f>
        <v>12.066666666666666</v>
      </c>
      <c r="L379" s="2" t="s">
        <v>296</v>
      </c>
      <c r="M379" s="42">
        <f>IFERROR(VLOOKUP(TA[[#This Row],[Affected Equipment]],'Basic Data'!$I$2:$K$40,3,0),"")</f>
        <v>8.6206896551724102E-3</v>
      </c>
      <c r="N379">
        <v>-28</v>
      </c>
      <c r="O379" t="s">
        <v>135</v>
      </c>
      <c r="P379" s="22" t="s">
        <v>323</v>
      </c>
      <c r="Q379" s="2" t="s">
        <v>329</v>
      </c>
      <c r="R379">
        <v>47</v>
      </c>
      <c r="S379" s="2">
        <v>18</v>
      </c>
      <c r="T379" t="s">
        <v>297</v>
      </c>
      <c r="U379" t="s">
        <v>326</v>
      </c>
      <c r="V379" t="s">
        <v>301</v>
      </c>
      <c r="W379" s="41"/>
      <c r="X379" s="41"/>
      <c r="Y379" s="34"/>
      <c r="Z379" s="34"/>
      <c r="AA379" s="35">
        <f>IF(TA[[#This Row],[Work Start time on Fault]]="NA","",(TA[[#This Row],[Fault Acknowledgement Time ]]-TA[[#This Row],[Fault Time]])*24)</f>
        <v>0</v>
      </c>
      <c r="AB379" s="35">
        <f>(TA[[#This Row],[Work Start time on Fault]]-TA[[#This Row],[Fault Time]])*24</f>
        <v>0</v>
      </c>
      <c r="AC379" s="34">
        <f>(TA[[#This Row],[Work Completion time on fault]]-TA[[#This Row],[Fault Time]])*24</f>
        <v>0</v>
      </c>
      <c r="AD379" s="35">
        <f>IFERROR((TA[[#This Row],[Work Completion time on fault]]-TA[[#This Row],[Fault Time]])*24,"")</f>
        <v>0</v>
      </c>
      <c r="AE379" t="s">
        <v>328</v>
      </c>
      <c r="AF379" t="s">
        <v>256</v>
      </c>
      <c r="AG379" s="2"/>
      <c r="AH379" s="44">
        <f>1-COS(RADIANS(TA[[#This Row],[Avg. Target Angle during Fault Time (Radians)]]-TA[[#This Row],[Angle of affected equipment ]]))</f>
        <v>0.11705240714107301</v>
      </c>
      <c r="AI379" s="35">
        <f>IFERROR(TA[[#This Row],[Breakdown Time]]*TA[[#This Row],[Plant Equivalent Weightage]],"")</f>
        <v>0</v>
      </c>
    </row>
    <row r="380" spans="1:35">
      <c r="A380" s="2">
        <f t="shared" si="20"/>
        <v>377</v>
      </c>
      <c r="B380" s="156">
        <f t="shared" si="17"/>
        <v>2026</v>
      </c>
      <c r="C380" s="129">
        <f t="shared" si="18"/>
        <v>2025</v>
      </c>
      <c r="D380" s="2" t="s">
        <v>155</v>
      </c>
      <c r="E380" s="2" t="s">
        <v>155</v>
      </c>
      <c r="F380" s="39">
        <v>45748</v>
      </c>
      <c r="G380" s="2">
        <f>DAY(EOMONTH(TA[[#This Row],[Month Year]],0))</f>
        <v>30</v>
      </c>
      <c r="H380" s="21">
        <v>45770</v>
      </c>
      <c r="I380" s="41">
        <f>IFERROR(VLOOKUP(TA[[#This Row],[Date]],Raw_Data[[Date]:[Sunset Time (POA&lt;20 W/m2)]],3,0),"")</f>
        <v>0.26041666666666669</v>
      </c>
      <c r="J380" s="41">
        <f>IFERROR(VLOOKUP(TA[[#This Row],[Date]],Raw_Data[[Date]:[Sunset Time (POA&lt;20 W/m2)]],4,0),"")</f>
        <v>0.7631944444444444</v>
      </c>
      <c r="K380" s="35">
        <f>IFERROR((TA[[#This Row],[Sunset Time (POA&lt;20 W/m2)]]-TA[[#This Row],[Sunrise Time (POA&gt;20 W/m2)]])*24,"")</f>
        <v>12.066666666666666</v>
      </c>
      <c r="L380" s="2" t="s">
        <v>296</v>
      </c>
      <c r="M380" s="42">
        <f>IFERROR(VLOOKUP(TA[[#This Row],[Affected Equipment]],'Basic Data'!$I$2:$K$40,3,0),"")</f>
        <v>8.6206896551724102E-3</v>
      </c>
      <c r="N380">
        <v>-28</v>
      </c>
      <c r="O380" t="s">
        <v>134</v>
      </c>
      <c r="P380" s="22" t="s">
        <v>330</v>
      </c>
      <c r="Q380" s="2" t="s">
        <v>323</v>
      </c>
      <c r="R380">
        <v>30</v>
      </c>
      <c r="S380" s="2">
        <v>57</v>
      </c>
      <c r="T380" t="s">
        <v>297</v>
      </c>
      <c r="U380" t="s">
        <v>326</v>
      </c>
      <c r="V380" t="s">
        <v>301</v>
      </c>
      <c r="W380" s="41"/>
      <c r="X380" s="41"/>
      <c r="Y380" s="34"/>
      <c r="Z380" s="34"/>
      <c r="AA380" s="35">
        <f>IF(TA[[#This Row],[Work Start time on Fault]]="NA","",(TA[[#This Row],[Fault Acknowledgement Time ]]-TA[[#This Row],[Fault Time]])*24)</f>
        <v>0</v>
      </c>
      <c r="AB380" s="35">
        <f>(TA[[#This Row],[Work Start time on Fault]]-TA[[#This Row],[Fault Time]])*24</f>
        <v>0</v>
      </c>
      <c r="AC380" s="34">
        <f>(TA[[#This Row],[Work Completion time on fault]]-TA[[#This Row],[Fault Time]])*24</f>
        <v>0</v>
      </c>
      <c r="AD380" s="35">
        <f>IFERROR((TA[[#This Row],[Work Completion time on fault]]-TA[[#This Row],[Fault Time]])*24,"")</f>
        <v>0</v>
      </c>
      <c r="AE380" t="s">
        <v>328</v>
      </c>
      <c r="AF380" t="s">
        <v>256</v>
      </c>
      <c r="AG380" s="2"/>
      <c r="AH380" s="44">
        <f>1-COS(RADIANS(TA[[#This Row],[Avg. Target Angle during Fault Time (Radians)]]-TA[[#This Row],[Angle of affected equipment ]]))</f>
        <v>0.11705240714107301</v>
      </c>
      <c r="AI380" s="35">
        <f>IFERROR(TA[[#This Row],[Breakdown Time]]*TA[[#This Row],[Plant Equivalent Weightage]],"")</f>
        <v>0</v>
      </c>
    </row>
    <row r="381" spans="1:35">
      <c r="A381" s="2">
        <f t="shared" si="20"/>
        <v>378</v>
      </c>
      <c r="B381" s="156">
        <f t="shared" si="17"/>
        <v>2026</v>
      </c>
      <c r="C381" s="129">
        <f t="shared" si="18"/>
        <v>2025</v>
      </c>
      <c r="D381" s="2" t="s">
        <v>155</v>
      </c>
      <c r="E381" s="2" t="s">
        <v>155</v>
      </c>
      <c r="F381" s="39">
        <v>45748</v>
      </c>
      <c r="G381" s="2">
        <f>DAY(EOMONTH(TA[[#This Row],[Month Year]],0))</f>
        <v>30</v>
      </c>
      <c r="H381" s="21">
        <v>45770</v>
      </c>
      <c r="I381" s="41">
        <f>IFERROR(VLOOKUP(TA[[#This Row],[Date]],Raw_Data[[Date]:[Sunset Time (POA&lt;20 W/m2)]],3,0),"")</f>
        <v>0.26041666666666669</v>
      </c>
      <c r="J381" s="41">
        <f>IFERROR(VLOOKUP(TA[[#This Row],[Date]],Raw_Data[[Date]:[Sunset Time (POA&lt;20 W/m2)]],4,0),"")</f>
        <v>0.7631944444444444</v>
      </c>
      <c r="K381" s="35">
        <f>IFERROR((TA[[#This Row],[Sunset Time (POA&lt;20 W/m2)]]-TA[[#This Row],[Sunrise Time (POA&gt;20 W/m2)]])*24,"")</f>
        <v>12.066666666666666</v>
      </c>
      <c r="L381" s="2" t="s">
        <v>296</v>
      </c>
      <c r="M381" s="42">
        <f>IFERROR(VLOOKUP(TA[[#This Row],[Affected Equipment]],'Basic Data'!$I$2:$K$40,3,0),"")</f>
        <v>8.6206896551724102E-3</v>
      </c>
      <c r="N381">
        <v>-28</v>
      </c>
      <c r="O381" t="s">
        <v>134</v>
      </c>
      <c r="P381" s="22" t="s">
        <v>330</v>
      </c>
      <c r="Q381" s="2" t="s">
        <v>323</v>
      </c>
      <c r="R381">
        <v>31</v>
      </c>
      <c r="S381" s="2">
        <v>61</v>
      </c>
      <c r="T381" t="s">
        <v>297</v>
      </c>
      <c r="U381" t="s">
        <v>326</v>
      </c>
      <c r="V381" t="s">
        <v>301</v>
      </c>
      <c r="W381" s="41"/>
      <c r="X381" s="41"/>
      <c r="Y381" s="34"/>
      <c r="Z381" s="34"/>
      <c r="AA381" s="35">
        <f>IF(TA[[#This Row],[Work Start time on Fault]]="NA","",(TA[[#This Row],[Fault Acknowledgement Time ]]-TA[[#This Row],[Fault Time]])*24)</f>
        <v>0</v>
      </c>
      <c r="AB381" s="35">
        <f>(TA[[#This Row],[Work Start time on Fault]]-TA[[#This Row],[Fault Time]])*24</f>
        <v>0</v>
      </c>
      <c r="AC381" s="34">
        <f>(TA[[#This Row],[Work Completion time on fault]]-TA[[#This Row],[Fault Time]])*24</f>
        <v>0</v>
      </c>
      <c r="AD381" s="35">
        <f>IFERROR((TA[[#This Row],[Work Completion time on fault]]-TA[[#This Row],[Fault Time]])*24,"")</f>
        <v>0</v>
      </c>
      <c r="AE381" t="s">
        <v>328</v>
      </c>
      <c r="AF381" t="s">
        <v>256</v>
      </c>
      <c r="AG381" s="2"/>
      <c r="AH381" s="44">
        <f>1-COS(RADIANS(TA[[#This Row],[Avg. Target Angle during Fault Time (Radians)]]-TA[[#This Row],[Angle of affected equipment ]]))</f>
        <v>0.11705240714107301</v>
      </c>
      <c r="AI381" s="35">
        <f>IFERROR(TA[[#This Row],[Breakdown Time]]*TA[[#This Row],[Plant Equivalent Weightage]],"")</f>
        <v>0</v>
      </c>
    </row>
    <row r="382" spans="1:35">
      <c r="A382" s="2">
        <f t="shared" si="20"/>
        <v>379</v>
      </c>
      <c r="B382" s="156">
        <f t="shared" si="17"/>
        <v>2026</v>
      </c>
      <c r="C382" s="129">
        <f t="shared" si="18"/>
        <v>2025</v>
      </c>
      <c r="D382" s="2" t="s">
        <v>155</v>
      </c>
      <c r="E382" s="2" t="s">
        <v>155</v>
      </c>
      <c r="F382" s="39">
        <v>45748</v>
      </c>
      <c r="G382" s="2">
        <f>DAY(EOMONTH(TA[[#This Row],[Month Year]],0))</f>
        <v>30</v>
      </c>
      <c r="H382" s="21">
        <v>45770</v>
      </c>
      <c r="I382" s="41">
        <f>IFERROR(VLOOKUP(TA[[#This Row],[Date]],Raw_Data[[Date]:[Sunset Time (POA&lt;20 W/m2)]],3,0),"")</f>
        <v>0.26041666666666669</v>
      </c>
      <c r="J382" s="41">
        <f>IFERROR(VLOOKUP(TA[[#This Row],[Date]],Raw_Data[[Date]:[Sunset Time (POA&lt;20 W/m2)]],4,0),"")</f>
        <v>0.7631944444444444</v>
      </c>
      <c r="K382" s="35">
        <f>IFERROR((TA[[#This Row],[Sunset Time (POA&lt;20 W/m2)]]-TA[[#This Row],[Sunrise Time (POA&gt;20 W/m2)]])*24,"")</f>
        <v>12.066666666666666</v>
      </c>
      <c r="L382" s="2" t="s">
        <v>312</v>
      </c>
      <c r="M382" s="42">
        <f>IFERROR(VLOOKUP(TA[[#This Row],[Affected Equipment]],'Basic Data'!$I$2:$K$40,3,0),"")</f>
        <v>5.74712643678161E-3</v>
      </c>
      <c r="N382">
        <v>-28</v>
      </c>
      <c r="O382" t="s">
        <v>133</v>
      </c>
      <c r="P382" s="22" t="s">
        <v>330</v>
      </c>
      <c r="Q382" s="2" t="s">
        <v>323</v>
      </c>
      <c r="R382">
        <v>26</v>
      </c>
      <c r="S382" s="2">
        <v>37</v>
      </c>
      <c r="T382" t="s">
        <v>297</v>
      </c>
      <c r="U382" t="s">
        <v>326</v>
      </c>
      <c r="V382" t="s">
        <v>301</v>
      </c>
      <c r="W382" s="41"/>
      <c r="X382" s="41"/>
      <c r="Y382" s="34"/>
      <c r="Z382" s="34"/>
      <c r="AA382" s="35">
        <f>IF(TA[[#This Row],[Work Start time on Fault]]="NA","",(TA[[#This Row],[Fault Acknowledgement Time ]]-TA[[#This Row],[Fault Time]])*24)</f>
        <v>0</v>
      </c>
      <c r="AB382" s="35">
        <f>(TA[[#This Row],[Work Start time on Fault]]-TA[[#This Row],[Fault Time]])*24</f>
        <v>0</v>
      </c>
      <c r="AC382" s="34">
        <f>(TA[[#This Row],[Work Completion time on fault]]-TA[[#This Row],[Fault Time]])*24</f>
        <v>0</v>
      </c>
      <c r="AD382" s="35">
        <f>IFERROR((TA[[#This Row],[Work Completion time on fault]]-TA[[#This Row],[Fault Time]])*24,"")</f>
        <v>0</v>
      </c>
      <c r="AE382" t="s">
        <v>328</v>
      </c>
      <c r="AF382" t="s">
        <v>256</v>
      </c>
      <c r="AG382" s="2"/>
      <c r="AH382" s="44">
        <f>1-COS(RADIANS(TA[[#This Row],[Avg. Target Angle during Fault Time (Radians)]]-TA[[#This Row],[Angle of affected equipment ]]))</f>
        <v>0.11705240714107301</v>
      </c>
      <c r="AI382" s="35">
        <f>IFERROR(TA[[#This Row],[Breakdown Time]]*TA[[#This Row],[Plant Equivalent Weightage]],"")</f>
        <v>0</v>
      </c>
    </row>
    <row r="383" spans="1:35">
      <c r="A383" s="2">
        <f t="shared" si="20"/>
        <v>380</v>
      </c>
      <c r="B383" s="156">
        <f t="shared" si="17"/>
        <v>2026</v>
      </c>
      <c r="C383" s="129">
        <f t="shared" si="18"/>
        <v>2025</v>
      </c>
      <c r="D383" s="2" t="s">
        <v>155</v>
      </c>
      <c r="E383" s="2" t="s">
        <v>155</v>
      </c>
      <c r="F383" s="39">
        <v>45748</v>
      </c>
      <c r="G383" s="2">
        <f>DAY(EOMONTH(TA[[#This Row],[Month Year]],0))</f>
        <v>30</v>
      </c>
      <c r="H383" s="21">
        <v>45770</v>
      </c>
      <c r="I383" s="41">
        <f>IFERROR(VLOOKUP(TA[[#This Row],[Date]],Raw_Data[[Date]:[Sunset Time (POA&lt;20 W/m2)]],3,0),"")</f>
        <v>0.26041666666666669</v>
      </c>
      <c r="J383" s="41">
        <f>IFERROR(VLOOKUP(TA[[#This Row],[Date]],Raw_Data[[Date]:[Sunset Time (POA&lt;20 W/m2)]],4,0),"")</f>
        <v>0.7631944444444444</v>
      </c>
      <c r="K383" s="35">
        <f>IFERROR((TA[[#This Row],[Sunset Time (POA&lt;20 W/m2)]]-TA[[#This Row],[Sunrise Time (POA&gt;20 W/m2)]])*24,"")</f>
        <v>12.066666666666666</v>
      </c>
      <c r="L383" s="2" t="s">
        <v>312</v>
      </c>
      <c r="M383" s="42">
        <f>IFERROR(VLOOKUP(TA[[#This Row],[Affected Equipment]],'Basic Data'!$I$2:$K$40,3,0),"")</f>
        <v>5.74712643678161E-3</v>
      </c>
      <c r="N383">
        <v>-28</v>
      </c>
      <c r="O383" t="s">
        <v>133</v>
      </c>
      <c r="P383" s="22" t="s">
        <v>330</v>
      </c>
      <c r="Q383" s="2" t="s">
        <v>323</v>
      </c>
      <c r="R383">
        <v>27</v>
      </c>
      <c r="S383" s="2">
        <v>42</v>
      </c>
      <c r="T383" t="s">
        <v>297</v>
      </c>
      <c r="U383" t="s">
        <v>326</v>
      </c>
      <c r="V383" t="s">
        <v>301</v>
      </c>
      <c r="W383" s="41">
        <f>IFERROR(VLOOKUP(TA[[#This Row],[Date]],Raw_Data[[Date]:[Sunset Time (POA&lt;20 W/m2)]],3,0),"")</f>
        <v>0.26041666666666669</v>
      </c>
      <c r="X383" s="41">
        <f>IFERROR(VLOOKUP(TA[[#This Row],[Date]],Raw_Data[[Date]:[Sunset Time (POA&lt;20 W/m2)]],3,0),"")</f>
        <v>0.26041666666666669</v>
      </c>
      <c r="Y383" s="34"/>
      <c r="Z383" s="34">
        <v>0.76041666666666663</v>
      </c>
      <c r="AA383" s="35">
        <f>IF(TA[[#This Row],[Work Start time on Fault]]="NA","",(TA[[#This Row],[Fault Acknowledgement Time ]]-TA[[#This Row],[Fault Time]])*24)</f>
        <v>0</v>
      </c>
      <c r="AB383" s="35">
        <f>(TA[[#This Row],[Work Start time on Fault]]-TA[[#This Row],[Fault Time]])*24</f>
        <v>-6.25</v>
      </c>
      <c r="AC383" s="34">
        <f>(TA[[#This Row],[Work Completion time on fault]]-TA[[#This Row],[Fault Time]])*24</f>
        <v>11.999999999999998</v>
      </c>
      <c r="AD383" s="35">
        <f>IFERROR((TA[[#This Row],[Work Completion time on fault]]-TA[[#This Row],[Fault Time]])*24,"")</f>
        <v>11.999999999999998</v>
      </c>
      <c r="AE383" t="s">
        <v>309</v>
      </c>
      <c r="AF383" t="s">
        <v>256</v>
      </c>
      <c r="AG383" s="2"/>
      <c r="AH383" s="44">
        <f>1-COS(RADIANS(TA[[#This Row],[Avg. Target Angle during Fault Time (Radians)]]-TA[[#This Row],[Angle of affected equipment ]]))</f>
        <v>0.11705240714107301</v>
      </c>
      <c r="AI383" s="35">
        <f>IFERROR(TA[[#This Row],[Breakdown Time]]*TA[[#This Row],[Plant Equivalent Weightage]],"")</f>
        <v>6.8965517241379309E-2</v>
      </c>
    </row>
    <row r="384" spans="1:35">
      <c r="A384" s="2">
        <f t="shared" si="20"/>
        <v>381</v>
      </c>
      <c r="B384" s="156">
        <f t="shared" si="17"/>
        <v>2026</v>
      </c>
      <c r="C384" s="129">
        <f t="shared" si="18"/>
        <v>2025</v>
      </c>
      <c r="D384" s="2" t="s">
        <v>155</v>
      </c>
      <c r="E384" s="2" t="s">
        <v>155</v>
      </c>
      <c r="F384" s="39">
        <v>45748</v>
      </c>
      <c r="G384" s="2">
        <f>DAY(EOMONTH(TA[[#This Row],[Month Year]],0))</f>
        <v>30</v>
      </c>
      <c r="H384" s="21">
        <v>45771</v>
      </c>
      <c r="I384" s="41">
        <f>IFERROR(VLOOKUP(TA[[#This Row],[Date]],Raw_Data[[Date]:[Sunset Time (POA&lt;20 W/m2)]],3,0),"")</f>
        <v>0.26111111111111113</v>
      </c>
      <c r="J384" s="41">
        <f>IFERROR(VLOOKUP(TA[[#This Row],[Date]],Raw_Data[[Date]:[Sunset Time (POA&lt;20 W/m2)]],4,0),"")</f>
        <v>0.76041666666666663</v>
      </c>
      <c r="K384" s="35">
        <f>IFERROR((TA[[#This Row],[Sunset Time (POA&lt;20 W/m2)]]-TA[[#This Row],[Sunrise Time (POA&gt;20 W/m2)]])*24,"")</f>
        <v>11.983333333333333</v>
      </c>
      <c r="L384" s="2" t="s">
        <v>294</v>
      </c>
      <c r="M384" s="42">
        <f>IFERROR(VLOOKUP(TA[[#This Row],[Affected Equipment]],'Basic Data'!$I$2:$K$40,3,0),"")</f>
        <v>1.7241379310344799E-3</v>
      </c>
      <c r="N384">
        <v>-28</v>
      </c>
      <c r="O384" t="s">
        <v>135</v>
      </c>
      <c r="P384" s="127" t="s">
        <v>318</v>
      </c>
      <c r="Q384" s="126" t="s">
        <v>318</v>
      </c>
      <c r="R384">
        <v>130</v>
      </c>
      <c r="S384" s="2">
        <v>37</v>
      </c>
      <c r="T384" t="s">
        <v>295</v>
      </c>
      <c r="U384" t="s">
        <v>300</v>
      </c>
      <c r="V384" t="s">
        <v>298</v>
      </c>
      <c r="W384" s="41"/>
      <c r="X384" s="41"/>
      <c r="Y384" s="34"/>
      <c r="Z384" s="34"/>
      <c r="AA384" s="35">
        <f>IF(TA[[#This Row],[Work Start time on Fault]]="NA","",(TA[[#This Row],[Fault Acknowledgement Time ]]-TA[[#This Row],[Fault Time]])*24)</f>
        <v>0</v>
      </c>
      <c r="AB384" s="35">
        <f>(TA[[#This Row],[Work Start time on Fault]]-TA[[#This Row],[Fault Time]])*24</f>
        <v>0</v>
      </c>
      <c r="AC384" s="34">
        <f>(TA[[#This Row],[Work Completion time on fault]]-TA[[#This Row],[Fault Time]])*24</f>
        <v>0</v>
      </c>
      <c r="AD384" s="35">
        <f>IFERROR((TA[[#This Row],[Work Completion time on fault]]-TA[[#This Row],[Fault Time]])*24,"")</f>
        <v>0</v>
      </c>
      <c r="AE384" t="s">
        <v>328</v>
      </c>
      <c r="AF384" t="s">
        <v>256</v>
      </c>
      <c r="AG384" s="2"/>
      <c r="AH384" s="44">
        <f>1-COS(RADIANS(TA[[#This Row],[Avg. Target Angle during Fault Time (Radians)]]-TA[[#This Row],[Angle of affected equipment ]]))</f>
        <v>0.11705240714107301</v>
      </c>
      <c r="AI384" s="35">
        <f>IFERROR(TA[[#This Row],[Breakdown Time]]*TA[[#This Row],[Plant Equivalent Weightage]],"")</f>
        <v>0</v>
      </c>
    </row>
    <row r="385" spans="1:35">
      <c r="A385" s="2">
        <f t="shared" si="20"/>
        <v>382</v>
      </c>
      <c r="B385" s="156">
        <f t="shared" si="17"/>
        <v>2026</v>
      </c>
      <c r="C385" s="129">
        <f t="shared" si="18"/>
        <v>2025</v>
      </c>
      <c r="D385" s="2" t="s">
        <v>155</v>
      </c>
      <c r="E385" s="2" t="s">
        <v>155</v>
      </c>
      <c r="F385" s="39">
        <v>45748</v>
      </c>
      <c r="G385" s="2">
        <f>DAY(EOMONTH(TA[[#This Row],[Month Year]],0))</f>
        <v>30</v>
      </c>
      <c r="H385" s="21">
        <v>45771</v>
      </c>
      <c r="I385" s="41">
        <f>IFERROR(VLOOKUP(TA[[#This Row],[Date]],Raw_Data[[Date]:[Sunset Time (POA&lt;20 W/m2)]],3,0),"")</f>
        <v>0.26111111111111113</v>
      </c>
      <c r="J385" s="41">
        <f>IFERROR(VLOOKUP(TA[[#This Row],[Date]],Raw_Data[[Date]:[Sunset Time (POA&lt;20 W/m2)]],4,0),"")</f>
        <v>0.76041666666666663</v>
      </c>
      <c r="K385" s="35">
        <f>IFERROR((TA[[#This Row],[Sunset Time (POA&lt;20 W/m2)]]-TA[[#This Row],[Sunrise Time (POA&gt;20 W/m2)]])*24,"")</f>
        <v>11.983333333333333</v>
      </c>
      <c r="L385" s="2" t="s">
        <v>294</v>
      </c>
      <c r="M385" s="42">
        <f>IFERROR(VLOOKUP(TA[[#This Row],[Affected Equipment]],'Basic Data'!$I$2:$K$40,3,0),"")</f>
        <v>1.7241379310344799E-3</v>
      </c>
      <c r="N385">
        <v>-28</v>
      </c>
      <c r="O385" t="s">
        <v>135</v>
      </c>
      <c r="P385" s="127" t="s">
        <v>318</v>
      </c>
      <c r="Q385" s="126" t="s">
        <v>318</v>
      </c>
      <c r="R385">
        <v>131</v>
      </c>
      <c r="S385" s="2">
        <v>38</v>
      </c>
      <c r="T385" t="s">
        <v>295</v>
      </c>
      <c r="U385" t="s">
        <v>300</v>
      </c>
      <c r="V385" t="s">
        <v>298</v>
      </c>
      <c r="W385" s="41"/>
      <c r="X385" s="41"/>
      <c r="Y385" s="34"/>
      <c r="Z385" s="34"/>
      <c r="AA385" s="35">
        <f>IF(TA[[#This Row],[Work Start time on Fault]]="NA","",(TA[[#This Row],[Fault Acknowledgement Time ]]-TA[[#This Row],[Fault Time]])*24)</f>
        <v>0</v>
      </c>
      <c r="AB385" s="35">
        <f>(TA[[#This Row],[Work Start time on Fault]]-TA[[#This Row],[Fault Time]])*24</f>
        <v>0</v>
      </c>
      <c r="AC385" s="34">
        <f>(TA[[#This Row],[Work Completion time on fault]]-TA[[#This Row],[Fault Time]])*24</f>
        <v>0</v>
      </c>
      <c r="AD385" s="35">
        <f>IFERROR((TA[[#This Row],[Work Completion time on fault]]-TA[[#This Row],[Fault Time]])*24,"")</f>
        <v>0</v>
      </c>
      <c r="AE385" t="s">
        <v>328</v>
      </c>
      <c r="AF385" t="s">
        <v>256</v>
      </c>
      <c r="AG385" s="2"/>
      <c r="AH385" s="44">
        <f>1-COS(RADIANS(TA[[#This Row],[Avg. Target Angle during Fault Time (Radians)]]-TA[[#This Row],[Angle of affected equipment ]]))</f>
        <v>0.11705240714107301</v>
      </c>
      <c r="AI385" s="35">
        <f>IFERROR(TA[[#This Row],[Breakdown Time]]*TA[[#This Row],[Plant Equivalent Weightage]],"")</f>
        <v>0</v>
      </c>
    </row>
    <row r="386" spans="1:35">
      <c r="A386" s="2">
        <f t="shared" si="20"/>
        <v>383</v>
      </c>
      <c r="B386" s="156">
        <f t="shared" si="17"/>
        <v>2026</v>
      </c>
      <c r="C386" s="129">
        <f t="shared" si="18"/>
        <v>2025</v>
      </c>
      <c r="D386" s="2" t="s">
        <v>155</v>
      </c>
      <c r="E386" s="2" t="s">
        <v>155</v>
      </c>
      <c r="F386" s="39">
        <v>45748</v>
      </c>
      <c r="G386" s="2">
        <f>DAY(EOMONTH(TA[[#This Row],[Month Year]],0))</f>
        <v>30</v>
      </c>
      <c r="H386" s="21">
        <v>45771</v>
      </c>
      <c r="I386" s="41">
        <f>IFERROR(VLOOKUP(TA[[#This Row],[Date]],Raw_Data[[Date]:[Sunset Time (POA&lt;20 W/m2)]],3,0),"")</f>
        <v>0.26111111111111113</v>
      </c>
      <c r="J386" s="41">
        <f>IFERROR(VLOOKUP(TA[[#This Row],[Date]],Raw_Data[[Date]:[Sunset Time (POA&lt;20 W/m2)]],4,0),"")</f>
        <v>0.76041666666666663</v>
      </c>
      <c r="K386" s="35">
        <f>IFERROR((TA[[#This Row],[Sunset Time (POA&lt;20 W/m2)]]-TA[[#This Row],[Sunrise Time (POA&gt;20 W/m2)]])*24,"")</f>
        <v>11.983333333333333</v>
      </c>
      <c r="L386" s="2" t="s">
        <v>294</v>
      </c>
      <c r="M386" s="42">
        <f>IFERROR(VLOOKUP(TA[[#This Row],[Affected Equipment]],'Basic Data'!$I$2:$K$40,3,0),"")</f>
        <v>1.7241379310344799E-3</v>
      </c>
      <c r="N386">
        <v>-28</v>
      </c>
      <c r="O386" t="s">
        <v>135</v>
      </c>
      <c r="P386" s="127" t="s">
        <v>318</v>
      </c>
      <c r="Q386" s="126" t="s">
        <v>318</v>
      </c>
      <c r="R386">
        <v>131</v>
      </c>
      <c r="S386" s="2">
        <v>39</v>
      </c>
      <c r="T386" t="s">
        <v>295</v>
      </c>
      <c r="U386" t="s">
        <v>300</v>
      </c>
      <c r="V386" t="s">
        <v>298</v>
      </c>
      <c r="W386" s="41"/>
      <c r="X386" s="41"/>
      <c r="Y386" s="34"/>
      <c r="Z386" s="34"/>
      <c r="AA386" s="35">
        <f>IF(TA[[#This Row],[Work Start time on Fault]]="NA","",(TA[[#This Row],[Fault Acknowledgement Time ]]-TA[[#This Row],[Fault Time]])*24)</f>
        <v>0</v>
      </c>
      <c r="AB386" s="35">
        <f>(TA[[#This Row],[Work Start time on Fault]]-TA[[#This Row],[Fault Time]])*24</f>
        <v>0</v>
      </c>
      <c r="AC386" s="34">
        <f>(TA[[#This Row],[Work Completion time on fault]]-TA[[#This Row],[Fault Time]])*24</f>
        <v>0</v>
      </c>
      <c r="AD386" s="35">
        <f>IFERROR((TA[[#This Row],[Work Completion time on fault]]-TA[[#This Row],[Fault Time]])*24,"")</f>
        <v>0</v>
      </c>
      <c r="AE386" t="s">
        <v>328</v>
      </c>
      <c r="AF386" t="s">
        <v>256</v>
      </c>
      <c r="AG386" s="2"/>
      <c r="AH386" s="44">
        <f>1-COS(RADIANS(TA[[#This Row],[Avg. Target Angle during Fault Time (Radians)]]-TA[[#This Row],[Angle of affected equipment ]]))</f>
        <v>0.11705240714107301</v>
      </c>
      <c r="AI386" s="35">
        <f>IFERROR(TA[[#This Row],[Breakdown Time]]*TA[[#This Row],[Plant Equivalent Weightage]],"")</f>
        <v>0</v>
      </c>
    </row>
    <row r="387" spans="1:35">
      <c r="A387" s="2">
        <f t="shared" si="20"/>
        <v>384</v>
      </c>
      <c r="B387" s="156">
        <f t="shared" si="17"/>
        <v>2026</v>
      </c>
      <c r="C387" s="129">
        <f t="shared" si="18"/>
        <v>2025</v>
      </c>
      <c r="D387" s="2" t="s">
        <v>155</v>
      </c>
      <c r="E387" s="2" t="s">
        <v>155</v>
      </c>
      <c r="F387" s="39">
        <v>45748</v>
      </c>
      <c r="G387" s="2">
        <f>DAY(EOMONTH(TA[[#This Row],[Month Year]],0))</f>
        <v>30</v>
      </c>
      <c r="H387" s="21">
        <v>45771</v>
      </c>
      <c r="I387" s="41">
        <f>IFERROR(VLOOKUP(TA[[#This Row],[Date]],Raw_Data[[Date]:[Sunset Time (POA&lt;20 W/m2)]],3,0),"")</f>
        <v>0.26111111111111113</v>
      </c>
      <c r="J387" s="41">
        <f>IFERROR(VLOOKUP(TA[[#This Row],[Date]],Raw_Data[[Date]:[Sunset Time (POA&lt;20 W/m2)]],4,0),"")</f>
        <v>0.76041666666666663</v>
      </c>
      <c r="K387" s="35">
        <f>IFERROR((TA[[#This Row],[Sunset Time (POA&lt;20 W/m2)]]-TA[[#This Row],[Sunrise Time (POA&gt;20 W/m2)]])*24,"")</f>
        <v>11.983333333333333</v>
      </c>
      <c r="L387" s="2" t="s">
        <v>296</v>
      </c>
      <c r="M387" s="42">
        <f>IFERROR(VLOOKUP(TA[[#This Row],[Affected Equipment]],'Basic Data'!$I$2:$K$40,3,0),"")</f>
        <v>8.6206896551724102E-3</v>
      </c>
      <c r="N387">
        <v>-28</v>
      </c>
      <c r="O387" t="s">
        <v>135</v>
      </c>
      <c r="P387" s="127" t="s">
        <v>318</v>
      </c>
      <c r="Q387" s="2" t="s">
        <v>321</v>
      </c>
      <c r="R387">
        <v>133</v>
      </c>
      <c r="S387" s="2">
        <v>26</v>
      </c>
      <c r="T387" t="s">
        <v>297</v>
      </c>
      <c r="U387" t="s">
        <v>300</v>
      </c>
      <c r="V387" t="s">
        <v>314</v>
      </c>
      <c r="W387" s="41">
        <f>IFERROR(VLOOKUP(TA[[#This Row],[Date]],Raw_Data[[Date]:[Sunset Time (POA&lt;20 W/m2)]],3,0),"")</f>
        <v>0.26111111111111113</v>
      </c>
      <c r="X387" s="41">
        <f>IFERROR(VLOOKUP(TA[[#This Row],[Date]],Raw_Data[[Date]:[Sunset Time (POA&lt;20 W/m2)]],3,0),"")</f>
        <v>0.26111111111111113</v>
      </c>
      <c r="Y387" s="34"/>
      <c r="Z387" s="34">
        <v>0.76041666666666663</v>
      </c>
      <c r="AA387" s="35">
        <f>IF(TA[[#This Row],[Work Start time on Fault]]="NA","",(TA[[#This Row],[Fault Acknowledgement Time ]]-TA[[#This Row],[Fault Time]])*24)</f>
        <v>0</v>
      </c>
      <c r="AB387" s="35">
        <f>(TA[[#This Row],[Work Start time on Fault]]-TA[[#This Row],[Fault Time]])*24</f>
        <v>-6.2666666666666675</v>
      </c>
      <c r="AC387" s="34">
        <f>(TA[[#This Row],[Work Completion time on fault]]-TA[[#This Row],[Fault Time]])*24</f>
        <v>11.983333333333333</v>
      </c>
      <c r="AD387" s="35">
        <f>IFERROR((TA[[#This Row],[Work Completion time on fault]]-TA[[#This Row],[Fault Time]])*24,"")</f>
        <v>11.983333333333333</v>
      </c>
      <c r="AE387" t="s">
        <v>328</v>
      </c>
      <c r="AF387" t="s">
        <v>256</v>
      </c>
      <c r="AG387" s="2"/>
      <c r="AH387" s="44">
        <f>1-COS(RADIANS(TA[[#This Row],[Avg. Target Angle during Fault Time (Radians)]]-TA[[#This Row],[Angle of affected equipment ]]))</f>
        <v>0.11705240714107301</v>
      </c>
      <c r="AI387" s="35">
        <f>IFERROR(TA[[#This Row],[Breakdown Time]]*TA[[#This Row],[Plant Equivalent Weightage]],"")</f>
        <v>0.10330459770114937</v>
      </c>
    </row>
    <row r="388" spans="1:35">
      <c r="A388" s="2">
        <f t="shared" si="20"/>
        <v>385</v>
      </c>
      <c r="B388" s="156">
        <f t="shared" si="17"/>
        <v>2026</v>
      </c>
      <c r="C388" s="129">
        <f t="shared" si="18"/>
        <v>2025</v>
      </c>
      <c r="D388" s="2" t="s">
        <v>155</v>
      </c>
      <c r="E388" s="2" t="s">
        <v>155</v>
      </c>
      <c r="F388" s="39">
        <v>45748</v>
      </c>
      <c r="G388" s="2">
        <f>DAY(EOMONTH(TA[[#This Row],[Month Year]],0))</f>
        <v>30</v>
      </c>
      <c r="H388" s="21">
        <v>45771</v>
      </c>
      <c r="I388" s="41">
        <f>IFERROR(VLOOKUP(TA[[#This Row],[Date]],Raw_Data[[Date]:[Sunset Time (POA&lt;20 W/m2)]],3,0),"")</f>
        <v>0.26111111111111113</v>
      </c>
      <c r="J388" s="41">
        <f>IFERROR(VLOOKUP(TA[[#This Row],[Date]],Raw_Data[[Date]:[Sunset Time (POA&lt;20 W/m2)]],4,0),"")</f>
        <v>0.76041666666666663</v>
      </c>
      <c r="K388" s="35">
        <f>IFERROR((TA[[#This Row],[Sunset Time (POA&lt;20 W/m2)]]-TA[[#This Row],[Sunrise Time (POA&gt;20 W/m2)]])*24,"")</f>
        <v>11.983333333333333</v>
      </c>
      <c r="L388" s="2" t="s">
        <v>294</v>
      </c>
      <c r="M388" s="42">
        <f>IFERROR(VLOOKUP(TA[[#This Row],[Affected Equipment]],'Basic Data'!$I$2:$K$40,3,0),"")</f>
        <v>1.7241379310344799E-3</v>
      </c>
      <c r="N388">
        <v>-28</v>
      </c>
      <c r="O388" t="s">
        <v>133</v>
      </c>
      <c r="P388" s="127" t="s">
        <v>316</v>
      </c>
      <c r="Q388" s="126" t="s">
        <v>317</v>
      </c>
      <c r="R388">
        <v>7</v>
      </c>
      <c r="S388" s="2">
        <v>32</v>
      </c>
      <c r="T388" t="s">
        <v>295</v>
      </c>
      <c r="U388" t="s">
        <v>300</v>
      </c>
      <c r="V388" t="s">
        <v>298</v>
      </c>
      <c r="W388" s="41"/>
      <c r="X388" s="41"/>
      <c r="Y388" s="34"/>
      <c r="Z388" s="34"/>
      <c r="AA388" s="35">
        <f>IF(TA[[#This Row],[Work Start time on Fault]]="NA","",(TA[[#This Row],[Fault Acknowledgement Time ]]-TA[[#This Row],[Fault Time]])*24)</f>
        <v>0</v>
      </c>
      <c r="AB388" s="35">
        <f>(TA[[#This Row],[Work Start time on Fault]]-TA[[#This Row],[Fault Time]])*24</f>
        <v>0</v>
      </c>
      <c r="AC388" s="34">
        <f>(TA[[#This Row],[Work Completion time on fault]]-TA[[#This Row],[Fault Time]])*24</f>
        <v>0</v>
      </c>
      <c r="AD388" s="35">
        <f>IFERROR((TA[[#This Row],[Work Completion time on fault]]-TA[[#This Row],[Fault Time]])*24,"")</f>
        <v>0</v>
      </c>
      <c r="AE388" t="s">
        <v>328</v>
      </c>
      <c r="AF388" t="s">
        <v>256</v>
      </c>
      <c r="AG388" s="2"/>
      <c r="AH388" s="44">
        <f>1-COS(RADIANS(TA[[#This Row],[Avg. Target Angle during Fault Time (Radians)]]-TA[[#This Row],[Angle of affected equipment ]]))</f>
        <v>0.11705240714107301</v>
      </c>
      <c r="AI388" s="35">
        <f>IFERROR(TA[[#This Row],[Breakdown Time]]*TA[[#This Row],[Plant Equivalent Weightage]],"")</f>
        <v>0</v>
      </c>
    </row>
    <row r="389" spans="1:35">
      <c r="A389" s="2">
        <f t="shared" si="20"/>
        <v>386</v>
      </c>
      <c r="B389" s="156">
        <f t="shared" ref="B389:B452" si="21">YEAR(H389)+IF(MONTH(H389)&gt;=4,1,0)</f>
        <v>2026</v>
      </c>
      <c r="C389" s="129">
        <f t="shared" ref="C389:C452" si="22">YEAR(H389)</f>
        <v>2025</v>
      </c>
      <c r="D389" s="2" t="s">
        <v>155</v>
      </c>
      <c r="E389" s="2" t="s">
        <v>155</v>
      </c>
      <c r="F389" s="39">
        <v>45748</v>
      </c>
      <c r="G389" s="2">
        <f>DAY(EOMONTH(TA[[#This Row],[Month Year]],0))</f>
        <v>30</v>
      </c>
      <c r="H389" s="21">
        <v>45771</v>
      </c>
      <c r="I389" s="41">
        <f>IFERROR(VLOOKUP(TA[[#This Row],[Date]],Raw_Data[[Date]:[Sunset Time (POA&lt;20 W/m2)]],3,0),"")</f>
        <v>0.26111111111111113</v>
      </c>
      <c r="J389" s="41">
        <f>IFERROR(VLOOKUP(TA[[#This Row],[Date]],Raw_Data[[Date]:[Sunset Time (POA&lt;20 W/m2)]],4,0),"")</f>
        <v>0.76041666666666663</v>
      </c>
      <c r="K389" s="35">
        <f>IFERROR((TA[[#This Row],[Sunset Time (POA&lt;20 W/m2)]]-TA[[#This Row],[Sunrise Time (POA&gt;20 W/m2)]])*24,"")</f>
        <v>11.983333333333333</v>
      </c>
      <c r="L389" s="2" t="s">
        <v>294</v>
      </c>
      <c r="M389" s="42">
        <f>IFERROR(VLOOKUP(TA[[#This Row],[Affected Equipment]],'Basic Data'!$I$2:$K$40,3,0),"")</f>
        <v>1.7241379310344799E-3</v>
      </c>
      <c r="N389">
        <v>-28</v>
      </c>
      <c r="O389" t="s">
        <v>137</v>
      </c>
      <c r="P389" s="127" t="s">
        <v>315</v>
      </c>
      <c r="Q389" s="126" t="s">
        <v>319</v>
      </c>
      <c r="R389">
        <v>166</v>
      </c>
      <c r="S389" s="2">
        <v>91</v>
      </c>
      <c r="T389" t="s">
        <v>295</v>
      </c>
      <c r="U389" t="s">
        <v>300</v>
      </c>
      <c r="V389" t="s">
        <v>298</v>
      </c>
      <c r="W389" s="41"/>
      <c r="X389" s="41"/>
      <c r="Y389" s="34"/>
      <c r="Z389" s="34"/>
      <c r="AA389" s="35">
        <f>IF(TA[[#This Row],[Work Start time on Fault]]="NA","",(TA[[#This Row],[Fault Acknowledgement Time ]]-TA[[#This Row],[Fault Time]])*24)</f>
        <v>0</v>
      </c>
      <c r="AB389" s="35">
        <f>(TA[[#This Row],[Work Start time on Fault]]-TA[[#This Row],[Fault Time]])*24</f>
        <v>0</v>
      </c>
      <c r="AC389" s="34">
        <f>(TA[[#This Row],[Work Completion time on fault]]-TA[[#This Row],[Fault Time]])*24</f>
        <v>0</v>
      </c>
      <c r="AD389" s="35">
        <f>IFERROR((TA[[#This Row],[Work Completion time on fault]]-TA[[#This Row],[Fault Time]])*24,"")</f>
        <v>0</v>
      </c>
      <c r="AE389" t="s">
        <v>328</v>
      </c>
      <c r="AF389" t="s">
        <v>256</v>
      </c>
      <c r="AG389" s="2"/>
      <c r="AH389" s="44">
        <f>1-COS(RADIANS(TA[[#This Row],[Avg. Target Angle during Fault Time (Radians)]]-TA[[#This Row],[Angle of affected equipment ]]))</f>
        <v>0.11705240714107301</v>
      </c>
      <c r="AI389" s="35">
        <f>IFERROR(TA[[#This Row],[Breakdown Time]]*TA[[#This Row],[Plant Equivalent Weightage]],"")</f>
        <v>0</v>
      </c>
    </row>
    <row r="390" spans="1:35">
      <c r="A390" s="2">
        <f t="shared" si="20"/>
        <v>387</v>
      </c>
      <c r="B390" s="156">
        <f t="shared" si="21"/>
        <v>2026</v>
      </c>
      <c r="C390" s="129">
        <f t="shared" si="22"/>
        <v>2025</v>
      </c>
      <c r="D390" s="2" t="s">
        <v>155</v>
      </c>
      <c r="E390" s="2" t="s">
        <v>155</v>
      </c>
      <c r="F390" s="39">
        <v>45748</v>
      </c>
      <c r="G390" s="2">
        <f>DAY(EOMONTH(TA[[#This Row],[Month Year]],0))</f>
        <v>30</v>
      </c>
      <c r="H390" s="21">
        <v>45771</v>
      </c>
      <c r="I390" s="41">
        <f>IFERROR(VLOOKUP(TA[[#This Row],[Date]],Raw_Data[[Date]:[Sunset Time (POA&lt;20 W/m2)]],3,0),"")</f>
        <v>0.26111111111111113</v>
      </c>
      <c r="J390" s="41">
        <f>IFERROR(VLOOKUP(TA[[#This Row],[Date]],Raw_Data[[Date]:[Sunset Time (POA&lt;20 W/m2)]],4,0),"")</f>
        <v>0.76041666666666663</v>
      </c>
      <c r="K390" s="35">
        <f>IFERROR((TA[[#This Row],[Sunset Time (POA&lt;20 W/m2)]]-TA[[#This Row],[Sunrise Time (POA&gt;20 W/m2)]])*24,"")</f>
        <v>11.983333333333333</v>
      </c>
      <c r="L390" s="2" t="s">
        <v>294</v>
      </c>
      <c r="M390" s="42">
        <f>IFERROR(VLOOKUP(TA[[#This Row],[Affected Equipment]],'Basic Data'!$I$2:$K$40,3,0),"")</f>
        <v>1.7241379310344799E-3</v>
      </c>
      <c r="N390">
        <v>-28</v>
      </c>
      <c r="O390" t="s">
        <v>133</v>
      </c>
      <c r="P390" s="127" t="s">
        <v>316</v>
      </c>
      <c r="Q390" s="126" t="s">
        <v>316</v>
      </c>
      <c r="R390">
        <v>117</v>
      </c>
      <c r="S390" s="2">
        <v>20</v>
      </c>
      <c r="T390" t="s">
        <v>295</v>
      </c>
      <c r="U390" t="s">
        <v>300</v>
      </c>
      <c r="V390" t="s">
        <v>298</v>
      </c>
      <c r="W390" s="41"/>
      <c r="X390" s="41"/>
      <c r="Y390" s="34"/>
      <c r="Z390" s="34"/>
      <c r="AA390" s="35">
        <f>IF(TA[[#This Row],[Work Start time on Fault]]="NA","",(TA[[#This Row],[Fault Acknowledgement Time ]]-TA[[#This Row],[Fault Time]])*24)</f>
        <v>0</v>
      </c>
      <c r="AB390" s="35">
        <f>(TA[[#This Row],[Work Start time on Fault]]-TA[[#This Row],[Fault Time]])*24</f>
        <v>0</v>
      </c>
      <c r="AC390" s="34">
        <f>(TA[[#This Row],[Work Completion time on fault]]-TA[[#This Row],[Fault Time]])*24</f>
        <v>0</v>
      </c>
      <c r="AD390" s="35">
        <f>IFERROR((TA[[#This Row],[Work Completion time on fault]]-TA[[#This Row],[Fault Time]])*24,"")</f>
        <v>0</v>
      </c>
      <c r="AE390" t="s">
        <v>328</v>
      </c>
      <c r="AF390" t="s">
        <v>256</v>
      </c>
      <c r="AG390" s="2"/>
      <c r="AH390" s="44">
        <f>1-COS(RADIANS(TA[[#This Row],[Avg. Target Angle during Fault Time (Radians)]]-TA[[#This Row],[Angle of affected equipment ]]))</f>
        <v>0.11705240714107301</v>
      </c>
      <c r="AI390" s="35">
        <f>IFERROR(TA[[#This Row],[Breakdown Time]]*TA[[#This Row],[Plant Equivalent Weightage]],"")</f>
        <v>0</v>
      </c>
    </row>
    <row r="391" spans="1:35">
      <c r="A391" s="2">
        <f t="shared" si="20"/>
        <v>388</v>
      </c>
      <c r="B391" s="156">
        <f t="shared" si="21"/>
        <v>2026</v>
      </c>
      <c r="C391" s="129">
        <f t="shared" si="22"/>
        <v>2025</v>
      </c>
      <c r="D391" s="2" t="s">
        <v>155</v>
      </c>
      <c r="E391" s="2" t="s">
        <v>155</v>
      </c>
      <c r="F391" s="39">
        <v>45748</v>
      </c>
      <c r="G391" s="2">
        <f>DAY(EOMONTH(TA[[#This Row],[Month Year]],0))</f>
        <v>30</v>
      </c>
      <c r="H391" s="21">
        <v>45771</v>
      </c>
      <c r="I391" s="41">
        <f>IFERROR(VLOOKUP(TA[[#This Row],[Date]],Raw_Data[[Date]:[Sunset Time (POA&lt;20 W/m2)]],3,0),"")</f>
        <v>0.26111111111111113</v>
      </c>
      <c r="J391" s="41">
        <f>IFERROR(VLOOKUP(TA[[#This Row],[Date]],Raw_Data[[Date]:[Sunset Time (POA&lt;20 W/m2)]],4,0),"")</f>
        <v>0.76041666666666663</v>
      </c>
      <c r="K391" s="35">
        <f>IFERROR((TA[[#This Row],[Sunset Time (POA&lt;20 W/m2)]]-TA[[#This Row],[Sunrise Time (POA&gt;20 W/m2)]])*24,"")</f>
        <v>11.983333333333333</v>
      </c>
      <c r="L391" s="2" t="s">
        <v>294</v>
      </c>
      <c r="M391" s="42">
        <f>IFERROR(VLOOKUP(TA[[#This Row],[Affected Equipment]],'Basic Data'!$I$2:$K$40,3,0),"")</f>
        <v>1.7241379310344799E-3</v>
      </c>
      <c r="N391">
        <v>-28</v>
      </c>
      <c r="O391" t="s">
        <v>133</v>
      </c>
      <c r="P391" s="127" t="s">
        <v>316</v>
      </c>
      <c r="Q391" s="126" t="s">
        <v>316</v>
      </c>
      <c r="R391">
        <v>118</v>
      </c>
      <c r="S391" s="2">
        <v>22</v>
      </c>
      <c r="T391" t="s">
        <v>295</v>
      </c>
      <c r="U391" t="s">
        <v>300</v>
      </c>
      <c r="V391" t="s">
        <v>298</v>
      </c>
      <c r="W391" s="41"/>
      <c r="X391" s="41"/>
      <c r="Y391" s="34"/>
      <c r="Z391" s="34"/>
      <c r="AA391" s="35">
        <f>IF(TA[[#This Row],[Work Start time on Fault]]="NA","",(TA[[#This Row],[Fault Acknowledgement Time ]]-TA[[#This Row],[Fault Time]])*24)</f>
        <v>0</v>
      </c>
      <c r="AB391" s="35">
        <f>(TA[[#This Row],[Work Start time on Fault]]-TA[[#This Row],[Fault Time]])*24</f>
        <v>0</v>
      </c>
      <c r="AC391" s="34">
        <f>(TA[[#This Row],[Work Completion time on fault]]-TA[[#This Row],[Fault Time]])*24</f>
        <v>0</v>
      </c>
      <c r="AD391" s="35">
        <f>IFERROR((TA[[#This Row],[Work Completion time on fault]]-TA[[#This Row],[Fault Time]])*24,"")</f>
        <v>0</v>
      </c>
      <c r="AE391" t="s">
        <v>328</v>
      </c>
      <c r="AF391" t="s">
        <v>256</v>
      </c>
      <c r="AG391" s="2"/>
      <c r="AH391" s="44">
        <f>1-COS(RADIANS(TA[[#This Row],[Avg. Target Angle during Fault Time (Radians)]]-TA[[#This Row],[Angle of affected equipment ]]))</f>
        <v>0.11705240714107301</v>
      </c>
      <c r="AI391" s="35">
        <f>IFERROR(TA[[#This Row],[Breakdown Time]]*TA[[#This Row],[Plant Equivalent Weightage]],"")</f>
        <v>0</v>
      </c>
    </row>
    <row r="392" spans="1:35">
      <c r="A392" s="2">
        <f t="shared" si="20"/>
        <v>389</v>
      </c>
      <c r="B392" s="156">
        <f t="shared" si="21"/>
        <v>2026</v>
      </c>
      <c r="C392" s="129">
        <f t="shared" si="22"/>
        <v>2025</v>
      </c>
      <c r="D392" s="2" t="s">
        <v>155</v>
      </c>
      <c r="E392" s="2" t="s">
        <v>155</v>
      </c>
      <c r="F392" s="39">
        <v>45748</v>
      </c>
      <c r="G392" s="2">
        <f>DAY(EOMONTH(TA[[#This Row],[Month Year]],0))</f>
        <v>30</v>
      </c>
      <c r="H392" s="21">
        <v>45771</v>
      </c>
      <c r="I392" s="41">
        <f>IFERROR(VLOOKUP(TA[[#This Row],[Date]],Raw_Data[[Date]:[Sunset Time (POA&lt;20 W/m2)]],3,0),"")</f>
        <v>0.26111111111111113</v>
      </c>
      <c r="J392" s="41">
        <f>IFERROR(VLOOKUP(TA[[#This Row],[Date]],Raw_Data[[Date]:[Sunset Time (POA&lt;20 W/m2)]],4,0),"")</f>
        <v>0.76041666666666663</v>
      </c>
      <c r="K392" s="35">
        <f>IFERROR((TA[[#This Row],[Sunset Time (POA&lt;20 W/m2)]]-TA[[#This Row],[Sunrise Time (POA&gt;20 W/m2)]])*24,"")</f>
        <v>11.983333333333333</v>
      </c>
      <c r="L392" s="2" t="s">
        <v>296</v>
      </c>
      <c r="M392" s="42">
        <f>IFERROR(VLOOKUP(TA[[#This Row],[Affected Equipment]],'Basic Data'!$I$2:$K$40,3,0),"")</f>
        <v>8.6206896551724102E-3</v>
      </c>
      <c r="N392">
        <v>-28</v>
      </c>
      <c r="O392" t="s">
        <v>135</v>
      </c>
      <c r="P392" s="22" t="s">
        <v>323</v>
      </c>
      <c r="Q392" s="2" t="s">
        <v>329</v>
      </c>
      <c r="R392">
        <v>45</v>
      </c>
      <c r="S392" s="2">
        <v>8</v>
      </c>
      <c r="T392" t="s">
        <v>297</v>
      </c>
      <c r="U392" t="s">
        <v>326</v>
      </c>
      <c r="V392" t="s">
        <v>301</v>
      </c>
      <c r="W392" s="41"/>
      <c r="X392" s="41"/>
      <c r="Y392" s="34"/>
      <c r="Z392" s="34"/>
      <c r="AA392" s="35">
        <f>IF(TA[[#This Row],[Work Start time on Fault]]="NA","",(TA[[#This Row],[Fault Acknowledgement Time ]]-TA[[#This Row],[Fault Time]])*24)</f>
        <v>0</v>
      </c>
      <c r="AB392" s="35">
        <f>(TA[[#This Row],[Work Start time on Fault]]-TA[[#This Row],[Fault Time]])*24</f>
        <v>0</v>
      </c>
      <c r="AC392" s="34">
        <f>(TA[[#This Row],[Work Completion time on fault]]-TA[[#This Row],[Fault Time]])*24</f>
        <v>0</v>
      </c>
      <c r="AD392" s="35">
        <f>IFERROR((TA[[#This Row],[Work Completion time on fault]]-TA[[#This Row],[Fault Time]])*24,"")</f>
        <v>0</v>
      </c>
      <c r="AE392" t="s">
        <v>328</v>
      </c>
      <c r="AF392" t="s">
        <v>256</v>
      </c>
      <c r="AG392" s="2"/>
      <c r="AH392" s="44">
        <f>1-COS(RADIANS(TA[[#This Row],[Avg. Target Angle during Fault Time (Radians)]]-TA[[#This Row],[Angle of affected equipment ]]))</f>
        <v>0.11705240714107301</v>
      </c>
      <c r="AI392" s="35">
        <f>IFERROR(TA[[#This Row],[Breakdown Time]]*TA[[#This Row],[Plant Equivalent Weightage]],"")</f>
        <v>0</v>
      </c>
    </row>
    <row r="393" spans="1:35">
      <c r="A393" s="2">
        <f t="shared" si="20"/>
        <v>390</v>
      </c>
      <c r="B393" s="156">
        <f t="shared" si="21"/>
        <v>2026</v>
      </c>
      <c r="C393" s="129">
        <f t="shared" si="22"/>
        <v>2025</v>
      </c>
      <c r="D393" s="2" t="s">
        <v>155</v>
      </c>
      <c r="E393" s="2" t="s">
        <v>155</v>
      </c>
      <c r="F393" s="39">
        <v>45748</v>
      </c>
      <c r="G393" s="2">
        <f>DAY(EOMONTH(TA[[#This Row],[Month Year]],0))</f>
        <v>30</v>
      </c>
      <c r="H393" s="21">
        <v>45771</v>
      </c>
      <c r="I393" s="41">
        <f>IFERROR(VLOOKUP(TA[[#This Row],[Date]],Raw_Data[[Date]:[Sunset Time (POA&lt;20 W/m2)]],3,0),"")</f>
        <v>0.26111111111111113</v>
      </c>
      <c r="J393" s="41">
        <f>IFERROR(VLOOKUP(TA[[#This Row],[Date]],Raw_Data[[Date]:[Sunset Time (POA&lt;20 W/m2)]],4,0),"")</f>
        <v>0.76041666666666663</v>
      </c>
      <c r="K393" s="35">
        <f>IFERROR((TA[[#This Row],[Sunset Time (POA&lt;20 W/m2)]]-TA[[#This Row],[Sunrise Time (POA&gt;20 W/m2)]])*24,"")</f>
        <v>11.983333333333333</v>
      </c>
      <c r="L393" s="2" t="s">
        <v>296</v>
      </c>
      <c r="M393" s="42">
        <f>IFERROR(VLOOKUP(TA[[#This Row],[Affected Equipment]],'Basic Data'!$I$2:$K$40,3,0),"")</f>
        <v>8.6206896551724102E-3</v>
      </c>
      <c r="N393">
        <v>-28</v>
      </c>
      <c r="O393" t="s">
        <v>135</v>
      </c>
      <c r="P393" s="22" t="s">
        <v>323</v>
      </c>
      <c r="Q393" s="2" t="s">
        <v>329</v>
      </c>
      <c r="R393">
        <v>47</v>
      </c>
      <c r="S393" s="2">
        <v>18</v>
      </c>
      <c r="T393" t="s">
        <v>297</v>
      </c>
      <c r="U393" t="s">
        <v>326</v>
      </c>
      <c r="V393" t="s">
        <v>301</v>
      </c>
      <c r="W393" s="41"/>
      <c r="X393" s="41"/>
      <c r="Y393" s="34"/>
      <c r="Z393" s="34"/>
      <c r="AA393" s="35">
        <f>IF(TA[[#This Row],[Work Start time on Fault]]="NA","",(TA[[#This Row],[Fault Acknowledgement Time ]]-TA[[#This Row],[Fault Time]])*24)</f>
        <v>0</v>
      </c>
      <c r="AB393" s="35">
        <f>(TA[[#This Row],[Work Start time on Fault]]-TA[[#This Row],[Fault Time]])*24</f>
        <v>0</v>
      </c>
      <c r="AC393" s="34">
        <f>(TA[[#This Row],[Work Completion time on fault]]-TA[[#This Row],[Fault Time]])*24</f>
        <v>0</v>
      </c>
      <c r="AD393" s="35">
        <f>IFERROR((TA[[#This Row],[Work Completion time on fault]]-TA[[#This Row],[Fault Time]])*24,"")</f>
        <v>0</v>
      </c>
      <c r="AE393" t="s">
        <v>328</v>
      </c>
      <c r="AF393" t="s">
        <v>256</v>
      </c>
      <c r="AG393" s="2"/>
      <c r="AH393" s="44">
        <f>1-COS(RADIANS(TA[[#This Row],[Avg. Target Angle during Fault Time (Radians)]]-TA[[#This Row],[Angle of affected equipment ]]))</f>
        <v>0.11705240714107301</v>
      </c>
      <c r="AI393" s="35">
        <f>IFERROR(TA[[#This Row],[Breakdown Time]]*TA[[#This Row],[Plant Equivalent Weightage]],"")</f>
        <v>0</v>
      </c>
    </row>
    <row r="394" spans="1:35">
      <c r="A394" s="2">
        <f t="shared" si="20"/>
        <v>391</v>
      </c>
      <c r="B394" s="156">
        <f t="shared" si="21"/>
        <v>2026</v>
      </c>
      <c r="C394" s="129">
        <f t="shared" si="22"/>
        <v>2025</v>
      </c>
      <c r="D394" s="2" t="s">
        <v>155</v>
      </c>
      <c r="E394" s="2" t="s">
        <v>155</v>
      </c>
      <c r="F394" s="39">
        <v>45748</v>
      </c>
      <c r="G394" s="2">
        <f>DAY(EOMONTH(TA[[#This Row],[Month Year]],0))</f>
        <v>30</v>
      </c>
      <c r="H394" s="21">
        <v>45771</v>
      </c>
      <c r="I394" s="41">
        <f>IFERROR(VLOOKUP(TA[[#This Row],[Date]],Raw_Data[[Date]:[Sunset Time (POA&lt;20 W/m2)]],3,0),"")</f>
        <v>0.26111111111111113</v>
      </c>
      <c r="J394" s="41">
        <f>IFERROR(VLOOKUP(TA[[#This Row],[Date]],Raw_Data[[Date]:[Sunset Time (POA&lt;20 W/m2)]],4,0),"")</f>
        <v>0.76041666666666663</v>
      </c>
      <c r="K394" s="35">
        <f>IFERROR((TA[[#This Row],[Sunset Time (POA&lt;20 W/m2)]]-TA[[#This Row],[Sunrise Time (POA&gt;20 W/m2)]])*24,"")</f>
        <v>11.983333333333333</v>
      </c>
      <c r="L394" s="2" t="s">
        <v>296</v>
      </c>
      <c r="M394" s="42">
        <f>IFERROR(VLOOKUP(TA[[#This Row],[Affected Equipment]],'Basic Data'!$I$2:$K$40,3,0),"")</f>
        <v>8.6206896551724102E-3</v>
      </c>
      <c r="N394">
        <v>-28</v>
      </c>
      <c r="O394" t="s">
        <v>134</v>
      </c>
      <c r="P394" s="22" t="s">
        <v>330</v>
      </c>
      <c r="Q394" s="2" t="s">
        <v>323</v>
      </c>
      <c r="R394">
        <v>30</v>
      </c>
      <c r="S394" s="2">
        <v>57</v>
      </c>
      <c r="T394" t="s">
        <v>297</v>
      </c>
      <c r="U394" t="s">
        <v>326</v>
      </c>
      <c r="V394" t="s">
        <v>301</v>
      </c>
      <c r="W394" s="41"/>
      <c r="X394" s="41"/>
      <c r="Y394" s="34"/>
      <c r="Z394" s="34"/>
      <c r="AA394" s="35">
        <f>IF(TA[[#This Row],[Work Start time on Fault]]="NA","",(TA[[#This Row],[Fault Acknowledgement Time ]]-TA[[#This Row],[Fault Time]])*24)</f>
        <v>0</v>
      </c>
      <c r="AB394" s="35">
        <f>(TA[[#This Row],[Work Start time on Fault]]-TA[[#This Row],[Fault Time]])*24</f>
        <v>0</v>
      </c>
      <c r="AC394" s="34">
        <f>(TA[[#This Row],[Work Completion time on fault]]-TA[[#This Row],[Fault Time]])*24</f>
        <v>0</v>
      </c>
      <c r="AD394" s="35">
        <f>IFERROR((TA[[#This Row],[Work Completion time on fault]]-TA[[#This Row],[Fault Time]])*24,"")</f>
        <v>0</v>
      </c>
      <c r="AE394" t="s">
        <v>328</v>
      </c>
      <c r="AF394" t="s">
        <v>256</v>
      </c>
      <c r="AG394" s="2"/>
      <c r="AH394" s="44">
        <f>1-COS(RADIANS(TA[[#This Row],[Avg. Target Angle during Fault Time (Radians)]]-TA[[#This Row],[Angle of affected equipment ]]))</f>
        <v>0.11705240714107301</v>
      </c>
      <c r="AI394" s="35">
        <f>IFERROR(TA[[#This Row],[Breakdown Time]]*TA[[#This Row],[Plant Equivalent Weightage]],"")</f>
        <v>0</v>
      </c>
    </row>
    <row r="395" spans="1:35">
      <c r="A395" s="2">
        <f t="shared" si="20"/>
        <v>392</v>
      </c>
      <c r="B395" s="156">
        <f t="shared" si="21"/>
        <v>2026</v>
      </c>
      <c r="C395" s="129">
        <f t="shared" si="22"/>
        <v>2025</v>
      </c>
      <c r="D395" s="2" t="s">
        <v>155</v>
      </c>
      <c r="E395" s="2" t="s">
        <v>155</v>
      </c>
      <c r="F395" s="39">
        <v>45748</v>
      </c>
      <c r="G395" s="2">
        <f>DAY(EOMONTH(TA[[#This Row],[Month Year]],0))</f>
        <v>30</v>
      </c>
      <c r="H395" s="21">
        <v>45771</v>
      </c>
      <c r="I395" s="41">
        <f>IFERROR(VLOOKUP(TA[[#This Row],[Date]],Raw_Data[[Date]:[Sunset Time (POA&lt;20 W/m2)]],3,0),"")</f>
        <v>0.26111111111111113</v>
      </c>
      <c r="J395" s="41">
        <f>IFERROR(VLOOKUP(TA[[#This Row],[Date]],Raw_Data[[Date]:[Sunset Time (POA&lt;20 W/m2)]],4,0),"")</f>
        <v>0.76041666666666663</v>
      </c>
      <c r="K395" s="35">
        <f>IFERROR((TA[[#This Row],[Sunset Time (POA&lt;20 W/m2)]]-TA[[#This Row],[Sunrise Time (POA&gt;20 W/m2)]])*24,"")</f>
        <v>11.983333333333333</v>
      </c>
      <c r="L395" s="2" t="s">
        <v>296</v>
      </c>
      <c r="M395" s="42">
        <f>IFERROR(VLOOKUP(TA[[#This Row],[Affected Equipment]],'Basic Data'!$I$2:$K$40,3,0),"")</f>
        <v>8.6206896551724102E-3</v>
      </c>
      <c r="N395">
        <v>-28</v>
      </c>
      <c r="O395" t="s">
        <v>134</v>
      </c>
      <c r="P395" s="22" t="s">
        <v>330</v>
      </c>
      <c r="Q395" s="2" t="s">
        <v>323</v>
      </c>
      <c r="R395">
        <v>31</v>
      </c>
      <c r="S395" s="2">
        <v>61</v>
      </c>
      <c r="T395" t="s">
        <v>297</v>
      </c>
      <c r="U395" t="s">
        <v>326</v>
      </c>
      <c r="V395" t="s">
        <v>301</v>
      </c>
      <c r="W395" s="41"/>
      <c r="X395" s="41"/>
      <c r="Y395" s="34"/>
      <c r="Z395" s="34"/>
      <c r="AA395" s="35">
        <f>IF(TA[[#This Row],[Work Start time on Fault]]="NA","",(TA[[#This Row],[Fault Acknowledgement Time ]]-TA[[#This Row],[Fault Time]])*24)</f>
        <v>0</v>
      </c>
      <c r="AB395" s="35">
        <f>(TA[[#This Row],[Work Start time on Fault]]-TA[[#This Row],[Fault Time]])*24</f>
        <v>0</v>
      </c>
      <c r="AC395" s="34">
        <f>(TA[[#This Row],[Work Completion time on fault]]-TA[[#This Row],[Fault Time]])*24</f>
        <v>0</v>
      </c>
      <c r="AD395" s="35">
        <f>IFERROR((TA[[#This Row],[Work Completion time on fault]]-TA[[#This Row],[Fault Time]])*24,"")</f>
        <v>0</v>
      </c>
      <c r="AE395" t="s">
        <v>328</v>
      </c>
      <c r="AF395" t="s">
        <v>256</v>
      </c>
      <c r="AG395" s="2"/>
      <c r="AH395" s="44">
        <f>1-COS(RADIANS(TA[[#This Row],[Avg. Target Angle during Fault Time (Radians)]]-TA[[#This Row],[Angle of affected equipment ]]))</f>
        <v>0.11705240714107301</v>
      </c>
      <c r="AI395" s="35">
        <f>IFERROR(TA[[#This Row],[Breakdown Time]]*TA[[#This Row],[Plant Equivalent Weightage]],"")</f>
        <v>0</v>
      </c>
    </row>
    <row r="396" spans="1:35">
      <c r="A396" s="2">
        <f t="shared" si="20"/>
        <v>393</v>
      </c>
      <c r="B396" s="156">
        <f t="shared" si="21"/>
        <v>2026</v>
      </c>
      <c r="C396" s="129">
        <f t="shared" si="22"/>
        <v>2025</v>
      </c>
      <c r="D396" s="2" t="s">
        <v>155</v>
      </c>
      <c r="E396" s="2" t="s">
        <v>155</v>
      </c>
      <c r="F396" s="39">
        <v>45748</v>
      </c>
      <c r="G396" s="2">
        <f>DAY(EOMONTH(TA[[#This Row],[Month Year]],0))</f>
        <v>30</v>
      </c>
      <c r="H396" s="21">
        <v>45771</v>
      </c>
      <c r="I396" s="41">
        <f>IFERROR(VLOOKUP(TA[[#This Row],[Date]],Raw_Data[[Date]:[Sunset Time (POA&lt;20 W/m2)]],3,0),"")</f>
        <v>0.26111111111111113</v>
      </c>
      <c r="J396" s="41">
        <f>IFERROR(VLOOKUP(TA[[#This Row],[Date]],Raw_Data[[Date]:[Sunset Time (POA&lt;20 W/m2)]],4,0),"")</f>
        <v>0.76041666666666663</v>
      </c>
      <c r="K396" s="35">
        <f>IFERROR((TA[[#This Row],[Sunset Time (POA&lt;20 W/m2)]]-TA[[#This Row],[Sunrise Time (POA&gt;20 W/m2)]])*24,"")</f>
        <v>11.983333333333333</v>
      </c>
      <c r="L396" s="2" t="s">
        <v>312</v>
      </c>
      <c r="M396" s="42">
        <f>IFERROR(VLOOKUP(TA[[#This Row],[Affected Equipment]],'Basic Data'!$I$2:$K$40,3,0),"")</f>
        <v>5.74712643678161E-3</v>
      </c>
      <c r="N396">
        <v>-28</v>
      </c>
      <c r="O396" t="s">
        <v>133</v>
      </c>
      <c r="P396" s="22" t="s">
        <v>330</v>
      </c>
      <c r="Q396" s="2" t="s">
        <v>323</v>
      </c>
      <c r="R396">
        <v>26</v>
      </c>
      <c r="S396" s="2">
        <v>37</v>
      </c>
      <c r="T396" t="s">
        <v>297</v>
      </c>
      <c r="U396" t="s">
        <v>326</v>
      </c>
      <c r="V396" t="s">
        <v>301</v>
      </c>
      <c r="W396" s="41"/>
      <c r="X396" s="41"/>
      <c r="Y396" s="34"/>
      <c r="Z396" s="34"/>
      <c r="AA396" s="35">
        <f>IF(TA[[#This Row],[Work Start time on Fault]]="NA","",(TA[[#This Row],[Fault Acknowledgement Time ]]-TA[[#This Row],[Fault Time]])*24)</f>
        <v>0</v>
      </c>
      <c r="AB396" s="35">
        <f>(TA[[#This Row],[Work Start time on Fault]]-TA[[#This Row],[Fault Time]])*24</f>
        <v>0</v>
      </c>
      <c r="AC396" s="34">
        <f>(TA[[#This Row],[Work Completion time on fault]]-TA[[#This Row],[Fault Time]])*24</f>
        <v>0</v>
      </c>
      <c r="AD396" s="35">
        <f>IFERROR((TA[[#This Row],[Work Completion time on fault]]-TA[[#This Row],[Fault Time]])*24,"")</f>
        <v>0</v>
      </c>
      <c r="AE396" t="s">
        <v>328</v>
      </c>
      <c r="AF396" t="s">
        <v>256</v>
      </c>
      <c r="AG396" s="2"/>
      <c r="AH396" s="44">
        <f>1-COS(RADIANS(TA[[#This Row],[Avg. Target Angle during Fault Time (Radians)]]-TA[[#This Row],[Angle of affected equipment ]]))</f>
        <v>0.11705240714107301</v>
      </c>
      <c r="AI396" s="35">
        <f>IFERROR(TA[[#This Row],[Breakdown Time]]*TA[[#This Row],[Plant Equivalent Weightage]],"")</f>
        <v>0</v>
      </c>
    </row>
    <row r="397" spans="1:35">
      <c r="A397" s="2">
        <f t="shared" si="20"/>
        <v>394</v>
      </c>
      <c r="B397" s="156">
        <f t="shared" si="21"/>
        <v>2026</v>
      </c>
      <c r="C397" s="129">
        <f t="shared" si="22"/>
        <v>2025</v>
      </c>
      <c r="D397" s="2" t="s">
        <v>155</v>
      </c>
      <c r="E397" s="2" t="s">
        <v>155</v>
      </c>
      <c r="F397" s="39">
        <v>45748</v>
      </c>
      <c r="G397" s="2">
        <f>DAY(EOMONTH(TA[[#This Row],[Month Year]],0))</f>
        <v>30</v>
      </c>
      <c r="H397" s="21">
        <v>45771</v>
      </c>
      <c r="I397" s="41">
        <f>IFERROR(VLOOKUP(TA[[#This Row],[Date]],Raw_Data[[Date]:[Sunset Time (POA&lt;20 W/m2)]],3,0),"")</f>
        <v>0.26111111111111113</v>
      </c>
      <c r="J397" s="41">
        <f>IFERROR(VLOOKUP(TA[[#This Row],[Date]],Raw_Data[[Date]:[Sunset Time (POA&lt;20 W/m2)]],4,0),"")</f>
        <v>0.76041666666666663</v>
      </c>
      <c r="K397" s="35">
        <f>IFERROR((TA[[#This Row],[Sunset Time (POA&lt;20 W/m2)]]-TA[[#This Row],[Sunrise Time (POA&gt;20 W/m2)]])*24,"")</f>
        <v>11.983333333333333</v>
      </c>
      <c r="L397" s="2" t="s">
        <v>312</v>
      </c>
      <c r="M397" s="42">
        <f>IFERROR(VLOOKUP(TA[[#This Row],[Affected Equipment]],'Basic Data'!$I$2:$K$40,3,0),"")</f>
        <v>5.74712643678161E-3</v>
      </c>
      <c r="N397">
        <v>-28</v>
      </c>
      <c r="O397" t="s">
        <v>133</v>
      </c>
      <c r="P397" s="22" t="s">
        <v>330</v>
      </c>
      <c r="Q397" s="2" t="s">
        <v>323</v>
      </c>
      <c r="R397">
        <v>27</v>
      </c>
      <c r="S397" s="2">
        <v>42</v>
      </c>
      <c r="T397" t="s">
        <v>297</v>
      </c>
      <c r="U397" t="s">
        <v>326</v>
      </c>
      <c r="V397" t="s">
        <v>301</v>
      </c>
      <c r="W397" s="41">
        <f>IFERROR(VLOOKUP(TA[[#This Row],[Date]],Raw_Data[[Date]:[Sunset Time (POA&lt;20 W/m2)]],3,0),"")</f>
        <v>0.26111111111111113</v>
      </c>
      <c r="X397" s="41">
        <f>IFERROR(VLOOKUP(TA[[#This Row],[Date]],Raw_Data[[Date]:[Sunset Time (POA&lt;20 W/m2)]],3,0),"")</f>
        <v>0.26111111111111113</v>
      </c>
      <c r="Y397" s="34"/>
      <c r="Z397" s="34">
        <v>0.76041666666666663</v>
      </c>
      <c r="AA397" s="35">
        <f>IF(TA[[#This Row],[Work Start time on Fault]]="NA","",(TA[[#This Row],[Fault Acknowledgement Time ]]-TA[[#This Row],[Fault Time]])*24)</f>
        <v>0</v>
      </c>
      <c r="AB397" s="35">
        <f>(TA[[#This Row],[Work Start time on Fault]]-TA[[#This Row],[Fault Time]])*24</f>
        <v>-6.2666666666666675</v>
      </c>
      <c r="AC397" s="34">
        <f>(TA[[#This Row],[Work Completion time on fault]]-TA[[#This Row],[Fault Time]])*24</f>
        <v>11.983333333333333</v>
      </c>
      <c r="AD397" s="35">
        <f>IFERROR((TA[[#This Row],[Work Completion time on fault]]-TA[[#This Row],[Fault Time]])*24,"")</f>
        <v>11.983333333333333</v>
      </c>
      <c r="AE397" t="s">
        <v>309</v>
      </c>
      <c r="AF397" t="s">
        <v>256</v>
      </c>
      <c r="AG397" s="2"/>
      <c r="AH397" s="44">
        <f>1-COS(RADIANS(TA[[#This Row],[Avg. Target Angle during Fault Time (Radians)]]-TA[[#This Row],[Angle of affected equipment ]]))</f>
        <v>0.11705240714107301</v>
      </c>
      <c r="AI397" s="35">
        <f>IFERROR(TA[[#This Row],[Breakdown Time]]*TA[[#This Row],[Plant Equivalent Weightage]],"")</f>
        <v>6.886973180076629E-2</v>
      </c>
    </row>
    <row r="398" spans="1:35">
      <c r="A398" s="2">
        <f t="shared" si="20"/>
        <v>395</v>
      </c>
      <c r="B398" s="156">
        <f t="shared" si="21"/>
        <v>2026</v>
      </c>
      <c r="C398" s="129">
        <f t="shared" si="22"/>
        <v>2025</v>
      </c>
      <c r="D398" s="2" t="s">
        <v>155</v>
      </c>
      <c r="E398" s="2" t="s">
        <v>155</v>
      </c>
      <c r="F398" s="39">
        <v>45748</v>
      </c>
      <c r="G398" s="2">
        <f>DAY(EOMONTH(TA[[#This Row],[Month Year]],0))</f>
        <v>30</v>
      </c>
      <c r="H398" s="21">
        <v>45772</v>
      </c>
      <c r="I398" s="41">
        <f>IFERROR(VLOOKUP(TA[[#This Row],[Date]],Raw_Data[[Date]:[Sunset Time (POA&lt;20 W/m2)]],3,0),"")</f>
        <v>0.25555555555555554</v>
      </c>
      <c r="J398" s="41">
        <f>IFERROR(VLOOKUP(TA[[#This Row],[Date]],Raw_Data[[Date]:[Sunset Time (POA&lt;20 W/m2)]],4,0),"")</f>
        <v>0.72083333333333333</v>
      </c>
      <c r="K398" s="35">
        <f>IFERROR((TA[[#This Row],[Sunset Time (POA&lt;20 W/m2)]]-TA[[#This Row],[Sunrise Time (POA&gt;20 W/m2)]])*24,"")</f>
        <v>11.166666666666668</v>
      </c>
      <c r="L398" s="2" t="s">
        <v>294</v>
      </c>
      <c r="M398" s="42">
        <f>IFERROR(VLOOKUP(TA[[#This Row],[Affected Equipment]],'Basic Data'!$I$2:$K$40,3,0),"")</f>
        <v>1.7241379310344799E-3</v>
      </c>
      <c r="N398">
        <v>-28</v>
      </c>
      <c r="O398" t="s">
        <v>135</v>
      </c>
      <c r="P398" s="127" t="s">
        <v>318</v>
      </c>
      <c r="Q398" s="126" t="s">
        <v>318</v>
      </c>
      <c r="R398">
        <v>130</v>
      </c>
      <c r="S398" s="2">
        <v>37</v>
      </c>
      <c r="T398" t="s">
        <v>295</v>
      </c>
      <c r="U398" t="s">
        <v>300</v>
      </c>
      <c r="V398" t="s">
        <v>298</v>
      </c>
      <c r="W398" s="41"/>
      <c r="X398" s="41"/>
      <c r="Y398" s="34"/>
      <c r="Z398" s="34"/>
      <c r="AA398" s="35">
        <f>IF(TA[[#This Row],[Work Start time on Fault]]="NA","",(TA[[#This Row],[Fault Acknowledgement Time ]]-TA[[#This Row],[Fault Time]])*24)</f>
        <v>0</v>
      </c>
      <c r="AB398" s="35">
        <f>(TA[[#This Row],[Work Start time on Fault]]-TA[[#This Row],[Fault Time]])*24</f>
        <v>0</v>
      </c>
      <c r="AC398" s="34">
        <f>(TA[[#This Row],[Work Completion time on fault]]-TA[[#This Row],[Fault Time]])*24</f>
        <v>0</v>
      </c>
      <c r="AD398" s="35">
        <f>IFERROR((TA[[#This Row],[Work Completion time on fault]]-TA[[#This Row],[Fault Time]])*24,"")</f>
        <v>0</v>
      </c>
      <c r="AE398" t="s">
        <v>328</v>
      </c>
      <c r="AF398" t="s">
        <v>256</v>
      </c>
      <c r="AG398" s="2"/>
      <c r="AH398" s="44">
        <f>1-COS(RADIANS(TA[[#This Row],[Avg. Target Angle during Fault Time (Radians)]]-TA[[#This Row],[Angle of affected equipment ]]))</f>
        <v>0.11705240714107301</v>
      </c>
      <c r="AI398" s="35">
        <f>IFERROR(TA[[#This Row],[Breakdown Time]]*TA[[#This Row],[Plant Equivalent Weightage]],"")</f>
        <v>0</v>
      </c>
    </row>
    <row r="399" spans="1:35">
      <c r="A399" s="2">
        <f t="shared" si="20"/>
        <v>396</v>
      </c>
      <c r="B399" s="156">
        <f t="shared" si="21"/>
        <v>2026</v>
      </c>
      <c r="C399" s="129">
        <f t="shared" si="22"/>
        <v>2025</v>
      </c>
      <c r="D399" s="2" t="s">
        <v>155</v>
      </c>
      <c r="E399" s="2" t="s">
        <v>155</v>
      </c>
      <c r="F399" s="39">
        <v>45748</v>
      </c>
      <c r="G399" s="2">
        <f>DAY(EOMONTH(TA[[#This Row],[Month Year]],0))</f>
        <v>30</v>
      </c>
      <c r="H399" s="21">
        <v>45772</v>
      </c>
      <c r="I399" s="41">
        <f>IFERROR(VLOOKUP(TA[[#This Row],[Date]],Raw_Data[[Date]:[Sunset Time (POA&lt;20 W/m2)]],3,0),"")</f>
        <v>0.25555555555555554</v>
      </c>
      <c r="J399" s="41">
        <f>IFERROR(VLOOKUP(TA[[#This Row],[Date]],Raw_Data[[Date]:[Sunset Time (POA&lt;20 W/m2)]],4,0),"")</f>
        <v>0.72083333333333333</v>
      </c>
      <c r="K399" s="35">
        <f>IFERROR((TA[[#This Row],[Sunset Time (POA&lt;20 W/m2)]]-TA[[#This Row],[Sunrise Time (POA&gt;20 W/m2)]])*24,"")</f>
        <v>11.166666666666668</v>
      </c>
      <c r="L399" s="2" t="s">
        <v>294</v>
      </c>
      <c r="M399" s="42">
        <f>IFERROR(VLOOKUP(TA[[#This Row],[Affected Equipment]],'Basic Data'!$I$2:$K$40,3,0),"")</f>
        <v>1.7241379310344799E-3</v>
      </c>
      <c r="N399">
        <v>-28</v>
      </c>
      <c r="O399" t="s">
        <v>135</v>
      </c>
      <c r="P399" s="127" t="s">
        <v>318</v>
      </c>
      <c r="Q399" s="126" t="s">
        <v>318</v>
      </c>
      <c r="R399">
        <v>131</v>
      </c>
      <c r="S399" s="2">
        <v>38</v>
      </c>
      <c r="T399" t="s">
        <v>295</v>
      </c>
      <c r="U399" t="s">
        <v>300</v>
      </c>
      <c r="V399" t="s">
        <v>298</v>
      </c>
      <c r="W399" s="41"/>
      <c r="X399" s="41"/>
      <c r="Y399" s="34"/>
      <c r="Z399" s="34"/>
      <c r="AA399" s="35">
        <f>IF(TA[[#This Row],[Work Start time on Fault]]="NA","",(TA[[#This Row],[Fault Acknowledgement Time ]]-TA[[#This Row],[Fault Time]])*24)</f>
        <v>0</v>
      </c>
      <c r="AB399" s="35">
        <f>(TA[[#This Row],[Work Start time on Fault]]-TA[[#This Row],[Fault Time]])*24</f>
        <v>0</v>
      </c>
      <c r="AC399" s="34">
        <f>(TA[[#This Row],[Work Completion time on fault]]-TA[[#This Row],[Fault Time]])*24</f>
        <v>0</v>
      </c>
      <c r="AD399" s="35">
        <f>IFERROR((TA[[#This Row],[Work Completion time on fault]]-TA[[#This Row],[Fault Time]])*24,"")</f>
        <v>0</v>
      </c>
      <c r="AE399" t="s">
        <v>328</v>
      </c>
      <c r="AF399" t="s">
        <v>256</v>
      </c>
      <c r="AG399" s="2"/>
      <c r="AH399" s="44">
        <f>1-COS(RADIANS(TA[[#This Row],[Avg. Target Angle during Fault Time (Radians)]]-TA[[#This Row],[Angle of affected equipment ]]))</f>
        <v>0.11705240714107301</v>
      </c>
      <c r="AI399" s="35">
        <f>IFERROR(TA[[#This Row],[Breakdown Time]]*TA[[#This Row],[Plant Equivalent Weightage]],"")</f>
        <v>0</v>
      </c>
    </row>
    <row r="400" spans="1:35">
      <c r="A400" s="2">
        <f t="shared" si="20"/>
        <v>397</v>
      </c>
      <c r="B400" s="156">
        <f t="shared" si="21"/>
        <v>2026</v>
      </c>
      <c r="C400" s="129">
        <f t="shared" si="22"/>
        <v>2025</v>
      </c>
      <c r="D400" s="2" t="s">
        <v>155</v>
      </c>
      <c r="E400" s="2" t="s">
        <v>155</v>
      </c>
      <c r="F400" s="39">
        <v>45748</v>
      </c>
      <c r="G400" s="2">
        <f>DAY(EOMONTH(TA[[#This Row],[Month Year]],0))</f>
        <v>30</v>
      </c>
      <c r="H400" s="21">
        <v>45772</v>
      </c>
      <c r="I400" s="41">
        <f>IFERROR(VLOOKUP(TA[[#This Row],[Date]],Raw_Data[[Date]:[Sunset Time (POA&lt;20 W/m2)]],3,0),"")</f>
        <v>0.25555555555555554</v>
      </c>
      <c r="J400" s="41">
        <f>IFERROR(VLOOKUP(TA[[#This Row],[Date]],Raw_Data[[Date]:[Sunset Time (POA&lt;20 W/m2)]],4,0),"")</f>
        <v>0.72083333333333333</v>
      </c>
      <c r="K400" s="35">
        <f>IFERROR((TA[[#This Row],[Sunset Time (POA&lt;20 W/m2)]]-TA[[#This Row],[Sunrise Time (POA&gt;20 W/m2)]])*24,"")</f>
        <v>11.166666666666668</v>
      </c>
      <c r="L400" s="2" t="s">
        <v>294</v>
      </c>
      <c r="M400" s="42">
        <f>IFERROR(VLOOKUP(TA[[#This Row],[Affected Equipment]],'Basic Data'!$I$2:$K$40,3,0),"")</f>
        <v>1.7241379310344799E-3</v>
      </c>
      <c r="N400">
        <v>-28</v>
      </c>
      <c r="O400" t="s">
        <v>135</v>
      </c>
      <c r="P400" s="127" t="s">
        <v>318</v>
      </c>
      <c r="Q400" s="126" t="s">
        <v>318</v>
      </c>
      <c r="R400">
        <v>131</v>
      </c>
      <c r="S400" s="2">
        <v>39</v>
      </c>
      <c r="T400" t="s">
        <v>295</v>
      </c>
      <c r="U400" t="s">
        <v>300</v>
      </c>
      <c r="V400" t="s">
        <v>298</v>
      </c>
      <c r="W400" s="41"/>
      <c r="X400" s="41"/>
      <c r="Y400" s="34"/>
      <c r="Z400" s="34"/>
      <c r="AA400" s="35">
        <f>IF(TA[[#This Row],[Work Start time on Fault]]="NA","",(TA[[#This Row],[Fault Acknowledgement Time ]]-TA[[#This Row],[Fault Time]])*24)</f>
        <v>0</v>
      </c>
      <c r="AB400" s="35">
        <f>(TA[[#This Row],[Work Start time on Fault]]-TA[[#This Row],[Fault Time]])*24</f>
        <v>0</v>
      </c>
      <c r="AC400" s="34">
        <f>(TA[[#This Row],[Work Completion time on fault]]-TA[[#This Row],[Fault Time]])*24</f>
        <v>0</v>
      </c>
      <c r="AD400" s="35">
        <f>IFERROR((TA[[#This Row],[Work Completion time on fault]]-TA[[#This Row],[Fault Time]])*24,"")</f>
        <v>0</v>
      </c>
      <c r="AE400" t="s">
        <v>328</v>
      </c>
      <c r="AF400" t="s">
        <v>256</v>
      </c>
      <c r="AG400" s="2"/>
      <c r="AH400" s="44">
        <f>1-COS(RADIANS(TA[[#This Row],[Avg. Target Angle during Fault Time (Radians)]]-TA[[#This Row],[Angle of affected equipment ]]))</f>
        <v>0.11705240714107301</v>
      </c>
      <c r="AI400" s="35">
        <f>IFERROR(TA[[#This Row],[Breakdown Time]]*TA[[#This Row],[Plant Equivalent Weightage]],"")</f>
        <v>0</v>
      </c>
    </row>
    <row r="401" spans="1:35">
      <c r="A401" s="2">
        <f t="shared" si="20"/>
        <v>398</v>
      </c>
      <c r="B401" s="156">
        <f t="shared" si="21"/>
        <v>2026</v>
      </c>
      <c r="C401" s="129">
        <f t="shared" si="22"/>
        <v>2025</v>
      </c>
      <c r="D401" s="2" t="s">
        <v>155</v>
      </c>
      <c r="E401" s="2" t="s">
        <v>155</v>
      </c>
      <c r="F401" s="39">
        <v>45748</v>
      </c>
      <c r="G401" s="2">
        <f>DAY(EOMONTH(TA[[#This Row],[Month Year]],0))</f>
        <v>30</v>
      </c>
      <c r="H401" s="21">
        <v>45772</v>
      </c>
      <c r="I401" s="41">
        <f>IFERROR(VLOOKUP(TA[[#This Row],[Date]],Raw_Data[[Date]:[Sunset Time (POA&lt;20 W/m2)]],3,0),"")</f>
        <v>0.25555555555555554</v>
      </c>
      <c r="J401" s="41">
        <f>IFERROR(VLOOKUP(TA[[#This Row],[Date]],Raw_Data[[Date]:[Sunset Time (POA&lt;20 W/m2)]],4,0),"")</f>
        <v>0.72083333333333333</v>
      </c>
      <c r="K401" s="35">
        <f>IFERROR((TA[[#This Row],[Sunset Time (POA&lt;20 W/m2)]]-TA[[#This Row],[Sunrise Time (POA&gt;20 W/m2)]])*24,"")</f>
        <v>11.166666666666668</v>
      </c>
      <c r="L401" s="2" t="s">
        <v>296</v>
      </c>
      <c r="M401" s="42">
        <f>IFERROR(VLOOKUP(TA[[#This Row],[Affected Equipment]],'Basic Data'!$I$2:$K$40,3,0),"")</f>
        <v>8.6206896551724102E-3</v>
      </c>
      <c r="N401">
        <v>-28</v>
      </c>
      <c r="O401" t="s">
        <v>135</v>
      </c>
      <c r="P401" s="127" t="s">
        <v>318</v>
      </c>
      <c r="Q401" s="2" t="s">
        <v>321</v>
      </c>
      <c r="R401">
        <v>133</v>
      </c>
      <c r="S401" s="2">
        <v>26</v>
      </c>
      <c r="T401" t="s">
        <v>297</v>
      </c>
      <c r="U401" t="s">
        <v>300</v>
      </c>
      <c r="V401" t="s">
        <v>314</v>
      </c>
      <c r="W401" s="41">
        <f>IFERROR(VLOOKUP(TA[[#This Row],[Date]],Raw_Data[[Date]:[Sunset Time (POA&lt;20 W/m2)]],3,0),"")</f>
        <v>0.25555555555555554</v>
      </c>
      <c r="X401" s="41">
        <f>IFERROR(VLOOKUP(TA[[#This Row],[Date]],Raw_Data[[Date]:[Sunset Time (POA&lt;20 W/m2)]],3,0),"")</f>
        <v>0.25555555555555554</v>
      </c>
      <c r="Y401" s="34"/>
      <c r="Z401" s="34">
        <v>0.76041666666666663</v>
      </c>
      <c r="AA401" s="35">
        <f>IF(TA[[#This Row],[Work Start time on Fault]]="NA","",(TA[[#This Row],[Fault Acknowledgement Time ]]-TA[[#This Row],[Fault Time]])*24)</f>
        <v>0</v>
      </c>
      <c r="AB401" s="35">
        <f>(TA[[#This Row],[Work Start time on Fault]]-TA[[#This Row],[Fault Time]])*24</f>
        <v>-6.1333333333333329</v>
      </c>
      <c r="AC401" s="34">
        <f>(TA[[#This Row],[Work Completion time on fault]]-TA[[#This Row],[Fault Time]])*24</f>
        <v>12.116666666666667</v>
      </c>
      <c r="AD401" s="35">
        <f>IFERROR((TA[[#This Row],[Work Completion time on fault]]-TA[[#This Row],[Fault Time]])*24,"")</f>
        <v>12.116666666666667</v>
      </c>
      <c r="AE401" t="s">
        <v>328</v>
      </c>
      <c r="AF401" t="s">
        <v>256</v>
      </c>
      <c r="AG401" s="2"/>
      <c r="AH401" s="44">
        <f>1-COS(RADIANS(TA[[#This Row],[Avg. Target Angle during Fault Time (Radians)]]-TA[[#This Row],[Angle of affected equipment ]]))</f>
        <v>0.11705240714107301</v>
      </c>
      <c r="AI401" s="35">
        <f>IFERROR(TA[[#This Row],[Breakdown Time]]*TA[[#This Row],[Plant Equivalent Weightage]],"")</f>
        <v>0.1044540229885057</v>
      </c>
    </row>
    <row r="402" spans="1:35">
      <c r="A402" s="2">
        <f t="shared" si="20"/>
        <v>399</v>
      </c>
      <c r="B402" s="156">
        <f t="shared" si="21"/>
        <v>2026</v>
      </c>
      <c r="C402" s="129">
        <f t="shared" si="22"/>
        <v>2025</v>
      </c>
      <c r="D402" s="2" t="s">
        <v>155</v>
      </c>
      <c r="E402" s="2" t="s">
        <v>155</v>
      </c>
      <c r="F402" s="39">
        <v>45748</v>
      </c>
      <c r="G402" s="2">
        <f>DAY(EOMONTH(TA[[#This Row],[Month Year]],0))</f>
        <v>30</v>
      </c>
      <c r="H402" s="21">
        <v>45772</v>
      </c>
      <c r="I402" s="41">
        <f>IFERROR(VLOOKUP(TA[[#This Row],[Date]],Raw_Data[[Date]:[Sunset Time (POA&lt;20 W/m2)]],3,0),"")</f>
        <v>0.25555555555555554</v>
      </c>
      <c r="J402" s="41">
        <f>IFERROR(VLOOKUP(TA[[#This Row],[Date]],Raw_Data[[Date]:[Sunset Time (POA&lt;20 W/m2)]],4,0),"")</f>
        <v>0.72083333333333333</v>
      </c>
      <c r="K402" s="35">
        <f>IFERROR((TA[[#This Row],[Sunset Time (POA&lt;20 W/m2)]]-TA[[#This Row],[Sunrise Time (POA&gt;20 W/m2)]])*24,"")</f>
        <v>11.166666666666668</v>
      </c>
      <c r="L402" s="2" t="s">
        <v>294</v>
      </c>
      <c r="M402" s="42">
        <f>IFERROR(VLOOKUP(TA[[#This Row],[Affected Equipment]],'Basic Data'!$I$2:$K$40,3,0),"")</f>
        <v>1.7241379310344799E-3</v>
      </c>
      <c r="N402">
        <v>-28</v>
      </c>
      <c r="O402" t="s">
        <v>133</v>
      </c>
      <c r="P402" s="127" t="s">
        <v>316</v>
      </c>
      <c r="Q402" s="126" t="s">
        <v>317</v>
      </c>
      <c r="R402">
        <v>7</v>
      </c>
      <c r="S402" s="2">
        <v>32</v>
      </c>
      <c r="T402" t="s">
        <v>295</v>
      </c>
      <c r="U402" t="s">
        <v>300</v>
      </c>
      <c r="V402" t="s">
        <v>298</v>
      </c>
      <c r="W402" s="41"/>
      <c r="X402" s="41"/>
      <c r="Y402" s="34"/>
      <c r="Z402" s="34"/>
      <c r="AA402" s="35">
        <f>IF(TA[[#This Row],[Work Start time on Fault]]="NA","",(TA[[#This Row],[Fault Acknowledgement Time ]]-TA[[#This Row],[Fault Time]])*24)</f>
        <v>0</v>
      </c>
      <c r="AB402" s="35">
        <f>(TA[[#This Row],[Work Start time on Fault]]-TA[[#This Row],[Fault Time]])*24</f>
        <v>0</v>
      </c>
      <c r="AC402" s="34">
        <f>(TA[[#This Row],[Work Completion time on fault]]-TA[[#This Row],[Fault Time]])*24</f>
        <v>0</v>
      </c>
      <c r="AD402" s="35">
        <f>IFERROR((TA[[#This Row],[Work Completion time on fault]]-TA[[#This Row],[Fault Time]])*24,"")</f>
        <v>0</v>
      </c>
      <c r="AE402" t="s">
        <v>328</v>
      </c>
      <c r="AF402" t="s">
        <v>256</v>
      </c>
      <c r="AG402" s="2"/>
      <c r="AH402" s="44">
        <f>1-COS(RADIANS(TA[[#This Row],[Avg. Target Angle during Fault Time (Radians)]]-TA[[#This Row],[Angle of affected equipment ]]))</f>
        <v>0.11705240714107301</v>
      </c>
      <c r="AI402" s="35">
        <f>IFERROR(TA[[#This Row],[Breakdown Time]]*TA[[#This Row],[Plant Equivalent Weightage]],"")</f>
        <v>0</v>
      </c>
    </row>
    <row r="403" spans="1:35">
      <c r="A403" s="2">
        <f t="shared" si="20"/>
        <v>400</v>
      </c>
      <c r="B403" s="156">
        <f t="shared" si="21"/>
        <v>2026</v>
      </c>
      <c r="C403" s="129">
        <f t="shared" si="22"/>
        <v>2025</v>
      </c>
      <c r="D403" s="2" t="s">
        <v>155</v>
      </c>
      <c r="E403" s="2" t="s">
        <v>155</v>
      </c>
      <c r="F403" s="39">
        <v>45748</v>
      </c>
      <c r="G403" s="2">
        <f>DAY(EOMONTH(TA[[#This Row],[Month Year]],0))</f>
        <v>30</v>
      </c>
      <c r="H403" s="21">
        <v>45772</v>
      </c>
      <c r="I403" s="41">
        <f>IFERROR(VLOOKUP(TA[[#This Row],[Date]],Raw_Data[[Date]:[Sunset Time (POA&lt;20 W/m2)]],3,0),"")</f>
        <v>0.25555555555555554</v>
      </c>
      <c r="J403" s="41">
        <f>IFERROR(VLOOKUP(TA[[#This Row],[Date]],Raw_Data[[Date]:[Sunset Time (POA&lt;20 W/m2)]],4,0),"")</f>
        <v>0.72083333333333333</v>
      </c>
      <c r="K403" s="35">
        <f>IFERROR((TA[[#This Row],[Sunset Time (POA&lt;20 W/m2)]]-TA[[#This Row],[Sunrise Time (POA&gt;20 W/m2)]])*24,"")</f>
        <v>11.166666666666668</v>
      </c>
      <c r="L403" s="2" t="s">
        <v>294</v>
      </c>
      <c r="M403" s="42">
        <f>IFERROR(VLOOKUP(TA[[#This Row],[Affected Equipment]],'Basic Data'!$I$2:$K$40,3,0),"")</f>
        <v>1.7241379310344799E-3</v>
      </c>
      <c r="N403">
        <v>-28</v>
      </c>
      <c r="O403" t="s">
        <v>137</v>
      </c>
      <c r="P403" s="127" t="s">
        <v>315</v>
      </c>
      <c r="Q403" s="126" t="s">
        <v>319</v>
      </c>
      <c r="R403">
        <v>166</v>
      </c>
      <c r="S403" s="2">
        <v>91</v>
      </c>
      <c r="T403" t="s">
        <v>295</v>
      </c>
      <c r="U403" t="s">
        <v>300</v>
      </c>
      <c r="V403" t="s">
        <v>298</v>
      </c>
      <c r="W403" s="41"/>
      <c r="X403" s="41"/>
      <c r="Y403" s="34"/>
      <c r="Z403" s="34"/>
      <c r="AA403" s="35">
        <f>IF(TA[[#This Row],[Work Start time on Fault]]="NA","",(TA[[#This Row],[Fault Acknowledgement Time ]]-TA[[#This Row],[Fault Time]])*24)</f>
        <v>0</v>
      </c>
      <c r="AB403" s="35">
        <f>(TA[[#This Row],[Work Start time on Fault]]-TA[[#This Row],[Fault Time]])*24</f>
        <v>0</v>
      </c>
      <c r="AC403" s="34">
        <f>(TA[[#This Row],[Work Completion time on fault]]-TA[[#This Row],[Fault Time]])*24</f>
        <v>0</v>
      </c>
      <c r="AD403" s="35">
        <f>IFERROR((TA[[#This Row],[Work Completion time on fault]]-TA[[#This Row],[Fault Time]])*24,"")</f>
        <v>0</v>
      </c>
      <c r="AE403" t="s">
        <v>328</v>
      </c>
      <c r="AF403" t="s">
        <v>256</v>
      </c>
      <c r="AG403" s="2"/>
      <c r="AH403" s="44">
        <f>1-COS(RADIANS(TA[[#This Row],[Avg. Target Angle during Fault Time (Radians)]]-TA[[#This Row],[Angle of affected equipment ]]))</f>
        <v>0.11705240714107301</v>
      </c>
      <c r="AI403" s="35">
        <f>IFERROR(TA[[#This Row],[Breakdown Time]]*TA[[#This Row],[Plant Equivalent Weightage]],"")</f>
        <v>0</v>
      </c>
    </row>
    <row r="404" spans="1:35">
      <c r="A404" s="2">
        <f t="shared" si="20"/>
        <v>401</v>
      </c>
      <c r="B404" s="156">
        <f t="shared" si="21"/>
        <v>2026</v>
      </c>
      <c r="C404" s="129">
        <f t="shared" si="22"/>
        <v>2025</v>
      </c>
      <c r="D404" s="2" t="s">
        <v>155</v>
      </c>
      <c r="E404" s="2" t="s">
        <v>155</v>
      </c>
      <c r="F404" s="39">
        <v>45748</v>
      </c>
      <c r="G404" s="2">
        <f>DAY(EOMONTH(TA[[#This Row],[Month Year]],0))</f>
        <v>30</v>
      </c>
      <c r="H404" s="21">
        <v>45772</v>
      </c>
      <c r="I404" s="41">
        <f>IFERROR(VLOOKUP(TA[[#This Row],[Date]],Raw_Data[[Date]:[Sunset Time (POA&lt;20 W/m2)]],3,0),"")</f>
        <v>0.25555555555555554</v>
      </c>
      <c r="J404" s="41">
        <f>IFERROR(VLOOKUP(TA[[#This Row],[Date]],Raw_Data[[Date]:[Sunset Time (POA&lt;20 W/m2)]],4,0),"")</f>
        <v>0.72083333333333333</v>
      </c>
      <c r="K404" s="35">
        <f>IFERROR((TA[[#This Row],[Sunset Time (POA&lt;20 W/m2)]]-TA[[#This Row],[Sunrise Time (POA&gt;20 W/m2)]])*24,"")</f>
        <v>11.166666666666668</v>
      </c>
      <c r="L404" s="2" t="s">
        <v>294</v>
      </c>
      <c r="M404" s="42">
        <f>IFERROR(VLOOKUP(TA[[#This Row],[Affected Equipment]],'Basic Data'!$I$2:$K$40,3,0),"")</f>
        <v>1.7241379310344799E-3</v>
      </c>
      <c r="N404">
        <v>-28</v>
      </c>
      <c r="O404" t="s">
        <v>133</v>
      </c>
      <c r="P404" s="127" t="s">
        <v>316</v>
      </c>
      <c r="Q404" s="126" t="s">
        <v>316</v>
      </c>
      <c r="R404">
        <v>117</v>
      </c>
      <c r="S404" s="2">
        <v>20</v>
      </c>
      <c r="T404" t="s">
        <v>295</v>
      </c>
      <c r="U404" t="s">
        <v>300</v>
      </c>
      <c r="V404" t="s">
        <v>298</v>
      </c>
      <c r="W404" s="41"/>
      <c r="X404" s="41"/>
      <c r="Y404" s="34"/>
      <c r="Z404" s="34"/>
      <c r="AA404" s="35">
        <f>IF(TA[[#This Row],[Work Start time on Fault]]="NA","",(TA[[#This Row],[Fault Acknowledgement Time ]]-TA[[#This Row],[Fault Time]])*24)</f>
        <v>0</v>
      </c>
      <c r="AB404" s="35">
        <f>(TA[[#This Row],[Work Start time on Fault]]-TA[[#This Row],[Fault Time]])*24</f>
        <v>0</v>
      </c>
      <c r="AC404" s="34">
        <f>(TA[[#This Row],[Work Completion time on fault]]-TA[[#This Row],[Fault Time]])*24</f>
        <v>0</v>
      </c>
      <c r="AD404" s="35">
        <f>IFERROR((TA[[#This Row],[Work Completion time on fault]]-TA[[#This Row],[Fault Time]])*24,"")</f>
        <v>0</v>
      </c>
      <c r="AE404" t="s">
        <v>328</v>
      </c>
      <c r="AF404" t="s">
        <v>256</v>
      </c>
      <c r="AG404" s="2"/>
      <c r="AH404" s="44">
        <f>1-COS(RADIANS(TA[[#This Row],[Avg. Target Angle during Fault Time (Radians)]]-TA[[#This Row],[Angle of affected equipment ]]))</f>
        <v>0.11705240714107301</v>
      </c>
      <c r="AI404" s="35">
        <f>IFERROR(TA[[#This Row],[Breakdown Time]]*TA[[#This Row],[Plant Equivalent Weightage]],"")</f>
        <v>0</v>
      </c>
    </row>
    <row r="405" spans="1:35">
      <c r="A405" s="2">
        <f t="shared" si="20"/>
        <v>402</v>
      </c>
      <c r="B405" s="156">
        <f t="shared" si="21"/>
        <v>2026</v>
      </c>
      <c r="C405" s="129">
        <f t="shared" si="22"/>
        <v>2025</v>
      </c>
      <c r="D405" s="2" t="s">
        <v>155</v>
      </c>
      <c r="E405" s="2" t="s">
        <v>155</v>
      </c>
      <c r="F405" s="39">
        <v>45748</v>
      </c>
      <c r="G405" s="2">
        <f>DAY(EOMONTH(TA[[#This Row],[Month Year]],0))</f>
        <v>30</v>
      </c>
      <c r="H405" s="21">
        <v>45772</v>
      </c>
      <c r="I405" s="41">
        <f>IFERROR(VLOOKUP(TA[[#This Row],[Date]],Raw_Data[[Date]:[Sunset Time (POA&lt;20 W/m2)]],3,0),"")</f>
        <v>0.25555555555555554</v>
      </c>
      <c r="J405" s="41">
        <f>IFERROR(VLOOKUP(TA[[#This Row],[Date]],Raw_Data[[Date]:[Sunset Time (POA&lt;20 W/m2)]],4,0),"")</f>
        <v>0.72083333333333333</v>
      </c>
      <c r="K405" s="35">
        <f>IFERROR((TA[[#This Row],[Sunset Time (POA&lt;20 W/m2)]]-TA[[#This Row],[Sunrise Time (POA&gt;20 W/m2)]])*24,"")</f>
        <v>11.166666666666668</v>
      </c>
      <c r="L405" s="2" t="s">
        <v>294</v>
      </c>
      <c r="M405" s="42">
        <f>IFERROR(VLOOKUP(TA[[#This Row],[Affected Equipment]],'Basic Data'!$I$2:$K$40,3,0),"")</f>
        <v>1.7241379310344799E-3</v>
      </c>
      <c r="N405">
        <v>-28</v>
      </c>
      <c r="O405" t="s">
        <v>133</v>
      </c>
      <c r="P405" s="127" t="s">
        <v>316</v>
      </c>
      <c r="Q405" s="126" t="s">
        <v>316</v>
      </c>
      <c r="R405">
        <v>118</v>
      </c>
      <c r="S405" s="2">
        <v>22</v>
      </c>
      <c r="T405" t="s">
        <v>295</v>
      </c>
      <c r="U405" t="s">
        <v>300</v>
      </c>
      <c r="V405" t="s">
        <v>298</v>
      </c>
      <c r="W405" s="41"/>
      <c r="X405" s="41"/>
      <c r="Y405" s="34"/>
      <c r="Z405" s="34"/>
      <c r="AA405" s="35">
        <f>IF(TA[[#This Row],[Work Start time on Fault]]="NA","",(TA[[#This Row],[Fault Acknowledgement Time ]]-TA[[#This Row],[Fault Time]])*24)</f>
        <v>0</v>
      </c>
      <c r="AB405" s="35">
        <f>(TA[[#This Row],[Work Start time on Fault]]-TA[[#This Row],[Fault Time]])*24</f>
        <v>0</v>
      </c>
      <c r="AC405" s="34">
        <f>(TA[[#This Row],[Work Completion time on fault]]-TA[[#This Row],[Fault Time]])*24</f>
        <v>0</v>
      </c>
      <c r="AD405" s="35">
        <f>IFERROR((TA[[#This Row],[Work Completion time on fault]]-TA[[#This Row],[Fault Time]])*24,"")</f>
        <v>0</v>
      </c>
      <c r="AE405" t="s">
        <v>328</v>
      </c>
      <c r="AF405" t="s">
        <v>256</v>
      </c>
      <c r="AG405" s="2"/>
      <c r="AH405" s="44">
        <f>1-COS(RADIANS(TA[[#This Row],[Avg. Target Angle during Fault Time (Radians)]]-TA[[#This Row],[Angle of affected equipment ]]))</f>
        <v>0.11705240714107301</v>
      </c>
      <c r="AI405" s="35">
        <f>IFERROR(TA[[#This Row],[Breakdown Time]]*TA[[#This Row],[Plant Equivalent Weightage]],"")</f>
        <v>0</v>
      </c>
    </row>
    <row r="406" spans="1:35">
      <c r="A406" s="2">
        <f t="shared" si="20"/>
        <v>403</v>
      </c>
      <c r="B406" s="156">
        <f t="shared" si="21"/>
        <v>2026</v>
      </c>
      <c r="C406" s="129">
        <f t="shared" si="22"/>
        <v>2025</v>
      </c>
      <c r="D406" s="2" t="s">
        <v>155</v>
      </c>
      <c r="E406" s="2" t="s">
        <v>155</v>
      </c>
      <c r="F406" s="39">
        <v>45748</v>
      </c>
      <c r="G406" s="2">
        <f>DAY(EOMONTH(TA[[#This Row],[Month Year]],0))</f>
        <v>30</v>
      </c>
      <c r="H406" s="21">
        <v>45772</v>
      </c>
      <c r="I406" s="41">
        <f>IFERROR(VLOOKUP(TA[[#This Row],[Date]],Raw_Data[[Date]:[Sunset Time (POA&lt;20 W/m2)]],3,0),"")</f>
        <v>0.25555555555555554</v>
      </c>
      <c r="J406" s="41">
        <f>IFERROR(VLOOKUP(TA[[#This Row],[Date]],Raw_Data[[Date]:[Sunset Time (POA&lt;20 W/m2)]],4,0),"")</f>
        <v>0.72083333333333333</v>
      </c>
      <c r="K406" s="35">
        <f>IFERROR((TA[[#This Row],[Sunset Time (POA&lt;20 W/m2)]]-TA[[#This Row],[Sunrise Time (POA&gt;20 W/m2)]])*24,"")</f>
        <v>11.166666666666668</v>
      </c>
      <c r="L406" s="2" t="s">
        <v>296</v>
      </c>
      <c r="M406" s="42">
        <f>IFERROR(VLOOKUP(TA[[#This Row],[Affected Equipment]],'Basic Data'!$I$2:$K$40,3,0),"")</f>
        <v>8.6206896551724102E-3</v>
      </c>
      <c r="N406">
        <v>-28</v>
      </c>
      <c r="O406" t="s">
        <v>135</v>
      </c>
      <c r="P406" s="22" t="s">
        <v>323</v>
      </c>
      <c r="Q406" s="2" t="s">
        <v>329</v>
      </c>
      <c r="R406">
        <v>45</v>
      </c>
      <c r="S406" s="2">
        <v>8</v>
      </c>
      <c r="T406" t="s">
        <v>297</v>
      </c>
      <c r="U406" t="s">
        <v>326</v>
      </c>
      <c r="V406" t="s">
        <v>301</v>
      </c>
      <c r="W406" s="41"/>
      <c r="X406" s="41"/>
      <c r="Y406" s="34"/>
      <c r="Z406" s="34"/>
      <c r="AA406" s="35">
        <f>IF(TA[[#This Row],[Work Start time on Fault]]="NA","",(TA[[#This Row],[Fault Acknowledgement Time ]]-TA[[#This Row],[Fault Time]])*24)</f>
        <v>0</v>
      </c>
      <c r="AB406" s="35">
        <f>(TA[[#This Row],[Work Start time on Fault]]-TA[[#This Row],[Fault Time]])*24</f>
        <v>0</v>
      </c>
      <c r="AC406" s="34">
        <f>(TA[[#This Row],[Work Completion time on fault]]-TA[[#This Row],[Fault Time]])*24</f>
        <v>0</v>
      </c>
      <c r="AD406" s="35">
        <f>IFERROR((TA[[#This Row],[Work Completion time on fault]]-TA[[#This Row],[Fault Time]])*24,"")</f>
        <v>0</v>
      </c>
      <c r="AE406" t="s">
        <v>328</v>
      </c>
      <c r="AF406" t="s">
        <v>256</v>
      </c>
      <c r="AG406" s="2"/>
      <c r="AH406" s="44">
        <f>1-COS(RADIANS(TA[[#This Row],[Avg. Target Angle during Fault Time (Radians)]]-TA[[#This Row],[Angle of affected equipment ]]))</f>
        <v>0.11705240714107301</v>
      </c>
      <c r="AI406" s="35">
        <f>IFERROR(TA[[#This Row],[Breakdown Time]]*TA[[#This Row],[Plant Equivalent Weightage]],"")</f>
        <v>0</v>
      </c>
    </row>
    <row r="407" spans="1:35">
      <c r="A407" s="2">
        <f t="shared" si="20"/>
        <v>404</v>
      </c>
      <c r="B407" s="156">
        <f t="shared" si="21"/>
        <v>2026</v>
      </c>
      <c r="C407" s="129">
        <f t="shared" si="22"/>
        <v>2025</v>
      </c>
      <c r="D407" s="2" t="s">
        <v>155</v>
      </c>
      <c r="E407" s="2" t="s">
        <v>155</v>
      </c>
      <c r="F407" s="39">
        <v>45748</v>
      </c>
      <c r="G407" s="2">
        <f>DAY(EOMONTH(TA[[#This Row],[Month Year]],0))</f>
        <v>30</v>
      </c>
      <c r="H407" s="21">
        <v>45772</v>
      </c>
      <c r="I407" s="41">
        <f>IFERROR(VLOOKUP(TA[[#This Row],[Date]],Raw_Data[[Date]:[Sunset Time (POA&lt;20 W/m2)]],3,0),"")</f>
        <v>0.25555555555555554</v>
      </c>
      <c r="J407" s="41">
        <f>IFERROR(VLOOKUP(TA[[#This Row],[Date]],Raw_Data[[Date]:[Sunset Time (POA&lt;20 W/m2)]],4,0),"")</f>
        <v>0.72083333333333333</v>
      </c>
      <c r="K407" s="35">
        <f>IFERROR((TA[[#This Row],[Sunset Time (POA&lt;20 W/m2)]]-TA[[#This Row],[Sunrise Time (POA&gt;20 W/m2)]])*24,"")</f>
        <v>11.166666666666668</v>
      </c>
      <c r="L407" s="2" t="s">
        <v>296</v>
      </c>
      <c r="M407" s="42">
        <f>IFERROR(VLOOKUP(TA[[#This Row],[Affected Equipment]],'Basic Data'!$I$2:$K$40,3,0),"")</f>
        <v>8.6206896551724102E-3</v>
      </c>
      <c r="N407">
        <v>-28</v>
      </c>
      <c r="O407" t="s">
        <v>135</v>
      </c>
      <c r="P407" s="22" t="s">
        <v>323</v>
      </c>
      <c r="Q407" s="2" t="s">
        <v>329</v>
      </c>
      <c r="R407">
        <v>47</v>
      </c>
      <c r="S407" s="2">
        <v>18</v>
      </c>
      <c r="T407" t="s">
        <v>297</v>
      </c>
      <c r="U407" t="s">
        <v>326</v>
      </c>
      <c r="V407" t="s">
        <v>301</v>
      </c>
      <c r="W407" s="41"/>
      <c r="X407" s="41"/>
      <c r="Y407" s="34"/>
      <c r="Z407" s="34"/>
      <c r="AA407" s="35">
        <f>IF(TA[[#This Row],[Work Start time on Fault]]="NA","",(TA[[#This Row],[Fault Acknowledgement Time ]]-TA[[#This Row],[Fault Time]])*24)</f>
        <v>0</v>
      </c>
      <c r="AB407" s="35">
        <f>(TA[[#This Row],[Work Start time on Fault]]-TA[[#This Row],[Fault Time]])*24</f>
        <v>0</v>
      </c>
      <c r="AC407" s="34">
        <f>(TA[[#This Row],[Work Completion time on fault]]-TA[[#This Row],[Fault Time]])*24</f>
        <v>0</v>
      </c>
      <c r="AD407" s="35">
        <f>IFERROR((TA[[#This Row],[Work Completion time on fault]]-TA[[#This Row],[Fault Time]])*24,"")</f>
        <v>0</v>
      </c>
      <c r="AE407" t="s">
        <v>328</v>
      </c>
      <c r="AF407" t="s">
        <v>256</v>
      </c>
      <c r="AG407" s="2"/>
      <c r="AH407" s="44">
        <f>1-COS(RADIANS(TA[[#This Row],[Avg. Target Angle during Fault Time (Radians)]]-TA[[#This Row],[Angle of affected equipment ]]))</f>
        <v>0.11705240714107301</v>
      </c>
      <c r="AI407" s="35">
        <f>IFERROR(TA[[#This Row],[Breakdown Time]]*TA[[#This Row],[Plant Equivalent Weightage]],"")</f>
        <v>0</v>
      </c>
    </row>
    <row r="408" spans="1:35">
      <c r="A408" s="2">
        <f t="shared" si="20"/>
        <v>405</v>
      </c>
      <c r="B408" s="156">
        <f t="shared" si="21"/>
        <v>2026</v>
      </c>
      <c r="C408" s="129">
        <f t="shared" si="22"/>
        <v>2025</v>
      </c>
      <c r="D408" s="2" t="s">
        <v>155</v>
      </c>
      <c r="E408" s="2" t="s">
        <v>155</v>
      </c>
      <c r="F408" s="39">
        <v>45748</v>
      </c>
      <c r="G408" s="2">
        <f>DAY(EOMONTH(TA[[#This Row],[Month Year]],0))</f>
        <v>30</v>
      </c>
      <c r="H408" s="21">
        <v>45772</v>
      </c>
      <c r="I408" s="41">
        <f>IFERROR(VLOOKUP(TA[[#This Row],[Date]],Raw_Data[[Date]:[Sunset Time (POA&lt;20 W/m2)]],3,0),"")</f>
        <v>0.25555555555555554</v>
      </c>
      <c r="J408" s="41">
        <f>IFERROR(VLOOKUP(TA[[#This Row],[Date]],Raw_Data[[Date]:[Sunset Time (POA&lt;20 W/m2)]],4,0),"")</f>
        <v>0.72083333333333333</v>
      </c>
      <c r="K408" s="35">
        <f>IFERROR((TA[[#This Row],[Sunset Time (POA&lt;20 W/m2)]]-TA[[#This Row],[Sunrise Time (POA&gt;20 W/m2)]])*24,"")</f>
        <v>11.166666666666668</v>
      </c>
      <c r="L408" s="2" t="s">
        <v>296</v>
      </c>
      <c r="M408" s="42">
        <f>IFERROR(VLOOKUP(TA[[#This Row],[Affected Equipment]],'Basic Data'!$I$2:$K$40,3,0),"")</f>
        <v>8.6206896551724102E-3</v>
      </c>
      <c r="N408">
        <v>-28</v>
      </c>
      <c r="O408" t="s">
        <v>134</v>
      </c>
      <c r="P408" s="22" t="s">
        <v>330</v>
      </c>
      <c r="Q408" s="2" t="s">
        <v>323</v>
      </c>
      <c r="R408">
        <v>30</v>
      </c>
      <c r="S408" s="2">
        <v>57</v>
      </c>
      <c r="T408" t="s">
        <v>297</v>
      </c>
      <c r="U408" t="s">
        <v>326</v>
      </c>
      <c r="V408" t="s">
        <v>301</v>
      </c>
      <c r="W408" s="41"/>
      <c r="X408" s="41"/>
      <c r="Y408" s="34"/>
      <c r="Z408" s="34"/>
      <c r="AA408" s="35">
        <f>IF(TA[[#This Row],[Work Start time on Fault]]="NA","",(TA[[#This Row],[Fault Acknowledgement Time ]]-TA[[#This Row],[Fault Time]])*24)</f>
        <v>0</v>
      </c>
      <c r="AB408" s="35">
        <f>(TA[[#This Row],[Work Start time on Fault]]-TA[[#This Row],[Fault Time]])*24</f>
        <v>0</v>
      </c>
      <c r="AC408" s="34">
        <f>(TA[[#This Row],[Work Completion time on fault]]-TA[[#This Row],[Fault Time]])*24</f>
        <v>0</v>
      </c>
      <c r="AD408" s="35">
        <f>IFERROR((TA[[#This Row],[Work Completion time on fault]]-TA[[#This Row],[Fault Time]])*24,"")</f>
        <v>0</v>
      </c>
      <c r="AE408" t="s">
        <v>328</v>
      </c>
      <c r="AF408" t="s">
        <v>256</v>
      </c>
      <c r="AG408" s="2"/>
      <c r="AH408" s="44">
        <f>1-COS(RADIANS(TA[[#This Row],[Avg. Target Angle during Fault Time (Radians)]]-TA[[#This Row],[Angle of affected equipment ]]))</f>
        <v>0.11705240714107301</v>
      </c>
      <c r="AI408" s="35">
        <f>IFERROR(TA[[#This Row],[Breakdown Time]]*TA[[#This Row],[Plant Equivalent Weightage]],"")</f>
        <v>0</v>
      </c>
    </row>
    <row r="409" spans="1:35">
      <c r="A409" s="2">
        <f t="shared" si="20"/>
        <v>406</v>
      </c>
      <c r="B409" s="156">
        <f t="shared" si="21"/>
        <v>2026</v>
      </c>
      <c r="C409" s="129">
        <f t="shared" si="22"/>
        <v>2025</v>
      </c>
      <c r="D409" s="2" t="s">
        <v>155</v>
      </c>
      <c r="E409" s="2" t="s">
        <v>155</v>
      </c>
      <c r="F409" s="39">
        <v>45748</v>
      </c>
      <c r="G409" s="2">
        <f>DAY(EOMONTH(TA[[#This Row],[Month Year]],0))</f>
        <v>30</v>
      </c>
      <c r="H409" s="21">
        <v>45772</v>
      </c>
      <c r="I409" s="41">
        <f>IFERROR(VLOOKUP(TA[[#This Row],[Date]],Raw_Data[[Date]:[Sunset Time (POA&lt;20 W/m2)]],3,0),"")</f>
        <v>0.25555555555555554</v>
      </c>
      <c r="J409" s="41">
        <f>IFERROR(VLOOKUP(TA[[#This Row],[Date]],Raw_Data[[Date]:[Sunset Time (POA&lt;20 W/m2)]],4,0),"")</f>
        <v>0.72083333333333333</v>
      </c>
      <c r="K409" s="35">
        <f>IFERROR((TA[[#This Row],[Sunset Time (POA&lt;20 W/m2)]]-TA[[#This Row],[Sunrise Time (POA&gt;20 W/m2)]])*24,"")</f>
        <v>11.166666666666668</v>
      </c>
      <c r="L409" s="2" t="s">
        <v>296</v>
      </c>
      <c r="M409" s="42">
        <f>IFERROR(VLOOKUP(TA[[#This Row],[Affected Equipment]],'Basic Data'!$I$2:$K$40,3,0),"")</f>
        <v>8.6206896551724102E-3</v>
      </c>
      <c r="N409">
        <v>-28</v>
      </c>
      <c r="O409" t="s">
        <v>134</v>
      </c>
      <c r="P409" s="22" t="s">
        <v>330</v>
      </c>
      <c r="Q409" s="2" t="s">
        <v>323</v>
      </c>
      <c r="R409">
        <v>31</v>
      </c>
      <c r="S409" s="2">
        <v>61</v>
      </c>
      <c r="T409" t="s">
        <v>297</v>
      </c>
      <c r="U409" t="s">
        <v>326</v>
      </c>
      <c r="V409" t="s">
        <v>301</v>
      </c>
      <c r="W409" s="41"/>
      <c r="X409" s="41"/>
      <c r="Y409" s="34"/>
      <c r="Z409" s="34"/>
      <c r="AA409" s="35">
        <f>IF(TA[[#This Row],[Work Start time on Fault]]="NA","",(TA[[#This Row],[Fault Acknowledgement Time ]]-TA[[#This Row],[Fault Time]])*24)</f>
        <v>0</v>
      </c>
      <c r="AB409" s="35">
        <f>(TA[[#This Row],[Work Start time on Fault]]-TA[[#This Row],[Fault Time]])*24</f>
        <v>0</v>
      </c>
      <c r="AC409" s="34">
        <f>(TA[[#This Row],[Work Completion time on fault]]-TA[[#This Row],[Fault Time]])*24</f>
        <v>0</v>
      </c>
      <c r="AD409" s="35">
        <f>IFERROR((TA[[#This Row],[Work Completion time on fault]]-TA[[#This Row],[Fault Time]])*24,"")</f>
        <v>0</v>
      </c>
      <c r="AE409" t="s">
        <v>328</v>
      </c>
      <c r="AF409" t="s">
        <v>256</v>
      </c>
      <c r="AG409" s="2"/>
      <c r="AH409" s="44">
        <f>1-COS(RADIANS(TA[[#This Row],[Avg. Target Angle during Fault Time (Radians)]]-TA[[#This Row],[Angle of affected equipment ]]))</f>
        <v>0.11705240714107301</v>
      </c>
      <c r="AI409" s="35">
        <f>IFERROR(TA[[#This Row],[Breakdown Time]]*TA[[#This Row],[Plant Equivalent Weightage]],"")</f>
        <v>0</v>
      </c>
    </row>
    <row r="410" spans="1:35">
      <c r="A410" s="2">
        <f t="shared" si="20"/>
        <v>407</v>
      </c>
      <c r="B410" s="156">
        <f t="shared" si="21"/>
        <v>2026</v>
      </c>
      <c r="C410" s="129">
        <f t="shared" si="22"/>
        <v>2025</v>
      </c>
      <c r="D410" s="2" t="s">
        <v>155</v>
      </c>
      <c r="E410" s="2" t="s">
        <v>155</v>
      </c>
      <c r="F410" s="39">
        <v>45748</v>
      </c>
      <c r="G410" s="2">
        <f>DAY(EOMONTH(TA[[#This Row],[Month Year]],0))</f>
        <v>30</v>
      </c>
      <c r="H410" s="21">
        <v>45772</v>
      </c>
      <c r="I410" s="41">
        <f>IFERROR(VLOOKUP(TA[[#This Row],[Date]],Raw_Data[[Date]:[Sunset Time (POA&lt;20 W/m2)]],3,0),"")</f>
        <v>0.25555555555555554</v>
      </c>
      <c r="J410" s="41">
        <f>IFERROR(VLOOKUP(TA[[#This Row],[Date]],Raw_Data[[Date]:[Sunset Time (POA&lt;20 W/m2)]],4,0),"")</f>
        <v>0.72083333333333333</v>
      </c>
      <c r="K410" s="35">
        <f>IFERROR((TA[[#This Row],[Sunset Time (POA&lt;20 W/m2)]]-TA[[#This Row],[Sunrise Time (POA&gt;20 W/m2)]])*24,"")</f>
        <v>11.166666666666668</v>
      </c>
      <c r="L410" s="2" t="s">
        <v>312</v>
      </c>
      <c r="M410" s="42">
        <f>IFERROR(VLOOKUP(TA[[#This Row],[Affected Equipment]],'Basic Data'!$I$2:$K$40,3,0),"")</f>
        <v>5.74712643678161E-3</v>
      </c>
      <c r="N410">
        <v>-28</v>
      </c>
      <c r="O410" t="s">
        <v>133</v>
      </c>
      <c r="P410" s="22" t="s">
        <v>330</v>
      </c>
      <c r="Q410" s="2" t="s">
        <v>323</v>
      </c>
      <c r="R410">
        <v>26</v>
      </c>
      <c r="S410" s="2">
        <v>37</v>
      </c>
      <c r="T410" t="s">
        <v>297</v>
      </c>
      <c r="U410" t="s">
        <v>326</v>
      </c>
      <c r="V410" t="s">
        <v>301</v>
      </c>
      <c r="W410" s="41"/>
      <c r="X410" s="41"/>
      <c r="Y410" s="34"/>
      <c r="Z410" s="34"/>
      <c r="AA410" s="35">
        <f>IF(TA[[#This Row],[Work Start time on Fault]]="NA","",(TA[[#This Row],[Fault Acknowledgement Time ]]-TA[[#This Row],[Fault Time]])*24)</f>
        <v>0</v>
      </c>
      <c r="AB410" s="35">
        <f>(TA[[#This Row],[Work Start time on Fault]]-TA[[#This Row],[Fault Time]])*24</f>
        <v>0</v>
      </c>
      <c r="AC410" s="34">
        <f>(TA[[#This Row],[Work Completion time on fault]]-TA[[#This Row],[Fault Time]])*24</f>
        <v>0</v>
      </c>
      <c r="AD410" s="35">
        <f>IFERROR((TA[[#This Row],[Work Completion time on fault]]-TA[[#This Row],[Fault Time]])*24,"")</f>
        <v>0</v>
      </c>
      <c r="AE410" t="s">
        <v>328</v>
      </c>
      <c r="AF410" t="s">
        <v>256</v>
      </c>
      <c r="AG410" s="2"/>
      <c r="AH410" s="44">
        <f>1-COS(RADIANS(TA[[#This Row],[Avg. Target Angle during Fault Time (Radians)]]-TA[[#This Row],[Angle of affected equipment ]]))</f>
        <v>0.11705240714107301</v>
      </c>
      <c r="AI410" s="35">
        <f>IFERROR(TA[[#This Row],[Breakdown Time]]*TA[[#This Row],[Plant Equivalent Weightage]],"")</f>
        <v>0</v>
      </c>
    </row>
    <row r="411" spans="1:35">
      <c r="A411" s="2">
        <f t="shared" si="20"/>
        <v>408</v>
      </c>
      <c r="B411" s="156">
        <f t="shared" si="21"/>
        <v>2026</v>
      </c>
      <c r="C411" s="129">
        <f t="shared" si="22"/>
        <v>2025</v>
      </c>
      <c r="D411" s="2" t="s">
        <v>155</v>
      </c>
      <c r="E411" s="2" t="s">
        <v>155</v>
      </c>
      <c r="F411" s="39">
        <v>45748</v>
      </c>
      <c r="G411" s="2">
        <f>DAY(EOMONTH(TA[[#This Row],[Month Year]],0))</f>
        <v>30</v>
      </c>
      <c r="H411" s="21">
        <v>45772</v>
      </c>
      <c r="I411" s="41">
        <f>IFERROR(VLOOKUP(TA[[#This Row],[Date]],Raw_Data[[Date]:[Sunset Time (POA&lt;20 W/m2)]],3,0),"")</f>
        <v>0.25555555555555554</v>
      </c>
      <c r="J411" s="41">
        <f>IFERROR(VLOOKUP(TA[[#This Row],[Date]],Raw_Data[[Date]:[Sunset Time (POA&lt;20 W/m2)]],4,0),"")</f>
        <v>0.72083333333333333</v>
      </c>
      <c r="K411" s="35">
        <f>IFERROR((TA[[#This Row],[Sunset Time (POA&lt;20 W/m2)]]-TA[[#This Row],[Sunrise Time (POA&gt;20 W/m2)]])*24,"")</f>
        <v>11.166666666666668</v>
      </c>
      <c r="L411" s="2" t="s">
        <v>312</v>
      </c>
      <c r="M411" s="42">
        <f>IFERROR(VLOOKUP(TA[[#This Row],[Affected Equipment]],'Basic Data'!$I$2:$K$40,3,0),"")</f>
        <v>5.74712643678161E-3</v>
      </c>
      <c r="N411">
        <v>-28</v>
      </c>
      <c r="O411" t="s">
        <v>133</v>
      </c>
      <c r="P411" s="22" t="s">
        <v>330</v>
      </c>
      <c r="Q411" s="2" t="s">
        <v>323</v>
      </c>
      <c r="R411">
        <v>27</v>
      </c>
      <c r="S411" s="2">
        <v>42</v>
      </c>
      <c r="T411" t="s">
        <v>297</v>
      </c>
      <c r="U411" t="s">
        <v>326</v>
      </c>
      <c r="V411" t="s">
        <v>301</v>
      </c>
      <c r="W411" s="41">
        <f>IFERROR(VLOOKUP(TA[[#This Row],[Date]],Raw_Data[[Date]:[Sunset Time (POA&lt;20 W/m2)]],3,0),"")</f>
        <v>0.25555555555555554</v>
      </c>
      <c r="X411" s="41">
        <f>IFERROR(VLOOKUP(TA[[#This Row],[Date]],Raw_Data[[Date]:[Sunset Time (POA&lt;20 W/m2)]],3,0),"")</f>
        <v>0.25555555555555554</v>
      </c>
      <c r="Y411" s="34"/>
      <c r="Z411" s="34">
        <v>0.76041666666666663</v>
      </c>
      <c r="AA411" s="35">
        <f>IF(TA[[#This Row],[Work Start time on Fault]]="NA","",(TA[[#This Row],[Fault Acknowledgement Time ]]-TA[[#This Row],[Fault Time]])*24)</f>
        <v>0</v>
      </c>
      <c r="AB411" s="35">
        <f>(TA[[#This Row],[Work Start time on Fault]]-TA[[#This Row],[Fault Time]])*24</f>
        <v>-6.1333333333333329</v>
      </c>
      <c r="AC411" s="34">
        <f>(TA[[#This Row],[Work Completion time on fault]]-TA[[#This Row],[Fault Time]])*24</f>
        <v>12.116666666666667</v>
      </c>
      <c r="AD411" s="35">
        <f>IFERROR((TA[[#This Row],[Work Completion time on fault]]-TA[[#This Row],[Fault Time]])*24,"")</f>
        <v>12.116666666666667</v>
      </c>
      <c r="AE411" t="s">
        <v>309</v>
      </c>
      <c r="AF411" t="s">
        <v>256</v>
      </c>
      <c r="AG411" s="2"/>
      <c r="AH411" s="44">
        <f>1-COS(RADIANS(TA[[#This Row],[Avg. Target Angle during Fault Time (Radians)]]-TA[[#This Row],[Angle of affected equipment ]]))</f>
        <v>0.11705240714107301</v>
      </c>
      <c r="AI411" s="35">
        <f>IFERROR(TA[[#This Row],[Breakdown Time]]*TA[[#This Row],[Plant Equivalent Weightage]],"")</f>
        <v>6.9636015325670514E-2</v>
      </c>
    </row>
    <row r="412" spans="1:35">
      <c r="A412" s="2">
        <f t="shared" si="20"/>
        <v>409</v>
      </c>
      <c r="B412" s="156">
        <f t="shared" si="21"/>
        <v>2026</v>
      </c>
      <c r="C412" s="129">
        <f t="shared" si="22"/>
        <v>2025</v>
      </c>
      <c r="D412" s="2" t="s">
        <v>155</v>
      </c>
      <c r="E412" s="2" t="s">
        <v>155</v>
      </c>
      <c r="F412" s="39">
        <v>45748</v>
      </c>
      <c r="G412" s="2">
        <f>DAY(EOMONTH(TA[[#This Row],[Month Year]],0))</f>
        <v>30</v>
      </c>
      <c r="H412" s="21">
        <v>45773</v>
      </c>
      <c r="I412" s="41">
        <f>IFERROR(VLOOKUP(TA[[#This Row],[Date]],Raw_Data[[Date]:[Sunset Time (POA&lt;20 W/m2)]],3,0),"")</f>
        <v>0.25347222222222221</v>
      </c>
      <c r="J412" s="41">
        <f>IFERROR(VLOOKUP(TA[[#This Row],[Date]],Raw_Data[[Date]:[Sunset Time (POA&lt;20 W/m2)]],4,0),"")</f>
        <v>0.76736111111111116</v>
      </c>
      <c r="K412" s="35">
        <f>IFERROR((TA[[#This Row],[Sunset Time (POA&lt;20 W/m2)]]-TA[[#This Row],[Sunrise Time (POA&gt;20 W/m2)]])*24,"")</f>
        <v>12.333333333333336</v>
      </c>
      <c r="L412" s="2" t="s">
        <v>294</v>
      </c>
      <c r="M412" s="42">
        <f>IFERROR(VLOOKUP(TA[[#This Row],[Affected Equipment]],'Basic Data'!$I$2:$K$40,3,0),"")</f>
        <v>1.7241379310344799E-3</v>
      </c>
      <c r="N412">
        <v>-28</v>
      </c>
      <c r="O412" t="s">
        <v>135</v>
      </c>
      <c r="P412" s="127" t="s">
        <v>318</v>
      </c>
      <c r="Q412" s="126" t="s">
        <v>318</v>
      </c>
      <c r="R412">
        <v>130</v>
      </c>
      <c r="S412" s="2">
        <v>37</v>
      </c>
      <c r="T412" t="s">
        <v>295</v>
      </c>
      <c r="U412" t="s">
        <v>300</v>
      </c>
      <c r="V412" t="s">
        <v>298</v>
      </c>
      <c r="W412" s="41"/>
      <c r="X412" s="41"/>
      <c r="Y412" s="34"/>
      <c r="Z412" s="34"/>
      <c r="AA412" s="35">
        <f>IF(TA[[#This Row],[Work Start time on Fault]]="NA","",(TA[[#This Row],[Fault Acknowledgement Time ]]-TA[[#This Row],[Fault Time]])*24)</f>
        <v>0</v>
      </c>
      <c r="AB412" s="35">
        <f>(TA[[#This Row],[Work Start time on Fault]]-TA[[#This Row],[Fault Time]])*24</f>
        <v>0</v>
      </c>
      <c r="AC412" s="34">
        <f>(TA[[#This Row],[Work Completion time on fault]]-TA[[#This Row],[Fault Time]])*24</f>
        <v>0</v>
      </c>
      <c r="AD412" s="35">
        <f>IFERROR((TA[[#This Row],[Work Completion time on fault]]-TA[[#This Row],[Fault Time]])*24,"")</f>
        <v>0</v>
      </c>
      <c r="AE412" t="s">
        <v>328</v>
      </c>
      <c r="AF412" t="s">
        <v>256</v>
      </c>
      <c r="AG412" s="2"/>
      <c r="AH412" s="44">
        <f>1-COS(RADIANS(TA[[#This Row],[Avg. Target Angle during Fault Time (Radians)]]-TA[[#This Row],[Angle of affected equipment ]]))</f>
        <v>0.11705240714107301</v>
      </c>
      <c r="AI412" s="35">
        <f>IFERROR(TA[[#This Row],[Breakdown Time]]*TA[[#This Row],[Plant Equivalent Weightage]],"")</f>
        <v>0</v>
      </c>
    </row>
    <row r="413" spans="1:35">
      <c r="A413" s="2">
        <f t="shared" si="20"/>
        <v>410</v>
      </c>
      <c r="B413" s="156">
        <f t="shared" si="21"/>
        <v>2026</v>
      </c>
      <c r="C413" s="129">
        <f t="shared" si="22"/>
        <v>2025</v>
      </c>
      <c r="D413" s="2" t="s">
        <v>155</v>
      </c>
      <c r="E413" s="2" t="s">
        <v>155</v>
      </c>
      <c r="F413" s="39">
        <v>45748</v>
      </c>
      <c r="G413" s="2">
        <f>DAY(EOMONTH(TA[[#This Row],[Month Year]],0))</f>
        <v>30</v>
      </c>
      <c r="H413" s="21">
        <v>45773</v>
      </c>
      <c r="I413" s="41">
        <f>IFERROR(VLOOKUP(TA[[#This Row],[Date]],Raw_Data[[Date]:[Sunset Time (POA&lt;20 W/m2)]],3,0),"")</f>
        <v>0.25347222222222221</v>
      </c>
      <c r="J413" s="41">
        <f>IFERROR(VLOOKUP(TA[[#This Row],[Date]],Raw_Data[[Date]:[Sunset Time (POA&lt;20 W/m2)]],4,0),"")</f>
        <v>0.76736111111111116</v>
      </c>
      <c r="K413" s="35">
        <f>IFERROR((TA[[#This Row],[Sunset Time (POA&lt;20 W/m2)]]-TA[[#This Row],[Sunrise Time (POA&gt;20 W/m2)]])*24,"")</f>
        <v>12.333333333333336</v>
      </c>
      <c r="L413" s="2" t="s">
        <v>294</v>
      </c>
      <c r="M413" s="42">
        <f>IFERROR(VLOOKUP(TA[[#This Row],[Affected Equipment]],'Basic Data'!$I$2:$K$40,3,0),"")</f>
        <v>1.7241379310344799E-3</v>
      </c>
      <c r="N413">
        <v>-28</v>
      </c>
      <c r="O413" t="s">
        <v>135</v>
      </c>
      <c r="P413" s="127" t="s">
        <v>318</v>
      </c>
      <c r="Q413" s="126" t="s">
        <v>318</v>
      </c>
      <c r="R413">
        <v>131</v>
      </c>
      <c r="S413" s="2">
        <v>38</v>
      </c>
      <c r="T413" t="s">
        <v>295</v>
      </c>
      <c r="U413" t="s">
        <v>300</v>
      </c>
      <c r="V413" t="s">
        <v>298</v>
      </c>
      <c r="W413" s="41"/>
      <c r="X413" s="41"/>
      <c r="Y413" s="34"/>
      <c r="Z413" s="34"/>
      <c r="AA413" s="35">
        <f>IF(TA[[#This Row],[Work Start time on Fault]]="NA","",(TA[[#This Row],[Fault Acknowledgement Time ]]-TA[[#This Row],[Fault Time]])*24)</f>
        <v>0</v>
      </c>
      <c r="AB413" s="35">
        <f>(TA[[#This Row],[Work Start time on Fault]]-TA[[#This Row],[Fault Time]])*24</f>
        <v>0</v>
      </c>
      <c r="AC413" s="34">
        <f>(TA[[#This Row],[Work Completion time on fault]]-TA[[#This Row],[Fault Time]])*24</f>
        <v>0</v>
      </c>
      <c r="AD413" s="35">
        <f>IFERROR((TA[[#This Row],[Work Completion time on fault]]-TA[[#This Row],[Fault Time]])*24,"")</f>
        <v>0</v>
      </c>
      <c r="AE413" t="s">
        <v>328</v>
      </c>
      <c r="AF413" t="s">
        <v>256</v>
      </c>
      <c r="AG413" s="2"/>
      <c r="AH413" s="44">
        <f>1-COS(RADIANS(TA[[#This Row],[Avg. Target Angle during Fault Time (Radians)]]-TA[[#This Row],[Angle of affected equipment ]]))</f>
        <v>0.11705240714107301</v>
      </c>
      <c r="AI413" s="35">
        <f>IFERROR(TA[[#This Row],[Breakdown Time]]*TA[[#This Row],[Plant Equivalent Weightage]],"")</f>
        <v>0</v>
      </c>
    </row>
    <row r="414" spans="1:35">
      <c r="A414" s="2">
        <f t="shared" si="20"/>
        <v>411</v>
      </c>
      <c r="B414" s="156">
        <f t="shared" si="21"/>
        <v>2026</v>
      </c>
      <c r="C414" s="129">
        <f t="shared" si="22"/>
        <v>2025</v>
      </c>
      <c r="D414" s="2" t="s">
        <v>155</v>
      </c>
      <c r="E414" s="2" t="s">
        <v>155</v>
      </c>
      <c r="F414" s="39">
        <v>45748</v>
      </c>
      <c r="G414" s="2">
        <f>DAY(EOMONTH(TA[[#This Row],[Month Year]],0))</f>
        <v>30</v>
      </c>
      <c r="H414" s="21">
        <v>45773</v>
      </c>
      <c r="I414" s="41">
        <f>IFERROR(VLOOKUP(TA[[#This Row],[Date]],Raw_Data[[Date]:[Sunset Time (POA&lt;20 W/m2)]],3,0),"")</f>
        <v>0.25347222222222221</v>
      </c>
      <c r="J414" s="41">
        <f>IFERROR(VLOOKUP(TA[[#This Row],[Date]],Raw_Data[[Date]:[Sunset Time (POA&lt;20 W/m2)]],4,0),"")</f>
        <v>0.76736111111111116</v>
      </c>
      <c r="K414" s="35">
        <f>IFERROR((TA[[#This Row],[Sunset Time (POA&lt;20 W/m2)]]-TA[[#This Row],[Sunrise Time (POA&gt;20 W/m2)]])*24,"")</f>
        <v>12.333333333333336</v>
      </c>
      <c r="L414" s="2" t="s">
        <v>294</v>
      </c>
      <c r="M414" s="42">
        <f>IFERROR(VLOOKUP(TA[[#This Row],[Affected Equipment]],'Basic Data'!$I$2:$K$40,3,0),"")</f>
        <v>1.7241379310344799E-3</v>
      </c>
      <c r="N414">
        <v>-28</v>
      </c>
      <c r="O414" t="s">
        <v>135</v>
      </c>
      <c r="P414" s="127" t="s">
        <v>318</v>
      </c>
      <c r="Q414" s="126" t="s">
        <v>318</v>
      </c>
      <c r="R414">
        <v>131</v>
      </c>
      <c r="S414" s="2">
        <v>39</v>
      </c>
      <c r="T414" t="s">
        <v>295</v>
      </c>
      <c r="U414" t="s">
        <v>300</v>
      </c>
      <c r="V414" t="s">
        <v>298</v>
      </c>
      <c r="W414" s="41"/>
      <c r="X414" s="41"/>
      <c r="Y414" s="34"/>
      <c r="Z414" s="34"/>
      <c r="AA414" s="35">
        <f>IF(TA[[#This Row],[Work Start time on Fault]]="NA","",(TA[[#This Row],[Fault Acknowledgement Time ]]-TA[[#This Row],[Fault Time]])*24)</f>
        <v>0</v>
      </c>
      <c r="AB414" s="35">
        <f>(TA[[#This Row],[Work Start time on Fault]]-TA[[#This Row],[Fault Time]])*24</f>
        <v>0</v>
      </c>
      <c r="AC414" s="34">
        <f>(TA[[#This Row],[Work Completion time on fault]]-TA[[#This Row],[Fault Time]])*24</f>
        <v>0</v>
      </c>
      <c r="AD414" s="35">
        <f>IFERROR((TA[[#This Row],[Work Completion time on fault]]-TA[[#This Row],[Fault Time]])*24,"")</f>
        <v>0</v>
      </c>
      <c r="AE414" t="s">
        <v>328</v>
      </c>
      <c r="AF414" t="s">
        <v>256</v>
      </c>
      <c r="AG414" s="2"/>
      <c r="AH414" s="44">
        <f>1-COS(RADIANS(TA[[#This Row],[Avg. Target Angle during Fault Time (Radians)]]-TA[[#This Row],[Angle of affected equipment ]]))</f>
        <v>0.11705240714107301</v>
      </c>
      <c r="AI414" s="35">
        <f>IFERROR(TA[[#This Row],[Breakdown Time]]*TA[[#This Row],[Plant Equivalent Weightage]],"")</f>
        <v>0</v>
      </c>
    </row>
    <row r="415" spans="1:35">
      <c r="A415" s="2">
        <f t="shared" si="20"/>
        <v>412</v>
      </c>
      <c r="B415" s="156">
        <f t="shared" si="21"/>
        <v>2026</v>
      </c>
      <c r="C415" s="129">
        <f t="shared" si="22"/>
        <v>2025</v>
      </c>
      <c r="D415" s="2" t="s">
        <v>155</v>
      </c>
      <c r="E415" s="2" t="s">
        <v>155</v>
      </c>
      <c r="F415" s="39">
        <v>45748</v>
      </c>
      <c r="G415" s="2">
        <f>DAY(EOMONTH(TA[[#This Row],[Month Year]],0))</f>
        <v>30</v>
      </c>
      <c r="H415" s="21">
        <v>45773</v>
      </c>
      <c r="I415" s="41">
        <f>IFERROR(VLOOKUP(TA[[#This Row],[Date]],Raw_Data[[Date]:[Sunset Time (POA&lt;20 W/m2)]],3,0),"")</f>
        <v>0.25347222222222221</v>
      </c>
      <c r="J415" s="41">
        <f>IFERROR(VLOOKUP(TA[[#This Row],[Date]],Raw_Data[[Date]:[Sunset Time (POA&lt;20 W/m2)]],4,0),"")</f>
        <v>0.76736111111111116</v>
      </c>
      <c r="K415" s="35">
        <f>IFERROR((TA[[#This Row],[Sunset Time (POA&lt;20 W/m2)]]-TA[[#This Row],[Sunrise Time (POA&gt;20 W/m2)]])*24,"")</f>
        <v>12.333333333333336</v>
      </c>
      <c r="L415" s="2" t="s">
        <v>296</v>
      </c>
      <c r="M415" s="42">
        <f>IFERROR(VLOOKUP(TA[[#This Row],[Affected Equipment]],'Basic Data'!$I$2:$K$40,3,0),"")</f>
        <v>8.6206896551724102E-3</v>
      </c>
      <c r="N415">
        <v>-28</v>
      </c>
      <c r="O415" t="s">
        <v>135</v>
      </c>
      <c r="P415" s="127" t="s">
        <v>318</v>
      </c>
      <c r="Q415" s="2" t="s">
        <v>321</v>
      </c>
      <c r="R415">
        <v>133</v>
      </c>
      <c r="S415" s="2">
        <v>26</v>
      </c>
      <c r="T415" t="s">
        <v>297</v>
      </c>
      <c r="U415" t="s">
        <v>300</v>
      </c>
      <c r="V415" t="s">
        <v>314</v>
      </c>
      <c r="W415" s="41">
        <f>IFERROR(VLOOKUP(TA[[#This Row],[Date]],Raw_Data[[Date]:[Sunset Time (POA&lt;20 W/m2)]],3,0),"")</f>
        <v>0.25347222222222221</v>
      </c>
      <c r="X415" s="41">
        <f>IFERROR(VLOOKUP(TA[[#This Row],[Date]],Raw_Data[[Date]:[Sunset Time (POA&lt;20 W/m2)]],3,0),"")</f>
        <v>0.25347222222222221</v>
      </c>
      <c r="Y415" s="34"/>
      <c r="Z415" s="34">
        <v>0.76041666666666663</v>
      </c>
      <c r="AA415" s="35">
        <f>IF(TA[[#This Row],[Work Start time on Fault]]="NA","",(TA[[#This Row],[Fault Acknowledgement Time ]]-TA[[#This Row],[Fault Time]])*24)</f>
        <v>0</v>
      </c>
      <c r="AB415" s="35">
        <f>(TA[[#This Row],[Work Start time on Fault]]-TA[[#This Row],[Fault Time]])*24</f>
        <v>-6.083333333333333</v>
      </c>
      <c r="AC415" s="34">
        <f>(TA[[#This Row],[Work Completion time on fault]]-TA[[#This Row],[Fault Time]])*24</f>
        <v>12.166666666666666</v>
      </c>
      <c r="AD415" s="35">
        <f>IFERROR((TA[[#This Row],[Work Completion time on fault]]-TA[[#This Row],[Fault Time]])*24,"")</f>
        <v>12.166666666666666</v>
      </c>
      <c r="AE415" t="s">
        <v>328</v>
      </c>
      <c r="AF415" t="s">
        <v>256</v>
      </c>
      <c r="AG415" s="2"/>
      <c r="AH415" s="44">
        <f>1-COS(RADIANS(TA[[#This Row],[Avg. Target Angle during Fault Time (Radians)]]-TA[[#This Row],[Angle of affected equipment ]]))</f>
        <v>0.11705240714107301</v>
      </c>
      <c r="AI415" s="35">
        <f>IFERROR(TA[[#This Row],[Breakdown Time]]*TA[[#This Row],[Plant Equivalent Weightage]],"")</f>
        <v>0.10488505747126432</v>
      </c>
    </row>
    <row r="416" spans="1:35">
      <c r="A416" s="2">
        <f t="shared" si="20"/>
        <v>413</v>
      </c>
      <c r="B416" s="156">
        <f t="shared" si="21"/>
        <v>2026</v>
      </c>
      <c r="C416" s="129">
        <f t="shared" si="22"/>
        <v>2025</v>
      </c>
      <c r="D416" s="2" t="s">
        <v>155</v>
      </c>
      <c r="E416" s="2" t="s">
        <v>155</v>
      </c>
      <c r="F416" s="39">
        <v>45748</v>
      </c>
      <c r="G416" s="2">
        <f>DAY(EOMONTH(TA[[#This Row],[Month Year]],0))</f>
        <v>30</v>
      </c>
      <c r="H416" s="21">
        <v>45773</v>
      </c>
      <c r="I416" s="41">
        <f>IFERROR(VLOOKUP(TA[[#This Row],[Date]],Raw_Data[[Date]:[Sunset Time (POA&lt;20 W/m2)]],3,0),"")</f>
        <v>0.25347222222222221</v>
      </c>
      <c r="J416" s="41">
        <f>IFERROR(VLOOKUP(TA[[#This Row],[Date]],Raw_Data[[Date]:[Sunset Time (POA&lt;20 W/m2)]],4,0),"")</f>
        <v>0.76736111111111116</v>
      </c>
      <c r="K416" s="35">
        <f>IFERROR((TA[[#This Row],[Sunset Time (POA&lt;20 W/m2)]]-TA[[#This Row],[Sunrise Time (POA&gt;20 W/m2)]])*24,"")</f>
        <v>12.333333333333336</v>
      </c>
      <c r="L416" s="2" t="s">
        <v>294</v>
      </c>
      <c r="M416" s="42">
        <f>IFERROR(VLOOKUP(TA[[#This Row],[Affected Equipment]],'Basic Data'!$I$2:$K$40,3,0),"")</f>
        <v>1.7241379310344799E-3</v>
      </c>
      <c r="N416">
        <v>-28</v>
      </c>
      <c r="O416" t="s">
        <v>133</v>
      </c>
      <c r="P416" s="127" t="s">
        <v>316</v>
      </c>
      <c r="Q416" s="126" t="s">
        <v>317</v>
      </c>
      <c r="R416">
        <v>7</v>
      </c>
      <c r="S416" s="2">
        <v>32</v>
      </c>
      <c r="T416" t="s">
        <v>295</v>
      </c>
      <c r="U416" t="s">
        <v>300</v>
      </c>
      <c r="V416" t="s">
        <v>298</v>
      </c>
      <c r="W416" s="41"/>
      <c r="X416" s="41"/>
      <c r="Y416" s="34"/>
      <c r="Z416" s="34"/>
      <c r="AA416" s="35">
        <f>IF(TA[[#This Row],[Work Start time on Fault]]="NA","",(TA[[#This Row],[Fault Acknowledgement Time ]]-TA[[#This Row],[Fault Time]])*24)</f>
        <v>0</v>
      </c>
      <c r="AB416" s="35">
        <f>(TA[[#This Row],[Work Start time on Fault]]-TA[[#This Row],[Fault Time]])*24</f>
        <v>0</v>
      </c>
      <c r="AC416" s="34">
        <f>(TA[[#This Row],[Work Completion time on fault]]-TA[[#This Row],[Fault Time]])*24</f>
        <v>0</v>
      </c>
      <c r="AD416" s="35">
        <f>IFERROR((TA[[#This Row],[Work Completion time on fault]]-TA[[#This Row],[Fault Time]])*24,"")</f>
        <v>0</v>
      </c>
      <c r="AE416" t="s">
        <v>328</v>
      </c>
      <c r="AF416" t="s">
        <v>256</v>
      </c>
      <c r="AG416" s="2"/>
      <c r="AH416" s="44">
        <f>1-COS(RADIANS(TA[[#This Row],[Avg. Target Angle during Fault Time (Radians)]]-TA[[#This Row],[Angle of affected equipment ]]))</f>
        <v>0.11705240714107301</v>
      </c>
      <c r="AI416" s="35">
        <f>IFERROR(TA[[#This Row],[Breakdown Time]]*TA[[#This Row],[Plant Equivalent Weightage]],"")</f>
        <v>0</v>
      </c>
    </row>
    <row r="417" spans="1:35">
      <c r="A417" s="2">
        <f t="shared" si="20"/>
        <v>414</v>
      </c>
      <c r="B417" s="156">
        <f t="shared" si="21"/>
        <v>2026</v>
      </c>
      <c r="C417" s="129">
        <f t="shared" si="22"/>
        <v>2025</v>
      </c>
      <c r="D417" s="2" t="s">
        <v>155</v>
      </c>
      <c r="E417" s="2" t="s">
        <v>155</v>
      </c>
      <c r="F417" s="39">
        <v>45748</v>
      </c>
      <c r="G417" s="2">
        <f>DAY(EOMONTH(TA[[#This Row],[Month Year]],0))</f>
        <v>30</v>
      </c>
      <c r="H417" s="21">
        <v>45773</v>
      </c>
      <c r="I417" s="41">
        <f>IFERROR(VLOOKUP(TA[[#This Row],[Date]],Raw_Data[[Date]:[Sunset Time (POA&lt;20 W/m2)]],3,0),"")</f>
        <v>0.25347222222222221</v>
      </c>
      <c r="J417" s="41">
        <f>IFERROR(VLOOKUP(TA[[#This Row],[Date]],Raw_Data[[Date]:[Sunset Time (POA&lt;20 W/m2)]],4,0),"")</f>
        <v>0.76736111111111116</v>
      </c>
      <c r="K417" s="35">
        <f>IFERROR((TA[[#This Row],[Sunset Time (POA&lt;20 W/m2)]]-TA[[#This Row],[Sunrise Time (POA&gt;20 W/m2)]])*24,"")</f>
        <v>12.333333333333336</v>
      </c>
      <c r="L417" s="2" t="s">
        <v>294</v>
      </c>
      <c r="M417" s="42">
        <f>IFERROR(VLOOKUP(TA[[#This Row],[Affected Equipment]],'Basic Data'!$I$2:$K$40,3,0),"")</f>
        <v>1.7241379310344799E-3</v>
      </c>
      <c r="N417">
        <v>-28</v>
      </c>
      <c r="O417" t="s">
        <v>137</v>
      </c>
      <c r="P417" s="127" t="s">
        <v>315</v>
      </c>
      <c r="Q417" s="126" t="s">
        <v>319</v>
      </c>
      <c r="R417">
        <v>166</v>
      </c>
      <c r="S417" s="2">
        <v>91</v>
      </c>
      <c r="T417" t="s">
        <v>295</v>
      </c>
      <c r="U417" t="s">
        <v>300</v>
      </c>
      <c r="V417" t="s">
        <v>298</v>
      </c>
      <c r="W417" s="41"/>
      <c r="X417" s="41"/>
      <c r="Y417" s="34"/>
      <c r="Z417" s="34"/>
      <c r="AA417" s="35">
        <f>IF(TA[[#This Row],[Work Start time on Fault]]="NA","",(TA[[#This Row],[Fault Acknowledgement Time ]]-TA[[#This Row],[Fault Time]])*24)</f>
        <v>0</v>
      </c>
      <c r="AB417" s="35">
        <f>(TA[[#This Row],[Work Start time on Fault]]-TA[[#This Row],[Fault Time]])*24</f>
        <v>0</v>
      </c>
      <c r="AC417" s="34">
        <f>(TA[[#This Row],[Work Completion time on fault]]-TA[[#This Row],[Fault Time]])*24</f>
        <v>0</v>
      </c>
      <c r="AD417" s="35">
        <f>IFERROR((TA[[#This Row],[Work Completion time on fault]]-TA[[#This Row],[Fault Time]])*24,"")</f>
        <v>0</v>
      </c>
      <c r="AE417" t="s">
        <v>328</v>
      </c>
      <c r="AF417" t="s">
        <v>256</v>
      </c>
      <c r="AG417" s="2"/>
      <c r="AH417" s="44">
        <f>1-COS(RADIANS(TA[[#This Row],[Avg. Target Angle during Fault Time (Radians)]]-TA[[#This Row],[Angle of affected equipment ]]))</f>
        <v>0.11705240714107301</v>
      </c>
      <c r="AI417" s="35">
        <f>IFERROR(TA[[#This Row],[Breakdown Time]]*TA[[#This Row],[Plant Equivalent Weightage]],"")</f>
        <v>0</v>
      </c>
    </row>
    <row r="418" spans="1:35">
      <c r="A418" s="2">
        <f t="shared" si="20"/>
        <v>415</v>
      </c>
      <c r="B418" s="156">
        <f t="shared" si="21"/>
        <v>2026</v>
      </c>
      <c r="C418" s="129">
        <f t="shared" si="22"/>
        <v>2025</v>
      </c>
      <c r="D418" s="2" t="s">
        <v>155</v>
      </c>
      <c r="E418" s="2" t="s">
        <v>155</v>
      </c>
      <c r="F418" s="39">
        <v>45748</v>
      </c>
      <c r="G418" s="2">
        <f>DAY(EOMONTH(TA[[#This Row],[Month Year]],0))</f>
        <v>30</v>
      </c>
      <c r="H418" s="21">
        <v>45773</v>
      </c>
      <c r="I418" s="41">
        <f>IFERROR(VLOOKUP(TA[[#This Row],[Date]],Raw_Data[[Date]:[Sunset Time (POA&lt;20 W/m2)]],3,0),"")</f>
        <v>0.25347222222222221</v>
      </c>
      <c r="J418" s="41">
        <f>IFERROR(VLOOKUP(TA[[#This Row],[Date]],Raw_Data[[Date]:[Sunset Time (POA&lt;20 W/m2)]],4,0),"")</f>
        <v>0.76736111111111116</v>
      </c>
      <c r="K418" s="35">
        <f>IFERROR((TA[[#This Row],[Sunset Time (POA&lt;20 W/m2)]]-TA[[#This Row],[Sunrise Time (POA&gt;20 W/m2)]])*24,"")</f>
        <v>12.333333333333336</v>
      </c>
      <c r="L418" s="2" t="s">
        <v>294</v>
      </c>
      <c r="M418" s="42">
        <f>IFERROR(VLOOKUP(TA[[#This Row],[Affected Equipment]],'Basic Data'!$I$2:$K$40,3,0),"")</f>
        <v>1.7241379310344799E-3</v>
      </c>
      <c r="N418">
        <v>-28</v>
      </c>
      <c r="O418" t="s">
        <v>133</v>
      </c>
      <c r="P418" s="127" t="s">
        <v>316</v>
      </c>
      <c r="Q418" s="126" t="s">
        <v>316</v>
      </c>
      <c r="R418">
        <v>117</v>
      </c>
      <c r="S418" s="2">
        <v>20</v>
      </c>
      <c r="T418" t="s">
        <v>295</v>
      </c>
      <c r="U418" t="s">
        <v>300</v>
      </c>
      <c r="V418" t="s">
        <v>298</v>
      </c>
      <c r="W418" s="41"/>
      <c r="X418" s="41"/>
      <c r="Y418" s="34"/>
      <c r="Z418" s="34"/>
      <c r="AA418" s="35">
        <f>IF(TA[[#This Row],[Work Start time on Fault]]="NA","",(TA[[#This Row],[Fault Acknowledgement Time ]]-TA[[#This Row],[Fault Time]])*24)</f>
        <v>0</v>
      </c>
      <c r="AB418" s="35">
        <f>(TA[[#This Row],[Work Start time on Fault]]-TA[[#This Row],[Fault Time]])*24</f>
        <v>0</v>
      </c>
      <c r="AC418" s="34">
        <f>(TA[[#This Row],[Work Completion time on fault]]-TA[[#This Row],[Fault Time]])*24</f>
        <v>0</v>
      </c>
      <c r="AD418" s="35">
        <f>IFERROR((TA[[#This Row],[Work Completion time on fault]]-TA[[#This Row],[Fault Time]])*24,"")</f>
        <v>0</v>
      </c>
      <c r="AE418" t="s">
        <v>328</v>
      </c>
      <c r="AF418" t="s">
        <v>256</v>
      </c>
      <c r="AG418" s="2"/>
      <c r="AH418" s="44">
        <f>1-COS(RADIANS(TA[[#This Row],[Avg. Target Angle during Fault Time (Radians)]]-TA[[#This Row],[Angle of affected equipment ]]))</f>
        <v>0.11705240714107301</v>
      </c>
      <c r="AI418" s="35">
        <f>IFERROR(TA[[#This Row],[Breakdown Time]]*TA[[#This Row],[Plant Equivalent Weightage]],"")</f>
        <v>0</v>
      </c>
    </row>
    <row r="419" spans="1:35">
      <c r="A419" s="2">
        <f t="shared" si="20"/>
        <v>416</v>
      </c>
      <c r="B419" s="156">
        <f t="shared" si="21"/>
        <v>2026</v>
      </c>
      <c r="C419" s="129">
        <f t="shared" si="22"/>
        <v>2025</v>
      </c>
      <c r="D419" s="2" t="s">
        <v>155</v>
      </c>
      <c r="E419" s="2" t="s">
        <v>155</v>
      </c>
      <c r="F419" s="39">
        <v>45748</v>
      </c>
      <c r="G419" s="2">
        <f>DAY(EOMONTH(TA[[#This Row],[Month Year]],0))</f>
        <v>30</v>
      </c>
      <c r="H419" s="21">
        <v>45773</v>
      </c>
      <c r="I419" s="41">
        <f>IFERROR(VLOOKUP(TA[[#This Row],[Date]],Raw_Data[[Date]:[Sunset Time (POA&lt;20 W/m2)]],3,0),"")</f>
        <v>0.25347222222222221</v>
      </c>
      <c r="J419" s="41">
        <f>IFERROR(VLOOKUP(TA[[#This Row],[Date]],Raw_Data[[Date]:[Sunset Time (POA&lt;20 W/m2)]],4,0),"")</f>
        <v>0.76736111111111116</v>
      </c>
      <c r="K419" s="35">
        <f>IFERROR((TA[[#This Row],[Sunset Time (POA&lt;20 W/m2)]]-TA[[#This Row],[Sunrise Time (POA&gt;20 W/m2)]])*24,"")</f>
        <v>12.333333333333336</v>
      </c>
      <c r="L419" s="2" t="s">
        <v>294</v>
      </c>
      <c r="M419" s="42">
        <f>IFERROR(VLOOKUP(TA[[#This Row],[Affected Equipment]],'Basic Data'!$I$2:$K$40,3,0),"")</f>
        <v>1.7241379310344799E-3</v>
      </c>
      <c r="N419">
        <v>-28</v>
      </c>
      <c r="O419" t="s">
        <v>133</v>
      </c>
      <c r="P419" s="127" t="s">
        <v>316</v>
      </c>
      <c r="Q419" s="126" t="s">
        <v>316</v>
      </c>
      <c r="R419">
        <v>118</v>
      </c>
      <c r="S419" s="2">
        <v>22</v>
      </c>
      <c r="T419" t="s">
        <v>295</v>
      </c>
      <c r="U419" t="s">
        <v>300</v>
      </c>
      <c r="V419" t="s">
        <v>298</v>
      </c>
      <c r="W419" s="41"/>
      <c r="X419" s="41"/>
      <c r="Y419" s="34"/>
      <c r="Z419" s="34"/>
      <c r="AA419" s="35">
        <f>IF(TA[[#This Row],[Work Start time on Fault]]="NA","",(TA[[#This Row],[Fault Acknowledgement Time ]]-TA[[#This Row],[Fault Time]])*24)</f>
        <v>0</v>
      </c>
      <c r="AB419" s="35">
        <f>(TA[[#This Row],[Work Start time on Fault]]-TA[[#This Row],[Fault Time]])*24</f>
        <v>0</v>
      </c>
      <c r="AC419" s="34">
        <f>(TA[[#This Row],[Work Completion time on fault]]-TA[[#This Row],[Fault Time]])*24</f>
        <v>0</v>
      </c>
      <c r="AD419" s="35">
        <f>IFERROR((TA[[#This Row],[Work Completion time on fault]]-TA[[#This Row],[Fault Time]])*24,"")</f>
        <v>0</v>
      </c>
      <c r="AE419" t="s">
        <v>328</v>
      </c>
      <c r="AF419" t="s">
        <v>256</v>
      </c>
      <c r="AG419" s="2"/>
      <c r="AH419" s="44">
        <f>1-COS(RADIANS(TA[[#This Row],[Avg. Target Angle during Fault Time (Radians)]]-TA[[#This Row],[Angle of affected equipment ]]))</f>
        <v>0.11705240714107301</v>
      </c>
      <c r="AI419" s="35">
        <f>IFERROR(TA[[#This Row],[Breakdown Time]]*TA[[#This Row],[Plant Equivalent Weightage]],"")</f>
        <v>0</v>
      </c>
    </row>
    <row r="420" spans="1:35">
      <c r="A420" s="2">
        <f t="shared" si="20"/>
        <v>417</v>
      </c>
      <c r="B420" s="156">
        <f t="shared" si="21"/>
        <v>2026</v>
      </c>
      <c r="C420" s="129">
        <f t="shared" si="22"/>
        <v>2025</v>
      </c>
      <c r="D420" s="2" t="s">
        <v>155</v>
      </c>
      <c r="E420" s="2" t="s">
        <v>155</v>
      </c>
      <c r="F420" s="39">
        <v>45748</v>
      </c>
      <c r="G420" s="2">
        <f>DAY(EOMONTH(TA[[#This Row],[Month Year]],0))</f>
        <v>30</v>
      </c>
      <c r="H420" s="21">
        <v>45773</v>
      </c>
      <c r="I420" s="41">
        <f>IFERROR(VLOOKUP(TA[[#This Row],[Date]],Raw_Data[[Date]:[Sunset Time (POA&lt;20 W/m2)]],3,0),"")</f>
        <v>0.25347222222222221</v>
      </c>
      <c r="J420" s="41">
        <f>IFERROR(VLOOKUP(TA[[#This Row],[Date]],Raw_Data[[Date]:[Sunset Time (POA&lt;20 W/m2)]],4,0),"")</f>
        <v>0.76736111111111116</v>
      </c>
      <c r="K420" s="35">
        <f>IFERROR((TA[[#This Row],[Sunset Time (POA&lt;20 W/m2)]]-TA[[#This Row],[Sunrise Time (POA&gt;20 W/m2)]])*24,"")</f>
        <v>12.333333333333336</v>
      </c>
      <c r="L420" s="2" t="s">
        <v>296</v>
      </c>
      <c r="M420" s="42">
        <f>IFERROR(VLOOKUP(TA[[#This Row],[Affected Equipment]],'Basic Data'!$I$2:$K$40,3,0),"")</f>
        <v>8.6206896551724102E-3</v>
      </c>
      <c r="N420">
        <v>-28</v>
      </c>
      <c r="O420" t="s">
        <v>135</v>
      </c>
      <c r="P420" s="22" t="s">
        <v>323</v>
      </c>
      <c r="Q420" s="2" t="s">
        <v>329</v>
      </c>
      <c r="R420">
        <v>45</v>
      </c>
      <c r="S420" s="2">
        <v>8</v>
      </c>
      <c r="T420" t="s">
        <v>297</v>
      </c>
      <c r="U420" t="s">
        <v>326</v>
      </c>
      <c r="V420" t="s">
        <v>301</v>
      </c>
      <c r="W420" s="41"/>
      <c r="X420" s="41"/>
      <c r="Y420" s="34"/>
      <c r="Z420" s="34"/>
      <c r="AA420" s="35">
        <f>IF(TA[[#This Row],[Work Start time on Fault]]="NA","",(TA[[#This Row],[Fault Acknowledgement Time ]]-TA[[#This Row],[Fault Time]])*24)</f>
        <v>0</v>
      </c>
      <c r="AB420" s="35">
        <f>(TA[[#This Row],[Work Start time on Fault]]-TA[[#This Row],[Fault Time]])*24</f>
        <v>0</v>
      </c>
      <c r="AC420" s="34">
        <f>(TA[[#This Row],[Work Completion time on fault]]-TA[[#This Row],[Fault Time]])*24</f>
        <v>0</v>
      </c>
      <c r="AD420" s="35">
        <f>IFERROR((TA[[#This Row],[Work Completion time on fault]]-TA[[#This Row],[Fault Time]])*24,"")</f>
        <v>0</v>
      </c>
      <c r="AE420" t="s">
        <v>328</v>
      </c>
      <c r="AF420" t="s">
        <v>256</v>
      </c>
      <c r="AG420" s="2"/>
      <c r="AH420" s="44">
        <f>1-COS(RADIANS(TA[[#This Row],[Avg. Target Angle during Fault Time (Radians)]]-TA[[#This Row],[Angle of affected equipment ]]))</f>
        <v>0.11705240714107301</v>
      </c>
      <c r="AI420" s="35">
        <f>IFERROR(TA[[#This Row],[Breakdown Time]]*TA[[#This Row],[Plant Equivalent Weightage]],"")</f>
        <v>0</v>
      </c>
    </row>
    <row r="421" spans="1:35">
      <c r="A421" s="2">
        <f t="shared" ref="A421:A485" si="23">A420+1</f>
        <v>418</v>
      </c>
      <c r="B421" s="156">
        <f t="shared" si="21"/>
        <v>2026</v>
      </c>
      <c r="C421" s="129">
        <f t="shared" si="22"/>
        <v>2025</v>
      </c>
      <c r="D421" s="2" t="s">
        <v>155</v>
      </c>
      <c r="E421" s="2" t="s">
        <v>155</v>
      </c>
      <c r="F421" s="39">
        <v>45748</v>
      </c>
      <c r="G421" s="2">
        <f>DAY(EOMONTH(TA[[#This Row],[Month Year]],0))</f>
        <v>30</v>
      </c>
      <c r="H421" s="21">
        <v>45773</v>
      </c>
      <c r="I421" s="41">
        <f>IFERROR(VLOOKUP(TA[[#This Row],[Date]],Raw_Data[[Date]:[Sunset Time (POA&lt;20 W/m2)]],3,0),"")</f>
        <v>0.25347222222222221</v>
      </c>
      <c r="J421" s="41">
        <f>IFERROR(VLOOKUP(TA[[#This Row],[Date]],Raw_Data[[Date]:[Sunset Time (POA&lt;20 W/m2)]],4,0),"")</f>
        <v>0.76736111111111116</v>
      </c>
      <c r="K421" s="35">
        <f>IFERROR((TA[[#This Row],[Sunset Time (POA&lt;20 W/m2)]]-TA[[#This Row],[Sunrise Time (POA&gt;20 W/m2)]])*24,"")</f>
        <v>12.333333333333336</v>
      </c>
      <c r="L421" s="2" t="s">
        <v>296</v>
      </c>
      <c r="M421" s="42">
        <f>IFERROR(VLOOKUP(TA[[#This Row],[Affected Equipment]],'Basic Data'!$I$2:$K$40,3,0),"")</f>
        <v>8.6206896551724102E-3</v>
      </c>
      <c r="N421">
        <v>-28</v>
      </c>
      <c r="O421" t="s">
        <v>135</v>
      </c>
      <c r="P421" s="22" t="s">
        <v>323</v>
      </c>
      <c r="Q421" s="2" t="s">
        <v>329</v>
      </c>
      <c r="R421">
        <v>47</v>
      </c>
      <c r="S421" s="2">
        <v>18</v>
      </c>
      <c r="T421" t="s">
        <v>297</v>
      </c>
      <c r="U421" t="s">
        <v>326</v>
      </c>
      <c r="V421" t="s">
        <v>301</v>
      </c>
      <c r="W421" s="41"/>
      <c r="X421" s="41"/>
      <c r="Y421" s="34"/>
      <c r="Z421" s="34"/>
      <c r="AA421" s="35">
        <f>IF(TA[[#This Row],[Work Start time on Fault]]="NA","",(TA[[#This Row],[Fault Acknowledgement Time ]]-TA[[#This Row],[Fault Time]])*24)</f>
        <v>0</v>
      </c>
      <c r="AB421" s="35">
        <f>(TA[[#This Row],[Work Start time on Fault]]-TA[[#This Row],[Fault Time]])*24</f>
        <v>0</v>
      </c>
      <c r="AC421" s="34">
        <f>(TA[[#This Row],[Work Completion time on fault]]-TA[[#This Row],[Fault Time]])*24</f>
        <v>0</v>
      </c>
      <c r="AD421" s="35">
        <f>IFERROR((TA[[#This Row],[Work Completion time on fault]]-TA[[#This Row],[Fault Time]])*24,"")</f>
        <v>0</v>
      </c>
      <c r="AE421" t="s">
        <v>328</v>
      </c>
      <c r="AF421" t="s">
        <v>256</v>
      </c>
      <c r="AG421" s="2"/>
      <c r="AH421" s="44">
        <f>1-COS(RADIANS(TA[[#This Row],[Avg. Target Angle during Fault Time (Radians)]]-TA[[#This Row],[Angle of affected equipment ]]))</f>
        <v>0.11705240714107301</v>
      </c>
      <c r="AI421" s="35">
        <f>IFERROR(TA[[#This Row],[Breakdown Time]]*TA[[#This Row],[Plant Equivalent Weightage]],"")</f>
        <v>0</v>
      </c>
    </row>
    <row r="422" spans="1:35">
      <c r="A422" s="2">
        <f t="shared" si="23"/>
        <v>419</v>
      </c>
      <c r="B422" s="156">
        <f t="shared" si="21"/>
        <v>2026</v>
      </c>
      <c r="C422" s="129">
        <f t="shared" si="22"/>
        <v>2025</v>
      </c>
      <c r="D422" s="2" t="s">
        <v>155</v>
      </c>
      <c r="E422" s="2" t="s">
        <v>155</v>
      </c>
      <c r="F422" s="39">
        <v>45748</v>
      </c>
      <c r="G422" s="2">
        <f>DAY(EOMONTH(TA[[#This Row],[Month Year]],0))</f>
        <v>30</v>
      </c>
      <c r="H422" s="21">
        <v>45773</v>
      </c>
      <c r="I422" s="41">
        <f>IFERROR(VLOOKUP(TA[[#This Row],[Date]],Raw_Data[[Date]:[Sunset Time (POA&lt;20 W/m2)]],3,0),"")</f>
        <v>0.25347222222222221</v>
      </c>
      <c r="J422" s="41">
        <f>IFERROR(VLOOKUP(TA[[#This Row],[Date]],Raw_Data[[Date]:[Sunset Time (POA&lt;20 W/m2)]],4,0),"")</f>
        <v>0.76736111111111116</v>
      </c>
      <c r="K422" s="35">
        <f>IFERROR((TA[[#This Row],[Sunset Time (POA&lt;20 W/m2)]]-TA[[#This Row],[Sunrise Time (POA&gt;20 W/m2)]])*24,"")</f>
        <v>12.333333333333336</v>
      </c>
      <c r="L422" s="2" t="s">
        <v>296</v>
      </c>
      <c r="M422" s="42">
        <f>IFERROR(VLOOKUP(TA[[#This Row],[Affected Equipment]],'Basic Data'!$I$2:$K$40,3,0),"")</f>
        <v>8.6206896551724102E-3</v>
      </c>
      <c r="N422">
        <v>-28</v>
      </c>
      <c r="O422" t="s">
        <v>134</v>
      </c>
      <c r="P422" s="22" t="s">
        <v>330</v>
      </c>
      <c r="Q422" s="2" t="s">
        <v>323</v>
      </c>
      <c r="R422">
        <v>30</v>
      </c>
      <c r="S422" s="2">
        <v>57</v>
      </c>
      <c r="T422" t="s">
        <v>297</v>
      </c>
      <c r="U422" t="s">
        <v>326</v>
      </c>
      <c r="V422" t="s">
        <v>301</v>
      </c>
      <c r="W422" s="41"/>
      <c r="X422" s="41"/>
      <c r="Y422" s="34"/>
      <c r="Z422" s="34"/>
      <c r="AA422" s="35">
        <f>IF(TA[[#This Row],[Work Start time on Fault]]="NA","",(TA[[#This Row],[Fault Acknowledgement Time ]]-TA[[#This Row],[Fault Time]])*24)</f>
        <v>0</v>
      </c>
      <c r="AB422" s="35">
        <f>(TA[[#This Row],[Work Start time on Fault]]-TA[[#This Row],[Fault Time]])*24</f>
        <v>0</v>
      </c>
      <c r="AC422" s="34">
        <f>(TA[[#This Row],[Work Completion time on fault]]-TA[[#This Row],[Fault Time]])*24</f>
        <v>0</v>
      </c>
      <c r="AD422" s="35">
        <f>IFERROR((TA[[#This Row],[Work Completion time on fault]]-TA[[#This Row],[Fault Time]])*24,"")</f>
        <v>0</v>
      </c>
      <c r="AE422" t="s">
        <v>328</v>
      </c>
      <c r="AF422" t="s">
        <v>256</v>
      </c>
      <c r="AG422" s="2"/>
      <c r="AH422" s="44">
        <f>1-COS(RADIANS(TA[[#This Row],[Avg. Target Angle during Fault Time (Radians)]]-TA[[#This Row],[Angle of affected equipment ]]))</f>
        <v>0.11705240714107301</v>
      </c>
      <c r="AI422" s="35">
        <f>IFERROR(TA[[#This Row],[Breakdown Time]]*TA[[#This Row],[Plant Equivalent Weightage]],"")</f>
        <v>0</v>
      </c>
    </row>
    <row r="423" spans="1:35">
      <c r="A423" s="2">
        <f t="shared" si="23"/>
        <v>420</v>
      </c>
      <c r="B423" s="156">
        <f t="shared" si="21"/>
        <v>2026</v>
      </c>
      <c r="C423" s="129">
        <f t="shared" si="22"/>
        <v>2025</v>
      </c>
      <c r="D423" s="2" t="s">
        <v>155</v>
      </c>
      <c r="E423" s="2" t="s">
        <v>155</v>
      </c>
      <c r="F423" s="39">
        <v>45748</v>
      </c>
      <c r="G423" s="2">
        <f>DAY(EOMONTH(TA[[#This Row],[Month Year]],0))</f>
        <v>30</v>
      </c>
      <c r="H423" s="21">
        <v>45773</v>
      </c>
      <c r="I423" s="41">
        <f>IFERROR(VLOOKUP(TA[[#This Row],[Date]],Raw_Data[[Date]:[Sunset Time (POA&lt;20 W/m2)]],3,0),"")</f>
        <v>0.25347222222222221</v>
      </c>
      <c r="J423" s="41">
        <f>IFERROR(VLOOKUP(TA[[#This Row],[Date]],Raw_Data[[Date]:[Sunset Time (POA&lt;20 W/m2)]],4,0),"")</f>
        <v>0.76736111111111116</v>
      </c>
      <c r="K423" s="35">
        <f>IFERROR((TA[[#This Row],[Sunset Time (POA&lt;20 W/m2)]]-TA[[#This Row],[Sunrise Time (POA&gt;20 W/m2)]])*24,"")</f>
        <v>12.333333333333336</v>
      </c>
      <c r="L423" s="2" t="s">
        <v>296</v>
      </c>
      <c r="M423" s="42">
        <f>IFERROR(VLOOKUP(TA[[#This Row],[Affected Equipment]],'Basic Data'!$I$2:$K$40,3,0),"")</f>
        <v>8.6206896551724102E-3</v>
      </c>
      <c r="N423">
        <v>-28</v>
      </c>
      <c r="O423" t="s">
        <v>134</v>
      </c>
      <c r="P423" s="22" t="s">
        <v>330</v>
      </c>
      <c r="Q423" s="2" t="s">
        <v>323</v>
      </c>
      <c r="R423">
        <v>31</v>
      </c>
      <c r="S423" s="2">
        <v>61</v>
      </c>
      <c r="T423" t="s">
        <v>297</v>
      </c>
      <c r="U423" t="s">
        <v>326</v>
      </c>
      <c r="V423" t="s">
        <v>301</v>
      </c>
      <c r="W423" s="41"/>
      <c r="X423" s="41"/>
      <c r="Y423" s="34"/>
      <c r="Z423" s="34"/>
      <c r="AA423" s="35">
        <f>IF(TA[[#This Row],[Work Start time on Fault]]="NA","",(TA[[#This Row],[Fault Acknowledgement Time ]]-TA[[#This Row],[Fault Time]])*24)</f>
        <v>0</v>
      </c>
      <c r="AB423" s="35">
        <f>(TA[[#This Row],[Work Start time on Fault]]-TA[[#This Row],[Fault Time]])*24</f>
        <v>0</v>
      </c>
      <c r="AC423" s="34">
        <f>(TA[[#This Row],[Work Completion time on fault]]-TA[[#This Row],[Fault Time]])*24</f>
        <v>0</v>
      </c>
      <c r="AD423" s="35">
        <f>IFERROR((TA[[#This Row],[Work Completion time on fault]]-TA[[#This Row],[Fault Time]])*24,"")</f>
        <v>0</v>
      </c>
      <c r="AE423" t="s">
        <v>328</v>
      </c>
      <c r="AF423" t="s">
        <v>256</v>
      </c>
      <c r="AG423" s="2"/>
      <c r="AH423" s="44">
        <f>1-COS(RADIANS(TA[[#This Row],[Avg. Target Angle during Fault Time (Radians)]]-TA[[#This Row],[Angle of affected equipment ]]))</f>
        <v>0.11705240714107301</v>
      </c>
      <c r="AI423" s="35">
        <f>IFERROR(TA[[#This Row],[Breakdown Time]]*TA[[#This Row],[Plant Equivalent Weightage]],"")</f>
        <v>0</v>
      </c>
    </row>
    <row r="424" spans="1:35">
      <c r="A424" s="2">
        <f t="shared" si="23"/>
        <v>421</v>
      </c>
      <c r="B424" s="156">
        <f t="shared" si="21"/>
        <v>2026</v>
      </c>
      <c r="C424" s="129">
        <f t="shared" si="22"/>
        <v>2025</v>
      </c>
      <c r="D424" s="2" t="s">
        <v>155</v>
      </c>
      <c r="E424" s="2" t="s">
        <v>155</v>
      </c>
      <c r="F424" s="39">
        <v>45748</v>
      </c>
      <c r="G424" s="2">
        <f>DAY(EOMONTH(TA[[#This Row],[Month Year]],0))</f>
        <v>30</v>
      </c>
      <c r="H424" s="21">
        <v>45773</v>
      </c>
      <c r="I424" s="41">
        <f>IFERROR(VLOOKUP(TA[[#This Row],[Date]],Raw_Data[[Date]:[Sunset Time (POA&lt;20 W/m2)]],3,0),"")</f>
        <v>0.25347222222222221</v>
      </c>
      <c r="J424" s="41">
        <f>IFERROR(VLOOKUP(TA[[#This Row],[Date]],Raw_Data[[Date]:[Sunset Time (POA&lt;20 W/m2)]],4,0),"")</f>
        <v>0.76736111111111116</v>
      </c>
      <c r="K424" s="35">
        <f>IFERROR((TA[[#This Row],[Sunset Time (POA&lt;20 W/m2)]]-TA[[#This Row],[Sunrise Time (POA&gt;20 W/m2)]])*24,"")</f>
        <v>12.333333333333336</v>
      </c>
      <c r="L424" s="2" t="s">
        <v>312</v>
      </c>
      <c r="M424" s="42">
        <f>IFERROR(VLOOKUP(TA[[#This Row],[Affected Equipment]],'Basic Data'!$I$2:$K$40,3,0),"")</f>
        <v>5.74712643678161E-3</v>
      </c>
      <c r="N424">
        <v>-28</v>
      </c>
      <c r="O424" t="s">
        <v>133</v>
      </c>
      <c r="P424" s="22" t="s">
        <v>330</v>
      </c>
      <c r="Q424" s="2" t="s">
        <v>323</v>
      </c>
      <c r="R424">
        <v>26</v>
      </c>
      <c r="S424" s="2">
        <v>37</v>
      </c>
      <c r="T424" t="s">
        <v>297</v>
      </c>
      <c r="U424" t="s">
        <v>326</v>
      </c>
      <c r="V424" t="s">
        <v>301</v>
      </c>
      <c r="W424" s="41"/>
      <c r="X424" s="41"/>
      <c r="Y424" s="34"/>
      <c r="Z424" s="34"/>
      <c r="AA424" s="35">
        <f>IF(TA[[#This Row],[Work Start time on Fault]]="NA","",(TA[[#This Row],[Fault Acknowledgement Time ]]-TA[[#This Row],[Fault Time]])*24)</f>
        <v>0</v>
      </c>
      <c r="AB424" s="35">
        <f>(TA[[#This Row],[Work Start time on Fault]]-TA[[#This Row],[Fault Time]])*24</f>
        <v>0</v>
      </c>
      <c r="AC424" s="34">
        <f>(TA[[#This Row],[Work Completion time on fault]]-TA[[#This Row],[Fault Time]])*24</f>
        <v>0</v>
      </c>
      <c r="AD424" s="35">
        <f>IFERROR((TA[[#This Row],[Work Completion time on fault]]-TA[[#This Row],[Fault Time]])*24,"")</f>
        <v>0</v>
      </c>
      <c r="AE424" t="s">
        <v>328</v>
      </c>
      <c r="AF424" t="s">
        <v>256</v>
      </c>
      <c r="AG424" s="2"/>
      <c r="AH424" s="44">
        <f>1-COS(RADIANS(TA[[#This Row],[Avg. Target Angle during Fault Time (Radians)]]-TA[[#This Row],[Angle of affected equipment ]]))</f>
        <v>0.11705240714107301</v>
      </c>
      <c r="AI424" s="35">
        <f>IFERROR(TA[[#This Row],[Breakdown Time]]*TA[[#This Row],[Plant Equivalent Weightage]],"")</f>
        <v>0</v>
      </c>
    </row>
    <row r="425" spans="1:35">
      <c r="A425" s="2">
        <f t="shared" si="23"/>
        <v>422</v>
      </c>
      <c r="B425" s="156">
        <f t="shared" si="21"/>
        <v>2026</v>
      </c>
      <c r="C425" s="129">
        <f t="shared" si="22"/>
        <v>2025</v>
      </c>
      <c r="D425" s="2" t="s">
        <v>155</v>
      </c>
      <c r="E425" s="2" t="s">
        <v>155</v>
      </c>
      <c r="F425" s="39">
        <v>45748</v>
      </c>
      <c r="G425" s="2">
        <f>DAY(EOMONTH(TA[[#This Row],[Month Year]],0))</f>
        <v>30</v>
      </c>
      <c r="H425" s="21">
        <v>45773</v>
      </c>
      <c r="I425" s="41">
        <f>IFERROR(VLOOKUP(TA[[#This Row],[Date]],Raw_Data[[Date]:[Sunset Time (POA&lt;20 W/m2)]],3,0),"")</f>
        <v>0.25347222222222221</v>
      </c>
      <c r="J425" s="41">
        <f>IFERROR(VLOOKUP(TA[[#This Row],[Date]],Raw_Data[[Date]:[Sunset Time (POA&lt;20 W/m2)]],4,0),"")</f>
        <v>0.76736111111111116</v>
      </c>
      <c r="K425" s="35">
        <f>IFERROR((TA[[#This Row],[Sunset Time (POA&lt;20 W/m2)]]-TA[[#This Row],[Sunrise Time (POA&gt;20 W/m2)]])*24,"")</f>
        <v>12.333333333333336</v>
      </c>
      <c r="L425" s="2" t="s">
        <v>312</v>
      </c>
      <c r="M425" s="42">
        <f>IFERROR(VLOOKUP(TA[[#This Row],[Affected Equipment]],'Basic Data'!$I$2:$K$40,3,0),"")</f>
        <v>5.74712643678161E-3</v>
      </c>
      <c r="N425">
        <v>-28</v>
      </c>
      <c r="O425" t="s">
        <v>133</v>
      </c>
      <c r="P425" s="22" t="s">
        <v>330</v>
      </c>
      <c r="Q425" s="2" t="s">
        <v>323</v>
      </c>
      <c r="R425">
        <v>27</v>
      </c>
      <c r="S425" s="2">
        <v>42</v>
      </c>
      <c r="T425" t="s">
        <v>297</v>
      </c>
      <c r="U425" t="s">
        <v>326</v>
      </c>
      <c r="V425" t="s">
        <v>301</v>
      </c>
      <c r="W425" s="41">
        <f>IFERROR(VLOOKUP(TA[[#This Row],[Date]],Raw_Data[[Date]:[Sunset Time (POA&lt;20 W/m2)]],3,0),"")</f>
        <v>0.25347222222222221</v>
      </c>
      <c r="X425" s="41">
        <f>IFERROR(VLOOKUP(TA[[#This Row],[Date]],Raw_Data[[Date]:[Sunset Time (POA&lt;20 W/m2)]],3,0),"")</f>
        <v>0.25347222222222221</v>
      </c>
      <c r="Y425" s="34"/>
      <c r="Z425" s="34">
        <v>0.76041666666666663</v>
      </c>
      <c r="AA425" s="35">
        <f>IF(TA[[#This Row],[Work Start time on Fault]]="NA","",(TA[[#This Row],[Fault Acknowledgement Time ]]-TA[[#This Row],[Fault Time]])*24)</f>
        <v>0</v>
      </c>
      <c r="AB425" s="35">
        <f>(TA[[#This Row],[Work Start time on Fault]]-TA[[#This Row],[Fault Time]])*24</f>
        <v>-6.083333333333333</v>
      </c>
      <c r="AC425" s="34">
        <f>(TA[[#This Row],[Work Completion time on fault]]-TA[[#This Row],[Fault Time]])*24</f>
        <v>12.166666666666666</v>
      </c>
      <c r="AD425" s="35">
        <f>IFERROR((TA[[#This Row],[Work Completion time on fault]]-TA[[#This Row],[Fault Time]])*24,"")</f>
        <v>12.166666666666666</v>
      </c>
      <c r="AE425" t="s">
        <v>309</v>
      </c>
      <c r="AF425" t="s">
        <v>256</v>
      </c>
      <c r="AG425" s="2"/>
      <c r="AH425" s="44">
        <f>1-COS(RADIANS(TA[[#This Row],[Avg. Target Angle during Fault Time (Radians)]]-TA[[#This Row],[Angle of affected equipment ]]))</f>
        <v>0.11705240714107301</v>
      </c>
      <c r="AI425" s="35">
        <f>IFERROR(TA[[#This Row],[Breakdown Time]]*TA[[#This Row],[Plant Equivalent Weightage]],"")</f>
        <v>6.9923371647509586E-2</v>
      </c>
    </row>
    <row r="426" spans="1:35">
      <c r="A426" s="2">
        <f t="shared" si="23"/>
        <v>423</v>
      </c>
      <c r="B426" s="156">
        <f t="shared" si="21"/>
        <v>2026</v>
      </c>
      <c r="C426" s="129">
        <f t="shared" si="22"/>
        <v>2025</v>
      </c>
      <c r="D426" s="2" t="s">
        <v>155</v>
      </c>
      <c r="E426" s="2" t="s">
        <v>155</v>
      </c>
      <c r="F426" s="39">
        <v>45748</v>
      </c>
      <c r="G426" s="2">
        <f>DAY(EOMONTH(TA[[#This Row],[Month Year]],0))</f>
        <v>30</v>
      </c>
      <c r="H426" s="21">
        <v>45774</v>
      </c>
      <c r="I426" s="41">
        <f>IFERROR(VLOOKUP(TA[[#This Row],[Date]],Raw_Data[[Date]:[Sunset Time (POA&lt;20 W/m2)]],3,0),"")</f>
        <v>0.27083333333333331</v>
      </c>
      <c r="J426" s="41">
        <f>IFERROR(VLOOKUP(TA[[#This Row],[Date]],Raw_Data[[Date]:[Sunset Time (POA&lt;20 W/m2)]],4,0),"")</f>
        <v>0.72916666666666663</v>
      </c>
      <c r="K426" s="35">
        <f>IFERROR((TA[[#This Row],[Sunset Time (POA&lt;20 W/m2)]]-TA[[#This Row],[Sunrise Time (POA&gt;20 W/m2)]])*24,"")</f>
        <v>11</v>
      </c>
      <c r="L426" s="2" t="s">
        <v>294</v>
      </c>
      <c r="M426" s="42">
        <f>IFERROR(VLOOKUP(TA[[#This Row],[Affected Equipment]],'Basic Data'!$I$2:$K$40,3,0),"")</f>
        <v>1.7241379310344799E-3</v>
      </c>
      <c r="N426">
        <v>-28</v>
      </c>
      <c r="O426" t="s">
        <v>135</v>
      </c>
      <c r="P426" s="127" t="s">
        <v>318</v>
      </c>
      <c r="Q426" s="126" t="s">
        <v>318</v>
      </c>
      <c r="R426">
        <v>130</v>
      </c>
      <c r="S426" s="2">
        <v>37</v>
      </c>
      <c r="T426" t="s">
        <v>295</v>
      </c>
      <c r="U426" t="s">
        <v>300</v>
      </c>
      <c r="V426" t="s">
        <v>298</v>
      </c>
      <c r="W426" s="41"/>
      <c r="X426" s="41"/>
      <c r="Y426" s="34"/>
      <c r="Z426" s="34"/>
      <c r="AA426" s="35">
        <f>IF(TA[[#This Row],[Work Start time on Fault]]="NA","",(TA[[#This Row],[Fault Acknowledgement Time ]]-TA[[#This Row],[Fault Time]])*24)</f>
        <v>0</v>
      </c>
      <c r="AB426" s="35">
        <f>(TA[[#This Row],[Work Start time on Fault]]-TA[[#This Row],[Fault Time]])*24</f>
        <v>0</v>
      </c>
      <c r="AC426" s="34">
        <f>(TA[[#This Row],[Work Completion time on fault]]-TA[[#This Row],[Fault Time]])*24</f>
        <v>0</v>
      </c>
      <c r="AD426" s="35">
        <f>IFERROR((TA[[#This Row],[Work Completion time on fault]]-TA[[#This Row],[Fault Time]])*24,"")</f>
        <v>0</v>
      </c>
      <c r="AE426" t="s">
        <v>328</v>
      </c>
      <c r="AF426" t="s">
        <v>256</v>
      </c>
      <c r="AG426" s="2"/>
      <c r="AH426" s="44">
        <f>1-COS(RADIANS(TA[[#This Row],[Avg. Target Angle during Fault Time (Radians)]]-TA[[#This Row],[Angle of affected equipment ]]))</f>
        <v>0.11705240714107301</v>
      </c>
      <c r="AI426" s="35">
        <f>IFERROR(TA[[#This Row],[Breakdown Time]]*TA[[#This Row],[Plant Equivalent Weightage]],"")</f>
        <v>0</v>
      </c>
    </row>
    <row r="427" spans="1:35">
      <c r="A427" s="2">
        <f t="shared" si="23"/>
        <v>424</v>
      </c>
      <c r="B427" s="156">
        <f t="shared" si="21"/>
        <v>2026</v>
      </c>
      <c r="C427" s="129">
        <f t="shared" si="22"/>
        <v>2025</v>
      </c>
      <c r="D427" s="2" t="s">
        <v>155</v>
      </c>
      <c r="E427" s="2" t="s">
        <v>155</v>
      </c>
      <c r="F427" s="39">
        <v>45748</v>
      </c>
      <c r="G427" s="2">
        <f>DAY(EOMONTH(TA[[#This Row],[Month Year]],0))</f>
        <v>30</v>
      </c>
      <c r="H427" s="21">
        <v>45774</v>
      </c>
      <c r="I427" s="41">
        <f>IFERROR(VLOOKUP(TA[[#This Row],[Date]],Raw_Data[[Date]:[Sunset Time (POA&lt;20 W/m2)]],3,0),"")</f>
        <v>0.27083333333333331</v>
      </c>
      <c r="J427" s="41">
        <f>IFERROR(VLOOKUP(TA[[#This Row],[Date]],Raw_Data[[Date]:[Sunset Time (POA&lt;20 W/m2)]],4,0),"")</f>
        <v>0.72916666666666663</v>
      </c>
      <c r="K427" s="35">
        <f>IFERROR((TA[[#This Row],[Sunset Time (POA&lt;20 W/m2)]]-TA[[#This Row],[Sunrise Time (POA&gt;20 W/m2)]])*24,"")</f>
        <v>11</v>
      </c>
      <c r="L427" s="2" t="s">
        <v>294</v>
      </c>
      <c r="M427" s="42">
        <f>IFERROR(VLOOKUP(TA[[#This Row],[Affected Equipment]],'Basic Data'!$I$2:$K$40,3,0),"")</f>
        <v>1.7241379310344799E-3</v>
      </c>
      <c r="N427">
        <v>-28</v>
      </c>
      <c r="O427" t="s">
        <v>135</v>
      </c>
      <c r="P427" s="127" t="s">
        <v>318</v>
      </c>
      <c r="Q427" s="126" t="s">
        <v>318</v>
      </c>
      <c r="R427">
        <v>131</v>
      </c>
      <c r="S427" s="2">
        <v>38</v>
      </c>
      <c r="T427" t="s">
        <v>295</v>
      </c>
      <c r="U427" t="s">
        <v>300</v>
      </c>
      <c r="V427" t="s">
        <v>298</v>
      </c>
      <c r="W427" s="41"/>
      <c r="X427" s="41"/>
      <c r="Y427" s="34"/>
      <c r="Z427" s="34"/>
      <c r="AA427" s="35">
        <f>IF(TA[[#This Row],[Work Start time on Fault]]="NA","",(TA[[#This Row],[Fault Acknowledgement Time ]]-TA[[#This Row],[Fault Time]])*24)</f>
        <v>0</v>
      </c>
      <c r="AB427" s="35">
        <f>(TA[[#This Row],[Work Start time on Fault]]-TA[[#This Row],[Fault Time]])*24</f>
        <v>0</v>
      </c>
      <c r="AC427" s="34">
        <f>(TA[[#This Row],[Work Completion time on fault]]-TA[[#This Row],[Fault Time]])*24</f>
        <v>0</v>
      </c>
      <c r="AD427" s="35">
        <f>IFERROR((TA[[#This Row],[Work Completion time on fault]]-TA[[#This Row],[Fault Time]])*24,"")</f>
        <v>0</v>
      </c>
      <c r="AE427" t="s">
        <v>328</v>
      </c>
      <c r="AF427" t="s">
        <v>256</v>
      </c>
      <c r="AG427" s="2"/>
      <c r="AH427" s="44">
        <f>1-COS(RADIANS(TA[[#This Row],[Avg. Target Angle during Fault Time (Radians)]]-TA[[#This Row],[Angle of affected equipment ]]))</f>
        <v>0.11705240714107301</v>
      </c>
      <c r="AI427" s="35">
        <f>IFERROR(TA[[#This Row],[Breakdown Time]]*TA[[#This Row],[Plant Equivalent Weightage]],"")</f>
        <v>0</v>
      </c>
    </row>
    <row r="428" spans="1:35">
      <c r="A428" s="2">
        <f t="shared" si="23"/>
        <v>425</v>
      </c>
      <c r="B428" s="156">
        <f t="shared" si="21"/>
        <v>2026</v>
      </c>
      <c r="C428" s="129">
        <f t="shared" si="22"/>
        <v>2025</v>
      </c>
      <c r="D428" s="2" t="s">
        <v>155</v>
      </c>
      <c r="E428" s="2" t="s">
        <v>155</v>
      </c>
      <c r="F428" s="39">
        <v>45748</v>
      </c>
      <c r="G428" s="2">
        <f>DAY(EOMONTH(TA[[#This Row],[Month Year]],0))</f>
        <v>30</v>
      </c>
      <c r="H428" s="21">
        <v>45774</v>
      </c>
      <c r="I428" s="41">
        <f>IFERROR(VLOOKUP(TA[[#This Row],[Date]],Raw_Data[[Date]:[Sunset Time (POA&lt;20 W/m2)]],3,0),"")</f>
        <v>0.27083333333333331</v>
      </c>
      <c r="J428" s="41">
        <f>IFERROR(VLOOKUP(TA[[#This Row],[Date]],Raw_Data[[Date]:[Sunset Time (POA&lt;20 W/m2)]],4,0),"")</f>
        <v>0.72916666666666663</v>
      </c>
      <c r="K428" s="35">
        <f>IFERROR((TA[[#This Row],[Sunset Time (POA&lt;20 W/m2)]]-TA[[#This Row],[Sunrise Time (POA&gt;20 W/m2)]])*24,"")</f>
        <v>11</v>
      </c>
      <c r="L428" s="2" t="s">
        <v>294</v>
      </c>
      <c r="M428" s="42">
        <f>IFERROR(VLOOKUP(TA[[#This Row],[Affected Equipment]],'Basic Data'!$I$2:$K$40,3,0),"")</f>
        <v>1.7241379310344799E-3</v>
      </c>
      <c r="N428">
        <v>-28</v>
      </c>
      <c r="O428" t="s">
        <v>135</v>
      </c>
      <c r="P428" s="127" t="s">
        <v>318</v>
      </c>
      <c r="Q428" s="126" t="s">
        <v>318</v>
      </c>
      <c r="R428">
        <v>131</v>
      </c>
      <c r="S428" s="2">
        <v>39</v>
      </c>
      <c r="T428" t="s">
        <v>295</v>
      </c>
      <c r="U428" t="s">
        <v>300</v>
      </c>
      <c r="V428" t="s">
        <v>298</v>
      </c>
      <c r="W428" s="41"/>
      <c r="X428" s="41"/>
      <c r="Y428" s="34"/>
      <c r="Z428" s="34"/>
      <c r="AA428" s="35">
        <f>IF(TA[[#This Row],[Work Start time on Fault]]="NA","",(TA[[#This Row],[Fault Acknowledgement Time ]]-TA[[#This Row],[Fault Time]])*24)</f>
        <v>0</v>
      </c>
      <c r="AB428" s="35">
        <f>(TA[[#This Row],[Work Start time on Fault]]-TA[[#This Row],[Fault Time]])*24</f>
        <v>0</v>
      </c>
      <c r="AC428" s="34">
        <f>(TA[[#This Row],[Work Completion time on fault]]-TA[[#This Row],[Fault Time]])*24</f>
        <v>0</v>
      </c>
      <c r="AD428" s="35">
        <f>IFERROR((TA[[#This Row],[Work Completion time on fault]]-TA[[#This Row],[Fault Time]])*24,"")</f>
        <v>0</v>
      </c>
      <c r="AE428" t="s">
        <v>328</v>
      </c>
      <c r="AF428" t="s">
        <v>256</v>
      </c>
      <c r="AG428" s="2"/>
      <c r="AH428" s="44">
        <f>1-COS(RADIANS(TA[[#This Row],[Avg. Target Angle during Fault Time (Radians)]]-TA[[#This Row],[Angle of affected equipment ]]))</f>
        <v>0.11705240714107301</v>
      </c>
      <c r="AI428" s="35">
        <f>IFERROR(TA[[#This Row],[Breakdown Time]]*TA[[#This Row],[Plant Equivalent Weightage]],"")</f>
        <v>0</v>
      </c>
    </row>
    <row r="429" spans="1:35">
      <c r="A429" s="2">
        <f t="shared" si="23"/>
        <v>426</v>
      </c>
      <c r="B429" s="156">
        <f t="shared" si="21"/>
        <v>2026</v>
      </c>
      <c r="C429" s="129">
        <f t="shared" si="22"/>
        <v>2025</v>
      </c>
      <c r="D429" s="2" t="s">
        <v>155</v>
      </c>
      <c r="E429" s="2" t="s">
        <v>155</v>
      </c>
      <c r="F429" s="39">
        <v>45748</v>
      </c>
      <c r="G429" s="2">
        <f>DAY(EOMONTH(TA[[#This Row],[Month Year]],0))</f>
        <v>30</v>
      </c>
      <c r="H429" s="21">
        <v>45774</v>
      </c>
      <c r="I429" s="41">
        <f>IFERROR(VLOOKUP(TA[[#This Row],[Date]],Raw_Data[[Date]:[Sunset Time (POA&lt;20 W/m2)]],3,0),"")</f>
        <v>0.27083333333333331</v>
      </c>
      <c r="J429" s="41">
        <f>IFERROR(VLOOKUP(TA[[#This Row],[Date]],Raw_Data[[Date]:[Sunset Time (POA&lt;20 W/m2)]],4,0),"")</f>
        <v>0.72916666666666663</v>
      </c>
      <c r="K429" s="35">
        <f>IFERROR((TA[[#This Row],[Sunset Time (POA&lt;20 W/m2)]]-TA[[#This Row],[Sunrise Time (POA&gt;20 W/m2)]])*24,"")</f>
        <v>11</v>
      </c>
      <c r="L429" s="2" t="s">
        <v>296</v>
      </c>
      <c r="M429" s="42">
        <f>IFERROR(VLOOKUP(TA[[#This Row],[Affected Equipment]],'Basic Data'!$I$2:$K$40,3,0),"")</f>
        <v>8.6206896551724102E-3</v>
      </c>
      <c r="N429">
        <v>-28</v>
      </c>
      <c r="O429" t="s">
        <v>135</v>
      </c>
      <c r="P429" s="127" t="s">
        <v>318</v>
      </c>
      <c r="Q429" s="2" t="s">
        <v>321</v>
      </c>
      <c r="R429">
        <v>133</v>
      </c>
      <c r="S429" s="2">
        <v>26</v>
      </c>
      <c r="T429" t="s">
        <v>297</v>
      </c>
      <c r="U429" t="s">
        <v>300</v>
      </c>
      <c r="V429" t="s">
        <v>314</v>
      </c>
      <c r="W429" s="41">
        <f>IFERROR(VLOOKUP(TA[[#This Row],[Date]],Raw_Data[[Date]:[Sunset Time (POA&lt;20 W/m2)]],3,0),"")</f>
        <v>0.27083333333333331</v>
      </c>
      <c r="X429" s="41">
        <f>IFERROR(VLOOKUP(TA[[#This Row],[Date]],Raw_Data[[Date]:[Sunset Time (POA&lt;20 W/m2)]],3,0),"")</f>
        <v>0.27083333333333331</v>
      </c>
      <c r="Y429" s="34"/>
      <c r="Z429" s="34">
        <v>0.76041666666666663</v>
      </c>
      <c r="AA429" s="35">
        <f>IF(TA[[#This Row],[Work Start time on Fault]]="NA","",(TA[[#This Row],[Fault Acknowledgement Time ]]-TA[[#This Row],[Fault Time]])*24)</f>
        <v>0</v>
      </c>
      <c r="AB429" s="35">
        <f>(TA[[#This Row],[Work Start time on Fault]]-TA[[#This Row],[Fault Time]])*24</f>
        <v>-6.5</v>
      </c>
      <c r="AC429" s="34">
        <f>(TA[[#This Row],[Work Completion time on fault]]-TA[[#This Row],[Fault Time]])*24</f>
        <v>11.75</v>
      </c>
      <c r="AD429" s="35">
        <f>IFERROR((TA[[#This Row],[Work Completion time on fault]]-TA[[#This Row],[Fault Time]])*24,"")</f>
        <v>11.75</v>
      </c>
      <c r="AE429" t="s">
        <v>328</v>
      </c>
      <c r="AF429" t="s">
        <v>256</v>
      </c>
      <c r="AG429" s="2"/>
      <c r="AH429" s="44">
        <f>1-COS(RADIANS(TA[[#This Row],[Avg. Target Angle during Fault Time (Radians)]]-TA[[#This Row],[Angle of affected equipment ]]))</f>
        <v>0.11705240714107301</v>
      </c>
      <c r="AI429" s="35">
        <f>IFERROR(TA[[#This Row],[Breakdown Time]]*TA[[#This Row],[Plant Equivalent Weightage]],"")</f>
        <v>0.10129310344827581</v>
      </c>
    </row>
    <row r="430" spans="1:35">
      <c r="A430" s="2">
        <f t="shared" si="23"/>
        <v>427</v>
      </c>
      <c r="B430" s="156">
        <f t="shared" si="21"/>
        <v>2026</v>
      </c>
      <c r="C430" s="129">
        <f t="shared" si="22"/>
        <v>2025</v>
      </c>
      <c r="D430" s="2" t="s">
        <v>155</v>
      </c>
      <c r="E430" s="2" t="s">
        <v>155</v>
      </c>
      <c r="F430" s="39">
        <v>45748</v>
      </c>
      <c r="G430" s="2">
        <f>DAY(EOMONTH(TA[[#This Row],[Month Year]],0))</f>
        <v>30</v>
      </c>
      <c r="H430" s="21">
        <v>45774</v>
      </c>
      <c r="I430" s="41">
        <f>IFERROR(VLOOKUP(TA[[#This Row],[Date]],Raw_Data[[Date]:[Sunset Time (POA&lt;20 W/m2)]],3,0),"")</f>
        <v>0.27083333333333331</v>
      </c>
      <c r="J430" s="41">
        <f>IFERROR(VLOOKUP(TA[[#This Row],[Date]],Raw_Data[[Date]:[Sunset Time (POA&lt;20 W/m2)]],4,0),"")</f>
        <v>0.72916666666666663</v>
      </c>
      <c r="K430" s="35">
        <f>IFERROR((TA[[#This Row],[Sunset Time (POA&lt;20 W/m2)]]-TA[[#This Row],[Sunrise Time (POA&gt;20 W/m2)]])*24,"")</f>
        <v>11</v>
      </c>
      <c r="L430" s="2" t="s">
        <v>294</v>
      </c>
      <c r="M430" s="42">
        <f>IFERROR(VLOOKUP(TA[[#This Row],[Affected Equipment]],'Basic Data'!$I$2:$K$40,3,0),"")</f>
        <v>1.7241379310344799E-3</v>
      </c>
      <c r="N430">
        <v>-28</v>
      </c>
      <c r="O430" t="s">
        <v>133</v>
      </c>
      <c r="P430" s="127" t="s">
        <v>316</v>
      </c>
      <c r="Q430" s="126" t="s">
        <v>317</v>
      </c>
      <c r="R430">
        <v>7</v>
      </c>
      <c r="S430" s="2">
        <v>32</v>
      </c>
      <c r="T430" t="s">
        <v>295</v>
      </c>
      <c r="U430" t="s">
        <v>300</v>
      </c>
      <c r="V430" t="s">
        <v>298</v>
      </c>
      <c r="W430" s="41"/>
      <c r="X430" s="41"/>
      <c r="Y430" s="34"/>
      <c r="Z430" s="34"/>
      <c r="AA430" s="35">
        <f>IF(TA[[#This Row],[Work Start time on Fault]]="NA","",(TA[[#This Row],[Fault Acknowledgement Time ]]-TA[[#This Row],[Fault Time]])*24)</f>
        <v>0</v>
      </c>
      <c r="AB430" s="35">
        <f>(TA[[#This Row],[Work Start time on Fault]]-TA[[#This Row],[Fault Time]])*24</f>
        <v>0</v>
      </c>
      <c r="AC430" s="34">
        <f>(TA[[#This Row],[Work Completion time on fault]]-TA[[#This Row],[Fault Time]])*24</f>
        <v>0</v>
      </c>
      <c r="AD430" s="35">
        <f>IFERROR((TA[[#This Row],[Work Completion time on fault]]-TA[[#This Row],[Fault Time]])*24,"")</f>
        <v>0</v>
      </c>
      <c r="AE430" t="s">
        <v>328</v>
      </c>
      <c r="AF430" t="s">
        <v>256</v>
      </c>
      <c r="AG430" s="2"/>
      <c r="AH430" s="44">
        <f>1-COS(RADIANS(TA[[#This Row],[Avg. Target Angle during Fault Time (Radians)]]-TA[[#This Row],[Angle of affected equipment ]]))</f>
        <v>0.11705240714107301</v>
      </c>
      <c r="AI430" s="35">
        <f>IFERROR(TA[[#This Row],[Breakdown Time]]*TA[[#This Row],[Plant Equivalent Weightage]],"")</f>
        <v>0</v>
      </c>
    </row>
    <row r="431" spans="1:35">
      <c r="A431" s="2">
        <f t="shared" si="23"/>
        <v>428</v>
      </c>
      <c r="B431" s="156">
        <f t="shared" si="21"/>
        <v>2026</v>
      </c>
      <c r="C431" s="129">
        <f t="shared" si="22"/>
        <v>2025</v>
      </c>
      <c r="D431" s="2" t="s">
        <v>155</v>
      </c>
      <c r="E431" s="2" t="s">
        <v>155</v>
      </c>
      <c r="F431" s="39">
        <v>45748</v>
      </c>
      <c r="G431" s="2">
        <f>DAY(EOMONTH(TA[[#This Row],[Month Year]],0))</f>
        <v>30</v>
      </c>
      <c r="H431" s="21">
        <v>45774</v>
      </c>
      <c r="I431" s="41">
        <f>IFERROR(VLOOKUP(TA[[#This Row],[Date]],Raw_Data[[Date]:[Sunset Time (POA&lt;20 W/m2)]],3,0),"")</f>
        <v>0.27083333333333331</v>
      </c>
      <c r="J431" s="41">
        <f>IFERROR(VLOOKUP(TA[[#This Row],[Date]],Raw_Data[[Date]:[Sunset Time (POA&lt;20 W/m2)]],4,0),"")</f>
        <v>0.72916666666666663</v>
      </c>
      <c r="K431" s="35">
        <f>IFERROR((TA[[#This Row],[Sunset Time (POA&lt;20 W/m2)]]-TA[[#This Row],[Sunrise Time (POA&gt;20 W/m2)]])*24,"")</f>
        <v>11</v>
      </c>
      <c r="L431" s="2" t="s">
        <v>294</v>
      </c>
      <c r="M431" s="42">
        <f>IFERROR(VLOOKUP(TA[[#This Row],[Affected Equipment]],'Basic Data'!$I$2:$K$40,3,0),"")</f>
        <v>1.7241379310344799E-3</v>
      </c>
      <c r="N431">
        <v>-28</v>
      </c>
      <c r="O431" t="s">
        <v>137</v>
      </c>
      <c r="P431" s="127" t="s">
        <v>315</v>
      </c>
      <c r="Q431" s="126" t="s">
        <v>319</v>
      </c>
      <c r="R431">
        <v>166</v>
      </c>
      <c r="S431" s="2">
        <v>91</v>
      </c>
      <c r="T431" t="s">
        <v>295</v>
      </c>
      <c r="U431" t="s">
        <v>300</v>
      </c>
      <c r="V431" t="s">
        <v>298</v>
      </c>
      <c r="W431" s="41"/>
      <c r="X431" s="41"/>
      <c r="Y431" s="34"/>
      <c r="Z431" s="34"/>
      <c r="AA431" s="35">
        <f>IF(TA[[#This Row],[Work Start time on Fault]]="NA","",(TA[[#This Row],[Fault Acknowledgement Time ]]-TA[[#This Row],[Fault Time]])*24)</f>
        <v>0</v>
      </c>
      <c r="AB431" s="35">
        <f>(TA[[#This Row],[Work Start time on Fault]]-TA[[#This Row],[Fault Time]])*24</f>
        <v>0</v>
      </c>
      <c r="AC431" s="34">
        <f>(TA[[#This Row],[Work Completion time on fault]]-TA[[#This Row],[Fault Time]])*24</f>
        <v>0</v>
      </c>
      <c r="AD431" s="35">
        <f>IFERROR((TA[[#This Row],[Work Completion time on fault]]-TA[[#This Row],[Fault Time]])*24,"")</f>
        <v>0</v>
      </c>
      <c r="AE431" t="s">
        <v>328</v>
      </c>
      <c r="AF431" t="s">
        <v>256</v>
      </c>
      <c r="AG431" s="2"/>
      <c r="AH431" s="44">
        <f>1-COS(RADIANS(TA[[#This Row],[Avg. Target Angle during Fault Time (Radians)]]-TA[[#This Row],[Angle of affected equipment ]]))</f>
        <v>0.11705240714107301</v>
      </c>
      <c r="AI431" s="35">
        <f>IFERROR(TA[[#This Row],[Breakdown Time]]*TA[[#This Row],[Plant Equivalent Weightage]],"")</f>
        <v>0</v>
      </c>
    </row>
    <row r="432" spans="1:35">
      <c r="A432" s="2">
        <f t="shared" si="23"/>
        <v>429</v>
      </c>
      <c r="B432" s="156">
        <f t="shared" si="21"/>
        <v>2026</v>
      </c>
      <c r="C432" s="129">
        <f t="shared" si="22"/>
        <v>2025</v>
      </c>
      <c r="D432" s="2" t="s">
        <v>155</v>
      </c>
      <c r="E432" s="2" t="s">
        <v>155</v>
      </c>
      <c r="F432" s="39">
        <v>45748</v>
      </c>
      <c r="G432" s="2">
        <f>DAY(EOMONTH(TA[[#This Row],[Month Year]],0))</f>
        <v>30</v>
      </c>
      <c r="H432" s="21">
        <v>45774</v>
      </c>
      <c r="I432" s="41">
        <f>IFERROR(VLOOKUP(TA[[#This Row],[Date]],Raw_Data[[Date]:[Sunset Time (POA&lt;20 W/m2)]],3,0),"")</f>
        <v>0.27083333333333331</v>
      </c>
      <c r="J432" s="41">
        <f>IFERROR(VLOOKUP(TA[[#This Row],[Date]],Raw_Data[[Date]:[Sunset Time (POA&lt;20 W/m2)]],4,0),"")</f>
        <v>0.72916666666666663</v>
      </c>
      <c r="K432" s="35">
        <f>IFERROR((TA[[#This Row],[Sunset Time (POA&lt;20 W/m2)]]-TA[[#This Row],[Sunrise Time (POA&gt;20 W/m2)]])*24,"")</f>
        <v>11</v>
      </c>
      <c r="L432" s="2" t="s">
        <v>294</v>
      </c>
      <c r="M432" s="42">
        <f>IFERROR(VLOOKUP(TA[[#This Row],[Affected Equipment]],'Basic Data'!$I$2:$K$40,3,0),"")</f>
        <v>1.7241379310344799E-3</v>
      </c>
      <c r="N432">
        <v>-28</v>
      </c>
      <c r="O432" t="s">
        <v>133</v>
      </c>
      <c r="P432" s="127" t="s">
        <v>316</v>
      </c>
      <c r="Q432" s="126" t="s">
        <v>316</v>
      </c>
      <c r="R432">
        <v>117</v>
      </c>
      <c r="S432" s="2">
        <v>20</v>
      </c>
      <c r="T432" t="s">
        <v>295</v>
      </c>
      <c r="U432" t="s">
        <v>300</v>
      </c>
      <c r="V432" t="s">
        <v>298</v>
      </c>
      <c r="W432" s="41"/>
      <c r="X432" s="41"/>
      <c r="Y432" s="34"/>
      <c r="Z432" s="34"/>
      <c r="AA432" s="35">
        <f>IF(TA[[#This Row],[Work Start time on Fault]]="NA","",(TA[[#This Row],[Fault Acknowledgement Time ]]-TA[[#This Row],[Fault Time]])*24)</f>
        <v>0</v>
      </c>
      <c r="AB432" s="35">
        <f>(TA[[#This Row],[Work Start time on Fault]]-TA[[#This Row],[Fault Time]])*24</f>
        <v>0</v>
      </c>
      <c r="AC432" s="34">
        <f>(TA[[#This Row],[Work Completion time on fault]]-TA[[#This Row],[Fault Time]])*24</f>
        <v>0</v>
      </c>
      <c r="AD432" s="35">
        <f>IFERROR((TA[[#This Row],[Work Completion time on fault]]-TA[[#This Row],[Fault Time]])*24,"")</f>
        <v>0</v>
      </c>
      <c r="AE432" t="s">
        <v>328</v>
      </c>
      <c r="AF432" t="s">
        <v>256</v>
      </c>
      <c r="AG432" s="2"/>
      <c r="AH432" s="44">
        <f>1-COS(RADIANS(TA[[#This Row],[Avg. Target Angle during Fault Time (Radians)]]-TA[[#This Row],[Angle of affected equipment ]]))</f>
        <v>0.11705240714107301</v>
      </c>
      <c r="AI432" s="35">
        <f>IFERROR(TA[[#This Row],[Breakdown Time]]*TA[[#This Row],[Plant Equivalent Weightage]],"")</f>
        <v>0</v>
      </c>
    </row>
    <row r="433" spans="1:35">
      <c r="A433" s="2">
        <f t="shared" si="23"/>
        <v>430</v>
      </c>
      <c r="B433" s="156">
        <f t="shared" si="21"/>
        <v>2026</v>
      </c>
      <c r="C433" s="129">
        <f t="shared" si="22"/>
        <v>2025</v>
      </c>
      <c r="D433" s="2" t="s">
        <v>155</v>
      </c>
      <c r="E433" s="2" t="s">
        <v>155</v>
      </c>
      <c r="F433" s="39">
        <v>45748</v>
      </c>
      <c r="G433" s="2">
        <f>DAY(EOMONTH(TA[[#This Row],[Month Year]],0))</f>
        <v>30</v>
      </c>
      <c r="H433" s="21">
        <v>45774</v>
      </c>
      <c r="I433" s="41">
        <f>IFERROR(VLOOKUP(TA[[#This Row],[Date]],Raw_Data[[Date]:[Sunset Time (POA&lt;20 W/m2)]],3,0),"")</f>
        <v>0.27083333333333331</v>
      </c>
      <c r="J433" s="41">
        <f>IFERROR(VLOOKUP(TA[[#This Row],[Date]],Raw_Data[[Date]:[Sunset Time (POA&lt;20 W/m2)]],4,0),"")</f>
        <v>0.72916666666666663</v>
      </c>
      <c r="K433" s="35">
        <f>IFERROR((TA[[#This Row],[Sunset Time (POA&lt;20 W/m2)]]-TA[[#This Row],[Sunrise Time (POA&gt;20 W/m2)]])*24,"")</f>
        <v>11</v>
      </c>
      <c r="L433" s="2" t="s">
        <v>294</v>
      </c>
      <c r="M433" s="42">
        <f>IFERROR(VLOOKUP(TA[[#This Row],[Affected Equipment]],'Basic Data'!$I$2:$K$40,3,0),"")</f>
        <v>1.7241379310344799E-3</v>
      </c>
      <c r="N433">
        <v>-28</v>
      </c>
      <c r="O433" t="s">
        <v>133</v>
      </c>
      <c r="P433" s="127" t="s">
        <v>316</v>
      </c>
      <c r="Q433" s="126" t="s">
        <v>316</v>
      </c>
      <c r="R433">
        <v>118</v>
      </c>
      <c r="S433" s="2">
        <v>22</v>
      </c>
      <c r="T433" t="s">
        <v>295</v>
      </c>
      <c r="U433" t="s">
        <v>300</v>
      </c>
      <c r="V433" t="s">
        <v>298</v>
      </c>
      <c r="W433" s="41"/>
      <c r="X433" s="41"/>
      <c r="Y433" s="34"/>
      <c r="Z433" s="34"/>
      <c r="AA433" s="35">
        <f>IF(TA[[#This Row],[Work Start time on Fault]]="NA","",(TA[[#This Row],[Fault Acknowledgement Time ]]-TA[[#This Row],[Fault Time]])*24)</f>
        <v>0</v>
      </c>
      <c r="AB433" s="35">
        <f>(TA[[#This Row],[Work Start time on Fault]]-TA[[#This Row],[Fault Time]])*24</f>
        <v>0</v>
      </c>
      <c r="AC433" s="34">
        <f>(TA[[#This Row],[Work Completion time on fault]]-TA[[#This Row],[Fault Time]])*24</f>
        <v>0</v>
      </c>
      <c r="AD433" s="35">
        <f>IFERROR((TA[[#This Row],[Work Completion time on fault]]-TA[[#This Row],[Fault Time]])*24,"")</f>
        <v>0</v>
      </c>
      <c r="AE433" t="s">
        <v>328</v>
      </c>
      <c r="AF433" t="s">
        <v>256</v>
      </c>
      <c r="AG433" s="2"/>
      <c r="AH433" s="44">
        <f>1-COS(RADIANS(TA[[#This Row],[Avg. Target Angle during Fault Time (Radians)]]-TA[[#This Row],[Angle of affected equipment ]]))</f>
        <v>0.11705240714107301</v>
      </c>
      <c r="AI433" s="35">
        <f>IFERROR(TA[[#This Row],[Breakdown Time]]*TA[[#This Row],[Plant Equivalent Weightage]],"")</f>
        <v>0</v>
      </c>
    </row>
    <row r="434" spans="1:35">
      <c r="A434" s="2">
        <f t="shared" si="23"/>
        <v>431</v>
      </c>
      <c r="B434" s="156">
        <f t="shared" si="21"/>
        <v>2026</v>
      </c>
      <c r="C434" s="129">
        <f t="shared" si="22"/>
        <v>2025</v>
      </c>
      <c r="D434" s="2" t="s">
        <v>155</v>
      </c>
      <c r="E434" s="2" t="s">
        <v>155</v>
      </c>
      <c r="F434" s="39">
        <v>45748</v>
      </c>
      <c r="G434" s="2">
        <f>DAY(EOMONTH(TA[[#This Row],[Month Year]],0))</f>
        <v>30</v>
      </c>
      <c r="H434" s="21">
        <v>45774</v>
      </c>
      <c r="I434" s="41">
        <f>IFERROR(VLOOKUP(TA[[#This Row],[Date]],Raw_Data[[Date]:[Sunset Time (POA&lt;20 W/m2)]],3,0),"")</f>
        <v>0.27083333333333331</v>
      </c>
      <c r="J434" s="41">
        <f>IFERROR(VLOOKUP(TA[[#This Row],[Date]],Raw_Data[[Date]:[Sunset Time (POA&lt;20 W/m2)]],4,0),"")</f>
        <v>0.72916666666666663</v>
      </c>
      <c r="K434" s="35">
        <f>IFERROR((TA[[#This Row],[Sunset Time (POA&lt;20 W/m2)]]-TA[[#This Row],[Sunrise Time (POA&gt;20 W/m2)]])*24,"")</f>
        <v>11</v>
      </c>
      <c r="L434" s="2" t="s">
        <v>296</v>
      </c>
      <c r="M434" s="42">
        <f>IFERROR(VLOOKUP(TA[[#This Row],[Affected Equipment]],'Basic Data'!$I$2:$K$40,3,0),"")</f>
        <v>8.6206896551724102E-3</v>
      </c>
      <c r="N434">
        <v>-28</v>
      </c>
      <c r="O434" t="s">
        <v>135</v>
      </c>
      <c r="P434" s="22" t="s">
        <v>323</v>
      </c>
      <c r="Q434" s="2" t="s">
        <v>329</v>
      </c>
      <c r="R434">
        <v>45</v>
      </c>
      <c r="S434" s="2">
        <v>8</v>
      </c>
      <c r="T434" t="s">
        <v>297</v>
      </c>
      <c r="U434" t="s">
        <v>326</v>
      </c>
      <c r="V434" t="s">
        <v>301</v>
      </c>
      <c r="W434" s="41"/>
      <c r="X434" s="41"/>
      <c r="Y434" s="34"/>
      <c r="Z434" s="34"/>
      <c r="AA434" s="35">
        <f>IF(TA[[#This Row],[Work Start time on Fault]]="NA","",(TA[[#This Row],[Fault Acknowledgement Time ]]-TA[[#This Row],[Fault Time]])*24)</f>
        <v>0</v>
      </c>
      <c r="AB434" s="35">
        <f>(TA[[#This Row],[Work Start time on Fault]]-TA[[#This Row],[Fault Time]])*24</f>
        <v>0</v>
      </c>
      <c r="AC434" s="34">
        <f>(TA[[#This Row],[Work Completion time on fault]]-TA[[#This Row],[Fault Time]])*24</f>
        <v>0</v>
      </c>
      <c r="AD434" s="35">
        <f>IFERROR((TA[[#This Row],[Work Completion time on fault]]-TA[[#This Row],[Fault Time]])*24,"")</f>
        <v>0</v>
      </c>
      <c r="AE434" t="s">
        <v>328</v>
      </c>
      <c r="AF434" t="s">
        <v>256</v>
      </c>
      <c r="AG434" s="2"/>
      <c r="AH434" s="44">
        <f>1-COS(RADIANS(TA[[#This Row],[Avg. Target Angle during Fault Time (Radians)]]-TA[[#This Row],[Angle of affected equipment ]]))</f>
        <v>0.11705240714107301</v>
      </c>
      <c r="AI434" s="35">
        <f>IFERROR(TA[[#This Row],[Breakdown Time]]*TA[[#This Row],[Plant Equivalent Weightage]],"")</f>
        <v>0</v>
      </c>
    </row>
    <row r="435" spans="1:35">
      <c r="A435" s="2">
        <f t="shared" si="23"/>
        <v>432</v>
      </c>
      <c r="B435" s="156">
        <f t="shared" si="21"/>
        <v>2026</v>
      </c>
      <c r="C435" s="129">
        <f t="shared" si="22"/>
        <v>2025</v>
      </c>
      <c r="D435" s="2" t="s">
        <v>155</v>
      </c>
      <c r="E435" s="2" t="s">
        <v>155</v>
      </c>
      <c r="F435" s="39">
        <v>45748</v>
      </c>
      <c r="G435" s="2">
        <f>DAY(EOMONTH(TA[[#This Row],[Month Year]],0))</f>
        <v>30</v>
      </c>
      <c r="H435" s="21">
        <v>45774</v>
      </c>
      <c r="I435" s="41">
        <f>IFERROR(VLOOKUP(TA[[#This Row],[Date]],Raw_Data[[Date]:[Sunset Time (POA&lt;20 W/m2)]],3,0),"")</f>
        <v>0.27083333333333331</v>
      </c>
      <c r="J435" s="41">
        <f>IFERROR(VLOOKUP(TA[[#This Row],[Date]],Raw_Data[[Date]:[Sunset Time (POA&lt;20 W/m2)]],4,0),"")</f>
        <v>0.72916666666666663</v>
      </c>
      <c r="K435" s="35">
        <f>IFERROR((TA[[#This Row],[Sunset Time (POA&lt;20 W/m2)]]-TA[[#This Row],[Sunrise Time (POA&gt;20 W/m2)]])*24,"")</f>
        <v>11</v>
      </c>
      <c r="L435" s="2" t="s">
        <v>296</v>
      </c>
      <c r="M435" s="42">
        <f>IFERROR(VLOOKUP(TA[[#This Row],[Affected Equipment]],'Basic Data'!$I$2:$K$40,3,0),"")</f>
        <v>8.6206896551724102E-3</v>
      </c>
      <c r="N435">
        <v>-28</v>
      </c>
      <c r="O435" t="s">
        <v>135</v>
      </c>
      <c r="P435" s="22" t="s">
        <v>323</v>
      </c>
      <c r="Q435" s="2" t="s">
        <v>329</v>
      </c>
      <c r="R435">
        <v>47</v>
      </c>
      <c r="S435" s="2">
        <v>18</v>
      </c>
      <c r="T435" t="s">
        <v>297</v>
      </c>
      <c r="U435" t="s">
        <v>326</v>
      </c>
      <c r="V435" t="s">
        <v>301</v>
      </c>
      <c r="W435" s="41"/>
      <c r="X435" s="41"/>
      <c r="Y435" s="34"/>
      <c r="Z435" s="34"/>
      <c r="AA435" s="35">
        <f>IF(TA[[#This Row],[Work Start time on Fault]]="NA","",(TA[[#This Row],[Fault Acknowledgement Time ]]-TA[[#This Row],[Fault Time]])*24)</f>
        <v>0</v>
      </c>
      <c r="AB435" s="35">
        <f>(TA[[#This Row],[Work Start time on Fault]]-TA[[#This Row],[Fault Time]])*24</f>
        <v>0</v>
      </c>
      <c r="AC435" s="34">
        <f>(TA[[#This Row],[Work Completion time on fault]]-TA[[#This Row],[Fault Time]])*24</f>
        <v>0</v>
      </c>
      <c r="AD435" s="35">
        <f>IFERROR((TA[[#This Row],[Work Completion time on fault]]-TA[[#This Row],[Fault Time]])*24,"")</f>
        <v>0</v>
      </c>
      <c r="AE435" t="s">
        <v>328</v>
      </c>
      <c r="AF435" t="s">
        <v>256</v>
      </c>
      <c r="AG435" s="2"/>
      <c r="AH435" s="44">
        <f>1-COS(RADIANS(TA[[#This Row],[Avg. Target Angle during Fault Time (Radians)]]-TA[[#This Row],[Angle of affected equipment ]]))</f>
        <v>0.11705240714107301</v>
      </c>
      <c r="AI435" s="35">
        <f>IFERROR(TA[[#This Row],[Breakdown Time]]*TA[[#This Row],[Plant Equivalent Weightage]],"")</f>
        <v>0</v>
      </c>
    </row>
    <row r="436" spans="1:35">
      <c r="A436" s="2">
        <f t="shared" si="23"/>
        <v>433</v>
      </c>
      <c r="B436" s="156">
        <f t="shared" si="21"/>
        <v>2026</v>
      </c>
      <c r="C436" s="129">
        <f t="shared" si="22"/>
        <v>2025</v>
      </c>
      <c r="D436" s="2" t="s">
        <v>155</v>
      </c>
      <c r="E436" s="2" t="s">
        <v>155</v>
      </c>
      <c r="F436" s="39">
        <v>45748</v>
      </c>
      <c r="G436" s="2">
        <f>DAY(EOMONTH(TA[[#This Row],[Month Year]],0))</f>
        <v>30</v>
      </c>
      <c r="H436" s="21">
        <v>45774</v>
      </c>
      <c r="I436" s="41">
        <f>IFERROR(VLOOKUP(TA[[#This Row],[Date]],Raw_Data[[Date]:[Sunset Time (POA&lt;20 W/m2)]],3,0),"")</f>
        <v>0.27083333333333331</v>
      </c>
      <c r="J436" s="41">
        <f>IFERROR(VLOOKUP(TA[[#This Row],[Date]],Raw_Data[[Date]:[Sunset Time (POA&lt;20 W/m2)]],4,0),"")</f>
        <v>0.72916666666666663</v>
      </c>
      <c r="K436" s="35">
        <f>IFERROR((TA[[#This Row],[Sunset Time (POA&lt;20 W/m2)]]-TA[[#This Row],[Sunrise Time (POA&gt;20 W/m2)]])*24,"")</f>
        <v>11</v>
      </c>
      <c r="L436" s="2" t="s">
        <v>296</v>
      </c>
      <c r="M436" s="42">
        <f>IFERROR(VLOOKUP(TA[[#This Row],[Affected Equipment]],'Basic Data'!$I$2:$K$40,3,0),"")</f>
        <v>8.6206896551724102E-3</v>
      </c>
      <c r="N436">
        <v>-28</v>
      </c>
      <c r="O436" t="s">
        <v>134</v>
      </c>
      <c r="P436" s="22" t="s">
        <v>330</v>
      </c>
      <c r="Q436" s="2" t="s">
        <v>323</v>
      </c>
      <c r="R436">
        <v>30</v>
      </c>
      <c r="S436" s="2">
        <v>57</v>
      </c>
      <c r="T436" t="s">
        <v>297</v>
      </c>
      <c r="U436" t="s">
        <v>326</v>
      </c>
      <c r="V436" t="s">
        <v>301</v>
      </c>
      <c r="W436" s="41"/>
      <c r="X436" s="41"/>
      <c r="Y436" s="34"/>
      <c r="Z436" s="34"/>
      <c r="AA436" s="35">
        <f>IF(TA[[#This Row],[Work Start time on Fault]]="NA","",(TA[[#This Row],[Fault Acknowledgement Time ]]-TA[[#This Row],[Fault Time]])*24)</f>
        <v>0</v>
      </c>
      <c r="AB436" s="35">
        <f>(TA[[#This Row],[Work Start time on Fault]]-TA[[#This Row],[Fault Time]])*24</f>
        <v>0</v>
      </c>
      <c r="AC436" s="34">
        <f>(TA[[#This Row],[Work Completion time on fault]]-TA[[#This Row],[Fault Time]])*24</f>
        <v>0</v>
      </c>
      <c r="AD436" s="35">
        <f>IFERROR((TA[[#This Row],[Work Completion time on fault]]-TA[[#This Row],[Fault Time]])*24,"")</f>
        <v>0</v>
      </c>
      <c r="AE436" t="s">
        <v>328</v>
      </c>
      <c r="AF436" t="s">
        <v>256</v>
      </c>
      <c r="AG436" s="2"/>
      <c r="AH436" s="44">
        <f>1-COS(RADIANS(TA[[#This Row],[Avg. Target Angle during Fault Time (Radians)]]-TA[[#This Row],[Angle of affected equipment ]]))</f>
        <v>0.11705240714107301</v>
      </c>
      <c r="AI436" s="35">
        <f>IFERROR(TA[[#This Row],[Breakdown Time]]*TA[[#This Row],[Plant Equivalent Weightage]],"")</f>
        <v>0</v>
      </c>
    </row>
    <row r="437" spans="1:35">
      <c r="A437" s="2">
        <f t="shared" si="23"/>
        <v>434</v>
      </c>
      <c r="B437" s="156">
        <f t="shared" si="21"/>
        <v>2026</v>
      </c>
      <c r="C437" s="129">
        <f t="shared" si="22"/>
        <v>2025</v>
      </c>
      <c r="D437" s="2" t="s">
        <v>155</v>
      </c>
      <c r="E437" s="2" t="s">
        <v>155</v>
      </c>
      <c r="F437" s="39">
        <v>45748</v>
      </c>
      <c r="G437" s="2">
        <f>DAY(EOMONTH(TA[[#This Row],[Month Year]],0))</f>
        <v>30</v>
      </c>
      <c r="H437" s="21">
        <v>45774</v>
      </c>
      <c r="I437" s="41">
        <f>IFERROR(VLOOKUP(TA[[#This Row],[Date]],Raw_Data[[Date]:[Sunset Time (POA&lt;20 W/m2)]],3,0),"")</f>
        <v>0.27083333333333331</v>
      </c>
      <c r="J437" s="41">
        <f>IFERROR(VLOOKUP(TA[[#This Row],[Date]],Raw_Data[[Date]:[Sunset Time (POA&lt;20 W/m2)]],4,0),"")</f>
        <v>0.72916666666666663</v>
      </c>
      <c r="K437" s="35">
        <f>IFERROR((TA[[#This Row],[Sunset Time (POA&lt;20 W/m2)]]-TA[[#This Row],[Sunrise Time (POA&gt;20 W/m2)]])*24,"")</f>
        <v>11</v>
      </c>
      <c r="L437" s="2" t="s">
        <v>296</v>
      </c>
      <c r="M437" s="42">
        <f>IFERROR(VLOOKUP(TA[[#This Row],[Affected Equipment]],'Basic Data'!$I$2:$K$40,3,0),"")</f>
        <v>8.6206896551724102E-3</v>
      </c>
      <c r="N437">
        <v>-28</v>
      </c>
      <c r="O437" t="s">
        <v>134</v>
      </c>
      <c r="P437" s="22" t="s">
        <v>330</v>
      </c>
      <c r="Q437" s="2" t="s">
        <v>323</v>
      </c>
      <c r="R437">
        <v>31</v>
      </c>
      <c r="S437" s="2">
        <v>61</v>
      </c>
      <c r="T437" t="s">
        <v>297</v>
      </c>
      <c r="U437" t="s">
        <v>326</v>
      </c>
      <c r="V437" t="s">
        <v>301</v>
      </c>
      <c r="W437" s="41"/>
      <c r="X437" s="41"/>
      <c r="Y437" s="34"/>
      <c r="Z437" s="34"/>
      <c r="AA437" s="35">
        <f>IF(TA[[#This Row],[Work Start time on Fault]]="NA","",(TA[[#This Row],[Fault Acknowledgement Time ]]-TA[[#This Row],[Fault Time]])*24)</f>
        <v>0</v>
      </c>
      <c r="AB437" s="35">
        <f>(TA[[#This Row],[Work Start time on Fault]]-TA[[#This Row],[Fault Time]])*24</f>
        <v>0</v>
      </c>
      <c r="AC437" s="34">
        <f>(TA[[#This Row],[Work Completion time on fault]]-TA[[#This Row],[Fault Time]])*24</f>
        <v>0</v>
      </c>
      <c r="AD437" s="35">
        <f>IFERROR((TA[[#This Row],[Work Completion time on fault]]-TA[[#This Row],[Fault Time]])*24,"")</f>
        <v>0</v>
      </c>
      <c r="AE437" t="s">
        <v>328</v>
      </c>
      <c r="AF437" t="s">
        <v>256</v>
      </c>
      <c r="AG437" s="2"/>
      <c r="AH437" s="44">
        <f>1-COS(RADIANS(TA[[#This Row],[Avg. Target Angle during Fault Time (Radians)]]-TA[[#This Row],[Angle of affected equipment ]]))</f>
        <v>0.11705240714107301</v>
      </c>
      <c r="AI437" s="35">
        <f>IFERROR(TA[[#This Row],[Breakdown Time]]*TA[[#This Row],[Plant Equivalent Weightage]],"")</f>
        <v>0</v>
      </c>
    </row>
    <row r="438" spans="1:35">
      <c r="A438" s="2">
        <f t="shared" si="23"/>
        <v>435</v>
      </c>
      <c r="B438" s="156">
        <f t="shared" si="21"/>
        <v>2026</v>
      </c>
      <c r="C438" s="129">
        <f t="shared" si="22"/>
        <v>2025</v>
      </c>
      <c r="D438" s="2" t="s">
        <v>155</v>
      </c>
      <c r="E438" s="2" t="s">
        <v>155</v>
      </c>
      <c r="F438" s="39">
        <v>45748</v>
      </c>
      <c r="G438" s="2">
        <f>DAY(EOMONTH(TA[[#This Row],[Month Year]],0))</f>
        <v>30</v>
      </c>
      <c r="H438" s="21">
        <v>45774</v>
      </c>
      <c r="I438" s="41">
        <f>IFERROR(VLOOKUP(TA[[#This Row],[Date]],Raw_Data[[Date]:[Sunset Time (POA&lt;20 W/m2)]],3,0),"")</f>
        <v>0.27083333333333331</v>
      </c>
      <c r="J438" s="41">
        <f>IFERROR(VLOOKUP(TA[[#This Row],[Date]],Raw_Data[[Date]:[Sunset Time (POA&lt;20 W/m2)]],4,0),"")</f>
        <v>0.72916666666666663</v>
      </c>
      <c r="K438" s="35">
        <f>IFERROR((TA[[#This Row],[Sunset Time (POA&lt;20 W/m2)]]-TA[[#This Row],[Sunrise Time (POA&gt;20 W/m2)]])*24,"")</f>
        <v>11</v>
      </c>
      <c r="L438" s="2" t="s">
        <v>312</v>
      </c>
      <c r="M438" s="42">
        <f>IFERROR(VLOOKUP(TA[[#This Row],[Affected Equipment]],'Basic Data'!$I$2:$K$40,3,0),"")</f>
        <v>5.74712643678161E-3</v>
      </c>
      <c r="N438">
        <v>-28</v>
      </c>
      <c r="O438" t="s">
        <v>133</v>
      </c>
      <c r="P438" s="22" t="s">
        <v>330</v>
      </c>
      <c r="Q438" s="2" t="s">
        <v>323</v>
      </c>
      <c r="R438">
        <v>26</v>
      </c>
      <c r="S438" s="2">
        <v>37</v>
      </c>
      <c r="T438" t="s">
        <v>297</v>
      </c>
      <c r="U438" t="s">
        <v>326</v>
      </c>
      <c r="V438" t="s">
        <v>301</v>
      </c>
      <c r="W438" s="41"/>
      <c r="X438" s="41"/>
      <c r="Y438" s="34"/>
      <c r="Z438" s="34"/>
      <c r="AA438" s="35">
        <f>IF(TA[[#This Row],[Work Start time on Fault]]="NA","",(TA[[#This Row],[Fault Acknowledgement Time ]]-TA[[#This Row],[Fault Time]])*24)</f>
        <v>0</v>
      </c>
      <c r="AB438" s="35">
        <f>(TA[[#This Row],[Work Start time on Fault]]-TA[[#This Row],[Fault Time]])*24</f>
        <v>0</v>
      </c>
      <c r="AC438" s="34">
        <f>(TA[[#This Row],[Work Completion time on fault]]-TA[[#This Row],[Fault Time]])*24</f>
        <v>0</v>
      </c>
      <c r="AD438" s="35">
        <f>IFERROR((TA[[#This Row],[Work Completion time on fault]]-TA[[#This Row],[Fault Time]])*24,"")</f>
        <v>0</v>
      </c>
      <c r="AE438" t="s">
        <v>328</v>
      </c>
      <c r="AF438" t="s">
        <v>256</v>
      </c>
      <c r="AG438" s="2"/>
      <c r="AH438" s="44">
        <f>1-COS(RADIANS(TA[[#This Row],[Avg. Target Angle during Fault Time (Radians)]]-TA[[#This Row],[Angle of affected equipment ]]))</f>
        <v>0.11705240714107301</v>
      </c>
      <c r="AI438" s="35">
        <f>IFERROR(TA[[#This Row],[Breakdown Time]]*TA[[#This Row],[Plant Equivalent Weightage]],"")</f>
        <v>0</v>
      </c>
    </row>
    <row r="439" spans="1:35">
      <c r="A439" s="2">
        <f t="shared" si="23"/>
        <v>436</v>
      </c>
      <c r="B439" s="156">
        <f t="shared" si="21"/>
        <v>2026</v>
      </c>
      <c r="C439" s="129">
        <f t="shared" si="22"/>
        <v>2025</v>
      </c>
      <c r="D439" s="2" t="s">
        <v>155</v>
      </c>
      <c r="E439" s="2" t="s">
        <v>155</v>
      </c>
      <c r="F439" s="39">
        <v>45748</v>
      </c>
      <c r="G439" s="2">
        <f>DAY(EOMONTH(TA[[#This Row],[Month Year]],0))</f>
        <v>30</v>
      </c>
      <c r="H439" s="21">
        <v>45774</v>
      </c>
      <c r="I439" s="41">
        <f>IFERROR(VLOOKUP(TA[[#This Row],[Date]],Raw_Data[[Date]:[Sunset Time (POA&lt;20 W/m2)]],3,0),"")</f>
        <v>0.27083333333333331</v>
      </c>
      <c r="J439" s="41">
        <f>IFERROR(VLOOKUP(TA[[#This Row],[Date]],Raw_Data[[Date]:[Sunset Time (POA&lt;20 W/m2)]],4,0),"")</f>
        <v>0.72916666666666663</v>
      </c>
      <c r="K439" s="35">
        <f>IFERROR((TA[[#This Row],[Sunset Time (POA&lt;20 W/m2)]]-TA[[#This Row],[Sunrise Time (POA&gt;20 W/m2)]])*24,"")</f>
        <v>11</v>
      </c>
      <c r="L439" s="2" t="s">
        <v>312</v>
      </c>
      <c r="M439" s="42">
        <f>IFERROR(VLOOKUP(TA[[#This Row],[Affected Equipment]],'Basic Data'!$I$2:$K$40,3,0),"")</f>
        <v>5.74712643678161E-3</v>
      </c>
      <c r="N439">
        <v>-28</v>
      </c>
      <c r="O439" t="s">
        <v>133</v>
      </c>
      <c r="P439" s="22" t="s">
        <v>330</v>
      </c>
      <c r="Q439" s="2" t="s">
        <v>323</v>
      </c>
      <c r="R439">
        <v>27</v>
      </c>
      <c r="S439" s="2">
        <v>42</v>
      </c>
      <c r="T439" t="s">
        <v>297</v>
      </c>
      <c r="U439" t="s">
        <v>326</v>
      </c>
      <c r="V439" t="s">
        <v>301</v>
      </c>
      <c r="W439" s="41">
        <f>IFERROR(VLOOKUP(TA[[#This Row],[Date]],Raw_Data[[Date]:[Sunset Time (POA&lt;20 W/m2)]],3,0),"")</f>
        <v>0.27083333333333331</v>
      </c>
      <c r="X439" s="41">
        <f>IFERROR(VLOOKUP(TA[[#This Row],[Date]],Raw_Data[[Date]:[Sunset Time (POA&lt;20 W/m2)]],3,0),"")</f>
        <v>0.27083333333333331</v>
      </c>
      <c r="Y439" s="34"/>
      <c r="Z439" s="34">
        <v>0.76041666666666663</v>
      </c>
      <c r="AA439" s="35">
        <f>IF(TA[[#This Row],[Work Start time on Fault]]="NA","",(TA[[#This Row],[Fault Acknowledgement Time ]]-TA[[#This Row],[Fault Time]])*24)</f>
        <v>0</v>
      </c>
      <c r="AB439" s="35">
        <f>(TA[[#This Row],[Work Start time on Fault]]-TA[[#This Row],[Fault Time]])*24</f>
        <v>-6.5</v>
      </c>
      <c r="AC439" s="34">
        <f>(TA[[#This Row],[Work Completion time on fault]]-TA[[#This Row],[Fault Time]])*24</f>
        <v>11.75</v>
      </c>
      <c r="AD439" s="35">
        <f>IFERROR((TA[[#This Row],[Work Completion time on fault]]-TA[[#This Row],[Fault Time]])*24,"")</f>
        <v>11.75</v>
      </c>
      <c r="AE439" t="s">
        <v>309</v>
      </c>
      <c r="AF439" t="s">
        <v>256</v>
      </c>
      <c r="AG439" s="2"/>
      <c r="AH439" s="44">
        <f>1-COS(RADIANS(TA[[#This Row],[Avg. Target Angle during Fault Time (Radians)]]-TA[[#This Row],[Angle of affected equipment ]]))</f>
        <v>0.11705240714107301</v>
      </c>
      <c r="AI439" s="35">
        <f>IFERROR(TA[[#This Row],[Breakdown Time]]*TA[[#This Row],[Plant Equivalent Weightage]],"")</f>
        <v>6.7528735632183923E-2</v>
      </c>
    </row>
    <row r="440" spans="1:35">
      <c r="A440" s="2">
        <f t="shared" si="23"/>
        <v>437</v>
      </c>
      <c r="B440" s="156">
        <f t="shared" si="21"/>
        <v>2026</v>
      </c>
      <c r="C440" s="129">
        <f t="shared" si="22"/>
        <v>2025</v>
      </c>
      <c r="D440" s="2" t="s">
        <v>155</v>
      </c>
      <c r="E440" s="2" t="s">
        <v>155</v>
      </c>
      <c r="F440" s="39">
        <v>45748</v>
      </c>
      <c r="G440" s="2">
        <f>DAY(EOMONTH(TA[[#This Row],[Month Year]],0))</f>
        <v>30</v>
      </c>
      <c r="H440" s="21">
        <v>45775</v>
      </c>
      <c r="I440" s="41">
        <f>IFERROR(VLOOKUP(TA[[#This Row],[Date]],Raw_Data[[Date]:[Sunset Time (POA&lt;20 W/m2)]],3,0),"")</f>
        <v>0.25208333333333333</v>
      </c>
      <c r="J440" s="41">
        <f>IFERROR(VLOOKUP(TA[[#This Row],[Date]],Raw_Data[[Date]:[Sunset Time (POA&lt;20 W/m2)]],4,0),"")</f>
        <v>0.76527777777777772</v>
      </c>
      <c r="K440" s="35">
        <f>IFERROR((TA[[#This Row],[Sunset Time (POA&lt;20 W/m2)]]-TA[[#This Row],[Sunrise Time (POA&gt;20 W/m2)]])*24,"")</f>
        <v>12.316666666666666</v>
      </c>
      <c r="L440" s="2" t="s">
        <v>312</v>
      </c>
      <c r="M440" s="42">
        <f>IFERROR(VLOOKUP(TA[[#This Row],[Affected Equipment]],'Basic Data'!$I$2:$K$40,3,0),"")</f>
        <v>5.74712643678161E-3</v>
      </c>
      <c r="N440">
        <v>-28</v>
      </c>
      <c r="O440" t="s">
        <v>133</v>
      </c>
      <c r="P440" s="22" t="s">
        <v>330</v>
      </c>
      <c r="Q440" s="2" t="s">
        <v>323</v>
      </c>
      <c r="R440">
        <v>27</v>
      </c>
      <c r="S440" s="2">
        <v>42</v>
      </c>
      <c r="T440" t="s">
        <v>297</v>
      </c>
      <c r="U440" t="s">
        <v>326</v>
      </c>
      <c r="V440" t="s">
        <v>301</v>
      </c>
      <c r="W440" s="41">
        <f>IFERROR(VLOOKUP(TA[[#This Row],[Date]],Raw_Data[[Date]:[Sunset Time (POA&lt;20 W/m2)]],3,0),"")</f>
        <v>0.25208333333333333</v>
      </c>
      <c r="X440" s="41">
        <f>IFERROR(VLOOKUP(TA[[#This Row],[Date]],Raw_Data[[Date]:[Sunset Time (POA&lt;20 W/m2)]],3,0),"")</f>
        <v>0.25208333333333333</v>
      </c>
      <c r="Y440" s="34"/>
      <c r="Z440" s="34">
        <v>0.76041666666666663</v>
      </c>
      <c r="AA440" s="35">
        <f>IF(TA[[#This Row],[Work Start time on Fault]]="NA","",(TA[[#This Row],[Fault Acknowledgement Time ]]-TA[[#This Row],[Fault Time]])*24)</f>
        <v>0</v>
      </c>
      <c r="AB440" s="35">
        <f>(TA[[#This Row],[Work Start time on Fault]]-TA[[#This Row],[Fault Time]])*24</f>
        <v>-6.05</v>
      </c>
      <c r="AC440" s="34">
        <f>(TA[[#This Row],[Work Completion time on fault]]-TA[[#This Row],[Fault Time]])*24</f>
        <v>12.2</v>
      </c>
      <c r="AD440" s="35">
        <f>IFERROR((TA[[#This Row],[Work Completion time on fault]]-TA[[#This Row],[Fault Time]])*24,"")</f>
        <v>12.2</v>
      </c>
      <c r="AE440" t="s">
        <v>309</v>
      </c>
      <c r="AF440" t="s">
        <v>256</v>
      </c>
      <c r="AG440" s="2"/>
      <c r="AH440" s="44">
        <f>1-COS(RADIANS(TA[[#This Row],[Avg. Target Angle during Fault Time (Radians)]]-TA[[#This Row],[Angle of affected equipment ]]))</f>
        <v>0.11705240714107301</v>
      </c>
      <c r="AI440" s="35">
        <f>IFERROR(TA[[#This Row],[Breakdown Time]]*TA[[#This Row],[Plant Equivalent Weightage]],"")</f>
        <v>7.0114942528735638E-2</v>
      </c>
    </row>
    <row r="441" spans="1:35">
      <c r="A441" s="2">
        <f t="shared" si="23"/>
        <v>438</v>
      </c>
      <c r="B441" s="156">
        <f t="shared" si="21"/>
        <v>2026</v>
      </c>
      <c r="C441" s="129">
        <f t="shared" si="22"/>
        <v>2025</v>
      </c>
      <c r="D441" s="2" t="s">
        <v>155</v>
      </c>
      <c r="E441" s="2" t="s">
        <v>155</v>
      </c>
      <c r="F441" s="39">
        <v>45748</v>
      </c>
      <c r="G441" s="2">
        <f>DAY(EOMONTH(TA[[#This Row],[Month Year]],0))</f>
        <v>30</v>
      </c>
      <c r="H441" s="21">
        <v>45775</v>
      </c>
      <c r="I441" s="41">
        <f>IFERROR(VLOOKUP(TA[[#This Row],[Date]],Raw_Data[[Date]:[Sunset Time (POA&lt;20 W/m2)]],3,0),"")</f>
        <v>0.25208333333333333</v>
      </c>
      <c r="J441" s="41">
        <f>IFERROR(VLOOKUP(TA[[#This Row],[Date]],Raw_Data[[Date]:[Sunset Time (POA&lt;20 W/m2)]],4,0),"")</f>
        <v>0.76527777777777772</v>
      </c>
      <c r="K441" s="35">
        <f>IFERROR((TA[[#This Row],[Sunset Time (POA&lt;20 W/m2)]]-TA[[#This Row],[Sunrise Time (POA&gt;20 W/m2)]])*24,"")</f>
        <v>12.316666666666666</v>
      </c>
      <c r="L441" s="2" t="s">
        <v>294</v>
      </c>
      <c r="M441" s="42">
        <f>IFERROR(VLOOKUP(TA[[#This Row],[Affected Equipment]],'Basic Data'!$I$2:$K$40,3,0),"")</f>
        <v>1.7241379310344799E-3</v>
      </c>
      <c r="N441">
        <v>-28</v>
      </c>
      <c r="O441" t="s">
        <v>135</v>
      </c>
      <c r="P441" s="127" t="s">
        <v>318</v>
      </c>
      <c r="Q441" s="126" t="s">
        <v>318</v>
      </c>
      <c r="R441">
        <v>130</v>
      </c>
      <c r="S441" s="2">
        <v>37</v>
      </c>
      <c r="T441" t="s">
        <v>295</v>
      </c>
      <c r="U441" t="s">
        <v>300</v>
      </c>
      <c r="V441" t="s">
        <v>298</v>
      </c>
      <c r="W441" s="41"/>
      <c r="X441" s="41"/>
      <c r="Y441" s="34"/>
      <c r="Z441" s="34"/>
      <c r="AA441" s="35">
        <f>IF(TA[[#This Row],[Work Start time on Fault]]="NA","",(TA[[#This Row],[Fault Acknowledgement Time ]]-TA[[#This Row],[Fault Time]])*24)</f>
        <v>0</v>
      </c>
      <c r="AB441" s="35">
        <f>(TA[[#This Row],[Work Start time on Fault]]-TA[[#This Row],[Fault Time]])*24</f>
        <v>0</v>
      </c>
      <c r="AC441" s="34">
        <f>(TA[[#This Row],[Work Completion time on fault]]-TA[[#This Row],[Fault Time]])*24</f>
        <v>0</v>
      </c>
      <c r="AD441" s="35">
        <f>IFERROR((TA[[#This Row],[Work Completion time on fault]]-TA[[#This Row],[Fault Time]])*24,"")</f>
        <v>0</v>
      </c>
      <c r="AE441" t="s">
        <v>328</v>
      </c>
      <c r="AF441" t="s">
        <v>256</v>
      </c>
      <c r="AG441" s="2"/>
      <c r="AH441" s="44">
        <f>1-COS(RADIANS(TA[[#This Row],[Avg. Target Angle during Fault Time (Radians)]]-TA[[#This Row],[Angle of affected equipment ]]))</f>
        <v>0.11705240714107301</v>
      </c>
      <c r="AI441" s="35">
        <f>IFERROR(TA[[#This Row],[Breakdown Time]]*TA[[#This Row],[Plant Equivalent Weightage]],"")</f>
        <v>0</v>
      </c>
    </row>
    <row r="442" spans="1:35">
      <c r="A442" s="2">
        <f t="shared" si="23"/>
        <v>439</v>
      </c>
      <c r="B442" s="156">
        <f t="shared" si="21"/>
        <v>2026</v>
      </c>
      <c r="C442" s="129">
        <f t="shared" si="22"/>
        <v>2025</v>
      </c>
      <c r="D442" s="2" t="s">
        <v>155</v>
      </c>
      <c r="E442" s="2" t="s">
        <v>155</v>
      </c>
      <c r="F442" s="39">
        <v>45748</v>
      </c>
      <c r="G442" s="2">
        <f>DAY(EOMONTH(TA[[#This Row],[Month Year]],0))</f>
        <v>30</v>
      </c>
      <c r="H442" s="21">
        <v>45775</v>
      </c>
      <c r="I442" s="41">
        <f>IFERROR(VLOOKUP(TA[[#This Row],[Date]],Raw_Data[[Date]:[Sunset Time (POA&lt;20 W/m2)]],3,0),"")</f>
        <v>0.25208333333333333</v>
      </c>
      <c r="J442" s="41">
        <f>IFERROR(VLOOKUP(TA[[#This Row],[Date]],Raw_Data[[Date]:[Sunset Time (POA&lt;20 W/m2)]],4,0),"")</f>
        <v>0.76527777777777772</v>
      </c>
      <c r="K442" s="35">
        <f>IFERROR((TA[[#This Row],[Sunset Time (POA&lt;20 W/m2)]]-TA[[#This Row],[Sunrise Time (POA&gt;20 W/m2)]])*24,"")</f>
        <v>12.316666666666666</v>
      </c>
      <c r="L442" s="2" t="s">
        <v>294</v>
      </c>
      <c r="M442" s="42">
        <f>IFERROR(VLOOKUP(TA[[#This Row],[Affected Equipment]],'Basic Data'!$I$2:$K$40,3,0),"")</f>
        <v>1.7241379310344799E-3</v>
      </c>
      <c r="N442">
        <v>-28</v>
      </c>
      <c r="O442" t="s">
        <v>135</v>
      </c>
      <c r="P442" s="127" t="s">
        <v>318</v>
      </c>
      <c r="Q442" s="126" t="s">
        <v>318</v>
      </c>
      <c r="R442">
        <v>131</v>
      </c>
      <c r="S442" s="2">
        <v>38</v>
      </c>
      <c r="T442" t="s">
        <v>295</v>
      </c>
      <c r="U442" t="s">
        <v>300</v>
      </c>
      <c r="V442" t="s">
        <v>298</v>
      </c>
      <c r="W442" s="41"/>
      <c r="X442" s="41"/>
      <c r="Y442" s="34"/>
      <c r="Z442" s="34"/>
      <c r="AA442" s="35">
        <f>IF(TA[[#This Row],[Work Start time on Fault]]="NA","",(TA[[#This Row],[Fault Acknowledgement Time ]]-TA[[#This Row],[Fault Time]])*24)</f>
        <v>0</v>
      </c>
      <c r="AB442" s="35">
        <f>(TA[[#This Row],[Work Start time on Fault]]-TA[[#This Row],[Fault Time]])*24</f>
        <v>0</v>
      </c>
      <c r="AC442" s="34">
        <f>(TA[[#This Row],[Work Completion time on fault]]-TA[[#This Row],[Fault Time]])*24</f>
        <v>0</v>
      </c>
      <c r="AD442" s="35">
        <f>IFERROR((TA[[#This Row],[Work Completion time on fault]]-TA[[#This Row],[Fault Time]])*24,"")</f>
        <v>0</v>
      </c>
      <c r="AE442" t="s">
        <v>328</v>
      </c>
      <c r="AF442" t="s">
        <v>256</v>
      </c>
      <c r="AG442" s="2"/>
      <c r="AH442" s="44">
        <f>1-COS(RADIANS(TA[[#This Row],[Avg. Target Angle during Fault Time (Radians)]]-TA[[#This Row],[Angle of affected equipment ]]))</f>
        <v>0.11705240714107301</v>
      </c>
      <c r="AI442" s="35">
        <f>IFERROR(TA[[#This Row],[Breakdown Time]]*TA[[#This Row],[Plant Equivalent Weightage]],"")</f>
        <v>0</v>
      </c>
    </row>
    <row r="443" spans="1:35">
      <c r="A443" s="2">
        <f t="shared" si="23"/>
        <v>440</v>
      </c>
      <c r="B443" s="156">
        <f t="shared" si="21"/>
        <v>2026</v>
      </c>
      <c r="C443" s="129">
        <f t="shared" si="22"/>
        <v>2025</v>
      </c>
      <c r="D443" s="2" t="s">
        <v>155</v>
      </c>
      <c r="E443" s="2" t="s">
        <v>155</v>
      </c>
      <c r="F443" s="39">
        <v>45748</v>
      </c>
      <c r="G443" s="2">
        <f>DAY(EOMONTH(TA[[#This Row],[Month Year]],0))</f>
        <v>30</v>
      </c>
      <c r="H443" s="21">
        <v>45775</v>
      </c>
      <c r="I443" s="41">
        <f>IFERROR(VLOOKUP(TA[[#This Row],[Date]],Raw_Data[[Date]:[Sunset Time (POA&lt;20 W/m2)]],3,0),"")</f>
        <v>0.25208333333333333</v>
      </c>
      <c r="J443" s="41">
        <f>IFERROR(VLOOKUP(TA[[#This Row],[Date]],Raw_Data[[Date]:[Sunset Time (POA&lt;20 W/m2)]],4,0),"")</f>
        <v>0.76527777777777772</v>
      </c>
      <c r="K443" s="35">
        <f>IFERROR((TA[[#This Row],[Sunset Time (POA&lt;20 W/m2)]]-TA[[#This Row],[Sunrise Time (POA&gt;20 W/m2)]])*24,"")</f>
        <v>12.316666666666666</v>
      </c>
      <c r="L443" s="2" t="s">
        <v>294</v>
      </c>
      <c r="M443" s="42">
        <f>IFERROR(VLOOKUP(TA[[#This Row],[Affected Equipment]],'Basic Data'!$I$2:$K$40,3,0),"")</f>
        <v>1.7241379310344799E-3</v>
      </c>
      <c r="N443">
        <v>-28</v>
      </c>
      <c r="O443" t="s">
        <v>135</v>
      </c>
      <c r="P443" s="127" t="s">
        <v>318</v>
      </c>
      <c r="Q443" s="126" t="s">
        <v>318</v>
      </c>
      <c r="R443">
        <v>131</v>
      </c>
      <c r="S443" s="2">
        <v>39</v>
      </c>
      <c r="T443" t="s">
        <v>295</v>
      </c>
      <c r="U443" t="s">
        <v>300</v>
      </c>
      <c r="V443" t="s">
        <v>298</v>
      </c>
      <c r="W443" s="41"/>
      <c r="X443" s="41"/>
      <c r="Y443" s="34"/>
      <c r="Z443" s="34"/>
      <c r="AA443" s="35">
        <f>IF(TA[[#This Row],[Work Start time on Fault]]="NA","",(TA[[#This Row],[Fault Acknowledgement Time ]]-TA[[#This Row],[Fault Time]])*24)</f>
        <v>0</v>
      </c>
      <c r="AB443" s="35">
        <f>(TA[[#This Row],[Work Start time on Fault]]-TA[[#This Row],[Fault Time]])*24</f>
        <v>0</v>
      </c>
      <c r="AC443" s="34">
        <f>(TA[[#This Row],[Work Completion time on fault]]-TA[[#This Row],[Fault Time]])*24</f>
        <v>0</v>
      </c>
      <c r="AD443" s="35">
        <f>IFERROR((TA[[#This Row],[Work Completion time on fault]]-TA[[#This Row],[Fault Time]])*24,"")</f>
        <v>0</v>
      </c>
      <c r="AE443" t="s">
        <v>328</v>
      </c>
      <c r="AF443" t="s">
        <v>256</v>
      </c>
      <c r="AG443" s="2"/>
      <c r="AH443" s="44">
        <f>1-COS(RADIANS(TA[[#This Row],[Avg. Target Angle during Fault Time (Radians)]]-TA[[#This Row],[Angle of affected equipment ]]))</f>
        <v>0.11705240714107301</v>
      </c>
      <c r="AI443" s="35">
        <f>IFERROR(TA[[#This Row],[Breakdown Time]]*TA[[#This Row],[Plant Equivalent Weightage]],"")</f>
        <v>0</v>
      </c>
    </row>
    <row r="444" spans="1:35">
      <c r="A444" s="2">
        <f t="shared" si="23"/>
        <v>441</v>
      </c>
      <c r="B444" s="156">
        <f t="shared" si="21"/>
        <v>2026</v>
      </c>
      <c r="C444" s="129">
        <f t="shared" si="22"/>
        <v>2025</v>
      </c>
      <c r="D444" s="2" t="s">
        <v>155</v>
      </c>
      <c r="E444" s="2" t="s">
        <v>155</v>
      </c>
      <c r="F444" s="39">
        <v>45748</v>
      </c>
      <c r="G444" s="2">
        <f>DAY(EOMONTH(TA[[#This Row],[Month Year]],0))</f>
        <v>30</v>
      </c>
      <c r="H444" s="21">
        <v>45775</v>
      </c>
      <c r="I444" s="41">
        <f>IFERROR(VLOOKUP(TA[[#This Row],[Date]],Raw_Data[[Date]:[Sunset Time (POA&lt;20 W/m2)]],3,0),"")</f>
        <v>0.25208333333333333</v>
      </c>
      <c r="J444" s="41">
        <f>IFERROR(VLOOKUP(TA[[#This Row],[Date]],Raw_Data[[Date]:[Sunset Time (POA&lt;20 W/m2)]],4,0),"")</f>
        <v>0.76527777777777772</v>
      </c>
      <c r="K444" s="35">
        <f>IFERROR((TA[[#This Row],[Sunset Time (POA&lt;20 W/m2)]]-TA[[#This Row],[Sunrise Time (POA&gt;20 W/m2)]])*24,"")</f>
        <v>12.316666666666666</v>
      </c>
      <c r="L444" s="2" t="s">
        <v>296</v>
      </c>
      <c r="M444" s="42">
        <f>IFERROR(VLOOKUP(TA[[#This Row],[Affected Equipment]],'Basic Data'!$I$2:$K$40,3,0),"")</f>
        <v>8.6206896551724102E-3</v>
      </c>
      <c r="N444">
        <v>-28</v>
      </c>
      <c r="O444" t="s">
        <v>135</v>
      </c>
      <c r="P444" s="127" t="s">
        <v>318</v>
      </c>
      <c r="Q444" s="2" t="s">
        <v>321</v>
      </c>
      <c r="R444">
        <v>133</v>
      </c>
      <c r="S444" s="2">
        <v>26</v>
      </c>
      <c r="T444" t="s">
        <v>297</v>
      </c>
      <c r="U444" t="s">
        <v>300</v>
      </c>
      <c r="V444" t="s">
        <v>314</v>
      </c>
      <c r="W444" s="41">
        <f>IFERROR(VLOOKUP(TA[[#This Row],[Date]],Raw_Data[[Date]:[Sunset Time (POA&lt;20 W/m2)]],3,0),"")</f>
        <v>0.25208333333333333</v>
      </c>
      <c r="X444" s="41">
        <f>IFERROR(VLOOKUP(TA[[#This Row],[Date]],Raw_Data[[Date]:[Sunset Time (POA&lt;20 W/m2)]],3,0),"")</f>
        <v>0.25208333333333333</v>
      </c>
      <c r="Y444" s="34"/>
      <c r="Z444" s="34">
        <v>0.76041666666666663</v>
      </c>
      <c r="AA444" s="35">
        <f>IF(TA[[#This Row],[Work Start time on Fault]]="NA","",(TA[[#This Row],[Fault Acknowledgement Time ]]-TA[[#This Row],[Fault Time]])*24)</f>
        <v>0</v>
      </c>
      <c r="AB444" s="35">
        <f>(TA[[#This Row],[Work Start time on Fault]]-TA[[#This Row],[Fault Time]])*24</f>
        <v>-6.05</v>
      </c>
      <c r="AC444" s="34">
        <f>(TA[[#This Row],[Work Completion time on fault]]-TA[[#This Row],[Fault Time]])*24</f>
        <v>12.2</v>
      </c>
      <c r="AD444" s="35">
        <f>IFERROR((TA[[#This Row],[Work Completion time on fault]]-TA[[#This Row],[Fault Time]])*24,"")</f>
        <v>12.2</v>
      </c>
      <c r="AE444" t="s">
        <v>328</v>
      </c>
      <c r="AF444" t="s">
        <v>256</v>
      </c>
      <c r="AG444" s="2"/>
      <c r="AH444" s="44">
        <f>1-COS(RADIANS(TA[[#This Row],[Avg. Target Angle during Fault Time (Radians)]]-TA[[#This Row],[Angle of affected equipment ]]))</f>
        <v>0.11705240714107301</v>
      </c>
      <c r="AI444" s="35">
        <f>IFERROR(TA[[#This Row],[Breakdown Time]]*TA[[#This Row],[Plant Equivalent Weightage]],"")</f>
        <v>0.10517241379310339</v>
      </c>
    </row>
    <row r="445" spans="1:35">
      <c r="A445" s="2">
        <f t="shared" si="23"/>
        <v>442</v>
      </c>
      <c r="B445" s="156">
        <f t="shared" si="21"/>
        <v>2026</v>
      </c>
      <c r="C445" s="129">
        <f t="shared" si="22"/>
        <v>2025</v>
      </c>
      <c r="D445" s="2" t="s">
        <v>155</v>
      </c>
      <c r="E445" s="2" t="s">
        <v>155</v>
      </c>
      <c r="F445" s="39">
        <v>45748</v>
      </c>
      <c r="G445" s="2">
        <f>DAY(EOMONTH(TA[[#This Row],[Month Year]],0))</f>
        <v>30</v>
      </c>
      <c r="H445" s="21">
        <v>45775</v>
      </c>
      <c r="I445" s="41">
        <f>IFERROR(VLOOKUP(TA[[#This Row],[Date]],Raw_Data[[Date]:[Sunset Time (POA&lt;20 W/m2)]],3,0),"")</f>
        <v>0.25208333333333333</v>
      </c>
      <c r="J445" s="41">
        <f>IFERROR(VLOOKUP(TA[[#This Row],[Date]],Raw_Data[[Date]:[Sunset Time (POA&lt;20 W/m2)]],4,0),"")</f>
        <v>0.76527777777777772</v>
      </c>
      <c r="K445" s="35">
        <f>IFERROR((TA[[#This Row],[Sunset Time (POA&lt;20 W/m2)]]-TA[[#This Row],[Sunrise Time (POA&gt;20 W/m2)]])*24,"")</f>
        <v>12.316666666666666</v>
      </c>
      <c r="L445" s="2" t="s">
        <v>294</v>
      </c>
      <c r="M445" s="42">
        <f>IFERROR(VLOOKUP(TA[[#This Row],[Affected Equipment]],'Basic Data'!$I$2:$K$40,3,0),"")</f>
        <v>1.7241379310344799E-3</v>
      </c>
      <c r="N445">
        <v>-28</v>
      </c>
      <c r="O445" t="s">
        <v>133</v>
      </c>
      <c r="P445" s="127" t="s">
        <v>316</v>
      </c>
      <c r="Q445" s="126" t="s">
        <v>317</v>
      </c>
      <c r="R445">
        <v>7</v>
      </c>
      <c r="S445" s="2">
        <v>32</v>
      </c>
      <c r="T445" t="s">
        <v>295</v>
      </c>
      <c r="U445" t="s">
        <v>300</v>
      </c>
      <c r="V445" t="s">
        <v>298</v>
      </c>
      <c r="W445" s="41"/>
      <c r="X445" s="41"/>
      <c r="Y445" s="34"/>
      <c r="Z445" s="34"/>
      <c r="AA445" s="35">
        <f>IF(TA[[#This Row],[Work Start time on Fault]]="NA","",(TA[[#This Row],[Fault Acknowledgement Time ]]-TA[[#This Row],[Fault Time]])*24)</f>
        <v>0</v>
      </c>
      <c r="AB445" s="35">
        <f>(TA[[#This Row],[Work Start time on Fault]]-TA[[#This Row],[Fault Time]])*24</f>
        <v>0</v>
      </c>
      <c r="AC445" s="34">
        <f>(TA[[#This Row],[Work Completion time on fault]]-TA[[#This Row],[Fault Time]])*24</f>
        <v>0</v>
      </c>
      <c r="AD445" s="35">
        <f>IFERROR((TA[[#This Row],[Work Completion time on fault]]-TA[[#This Row],[Fault Time]])*24,"")</f>
        <v>0</v>
      </c>
      <c r="AE445" t="s">
        <v>328</v>
      </c>
      <c r="AF445" t="s">
        <v>256</v>
      </c>
      <c r="AG445" s="2"/>
      <c r="AH445" s="44">
        <f>1-COS(RADIANS(TA[[#This Row],[Avg. Target Angle during Fault Time (Radians)]]-TA[[#This Row],[Angle of affected equipment ]]))</f>
        <v>0.11705240714107301</v>
      </c>
      <c r="AI445" s="35">
        <f>IFERROR(TA[[#This Row],[Breakdown Time]]*TA[[#This Row],[Plant Equivalent Weightage]],"")</f>
        <v>0</v>
      </c>
    </row>
    <row r="446" spans="1:35">
      <c r="A446" s="2">
        <f t="shared" si="23"/>
        <v>443</v>
      </c>
      <c r="B446" s="156">
        <f t="shared" si="21"/>
        <v>2026</v>
      </c>
      <c r="C446" s="129">
        <f t="shared" si="22"/>
        <v>2025</v>
      </c>
      <c r="D446" s="2" t="s">
        <v>155</v>
      </c>
      <c r="E446" s="2" t="s">
        <v>155</v>
      </c>
      <c r="F446" s="39">
        <v>45748</v>
      </c>
      <c r="G446" s="2">
        <f>DAY(EOMONTH(TA[[#This Row],[Month Year]],0))</f>
        <v>30</v>
      </c>
      <c r="H446" s="21">
        <v>45775</v>
      </c>
      <c r="I446" s="41">
        <f>IFERROR(VLOOKUP(TA[[#This Row],[Date]],Raw_Data[[Date]:[Sunset Time (POA&lt;20 W/m2)]],3,0),"")</f>
        <v>0.25208333333333333</v>
      </c>
      <c r="J446" s="41">
        <f>IFERROR(VLOOKUP(TA[[#This Row],[Date]],Raw_Data[[Date]:[Sunset Time (POA&lt;20 W/m2)]],4,0),"")</f>
        <v>0.76527777777777772</v>
      </c>
      <c r="K446" s="35">
        <f>IFERROR((TA[[#This Row],[Sunset Time (POA&lt;20 W/m2)]]-TA[[#This Row],[Sunrise Time (POA&gt;20 W/m2)]])*24,"")</f>
        <v>12.316666666666666</v>
      </c>
      <c r="L446" s="2" t="s">
        <v>294</v>
      </c>
      <c r="M446" s="42">
        <f>IFERROR(VLOOKUP(TA[[#This Row],[Affected Equipment]],'Basic Data'!$I$2:$K$40,3,0),"")</f>
        <v>1.7241379310344799E-3</v>
      </c>
      <c r="N446">
        <v>-28</v>
      </c>
      <c r="O446" t="s">
        <v>137</v>
      </c>
      <c r="P446" s="127" t="s">
        <v>315</v>
      </c>
      <c r="Q446" s="126" t="s">
        <v>319</v>
      </c>
      <c r="R446">
        <v>166</v>
      </c>
      <c r="S446" s="2">
        <v>91</v>
      </c>
      <c r="T446" t="s">
        <v>295</v>
      </c>
      <c r="U446" t="s">
        <v>300</v>
      </c>
      <c r="V446" t="s">
        <v>298</v>
      </c>
      <c r="W446" s="41"/>
      <c r="X446" s="41"/>
      <c r="Y446" s="34"/>
      <c r="Z446" s="34"/>
      <c r="AA446" s="35">
        <f>IF(TA[[#This Row],[Work Start time on Fault]]="NA","",(TA[[#This Row],[Fault Acknowledgement Time ]]-TA[[#This Row],[Fault Time]])*24)</f>
        <v>0</v>
      </c>
      <c r="AB446" s="35">
        <f>(TA[[#This Row],[Work Start time on Fault]]-TA[[#This Row],[Fault Time]])*24</f>
        <v>0</v>
      </c>
      <c r="AC446" s="34">
        <f>(TA[[#This Row],[Work Completion time on fault]]-TA[[#This Row],[Fault Time]])*24</f>
        <v>0</v>
      </c>
      <c r="AD446" s="35">
        <f>IFERROR((TA[[#This Row],[Work Completion time on fault]]-TA[[#This Row],[Fault Time]])*24,"")</f>
        <v>0</v>
      </c>
      <c r="AE446" t="s">
        <v>328</v>
      </c>
      <c r="AF446" t="s">
        <v>256</v>
      </c>
      <c r="AG446" s="2"/>
      <c r="AH446" s="44">
        <f>1-COS(RADIANS(TA[[#This Row],[Avg. Target Angle during Fault Time (Radians)]]-TA[[#This Row],[Angle of affected equipment ]]))</f>
        <v>0.11705240714107301</v>
      </c>
      <c r="AI446" s="35">
        <f>IFERROR(TA[[#This Row],[Breakdown Time]]*TA[[#This Row],[Plant Equivalent Weightage]],"")</f>
        <v>0</v>
      </c>
    </row>
    <row r="447" spans="1:35">
      <c r="A447" s="2">
        <f t="shared" si="23"/>
        <v>444</v>
      </c>
      <c r="B447" s="156">
        <f t="shared" si="21"/>
        <v>2026</v>
      </c>
      <c r="C447" s="129">
        <f t="shared" si="22"/>
        <v>2025</v>
      </c>
      <c r="D447" s="2" t="s">
        <v>155</v>
      </c>
      <c r="E447" s="2" t="s">
        <v>155</v>
      </c>
      <c r="F447" s="39">
        <v>45748</v>
      </c>
      <c r="G447" s="2">
        <f>DAY(EOMONTH(TA[[#This Row],[Month Year]],0))</f>
        <v>30</v>
      </c>
      <c r="H447" s="21">
        <v>45775</v>
      </c>
      <c r="I447" s="41">
        <f>IFERROR(VLOOKUP(TA[[#This Row],[Date]],Raw_Data[[Date]:[Sunset Time (POA&lt;20 W/m2)]],3,0),"")</f>
        <v>0.25208333333333333</v>
      </c>
      <c r="J447" s="41">
        <f>IFERROR(VLOOKUP(TA[[#This Row],[Date]],Raw_Data[[Date]:[Sunset Time (POA&lt;20 W/m2)]],4,0),"")</f>
        <v>0.76527777777777772</v>
      </c>
      <c r="K447" s="35">
        <f>IFERROR((TA[[#This Row],[Sunset Time (POA&lt;20 W/m2)]]-TA[[#This Row],[Sunrise Time (POA&gt;20 W/m2)]])*24,"")</f>
        <v>12.316666666666666</v>
      </c>
      <c r="L447" s="2" t="s">
        <v>294</v>
      </c>
      <c r="M447" s="42">
        <f>IFERROR(VLOOKUP(TA[[#This Row],[Affected Equipment]],'Basic Data'!$I$2:$K$40,3,0),"")</f>
        <v>1.7241379310344799E-3</v>
      </c>
      <c r="N447">
        <v>-28</v>
      </c>
      <c r="O447" t="s">
        <v>133</v>
      </c>
      <c r="P447" s="127" t="s">
        <v>316</v>
      </c>
      <c r="Q447" s="126" t="s">
        <v>316</v>
      </c>
      <c r="R447">
        <v>117</v>
      </c>
      <c r="S447" s="2">
        <v>20</v>
      </c>
      <c r="T447" t="s">
        <v>295</v>
      </c>
      <c r="U447" t="s">
        <v>300</v>
      </c>
      <c r="V447" t="s">
        <v>298</v>
      </c>
      <c r="W447" s="41"/>
      <c r="X447" s="41"/>
      <c r="Y447" s="34"/>
      <c r="Z447" s="34"/>
      <c r="AA447" s="35">
        <f>IF(TA[[#This Row],[Work Start time on Fault]]="NA","",(TA[[#This Row],[Fault Acknowledgement Time ]]-TA[[#This Row],[Fault Time]])*24)</f>
        <v>0</v>
      </c>
      <c r="AB447" s="35">
        <f>(TA[[#This Row],[Work Start time on Fault]]-TA[[#This Row],[Fault Time]])*24</f>
        <v>0</v>
      </c>
      <c r="AC447" s="34">
        <f>(TA[[#This Row],[Work Completion time on fault]]-TA[[#This Row],[Fault Time]])*24</f>
        <v>0</v>
      </c>
      <c r="AD447" s="35">
        <f>IFERROR((TA[[#This Row],[Work Completion time on fault]]-TA[[#This Row],[Fault Time]])*24,"")</f>
        <v>0</v>
      </c>
      <c r="AE447" t="s">
        <v>328</v>
      </c>
      <c r="AF447" t="s">
        <v>256</v>
      </c>
      <c r="AG447" s="2"/>
      <c r="AH447" s="44">
        <f>1-COS(RADIANS(TA[[#This Row],[Avg. Target Angle during Fault Time (Radians)]]-TA[[#This Row],[Angle of affected equipment ]]))</f>
        <v>0.11705240714107301</v>
      </c>
      <c r="AI447" s="35">
        <f>IFERROR(TA[[#This Row],[Breakdown Time]]*TA[[#This Row],[Plant Equivalent Weightage]],"")</f>
        <v>0</v>
      </c>
    </row>
    <row r="448" spans="1:35">
      <c r="A448" s="2">
        <f t="shared" si="23"/>
        <v>445</v>
      </c>
      <c r="B448" s="156">
        <f t="shared" si="21"/>
        <v>2026</v>
      </c>
      <c r="C448" s="129">
        <f t="shared" si="22"/>
        <v>2025</v>
      </c>
      <c r="D448" s="2" t="s">
        <v>155</v>
      </c>
      <c r="E448" s="2" t="s">
        <v>155</v>
      </c>
      <c r="F448" s="39">
        <v>45748</v>
      </c>
      <c r="G448" s="2">
        <f>DAY(EOMONTH(TA[[#This Row],[Month Year]],0))</f>
        <v>30</v>
      </c>
      <c r="H448" s="21">
        <v>45775</v>
      </c>
      <c r="I448" s="41">
        <f>IFERROR(VLOOKUP(TA[[#This Row],[Date]],Raw_Data[[Date]:[Sunset Time (POA&lt;20 W/m2)]],3,0),"")</f>
        <v>0.25208333333333333</v>
      </c>
      <c r="J448" s="41">
        <f>IFERROR(VLOOKUP(TA[[#This Row],[Date]],Raw_Data[[Date]:[Sunset Time (POA&lt;20 W/m2)]],4,0),"")</f>
        <v>0.76527777777777772</v>
      </c>
      <c r="K448" s="35">
        <f>IFERROR((TA[[#This Row],[Sunset Time (POA&lt;20 W/m2)]]-TA[[#This Row],[Sunrise Time (POA&gt;20 W/m2)]])*24,"")</f>
        <v>12.316666666666666</v>
      </c>
      <c r="L448" s="2" t="s">
        <v>294</v>
      </c>
      <c r="M448" s="42">
        <f>IFERROR(VLOOKUP(TA[[#This Row],[Affected Equipment]],'Basic Data'!$I$2:$K$40,3,0),"")</f>
        <v>1.7241379310344799E-3</v>
      </c>
      <c r="N448">
        <v>-28</v>
      </c>
      <c r="O448" t="s">
        <v>133</v>
      </c>
      <c r="P448" s="127" t="s">
        <v>316</v>
      </c>
      <c r="Q448" s="126" t="s">
        <v>316</v>
      </c>
      <c r="R448">
        <v>118</v>
      </c>
      <c r="S448" s="2">
        <v>22</v>
      </c>
      <c r="T448" t="s">
        <v>295</v>
      </c>
      <c r="U448" t="s">
        <v>300</v>
      </c>
      <c r="V448" t="s">
        <v>298</v>
      </c>
      <c r="W448" s="41"/>
      <c r="X448" s="41"/>
      <c r="Y448" s="34"/>
      <c r="Z448" s="34"/>
      <c r="AA448" s="35">
        <f>IF(TA[[#This Row],[Work Start time on Fault]]="NA","",(TA[[#This Row],[Fault Acknowledgement Time ]]-TA[[#This Row],[Fault Time]])*24)</f>
        <v>0</v>
      </c>
      <c r="AB448" s="35">
        <f>(TA[[#This Row],[Work Start time on Fault]]-TA[[#This Row],[Fault Time]])*24</f>
        <v>0</v>
      </c>
      <c r="AC448" s="34">
        <f>(TA[[#This Row],[Work Completion time on fault]]-TA[[#This Row],[Fault Time]])*24</f>
        <v>0</v>
      </c>
      <c r="AD448" s="35">
        <f>IFERROR((TA[[#This Row],[Work Completion time on fault]]-TA[[#This Row],[Fault Time]])*24,"")</f>
        <v>0</v>
      </c>
      <c r="AE448" t="s">
        <v>328</v>
      </c>
      <c r="AF448" t="s">
        <v>256</v>
      </c>
      <c r="AG448" s="2"/>
      <c r="AH448" s="44">
        <f>1-COS(RADIANS(TA[[#This Row],[Avg. Target Angle during Fault Time (Radians)]]-TA[[#This Row],[Angle of affected equipment ]]))</f>
        <v>0.11705240714107301</v>
      </c>
      <c r="AI448" s="35">
        <f>IFERROR(TA[[#This Row],[Breakdown Time]]*TA[[#This Row],[Plant Equivalent Weightage]],"")</f>
        <v>0</v>
      </c>
    </row>
    <row r="449" spans="1:35">
      <c r="A449" s="2">
        <f t="shared" si="23"/>
        <v>446</v>
      </c>
      <c r="B449" s="156">
        <f t="shared" si="21"/>
        <v>2026</v>
      </c>
      <c r="C449" s="129">
        <f t="shared" si="22"/>
        <v>2025</v>
      </c>
      <c r="D449" s="2" t="s">
        <v>155</v>
      </c>
      <c r="E449" s="2" t="s">
        <v>155</v>
      </c>
      <c r="F449" s="39">
        <v>45748</v>
      </c>
      <c r="G449" s="2">
        <f>DAY(EOMONTH(TA[[#This Row],[Month Year]],0))</f>
        <v>30</v>
      </c>
      <c r="H449" s="21">
        <v>45775</v>
      </c>
      <c r="I449" s="41">
        <f>IFERROR(VLOOKUP(TA[[#This Row],[Date]],Raw_Data[[Date]:[Sunset Time (POA&lt;20 W/m2)]],3,0),"")</f>
        <v>0.25208333333333333</v>
      </c>
      <c r="J449" s="41">
        <f>IFERROR(VLOOKUP(TA[[#This Row],[Date]],Raw_Data[[Date]:[Sunset Time (POA&lt;20 W/m2)]],4,0),"")</f>
        <v>0.76527777777777772</v>
      </c>
      <c r="K449" s="35">
        <f>IFERROR((TA[[#This Row],[Sunset Time (POA&lt;20 W/m2)]]-TA[[#This Row],[Sunrise Time (POA&gt;20 W/m2)]])*24,"")</f>
        <v>12.316666666666666</v>
      </c>
      <c r="L449" s="2" t="s">
        <v>296</v>
      </c>
      <c r="M449" s="42">
        <f>IFERROR(VLOOKUP(TA[[#This Row],[Affected Equipment]],'Basic Data'!$I$2:$K$40,3,0),"")</f>
        <v>8.6206896551724102E-3</v>
      </c>
      <c r="N449">
        <v>-28</v>
      </c>
      <c r="O449" t="s">
        <v>135</v>
      </c>
      <c r="P449" s="22" t="s">
        <v>323</v>
      </c>
      <c r="Q449" s="2" t="s">
        <v>329</v>
      </c>
      <c r="R449">
        <v>45</v>
      </c>
      <c r="S449" s="2">
        <v>8</v>
      </c>
      <c r="T449" t="s">
        <v>297</v>
      </c>
      <c r="U449" t="s">
        <v>326</v>
      </c>
      <c r="V449" t="s">
        <v>301</v>
      </c>
      <c r="W449" s="41"/>
      <c r="X449" s="41"/>
      <c r="Y449" s="34"/>
      <c r="Z449" s="34"/>
      <c r="AA449" s="35">
        <f>IF(TA[[#This Row],[Work Start time on Fault]]="NA","",(TA[[#This Row],[Fault Acknowledgement Time ]]-TA[[#This Row],[Fault Time]])*24)</f>
        <v>0</v>
      </c>
      <c r="AB449" s="35">
        <f>(TA[[#This Row],[Work Start time on Fault]]-TA[[#This Row],[Fault Time]])*24</f>
        <v>0</v>
      </c>
      <c r="AC449" s="34">
        <f>(TA[[#This Row],[Work Completion time on fault]]-TA[[#This Row],[Fault Time]])*24</f>
        <v>0</v>
      </c>
      <c r="AD449" s="35">
        <f>IFERROR((TA[[#This Row],[Work Completion time on fault]]-TA[[#This Row],[Fault Time]])*24,"")</f>
        <v>0</v>
      </c>
      <c r="AE449" t="s">
        <v>328</v>
      </c>
      <c r="AF449" t="s">
        <v>256</v>
      </c>
      <c r="AG449" s="2"/>
      <c r="AH449" s="44">
        <f>1-COS(RADIANS(TA[[#This Row],[Avg. Target Angle during Fault Time (Radians)]]-TA[[#This Row],[Angle of affected equipment ]]))</f>
        <v>0.11705240714107301</v>
      </c>
      <c r="AI449" s="35">
        <f>IFERROR(TA[[#This Row],[Breakdown Time]]*TA[[#This Row],[Plant Equivalent Weightage]],"")</f>
        <v>0</v>
      </c>
    </row>
    <row r="450" spans="1:35">
      <c r="A450" s="2">
        <f t="shared" si="23"/>
        <v>447</v>
      </c>
      <c r="B450" s="156">
        <f t="shared" si="21"/>
        <v>2026</v>
      </c>
      <c r="C450" s="129">
        <f t="shared" si="22"/>
        <v>2025</v>
      </c>
      <c r="D450" s="2" t="s">
        <v>155</v>
      </c>
      <c r="E450" s="2" t="s">
        <v>155</v>
      </c>
      <c r="F450" s="39">
        <v>45748</v>
      </c>
      <c r="G450" s="2">
        <f>DAY(EOMONTH(TA[[#This Row],[Month Year]],0))</f>
        <v>30</v>
      </c>
      <c r="H450" s="21">
        <v>45775</v>
      </c>
      <c r="I450" s="41">
        <f>IFERROR(VLOOKUP(TA[[#This Row],[Date]],Raw_Data[[Date]:[Sunset Time (POA&lt;20 W/m2)]],3,0),"")</f>
        <v>0.25208333333333333</v>
      </c>
      <c r="J450" s="41">
        <f>IFERROR(VLOOKUP(TA[[#This Row],[Date]],Raw_Data[[Date]:[Sunset Time (POA&lt;20 W/m2)]],4,0),"")</f>
        <v>0.76527777777777772</v>
      </c>
      <c r="K450" s="35">
        <f>IFERROR((TA[[#This Row],[Sunset Time (POA&lt;20 W/m2)]]-TA[[#This Row],[Sunrise Time (POA&gt;20 W/m2)]])*24,"")</f>
        <v>12.316666666666666</v>
      </c>
      <c r="L450" s="2" t="s">
        <v>296</v>
      </c>
      <c r="M450" s="42">
        <f>IFERROR(VLOOKUP(TA[[#This Row],[Affected Equipment]],'Basic Data'!$I$2:$K$40,3,0),"")</f>
        <v>8.6206896551724102E-3</v>
      </c>
      <c r="N450">
        <v>-28</v>
      </c>
      <c r="O450" t="s">
        <v>135</v>
      </c>
      <c r="P450" s="22" t="s">
        <v>323</v>
      </c>
      <c r="Q450" s="2" t="s">
        <v>329</v>
      </c>
      <c r="R450">
        <v>47</v>
      </c>
      <c r="S450" s="2">
        <v>18</v>
      </c>
      <c r="T450" t="s">
        <v>297</v>
      </c>
      <c r="U450" t="s">
        <v>326</v>
      </c>
      <c r="V450" t="s">
        <v>301</v>
      </c>
      <c r="W450" s="41"/>
      <c r="X450" s="41"/>
      <c r="Y450" s="34"/>
      <c r="Z450" s="34"/>
      <c r="AA450" s="35">
        <f>IF(TA[[#This Row],[Work Start time on Fault]]="NA","",(TA[[#This Row],[Fault Acknowledgement Time ]]-TA[[#This Row],[Fault Time]])*24)</f>
        <v>0</v>
      </c>
      <c r="AB450" s="35">
        <f>(TA[[#This Row],[Work Start time on Fault]]-TA[[#This Row],[Fault Time]])*24</f>
        <v>0</v>
      </c>
      <c r="AC450" s="34">
        <f>(TA[[#This Row],[Work Completion time on fault]]-TA[[#This Row],[Fault Time]])*24</f>
        <v>0</v>
      </c>
      <c r="AD450" s="35">
        <f>IFERROR((TA[[#This Row],[Work Completion time on fault]]-TA[[#This Row],[Fault Time]])*24,"")</f>
        <v>0</v>
      </c>
      <c r="AE450" t="s">
        <v>328</v>
      </c>
      <c r="AF450" t="s">
        <v>256</v>
      </c>
      <c r="AG450" s="2"/>
      <c r="AH450" s="44">
        <f>1-COS(RADIANS(TA[[#This Row],[Avg. Target Angle during Fault Time (Radians)]]-TA[[#This Row],[Angle of affected equipment ]]))</f>
        <v>0.11705240714107301</v>
      </c>
      <c r="AI450" s="35">
        <f>IFERROR(TA[[#This Row],[Breakdown Time]]*TA[[#This Row],[Plant Equivalent Weightage]],"")</f>
        <v>0</v>
      </c>
    </row>
    <row r="451" spans="1:35">
      <c r="A451" s="2">
        <f t="shared" si="23"/>
        <v>448</v>
      </c>
      <c r="B451" s="156">
        <f t="shared" si="21"/>
        <v>2026</v>
      </c>
      <c r="C451" s="129">
        <f t="shared" si="22"/>
        <v>2025</v>
      </c>
      <c r="D451" s="2" t="s">
        <v>155</v>
      </c>
      <c r="E451" s="2" t="s">
        <v>155</v>
      </c>
      <c r="F451" s="39">
        <v>45748</v>
      </c>
      <c r="G451" s="2">
        <f>DAY(EOMONTH(TA[[#This Row],[Month Year]],0))</f>
        <v>30</v>
      </c>
      <c r="H451" s="21">
        <v>45775</v>
      </c>
      <c r="I451" s="41">
        <f>IFERROR(VLOOKUP(TA[[#This Row],[Date]],Raw_Data[[Date]:[Sunset Time (POA&lt;20 W/m2)]],3,0),"")</f>
        <v>0.25208333333333333</v>
      </c>
      <c r="J451" s="41">
        <f>IFERROR(VLOOKUP(TA[[#This Row],[Date]],Raw_Data[[Date]:[Sunset Time (POA&lt;20 W/m2)]],4,0),"")</f>
        <v>0.76527777777777772</v>
      </c>
      <c r="K451" s="35">
        <f>IFERROR((TA[[#This Row],[Sunset Time (POA&lt;20 W/m2)]]-TA[[#This Row],[Sunrise Time (POA&gt;20 W/m2)]])*24,"")</f>
        <v>12.316666666666666</v>
      </c>
      <c r="L451" s="2" t="s">
        <v>296</v>
      </c>
      <c r="M451" s="42">
        <f>IFERROR(VLOOKUP(TA[[#This Row],[Affected Equipment]],'Basic Data'!$I$2:$K$40,3,0),"")</f>
        <v>8.6206896551724102E-3</v>
      </c>
      <c r="N451">
        <v>-28</v>
      </c>
      <c r="O451" t="s">
        <v>134</v>
      </c>
      <c r="P451" s="22" t="s">
        <v>330</v>
      </c>
      <c r="Q451" s="2" t="s">
        <v>323</v>
      </c>
      <c r="R451">
        <v>30</v>
      </c>
      <c r="S451" s="2">
        <v>57</v>
      </c>
      <c r="T451" t="s">
        <v>297</v>
      </c>
      <c r="U451" t="s">
        <v>326</v>
      </c>
      <c r="V451" t="s">
        <v>301</v>
      </c>
      <c r="W451" s="41"/>
      <c r="X451" s="41"/>
      <c r="Y451" s="34"/>
      <c r="Z451" s="34"/>
      <c r="AA451" s="35">
        <f>IF(TA[[#This Row],[Work Start time on Fault]]="NA","",(TA[[#This Row],[Fault Acknowledgement Time ]]-TA[[#This Row],[Fault Time]])*24)</f>
        <v>0</v>
      </c>
      <c r="AB451" s="35">
        <f>(TA[[#This Row],[Work Start time on Fault]]-TA[[#This Row],[Fault Time]])*24</f>
        <v>0</v>
      </c>
      <c r="AC451" s="34">
        <f>(TA[[#This Row],[Work Completion time on fault]]-TA[[#This Row],[Fault Time]])*24</f>
        <v>0</v>
      </c>
      <c r="AD451" s="35">
        <f>IFERROR((TA[[#This Row],[Work Completion time on fault]]-TA[[#This Row],[Fault Time]])*24,"")</f>
        <v>0</v>
      </c>
      <c r="AE451" t="s">
        <v>328</v>
      </c>
      <c r="AF451" t="s">
        <v>256</v>
      </c>
      <c r="AG451" s="2"/>
      <c r="AH451" s="44">
        <f>1-COS(RADIANS(TA[[#This Row],[Avg. Target Angle during Fault Time (Radians)]]-TA[[#This Row],[Angle of affected equipment ]]))</f>
        <v>0.11705240714107301</v>
      </c>
      <c r="AI451" s="35">
        <f>IFERROR(TA[[#This Row],[Breakdown Time]]*TA[[#This Row],[Plant Equivalent Weightage]],"")</f>
        <v>0</v>
      </c>
    </row>
    <row r="452" spans="1:35">
      <c r="A452" s="2">
        <f t="shared" si="23"/>
        <v>449</v>
      </c>
      <c r="B452" s="156">
        <f t="shared" si="21"/>
        <v>2026</v>
      </c>
      <c r="C452" s="129">
        <f t="shared" si="22"/>
        <v>2025</v>
      </c>
      <c r="D452" s="2" t="s">
        <v>155</v>
      </c>
      <c r="E452" s="2" t="s">
        <v>155</v>
      </c>
      <c r="F452" s="39">
        <v>45748</v>
      </c>
      <c r="G452" s="2">
        <f>DAY(EOMONTH(TA[[#This Row],[Month Year]],0))</f>
        <v>30</v>
      </c>
      <c r="H452" s="21">
        <v>45775</v>
      </c>
      <c r="I452" s="41">
        <f>IFERROR(VLOOKUP(TA[[#This Row],[Date]],Raw_Data[[Date]:[Sunset Time (POA&lt;20 W/m2)]],3,0),"")</f>
        <v>0.25208333333333333</v>
      </c>
      <c r="J452" s="41">
        <f>IFERROR(VLOOKUP(TA[[#This Row],[Date]],Raw_Data[[Date]:[Sunset Time (POA&lt;20 W/m2)]],4,0),"")</f>
        <v>0.76527777777777772</v>
      </c>
      <c r="K452" s="35">
        <f>IFERROR((TA[[#This Row],[Sunset Time (POA&lt;20 W/m2)]]-TA[[#This Row],[Sunrise Time (POA&gt;20 W/m2)]])*24,"")</f>
        <v>12.316666666666666</v>
      </c>
      <c r="L452" s="2" t="s">
        <v>296</v>
      </c>
      <c r="M452" s="42">
        <f>IFERROR(VLOOKUP(TA[[#This Row],[Affected Equipment]],'Basic Data'!$I$2:$K$40,3,0),"")</f>
        <v>8.6206896551724102E-3</v>
      </c>
      <c r="N452">
        <v>-28</v>
      </c>
      <c r="O452" t="s">
        <v>134</v>
      </c>
      <c r="P452" s="22" t="s">
        <v>330</v>
      </c>
      <c r="Q452" s="2" t="s">
        <v>323</v>
      </c>
      <c r="R452">
        <v>31</v>
      </c>
      <c r="S452" s="2">
        <v>61</v>
      </c>
      <c r="T452" t="s">
        <v>297</v>
      </c>
      <c r="U452" t="s">
        <v>326</v>
      </c>
      <c r="V452" t="s">
        <v>301</v>
      </c>
      <c r="W452" s="41"/>
      <c r="X452" s="41"/>
      <c r="Y452" s="34"/>
      <c r="Z452" s="34"/>
      <c r="AA452" s="35">
        <f>IF(TA[[#This Row],[Work Start time on Fault]]="NA","",(TA[[#This Row],[Fault Acknowledgement Time ]]-TA[[#This Row],[Fault Time]])*24)</f>
        <v>0</v>
      </c>
      <c r="AB452" s="35">
        <f>(TA[[#This Row],[Work Start time on Fault]]-TA[[#This Row],[Fault Time]])*24</f>
        <v>0</v>
      </c>
      <c r="AC452" s="34">
        <f>(TA[[#This Row],[Work Completion time on fault]]-TA[[#This Row],[Fault Time]])*24</f>
        <v>0</v>
      </c>
      <c r="AD452" s="35">
        <f>IFERROR((TA[[#This Row],[Work Completion time on fault]]-TA[[#This Row],[Fault Time]])*24,"")</f>
        <v>0</v>
      </c>
      <c r="AE452" t="s">
        <v>328</v>
      </c>
      <c r="AF452" t="s">
        <v>256</v>
      </c>
      <c r="AG452" s="2"/>
      <c r="AH452" s="44">
        <f>1-COS(RADIANS(TA[[#This Row],[Avg. Target Angle during Fault Time (Radians)]]-TA[[#This Row],[Angle of affected equipment ]]))</f>
        <v>0.11705240714107301</v>
      </c>
      <c r="AI452" s="35">
        <f>IFERROR(TA[[#This Row],[Breakdown Time]]*TA[[#This Row],[Plant Equivalent Weightage]],"")</f>
        <v>0</v>
      </c>
    </row>
    <row r="453" spans="1:35">
      <c r="A453" s="2">
        <f t="shared" si="23"/>
        <v>450</v>
      </c>
      <c r="B453" s="156">
        <f t="shared" ref="B453:B516" si="24">YEAR(H453)+IF(MONTH(H453)&gt;=4,1,0)</f>
        <v>2026</v>
      </c>
      <c r="C453" s="129">
        <f t="shared" ref="C453:C516" si="25">YEAR(H453)</f>
        <v>2025</v>
      </c>
      <c r="D453" s="2" t="s">
        <v>155</v>
      </c>
      <c r="E453" s="2" t="s">
        <v>155</v>
      </c>
      <c r="F453" s="39">
        <v>45748</v>
      </c>
      <c r="G453" s="2">
        <f>DAY(EOMONTH(TA[[#This Row],[Month Year]],0))</f>
        <v>30</v>
      </c>
      <c r="H453" s="21">
        <v>45775</v>
      </c>
      <c r="I453" s="41">
        <f>IFERROR(VLOOKUP(TA[[#This Row],[Date]],Raw_Data[[Date]:[Sunset Time (POA&lt;20 W/m2)]],3,0),"")</f>
        <v>0.25208333333333333</v>
      </c>
      <c r="J453" s="41">
        <f>IFERROR(VLOOKUP(TA[[#This Row],[Date]],Raw_Data[[Date]:[Sunset Time (POA&lt;20 W/m2)]],4,0),"")</f>
        <v>0.76527777777777772</v>
      </c>
      <c r="K453" s="35">
        <f>IFERROR((TA[[#This Row],[Sunset Time (POA&lt;20 W/m2)]]-TA[[#This Row],[Sunrise Time (POA&gt;20 W/m2)]])*24,"")</f>
        <v>12.316666666666666</v>
      </c>
      <c r="L453" s="2" t="s">
        <v>312</v>
      </c>
      <c r="M453" s="42">
        <f>IFERROR(VLOOKUP(TA[[#This Row],[Affected Equipment]],'Basic Data'!$I$2:$K$40,3,0),"")</f>
        <v>5.74712643678161E-3</v>
      </c>
      <c r="N453">
        <v>-28</v>
      </c>
      <c r="O453" t="s">
        <v>133</v>
      </c>
      <c r="P453" s="22" t="s">
        <v>330</v>
      </c>
      <c r="Q453" s="2" t="s">
        <v>323</v>
      </c>
      <c r="R453">
        <v>26</v>
      </c>
      <c r="S453" s="2">
        <v>37</v>
      </c>
      <c r="T453" t="s">
        <v>297</v>
      </c>
      <c r="U453" t="s">
        <v>326</v>
      </c>
      <c r="V453" t="s">
        <v>301</v>
      </c>
      <c r="W453" s="41"/>
      <c r="X453" s="41"/>
      <c r="Y453" s="34"/>
      <c r="Z453" s="34"/>
      <c r="AA453" s="35">
        <f>IF(TA[[#This Row],[Work Start time on Fault]]="NA","",(TA[[#This Row],[Fault Acknowledgement Time ]]-TA[[#This Row],[Fault Time]])*24)</f>
        <v>0</v>
      </c>
      <c r="AB453" s="35">
        <f>(TA[[#This Row],[Work Start time on Fault]]-TA[[#This Row],[Fault Time]])*24</f>
        <v>0</v>
      </c>
      <c r="AC453" s="34">
        <f>(TA[[#This Row],[Work Completion time on fault]]-TA[[#This Row],[Fault Time]])*24</f>
        <v>0</v>
      </c>
      <c r="AD453" s="35">
        <f>IFERROR((TA[[#This Row],[Work Completion time on fault]]-TA[[#This Row],[Fault Time]])*24,"")</f>
        <v>0</v>
      </c>
      <c r="AE453" t="s">
        <v>328</v>
      </c>
      <c r="AF453" t="s">
        <v>256</v>
      </c>
      <c r="AG453" s="2"/>
      <c r="AH453" s="44">
        <f>1-COS(RADIANS(TA[[#This Row],[Avg. Target Angle during Fault Time (Radians)]]-TA[[#This Row],[Angle of affected equipment ]]))</f>
        <v>0.11705240714107301</v>
      </c>
      <c r="AI453" s="35">
        <f>IFERROR(TA[[#This Row],[Breakdown Time]]*TA[[#This Row],[Plant Equivalent Weightage]],"")</f>
        <v>0</v>
      </c>
    </row>
    <row r="454" spans="1:35">
      <c r="A454" s="2">
        <f t="shared" si="23"/>
        <v>451</v>
      </c>
      <c r="B454" s="156">
        <f t="shared" si="24"/>
        <v>2026</v>
      </c>
      <c r="C454" s="129">
        <f t="shared" si="25"/>
        <v>2025</v>
      </c>
      <c r="D454" s="2" t="s">
        <v>155</v>
      </c>
      <c r="E454" s="2" t="s">
        <v>155</v>
      </c>
      <c r="F454" s="39">
        <v>45748</v>
      </c>
      <c r="G454" s="2">
        <f>DAY(EOMONTH(TA[[#This Row],[Month Year]],0))</f>
        <v>30</v>
      </c>
      <c r="H454" s="21">
        <v>45775</v>
      </c>
      <c r="I454" s="41">
        <f>IFERROR(VLOOKUP(TA[[#This Row],[Date]],Raw_Data[[Date]:[Sunset Time (POA&lt;20 W/m2)]],3,0),"")</f>
        <v>0.25208333333333333</v>
      </c>
      <c r="J454" s="41">
        <f>IFERROR(VLOOKUP(TA[[#This Row],[Date]],Raw_Data[[Date]:[Sunset Time (POA&lt;20 W/m2)]],4,0),"")</f>
        <v>0.76527777777777772</v>
      </c>
      <c r="K454" s="35">
        <f>IFERROR((TA[[#This Row],[Sunset Time (POA&lt;20 W/m2)]]-TA[[#This Row],[Sunrise Time (POA&gt;20 W/m2)]])*24,"")</f>
        <v>12.316666666666666</v>
      </c>
      <c r="L454" s="2" t="s">
        <v>312</v>
      </c>
      <c r="M454" s="42">
        <f>IFERROR(VLOOKUP(TA[[#This Row],[Affected Equipment]],'Basic Data'!$I$2:$K$40,3,0),"")</f>
        <v>5.74712643678161E-3</v>
      </c>
      <c r="N454">
        <v>-28</v>
      </c>
      <c r="O454" t="s">
        <v>133</v>
      </c>
      <c r="P454" s="22" t="s">
        <v>330</v>
      </c>
      <c r="Q454" s="2" t="s">
        <v>323</v>
      </c>
      <c r="R454">
        <v>27</v>
      </c>
      <c r="S454" s="2">
        <v>42</v>
      </c>
      <c r="T454" t="s">
        <v>297</v>
      </c>
      <c r="U454" t="s">
        <v>326</v>
      </c>
      <c r="V454" t="s">
        <v>301</v>
      </c>
      <c r="W454" s="41">
        <f>IFERROR(VLOOKUP(TA[[#This Row],[Date]],Raw_Data[[Date]:[Sunset Time (POA&lt;20 W/m2)]],3,0),"")</f>
        <v>0.25208333333333333</v>
      </c>
      <c r="X454" s="41">
        <f>IFERROR(VLOOKUP(TA[[#This Row],[Date]],Raw_Data[[Date]:[Sunset Time (POA&lt;20 W/m2)]],3,0),"")</f>
        <v>0.25208333333333333</v>
      </c>
      <c r="Y454" s="34"/>
      <c r="Z454" s="34">
        <v>0.76041666666666663</v>
      </c>
      <c r="AA454" s="35">
        <f>IF(TA[[#This Row],[Work Start time on Fault]]="NA","",(TA[[#This Row],[Fault Acknowledgement Time ]]-TA[[#This Row],[Fault Time]])*24)</f>
        <v>0</v>
      </c>
      <c r="AB454" s="35">
        <f>(TA[[#This Row],[Work Start time on Fault]]-TA[[#This Row],[Fault Time]])*24</f>
        <v>-6.05</v>
      </c>
      <c r="AC454" s="34">
        <f>(TA[[#This Row],[Work Completion time on fault]]-TA[[#This Row],[Fault Time]])*24</f>
        <v>12.2</v>
      </c>
      <c r="AD454" s="35">
        <f>IFERROR((TA[[#This Row],[Work Completion time on fault]]-TA[[#This Row],[Fault Time]])*24,"")</f>
        <v>12.2</v>
      </c>
      <c r="AE454" t="s">
        <v>309</v>
      </c>
      <c r="AF454" t="s">
        <v>256</v>
      </c>
      <c r="AG454" s="2"/>
      <c r="AH454" s="44">
        <f>1-COS(RADIANS(TA[[#This Row],[Avg. Target Angle during Fault Time (Radians)]]-TA[[#This Row],[Angle of affected equipment ]]))</f>
        <v>0.11705240714107301</v>
      </c>
      <c r="AI454" s="35">
        <f>IFERROR(TA[[#This Row],[Breakdown Time]]*TA[[#This Row],[Plant Equivalent Weightage]],"")</f>
        <v>7.0114942528735638E-2</v>
      </c>
    </row>
    <row r="455" spans="1:35">
      <c r="A455" s="2">
        <f t="shared" si="23"/>
        <v>452</v>
      </c>
      <c r="B455" s="156">
        <f t="shared" si="24"/>
        <v>2026</v>
      </c>
      <c r="C455" s="129">
        <f t="shared" si="25"/>
        <v>2025</v>
      </c>
      <c r="D455" s="2" t="s">
        <v>155</v>
      </c>
      <c r="E455" s="2" t="s">
        <v>155</v>
      </c>
      <c r="F455" s="39">
        <v>45748</v>
      </c>
      <c r="G455" s="2">
        <f>DAY(EOMONTH(TA[[#This Row],[Month Year]],0))</f>
        <v>30</v>
      </c>
      <c r="H455" s="21">
        <v>45776</v>
      </c>
      <c r="I455" s="41">
        <f>IFERROR(VLOOKUP(TA[[#This Row],[Date]],Raw_Data[[Date]:[Sunset Time (POA&lt;20 W/m2)]],3,0),"")</f>
        <v>0.25555555555555554</v>
      </c>
      <c r="J455" s="41">
        <f>IFERROR(VLOOKUP(TA[[#This Row],[Date]],Raw_Data[[Date]:[Sunset Time (POA&lt;20 W/m2)]],4,0),"")</f>
        <v>0.76527777777777772</v>
      </c>
      <c r="K455" s="35">
        <f>IFERROR((TA[[#This Row],[Sunset Time (POA&lt;20 W/m2)]]-TA[[#This Row],[Sunrise Time (POA&gt;20 W/m2)]])*24,"")</f>
        <v>12.233333333333333</v>
      </c>
      <c r="L455" s="2" t="s">
        <v>312</v>
      </c>
      <c r="M455" s="42">
        <f>IFERROR(VLOOKUP(TA[[#This Row],[Affected Equipment]],'Basic Data'!$I$2:$K$40,3,0),"")</f>
        <v>5.74712643678161E-3</v>
      </c>
      <c r="N455">
        <v>-28</v>
      </c>
      <c r="O455" t="s">
        <v>133</v>
      </c>
      <c r="P455" s="22" t="s">
        <v>330</v>
      </c>
      <c r="Q455" s="2" t="s">
        <v>323</v>
      </c>
      <c r="R455">
        <v>27</v>
      </c>
      <c r="S455" s="2">
        <v>42</v>
      </c>
      <c r="T455" t="s">
        <v>297</v>
      </c>
      <c r="U455" t="s">
        <v>326</v>
      </c>
      <c r="V455" t="s">
        <v>301</v>
      </c>
      <c r="W455" s="41">
        <f>IFERROR(VLOOKUP(TA[[#This Row],[Date]],Raw_Data[[Date]:[Sunset Time (POA&lt;20 W/m2)]],3,0),"")</f>
        <v>0.25555555555555554</v>
      </c>
      <c r="X455" s="41">
        <f>IFERROR(VLOOKUP(TA[[#This Row],[Date]],Raw_Data[[Date]:[Sunset Time (POA&lt;20 W/m2)]],3,0),"")</f>
        <v>0.25555555555555554</v>
      </c>
      <c r="Y455" s="34"/>
      <c r="Z455" s="34">
        <v>0.76041666666666663</v>
      </c>
      <c r="AA455" s="35">
        <f>IF(TA[[#This Row],[Work Start time on Fault]]="NA","",(TA[[#This Row],[Fault Acknowledgement Time ]]-TA[[#This Row],[Fault Time]])*24)</f>
        <v>0</v>
      </c>
      <c r="AB455" s="35">
        <f>(TA[[#This Row],[Work Start time on Fault]]-TA[[#This Row],[Fault Time]])*24</f>
        <v>-6.1333333333333329</v>
      </c>
      <c r="AC455" s="34">
        <f>(TA[[#This Row],[Work Completion time on fault]]-TA[[#This Row],[Fault Time]])*24</f>
        <v>12.116666666666667</v>
      </c>
      <c r="AD455" s="35">
        <f>IFERROR((TA[[#This Row],[Work Completion time on fault]]-TA[[#This Row],[Fault Time]])*24,"")</f>
        <v>12.116666666666667</v>
      </c>
      <c r="AE455" t="s">
        <v>309</v>
      </c>
      <c r="AF455" t="s">
        <v>256</v>
      </c>
      <c r="AG455" s="2"/>
      <c r="AH455" s="44">
        <f>1-COS(RADIANS(TA[[#This Row],[Avg. Target Angle during Fault Time (Radians)]]-TA[[#This Row],[Angle of affected equipment ]]))</f>
        <v>0.11705240714107301</v>
      </c>
      <c r="AI455" s="35">
        <f>IFERROR(TA[[#This Row],[Breakdown Time]]*TA[[#This Row],[Plant Equivalent Weightage]],"")</f>
        <v>6.9636015325670514E-2</v>
      </c>
    </row>
    <row r="456" spans="1:35">
      <c r="A456" s="2">
        <f t="shared" si="23"/>
        <v>453</v>
      </c>
      <c r="B456" s="156">
        <f t="shared" si="24"/>
        <v>2026</v>
      </c>
      <c r="C456" s="129">
        <f t="shared" si="25"/>
        <v>2025</v>
      </c>
      <c r="D456" s="2" t="s">
        <v>155</v>
      </c>
      <c r="E456" s="2" t="s">
        <v>155</v>
      </c>
      <c r="F456" s="39">
        <v>45748</v>
      </c>
      <c r="G456" s="2">
        <f>DAY(EOMONTH(TA[[#This Row],[Month Year]],0))</f>
        <v>30</v>
      </c>
      <c r="H456" s="21">
        <v>45776</v>
      </c>
      <c r="I456" s="41">
        <f>IFERROR(VLOOKUP(TA[[#This Row],[Date]],Raw_Data[[Date]:[Sunset Time (POA&lt;20 W/m2)]],3,0),"")</f>
        <v>0.25555555555555554</v>
      </c>
      <c r="J456" s="41">
        <f>IFERROR(VLOOKUP(TA[[#This Row],[Date]],Raw_Data[[Date]:[Sunset Time (POA&lt;20 W/m2)]],4,0),"")</f>
        <v>0.76527777777777772</v>
      </c>
      <c r="K456" s="35">
        <f>IFERROR((TA[[#This Row],[Sunset Time (POA&lt;20 W/m2)]]-TA[[#This Row],[Sunrise Time (POA&gt;20 W/m2)]])*24,"")</f>
        <v>12.233333333333333</v>
      </c>
      <c r="L456" s="2" t="s">
        <v>294</v>
      </c>
      <c r="M456" s="42">
        <f>IFERROR(VLOOKUP(TA[[#This Row],[Affected Equipment]],'Basic Data'!$I$2:$K$40,3,0),"")</f>
        <v>1.7241379310344799E-3</v>
      </c>
      <c r="N456">
        <v>-28</v>
      </c>
      <c r="O456" t="s">
        <v>135</v>
      </c>
      <c r="P456" s="127" t="s">
        <v>318</v>
      </c>
      <c r="Q456" s="126" t="s">
        <v>318</v>
      </c>
      <c r="R456">
        <v>130</v>
      </c>
      <c r="S456" s="2">
        <v>37</v>
      </c>
      <c r="T456" t="s">
        <v>295</v>
      </c>
      <c r="U456" t="s">
        <v>300</v>
      </c>
      <c r="V456" t="s">
        <v>298</v>
      </c>
      <c r="W456" s="41"/>
      <c r="X456" s="41"/>
      <c r="Y456" s="34"/>
      <c r="Z456" s="34"/>
      <c r="AA456" s="35">
        <f>IF(TA[[#This Row],[Work Start time on Fault]]="NA","",(TA[[#This Row],[Fault Acknowledgement Time ]]-TA[[#This Row],[Fault Time]])*24)</f>
        <v>0</v>
      </c>
      <c r="AB456" s="35">
        <f>(TA[[#This Row],[Work Start time on Fault]]-TA[[#This Row],[Fault Time]])*24</f>
        <v>0</v>
      </c>
      <c r="AC456" s="34">
        <f>(TA[[#This Row],[Work Completion time on fault]]-TA[[#This Row],[Fault Time]])*24</f>
        <v>0</v>
      </c>
      <c r="AD456" s="35">
        <f>IFERROR((TA[[#This Row],[Work Completion time on fault]]-TA[[#This Row],[Fault Time]])*24,"")</f>
        <v>0</v>
      </c>
      <c r="AE456" t="s">
        <v>328</v>
      </c>
      <c r="AF456" t="s">
        <v>256</v>
      </c>
      <c r="AG456" s="2"/>
      <c r="AH456" s="44">
        <f>1-COS(RADIANS(TA[[#This Row],[Avg. Target Angle during Fault Time (Radians)]]-TA[[#This Row],[Angle of affected equipment ]]))</f>
        <v>0.11705240714107301</v>
      </c>
      <c r="AI456" s="35">
        <f>IFERROR(TA[[#This Row],[Breakdown Time]]*TA[[#This Row],[Plant Equivalent Weightage]],"")</f>
        <v>0</v>
      </c>
    </row>
    <row r="457" spans="1:35">
      <c r="A457" s="2">
        <f t="shared" si="23"/>
        <v>454</v>
      </c>
      <c r="B457" s="156">
        <f t="shared" si="24"/>
        <v>2026</v>
      </c>
      <c r="C457" s="129">
        <f t="shared" si="25"/>
        <v>2025</v>
      </c>
      <c r="D457" s="2" t="s">
        <v>155</v>
      </c>
      <c r="E457" s="2" t="s">
        <v>155</v>
      </c>
      <c r="F457" s="39">
        <v>45748</v>
      </c>
      <c r="G457" s="2">
        <f>DAY(EOMONTH(TA[[#This Row],[Month Year]],0))</f>
        <v>30</v>
      </c>
      <c r="H457" s="21">
        <v>45776</v>
      </c>
      <c r="I457" s="41">
        <f>IFERROR(VLOOKUP(TA[[#This Row],[Date]],Raw_Data[[Date]:[Sunset Time (POA&lt;20 W/m2)]],3,0),"")</f>
        <v>0.25555555555555554</v>
      </c>
      <c r="J457" s="41">
        <f>IFERROR(VLOOKUP(TA[[#This Row],[Date]],Raw_Data[[Date]:[Sunset Time (POA&lt;20 W/m2)]],4,0),"")</f>
        <v>0.76527777777777772</v>
      </c>
      <c r="K457" s="35">
        <f>IFERROR((TA[[#This Row],[Sunset Time (POA&lt;20 W/m2)]]-TA[[#This Row],[Sunrise Time (POA&gt;20 W/m2)]])*24,"")</f>
        <v>12.233333333333333</v>
      </c>
      <c r="L457" s="2" t="s">
        <v>294</v>
      </c>
      <c r="M457" s="42">
        <f>IFERROR(VLOOKUP(TA[[#This Row],[Affected Equipment]],'Basic Data'!$I$2:$K$40,3,0),"")</f>
        <v>1.7241379310344799E-3</v>
      </c>
      <c r="N457">
        <v>-28</v>
      </c>
      <c r="O457" t="s">
        <v>135</v>
      </c>
      <c r="P457" s="127" t="s">
        <v>318</v>
      </c>
      <c r="Q457" s="126" t="s">
        <v>318</v>
      </c>
      <c r="R457">
        <v>131</v>
      </c>
      <c r="S457" s="2">
        <v>38</v>
      </c>
      <c r="T457" t="s">
        <v>295</v>
      </c>
      <c r="U457" t="s">
        <v>300</v>
      </c>
      <c r="V457" t="s">
        <v>298</v>
      </c>
      <c r="W457" s="41"/>
      <c r="X457" s="41"/>
      <c r="Y457" s="34"/>
      <c r="Z457" s="34"/>
      <c r="AA457" s="35">
        <f>IF(TA[[#This Row],[Work Start time on Fault]]="NA","",(TA[[#This Row],[Fault Acknowledgement Time ]]-TA[[#This Row],[Fault Time]])*24)</f>
        <v>0</v>
      </c>
      <c r="AB457" s="35">
        <f>(TA[[#This Row],[Work Start time on Fault]]-TA[[#This Row],[Fault Time]])*24</f>
        <v>0</v>
      </c>
      <c r="AC457" s="34">
        <f>(TA[[#This Row],[Work Completion time on fault]]-TA[[#This Row],[Fault Time]])*24</f>
        <v>0</v>
      </c>
      <c r="AD457" s="35">
        <f>IFERROR((TA[[#This Row],[Work Completion time on fault]]-TA[[#This Row],[Fault Time]])*24,"")</f>
        <v>0</v>
      </c>
      <c r="AE457" t="s">
        <v>328</v>
      </c>
      <c r="AF457" t="s">
        <v>256</v>
      </c>
      <c r="AG457" s="2"/>
      <c r="AH457" s="44">
        <f>1-COS(RADIANS(TA[[#This Row],[Avg. Target Angle during Fault Time (Radians)]]-TA[[#This Row],[Angle of affected equipment ]]))</f>
        <v>0.11705240714107301</v>
      </c>
      <c r="AI457" s="35">
        <f>IFERROR(TA[[#This Row],[Breakdown Time]]*TA[[#This Row],[Plant Equivalent Weightage]],"")</f>
        <v>0</v>
      </c>
    </row>
    <row r="458" spans="1:35">
      <c r="A458" s="2">
        <f t="shared" si="23"/>
        <v>455</v>
      </c>
      <c r="B458" s="156">
        <f t="shared" si="24"/>
        <v>2026</v>
      </c>
      <c r="C458" s="129">
        <f t="shared" si="25"/>
        <v>2025</v>
      </c>
      <c r="D458" s="2" t="s">
        <v>155</v>
      </c>
      <c r="E458" s="2" t="s">
        <v>155</v>
      </c>
      <c r="F458" s="39">
        <v>45748</v>
      </c>
      <c r="G458" s="2">
        <f>DAY(EOMONTH(TA[[#This Row],[Month Year]],0))</f>
        <v>30</v>
      </c>
      <c r="H458" s="21">
        <v>45776</v>
      </c>
      <c r="I458" s="41">
        <f>IFERROR(VLOOKUP(TA[[#This Row],[Date]],Raw_Data[[Date]:[Sunset Time (POA&lt;20 W/m2)]],3,0),"")</f>
        <v>0.25555555555555554</v>
      </c>
      <c r="J458" s="41">
        <f>IFERROR(VLOOKUP(TA[[#This Row],[Date]],Raw_Data[[Date]:[Sunset Time (POA&lt;20 W/m2)]],4,0),"")</f>
        <v>0.76527777777777772</v>
      </c>
      <c r="K458" s="35">
        <f>IFERROR((TA[[#This Row],[Sunset Time (POA&lt;20 W/m2)]]-TA[[#This Row],[Sunrise Time (POA&gt;20 W/m2)]])*24,"")</f>
        <v>12.233333333333333</v>
      </c>
      <c r="L458" s="2" t="s">
        <v>294</v>
      </c>
      <c r="M458" s="42">
        <f>IFERROR(VLOOKUP(TA[[#This Row],[Affected Equipment]],'Basic Data'!$I$2:$K$40,3,0),"")</f>
        <v>1.7241379310344799E-3</v>
      </c>
      <c r="N458">
        <v>-28</v>
      </c>
      <c r="O458" t="s">
        <v>135</v>
      </c>
      <c r="P458" s="127" t="s">
        <v>318</v>
      </c>
      <c r="Q458" s="126" t="s">
        <v>318</v>
      </c>
      <c r="R458">
        <v>131</v>
      </c>
      <c r="S458" s="2">
        <v>39</v>
      </c>
      <c r="T458" t="s">
        <v>295</v>
      </c>
      <c r="U458" t="s">
        <v>300</v>
      </c>
      <c r="V458" t="s">
        <v>298</v>
      </c>
      <c r="W458" s="41"/>
      <c r="X458" s="41"/>
      <c r="Y458" s="34"/>
      <c r="Z458" s="34"/>
      <c r="AA458" s="35">
        <f>IF(TA[[#This Row],[Work Start time on Fault]]="NA","",(TA[[#This Row],[Fault Acknowledgement Time ]]-TA[[#This Row],[Fault Time]])*24)</f>
        <v>0</v>
      </c>
      <c r="AB458" s="35">
        <f>(TA[[#This Row],[Work Start time on Fault]]-TA[[#This Row],[Fault Time]])*24</f>
        <v>0</v>
      </c>
      <c r="AC458" s="34">
        <f>(TA[[#This Row],[Work Completion time on fault]]-TA[[#This Row],[Fault Time]])*24</f>
        <v>0</v>
      </c>
      <c r="AD458" s="35">
        <f>IFERROR((TA[[#This Row],[Work Completion time on fault]]-TA[[#This Row],[Fault Time]])*24,"")</f>
        <v>0</v>
      </c>
      <c r="AE458" t="s">
        <v>328</v>
      </c>
      <c r="AF458" t="s">
        <v>256</v>
      </c>
      <c r="AG458" s="2"/>
      <c r="AH458" s="44">
        <f>1-COS(RADIANS(TA[[#This Row],[Avg. Target Angle during Fault Time (Radians)]]-TA[[#This Row],[Angle of affected equipment ]]))</f>
        <v>0.11705240714107301</v>
      </c>
      <c r="AI458" s="35">
        <f>IFERROR(TA[[#This Row],[Breakdown Time]]*TA[[#This Row],[Plant Equivalent Weightage]],"")</f>
        <v>0</v>
      </c>
    </row>
    <row r="459" spans="1:35">
      <c r="A459" s="2">
        <f t="shared" si="23"/>
        <v>456</v>
      </c>
      <c r="B459" s="156">
        <f t="shared" si="24"/>
        <v>2026</v>
      </c>
      <c r="C459" s="129">
        <f t="shared" si="25"/>
        <v>2025</v>
      </c>
      <c r="D459" s="2" t="s">
        <v>155</v>
      </c>
      <c r="E459" s="2" t="s">
        <v>155</v>
      </c>
      <c r="F459" s="39">
        <v>45748</v>
      </c>
      <c r="G459" s="2">
        <f>DAY(EOMONTH(TA[[#This Row],[Month Year]],0))</f>
        <v>30</v>
      </c>
      <c r="H459" s="21">
        <v>45776</v>
      </c>
      <c r="I459" s="41">
        <f>IFERROR(VLOOKUP(TA[[#This Row],[Date]],Raw_Data[[Date]:[Sunset Time (POA&lt;20 W/m2)]],3,0),"")</f>
        <v>0.25555555555555554</v>
      </c>
      <c r="J459" s="41">
        <f>IFERROR(VLOOKUP(TA[[#This Row],[Date]],Raw_Data[[Date]:[Sunset Time (POA&lt;20 W/m2)]],4,0),"")</f>
        <v>0.76527777777777772</v>
      </c>
      <c r="K459" s="35">
        <f>IFERROR((TA[[#This Row],[Sunset Time (POA&lt;20 W/m2)]]-TA[[#This Row],[Sunrise Time (POA&gt;20 W/m2)]])*24,"")</f>
        <v>12.233333333333333</v>
      </c>
      <c r="L459" s="2" t="s">
        <v>296</v>
      </c>
      <c r="M459" s="42">
        <f>IFERROR(VLOOKUP(TA[[#This Row],[Affected Equipment]],'Basic Data'!$I$2:$K$40,3,0),"")</f>
        <v>8.6206896551724102E-3</v>
      </c>
      <c r="N459">
        <v>-28</v>
      </c>
      <c r="O459" t="s">
        <v>135</v>
      </c>
      <c r="P459" s="127" t="s">
        <v>318</v>
      </c>
      <c r="Q459" s="2" t="s">
        <v>321</v>
      </c>
      <c r="R459">
        <v>133</v>
      </c>
      <c r="S459" s="2">
        <v>26</v>
      </c>
      <c r="T459" t="s">
        <v>297</v>
      </c>
      <c r="U459" t="s">
        <v>300</v>
      </c>
      <c r="V459" t="s">
        <v>314</v>
      </c>
      <c r="W459" s="41">
        <f>IFERROR(VLOOKUP(TA[[#This Row],[Date]],Raw_Data[[Date]:[Sunset Time (POA&lt;20 W/m2)]],3,0),"")</f>
        <v>0.25555555555555554</v>
      </c>
      <c r="X459" s="41">
        <f>IFERROR(VLOOKUP(TA[[#This Row],[Date]],Raw_Data[[Date]:[Sunset Time (POA&lt;20 W/m2)]],3,0),"")</f>
        <v>0.25555555555555554</v>
      </c>
      <c r="Y459" s="34"/>
      <c r="Z459" s="34">
        <v>0.76041666666666663</v>
      </c>
      <c r="AA459" s="35">
        <f>IF(TA[[#This Row],[Work Start time on Fault]]="NA","",(TA[[#This Row],[Fault Acknowledgement Time ]]-TA[[#This Row],[Fault Time]])*24)</f>
        <v>0</v>
      </c>
      <c r="AB459" s="35">
        <f>(TA[[#This Row],[Work Start time on Fault]]-TA[[#This Row],[Fault Time]])*24</f>
        <v>-6.1333333333333329</v>
      </c>
      <c r="AC459" s="34">
        <f>(TA[[#This Row],[Work Completion time on fault]]-TA[[#This Row],[Fault Time]])*24</f>
        <v>12.116666666666667</v>
      </c>
      <c r="AD459" s="35">
        <f>IFERROR((TA[[#This Row],[Work Completion time on fault]]-TA[[#This Row],[Fault Time]])*24,"")</f>
        <v>12.116666666666667</v>
      </c>
      <c r="AE459" t="s">
        <v>328</v>
      </c>
      <c r="AF459" t="s">
        <v>256</v>
      </c>
      <c r="AG459" s="2"/>
      <c r="AH459" s="44">
        <f>1-COS(RADIANS(TA[[#This Row],[Avg. Target Angle during Fault Time (Radians)]]-TA[[#This Row],[Angle of affected equipment ]]))</f>
        <v>0.11705240714107301</v>
      </c>
      <c r="AI459" s="35">
        <f>IFERROR(TA[[#This Row],[Breakdown Time]]*TA[[#This Row],[Plant Equivalent Weightage]],"")</f>
        <v>0.1044540229885057</v>
      </c>
    </row>
    <row r="460" spans="1:35">
      <c r="A460" s="2">
        <f t="shared" si="23"/>
        <v>457</v>
      </c>
      <c r="B460" s="156">
        <f t="shared" si="24"/>
        <v>2026</v>
      </c>
      <c r="C460" s="129">
        <f t="shared" si="25"/>
        <v>2025</v>
      </c>
      <c r="D460" s="2" t="s">
        <v>155</v>
      </c>
      <c r="E460" s="2" t="s">
        <v>155</v>
      </c>
      <c r="F460" s="39">
        <v>45748</v>
      </c>
      <c r="G460" s="2">
        <f>DAY(EOMONTH(TA[[#This Row],[Month Year]],0))</f>
        <v>30</v>
      </c>
      <c r="H460" s="21">
        <v>45776</v>
      </c>
      <c r="I460" s="41">
        <f>IFERROR(VLOOKUP(TA[[#This Row],[Date]],Raw_Data[[Date]:[Sunset Time (POA&lt;20 W/m2)]],3,0),"")</f>
        <v>0.25555555555555554</v>
      </c>
      <c r="J460" s="41">
        <f>IFERROR(VLOOKUP(TA[[#This Row],[Date]],Raw_Data[[Date]:[Sunset Time (POA&lt;20 W/m2)]],4,0),"")</f>
        <v>0.76527777777777772</v>
      </c>
      <c r="K460" s="35">
        <f>IFERROR((TA[[#This Row],[Sunset Time (POA&lt;20 W/m2)]]-TA[[#This Row],[Sunrise Time (POA&gt;20 W/m2)]])*24,"")</f>
        <v>12.233333333333333</v>
      </c>
      <c r="L460" s="2" t="s">
        <v>294</v>
      </c>
      <c r="M460" s="42">
        <f>IFERROR(VLOOKUP(TA[[#This Row],[Affected Equipment]],'Basic Data'!$I$2:$K$40,3,0),"")</f>
        <v>1.7241379310344799E-3</v>
      </c>
      <c r="N460">
        <v>-28</v>
      </c>
      <c r="O460" t="s">
        <v>133</v>
      </c>
      <c r="P460" s="127" t="s">
        <v>316</v>
      </c>
      <c r="Q460" s="126" t="s">
        <v>317</v>
      </c>
      <c r="R460">
        <v>7</v>
      </c>
      <c r="S460" s="2">
        <v>32</v>
      </c>
      <c r="T460" t="s">
        <v>295</v>
      </c>
      <c r="U460" t="s">
        <v>300</v>
      </c>
      <c r="V460" t="s">
        <v>298</v>
      </c>
      <c r="W460" s="41"/>
      <c r="X460" s="41"/>
      <c r="Y460" s="34"/>
      <c r="Z460" s="34"/>
      <c r="AA460" s="35">
        <f>IF(TA[[#This Row],[Work Start time on Fault]]="NA","",(TA[[#This Row],[Fault Acknowledgement Time ]]-TA[[#This Row],[Fault Time]])*24)</f>
        <v>0</v>
      </c>
      <c r="AB460" s="35">
        <f>(TA[[#This Row],[Work Start time on Fault]]-TA[[#This Row],[Fault Time]])*24</f>
        <v>0</v>
      </c>
      <c r="AC460" s="34">
        <f>(TA[[#This Row],[Work Completion time on fault]]-TA[[#This Row],[Fault Time]])*24</f>
        <v>0</v>
      </c>
      <c r="AD460" s="35">
        <f>IFERROR((TA[[#This Row],[Work Completion time on fault]]-TA[[#This Row],[Fault Time]])*24,"")</f>
        <v>0</v>
      </c>
      <c r="AE460" t="s">
        <v>328</v>
      </c>
      <c r="AF460" t="s">
        <v>256</v>
      </c>
      <c r="AG460" s="2"/>
      <c r="AH460" s="44">
        <f>1-COS(RADIANS(TA[[#This Row],[Avg. Target Angle during Fault Time (Radians)]]-TA[[#This Row],[Angle of affected equipment ]]))</f>
        <v>0.11705240714107301</v>
      </c>
      <c r="AI460" s="35">
        <f>IFERROR(TA[[#This Row],[Breakdown Time]]*TA[[#This Row],[Plant Equivalent Weightage]],"")</f>
        <v>0</v>
      </c>
    </row>
    <row r="461" spans="1:35">
      <c r="A461" s="2">
        <f t="shared" si="23"/>
        <v>458</v>
      </c>
      <c r="B461" s="156">
        <f t="shared" si="24"/>
        <v>2026</v>
      </c>
      <c r="C461" s="129">
        <f t="shared" si="25"/>
        <v>2025</v>
      </c>
      <c r="D461" s="2" t="s">
        <v>155</v>
      </c>
      <c r="E461" s="2" t="s">
        <v>155</v>
      </c>
      <c r="F461" s="39">
        <v>45748</v>
      </c>
      <c r="G461" s="2">
        <f>DAY(EOMONTH(TA[[#This Row],[Month Year]],0))</f>
        <v>30</v>
      </c>
      <c r="H461" s="21">
        <v>45776</v>
      </c>
      <c r="I461" s="41">
        <f>IFERROR(VLOOKUP(TA[[#This Row],[Date]],Raw_Data[[Date]:[Sunset Time (POA&lt;20 W/m2)]],3,0),"")</f>
        <v>0.25555555555555554</v>
      </c>
      <c r="J461" s="41">
        <f>IFERROR(VLOOKUP(TA[[#This Row],[Date]],Raw_Data[[Date]:[Sunset Time (POA&lt;20 W/m2)]],4,0),"")</f>
        <v>0.76527777777777772</v>
      </c>
      <c r="K461" s="35">
        <f>IFERROR((TA[[#This Row],[Sunset Time (POA&lt;20 W/m2)]]-TA[[#This Row],[Sunrise Time (POA&gt;20 W/m2)]])*24,"")</f>
        <v>12.233333333333333</v>
      </c>
      <c r="L461" s="2" t="s">
        <v>294</v>
      </c>
      <c r="M461" s="42">
        <f>IFERROR(VLOOKUP(TA[[#This Row],[Affected Equipment]],'Basic Data'!$I$2:$K$40,3,0),"")</f>
        <v>1.7241379310344799E-3</v>
      </c>
      <c r="N461">
        <v>-28</v>
      </c>
      <c r="O461" t="s">
        <v>137</v>
      </c>
      <c r="P461" s="127" t="s">
        <v>315</v>
      </c>
      <c r="Q461" s="126" t="s">
        <v>319</v>
      </c>
      <c r="R461">
        <v>166</v>
      </c>
      <c r="S461" s="2">
        <v>91</v>
      </c>
      <c r="T461" t="s">
        <v>295</v>
      </c>
      <c r="U461" t="s">
        <v>300</v>
      </c>
      <c r="V461" t="s">
        <v>298</v>
      </c>
      <c r="W461" s="41"/>
      <c r="X461" s="41"/>
      <c r="Y461" s="34"/>
      <c r="Z461" s="34"/>
      <c r="AA461" s="35">
        <f>IF(TA[[#This Row],[Work Start time on Fault]]="NA","",(TA[[#This Row],[Fault Acknowledgement Time ]]-TA[[#This Row],[Fault Time]])*24)</f>
        <v>0</v>
      </c>
      <c r="AB461" s="35">
        <f>(TA[[#This Row],[Work Start time on Fault]]-TA[[#This Row],[Fault Time]])*24</f>
        <v>0</v>
      </c>
      <c r="AC461" s="34">
        <f>(TA[[#This Row],[Work Completion time on fault]]-TA[[#This Row],[Fault Time]])*24</f>
        <v>0</v>
      </c>
      <c r="AD461" s="35">
        <f>IFERROR((TA[[#This Row],[Work Completion time on fault]]-TA[[#This Row],[Fault Time]])*24,"")</f>
        <v>0</v>
      </c>
      <c r="AE461" t="s">
        <v>328</v>
      </c>
      <c r="AF461" t="s">
        <v>256</v>
      </c>
      <c r="AG461" s="2"/>
      <c r="AH461" s="44">
        <f>1-COS(RADIANS(TA[[#This Row],[Avg. Target Angle during Fault Time (Radians)]]-TA[[#This Row],[Angle of affected equipment ]]))</f>
        <v>0.11705240714107301</v>
      </c>
      <c r="AI461" s="35">
        <f>IFERROR(TA[[#This Row],[Breakdown Time]]*TA[[#This Row],[Plant Equivalent Weightage]],"")</f>
        <v>0</v>
      </c>
    </row>
    <row r="462" spans="1:35">
      <c r="A462" s="2">
        <f t="shared" si="23"/>
        <v>459</v>
      </c>
      <c r="B462" s="156">
        <f t="shared" si="24"/>
        <v>2026</v>
      </c>
      <c r="C462" s="129">
        <f t="shared" si="25"/>
        <v>2025</v>
      </c>
      <c r="D462" s="2" t="s">
        <v>155</v>
      </c>
      <c r="E462" s="2" t="s">
        <v>155</v>
      </c>
      <c r="F462" s="39">
        <v>45748</v>
      </c>
      <c r="G462" s="2">
        <f>DAY(EOMONTH(TA[[#This Row],[Month Year]],0))</f>
        <v>30</v>
      </c>
      <c r="H462" s="21">
        <v>45776</v>
      </c>
      <c r="I462" s="41">
        <f>IFERROR(VLOOKUP(TA[[#This Row],[Date]],Raw_Data[[Date]:[Sunset Time (POA&lt;20 W/m2)]],3,0),"")</f>
        <v>0.25555555555555554</v>
      </c>
      <c r="J462" s="41">
        <f>IFERROR(VLOOKUP(TA[[#This Row],[Date]],Raw_Data[[Date]:[Sunset Time (POA&lt;20 W/m2)]],4,0),"")</f>
        <v>0.76527777777777772</v>
      </c>
      <c r="K462" s="35">
        <f>IFERROR((TA[[#This Row],[Sunset Time (POA&lt;20 W/m2)]]-TA[[#This Row],[Sunrise Time (POA&gt;20 W/m2)]])*24,"")</f>
        <v>12.233333333333333</v>
      </c>
      <c r="L462" s="2" t="s">
        <v>294</v>
      </c>
      <c r="M462" s="42">
        <f>IFERROR(VLOOKUP(TA[[#This Row],[Affected Equipment]],'Basic Data'!$I$2:$K$40,3,0),"")</f>
        <v>1.7241379310344799E-3</v>
      </c>
      <c r="N462">
        <v>-28</v>
      </c>
      <c r="O462" t="s">
        <v>133</v>
      </c>
      <c r="P462" s="127" t="s">
        <v>316</v>
      </c>
      <c r="Q462" s="126" t="s">
        <v>316</v>
      </c>
      <c r="R462">
        <v>117</v>
      </c>
      <c r="S462" s="2">
        <v>20</v>
      </c>
      <c r="T462" t="s">
        <v>295</v>
      </c>
      <c r="U462" t="s">
        <v>300</v>
      </c>
      <c r="V462" t="s">
        <v>298</v>
      </c>
      <c r="W462" s="41"/>
      <c r="X462" s="41"/>
      <c r="Y462" s="34"/>
      <c r="Z462" s="34"/>
      <c r="AA462" s="35">
        <f>IF(TA[[#This Row],[Work Start time on Fault]]="NA","",(TA[[#This Row],[Fault Acknowledgement Time ]]-TA[[#This Row],[Fault Time]])*24)</f>
        <v>0</v>
      </c>
      <c r="AB462" s="35">
        <f>(TA[[#This Row],[Work Start time on Fault]]-TA[[#This Row],[Fault Time]])*24</f>
        <v>0</v>
      </c>
      <c r="AC462" s="34">
        <f>(TA[[#This Row],[Work Completion time on fault]]-TA[[#This Row],[Fault Time]])*24</f>
        <v>0</v>
      </c>
      <c r="AD462" s="35">
        <f>IFERROR((TA[[#This Row],[Work Completion time on fault]]-TA[[#This Row],[Fault Time]])*24,"")</f>
        <v>0</v>
      </c>
      <c r="AE462" t="s">
        <v>328</v>
      </c>
      <c r="AF462" t="s">
        <v>256</v>
      </c>
      <c r="AG462" s="2"/>
      <c r="AH462" s="44">
        <f>1-COS(RADIANS(TA[[#This Row],[Avg. Target Angle during Fault Time (Radians)]]-TA[[#This Row],[Angle of affected equipment ]]))</f>
        <v>0.11705240714107301</v>
      </c>
      <c r="AI462" s="35">
        <f>IFERROR(TA[[#This Row],[Breakdown Time]]*TA[[#This Row],[Plant Equivalent Weightage]],"")</f>
        <v>0</v>
      </c>
    </row>
    <row r="463" spans="1:35">
      <c r="A463" s="2">
        <f t="shared" si="23"/>
        <v>460</v>
      </c>
      <c r="B463" s="156">
        <f t="shared" si="24"/>
        <v>2026</v>
      </c>
      <c r="C463" s="129">
        <f t="shared" si="25"/>
        <v>2025</v>
      </c>
      <c r="D463" s="2" t="s">
        <v>155</v>
      </c>
      <c r="E463" s="2" t="s">
        <v>155</v>
      </c>
      <c r="F463" s="39">
        <v>45748</v>
      </c>
      <c r="G463" s="2">
        <f>DAY(EOMONTH(TA[[#This Row],[Month Year]],0))</f>
        <v>30</v>
      </c>
      <c r="H463" s="21">
        <v>45776</v>
      </c>
      <c r="I463" s="41">
        <f>IFERROR(VLOOKUP(TA[[#This Row],[Date]],Raw_Data[[Date]:[Sunset Time (POA&lt;20 W/m2)]],3,0),"")</f>
        <v>0.25555555555555554</v>
      </c>
      <c r="J463" s="41">
        <f>IFERROR(VLOOKUP(TA[[#This Row],[Date]],Raw_Data[[Date]:[Sunset Time (POA&lt;20 W/m2)]],4,0),"")</f>
        <v>0.76527777777777772</v>
      </c>
      <c r="K463" s="35">
        <f>IFERROR((TA[[#This Row],[Sunset Time (POA&lt;20 W/m2)]]-TA[[#This Row],[Sunrise Time (POA&gt;20 W/m2)]])*24,"")</f>
        <v>12.233333333333333</v>
      </c>
      <c r="L463" s="2" t="s">
        <v>294</v>
      </c>
      <c r="M463" s="42">
        <f>IFERROR(VLOOKUP(TA[[#This Row],[Affected Equipment]],'Basic Data'!$I$2:$K$40,3,0),"")</f>
        <v>1.7241379310344799E-3</v>
      </c>
      <c r="N463">
        <v>-28</v>
      </c>
      <c r="O463" t="s">
        <v>133</v>
      </c>
      <c r="P463" s="127" t="s">
        <v>316</v>
      </c>
      <c r="Q463" s="126" t="s">
        <v>316</v>
      </c>
      <c r="R463">
        <v>118</v>
      </c>
      <c r="S463" s="2">
        <v>22</v>
      </c>
      <c r="T463" t="s">
        <v>295</v>
      </c>
      <c r="U463" t="s">
        <v>300</v>
      </c>
      <c r="V463" t="s">
        <v>298</v>
      </c>
      <c r="W463" s="41"/>
      <c r="X463" s="41"/>
      <c r="Y463" s="34"/>
      <c r="Z463" s="34"/>
      <c r="AA463" s="35">
        <f>IF(TA[[#This Row],[Work Start time on Fault]]="NA","",(TA[[#This Row],[Fault Acknowledgement Time ]]-TA[[#This Row],[Fault Time]])*24)</f>
        <v>0</v>
      </c>
      <c r="AB463" s="35">
        <f>(TA[[#This Row],[Work Start time on Fault]]-TA[[#This Row],[Fault Time]])*24</f>
        <v>0</v>
      </c>
      <c r="AC463" s="34">
        <f>(TA[[#This Row],[Work Completion time on fault]]-TA[[#This Row],[Fault Time]])*24</f>
        <v>0</v>
      </c>
      <c r="AD463" s="35">
        <f>IFERROR((TA[[#This Row],[Work Completion time on fault]]-TA[[#This Row],[Fault Time]])*24,"")</f>
        <v>0</v>
      </c>
      <c r="AE463" t="s">
        <v>328</v>
      </c>
      <c r="AF463" t="s">
        <v>256</v>
      </c>
      <c r="AG463" s="2"/>
      <c r="AH463" s="44">
        <f>1-COS(RADIANS(TA[[#This Row],[Avg. Target Angle during Fault Time (Radians)]]-TA[[#This Row],[Angle of affected equipment ]]))</f>
        <v>0.11705240714107301</v>
      </c>
      <c r="AI463" s="35">
        <f>IFERROR(TA[[#This Row],[Breakdown Time]]*TA[[#This Row],[Plant Equivalent Weightage]],"")</f>
        <v>0</v>
      </c>
    </row>
    <row r="464" spans="1:35">
      <c r="A464" s="2">
        <f t="shared" si="23"/>
        <v>461</v>
      </c>
      <c r="B464" s="156">
        <f t="shared" si="24"/>
        <v>2026</v>
      </c>
      <c r="C464" s="129">
        <f t="shared" si="25"/>
        <v>2025</v>
      </c>
      <c r="D464" s="2" t="s">
        <v>155</v>
      </c>
      <c r="E464" s="2" t="s">
        <v>155</v>
      </c>
      <c r="F464" s="39">
        <v>45748</v>
      </c>
      <c r="G464" s="2">
        <f>DAY(EOMONTH(TA[[#This Row],[Month Year]],0))</f>
        <v>30</v>
      </c>
      <c r="H464" s="21">
        <v>45776</v>
      </c>
      <c r="I464" s="41">
        <f>IFERROR(VLOOKUP(TA[[#This Row],[Date]],Raw_Data[[Date]:[Sunset Time (POA&lt;20 W/m2)]],3,0),"")</f>
        <v>0.25555555555555554</v>
      </c>
      <c r="J464" s="41">
        <f>IFERROR(VLOOKUP(TA[[#This Row],[Date]],Raw_Data[[Date]:[Sunset Time (POA&lt;20 W/m2)]],4,0),"")</f>
        <v>0.76527777777777772</v>
      </c>
      <c r="K464" s="35">
        <f>IFERROR((TA[[#This Row],[Sunset Time (POA&lt;20 W/m2)]]-TA[[#This Row],[Sunrise Time (POA&gt;20 W/m2)]])*24,"")</f>
        <v>12.233333333333333</v>
      </c>
      <c r="L464" s="2" t="s">
        <v>296</v>
      </c>
      <c r="M464" s="42">
        <f>IFERROR(VLOOKUP(TA[[#This Row],[Affected Equipment]],'Basic Data'!$I$2:$K$40,3,0),"")</f>
        <v>8.6206896551724102E-3</v>
      </c>
      <c r="N464">
        <v>-28</v>
      </c>
      <c r="O464" t="s">
        <v>135</v>
      </c>
      <c r="P464" s="22" t="s">
        <v>323</v>
      </c>
      <c r="Q464" s="2" t="s">
        <v>329</v>
      </c>
      <c r="R464">
        <v>45</v>
      </c>
      <c r="S464" s="2">
        <v>8</v>
      </c>
      <c r="T464" t="s">
        <v>297</v>
      </c>
      <c r="U464" t="s">
        <v>326</v>
      </c>
      <c r="V464" t="s">
        <v>301</v>
      </c>
      <c r="W464" s="41"/>
      <c r="X464" s="41"/>
      <c r="Y464" s="34"/>
      <c r="Z464" s="34"/>
      <c r="AA464" s="35">
        <f>IF(TA[[#This Row],[Work Start time on Fault]]="NA","",(TA[[#This Row],[Fault Acknowledgement Time ]]-TA[[#This Row],[Fault Time]])*24)</f>
        <v>0</v>
      </c>
      <c r="AB464" s="35">
        <f>(TA[[#This Row],[Work Start time on Fault]]-TA[[#This Row],[Fault Time]])*24</f>
        <v>0</v>
      </c>
      <c r="AC464" s="34">
        <f>(TA[[#This Row],[Work Completion time on fault]]-TA[[#This Row],[Fault Time]])*24</f>
        <v>0</v>
      </c>
      <c r="AD464" s="35">
        <f>IFERROR((TA[[#This Row],[Work Completion time on fault]]-TA[[#This Row],[Fault Time]])*24,"")</f>
        <v>0</v>
      </c>
      <c r="AE464" t="s">
        <v>328</v>
      </c>
      <c r="AF464" t="s">
        <v>256</v>
      </c>
      <c r="AG464" s="2"/>
      <c r="AH464" s="44">
        <f>1-COS(RADIANS(TA[[#This Row],[Avg. Target Angle during Fault Time (Radians)]]-TA[[#This Row],[Angle of affected equipment ]]))</f>
        <v>0.11705240714107301</v>
      </c>
      <c r="AI464" s="35">
        <f>IFERROR(TA[[#This Row],[Breakdown Time]]*TA[[#This Row],[Plant Equivalent Weightage]],"")</f>
        <v>0</v>
      </c>
    </row>
    <row r="465" spans="1:35">
      <c r="A465" s="2">
        <f t="shared" si="23"/>
        <v>462</v>
      </c>
      <c r="B465" s="156">
        <f t="shared" si="24"/>
        <v>2026</v>
      </c>
      <c r="C465" s="129">
        <f t="shared" si="25"/>
        <v>2025</v>
      </c>
      <c r="D465" s="2" t="s">
        <v>155</v>
      </c>
      <c r="E465" s="2" t="s">
        <v>155</v>
      </c>
      <c r="F465" s="39">
        <v>45748</v>
      </c>
      <c r="G465" s="2">
        <f>DAY(EOMONTH(TA[[#This Row],[Month Year]],0))</f>
        <v>30</v>
      </c>
      <c r="H465" s="21">
        <v>45776</v>
      </c>
      <c r="I465" s="41">
        <f>IFERROR(VLOOKUP(TA[[#This Row],[Date]],Raw_Data[[Date]:[Sunset Time (POA&lt;20 W/m2)]],3,0),"")</f>
        <v>0.25555555555555554</v>
      </c>
      <c r="J465" s="41">
        <f>IFERROR(VLOOKUP(TA[[#This Row],[Date]],Raw_Data[[Date]:[Sunset Time (POA&lt;20 W/m2)]],4,0),"")</f>
        <v>0.76527777777777772</v>
      </c>
      <c r="K465" s="35">
        <f>IFERROR((TA[[#This Row],[Sunset Time (POA&lt;20 W/m2)]]-TA[[#This Row],[Sunrise Time (POA&gt;20 W/m2)]])*24,"")</f>
        <v>12.233333333333333</v>
      </c>
      <c r="L465" s="2" t="s">
        <v>296</v>
      </c>
      <c r="M465" s="42">
        <f>IFERROR(VLOOKUP(TA[[#This Row],[Affected Equipment]],'Basic Data'!$I$2:$K$40,3,0),"")</f>
        <v>8.6206896551724102E-3</v>
      </c>
      <c r="N465">
        <v>-28</v>
      </c>
      <c r="O465" t="s">
        <v>135</v>
      </c>
      <c r="P465" s="22" t="s">
        <v>323</v>
      </c>
      <c r="Q465" s="2" t="s">
        <v>329</v>
      </c>
      <c r="R465">
        <v>47</v>
      </c>
      <c r="S465" s="2">
        <v>18</v>
      </c>
      <c r="T465" t="s">
        <v>297</v>
      </c>
      <c r="U465" t="s">
        <v>326</v>
      </c>
      <c r="V465" t="s">
        <v>301</v>
      </c>
      <c r="W465" s="41"/>
      <c r="X465" s="41"/>
      <c r="Y465" s="34"/>
      <c r="Z465" s="34"/>
      <c r="AA465" s="35">
        <f>IF(TA[[#This Row],[Work Start time on Fault]]="NA","",(TA[[#This Row],[Fault Acknowledgement Time ]]-TA[[#This Row],[Fault Time]])*24)</f>
        <v>0</v>
      </c>
      <c r="AB465" s="35">
        <f>(TA[[#This Row],[Work Start time on Fault]]-TA[[#This Row],[Fault Time]])*24</f>
        <v>0</v>
      </c>
      <c r="AC465" s="34">
        <f>(TA[[#This Row],[Work Completion time on fault]]-TA[[#This Row],[Fault Time]])*24</f>
        <v>0</v>
      </c>
      <c r="AD465" s="35">
        <f>IFERROR((TA[[#This Row],[Work Completion time on fault]]-TA[[#This Row],[Fault Time]])*24,"")</f>
        <v>0</v>
      </c>
      <c r="AE465" t="s">
        <v>328</v>
      </c>
      <c r="AF465" t="s">
        <v>256</v>
      </c>
      <c r="AG465" s="2"/>
      <c r="AH465" s="44">
        <f>1-COS(RADIANS(TA[[#This Row],[Avg. Target Angle during Fault Time (Radians)]]-TA[[#This Row],[Angle of affected equipment ]]))</f>
        <v>0.11705240714107301</v>
      </c>
      <c r="AI465" s="35">
        <f>IFERROR(TA[[#This Row],[Breakdown Time]]*TA[[#This Row],[Plant Equivalent Weightage]],"")</f>
        <v>0</v>
      </c>
    </row>
    <row r="466" spans="1:35">
      <c r="A466" s="2">
        <f t="shared" si="23"/>
        <v>463</v>
      </c>
      <c r="B466" s="156">
        <f t="shared" si="24"/>
        <v>2026</v>
      </c>
      <c r="C466" s="129">
        <f t="shared" si="25"/>
        <v>2025</v>
      </c>
      <c r="D466" s="2" t="s">
        <v>155</v>
      </c>
      <c r="E466" s="2" t="s">
        <v>155</v>
      </c>
      <c r="F466" s="39">
        <v>45748</v>
      </c>
      <c r="G466" s="2">
        <f>DAY(EOMONTH(TA[[#This Row],[Month Year]],0))</f>
        <v>30</v>
      </c>
      <c r="H466" s="21">
        <v>45776</v>
      </c>
      <c r="I466" s="41">
        <f>IFERROR(VLOOKUP(TA[[#This Row],[Date]],Raw_Data[[Date]:[Sunset Time (POA&lt;20 W/m2)]],3,0),"")</f>
        <v>0.25555555555555554</v>
      </c>
      <c r="J466" s="41">
        <f>IFERROR(VLOOKUP(TA[[#This Row],[Date]],Raw_Data[[Date]:[Sunset Time (POA&lt;20 W/m2)]],4,0),"")</f>
        <v>0.76527777777777772</v>
      </c>
      <c r="K466" s="35">
        <f>IFERROR((TA[[#This Row],[Sunset Time (POA&lt;20 W/m2)]]-TA[[#This Row],[Sunrise Time (POA&gt;20 W/m2)]])*24,"")</f>
        <v>12.233333333333333</v>
      </c>
      <c r="L466" s="2" t="s">
        <v>296</v>
      </c>
      <c r="M466" s="42">
        <f>IFERROR(VLOOKUP(TA[[#This Row],[Affected Equipment]],'Basic Data'!$I$2:$K$40,3,0),"")</f>
        <v>8.6206896551724102E-3</v>
      </c>
      <c r="N466">
        <v>-28</v>
      </c>
      <c r="O466" t="s">
        <v>134</v>
      </c>
      <c r="P466" s="22" t="s">
        <v>330</v>
      </c>
      <c r="Q466" s="2" t="s">
        <v>323</v>
      </c>
      <c r="R466">
        <v>30</v>
      </c>
      <c r="S466" s="2">
        <v>57</v>
      </c>
      <c r="T466" t="s">
        <v>297</v>
      </c>
      <c r="U466" t="s">
        <v>326</v>
      </c>
      <c r="V466" t="s">
        <v>301</v>
      </c>
      <c r="W466" s="41"/>
      <c r="X466" s="41"/>
      <c r="Y466" s="34"/>
      <c r="Z466" s="34"/>
      <c r="AA466" s="35">
        <f>IF(TA[[#This Row],[Work Start time on Fault]]="NA","",(TA[[#This Row],[Fault Acknowledgement Time ]]-TA[[#This Row],[Fault Time]])*24)</f>
        <v>0</v>
      </c>
      <c r="AB466" s="35">
        <f>(TA[[#This Row],[Work Start time on Fault]]-TA[[#This Row],[Fault Time]])*24</f>
        <v>0</v>
      </c>
      <c r="AC466" s="34">
        <f>(TA[[#This Row],[Work Completion time on fault]]-TA[[#This Row],[Fault Time]])*24</f>
        <v>0</v>
      </c>
      <c r="AD466" s="35">
        <f>IFERROR((TA[[#This Row],[Work Completion time on fault]]-TA[[#This Row],[Fault Time]])*24,"")</f>
        <v>0</v>
      </c>
      <c r="AE466" t="s">
        <v>328</v>
      </c>
      <c r="AF466" t="s">
        <v>256</v>
      </c>
      <c r="AG466" s="2"/>
      <c r="AH466" s="44">
        <f>1-COS(RADIANS(TA[[#This Row],[Avg. Target Angle during Fault Time (Radians)]]-TA[[#This Row],[Angle of affected equipment ]]))</f>
        <v>0.11705240714107301</v>
      </c>
      <c r="AI466" s="35">
        <f>IFERROR(TA[[#This Row],[Breakdown Time]]*TA[[#This Row],[Plant Equivalent Weightage]],"")</f>
        <v>0</v>
      </c>
    </row>
    <row r="467" spans="1:35">
      <c r="A467" s="2">
        <f t="shared" si="23"/>
        <v>464</v>
      </c>
      <c r="B467" s="156">
        <f t="shared" si="24"/>
        <v>2026</v>
      </c>
      <c r="C467" s="129">
        <f t="shared" si="25"/>
        <v>2025</v>
      </c>
      <c r="D467" s="2" t="s">
        <v>155</v>
      </c>
      <c r="E467" s="2" t="s">
        <v>155</v>
      </c>
      <c r="F467" s="39">
        <v>45748</v>
      </c>
      <c r="G467" s="2">
        <f>DAY(EOMONTH(TA[[#This Row],[Month Year]],0))</f>
        <v>30</v>
      </c>
      <c r="H467" s="21">
        <v>45776</v>
      </c>
      <c r="I467" s="41">
        <f>IFERROR(VLOOKUP(TA[[#This Row],[Date]],Raw_Data[[Date]:[Sunset Time (POA&lt;20 W/m2)]],3,0),"")</f>
        <v>0.25555555555555554</v>
      </c>
      <c r="J467" s="41">
        <f>IFERROR(VLOOKUP(TA[[#This Row],[Date]],Raw_Data[[Date]:[Sunset Time (POA&lt;20 W/m2)]],4,0),"")</f>
        <v>0.76527777777777772</v>
      </c>
      <c r="K467" s="35">
        <f>IFERROR((TA[[#This Row],[Sunset Time (POA&lt;20 W/m2)]]-TA[[#This Row],[Sunrise Time (POA&gt;20 W/m2)]])*24,"")</f>
        <v>12.233333333333333</v>
      </c>
      <c r="L467" s="2" t="s">
        <v>296</v>
      </c>
      <c r="M467" s="42">
        <f>IFERROR(VLOOKUP(TA[[#This Row],[Affected Equipment]],'Basic Data'!$I$2:$K$40,3,0),"")</f>
        <v>8.6206896551724102E-3</v>
      </c>
      <c r="N467">
        <v>-28</v>
      </c>
      <c r="O467" t="s">
        <v>134</v>
      </c>
      <c r="P467" s="22" t="s">
        <v>330</v>
      </c>
      <c r="Q467" s="2" t="s">
        <v>323</v>
      </c>
      <c r="R467">
        <v>31</v>
      </c>
      <c r="S467" s="2">
        <v>61</v>
      </c>
      <c r="T467" t="s">
        <v>297</v>
      </c>
      <c r="U467" t="s">
        <v>326</v>
      </c>
      <c r="V467" t="s">
        <v>301</v>
      </c>
      <c r="W467" s="41"/>
      <c r="X467" s="41"/>
      <c r="Y467" s="34"/>
      <c r="Z467" s="34"/>
      <c r="AA467" s="35">
        <f>IF(TA[[#This Row],[Work Start time on Fault]]="NA","",(TA[[#This Row],[Fault Acknowledgement Time ]]-TA[[#This Row],[Fault Time]])*24)</f>
        <v>0</v>
      </c>
      <c r="AB467" s="35">
        <f>(TA[[#This Row],[Work Start time on Fault]]-TA[[#This Row],[Fault Time]])*24</f>
        <v>0</v>
      </c>
      <c r="AC467" s="34">
        <f>(TA[[#This Row],[Work Completion time on fault]]-TA[[#This Row],[Fault Time]])*24</f>
        <v>0</v>
      </c>
      <c r="AD467" s="35">
        <f>IFERROR((TA[[#This Row],[Work Completion time on fault]]-TA[[#This Row],[Fault Time]])*24,"")</f>
        <v>0</v>
      </c>
      <c r="AE467" t="s">
        <v>328</v>
      </c>
      <c r="AF467" t="s">
        <v>256</v>
      </c>
      <c r="AG467" s="2"/>
      <c r="AH467" s="44">
        <f>1-COS(RADIANS(TA[[#This Row],[Avg. Target Angle during Fault Time (Radians)]]-TA[[#This Row],[Angle of affected equipment ]]))</f>
        <v>0.11705240714107301</v>
      </c>
      <c r="AI467" s="35">
        <f>IFERROR(TA[[#This Row],[Breakdown Time]]*TA[[#This Row],[Plant Equivalent Weightage]],"")</f>
        <v>0</v>
      </c>
    </row>
    <row r="468" spans="1:35">
      <c r="A468" s="2">
        <f t="shared" si="23"/>
        <v>465</v>
      </c>
      <c r="B468" s="156">
        <f t="shared" si="24"/>
        <v>2026</v>
      </c>
      <c r="C468" s="129">
        <f t="shared" si="25"/>
        <v>2025</v>
      </c>
      <c r="D468" s="2" t="s">
        <v>155</v>
      </c>
      <c r="E468" s="2" t="s">
        <v>155</v>
      </c>
      <c r="F468" s="39">
        <v>45748</v>
      </c>
      <c r="G468" s="2">
        <f>DAY(EOMONTH(TA[[#This Row],[Month Year]],0))</f>
        <v>30</v>
      </c>
      <c r="H468" s="21">
        <v>45776</v>
      </c>
      <c r="I468" s="41">
        <f>IFERROR(VLOOKUP(TA[[#This Row],[Date]],Raw_Data[[Date]:[Sunset Time (POA&lt;20 W/m2)]],3,0),"")</f>
        <v>0.25555555555555554</v>
      </c>
      <c r="J468" s="41">
        <f>IFERROR(VLOOKUP(TA[[#This Row],[Date]],Raw_Data[[Date]:[Sunset Time (POA&lt;20 W/m2)]],4,0),"")</f>
        <v>0.76527777777777772</v>
      </c>
      <c r="K468" s="35">
        <f>IFERROR((TA[[#This Row],[Sunset Time (POA&lt;20 W/m2)]]-TA[[#This Row],[Sunrise Time (POA&gt;20 W/m2)]])*24,"")</f>
        <v>12.233333333333333</v>
      </c>
      <c r="L468" s="2" t="s">
        <v>312</v>
      </c>
      <c r="M468" s="42">
        <f>IFERROR(VLOOKUP(TA[[#This Row],[Affected Equipment]],'Basic Data'!$I$2:$K$40,3,0),"")</f>
        <v>5.74712643678161E-3</v>
      </c>
      <c r="N468">
        <v>-28</v>
      </c>
      <c r="O468" t="s">
        <v>133</v>
      </c>
      <c r="P468" s="22" t="s">
        <v>330</v>
      </c>
      <c r="Q468" s="2" t="s">
        <v>323</v>
      </c>
      <c r="R468">
        <v>26</v>
      </c>
      <c r="S468" s="2">
        <v>37</v>
      </c>
      <c r="T468" t="s">
        <v>297</v>
      </c>
      <c r="U468" t="s">
        <v>326</v>
      </c>
      <c r="V468" t="s">
        <v>301</v>
      </c>
      <c r="W468" s="41"/>
      <c r="X468" s="41"/>
      <c r="Y468" s="34"/>
      <c r="Z468" s="34"/>
      <c r="AA468" s="35">
        <f>IF(TA[[#This Row],[Work Start time on Fault]]="NA","",(TA[[#This Row],[Fault Acknowledgement Time ]]-TA[[#This Row],[Fault Time]])*24)</f>
        <v>0</v>
      </c>
      <c r="AB468" s="35">
        <f>(TA[[#This Row],[Work Start time on Fault]]-TA[[#This Row],[Fault Time]])*24</f>
        <v>0</v>
      </c>
      <c r="AC468" s="34">
        <f>(TA[[#This Row],[Work Completion time on fault]]-TA[[#This Row],[Fault Time]])*24</f>
        <v>0</v>
      </c>
      <c r="AD468" s="35">
        <f>IFERROR((TA[[#This Row],[Work Completion time on fault]]-TA[[#This Row],[Fault Time]])*24,"")</f>
        <v>0</v>
      </c>
      <c r="AE468" t="s">
        <v>328</v>
      </c>
      <c r="AF468" t="s">
        <v>256</v>
      </c>
      <c r="AG468" s="2"/>
      <c r="AH468" s="44">
        <f>1-COS(RADIANS(TA[[#This Row],[Avg. Target Angle during Fault Time (Radians)]]-TA[[#This Row],[Angle of affected equipment ]]))</f>
        <v>0.11705240714107301</v>
      </c>
      <c r="AI468" s="35">
        <f>IFERROR(TA[[#This Row],[Breakdown Time]]*TA[[#This Row],[Plant Equivalent Weightage]],"")</f>
        <v>0</v>
      </c>
    </row>
    <row r="469" spans="1:35">
      <c r="A469" s="2">
        <f t="shared" si="23"/>
        <v>466</v>
      </c>
      <c r="B469" s="156">
        <f t="shared" si="24"/>
        <v>2026</v>
      </c>
      <c r="C469" s="129">
        <f t="shared" si="25"/>
        <v>2025</v>
      </c>
      <c r="D469" s="2" t="s">
        <v>155</v>
      </c>
      <c r="E469" s="2" t="s">
        <v>155</v>
      </c>
      <c r="F469" s="39">
        <v>45748</v>
      </c>
      <c r="G469" s="2">
        <f>DAY(EOMONTH(TA[[#This Row],[Month Year]],0))</f>
        <v>30</v>
      </c>
      <c r="H469" s="21">
        <v>45776</v>
      </c>
      <c r="I469" s="41">
        <f>IFERROR(VLOOKUP(TA[[#This Row],[Date]],Raw_Data[[Date]:[Sunset Time (POA&lt;20 W/m2)]],3,0),"")</f>
        <v>0.25555555555555554</v>
      </c>
      <c r="J469" s="41">
        <f>IFERROR(VLOOKUP(TA[[#This Row],[Date]],Raw_Data[[Date]:[Sunset Time (POA&lt;20 W/m2)]],4,0),"")</f>
        <v>0.76527777777777772</v>
      </c>
      <c r="K469" s="35">
        <f>IFERROR((TA[[#This Row],[Sunset Time (POA&lt;20 W/m2)]]-TA[[#This Row],[Sunrise Time (POA&gt;20 W/m2)]])*24,"")</f>
        <v>12.233333333333333</v>
      </c>
      <c r="L469" s="2" t="s">
        <v>312</v>
      </c>
      <c r="M469" s="42">
        <f>IFERROR(VLOOKUP(TA[[#This Row],[Affected Equipment]],'Basic Data'!$I$2:$K$40,3,0),"")</f>
        <v>5.74712643678161E-3</v>
      </c>
      <c r="N469">
        <v>-28</v>
      </c>
      <c r="O469" t="s">
        <v>133</v>
      </c>
      <c r="P469" s="22" t="s">
        <v>330</v>
      </c>
      <c r="Q469" s="2" t="s">
        <v>323</v>
      </c>
      <c r="R469">
        <v>27</v>
      </c>
      <c r="S469" s="2">
        <v>42</v>
      </c>
      <c r="T469" t="s">
        <v>297</v>
      </c>
      <c r="U469" t="s">
        <v>326</v>
      </c>
      <c r="V469" t="s">
        <v>301</v>
      </c>
      <c r="W469" s="41">
        <f>IFERROR(VLOOKUP(TA[[#This Row],[Date]],Raw_Data[[Date]:[Sunset Time (POA&lt;20 W/m2)]],3,0),"")</f>
        <v>0.25555555555555554</v>
      </c>
      <c r="X469" s="41">
        <f>IFERROR(VLOOKUP(TA[[#This Row],[Date]],Raw_Data[[Date]:[Sunset Time (POA&lt;20 W/m2)]],3,0),"")</f>
        <v>0.25555555555555554</v>
      </c>
      <c r="Y469" s="34"/>
      <c r="Z469" s="34">
        <v>0.76041666666666663</v>
      </c>
      <c r="AA469" s="35">
        <f>IF(TA[[#This Row],[Work Start time on Fault]]="NA","",(TA[[#This Row],[Fault Acknowledgement Time ]]-TA[[#This Row],[Fault Time]])*24)</f>
        <v>0</v>
      </c>
      <c r="AB469" s="35">
        <f>(TA[[#This Row],[Work Start time on Fault]]-TA[[#This Row],[Fault Time]])*24</f>
        <v>-6.1333333333333329</v>
      </c>
      <c r="AC469" s="34">
        <f>(TA[[#This Row],[Work Completion time on fault]]-TA[[#This Row],[Fault Time]])*24</f>
        <v>12.116666666666667</v>
      </c>
      <c r="AD469" s="35">
        <f>IFERROR((TA[[#This Row],[Work Completion time on fault]]-TA[[#This Row],[Fault Time]])*24,"")</f>
        <v>12.116666666666667</v>
      </c>
      <c r="AE469" t="s">
        <v>309</v>
      </c>
      <c r="AF469" t="s">
        <v>256</v>
      </c>
      <c r="AG469" s="2"/>
      <c r="AH469" s="44">
        <f>1-COS(RADIANS(TA[[#This Row],[Avg. Target Angle during Fault Time (Radians)]]-TA[[#This Row],[Angle of affected equipment ]]))</f>
        <v>0.11705240714107301</v>
      </c>
      <c r="AI469" s="35">
        <f>IFERROR(TA[[#This Row],[Breakdown Time]]*TA[[#This Row],[Plant Equivalent Weightage]],"")</f>
        <v>6.9636015325670514E-2</v>
      </c>
    </row>
    <row r="470" spans="1:35">
      <c r="A470" s="2">
        <f t="shared" si="23"/>
        <v>467</v>
      </c>
      <c r="B470" s="156">
        <f t="shared" si="24"/>
        <v>2026</v>
      </c>
      <c r="C470" s="129">
        <f t="shared" si="25"/>
        <v>2025</v>
      </c>
      <c r="D470" s="2" t="s">
        <v>155</v>
      </c>
      <c r="E470" s="2" t="s">
        <v>155</v>
      </c>
      <c r="F470" s="39">
        <v>45748</v>
      </c>
      <c r="G470" s="2">
        <f>DAY(EOMONTH(TA[[#This Row],[Month Year]],0))</f>
        <v>30</v>
      </c>
      <c r="H470" s="21">
        <v>45777</v>
      </c>
      <c r="I470" s="41">
        <f>IFERROR(VLOOKUP(TA[[#This Row],[Date]],Raw_Data[[Date]:[Sunset Time (POA&lt;20 W/m2)]],3,0),"")</f>
        <v>0.25277777777777777</v>
      </c>
      <c r="J470" s="41">
        <f>IFERROR(VLOOKUP(TA[[#This Row],[Date]],Raw_Data[[Date]:[Sunset Time (POA&lt;20 W/m2)]],4,0),"")</f>
        <v>0.76944444444444449</v>
      </c>
      <c r="K470" s="35">
        <f>IFERROR((TA[[#This Row],[Sunset Time (POA&lt;20 W/m2)]]-TA[[#This Row],[Sunrise Time (POA&gt;20 W/m2)]])*24,"")</f>
        <v>12.400000000000002</v>
      </c>
      <c r="L470" s="2" t="s">
        <v>312</v>
      </c>
      <c r="M470" s="42">
        <f>IFERROR(VLOOKUP(TA[[#This Row],[Affected Equipment]],'Basic Data'!$I$2:$K$40,3,0),"")</f>
        <v>5.74712643678161E-3</v>
      </c>
      <c r="N470">
        <v>-28</v>
      </c>
      <c r="O470" t="s">
        <v>133</v>
      </c>
      <c r="P470" s="22" t="s">
        <v>330</v>
      </c>
      <c r="Q470" s="2" t="s">
        <v>323</v>
      </c>
      <c r="R470">
        <v>27</v>
      </c>
      <c r="S470" s="2">
        <v>42</v>
      </c>
      <c r="T470" t="s">
        <v>297</v>
      </c>
      <c r="U470" t="s">
        <v>326</v>
      </c>
      <c r="V470" t="s">
        <v>301</v>
      </c>
      <c r="W470" s="41">
        <f>IFERROR(VLOOKUP(TA[[#This Row],[Date]],Raw_Data[[Date]:[Sunset Time (POA&lt;20 W/m2)]],3,0),"")</f>
        <v>0.25277777777777777</v>
      </c>
      <c r="X470" s="41">
        <f>IFERROR(VLOOKUP(TA[[#This Row],[Date]],Raw_Data[[Date]:[Sunset Time (POA&lt;20 W/m2)]],3,0),"")</f>
        <v>0.25277777777777777</v>
      </c>
      <c r="Y470" s="34"/>
      <c r="Z470" s="34">
        <v>0.76041666666666663</v>
      </c>
      <c r="AA470" s="35">
        <f>IF(TA[[#This Row],[Work Start time on Fault]]="NA","",(TA[[#This Row],[Fault Acknowledgement Time ]]-TA[[#This Row],[Fault Time]])*24)</f>
        <v>0</v>
      </c>
      <c r="AB470" s="35">
        <f>(TA[[#This Row],[Work Start time on Fault]]-TA[[#This Row],[Fault Time]])*24</f>
        <v>-6.0666666666666664</v>
      </c>
      <c r="AC470" s="34">
        <f>(TA[[#This Row],[Work Completion time on fault]]-TA[[#This Row],[Fault Time]])*24</f>
        <v>12.183333333333334</v>
      </c>
      <c r="AD470" s="35">
        <f>IFERROR((TA[[#This Row],[Work Completion time on fault]]-TA[[#This Row],[Fault Time]])*24,"")</f>
        <v>12.183333333333334</v>
      </c>
      <c r="AE470" t="s">
        <v>309</v>
      </c>
      <c r="AF470" t="s">
        <v>256</v>
      </c>
      <c r="AG470" s="2"/>
      <c r="AH470" s="44">
        <f>1-COS(RADIANS(TA[[#This Row],[Avg. Target Angle during Fault Time (Radians)]]-TA[[#This Row],[Angle of affected equipment ]]))</f>
        <v>0.11705240714107301</v>
      </c>
      <c r="AI470" s="35">
        <f>IFERROR(TA[[#This Row],[Breakdown Time]]*TA[[#This Row],[Plant Equivalent Weightage]],"")</f>
        <v>7.0019157088122619E-2</v>
      </c>
    </row>
    <row r="471" spans="1:35">
      <c r="A471" s="2">
        <f t="shared" si="23"/>
        <v>468</v>
      </c>
      <c r="B471" s="156">
        <f t="shared" si="24"/>
        <v>2026</v>
      </c>
      <c r="C471" s="129">
        <f t="shared" si="25"/>
        <v>2025</v>
      </c>
      <c r="D471" s="2" t="s">
        <v>155</v>
      </c>
      <c r="E471" s="2" t="s">
        <v>155</v>
      </c>
      <c r="F471" s="39">
        <v>45748</v>
      </c>
      <c r="G471" s="2">
        <f>DAY(EOMONTH(TA[[#This Row],[Month Year]],0))</f>
        <v>30</v>
      </c>
      <c r="H471" s="21">
        <v>45777</v>
      </c>
      <c r="I471" s="41">
        <f>IFERROR(VLOOKUP(TA[[#This Row],[Date]],Raw_Data[[Date]:[Sunset Time (POA&lt;20 W/m2)]],3,0),"")</f>
        <v>0.25277777777777777</v>
      </c>
      <c r="J471" s="41">
        <f>IFERROR(VLOOKUP(TA[[#This Row],[Date]],Raw_Data[[Date]:[Sunset Time (POA&lt;20 W/m2)]],4,0),"")</f>
        <v>0.76944444444444449</v>
      </c>
      <c r="K471" s="35">
        <f>IFERROR((TA[[#This Row],[Sunset Time (POA&lt;20 W/m2)]]-TA[[#This Row],[Sunrise Time (POA&gt;20 W/m2)]])*24,"")</f>
        <v>12.400000000000002</v>
      </c>
      <c r="L471" s="2" t="s">
        <v>294</v>
      </c>
      <c r="M471" s="42">
        <f>IFERROR(VLOOKUP(TA[[#This Row],[Affected Equipment]],'Basic Data'!$I$2:$K$40,3,0),"")</f>
        <v>1.7241379310344799E-3</v>
      </c>
      <c r="N471">
        <v>-28</v>
      </c>
      <c r="O471" t="s">
        <v>135</v>
      </c>
      <c r="P471" s="127" t="s">
        <v>318</v>
      </c>
      <c r="Q471" s="126" t="s">
        <v>318</v>
      </c>
      <c r="R471">
        <v>130</v>
      </c>
      <c r="S471" s="2">
        <v>37</v>
      </c>
      <c r="T471" t="s">
        <v>295</v>
      </c>
      <c r="U471" t="s">
        <v>300</v>
      </c>
      <c r="V471" t="s">
        <v>298</v>
      </c>
      <c r="W471" s="41"/>
      <c r="X471" s="41"/>
      <c r="Y471" s="34"/>
      <c r="Z471" s="34"/>
      <c r="AA471" s="35">
        <f>IF(TA[[#This Row],[Work Start time on Fault]]="NA","",(TA[[#This Row],[Fault Acknowledgement Time ]]-TA[[#This Row],[Fault Time]])*24)</f>
        <v>0</v>
      </c>
      <c r="AB471" s="35">
        <f>(TA[[#This Row],[Work Start time on Fault]]-TA[[#This Row],[Fault Time]])*24</f>
        <v>0</v>
      </c>
      <c r="AC471" s="34">
        <f>(TA[[#This Row],[Work Completion time on fault]]-TA[[#This Row],[Fault Time]])*24</f>
        <v>0</v>
      </c>
      <c r="AD471" s="35">
        <f>IFERROR((TA[[#This Row],[Work Completion time on fault]]-TA[[#This Row],[Fault Time]])*24,"")</f>
        <v>0</v>
      </c>
      <c r="AE471" t="s">
        <v>328</v>
      </c>
      <c r="AF471" t="s">
        <v>256</v>
      </c>
      <c r="AG471" s="2"/>
      <c r="AH471" s="44">
        <f>1-COS(RADIANS(TA[[#This Row],[Avg. Target Angle during Fault Time (Radians)]]-TA[[#This Row],[Angle of affected equipment ]]))</f>
        <v>0.11705240714107301</v>
      </c>
      <c r="AI471" s="35">
        <f>IFERROR(TA[[#This Row],[Breakdown Time]]*TA[[#This Row],[Plant Equivalent Weightage]],"")</f>
        <v>0</v>
      </c>
    </row>
    <row r="472" spans="1:35">
      <c r="A472" s="2">
        <f t="shared" si="23"/>
        <v>469</v>
      </c>
      <c r="B472" s="156">
        <f t="shared" si="24"/>
        <v>2026</v>
      </c>
      <c r="C472" s="129">
        <f t="shared" si="25"/>
        <v>2025</v>
      </c>
      <c r="D472" s="2" t="s">
        <v>155</v>
      </c>
      <c r="E472" s="2" t="s">
        <v>155</v>
      </c>
      <c r="F472" s="39">
        <v>45748</v>
      </c>
      <c r="G472" s="2">
        <f>DAY(EOMONTH(TA[[#This Row],[Month Year]],0))</f>
        <v>30</v>
      </c>
      <c r="H472" s="21">
        <v>45777</v>
      </c>
      <c r="I472" s="41">
        <f>IFERROR(VLOOKUP(TA[[#This Row],[Date]],Raw_Data[[Date]:[Sunset Time (POA&lt;20 W/m2)]],3,0),"")</f>
        <v>0.25277777777777777</v>
      </c>
      <c r="J472" s="41">
        <f>IFERROR(VLOOKUP(TA[[#This Row],[Date]],Raw_Data[[Date]:[Sunset Time (POA&lt;20 W/m2)]],4,0),"")</f>
        <v>0.76944444444444449</v>
      </c>
      <c r="K472" s="35">
        <f>IFERROR((TA[[#This Row],[Sunset Time (POA&lt;20 W/m2)]]-TA[[#This Row],[Sunrise Time (POA&gt;20 W/m2)]])*24,"")</f>
        <v>12.400000000000002</v>
      </c>
      <c r="L472" s="2" t="s">
        <v>294</v>
      </c>
      <c r="M472" s="42">
        <f>IFERROR(VLOOKUP(TA[[#This Row],[Affected Equipment]],'Basic Data'!$I$2:$K$40,3,0),"")</f>
        <v>1.7241379310344799E-3</v>
      </c>
      <c r="N472">
        <v>-28</v>
      </c>
      <c r="O472" t="s">
        <v>135</v>
      </c>
      <c r="P472" s="127" t="s">
        <v>318</v>
      </c>
      <c r="Q472" s="126" t="s">
        <v>318</v>
      </c>
      <c r="R472">
        <v>131</v>
      </c>
      <c r="S472" s="2">
        <v>38</v>
      </c>
      <c r="T472" t="s">
        <v>295</v>
      </c>
      <c r="U472" t="s">
        <v>300</v>
      </c>
      <c r="V472" t="s">
        <v>298</v>
      </c>
      <c r="W472" s="41"/>
      <c r="X472" s="41"/>
      <c r="Y472" s="34"/>
      <c r="Z472" s="34"/>
      <c r="AA472" s="35">
        <f>IF(TA[[#This Row],[Work Start time on Fault]]="NA","",(TA[[#This Row],[Fault Acknowledgement Time ]]-TA[[#This Row],[Fault Time]])*24)</f>
        <v>0</v>
      </c>
      <c r="AB472" s="35">
        <f>(TA[[#This Row],[Work Start time on Fault]]-TA[[#This Row],[Fault Time]])*24</f>
        <v>0</v>
      </c>
      <c r="AC472" s="34">
        <f>(TA[[#This Row],[Work Completion time on fault]]-TA[[#This Row],[Fault Time]])*24</f>
        <v>0</v>
      </c>
      <c r="AD472" s="35">
        <f>IFERROR((TA[[#This Row],[Work Completion time on fault]]-TA[[#This Row],[Fault Time]])*24,"")</f>
        <v>0</v>
      </c>
      <c r="AE472" t="s">
        <v>328</v>
      </c>
      <c r="AF472" t="s">
        <v>256</v>
      </c>
      <c r="AG472" s="2"/>
      <c r="AH472" s="44">
        <f>1-COS(RADIANS(TA[[#This Row],[Avg. Target Angle during Fault Time (Radians)]]-TA[[#This Row],[Angle of affected equipment ]]))</f>
        <v>0.11705240714107301</v>
      </c>
      <c r="AI472" s="35">
        <f>IFERROR(TA[[#This Row],[Breakdown Time]]*TA[[#This Row],[Plant Equivalent Weightage]],"")</f>
        <v>0</v>
      </c>
    </row>
    <row r="473" spans="1:35">
      <c r="A473" s="2">
        <f t="shared" si="23"/>
        <v>470</v>
      </c>
      <c r="B473" s="156">
        <f t="shared" si="24"/>
        <v>2026</v>
      </c>
      <c r="C473" s="129">
        <f t="shared" si="25"/>
        <v>2025</v>
      </c>
      <c r="D473" s="2" t="s">
        <v>155</v>
      </c>
      <c r="E473" s="2" t="s">
        <v>155</v>
      </c>
      <c r="F473" s="39">
        <v>45748</v>
      </c>
      <c r="G473" s="2">
        <f>DAY(EOMONTH(TA[[#This Row],[Month Year]],0))</f>
        <v>30</v>
      </c>
      <c r="H473" s="21">
        <v>45777</v>
      </c>
      <c r="I473" s="41">
        <f>IFERROR(VLOOKUP(TA[[#This Row],[Date]],Raw_Data[[Date]:[Sunset Time (POA&lt;20 W/m2)]],3,0),"")</f>
        <v>0.25277777777777777</v>
      </c>
      <c r="J473" s="41">
        <f>IFERROR(VLOOKUP(TA[[#This Row],[Date]],Raw_Data[[Date]:[Sunset Time (POA&lt;20 W/m2)]],4,0),"")</f>
        <v>0.76944444444444449</v>
      </c>
      <c r="K473" s="35">
        <f>IFERROR((TA[[#This Row],[Sunset Time (POA&lt;20 W/m2)]]-TA[[#This Row],[Sunrise Time (POA&gt;20 W/m2)]])*24,"")</f>
        <v>12.400000000000002</v>
      </c>
      <c r="L473" s="2" t="s">
        <v>294</v>
      </c>
      <c r="M473" s="42">
        <f>IFERROR(VLOOKUP(TA[[#This Row],[Affected Equipment]],'Basic Data'!$I$2:$K$40,3,0),"")</f>
        <v>1.7241379310344799E-3</v>
      </c>
      <c r="N473">
        <v>-28</v>
      </c>
      <c r="O473" t="s">
        <v>135</v>
      </c>
      <c r="P473" s="127" t="s">
        <v>318</v>
      </c>
      <c r="Q473" s="126" t="s">
        <v>318</v>
      </c>
      <c r="R473">
        <v>131</v>
      </c>
      <c r="S473" s="2">
        <v>39</v>
      </c>
      <c r="T473" t="s">
        <v>295</v>
      </c>
      <c r="U473" t="s">
        <v>300</v>
      </c>
      <c r="V473" t="s">
        <v>298</v>
      </c>
      <c r="W473" s="41"/>
      <c r="X473" s="41"/>
      <c r="Y473" s="34"/>
      <c r="Z473" s="34"/>
      <c r="AA473" s="35">
        <f>IF(TA[[#This Row],[Work Start time on Fault]]="NA","",(TA[[#This Row],[Fault Acknowledgement Time ]]-TA[[#This Row],[Fault Time]])*24)</f>
        <v>0</v>
      </c>
      <c r="AB473" s="35">
        <f>(TA[[#This Row],[Work Start time on Fault]]-TA[[#This Row],[Fault Time]])*24</f>
        <v>0</v>
      </c>
      <c r="AC473" s="34">
        <f>(TA[[#This Row],[Work Completion time on fault]]-TA[[#This Row],[Fault Time]])*24</f>
        <v>0</v>
      </c>
      <c r="AD473" s="35">
        <f>IFERROR((TA[[#This Row],[Work Completion time on fault]]-TA[[#This Row],[Fault Time]])*24,"")</f>
        <v>0</v>
      </c>
      <c r="AE473" t="s">
        <v>328</v>
      </c>
      <c r="AF473" t="s">
        <v>256</v>
      </c>
      <c r="AG473" s="2"/>
      <c r="AH473" s="44">
        <f>1-COS(RADIANS(TA[[#This Row],[Avg. Target Angle during Fault Time (Radians)]]-TA[[#This Row],[Angle of affected equipment ]]))</f>
        <v>0.11705240714107301</v>
      </c>
      <c r="AI473" s="35">
        <f>IFERROR(TA[[#This Row],[Breakdown Time]]*TA[[#This Row],[Plant Equivalent Weightage]],"")</f>
        <v>0</v>
      </c>
    </row>
    <row r="474" spans="1:35">
      <c r="A474" s="2">
        <f t="shared" si="23"/>
        <v>471</v>
      </c>
      <c r="B474" s="156">
        <f t="shared" si="24"/>
        <v>2026</v>
      </c>
      <c r="C474" s="129">
        <f t="shared" si="25"/>
        <v>2025</v>
      </c>
      <c r="D474" s="2" t="s">
        <v>155</v>
      </c>
      <c r="E474" s="2" t="s">
        <v>155</v>
      </c>
      <c r="F474" s="39">
        <v>45748</v>
      </c>
      <c r="G474" s="2">
        <f>DAY(EOMONTH(TA[[#This Row],[Month Year]],0))</f>
        <v>30</v>
      </c>
      <c r="H474" s="21">
        <v>45777</v>
      </c>
      <c r="I474" s="41">
        <f>IFERROR(VLOOKUP(TA[[#This Row],[Date]],Raw_Data[[Date]:[Sunset Time (POA&lt;20 W/m2)]],3,0),"")</f>
        <v>0.25277777777777777</v>
      </c>
      <c r="J474" s="41">
        <f>IFERROR(VLOOKUP(TA[[#This Row],[Date]],Raw_Data[[Date]:[Sunset Time (POA&lt;20 W/m2)]],4,0),"")</f>
        <v>0.76944444444444449</v>
      </c>
      <c r="K474" s="35">
        <f>IFERROR((TA[[#This Row],[Sunset Time (POA&lt;20 W/m2)]]-TA[[#This Row],[Sunrise Time (POA&gt;20 W/m2)]])*24,"")</f>
        <v>12.400000000000002</v>
      </c>
      <c r="L474" s="2" t="s">
        <v>296</v>
      </c>
      <c r="M474" s="42">
        <f>IFERROR(VLOOKUP(TA[[#This Row],[Affected Equipment]],'Basic Data'!$I$2:$K$40,3,0),"")</f>
        <v>8.6206896551724102E-3</v>
      </c>
      <c r="N474">
        <v>-28</v>
      </c>
      <c r="O474" t="s">
        <v>135</v>
      </c>
      <c r="P474" s="127" t="s">
        <v>318</v>
      </c>
      <c r="Q474" s="2" t="s">
        <v>321</v>
      </c>
      <c r="R474">
        <v>133</v>
      </c>
      <c r="S474" s="2">
        <v>26</v>
      </c>
      <c r="T474" t="s">
        <v>297</v>
      </c>
      <c r="U474" t="s">
        <v>300</v>
      </c>
      <c r="V474" t="s">
        <v>314</v>
      </c>
      <c r="W474" s="41">
        <f>IFERROR(VLOOKUP(TA[[#This Row],[Date]],Raw_Data[[Date]:[Sunset Time (POA&lt;20 W/m2)]],3,0),"")</f>
        <v>0.25277777777777777</v>
      </c>
      <c r="X474" s="41">
        <f>IFERROR(VLOOKUP(TA[[#This Row],[Date]],Raw_Data[[Date]:[Sunset Time (POA&lt;20 W/m2)]],3,0),"")</f>
        <v>0.25277777777777777</v>
      </c>
      <c r="Y474" s="34"/>
      <c r="Z474" s="34">
        <v>0.76041666666666663</v>
      </c>
      <c r="AA474" s="35">
        <f>IF(TA[[#This Row],[Work Start time on Fault]]="NA","",(TA[[#This Row],[Fault Acknowledgement Time ]]-TA[[#This Row],[Fault Time]])*24)</f>
        <v>0</v>
      </c>
      <c r="AB474" s="35">
        <f>(TA[[#This Row],[Work Start time on Fault]]-TA[[#This Row],[Fault Time]])*24</f>
        <v>-6.0666666666666664</v>
      </c>
      <c r="AC474" s="34">
        <f>(TA[[#This Row],[Work Completion time on fault]]-TA[[#This Row],[Fault Time]])*24</f>
        <v>12.183333333333334</v>
      </c>
      <c r="AD474" s="35">
        <f>IFERROR((TA[[#This Row],[Work Completion time on fault]]-TA[[#This Row],[Fault Time]])*24,"")</f>
        <v>12.183333333333334</v>
      </c>
      <c r="AE474" t="s">
        <v>328</v>
      </c>
      <c r="AF474" t="s">
        <v>256</v>
      </c>
      <c r="AG474" s="2"/>
      <c r="AH474" s="44">
        <f>1-COS(RADIANS(TA[[#This Row],[Avg. Target Angle during Fault Time (Radians)]]-TA[[#This Row],[Angle of affected equipment ]]))</f>
        <v>0.11705240714107301</v>
      </c>
      <c r="AI474" s="35">
        <f>IFERROR(TA[[#This Row],[Breakdown Time]]*TA[[#This Row],[Plant Equivalent Weightage]],"")</f>
        <v>0.10502873563218387</v>
      </c>
    </row>
    <row r="475" spans="1:35">
      <c r="A475" s="2">
        <f t="shared" si="23"/>
        <v>472</v>
      </c>
      <c r="B475" s="156">
        <f t="shared" si="24"/>
        <v>2026</v>
      </c>
      <c r="C475" s="129">
        <f t="shared" si="25"/>
        <v>2025</v>
      </c>
      <c r="D475" s="2" t="s">
        <v>155</v>
      </c>
      <c r="E475" s="2" t="s">
        <v>155</v>
      </c>
      <c r="F475" s="39">
        <v>45748</v>
      </c>
      <c r="G475" s="2">
        <f>DAY(EOMONTH(TA[[#This Row],[Month Year]],0))</f>
        <v>30</v>
      </c>
      <c r="H475" s="21">
        <v>45777</v>
      </c>
      <c r="I475" s="41">
        <f>IFERROR(VLOOKUP(TA[[#This Row],[Date]],Raw_Data[[Date]:[Sunset Time (POA&lt;20 W/m2)]],3,0),"")</f>
        <v>0.25277777777777777</v>
      </c>
      <c r="J475" s="41">
        <f>IFERROR(VLOOKUP(TA[[#This Row],[Date]],Raw_Data[[Date]:[Sunset Time (POA&lt;20 W/m2)]],4,0),"")</f>
        <v>0.76944444444444449</v>
      </c>
      <c r="K475" s="35">
        <f>IFERROR((TA[[#This Row],[Sunset Time (POA&lt;20 W/m2)]]-TA[[#This Row],[Sunrise Time (POA&gt;20 W/m2)]])*24,"")</f>
        <v>12.400000000000002</v>
      </c>
      <c r="L475" s="2" t="s">
        <v>294</v>
      </c>
      <c r="M475" s="42">
        <f>IFERROR(VLOOKUP(TA[[#This Row],[Affected Equipment]],'Basic Data'!$I$2:$K$40,3,0),"")</f>
        <v>1.7241379310344799E-3</v>
      </c>
      <c r="N475">
        <v>-28</v>
      </c>
      <c r="O475" t="s">
        <v>133</v>
      </c>
      <c r="P475" s="127" t="s">
        <v>316</v>
      </c>
      <c r="Q475" s="126" t="s">
        <v>317</v>
      </c>
      <c r="R475">
        <v>7</v>
      </c>
      <c r="S475" s="2">
        <v>32</v>
      </c>
      <c r="T475" t="s">
        <v>295</v>
      </c>
      <c r="U475" t="s">
        <v>300</v>
      </c>
      <c r="V475" t="s">
        <v>298</v>
      </c>
      <c r="W475" s="41"/>
      <c r="X475" s="41"/>
      <c r="Y475" s="34"/>
      <c r="Z475" s="34"/>
      <c r="AA475" s="35">
        <f>IF(TA[[#This Row],[Work Start time on Fault]]="NA","",(TA[[#This Row],[Fault Acknowledgement Time ]]-TA[[#This Row],[Fault Time]])*24)</f>
        <v>0</v>
      </c>
      <c r="AB475" s="35">
        <f>(TA[[#This Row],[Work Start time on Fault]]-TA[[#This Row],[Fault Time]])*24</f>
        <v>0</v>
      </c>
      <c r="AC475" s="34">
        <f>(TA[[#This Row],[Work Completion time on fault]]-TA[[#This Row],[Fault Time]])*24</f>
        <v>0</v>
      </c>
      <c r="AD475" s="35">
        <f>IFERROR((TA[[#This Row],[Work Completion time on fault]]-TA[[#This Row],[Fault Time]])*24,"")</f>
        <v>0</v>
      </c>
      <c r="AE475" t="s">
        <v>328</v>
      </c>
      <c r="AF475" t="s">
        <v>256</v>
      </c>
      <c r="AG475" s="2"/>
      <c r="AH475" s="44">
        <f>1-COS(RADIANS(TA[[#This Row],[Avg. Target Angle during Fault Time (Radians)]]-TA[[#This Row],[Angle of affected equipment ]]))</f>
        <v>0.11705240714107301</v>
      </c>
      <c r="AI475" s="35">
        <f>IFERROR(TA[[#This Row],[Breakdown Time]]*TA[[#This Row],[Plant Equivalent Weightage]],"")</f>
        <v>0</v>
      </c>
    </row>
    <row r="476" spans="1:35">
      <c r="A476" s="2">
        <f t="shared" si="23"/>
        <v>473</v>
      </c>
      <c r="B476" s="156">
        <f t="shared" si="24"/>
        <v>2026</v>
      </c>
      <c r="C476" s="129">
        <f t="shared" si="25"/>
        <v>2025</v>
      </c>
      <c r="D476" s="2" t="s">
        <v>155</v>
      </c>
      <c r="E476" s="2" t="s">
        <v>155</v>
      </c>
      <c r="F476" s="39">
        <v>45748</v>
      </c>
      <c r="G476" s="2">
        <f>DAY(EOMONTH(TA[[#This Row],[Month Year]],0))</f>
        <v>30</v>
      </c>
      <c r="H476" s="21">
        <v>45777</v>
      </c>
      <c r="I476" s="41">
        <f>IFERROR(VLOOKUP(TA[[#This Row],[Date]],Raw_Data[[Date]:[Sunset Time (POA&lt;20 W/m2)]],3,0),"")</f>
        <v>0.25277777777777777</v>
      </c>
      <c r="J476" s="41">
        <f>IFERROR(VLOOKUP(TA[[#This Row],[Date]],Raw_Data[[Date]:[Sunset Time (POA&lt;20 W/m2)]],4,0),"")</f>
        <v>0.76944444444444449</v>
      </c>
      <c r="K476" s="35">
        <f>IFERROR((TA[[#This Row],[Sunset Time (POA&lt;20 W/m2)]]-TA[[#This Row],[Sunrise Time (POA&gt;20 W/m2)]])*24,"")</f>
        <v>12.400000000000002</v>
      </c>
      <c r="L476" s="2" t="s">
        <v>294</v>
      </c>
      <c r="M476" s="42">
        <f>IFERROR(VLOOKUP(TA[[#This Row],[Affected Equipment]],'Basic Data'!$I$2:$K$40,3,0),"")</f>
        <v>1.7241379310344799E-3</v>
      </c>
      <c r="N476">
        <v>-28</v>
      </c>
      <c r="O476" t="s">
        <v>137</v>
      </c>
      <c r="P476" s="127" t="s">
        <v>315</v>
      </c>
      <c r="Q476" s="126" t="s">
        <v>319</v>
      </c>
      <c r="R476">
        <v>166</v>
      </c>
      <c r="S476" s="2">
        <v>91</v>
      </c>
      <c r="T476" t="s">
        <v>295</v>
      </c>
      <c r="U476" t="s">
        <v>300</v>
      </c>
      <c r="V476" t="s">
        <v>298</v>
      </c>
      <c r="W476" s="41"/>
      <c r="X476" s="41"/>
      <c r="Y476" s="34"/>
      <c r="Z476" s="34"/>
      <c r="AA476" s="35">
        <f>IF(TA[[#This Row],[Work Start time on Fault]]="NA","",(TA[[#This Row],[Fault Acknowledgement Time ]]-TA[[#This Row],[Fault Time]])*24)</f>
        <v>0</v>
      </c>
      <c r="AB476" s="35">
        <f>(TA[[#This Row],[Work Start time on Fault]]-TA[[#This Row],[Fault Time]])*24</f>
        <v>0</v>
      </c>
      <c r="AC476" s="34">
        <f>(TA[[#This Row],[Work Completion time on fault]]-TA[[#This Row],[Fault Time]])*24</f>
        <v>0</v>
      </c>
      <c r="AD476" s="35">
        <f>IFERROR((TA[[#This Row],[Work Completion time on fault]]-TA[[#This Row],[Fault Time]])*24,"")</f>
        <v>0</v>
      </c>
      <c r="AE476" t="s">
        <v>328</v>
      </c>
      <c r="AF476" t="s">
        <v>256</v>
      </c>
      <c r="AG476" s="2"/>
      <c r="AH476" s="44">
        <f>1-COS(RADIANS(TA[[#This Row],[Avg. Target Angle during Fault Time (Radians)]]-TA[[#This Row],[Angle of affected equipment ]]))</f>
        <v>0.11705240714107301</v>
      </c>
      <c r="AI476" s="35">
        <f>IFERROR(TA[[#This Row],[Breakdown Time]]*TA[[#This Row],[Plant Equivalent Weightage]],"")</f>
        <v>0</v>
      </c>
    </row>
    <row r="477" spans="1:35">
      <c r="A477" s="2">
        <f t="shared" si="23"/>
        <v>474</v>
      </c>
      <c r="B477" s="156">
        <f t="shared" si="24"/>
        <v>2026</v>
      </c>
      <c r="C477" s="129">
        <f t="shared" si="25"/>
        <v>2025</v>
      </c>
      <c r="D477" s="2" t="s">
        <v>155</v>
      </c>
      <c r="E477" s="2" t="s">
        <v>155</v>
      </c>
      <c r="F477" s="39">
        <v>45748</v>
      </c>
      <c r="G477" s="2">
        <f>DAY(EOMONTH(TA[[#This Row],[Month Year]],0))</f>
        <v>30</v>
      </c>
      <c r="H477" s="21">
        <v>45777</v>
      </c>
      <c r="I477" s="41">
        <f>IFERROR(VLOOKUP(TA[[#This Row],[Date]],Raw_Data[[Date]:[Sunset Time (POA&lt;20 W/m2)]],3,0),"")</f>
        <v>0.25277777777777777</v>
      </c>
      <c r="J477" s="41">
        <f>IFERROR(VLOOKUP(TA[[#This Row],[Date]],Raw_Data[[Date]:[Sunset Time (POA&lt;20 W/m2)]],4,0),"")</f>
        <v>0.76944444444444449</v>
      </c>
      <c r="K477" s="35">
        <f>IFERROR((TA[[#This Row],[Sunset Time (POA&lt;20 W/m2)]]-TA[[#This Row],[Sunrise Time (POA&gt;20 W/m2)]])*24,"")</f>
        <v>12.400000000000002</v>
      </c>
      <c r="L477" s="2" t="s">
        <v>294</v>
      </c>
      <c r="M477" s="42">
        <f>IFERROR(VLOOKUP(TA[[#This Row],[Affected Equipment]],'Basic Data'!$I$2:$K$40,3,0),"")</f>
        <v>1.7241379310344799E-3</v>
      </c>
      <c r="N477">
        <v>-28</v>
      </c>
      <c r="O477" t="s">
        <v>133</v>
      </c>
      <c r="P477" s="127" t="s">
        <v>316</v>
      </c>
      <c r="Q477" s="126" t="s">
        <v>316</v>
      </c>
      <c r="R477">
        <v>117</v>
      </c>
      <c r="S477" s="2">
        <v>20</v>
      </c>
      <c r="T477" t="s">
        <v>295</v>
      </c>
      <c r="U477" t="s">
        <v>300</v>
      </c>
      <c r="V477" t="s">
        <v>298</v>
      </c>
      <c r="W477" s="41"/>
      <c r="X477" s="41"/>
      <c r="Y477" s="34"/>
      <c r="Z477" s="34"/>
      <c r="AA477" s="35">
        <f>IF(TA[[#This Row],[Work Start time on Fault]]="NA","",(TA[[#This Row],[Fault Acknowledgement Time ]]-TA[[#This Row],[Fault Time]])*24)</f>
        <v>0</v>
      </c>
      <c r="AB477" s="35">
        <f>(TA[[#This Row],[Work Start time on Fault]]-TA[[#This Row],[Fault Time]])*24</f>
        <v>0</v>
      </c>
      <c r="AC477" s="34">
        <f>(TA[[#This Row],[Work Completion time on fault]]-TA[[#This Row],[Fault Time]])*24</f>
        <v>0</v>
      </c>
      <c r="AD477" s="35">
        <f>IFERROR((TA[[#This Row],[Work Completion time on fault]]-TA[[#This Row],[Fault Time]])*24,"")</f>
        <v>0</v>
      </c>
      <c r="AE477" t="s">
        <v>328</v>
      </c>
      <c r="AF477" t="s">
        <v>256</v>
      </c>
      <c r="AG477" s="2"/>
      <c r="AH477" s="44">
        <f>1-COS(RADIANS(TA[[#This Row],[Avg. Target Angle during Fault Time (Radians)]]-TA[[#This Row],[Angle of affected equipment ]]))</f>
        <v>0.11705240714107301</v>
      </c>
      <c r="AI477" s="35">
        <f>IFERROR(TA[[#This Row],[Breakdown Time]]*TA[[#This Row],[Plant Equivalent Weightage]],"")</f>
        <v>0</v>
      </c>
    </row>
    <row r="478" spans="1:35">
      <c r="A478" s="2">
        <f t="shared" si="23"/>
        <v>475</v>
      </c>
      <c r="B478" s="156">
        <f t="shared" si="24"/>
        <v>2026</v>
      </c>
      <c r="C478" s="129">
        <f t="shared" si="25"/>
        <v>2025</v>
      </c>
      <c r="D478" s="2" t="s">
        <v>155</v>
      </c>
      <c r="E478" s="2" t="s">
        <v>155</v>
      </c>
      <c r="F478" s="39">
        <v>45748</v>
      </c>
      <c r="G478" s="2">
        <f>DAY(EOMONTH(TA[[#This Row],[Month Year]],0))</f>
        <v>30</v>
      </c>
      <c r="H478" s="21">
        <v>45777</v>
      </c>
      <c r="I478" s="41">
        <f>IFERROR(VLOOKUP(TA[[#This Row],[Date]],Raw_Data[[Date]:[Sunset Time (POA&lt;20 W/m2)]],3,0),"")</f>
        <v>0.25277777777777777</v>
      </c>
      <c r="J478" s="41">
        <f>IFERROR(VLOOKUP(TA[[#This Row],[Date]],Raw_Data[[Date]:[Sunset Time (POA&lt;20 W/m2)]],4,0),"")</f>
        <v>0.76944444444444449</v>
      </c>
      <c r="K478" s="35">
        <f>IFERROR((TA[[#This Row],[Sunset Time (POA&lt;20 W/m2)]]-TA[[#This Row],[Sunrise Time (POA&gt;20 W/m2)]])*24,"")</f>
        <v>12.400000000000002</v>
      </c>
      <c r="L478" s="2" t="s">
        <v>294</v>
      </c>
      <c r="M478" s="42">
        <f>IFERROR(VLOOKUP(TA[[#This Row],[Affected Equipment]],'Basic Data'!$I$2:$K$40,3,0),"")</f>
        <v>1.7241379310344799E-3</v>
      </c>
      <c r="N478">
        <v>-28</v>
      </c>
      <c r="O478" t="s">
        <v>133</v>
      </c>
      <c r="P478" s="127" t="s">
        <v>316</v>
      </c>
      <c r="Q478" s="126" t="s">
        <v>316</v>
      </c>
      <c r="R478">
        <v>118</v>
      </c>
      <c r="S478" s="2">
        <v>22</v>
      </c>
      <c r="T478" t="s">
        <v>295</v>
      </c>
      <c r="U478" t="s">
        <v>300</v>
      </c>
      <c r="V478" t="s">
        <v>298</v>
      </c>
      <c r="W478" s="41"/>
      <c r="X478" s="41"/>
      <c r="Y478" s="34"/>
      <c r="Z478" s="34"/>
      <c r="AA478" s="35">
        <f>IF(TA[[#This Row],[Work Start time on Fault]]="NA","",(TA[[#This Row],[Fault Acknowledgement Time ]]-TA[[#This Row],[Fault Time]])*24)</f>
        <v>0</v>
      </c>
      <c r="AB478" s="35">
        <f>(TA[[#This Row],[Work Start time on Fault]]-TA[[#This Row],[Fault Time]])*24</f>
        <v>0</v>
      </c>
      <c r="AC478" s="34">
        <f>(TA[[#This Row],[Work Completion time on fault]]-TA[[#This Row],[Fault Time]])*24</f>
        <v>0</v>
      </c>
      <c r="AD478" s="35">
        <f>IFERROR((TA[[#This Row],[Work Completion time on fault]]-TA[[#This Row],[Fault Time]])*24,"")</f>
        <v>0</v>
      </c>
      <c r="AE478" t="s">
        <v>328</v>
      </c>
      <c r="AF478" t="s">
        <v>256</v>
      </c>
      <c r="AG478" s="2"/>
      <c r="AH478" s="44">
        <f>1-COS(RADIANS(TA[[#This Row],[Avg. Target Angle during Fault Time (Radians)]]-TA[[#This Row],[Angle of affected equipment ]]))</f>
        <v>0.11705240714107301</v>
      </c>
      <c r="AI478" s="35">
        <f>IFERROR(TA[[#This Row],[Breakdown Time]]*TA[[#This Row],[Plant Equivalent Weightage]],"")</f>
        <v>0</v>
      </c>
    </row>
    <row r="479" spans="1:35">
      <c r="A479" s="2">
        <f t="shared" si="23"/>
        <v>476</v>
      </c>
      <c r="B479" s="156">
        <f t="shared" si="24"/>
        <v>2026</v>
      </c>
      <c r="C479" s="129">
        <f t="shared" si="25"/>
        <v>2025</v>
      </c>
      <c r="D479" s="2" t="s">
        <v>155</v>
      </c>
      <c r="E479" s="2" t="s">
        <v>155</v>
      </c>
      <c r="F479" s="39">
        <v>45748</v>
      </c>
      <c r="G479" s="2">
        <f>DAY(EOMONTH(TA[[#This Row],[Month Year]],0))</f>
        <v>30</v>
      </c>
      <c r="H479" s="21">
        <v>45777</v>
      </c>
      <c r="I479" s="41">
        <f>IFERROR(VLOOKUP(TA[[#This Row],[Date]],Raw_Data[[Date]:[Sunset Time (POA&lt;20 W/m2)]],3,0),"")</f>
        <v>0.25277777777777777</v>
      </c>
      <c r="J479" s="41">
        <f>IFERROR(VLOOKUP(TA[[#This Row],[Date]],Raw_Data[[Date]:[Sunset Time (POA&lt;20 W/m2)]],4,0),"")</f>
        <v>0.76944444444444449</v>
      </c>
      <c r="K479" s="35">
        <f>IFERROR((TA[[#This Row],[Sunset Time (POA&lt;20 W/m2)]]-TA[[#This Row],[Sunrise Time (POA&gt;20 W/m2)]])*24,"")</f>
        <v>12.400000000000002</v>
      </c>
      <c r="L479" s="2" t="s">
        <v>296</v>
      </c>
      <c r="M479" s="42">
        <f>IFERROR(VLOOKUP(TA[[#This Row],[Affected Equipment]],'Basic Data'!$I$2:$K$40,3,0),"")</f>
        <v>8.6206896551724102E-3</v>
      </c>
      <c r="N479">
        <v>-28</v>
      </c>
      <c r="O479" t="s">
        <v>135</v>
      </c>
      <c r="P479" s="22" t="s">
        <v>323</v>
      </c>
      <c r="Q479" s="2" t="s">
        <v>329</v>
      </c>
      <c r="R479">
        <v>45</v>
      </c>
      <c r="S479" s="2">
        <v>8</v>
      </c>
      <c r="T479" t="s">
        <v>297</v>
      </c>
      <c r="U479" t="s">
        <v>326</v>
      </c>
      <c r="V479" t="s">
        <v>301</v>
      </c>
      <c r="W479" s="41"/>
      <c r="X479" s="41"/>
      <c r="Y479" s="34"/>
      <c r="Z479" s="34"/>
      <c r="AA479" s="35">
        <f>IF(TA[[#This Row],[Work Start time on Fault]]="NA","",(TA[[#This Row],[Fault Acknowledgement Time ]]-TA[[#This Row],[Fault Time]])*24)</f>
        <v>0</v>
      </c>
      <c r="AB479" s="35">
        <f>(TA[[#This Row],[Work Start time on Fault]]-TA[[#This Row],[Fault Time]])*24</f>
        <v>0</v>
      </c>
      <c r="AC479" s="34">
        <f>(TA[[#This Row],[Work Completion time on fault]]-TA[[#This Row],[Fault Time]])*24</f>
        <v>0</v>
      </c>
      <c r="AD479" s="35">
        <f>IFERROR((TA[[#This Row],[Work Completion time on fault]]-TA[[#This Row],[Fault Time]])*24,"")</f>
        <v>0</v>
      </c>
      <c r="AE479" t="s">
        <v>328</v>
      </c>
      <c r="AF479" t="s">
        <v>256</v>
      </c>
      <c r="AG479" s="2"/>
      <c r="AH479" s="44">
        <f>1-COS(RADIANS(TA[[#This Row],[Avg. Target Angle during Fault Time (Radians)]]-TA[[#This Row],[Angle of affected equipment ]]))</f>
        <v>0.11705240714107301</v>
      </c>
      <c r="AI479" s="35">
        <f>IFERROR(TA[[#This Row],[Breakdown Time]]*TA[[#This Row],[Plant Equivalent Weightage]],"")</f>
        <v>0</v>
      </c>
    </row>
    <row r="480" spans="1:35">
      <c r="A480" s="2">
        <f t="shared" si="23"/>
        <v>477</v>
      </c>
      <c r="B480" s="156">
        <f t="shared" si="24"/>
        <v>2026</v>
      </c>
      <c r="C480" s="129">
        <f t="shared" si="25"/>
        <v>2025</v>
      </c>
      <c r="D480" s="2" t="s">
        <v>155</v>
      </c>
      <c r="E480" s="2" t="s">
        <v>155</v>
      </c>
      <c r="F480" s="39">
        <v>45748</v>
      </c>
      <c r="G480" s="2">
        <f>DAY(EOMONTH(TA[[#This Row],[Month Year]],0))</f>
        <v>30</v>
      </c>
      <c r="H480" s="21">
        <v>45777</v>
      </c>
      <c r="I480" s="41">
        <f>IFERROR(VLOOKUP(TA[[#This Row],[Date]],Raw_Data[[Date]:[Sunset Time (POA&lt;20 W/m2)]],3,0),"")</f>
        <v>0.25277777777777777</v>
      </c>
      <c r="J480" s="41">
        <f>IFERROR(VLOOKUP(TA[[#This Row],[Date]],Raw_Data[[Date]:[Sunset Time (POA&lt;20 W/m2)]],4,0),"")</f>
        <v>0.76944444444444449</v>
      </c>
      <c r="K480" s="35">
        <f>IFERROR((TA[[#This Row],[Sunset Time (POA&lt;20 W/m2)]]-TA[[#This Row],[Sunrise Time (POA&gt;20 W/m2)]])*24,"")</f>
        <v>12.400000000000002</v>
      </c>
      <c r="L480" s="2" t="s">
        <v>296</v>
      </c>
      <c r="M480" s="42">
        <f>IFERROR(VLOOKUP(TA[[#This Row],[Affected Equipment]],'Basic Data'!$I$2:$K$40,3,0),"")</f>
        <v>8.6206896551724102E-3</v>
      </c>
      <c r="N480">
        <v>-28</v>
      </c>
      <c r="O480" t="s">
        <v>135</v>
      </c>
      <c r="P480" s="22" t="s">
        <v>323</v>
      </c>
      <c r="Q480" s="2" t="s">
        <v>329</v>
      </c>
      <c r="R480">
        <v>47</v>
      </c>
      <c r="S480" s="2">
        <v>18</v>
      </c>
      <c r="T480" t="s">
        <v>297</v>
      </c>
      <c r="U480" t="s">
        <v>326</v>
      </c>
      <c r="V480" t="s">
        <v>301</v>
      </c>
      <c r="W480" s="41"/>
      <c r="X480" s="41"/>
      <c r="Y480" s="34"/>
      <c r="Z480" s="34"/>
      <c r="AA480" s="35">
        <f>IF(TA[[#This Row],[Work Start time on Fault]]="NA","",(TA[[#This Row],[Fault Acknowledgement Time ]]-TA[[#This Row],[Fault Time]])*24)</f>
        <v>0</v>
      </c>
      <c r="AB480" s="35">
        <f>(TA[[#This Row],[Work Start time on Fault]]-TA[[#This Row],[Fault Time]])*24</f>
        <v>0</v>
      </c>
      <c r="AC480" s="34">
        <f>(TA[[#This Row],[Work Completion time on fault]]-TA[[#This Row],[Fault Time]])*24</f>
        <v>0</v>
      </c>
      <c r="AD480" s="35">
        <f>IFERROR((TA[[#This Row],[Work Completion time on fault]]-TA[[#This Row],[Fault Time]])*24,"")</f>
        <v>0</v>
      </c>
      <c r="AE480" t="s">
        <v>328</v>
      </c>
      <c r="AF480" t="s">
        <v>256</v>
      </c>
      <c r="AG480" s="2"/>
      <c r="AH480" s="44">
        <f>1-COS(RADIANS(TA[[#This Row],[Avg. Target Angle during Fault Time (Radians)]]-TA[[#This Row],[Angle of affected equipment ]]))</f>
        <v>0.11705240714107301</v>
      </c>
      <c r="AI480" s="35">
        <f>IFERROR(TA[[#This Row],[Breakdown Time]]*TA[[#This Row],[Plant Equivalent Weightage]],"")</f>
        <v>0</v>
      </c>
    </row>
    <row r="481" spans="1:35">
      <c r="A481" s="2">
        <f t="shared" si="23"/>
        <v>478</v>
      </c>
      <c r="B481" s="156">
        <f t="shared" si="24"/>
        <v>2026</v>
      </c>
      <c r="C481" s="129">
        <f t="shared" si="25"/>
        <v>2025</v>
      </c>
      <c r="D481" s="2" t="s">
        <v>155</v>
      </c>
      <c r="E481" s="2" t="s">
        <v>155</v>
      </c>
      <c r="F481" s="39">
        <v>45748</v>
      </c>
      <c r="G481" s="2">
        <f>DAY(EOMONTH(TA[[#This Row],[Month Year]],0))</f>
        <v>30</v>
      </c>
      <c r="H481" s="21">
        <v>45777</v>
      </c>
      <c r="I481" s="41">
        <f>IFERROR(VLOOKUP(TA[[#This Row],[Date]],Raw_Data[[Date]:[Sunset Time (POA&lt;20 W/m2)]],3,0),"")</f>
        <v>0.25277777777777777</v>
      </c>
      <c r="J481" s="41">
        <f>IFERROR(VLOOKUP(TA[[#This Row],[Date]],Raw_Data[[Date]:[Sunset Time (POA&lt;20 W/m2)]],4,0),"")</f>
        <v>0.76944444444444449</v>
      </c>
      <c r="K481" s="35">
        <f>IFERROR((TA[[#This Row],[Sunset Time (POA&lt;20 W/m2)]]-TA[[#This Row],[Sunrise Time (POA&gt;20 W/m2)]])*24,"")</f>
        <v>12.400000000000002</v>
      </c>
      <c r="L481" s="2" t="s">
        <v>296</v>
      </c>
      <c r="M481" s="42">
        <f>IFERROR(VLOOKUP(TA[[#This Row],[Affected Equipment]],'Basic Data'!$I$2:$K$40,3,0),"")</f>
        <v>8.6206896551724102E-3</v>
      </c>
      <c r="N481">
        <v>-28</v>
      </c>
      <c r="O481" t="s">
        <v>134</v>
      </c>
      <c r="P481" s="22" t="s">
        <v>330</v>
      </c>
      <c r="Q481" s="2" t="s">
        <v>323</v>
      </c>
      <c r="R481">
        <v>30</v>
      </c>
      <c r="S481" s="2">
        <v>57</v>
      </c>
      <c r="T481" t="s">
        <v>297</v>
      </c>
      <c r="U481" t="s">
        <v>326</v>
      </c>
      <c r="V481" t="s">
        <v>301</v>
      </c>
      <c r="W481" s="41"/>
      <c r="X481" s="41"/>
      <c r="Y481" s="34"/>
      <c r="Z481" s="34"/>
      <c r="AA481" s="35">
        <f>IF(TA[[#This Row],[Work Start time on Fault]]="NA","",(TA[[#This Row],[Fault Acknowledgement Time ]]-TA[[#This Row],[Fault Time]])*24)</f>
        <v>0</v>
      </c>
      <c r="AB481" s="35">
        <f>(TA[[#This Row],[Work Start time on Fault]]-TA[[#This Row],[Fault Time]])*24</f>
        <v>0</v>
      </c>
      <c r="AC481" s="34">
        <f>(TA[[#This Row],[Work Completion time on fault]]-TA[[#This Row],[Fault Time]])*24</f>
        <v>0</v>
      </c>
      <c r="AD481" s="35">
        <f>IFERROR((TA[[#This Row],[Work Completion time on fault]]-TA[[#This Row],[Fault Time]])*24,"")</f>
        <v>0</v>
      </c>
      <c r="AE481" t="s">
        <v>328</v>
      </c>
      <c r="AF481" t="s">
        <v>256</v>
      </c>
      <c r="AG481" s="2"/>
      <c r="AH481" s="44">
        <f>1-COS(RADIANS(TA[[#This Row],[Avg. Target Angle during Fault Time (Radians)]]-TA[[#This Row],[Angle of affected equipment ]]))</f>
        <v>0.11705240714107301</v>
      </c>
      <c r="AI481" s="35">
        <f>IFERROR(TA[[#This Row],[Breakdown Time]]*TA[[#This Row],[Plant Equivalent Weightage]],"")</f>
        <v>0</v>
      </c>
    </row>
    <row r="482" spans="1:35">
      <c r="A482" s="2">
        <f t="shared" si="23"/>
        <v>479</v>
      </c>
      <c r="B482" s="156">
        <f t="shared" si="24"/>
        <v>2026</v>
      </c>
      <c r="C482" s="129">
        <f t="shared" si="25"/>
        <v>2025</v>
      </c>
      <c r="D482" s="2" t="s">
        <v>155</v>
      </c>
      <c r="E482" s="2" t="s">
        <v>155</v>
      </c>
      <c r="F482" s="39">
        <v>45748</v>
      </c>
      <c r="G482" s="2">
        <f>DAY(EOMONTH(TA[[#This Row],[Month Year]],0))</f>
        <v>30</v>
      </c>
      <c r="H482" s="21">
        <v>45777</v>
      </c>
      <c r="I482" s="41">
        <f>IFERROR(VLOOKUP(TA[[#This Row],[Date]],Raw_Data[[Date]:[Sunset Time (POA&lt;20 W/m2)]],3,0),"")</f>
        <v>0.25277777777777777</v>
      </c>
      <c r="J482" s="41">
        <f>IFERROR(VLOOKUP(TA[[#This Row],[Date]],Raw_Data[[Date]:[Sunset Time (POA&lt;20 W/m2)]],4,0),"")</f>
        <v>0.76944444444444449</v>
      </c>
      <c r="K482" s="35">
        <f>IFERROR((TA[[#This Row],[Sunset Time (POA&lt;20 W/m2)]]-TA[[#This Row],[Sunrise Time (POA&gt;20 W/m2)]])*24,"")</f>
        <v>12.400000000000002</v>
      </c>
      <c r="L482" s="2" t="s">
        <v>296</v>
      </c>
      <c r="M482" s="42">
        <f>IFERROR(VLOOKUP(TA[[#This Row],[Affected Equipment]],'Basic Data'!$I$2:$K$40,3,0),"")</f>
        <v>8.6206896551724102E-3</v>
      </c>
      <c r="N482">
        <v>-28</v>
      </c>
      <c r="O482" t="s">
        <v>134</v>
      </c>
      <c r="P482" s="22" t="s">
        <v>330</v>
      </c>
      <c r="Q482" s="2" t="s">
        <v>323</v>
      </c>
      <c r="R482">
        <v>31</v>
      </c>
      <c r="S482" s="2">
        <v>61</v>
      </c>
      <c r="T482" t="s">
        <v>297</v>
      </c>
      <c r="U482" t="s">
        <v>326</v>
      </c>
      <c r="V482" t="s">
        <v>301</v>
      </c>
      <c r="W482" s="41"/>
      <c r="X482" s="41"/>
      <c r="Y482" s="34"/>
      <c r="Z482" s="34"/>
      <c r="AA482" s="35">
        <f>IF(TA[[#This Row],[Work Start time on Fault]]="NA","",(TA[[#This Row],[Fault Acknowledgement Time ]]-TA[[#This Row],[Fault Time]])*24)</f>
        <v>0</v>
      </c>
      <c r="AB482" s="35">
        <f>(TA[[#This Row],[Work Start time on Fault]]-TA[[#This Row],[Fault Time]])*24</f>
        <v>0</v>
      </c>
      <c r="AC482" s="34">
        <f>(TA[[#This Row],[Work Completion time on fault]]-TA[[#This Row],[Fault Time]])*24</f>
        <v>0</v>
      </c>
      <c r="AD482" s="35">
        <f>IFERROR((TA[[#This Row],[Work Completion time on fault]]-TA[[#This Row],[Fault Time]])*24,"")</f>
        <v>0</v>
      </c>
      <c r="AE482" t="s">
        <v>328</v>
      </c>
      <c r="AF482" t="s">
        <v>256</v>
      </c>
      <c r="AG482" s="2"/>
      <c r="AH482" s="44">
        <f>1-COS(RADIANS(TA[[#This Row],[Avg. Target Angle during Fault Time (Radians)]]-TA[[#This Row],[Angle of affected equipment ]]))</f>
        <v>0.11705240714107301</v>
      </c>
      <c r="AI482" s="35">
        <f>IFERROR(TA[[#This Row],[Breakdown Time]]*TA[[#This Row],[Plant Equivalent Weightage]],"")</f>
        <v>0</v>
      </c>
    </row>
    <row r="483" spans="1:35">
      <c r="A483" s="2">
        <f t="shared" si="23"/>
        <v>480</v>
      </c>
      <c r="B483" s="156">
        <f t="shared" si="24"/>
        <v>2026</v>
      </c>
      <c r="C483" s="129">
        <f t="shared" si="25"/>
        <v>2025</v>
      </c>
      <c r="D483" s="2" t="s">
        <v>155</v>
      </c>
      <c r="E483" s="2" t="s">
        <v>155</v>
      </c>
      <c r="F483" s="39">
        <v>45748</v>
      </c>
      <c r="G483" s="2">
        <f>DAY(EOMONTH(TA[[#This Row],[Month Year]],0))</f>
        <v>30</v>
      </c>
      <c r="H483" s="21">
        <v>45777</v>
      </c>
      <c r="I483" s="41">
        <f>IFERROR(VLOOKUP(TA[[#This Row],[Date]],Raw_Data[[Date]:[Sunset Time (POA&lt;20 W/m2)]],3,0),"")</f>
        <v>0.25277777777777777</v>
      </c>
      <c r="J483" s="41">
        <f>IFERROR(VLOOKUP(TA[[#This Row],[Date]],Raw_Data[[Date]:[Sunset Time (POA&lt;20 W/m2)]],4,0),"")</f>
        <v>0.76944444444444449</v>
      </c>
      <c r="K483" s="35">
        <f>IFERROR((TA[[#This Row],[Sunset Time (POA&lt;20 W/m2)]]-TA[[#This Row],[Sunrise Time (POA&gt;20 W/m2)]])*24,"")</f>
        <v>12.400000000000002</v>
      </c>
      <c r="L483" s="2" t="s">
        <v>312</v>
      </c>
      <c r="M483" s="42">
        <f>IFERROR(VLOOKUP(TA[[#This Row],[Affected Equipment]],'Basic Data'!$I$2:$K$40,3,0),"")</f>
        <v>5.74712643678161E-3</v>
      </c>
      <c r="N483">
        <v>-28</v>
      </c>
      <c r="O483" t="s">
        <v>133</v>
      </c>
      <c r="P483" s="22" t="s">
        <v>330</v>
      </c>
      <c r="Q483" s="2" t="s">
        <v>323</v>
      </c>
      <c r="R483">
        <v>26</v>
      </c>
      <c r="S483" s="2">
        <v>37</v>
      </c>
      <c r="T483" t="s">
        <v>297</v>
      </c>
      <c r="U483" t="s">
        <v>326</v>
      </c>
      <c r="V483" t="s">
        <v>301</v>
      </c>
      <c r="W483" s="41"/>
      <c r="X483" s="41"/>
      <c r="Y483" s="34"/>
      <c r="Z483" s="34"/>
      <c r="AA483" s="35">
        <f>IF(TA[[#This Row],[Work Start time on Fault]]="NA","",(TA[[#This Row],[Fault Acknowledgement Time ]]-TA[[#This Row],[Fault Time]])*24)</f>
        <v>0</v>
      </c>
      <c r="AB483" s="35">
        <f>(TA[[#This Row],[Work Start time on Fault]]-TA[[#This Row],[Fault Time]])*24</f>
        <v>0</v>
      </c>
      <c r="AC483" s="34">
        <f>(TA[[#This Row],[Work Completion time on fault]]-TA[[#This Row],[Fault Time]])*24</f>
        <v>0</v>
      </c>
      <c r="AD483" s="35">
        <f>IFERROR((TA[[#This Row],[Work Completion time on fault]]-TA[[#This Row],[Fault Time]])*24,"")</f>
        <v>0</v>
      </c>
      <c r="AE483" t="s">
        <v>328</v>
      </c>
      <c r="AF483" t="s">
        <v>256</v>
      </c>
      <c r="AG483" s="2"/>
      <c r="AH483" s="44">
        <f>1-COS(RADIANS(TA[[#This Row],[Avg. Target Angle during Fault Time (Radians)]]-TA[[#This Row],[Angle of affected equipment ]]))</f>
        <v>0.11705240714107301</v>
      </c>
      <c r="AI483" s="35">
        <f>IFERROR(TA[[#This Row],[Breakdown Time]]*TA[[#This Row],[Plant Equivalent Weightage]],"")</f>
        <v>0</v>
      </c>
    </row>
    <row r="484" spans="1:35">
      <c r="A484" s="2">
        <f t="shared" si="23"/>
        <v>481</v>
      </c>
      <c r="B484" s="156">
        <f t="shared" si="24"/>
        <v>2026</v>
      </c>
      <c r="C484" s="129">
        <f t="shared" si="25"/>
        <v>2025</v>
      </c>
      <c r="D484" s="2" t="s">
        <v>155</v>
      </c>
      <c r="E484" s="2" t="s">
        <v>155</v>
      </c>
      <c r="F484" s="39">
        <v>45748</v>
      </c>
      <c r="G484" s="2">
        <f>DAY(EOMONTH(TA[[#This Row],[Month Year]],0))</f>
        <v>30</v>
      </c>
      <c r="H484" s="21">
        <v>45777</v>
      </c>
      <c r="I484" s="41">
        <f>IFERROR(VLOOKUP(TA[[#This Row],[Date]],Raw_Data[[Date]:[Sunset Time (POA&lt;20 W/m2)]],3,0),"")</f>
        <v>0.25277777777777777</v>
      </c>
      <c r="J484" s="41">
        <f>IFERROR(VLOOKUP(TA[[#This Row],[Date]],Raw_Data[[Date]:[Sunset Time (POA&lt;20 W/m2)]],4,0),"")</f>
        <v>0.76944444444444449</v>
      </c>
      <c r="K484" s="35">
        <f>IFERROR((TA[[#This Row],[Sunset Time (POA&lt;20 W/m2)]]-TA[[#This Row],[Sunrise Time (POA&gt;20 W/m2)]])*24,"")</f>
        <v>12.400000000000002</v>
      </c>
      <c r="L484" s="2" t="s">
        <v>312</v>
      </c>
      <c r="M484" s="42">
        <f>IFERROR(VLOOKUP(TA[[#This Row],[Affected Equipment]],'Basic Data'!$I$2:$K$40,3,0),"")</f>
        <v>5.74712643678161E-3</v>
      </c>
      <c r="N484">
        <v>-28</v>
      </c>
      <c r="O484" t="s">
        <v>133</v>
      </c>
      <c r="P484" s="22" t="s">
        <v>330</v>
      </c>
      <c r="Q484" s="2" t="s">
        <v>323</v>
      </c>
      <c r="R484">
        <v>27</v>
      </c>
      <c r="S484" s="2">
        <v>42</v>
      </c>
      <c r="T484" t="s">
        <v>297</v>
      </c>
      <c r="U484" t="s">
        <v>326</v>
      </c>
      <c r="V484" t="s">
        <v>301</v>
      </c>
      <c r="W484" s="41">
        <f>IFERROR(VLOOKUP(TA[[#This Row],[Date]],Raw_Data[[Date]:[Sunset Time (POA&lt;20 W/m2)]],3,0),"")</f>
        <v>0.25277777777777777</v>
      </c>
      <c r="X484" s="41">
        <f>IFERROR(VLOOKUP(TA[[#This Row],[Date]],Raw_Data[[Date]:[Sunset Time (POA&lt;20 W/m2)]],3,0),"")</f>
        <v>0.25277777777777777</v>
      </c>
      <c r="Y484" s="34"/>
      <c r="Z484" s="34">
        <v>0.76041666666666663</v>
      </c>
      <c r="AA484" s="35">
        <f>IF(TA[[#This Row],[Work Start time on Fault]]="NA","",(TA[[#This Row],[Fault Acknowledgement Time ]]-TA[[#This Row],[Fault Time]])*24)</f>
        <v>0</v>
      </c>
      <c r="AB484" s="35">
        <f>(TA[[#This Row],[Work Start time on Fault]]-TA[[#This Row],[Fault Time]])*24</f>
        <v>-6.0666666666666664</v>
      </c>
      <c r="AC484" s="34">
        <f>(TA[[#This Row],[Work Completion time on fault]]-TA[[#This Row],[Fault Time]])*24</f>
        <v>12.183333333333334</v>
      </c>
      <c r="AD484" s="35">
        <f>IFERROR((TA[[#This Row],[Work Completion time on fault]]-TA[[#This Row],[Fault Time]])*24,"")</f>
        <v>12.183333333333334</v>
      </c>
      <c r="AE484" t="s">
        <v>309</v>
      </c>
      <c r="AF484" t="s">
        <v>256</v>
      </c>
      <c r="AG484" s="2"/>
      <c r="AH484" s="44">
        <f>1-COS(RADIANS(TA[[#This Row],[Avg. Target Angle during Fault Time (Radians)]]-TA[[#This Row],[Angle of affected equipment ]]))</f>
        <v>0.11705240714107301</v>
      </c>
      <c r="AI484" s="35">
        <f>IFERROR(TA[[#This Row],[Breakdown Time]]*TA[[#This Row],[Plant Equivalent Weightage]],"")</f>
        <v>7.0019157088122619E-2</v>
      </c>
    </row>
    <row r="485" spans="1:35">
      <c r="A485" s="2">
        <f t="shared" si="23"/>
        <v>482</v>
      </c>
      <c r="B485" s="156">
        <f t="shared" si="24"/>
        <v>2026</v>
      </c>
      <c r="C485" s="129">
        <f t="shared" si="25"/>
        <v>2025</v>
      </c>
      <c r="D485" s="2" t="s">
        <v>155</v>
      </c>
      <c r="E485" s="2" t="s">
        <v>155</v>
      </c>
      <c r="F485" s="39">
        <v>45778</v>
      </c>
      <c r="G485" s="2">
        <f>DAY(EOMONTH(TA[[#This Row],[Month Year]],0))</f>
        <v>31</v>
      </c>
      <c r="H485" s="21">
        <v>45778</v>
      </c>
      <c r="I485" s="41">
        <f>IFERROR(VLOOKUP(TA[[#This Row],[Date]],Raw_Data[[Date]:[Sunset Time (POA&lt;20 W/m2)]],3,0),"")</f>
        <v>0.25486111111111109</v>
      </c>
      <c r="J485" s="41">
        <f>IFERROR(VLOOKUP(TA[[#This Row],[Date]],Raw_Data[[Date]:[Sunset Time (POA&lt;20 W/m2)]],4,0),"")</f>
        <v>0.76944444444444449</v>
      </c>
      <c r="K485" s="35">
        <f>IFERROR((TA[[#This Row],[Sunset Time (POA&lt;20 W/m2)]]-TA[[#This Row],[Sunrise Time (POA&gt;20 W/m2)]])*24,"")</f>
        <v>12.350000000000001</v>
      </c>
      <c r="L485" s="2" t="s">
        <v>312</v>
      </c>
      <c r="M485" s="42">
        <f>IFERROR(VLOOKUP(TA[[#This Row],[Affected Equipment]],'Basic Data'!$I$2:$K$40,3,0),"")</f>
        <v>5.74712643678161E-3</v>
      </c>
      <c r="N485">
        <v>-28</v>
      </c>
      <c r="O485" t="s">
        <v>133</v>
      </c>
      <c r="P485" s="22" t="s">
        <v>330</v>
      </c>
      <c r="Q485" s="2" t="s">
        <v>323</v>
      </c>
      <c r="R485">
        <v>27</v>
      </c>
      <c r="S485" s="2">
        <v>42</v>
      </c>
      <c r="T485" t="s">
        <v>297</v>
      </c>
      <c r="U485" t="s">
        <v>326</v>
      </c>
      <c r="V485" t="s">
        <v>301</v>
      </c>
      <c r="W485" s="41">
        <f>IFERROR(VLOOKUP(TA[[#This Row],[Date]],Raw_Data[[Date]:[Sunset Time (POA&lt;20 W/m2)]],3,0),"")</f>
        <v>0.25486111111111109</v>
      </c>
      <c r="X485" s="41">
        <f>IFERROR(VLOOKUP(TA[[#This Row],[Date]],Raw_Data[[Date]:[Sunset Time (POA&lt;20 W/m2)]],3,0),"")</f>
        <v>0.25486111111111109</v>
      </c>
      <c r="Y485" s="34"/>
      <c r="Z485" s="34">
        <v>0.76041666666666663</v>
      </c>
      <c r="AA485" s="35">
        <f>IF(TA[[#This Row],[Work Start time on Fault]]="NA","",(TA[[#This Row],[Fault Acknowledgement Time ]]-TA[[#This Row],[Fault Time]])*24)</f>
        <v>0</v>
      </c>
      <c r="AB485" s="35">
        <f>(TA[[#This Row],[Work Start time on Fault]]-TA[[#This Row],[Fault Time]])*24</f>
        <v>-6.1166666666666663</v>
      </c>
      <c r="AC485" s="34">
        <f>(TA[[#This Row],[Work Completion time on fault]]-TA[[#This Row],[Fault Time]])*24</f>
        <v>12.133333333333333</v>
      </c>
      <c r="AD485" s="35">
        <f>IFERROR((TA[[#This Row],[Work Completion time on fault]]-TA[[#This Row],[Fault Time]])*24,"")</f>
        <v>12.133333333333333</v>
      </c>
      <c r="AE485" t="s">
        <v>309</v>
      </c>
      <c r="AF485" t="s">
        <v>256</v>
      </c>
      <c r="AG485" s="2"/>
      <c r="AH485" s="44">
        <f>1-COS(RADIANS(TA[[#This Row],[Avg. Target Angle during Fault Time (Radians)]]-TA[[#This Row],[Angle of affected equipment ]]))</f>
        <v>0.11705240714107301</v>
      </c>
      <c r="AI485" s="35">
        <f>IFERROR(TA[[#This Row],[Breakdown Time]]*TA[[#This Row],[Plant Equivalent Weightage]],"")</f>
        <v>6.9731800766283533E-2</v>
      </c>
    </row>
    <row r="486" spans="1:35">
      <c r="A486" s="2">
        <f t="shared" ref="A486:A550" si="26">A485+1</f>
        <v>483</v>
      </c>
      <c r="B486" s="156">
        <f t="shared" si="24"/>
        <v>2026</v>
      </c>
      <c r="C486" s="129">
        <f t="shared" si="25"/>
        <v>2025</v>
      </c>
      <c r="D486" s="2" t="s">
        <v>155</v>
      </c>
      <c r="E486" s="2" t="s">
        <v>155</v>
      </c>
      <c r="F486" s="39">
        <v>45778</v>
      </c>
      <c r="G486" s="2">
        <f>DAY(EOMONTH(TA[[#This Row],[Month Year]],0))</f>
        <v>31</v>
      </c>
      <c r="H486" s="21">
        <v>45778</v>
      </c>
      <c r="I486" s="41">
        <f>IFERROR(VLOOKUP(TA[[#This Row],[Date]],Raw_Data[[Date]:[Sunset Time (POA&lt;20 W/m2)]],3,0),"")</f>
        <v>0.25486111111111109</v>
      </c>
      <c r="J486" s="41">
        <f>IFERROR(VLOOKUP(TA[[#This Row],[Date]],Raw_Data[[Date]:[Sunset Time (POA&lt;20 W/m2)]],4,0),"")</f>
        <v>0.76944444444444449</v>
      </c>
      <c r="K486" s="35">
        <f>IFERROR((TA[[#This Row],[Sunset Time (POA&lt;20 W/m2)]]-TA[[#This Row],[Sunrise Time (POA&gt;20 W/m2)]])*24,"")</f>
        <v>12.350000000000001</v>
      </c>
      <c r="L486" s="2" t="s">
        <v>294</v>
      </c>
      <c r="M486" s="42">
        <f>IFERROR(VLOOKUP(TA[[#This Row],[Affected Equipment]],'Basic Data'!$I$2:$K$40,3,0),"")</f>
        <v>1.7241379310344799E-3</v>
      </c>
      <c r="N486">
        <v>-28</v>
      </c>
      <c r="O486" t="s">
        <v>135</v>
      </c>
      <c r="P486" s="127" t="s">
        <v>318</v>
      </c>
      <c r="Q486" s="126" t="s">
        <v>318</v>
      </c>
      <c r="R486">
        <v>130</v>
      </c>
      <c r="S486" s="2">
        <v>37</v>
      </c>
      <c r="T486" t="s">
        <v>295</v>
      </c>
      <c r="U486" t="s">
        <v>300</v>
      </c>
      <c r="V486" t="s">
        <v>298</v>
      </c>
      <c r="W486" s="41"/>
      <c r="X486" s="41"/>
      <c r="Y486" s="34"/>
      <c r="Z486" s="34"/>
      <c r="AA486" s="35">
        <f>IF(TA[[#This Row],[Work Start time on Fault]]="NA","",(TA[[#This Row],[Fault Acknowledgement Time ]]-TA[[#This Row],[Fault Time]])*24)</f>
        <v>0</v>
      </c>
      <c r="AB486" s="35">
        <f>(TA[[#This Row],[Work Start time on Fault]]-TA[[#This Row],[Fault Time]])*24</f>
        <v>0</v>
      </c>
      <c r="AC486" s="34">
        <f>(TA[[#This Row],[Work Completion time on fault]]-TA[[#This Row],[Fault Time]])*24</f>
        <v>0</v>
      </c>
      <c r="AD486" s="35">
        <f>IFERROR((TA[[#This Row],[Work Completion time on fault]]-TA[[#This Row],[Fault Time]])*24,"")</f>
        <v>0</v>
      </c>
      <c r="AE486" t="s">
        <v>328</v>
      </c>
      <c r="AF486" t="s">
        <v>256</v>
      </c>
      <c r="AG486" s="2"/>
      <c r="AH486" s="44">
        <f>1-COS(RADIANS(TA[[#This Row],[Avg. Target Angle during Fault Time (Radians)]]-TA[[#This Row],[Angle of affected equipment ]]))</f>
        <v>0.11705240714107301</v>
      </c>
      <c r="AI486" s="35">
        <f>IFERROR(TA[[#This Row],[Breakdown Time]]*TA[[#This Row],[Plant Equivalent Weightage]],"")</f>
        <v>0</v>
      </c>
    </row>
    <row r="487" spans="1:35">
      <c r="A487" s="2">
        <f t="shared" si="26"/>
        <v>484</v>
      </c>
      <c r="B487" s="156">
        <f t="shared" si="24"/>
        <v>2026</v>
      </c>
      <c r="C487" s="129">
        <f t="shared" si="25"/>
        <v>2025</v>
      </c>
      <c r="D487" s="2" t="s">
        <v>155</v>
      </c>
      <c r="E487" s="2" t="s">
        <v>155</v>
      </c>
      <c r="F487" s="39">
        <v>45778</v>
      </c>
      <c r="G487" s="2">
        <f>DAY(EOMONTH(TA[[#This Row],[Month Year]],0))</f>
        <v>31</v>
      </c>
      <c r="H487" s="21">
        <v>45778</v>
      </c>
      <c r="I487" s="41">
        <f>IFERROR(VLOOKUP(TA[[#This Row],[Date]],Raw_Data[[Date]:[Sunset Time (POA&lt;20 W/m2)]],3,0),"")</f>
        <v>0.25486111111111109</v>
      </c>
      <c r="J487" s="41">
        <f>IFERROR(VLOOKUP(TA[[#This Row],[Date]],Raw_Data[[Date]:[Sunset Time (POA&lt;20 W/m2)]],4,0),"")</f>
        <v>0.76944444444444449</v>
      </c>
      <c r="K487" s="35">
        <f>IFERROR((TA[[#This Row],[Sunset Time (POA&lt;20 W/m2)]]-TA[[#This Row],[Sunrise Time (POA&gt;20 W/m2)]])*24,"")</f>
        <v>12.350000000000001</v>
      </c>
      <c r="L487" s="2" t="s">
        <v>294</v>
      </c>
      <c r="M487" s="42">
        <f>IFERROR(VLOOKUP(TA[[#This Row],[Affected Equipment]],'Basic Data'!$I$2:$K$40,3,0),"")</f>
        <v>1.7241379310344799E-3</v>
      </c>
      <c r="N487">
        <v>-28</v>
      </c>
      <c r="O487" t="s">
        <v>135</v>
      </c>
      <c r="P487" s="127" t="s">
        <v>318</v>
      </c>
      <c r="Q487" s="126" t="s">
        <v>318</v>
      </c>
      <c r="R487">
        <v>131</v>
      </c>
      <c r="S487" s="2">
        <v>38</v>
      </c>
      <c r="T487" t="s">
        <v>295</v>
      </c>
      <c r="U487" t="s">
        <v>300</v>
      </c>
      <c r="V487" t="s">
        <v>298</v>
      </c>
      <c r="W487" s="41"/>
      <c r="X487" s="41"/>
      <c r="Y487" s="34"/>
      <c r="Z487" s="34"/>
      <c r="AA487" s="35">
        <f>IF(TA[[#This Row],[Work Start time on Fault]]="NA","",(TA[[#This Row],[Fault Acknowledgement Time ]]-TA[[#This Row],[Fault Time]])*24)</f>
        <v>0</v>
      </c>
      <c r="AB487" s="35">
        <f>(TA[[#This Row],[Work Start time on Fault]]-TA[[#This Row],[Fault Time]])*24</f>
        <v>0</v>
      </c>
      <c r="AC487" s="34">
        <f>(TA[[#This Row],[Work Completion time on fault]]-TA[[#This Row],[Fault Time]])*24</f>
        <v>0</v>
      </c>
      <c r="AD487" s="35">
        <f>IFERROR((TA[[#This Row],[Work Completion time on fault]]-TA[[#This Row],[Fault Time]])*24,"")</f>
        <v>0</v>
      </c>
      <c r="AE487" t="s">
        <v>328</v>
      </c>
      <c r="AF487" t="s">
        <v>256</v>
      </c>
      <c r="AG487" s="2"/>
      <c r="AH487" s="44">
        <f>1-COS(RADIANS(TA[[#This Row],[Avg. Target Angle during Fault Time (Radians)]]-TA[[#This Row],[Angle of affected equipment ]]))</f>
        <v>0.11705240714107301</v>
      </c>
      <c r="AI487" s="35">
        <f>IFERROR(TA[[#This Row],[Breakdown Time]]*TA[[#This Row],[Plant Equivalent Weightage]],"")</f>
        <v>0</v>
      </c>
    </row>
    <row r="488" spans="1:35">
      <c r="A488" s="2">
        <f t="shared" si="26"/>
        <v>485</v>
      </c>
      <c r="B488" s="156">
        <f t="shared" si="24"/>
        <v>2026</v>
      </c>
      <c r="C488" s="129">
        <f t="shared" si="25"/>
        <v>2025</v>
      </c>
      <c r="D488" s="2" t="s">
        <v>155</v>
      </c>
      <c r="E488" s="2" t="s">
        <v>155</v>
      </c>
      <c r="F488" s="39">
        <v>45778</v>
      </c>
      <c r="G488" s="2">
        <f>DAY(EOMONTH(TA[[#This Row],[Month Year]],0))</f>
        <v>31</v>
      </c>
      <c r="H488" s="21">
        <v>45778</v>
      </c>
      <c r="I488" s="41">
        <f>IFERROR(VLOOKUP(TA[[#This Row],[Date]],Raw_Data[[Date]:[Sunset Time (POA&lt;20 W/m2)]],3,0),"")</f>
        <v>0.25486111111111109</v>
      </c>
      <c r="J488" s="41">
        <f>IFERROR(VLOOKUP(TA[[#This Row],[Date]],Raw_Data[[Date]:[Sunset Time (POA&lt;20 W/m2)]],4,0),"")</f>
        <v>0.76944444444444449</v>
      </c>
      <c r="K488" s="35">
        <f>IFERROR((TA[[#This Row],[Sunset Time (POA&lt;20 W/m2)]]-TA[[#This Row],[Sunrise Time (POA&gt;20 W/m2)]])*24,"")</f>
        <v>12.350000000000001</v>
      </c>
      <c r="L488" s="2" t="s">
        <v>294</v>
      </c>
      <c r="M488" s="42">
        <f>IFERROR(VLOOKUP(TA[[#This Row],[Affected Equipment]],'Basic Data'!$I$2:$K$40,3,0),"")</f>
        <v>1.7241379310344799E-3</v>
      </c>
      <c r="N488">
        <v>-28</v>
      </c>
      <c r="O488" t="s">
        <v>135</v>
      </c>
      <c r="P488" s="127" t="s">
        <v>318</v>
      </c>
      <c r="Q488" s="126" t="s">
        <v>318</v>
      </c>
      <c r="R488">
        <v>131</v>
      </c>
      <c r="S488" s="2">
        <v>39</v>
      </c>
      <c r="T488" t="s">
        <v>295</v>
      </c>
      <c r="U488" t="s">
        <v>300</v>
      </c>
      <c r="V488" t="s">
        <v>298</v>
      </c>
      <c r="W488" s="41"/>
      <c r="X488" s="41"/>
      <c r="Y488" s="34"/>
      <c r="Z488" s="34"/>
      <c r="AA488" s="35">
        <f>IF(TA[[#This Row],[Work Start time on Fault]]="NA","",(TA[[#This Row],[Fault Acknowledgement Time ]]-TA[[#This Row],[Fault Time]])*24)</f>
        <v>0</v>
      </c>
      <c r="AB488" s="35">
        <f>(TA[[#This Row],[Work Start time on Fault]]-TA[[#This Row],[Fault Time]])*24</f>
        <v>0</v>
      </c>
      <c r="AC488" s="34">
        <f>(TA[[#This Row],[Work Completion time on fault]]-TA[[#This Row],[Fault Time]])*24</f>
        <v>0</v>
      </c>
      <c r="AD488" s="35">
        <f>IFERROR((TA[[#This Row],[Work Completion time on fault]]-TA[[#This Row],[Fault Time]])*24,"")</f>
        <v>0</v>
      </c>
      <c r="AE488" t="s">
        <v>328</v>
      </c>
      <c r="AF488" t="s">
        <v>256</v>
      </c>
      <c r="AG488" s="2"/>
      <c r="AH488" s="44">
        <f>1-COS(RADIANS(TA[[#This Row],[Avg. Target Angle during Fault Time (Radians)]]-TA[[#This Row],[Angle of affected equipment ]]))</f>
        <v>0.11705240714107301</v>
      </c>
      <c r="AI488" s="35">
        <f>IFERROR(TA[[#This Row],[Breakdown Time]]*TA[[#This Row],[Plant Equivalent Weightage]],"")</f>
        <v>0</v>
      </c>
    </row>
    <row r="489" spans="1:35">
      <c r="A489" s="2">
        <f t="shared" si="26"/>
        <v>486</v>
      </c>
      <c r="B489" s="156">
        <f t="shared" si="24"/>
        <v>2026</v>
      </c>
      <c r="C489" s="129">
        <f t="shared" si="25"/>
        <v>2025</v>
      </c>
      <c r="D489" s="2" t="s">
        <v>155</v>
      </c>
      <c r="E489" s="2" t="s">
        <v>155</v>
      </c>
      <c r="F489" s="39">
        <v>45778</v>
      </c>
      <c r="G489" s="2">
        <f>DAY(EOMONTH(TA[[#This Row],[Month Year]],0))</f>
        <v>31</v>
      </c>
      <c r="H489" s="21">
        <v>45778</v>
      </c>
      <c r="I489" s="41">
        <f>IFERROR(VLOOKUP(TA[[#This Row],[Date]],Raw_Data[[Date]:[Sunset Time (POA&lt;20 W/m2)]],3,0),"")</f>
        <v>0.25486111111111109</v>
      </c>
      <c r="J489" s="41">
        <f>IFERROR(VLOOKUP(TA[[#This Row],[Date]],Raw_Data[[Date]:[Sunset Time (POA&lt;20 W/m2)]],4,0),"")</f>
        <v>0.76944444444444449</v>
      </c>
      <c r="K489" s="35">
        <f>IFERROR((TA[[#This Row],[Sunset Time (POA&lt;20 W/m2)]]-TA[[#This Row],[Sunrise Time (POA&gt;20 W/m2)]])*24,"")</f>
        <v>12.350000000000001</v>
      </c>
      <c r="L489" s="2" t="s">
        <v>296</v>
      </c>
      <c r="M489" s="42">
        <f>IFERROR(VLOOKUP(TA[[#This Row],[Affected Equipment]],'Basic Data'!$I$2:$K$40,3,0),"")</f>
        <v>8.6206896551724102E-3</v>
      </c>
      <c r="N489">
        <v>-28</v>
      </c>
      <c r="O489" t="s">
        <v>135</v>
      </c>
      <c r="P489" s="127" t="s">
        <v>318</v>
      </c>
      <c r="Q489" s="2" t="s">
        <v>321</v>
      </c>
      <c r="R489">
        <v>133</v>
      </c>
      <c r="S489" s="2">
        <v>26</v>
      </c>
      <c r="T489" t="s">
        <v>297</v>
      </c>
      <c r="U489" t="s">
        <v>300</v>
      </c>
      <c r="V489" t="s">
        <v>314</v>
      </c>
      <c r="W489" s="41">
        <f>IFERROR(VLOOKUP(TA[[#This Row],[Date]],Raw_Data[[Date]:[Sunset Time (POA&lt;20 W/m2)]],3,0),"")</f>
        <v>0.25486111111111109</v>
      </c>
      <c r="X489" s="41">
        <f>IFERROR(VLOOKUP(TA[[#This Row],[Date]],Raw_Data[[Date]:[Sunset Time (POA&lt;20 W/m2)]],3,0),"")</f>
        <v>0.25486111111111109</v>
      </c>
      <c r="Y489" s="34"/>
      <c r="Z489" s="34">
        <v>0.76041666666666663</v>
      </c>
      <c r="AA489" s="35">
        <f>IF(TA[[#This Row],[Work Start time on Fault]]="NA","",(TA[[#This Row],[Fault Acknowledgement Time ]]-TA[[#This Row],[Fault Time]])*24)</f>
        <v>0</v>
      </c>
      <c r="AB489" s="35">
        <f>(TA[[#This Row],[Work Start time on Fault]]-TA[[#This Row],[Fault Time]])*24</f>
        <v>-6.1166666666666663</v>
      </c>
      <c r="AC489" s="34">
        <f>(TA[[#This Row],[Work Completion time on fault]]-TA[[#This Row],[Fault Time]])*24</f>
        <v>12.133333333333333</v>
      </c>
      <c r="AD489" s="35">
        <f>IFERROR((TA[[#This Row],[Work Completion time on fault]]-TA[[#This Row],[Fault Time]])*24,"")</f>
        <v>12.133333333333333</v>
      </c>
      <c r="AE489" t="s">
        <v>328</v>
      </c>
      <c r="AF489" t="s">
        <v>256</v>
      </c>
      <c r="AG489" s="2"/>
      <c r="AH489" s="44">
        <f>1-COS(RADIANS(TA[[#This Row],[Avg. Target Angle during Fault Time (Radians)]]-TA[[#This Row],[Angle of affected equipment ]]))</f>
        <v>0.11705240714107301</v>
      </c>
      <c r="AI489" s="35">
        <f>IFERROR(TA[[#This Row],[Breakdown Time]]*TA[[#This Row],[Plant Equivalent Weightage]],"")</f>
        <v>0.10459770114942524</v>
      </c>
    </row>
    <row r="490" spans="1:35">
      <c r="A490" s="2">
        <f t="shared" si="26"/>
        <v>487</v>
      </c>
      <c r="B490" s="156">
        <f t="shared" si="24"/>
        <v>2026</v>
      </c>
      <c r="C490" s="129">
        <f t="shared" si="25"/>
        <v>2025</v>
      </c>
      <c r="D490" s="2" t="s">
        <v>155</v>
      </c>
      <c r="E490" s="2" t="s">
        <v>155</v>
      </c>
      <c r="F490" s="39">
        <v>45778</v>
      </c>
      <c r="G490" s="2">
        <f>DAY(EOMONTH(TA[[#This Row],[Month Year]],0))</f>
        <v>31</v>
      </c>
      <c r="H490" s="21">
        <v>45778</v>
      </c>
      <c r="I490" s="41">
        <f>IFERROR(VLOOKUP(TA[[#This Row],[Date]],Raw_Data[[Date]:[Sunset Time (POA&lt;20 W/m2)]],3,0),"")</f>
        <v>0.25486111111111109</v>
      </c>
      <c r="J490" s="41">
        <f>IFERROR(VLOOKUP(TA[[#This Row],[Date]],Raw_Data[[Date]:[Sunset Time (POA&lt;20 W/m2)]],4,0),"")</f>
        <v>0.76944444444444449</v>
      </c>
      <c r="K490" s="35">
        <f>IFERROR((TA[[#This Row],[Sunset Time (POA&lt;20 W/m2)]]-TA[[#This Row],[Sunrise Time (POA&gt;20 W/m2)]])*24,"")</f>
        <v>12.350000000000001</v>
      </c>
      <c r="L490" s="2" t="s">
        <v>294</v>
      </c>
      <c r="M490" s="42">
        <f>IFERROR(VLOOKUP(TA[[#This Row],[Affected Equipment]],'Basic Data'!$I$2:$K$40,3,0),"")</f>
        <v>1.7241379310344799E-3</v>
      </c>
      <c r="N490">
        <v>-28</v>
      </c>
      <c r="O490" t="s">
        <v>133</v>
      </c>
      <c r="P490" s="127" t="s">
        <v>316</v>
      </c>
      <c r="Q490" s="126" t="s">
        <v>317</v>
      </c>
      <c r="R490">
        <v>7</v>
      </c>
      <c r="S490" s="2">
        <v>32</v>
      </c>
      <c r="T490" t="s">
        <v>295</v>
      </c>
      <c r="U490" t="s">
        <v>300</v>
      </c>
      <c r="V490" t="s">
        <v>298</v>
      </c>
      <c r="W490" s="41"/>
      <c r="X490" s="41"/>
      <c r="Y490" s="34"/>
      <c r="Z490" s="34"/>
      <c r="AA490" s="35">
        <f>IF(TA[[#This Row],[Work Start time on Fault]]="NA","",(TA[[#This Row],[Fault Acknowledgement Time ]]-TA[[#This Row],[Fault Time]])*24)</f>
        <v>0</v>
      </c>
      <c r="AB490" s="35">
        <f>(TA[[#This Row],[Work Start time on Fault]]-TA[[#This Row],[Fault Time]])*24</f>
        <v>0</v>
      </c>
      <c r="AC490" s="34">
        <f>(TA[[#This Row],[Work Completion time on fault]]-TA[[#This Row],[Fault Time]])*24</f>
        <v>0</v>
      </c>
      <c r="AD490" s="35">
        <f>IFERROR((TA[[#This Row],[Work Completion time on fault]]-TA[[#This Row],[Fault Time]])*24,"")</f>
        <v>0</v>
      </c>
      <c r="AE490" t="s">
        <v>328</v>
      </c>
      <c r="AF490" t="s">
        <v>256</v>
      </c>
      <c r="AG490" s="2"/>
      <c r="AH490" s="44">
        <f>1-COS(RADIANS(TA[[#This Row],[Avg. Target Angle during Fault Time (Radians)]]-TA[[#This Row],[Angle of affected equipment ]]))</f>
        <v>0.11705240714107301</v>
      </c>
      <c r="AI490" s="35">
        <f>IFERROR(TA[[#This Row],[Breakdown Time]]*TA[[#This Row],[Plant Equivalent Weightage]],"")</f>
        <v>0</v>
      </c>
    </row>
    <row r="491" spans="1:35">
      <c r="A491" s="2">
        <f t="shared" si="26"/>
        <v>488</v>
      </c>
      <c r="B491" s="156">
        <f t="shared" si="24"/>
        <v>2026</v>
      </c>
      <c r="C491" s="129">
        <f t="shared" si="25"/>
        <v>2025</v>
      </c>
      <c r="D491" s="2" t="s">
        <v>155</v>
      </c>
      <c r="E491" s="2" t="s">
        <v>155</v>
      </c>
      <c r="F491" s="39">
        <v>45778</v>
      </c>
      <c r="G491" s="2">
        <f>DAY(EOMONTH(TA[[#This Row],[Month Year]],0))</f>
        <v>31</v>
      </c>
      <c r="H491" s="21">
        <v>45778</v>
      </c>
      <c r="I491" s="41">
        <f>IFERROR(VLOOKUP(TA[[#This Row],[Date]],Raw_Data[[Date]:[Sunset Time (POA&lt;20 W/m2)]],3,0),"")</f>
        <v>0.25486111111111109</v>
      </c>
      <c r="J491" s="41">
        <f>IFERROR(VLOOKUP(TA[[#This Row],[Date]],Raw_Data[[Date]:[Sunset Time (POA&lt;20 W/m2)]],4,0),"")</f>
        <v>0.76944444444444449</v>
      </c>
      <c r="K491" s="35">
        <f>IFERROR((TA[[#This Row],[Sunset Time (POA&lt;20 W/m2)]]-TA[[#This Row],[Sunrise Time (POA&gt;20 W/m2)]])*24,"")</f>
        <v>12.350000000000001</v>
      </c>
      <c r="L491" s="2" t="s">
        <v>294</v>
      </c>
      <c r="M491" s="42">
        <f>IFERROR(VLOOKUP(TA[[#This Row],[Affected Equipment]],'Basic Data'!$I$2:$K$40,3,0),"")</f>
        <v>1.7241379310344799E-3</v>
      </c>
      <c r="N491">
        <v>-28</v>
      </c>
      <c r="O491" t="s">
        <v>137</v>
      </c>
      <c r="P491" s="127" t="s">
        <v>315</v>
      </c>
      <c r="Q491" s="126" t="s">
        <v>319</v>
      </c>
      <c r="R491">
        <v>166</v>
      </c>
      <c r="S491" s="2">
        <v>91</v>
      </c>
      <c r="T491" t="s">
        <v>295</v>
      </c>
      <c r="U491" t="s">
        <v>300</v>
      </c>
      <c r="V491" t="s">
        <v>298</v>
      </c>
      <c r="W491" s="41"/>
      <c r="X491" s="41"/>
      <c r="Y491" s="34"/>
      <c r="Z491" s="34"/>
      <c r="AA491" s="35">
        <f>IF(TA[[#This Row],[Work Start time on Fault]]="NA","",(TA[[#This Row],[Fault Acknowledgement Time ]]-TA[[#This Row],[Fault Time]])*24)</f>
        <v>0</v>
      </c>
      <c r="AB491" s="35">
        <f>(TA[[#This Row],[Work Start time on Fault]]-TA[[#This Row],[Fault Time]])*24</f>
        <v>0</v>
      </c>
      <c r="AC491" s="34">
        <f>(TA[[#This Row],[Work Completion time on fault]]-TA[[#This Row],[Fault Time]])*24</f>
        <v>0</v>
      </c>
      <c r="AD491" s="35">
        <f>IFERROR((TA[[#This Row],[Work Completion time on fault]]-TA[[#This Row],[Fault Time]])*24,"")</f>
        <v>0</v>
      </c>
      <c r="AE491" t="s">
        <v>328</v>
      </c>
      <c r="AF491" t="s">
        <v>256</v>
      </c>
      <c r="AG491" s="2"/>
      <c r="AH491" s="44">
        <f>1-COS(RADIANS(TA[[#This Row],[Avg. Target Angle during Fault Time (Radians)]]-TA[[#This Row],[Angle of affected equipment ]]))</f>
        <v>0.11705240714107301</v>
      </c>
      <c r="AI491" s="35">
        <f>IFERROR(TA[[#This Row],[Breakdown Time]]*TA[[#This Row],[Plant Equivalent Weightage]],"")</f>
        <v>0</v>
      </c>
    </row>
    <row r="492" spans="1:35">
      <c r="A492" s="2">
        <f t="shared" si="26"/>
        <v>489</v>
      </c>
      <c r="B492" s="156">
        <f t="shared" si="24"/>
        <v>2026</v>
      </c>
      <c r="C492" s="129">
        <f t="shared" si="25"/>
        <v>2025</v>
      </c>
      <c r="D492" s="2" t="s">
        <v>155</v>
      </c>
      <c r="E492" s="2" t="s">
        <v>155</v>
      </c>
      <c r="F492" s="39">
        <v>45778</v>
      </c>
      <c r="G492" s="2">
        <f>DAY(EOMONTH(TA[[#This Row],[Month Year]],0))</f>
        <v>31</v>
      </c>
      <c r="H492" s="21">
        <v>45778</v>
      </c>
      <c r="I492" s="41">
        <f>IFERROR(VLOOKUP(TA[[#This Row],[Date]],Raw_Data[[Date]:[Sunset Time (POA&lt;20 W/m2)]],3,0),"")</f>
        <v>0.25486111111111109</v>
      </c>
      <c r="J492" s="41">
        <f>IFERROR(VLOOKUP(TA[[#This Row],[Date]],Raw_Data[[Date]:[Sunset Time (POA&lt;20 W/m2)]],4,0),"")</f>
        <v>0.76944444444444449</v>
      </c>
      <c r="K492" s="35">
        <f>IFERROR((TA[[#This Row],[Sunset Time (POA&lt;20 W/m2)]]-TA[[#This Row],[Sunrise Time (POA&gt;20 W/m2)]])*24,"")</f>
        <v>12.350000000000001</v>
      </c>
      <c r="L492" s="2" t="s">
        <v>294</v>
      </c>
      <c r="M492" s="42">
        <f>IFERROR(VLOOKUP(TA[[#This Row],[Affected Equipment]],'Basic Data'!$I$2:$K$40,3,0),"")</f>
        <v>1.7241379310344799E-3</v>
      </c>
      <c r="N492">
        <v>-28</v>
      </c>
      <c r="O492" t="s">
        <v>133</v>
      </c>
      <c r="P492" s="127" t="s">
        <v>316</v>
      </c>
      <c r="Q492" s="126" t="s">
        <v>316</v>
      </c>
      <c r="R492">
        <v>117</v>
      </c>
      <c r="S492" s="2">
        <v>20</v>
      </c>
      <c r="T492" t="s">
        <v>295</v>
      </c>
      <c r="U492" t="s">
        <v>300</v>
      </c>
      <c r="V492" t="s">
        <v>298</v>
      </c>
      <c r="W492" s="41"/>
      <c r="X492" s="41"/>
      <c r="Y492" s="34"/>
      <c r="Z492" s="34"/>
      <c r="AA492" s="35">
        <f>IF(TA[[#This Row],[Work Start time on Fault]]="NA","",(TA[[#This Row],[Fault Acknowledgement Time ]]-TA[[#This Row],[Fault Time]])*24)</f>
        <v>0</v>
      </c>
      <c r="AB492" s="35">
        <f>(TA[[#This Row],[Work Start time on Fault]]-TA[[#This Row],[Fault Time]])*24</f>
        <v>0</v>
      </c>
      <c r="AC492" s="34">
        <f>(TA[[#This Row],[Work Completion time on fault]]-TA[[#This Row],[Fault Time]])*24</f>
        <v>0</v>
      </c>
      <c r="AD492" s="35">
        <f>IFERROR((TA[[#This Row],[Work Completion time on fault]]-TA[[#This Row],[Fault Time]])*24,"")</f>
        <v>0</v>
      </c>
      <c r="AE492" t="s">
        <v>328</v>
      </c>
      <c r="AF492" t="s">
        <v>256</v>
      </c>
      <c r="AG492" s="2"/>
      <c r="AH492" s="44">
        <f>1-COS(RADIANS(TA[[#This Row],[Avg. Target Angle during Fault Time (Radians)]]-TA[[#This Row],[Angle of affected equipment ]]))</f>
        <v>0.11705240714107301</v>
      </c>
      <c r="AI492" s="35">
        <f>IFERROR(TA[[#This Row],[Breakdown Time]]*TA[[#This Row],[Plant Equivalent Weightage]],"")</f>
        <v>0</v>
      </c>
    </row>
    <row r="493" spans="1:35">
      <c r="A493" s="2">
        <f t="shared" si="26"/>
        <v>490</v>
      </c>
      <c r="B493" s="156">
        <f t="shared" si="24"/>
        <v>2026</v>
      </c>
      <c r="C493" s="129">
        <f t="shared" si="25"/>
        <v>2025</v>
      </c>
      <c r="D493" s="2" t="s">
        <v>155</v>
      </c>
      <c r="E493" s="2" t="s">
        <v>155</v>
      </c>
      <c r="F493" s="39">
        <v>45778</v>
      </c>
      <c r="G493" s="2">
        <f>DAY(EOMONTH(TA[[#This Row],[Month Year]],0))</f>
        <v>31</v>
      </c>
      <c r="H493" s="21">
        <v>45778</v>
      </c>
      <c r="I493" s="41">
        <f>IFERROR(VLOOKUP(TA[[#This Row],[Date]],Raw_Data[[Date]:[Sunset Time (POA&lt;20 W/m2)]],3,0),"")</f>
        <v>0.25486111111111109</v>
      </c>
      <c r="J493" s="41">
        <f>IFERROR(VLOOKUP(TA[[#This Row],[Date]],Raw_Data[[Date]:[Sunset Time (POA&lt;20 W/m2)]],4,0),"")</f>
        <v>0.76944444444444449</v>
      </c>
      <c r="K493" s="35">
        <f>IFERROR((TA[[#This Row],[Sunset Time (POA&lt;20 W/m2)]]-TA[[#This Row],[Sunrise Time (POA&gt;20 W/m2)]])*24,"")</f>
        <v>12.350000000000001</v>
      </c>
      <c r="L493" s="2" t="s">
        <v>294</v>
      </c>
      <c r="M493" s="42">
        <f>IFERROR(VLOOKUP(TA[[#This Row],[Affected Equipment]],'Basic Data'!$I$2:$K$40,3,0),"")</f>
        <v>1.7241379310344799E-3</v>
      </c>
      <c r="N493">
        <v>-28</v>
      </c>
      <c r="O493" t="s">
        <v>133</v>
      </c>
      <c r="P493" s="127" t="s">
        <v>316</v>
      </c>
      <c r="Q493" s="126" t="s">
        <v>316</v>
      </c>
      <c r="R493">
        <v>118</v>
      </c>
      <c r="S493" s="2">
        <v>22</v>
      </c>
      <c r="T493" t="s">
        <v>295</v>
      </c>
      <c r="U493" t="s">
        <v>300</v>
      </c>
      <c r="V493" t="s">
        <v>298</v>
      </c>
      <c r="W493" s="41"/>
      <c r="X493" s="41"/>
      <c r="Y493" s="34"/>
      <c r="Z493" s="34"/>
      <c r="AA493" s="35">
        <f>IF(TA[[#This Row],[Work Start time on Fault]]="NA","",(TA[[#This Row],[Fault Acknowledgement Time ]]-TA[[#This Row],[Fault Time]])*24)</f>
        <v>0</v>
      </c>
      <c r="AB493" s="35">
        <f>(TA[[#This Row],[Work Start time on Fault]]-TA[[#This Row],[Fault Time]])*24</f>
        <v>0</v>
      </c>
      <c r="AC493" s="34">
        <f>(TA[[#This Row],[Work Completion time on fault]]-TA[[#This Row],[Fault Time]])*24</f>
        <v>0</v>
      </c>
      <c r="AD493" s="35">
        <f>IFERROR((TA[[#This Row],[Work Completion time on fault]]-TA[[#This Row],[Fault Time]])*24,"")</f>
        <v>0</v>
      </c>
      <c r="AE493" t="s">
        <v>328</v>
      </c>
      <c r="AF493" t="s">
        <v>256</v>
      </c>
      <c r="AG493" s="2"/>
      <c r="AH493" s="44">
        <f>1-COS(RADIANS(TA[[#This Row],[Avg. Target Angle during Fault Time (Radians)]]-TA[[#This Row],[Angle of affected equipment ]]))</f>
        <v>0.11705240714107301</v>
      </c>
      <c r="AI493" s="35">
        <f>IFERROR(TA[[#This Row],[Breakdown Time]]*TA[[#This Row],[Plant Equivalent Weightage]],"")</f>
        <v>0</v>
      </c>
    </row>
    <row r="494" spans="1:35">
      <c r="A494" s="2">
        <f t="shared" si="26"/>
        <v>491</v>
      </c>
      <c r="B494" s="156">
        <f t="shared" si="24"/>
        <v>2026</v>
      </c>
      <c r="C494" s="129">
        <f t="shared" si="25"/>
        <v>2025</v>
      </c>
      <c r="D494" s="2" t="s">
        <v>155</v>
      </c>
      <c r="E494" s="2" t="s">
        <v>155</v>
      </c>
      <c r="F494" s="39">
        <v>45778</v>
      </c>
      <c r="G494" s="2">
        <f>DAY(EOMONTH(TA[[#This Row],[Month Year]],0))</f>
        <v>31</v>
      </c>
      <c r="H494" s="21">
        <v>45778</v>
      </c>
      <c r="I494" s="41">
        <f>IFERROR(VLOOKUP(TA[[#This Row],[Date]],Raw_Data[[Date]:[Sunset Time (POA&lt;20 W/m2)]],3,0),"")</f>
        <v>0.25486111111111109</v>
      </c>
      <c r="J494" s="41">
        <f>IFERROR(VLOOKUP(TA[[#This Row],[Date]],Raw_Data[[Date]:[Sunset Time (POA&lt;20 W/m2)]],4,0),"")</f>
        <v>0.76944444444444449</v>
      </c>
      <c r="K494" s="35">
        <f>IFERROR((TA[[#This Row],[Sunset Time (POA&lt;20 W/m2)]]-TA[[#This Row],[Sunrise Time (POA&gt;20 W/m2)]])*24,"")</f>
        <v>12.350000000000001</v>
      </c>
      <c r="L494" s="2" t="s">
        <v>296</v>
      </c>
      <c r="M494" s="42">
        <f>IFERROR(VLOOKUP(TA[[#This Row],[Affected Equipment]],'Basic Data'!$I$2:$K$40,3,0),"")</f>
        <v>8.6206896551724102E-3</v>
      </c>
      <c r="N494">
        <v>-28</v>
      </c>
      <c r="O494" t="s">
        <v>135</v>
      </c>
      <c r="P494" s="22" t="s">
        <v>323</v>
      </c>
      <c r="Q494" s="2" t="s">
        <v>329</v>
      </c>
      <c r="R494">
        <v>45</v>
      </c>
      <c r="S494" s="2">
        <v>8</v>
      </c>
      <c r="T494" t="s">
        <v>297</v>
      </c>
      <c r="U494" t="s">
        <v>326</v>
      </c>
      <c r="V494" t="s">
        <v>301</v>
      </c>
      <c r="W494" s="41"/>
      <c r="X494" s="41"/>
      <c r="Y494" s="34"/>
      <c r="Z494" s="34"/>
      <c r="AA494" s="35">
        <f>IF(TA[[#This Row],[Work Start time on Fault]]="NA","",(TA[[#This Row],[Fault Acknowledgement Time ]]-TA[[#This Row],[Fault Time]])*24)</f>
        <v>0</v>
      </c>
      <c r="AB494" s="35">
        <f>(TA[[#This Row],[Work Start time on Fault]]-TA[[#This Row],[Fault Time]])*24</f>
        <v>0</v>
      </c>
      <c r="AC494" s="34">
        <f>(TA[[#This Row],[Work Completion time on fault]]-TA[[#This Row],[Fault Time]])*24</f>
        <v>0</v>
      </c>
      <c r="AD494" s="35">
        <f>IFERROR((TA[[#This Row],[Work Completion time on fault]]-TA[[#This Row],[Fault Time]])*24,"")</f>
        <v>0</v>
      </c>
      <c r="AE494" t="s">
        <v>328</v>
      </c>
      <c r="AF494" t="s">
        <v>256</v>
      </c>
      <c r="AG494" s="2"/>
      <c r="AH494" s="44">
        <f>1-COS(RADIANS(TA[[#This Row],[Avg. Target Angle during Fault Time (Radians)]]-TA[[#This Row],[Angle of affected equipment ]]))</f>
        <v>0.11705240714107301</v>
      </c>
      <c r="AI494" s="35">
        <f>IFERROR(TA[[#This Row],[Breakdown Time]]*TA[[#This Row],[Plant Equivalent Weightage]],"")</f>
        <v>0</v>
      </c>
    </row>
    <row r="495" spans="1:35">
      <c r="A495" s="2">
        <f t="shared" si="26"/>
        <v>492</v>
      </c>
      <c r="B495" s="156">
        <f t="shared" si="24"/>
        <v>2026</v>
      </c>
      <c r="C495" s="129">
        <f t="shared" si="25"/>
        <v>2025</v>
      </c>
      <c r="D495" s="2" t="s">
        <v>155</v>
      </c>
      <c r="E495" s="2" t="s">
        <v>155</v>
      </c>
      <c r="F495" s="39">
        <v>45778</v>
      </c>
      <c r="G495" s="2">
        <f>DAY(EOMONTH(TA[[#This Row],[Month Year]],0))</f>
        <v>31</v>
      </c>
      <c r="H495" s="21">
        <v>45778</v>
      </c>
      <c r="I495" s="41">
        <f>IFERROR(VLOOKUP(TA[[#This Row],[Date]],Raw_Data[[Date]:[Sunset Time (POA&lt;20 W/m2)]],3,0),"")</f>
        <v>0.25486111111111109</v>
      </c>
      <c r="J495" s="41">
        <f>IFERROR(VLOOKUP(TA[[#This Row],[Date]],Raw_Data[[Date]:[Sunset Time (POA&lt;20 W/m2)]],4,0),"")</f>
        <v>0.76944444444444449</v>
      </c>
      <c r="K495" s="35">
        <f>IFERROR((TA[[#This Row],[Sunset Time (POA&lt;20 W/m2)]]-TA[[#This Row],[Sunrise Time (POA&gt;20 W/m2)]])*24,"")</f>
        <v>12.350000000000001</v>
      </c>
      <c r="L495" s="2" t="s">
        <v>296</v>
      </c>
      <c r="M495" s="42">
        <f>IFERROR(VLOOKUP(TA[[#This Row],[Affected Equipment]],'Basic Data'!$I$2:$K$40,3,0),"")</f>
        <v>8.6206896551724102E-3</v>
      </c>
      <c r="N495">
        <v>-28</v>
      </c>
      <c r="O495" t="s">
        <v>135</v>
      </c>
      <c r="P495" s="22" t="s">
        <v>323</v>
      </c>
      <c r="Q495" s="2" t="s">
        <v>329</v>
      </c>
      <c r="R495">
        <v>47</v>
      </c>
      <c r="S495" s="2">
        <v>18</v>
      </c>
      <c r="T495" t="s">
        <v>297</v>
      </c>
      <c r="U495" t="s">
        <v>326</v>
      </c>
      <c r="V495" t="s">
        <v>301</v>
      </c>
      <c r="W495" s="41"/>
      <c r="X495" s="41"/>
      <c r="Y495" s="34"/>
      <c r="Z495" s="34"/>
      <c r="AA495" s="35">
        <f>IF(TA[[#This Row],[Work Start time on Fault]]="NA","",(TA[[#This Row],[Fault Acknowledgement Time ]]-TA[[#This Row],[Fault Time]])*24)</f>
        <v>0</v>
      </c>
      <c r="AB495" s="35">
        <f>(TA[[#This Row],[Work Start time on Fault]]-TA[[#This Row],[Fault Time]])*24</f>
        <v>0</v>
      </c>
      <c r="AC495" s="34">
        <f>(TA[[#This Row],[Work Completion time on fault]]-TA[[#This Row],[Fault Time]])*24</f>
        <v>0</v>
      </c>
      <c r="AD495" s="35">
        <f>IFERROR((TA[[#This Row],[Work Completion time on fault]]-TA[[#This Row],[Fault Time]])*24,"")</f>
        <v>0</v>
      </c>
      <c r="AE495" t="s">
        <v>328</v>
      </c>
      <c r="AF495" t="s">
        <v>256</v>
      </c>
      <c r="AG495" s="2"/>
      <c r="AH495" s="44">
        <f>1-COS(RADIANS(TA[[#This Row],[Avg. Target Angle during Fault Time (Radians)]]-TA[[#This Row],[Angle of affected equipment ]]))</f>
        <v>0.11705240714107301</v>
      </c>
      <c r="AI495" s="35">
        <f>IFERROR(TA[[#This Row],[Breakdown Time]]*TA[[#This Row],[Plant Equivalent Weightage]],"")</f>
        <v>0</v>
      </c>
    </row>
    <row r="496" spans="1:35">
      <c r="A496" s="2">
        <f t="shared" si="26"/>
        <v>493</v>
      </c>
      <c r="B496" s="156">
        <f t="shared" si="24"/>
        <v>2026</v>
      </c>
      <c r="C496" s="129">
        <f t="shared" si="25"/>
        <v>2025</v>
      </c>
      <c r="D496" s="2" t="s">
        <v>155</v>
      </c>
      <c r="E496" s="2" t="s">
        <v>155</v>
      </c>
      <c r="F496" s="39">
        <v>45778</v>
      </c>
      <c r="G496" s="2">
        <f>DAY(EOMONTH(TA[[#This Row],[Month Year]],0))</f>
        <v>31</v>
      </c>
      <c r="H496" s="21">
        <v>45778</v>
      </c>
      <c r="I496" s="41">
        <f>IFERROR(VLOOKUP(TA[[#This Row],[Date]],Raw_Data[[Date]:[Sunset Time (POA&lt;20 W/m2)]],3,0),"")</f>
        <v>0.25486111111111109</v>
      </c>
      <c r="J496" s="41">
        <f>IFERROR(VLOOKUP(TA[[#This Row],[Date]],Raw_Data[[Date]:[Sunset Time (POA&lt;20 W/m2)]],4,0),"")</f>
        <v>0.76944444444444449</v>
      </c>
      <c r="K496" s="35">
        <f>IFERROR((TA[[#This Row],[Sunset Time (POA&lt;20 W/m2)]]-TA[[#This Row],[Sunrise Time (POA&gt;20 W/m2)]])*24,"")</f>
        <v>12.350000000000001</v>
      </c>
      <c r="L496" s="2" t="s">
        <v>296</v>
      </c>
      <c r="M496" s="42">
        <f>IFERROR(VLOOKUP(TA[[#This Row],[Affected Equipment]],'Basic Data'!$I$2:$K$40,3,0),"")</f>
        <v>8.6206896551724102E-3</v>
      </c>
      <c r="N496">
        <v>-28</v>
      </c>
      <c r="O496" t="s">
        <v>134</v>
      </c>
      <c r="P496" s="22" t="s">
        <v>330</v>
      </c>
      <c r="Q496" s="2" t="s">
        <v>323</v>
      </c>
      <c r="R496">
        <v>30</v>
      </c>
      <c r="S496" s="2">
        <v>57</v>
      </c>
      <c r="T496" t="s">
        <v>297</v>
      </c>
      <c r="U496" t="s">
        <v>326</v>
      </c>
      <c r="V496" t="s">
        <v>301</v>
      </c>
      <c r="W496" s="41"/>
      <c r="X496" s="41"/>
      <c r="Y496" s="34"/>
      <c r="Z496" s="34"/>
      <c r="AA496" s="35">
        <f>IF(TA[[#This Row],[Work Start time on Fault]]="NA","",(TA[[#This Row],[Fault Acknowledgement Time ]]-TA[[#This Row],[Fault Time]])*24)</f>
        <v>0</v>
      </c>
      <c r="AB496" s="35">
        <f>(TA[[#This Row],[Work Start time on Fault]]-TA[[#This Row],[Fault Time]])*24</f>
        <v>0</v>
      </c>
      <c r="AC496" s="34">
        <f>(TA[[#This Row],[Work Completion time on fault]]-TA[[#This Row],[Fault Time]])*24</f>
        <v>0</v>
      </c>
      <c r="AD496" s="35">
        <f>IFERROR((TA[[#This Row],[Work Completion time on fault]]-TA[[#This Row],[Fault Time]])*24,"")</f>
        <v>0</v>
      </c>
      <c r="AE496" t="s">
        <v>328</v>
      </c>
      <c r="AF496" t="s">
        <v>256</v>
      </c>
      <c r="AG496" s="2"/>
      <c r="AH496" s="44">
        <f>1-COS(RADIANS(TA[[#This Row],[Avg. Target Angle during Fault Time (Radians)]]-TA[[#This Row],[Angle of affected equipment ]]))</f>
        <v>0.11705240714107301</v>
      </c>
      <c r="AI496" s="35">
        <f>IFERROR(TA[[#This Row],[Breakdown Time]]*TA[[#This Row],[Plant Equivalent Weightage]],"")</f>
        <v>0</v>
      </c>
    </row>
    <row r="497" spans="1:35">
      <c r="A497" s="2">
        <f t="shared" si="26"/>
        <v>494</v>
      </c>
      <c r="B497" s="156">
        <f t="shared" si="24"/>
        <v>2026</v>
      </c>
      <c r="C497" s="129">
        <f t="shared" si="25"/>
        <v>2025</v>
      </c>
      <c r="D497" s="2" t="s">
        <v>155</v>
      </c>
      <c r="E497" s="2" t="s">
        <v>155</v>
      </c>
      <c r="F497" s="39">
        <v>45778</v>
      </c>
      <c r="G497" s="2">
        <f>DAY(EOMONTH(TA[[#This Row],[Month Year]],0))</f>
        <v>31</v>
      </c>
      <c r="H497" s="21">
        <v>45778</v>
      </c>
      <c r="I497" s="41">
        <f>IFERROR(VLOOKUP(TA[[#This Row],[Date]],Raw_Data[[Date]:[Sunset Time (POA&lt;20 W/m2)]],3,0),"")</f>
        <v>0.25486111111111109</v>
      </c>
      <c r="J497" s="41">
        <f>IFERROR(VLOOKUP(TA[[#This Row],[Date]],Raw_Data[[Date]:[Sunset Time (POA&lt;20 W/m2)]],4,0),"")</f>
        <v>0.76944444444444449</v>
      </c>
      <c r="K497" s="35">
        <f>IFERROR((TA[[#This Row],[Sunset Time (POA&lt;20 W/m2)]]-TA[[#This Row],[Sunrise Time (POA&gt;20 W/m2)]])*24,"")</f>
        <v>12.350000000000001</v>
      </c>
      <c r="L497" s="2" t="s">
        <v>296</v>
      </c>
      <c r="M497" s="42">
        <f>IFERROR(VLOOKUP(TA[[#This Row],[Affected Equipment]],'Basic Data'!$I$2:$K$40,3,0),"")</f>
        <v>8.6206896551724102E-3</v>
      </c>
      <c r="N497">
        <v>-28</v>
      </c>
      <c r="O497" t="s">
        <v>134</v>
      </c>
      <c r="P497" s="22" t="s">
        <v>330</v>
      </c>
      <c r="Q497" s="2" t="s">
        <v>323</v>
      </c>
      <c r="R497">
        <v>31</v>
      </c>
      <c r="S497" s="2">
        <v>61</v>
      </c>
      <c r="T497" t="s">
        <v>297</v>
      </c>
      <c r="U497" t="s">
        <v>326</v>
      </c>
      <c r="V497" t="s">
        <v>301</v>
      </c>
      <c r="W497" s="41"/>
      <c r="X497" s="41"/>
      <c r="Y497" s="34"/>
      <c r="Z497" s="34"/>
      <c r="AA497" s="35">
        <f>IF(TA[[#This Row],[Work Start time on Fault]]="NA","",(TA[[#This Row],[Fault Acknowledgement Time ]]-TA[[#This Row],[Fault Time]])*24)</f>
        <v>0</v>
      </c>
      <c r="AB497" s="35">
        <f>(TA[[#This Row],[Work Start time on Fault]]-TA[[#This Row],[Fault Time]])*24</f>
        <v>0</v>
      </c>
      <c r="AC497" s="34">
        <f>(TA[[#This Row],[Work Completion time on fault]]-TA[[#This Row],[Fault Time]])*24</f>
        <v>0</v>
      </c>
      <c r="AD497" s="35">
        <f>IFERROR((TA[[#This Row],[Work Completion time on fault]]-TA[[#This Row],[Fault Time]])*24,"")</f>
        <v>0</v>
      </c>
      <c r="AE497" t="s">
        <v>328</v>
      </c>
      <c r="AF497" t="s">
        <v>256</v>
      </c>
      <c r="AG497" s="2"/>
      <c r="AH497" s="44">
        <f>1-COS(RADIANS(TA[[#This Row],[Avg. Target Angle during Fault Time (Radians)]]-TA[[#This Row],[Angle of affected equipment ]]))</f>
        <v>0.11705240714107301</v>
      </c>
      <c r="AI497" s="35">
        <f>IFERROR(TA[[#This Row],[Breakdown Time]]*TA[[#This Row],[Plant Equivalent Weightage]],"")</f>
        <v>0</v>
      </c>
    </row>
    <row r="498" spans="1:35">
      <c r="A498" s="2">
        <f t="shared" si="26"/>
        <v>495</v>
      </c>
      <c r="B498" s="156">
        <f t="shared" si="24"/>
        <v>2026</v>
      </c>
      <c r="C498" s="129">
        <f t="shared" si="25"/>
        <v>2025</v>
      </c>
      <c r="D498" s="2" t="s">
        <v>155</v>
      </c>
      <c r="E498" s="2" t="s">
        <v>155</v>
      </c>
      <c r="F498" s="39">
        <v>45778</v>
      </c>
      <c r="G498" s="2">
        <f>DAY(EOMONTH(TA[[#This Row],[Month Year]],0))</f>
        <v>31</v>
      </c>
      <c r="H498" s="21">
        <v>45778</v>
      </c>
      <c r="I498" s="41">
        <f>IFERROR(VLOOKUP(TA[[#This Row],[Date]],Raw_Data[[Date]:[Sunset Time (POA&lt;20 W/m2)]],3,0),"")</f>
        <v>0.25486111111111109</v>
      </c>
      <c r="J498" s="41">
        <f>IFERROR(VLOOKUP(TA[[#This Row],[Date]],Raw_Data[[Date]:[Sunset Time (POA&lt;20 W/m2)]],4,0),"")</f>
        <v>0.76944444444444449</v>
      </c>
      <c r="K498" s="35">
        <f>IFERROR((TA[[#This Row],[Sunset Time (POA&lt;20 W/m2)]]-TA[[#This Row],[Sunrise Time (POA&gt;20 W/m2)]])*24,"")</f>
        <v>12.350000000000001</v>
      </c>
      <c r="L498" s="2" t="s">
        <v>312</v>
      </c>
      <c r="M498" s="42">
        <f>IFERROR(VLOOKUP(TA[[#This Row],[Affected Equipment]],'Basic Data'!$I$2:$K$40,3,0),"")</f>
        <v>5.74712643678161E-3</v>
      </c>
      <c r="N498">
        <v>-28</v>
      </c>
      <c r="O498" t="s">
        <v>133</v>
      </c>
      <c r="P498" s="22" t="s">
        <v>330</v>
      </c>
      <c r="Q498" s="2" t="s">
        <v>323</v>
      </c>
      <c r="R498">
        <v>26</v>
      </c>
      <c r="S498" s="2">
        <v>37</v>
      </c>
      <c r="T498" t="s">
        <v>297</v>
      </c>
      <c r="U498" t="s">
        <v>326</v>
      </c>
      <c r="V498" t="s">
        <v>301</v>
      </c>
      <c r="W498" s="41"/>
      <c r="X498" s="41"/>
      <c r="Y498" s="34"/>
      <c r="Z498" s="34"/>
      <c r="AA498" s="35">
        <f>IF(TA[[#This Row],[Work Start time on Fault]]="NA","",(TA[[#This Row],[Fault Acknowledgement Time ]]-TA[[#This Row],[Fault Time]])*24)</f>
        <v>0</v>
      </c>
      <c r="AB498" s="35">
        <f>(TA[[#This Row],[Work Start time on Fault]]-TA[[#This Row],[Fault Time]])*24</f>
        <v>0</v>
      </c>
      <c r="AC498" s="34">
        <f>(TA[[#This Row],[Work Completion time on fault]]-TA[[#This Row],[Fault Time]])*24</f>
        <v>0</v>
      </c>
      <c r="AD498" s="35">
        <f>IFERROR((TA[[#This Row],[Work Completion time on fault]]-TA[[#This Row],[Fault Time]])*24,"")</f>
        <v>0</v>
      </c>
      <c r="AE498" t="s">
        <v>328</v>
      </c>
      <c r="AF498" t="s">
        <v>256</v>
      </c>
      <c r="AG498" s="2"/>
      <c r="AH498" s="44">
        <f>1-COS(RADIANS(TA[[#This Row],[Avg. Target Angle during Fault Time (Radians)]]-TA[[#This Row],[Angle of affected equipment ]]))</f>
        <v>0.11705240714107301</v>
      </c>
      <c r="AI498" s="35">
        <f>IFERROR(TA[[#This Row],[Breakdown Time]]*TA[[#This Row],[Plant Equivalent Weightage]],"")</f>
        <v>0</v>
      </c>
    </row>
    <row r="499" spans="1:35">
      <c r="A499" s="2">
        <f t="shared" si="26"/>
        <v>496</v>
      </c>
      <c r="B499" s="156">
        <f t="shared" si="24"/>
        <v>2026</v>
      </c>
      <c r="C499" s="129">
        <f t="shared" si="25"/>
        <v>2025</v>
      </c>
      <c r="D499" s="2" t="s">
        <v>155</v>
      </c>
      <c r="E499" s="2" t="s">
        <v>155</v>
      </c>
      <c r="F499" s="39">
        <v>45778</v>
      </c>
      <c r="G499" s="2">
        <f>DAY(EOMONTH(TA[[#This Row],[Month Year]],0))</f>
        <v>31</v>
      </c>
      <c r="H499" s="21">
        <v>45778</v>
      </c>
      <c r="I499" s="41">
        <f>IFERROR(VLOOKUP(TA[[#This Row],[Date]],Raw_Data[[Date]:[Sunset Time (POA&lt;20 W/m2)]],3,0),"")</f>
        <v>0.25486111111111109</v>
      </c>
      <c r="J499" s="41">
        <f>IFERROR(VLOOKUP(TA[[#This Row],[Date]],Raw_Data[[Date]:[Sunset Time (POA&lt;20 W/m2)]],4,0),"")</f>
        <v>0.76944444444444449</v>
      </c>
      <c r="K499" s="35">
        <f>IFERROR((TA[[#This Row],[Sunset Time (POA&lt;20 W/m2)]]-TA[[#This Row],[Sunrise Time (POA&gt;20 W/m2)]])*24,"")</f>
        <v>12.350000000000001</v>
      </c>
      <c r="L499" s="2" t="s">
        <v>312</v>
      </c>
      <c r="M499" s="42">
        <f>IFERROR(VLOOKUP(TA[[#This Row],[Affected Equipment]],'Basic Data'!$I$2:$K$40,3,0),"")</f>
        <v>5.74712643678161E-3</v>
      </c>
      <c r="N499">
        <v>-28</v>
      </c>
      <c r="O499" t="s">
        <v>133</v>
      </c>
      <c r="P499" s="22" t="s">
        <v>330</v>
      </c>
      <c r="Q499" s="2" t="s">
        <v>323</v>
      </c>
      <c r="R499">
        <v>27</v>
      </c>
      <c r="S499" s="2">
        <v>42</v>
      </c>
      <c r="T499" t="s">
        <v>297</v>
      </c>
      <c r="U499" t="s">
        <v>326</v>
      </c>
      <c r="V499" t="s">
        <v>301</v>
      </c>
      <c r="W499" s="41">
        <f>IFERROR(VLOOKUP(TA[[#This Row],[Date]],Raw_Data[[Date]:[Sunset Time (POA&lt;20 W/m2)]],3,0),"")</f>
        <v>0.25486111111111109</v>
      </c>
      <c r="X499" s="41">
        <f>IFERROR(VLOOKUP(TA[[#This Row],[Date]],Raw_Data[[Date]:[Sunset Time (POA&lt;20 W/m2)]],3,0),"")</f>
        <v>0.25486111111111109</v>
      </c>
      <c r="Y499" s="34"/>
      <c r="Z499" s="34">
        <v>0.76041666666666663</v>
      </c>
      <c r="AA499" s="35">
        <f>IF(TA[[#This Row],[Work Start time on Fault]]="NA","",(TA[[#This Row],[Fault Acknowledgement Time ]]-TA[[#This Row],[Fault Time]])*24)</f>
        <v>0</v>
      </c>
      <c r="AB499" s="35">
        <f>(TA[[#This Row],[Work Start time on Fault]]-TA[[#This Row],[Fault Time]])*24</f>
        <v>-6.1166666666666663</v>
      </c>
      <c r="AC499" s="34">
        <f>(TA[[#This Row],[Work Completion time on fault]]-TA[[#This Row],[Fault Time]])*24</f>
        <v>12.133333333333333</v>
      </c>
      <c r="AD499" s="35">
        <f>IFERROR((TA[[#This Row],[Work Completion time on fault]]-TA[[#This Row],[Fault Time]])*24,"")</f>
        <v>12.133333333333333</v>
      </c>
      <c r="AE499" t="s">
        <v>309</v>
      </c>
      <c r="AF499" t="s">
        <v>256</v>
      </c>
      <c r="AG499" s="2"/>
      <c r="AH499" s="44">
        <f>1-COS(RADIANS(TA[[#This Row],[Avg. Target Angle during Fault Time (Radians)]]-TA[[#This Row],[Angle of affected equipment ]]))</f>
        <v>0.11705240714107301</v>
      </c>
      <c r="AI499" s="35">
        <f>IFERROR(TA[[#This Row],[Breakdown Time]]*TA[[#This Row],[Plant Equivalent Weightage]],"")</f>
        <v>6.9731800766283533E-2</v>
      </c>
    </row>
    <row r="500" spans="1:35">
      <c r="A500" s="2">
        <f t="shared" si="26"/>
        <v>497</v>
      </c>
      <c r="B500" s="156">
        <f t="shared" si="24"/>
        <v>2026</v>
      </c>
      <c r="C500" s="129">
        <f t="shared" si="25"/>
        <v>2025</v>
      </c>
      <c r="D500" s="2" t="s">
        <v>155</v>
      </c>
      <c r="E500" s="2" t="s">
        <v>155</v>
      </c>
      <c r="F500" s="39">
        <v>45778</v>
      </c>
      <c r="G500" s="2">
        <f>DAY(EOMONTH(TA[[#This Row],[Month Year]],0))</f>
        <v>31</v>
      </c>
      <c r="H500" s="21">
        <v>45779</v>
      </c>
      <c r="I500" s="41">
        <f>IFERROR(VLOOKUP(TA[[#This Row],[Date]],Raw_Data[[Date]:[Sunset Time (POA&lt;20 W/m2)]],3,0),"")</f>
        <v>0.26319444444444445</v>
      </c>
      <c r="J500" s="41">
        <f>IFERROR(VLOOKUP(TA[[#This Row],[Date]],Raw_Data[[Date]:[Sunset Time (POA&lt;20 W/m2)]],4,0),"")</f>
        <v>0.76875000000000004</v>
      </c>
      <c r="K500" s="35">
        <f>IFERROR((TA[[#This Row],[Sunset Time (POA&lt;20 W/m2)]]-TA[[#This Row],[Sunrise Time (POA&gt;20 W/m2)]])*24,"")</f>
        <v>12.133333333333333</v>
      </c>
      <c r="L500" s="2" t="s">
        <v>294</v>
      </c>
      <c r="M500" s="42">
        <f>IFERROR(VLOOKUP(TA[[#This Row],[Affected Equipment]],'Basic Data'!$I$2:$K$40,3,0),"")</f>
        <v>1.7241379310344799E-3</v>
      </c>
      <c r="N500">
        <v>-28</v>
      </c>
      <c r="O500" t="s">
        <v>135</v>
      </c>
      <c r="P500" s="127" t="s">
        <v>318</v>
      </c>
      <c r="Q500" s="126" t="s">
        <v>318</v>
      </c>
      <c r="R500">
        <v>130</v>
      </c>
      <c r="S500" s="2">
        <v>37</v>
      </c>
      <c r="T500" t="s">
        <v>295</v>
      </c>
      <c r="U500" t="s">
        <v>300</v>
      </c>
      <c r="V500" t="s">
        <v>298</v>
      </c>
      <c r="W500" s="41"/>
      <c r="X500" s="41"/>
      <c r="Y500" s="34"/>
      <c r="Z500" s="34"/>
      <c r="AA500" s="35">
        <f>IF(TA[[#This Row],[Work Start time on Fault]]="NA","",(TA[[#This Row],[Fault Acknowledgement Time ]]-TA[[#This Row],[Fault Time]])*24)</f>
        <v>0</v>
      </c>
      <c r="AB500" s="35">
        <f>(TA[[#This Row],[Work Start time on Fault]]-TA[[#This Row],[Fault Time]])*24</f>
        <v>0</v>
      </c>
      <c r="AC500" s="34">
        <f>(TA[[#This Row],[Work Completion time on fault]]-TA[[#This Row],[Fault Time]])*24</f>
        <v>0</v>
      </c>
      <c r="AD500" s="35">
        <f>IFERROR((TA[[#This Row],[Work Completion time on fault]]-TA[[#This Row],[Fault Time]])*24,"")</f>
        <v>0</v>
      </c>
      <c r="AE500" t="s">
        <v>328</v>
      </c>
      <c r="AF500" t="s">
        <v>256</v>
      </c>
      <c r="AG500" s="2"/>
      <c r="AH500" s="44">
        <f>1-COS(RADIANS(TA[[#This Row],[Avg. Target Angle during Fault Time (Radians)]]-TA[[#This Row],[Angle of affected equipment ]]))</f>
        <v>0.11705240714107301</v>
      </c>
      <c r="AI500" s="35">
        <f>IFERROR(TA[[#This Row],[Breakdown Time]]*TA[[#This Row],[Plant Equivalent Weightage]],"")</f>
        <v>0</v>
      </c>
    </row>
    <row r="501" spans="1:35">
      <c r="A501" s="2">
        <f t="shared" si="26"/>
        <v>498</v>
      </c>
      <c r="B501" s="156">
        <f t="shared" si="24"/>
        <v>2026</v>
      </c>
      <c r="C501" s="129">
        <f t="shared" si="25"/>
        <v>2025</v>
      </c>
      <c r="D501" s="2" t="s">
        <v>155</v>
      </c>
      <c r="E501" s="2" t="s">
        <v>155</v>
      </c>
      <c r="F501" s="39">
        <v>45778</v>
      </c>
      <c r="G501" s="2">
        <f>DAY(EOMONTH(TA[[#This Row],[Month Year]],0))</f>
        <v>31</v>
      </c>
      <c r="H501" s="21">
        <v>45779</v>
      </c>
      <c r="I501" s="41">
        <f>IFERROR(VLOOKUP(TA[[#This Row],[Date]],Raw_Data[[Date]:[Sunset Time (POA&lt;20 W/m2)]],3,0),"")</f>
        <v>0.26319444444444445</v>
      </c>
      <c r="J501" s="41">
        <f>IFERROR(VLOOKUP(TA[[#This Row],[Date]],Raw_Data[[Date]:[Sunset Time (POA&lt;20 W/m2)]],4,0),"")</f>
        <v>0.76875000000000004</v>
      </c>
      <c r="K501" s="35">
        <f>IFERROR((TA[[#This Row],[Sunset Time (POA&lt;20 W/m2)]]-TA[[#This Row],[Sunrise Time (POA&gt;20 W/m2)]])*24,"")</f>
        <v>12.133333333333333</v>
      </c>
      <c r="L501" s="2" t="s">
        <v>294</v>
      </c>
      <c r="M501" s="42">
        <f>IFERROR(VLOOKUP(TA[[#This Row],[Affected Equipment]],'Basic Data'!$I$2:$K$40,3,0),"")</f>
        <v>1.7241379310344799E-3</v>
      </c>
      <c r="N501">
        <v>-28</v>
      </c>
      <c r="O501" t="s">
        <v>135</v>
      </c>
      <c r="P501" s="127" t="s">
        <v>318</v>
      </c>
      <c r="Q501" s="126" t="s">
        <v>318</v>
      </c>
      <c r="R501">
        <v>131</v>
      </c>
      <c r="S501" s="2">
        <v>38</v>
      </c>
      <c r="T501" t="s">
        <v>295</v>
      </c>
      <c r="U501" t="s">
        <v>300</v>
      </c>
      <c r="V501" t="s">
        <v>298</v>
      </c>
      <c r="W501" s="41"/>
      <c r="X501" s="41"/>
      <c r="Y501" s="34"/>
      <c r="Z501" s="34"/>
      <c r="AA501" s="35">
        <f>IF(TA[[#This Row],[Work Start time on Fault]]="NA","",(TA[[#This Row],[Fault Acknowledgement Time ]]-TA[[#This Row],[Fault Time]])*24)</f>
        <v>0</v>
      </c>
      <c r="AB501" s="35">
        <f>(TA[[#This Row],[Work Start time on Fault]]-TA[[#This Row],[Fault Time]])*24</f>
        <v>0</v>
      </c>
      <c r="AC501" s="34">
        <f>(TA[[#This Row],[Work Completion time on fault]]-TA[[#This Row],[Fault Time]])*24</f>
        <v>0</v>
      </c>
      <c r="AD501" s="35">
        <f>IFERROR((TA[[#This Row],[Work Completion time on fault]]-TA[[#This Row],[Fault Time]])*24,"")</f>
        <v>0</v>
      </c>
      <c r="AE501" t="s">
        <v>328</v>
      </c>
      <c r="AF501" t="s">
        <v>256</v>
      </c>
      <c r="AG501" s="2"/>
      <c r="AH501" s="44">
        <f>1-COS(RADIANS(TA[[#This Row],[Avg. Target Angle during Fault Time (Radians)]]-TA[[#This Row],[Angle of affected equipment ]]))</f>
        <v>0.11705240714107301</v>
      </c>
      <c r="AI501" s="35">
        <f>IFERROR(TA[[#This Row],[Breakdown Time]]*TA[[#This Row],[Plant Equivalent Weightage]],"")</f>
        <v>0</v>
      </c>
    </row>
    <row r="502" spans="1:35">
      <c r="A502" s="2">
        <f t="shared" si="26"/>
        <v>499</v>
      </c>
      <c r="B502" s="156">
        <f t="shared" si="24"/>
        <v>2026</v>
      </c>
      <c r="C502" s="129">
        <f t="shared" si="25"/>
        <v>2025</v>
      </c>
      <c r="D502" s="2" t="s">
        <v>155</v>
      </c>
      <c r="E502" s="2" t="s">
        <v>155</v>
      </c>
      <c r="F502" s="39">
        <v>45778</v>
      </c>
      <c r="G502" s="2">
        <f>DAY(EOMONTH(TA[[#This Row],[Month Year]],0))</f>
        <v>31</v>
      </c>
      <c r="H502" s="21">
        <v>45779</v>
      </c>
      <c r="I502" s="41">
        <f>IFERROR(VLOOKUP(TA[[#This Row],[Date]],Raw_Data[[Date]:[Sunset Time (POA&lt;20 W/m2)]],3,0),"")</f>
        <v>0.26319444444444445</v>
      </c>
      <c r="J502" s="41">
        <f>IFERROR(VLOOKUP(TA[[#This Row],[Date]],Raw_Data[[Date]:[Sunset Time (POA&lt;20 W/m2)]],4,0),"")</f>
        <v>0.76875000000000004</v>
      </c>
      <c r="K502" s="35">
        <f>IFERROR((TA[[#This Row],[Sunset Time (POA&lt;20 W/m2)]]-TA[[#This Row],[Sunrise Time (POA&gt;20 W/m2)]])*24,"")</f>
        <v>12.133333333333333</v>
      </c>
      <c r="L502" s="2" t="s">
        <v>294</v>
      </c>
      <c r="M502" s="42">
        <f>IFERROR(VLOOKUP(TA[[#This Row],[Affected Equipment]],'Basic Data'!$I$2:$K$40,3,0),"")</f>
        <v>1.7241379310344799E-3</v>
      </c>
      <c r="N502">
        <v>-28</v>
      </c>
      <c r="O502" t="s">
        <v>135</v>
      </c>
      <c r="P502" s="127" t="s">
        <v>318</v>
      </c>
      <c r="Q502" s="126" t="s">
        <v>318</v>
      </c>
      <c r="R502">
        <v>131</v>
      </c>
      <c r="S502" s="2">
        <v>39</v>
      </c>
      <c r="T502" t="s">
        <v>295</v>
      </c>
      <c r="U502" t="s">
        <v>300</v>
      </c>
      <c r="V502" t="s">
        <v>298</v>
      </c>
      <c r="W502" s="41"/>
      <c r="X502" s="41"/>
      <c r="Y502" s="34"/>
      <c r="Z502" s="34"/>
      <c r="AA502" s="35">
        <f>IF(TA[[#This Row],[Work Start time on Fault]]="NA","",(TA[[#This Row],[Fault Acknowledgement Time ]]-TA[[#This Row],[Fault Time]])*24)</f>
        <v>0</v>
      </c>
      <c r="AB502" s="35">
        <f>(TA[[#This Row],[Work Start time on Fault]]-TA[[#This Row],[Fault Time]])*24</f>
        <v>0</v>
      </c>
      <c r="AC502" s="34">
        <f>(TA[[#This Row],[Work Completion time on fault]]-TA[[#This Row],[Fault Time]])*24</f>
        <v>0</v>
      </c>
      <c r="AD502" s="35">
        <f>IFERROR((TA[[#This Row],[Work Completion time on fault]]-TA[[#This Row],[Fault Time]])*24,"")</f>
        <v>0</v>
      </c>
      <c r="AE502" t="s">
        <v>328</v>
      </c>
      <c r="AF502" t="s">
        <v>256</v>
      </c>
      <c r="AG502" s="2"/>
      <c r="AH502" s="44">
        <f>1-COS(RADIANS(TA[[#This Row],[Avg. Target Angle during Fault Time (Radians)]]-TA[[#This Row],[Angle of affected equipment ]]))</f>
        <v>0.11705240714107301</v>
      </c>
      <c r="AI502" s="35">
        <f>IFERROR(TA[[#This Row],[Breakdown Time]]*TA[[#This Row],[Plant Equivalent Weightage]],"")</f>
        <v>0</v>
      </c>
    </row>
    <row r="503" spans="1:35">
      <c r="A503" s="2">
        <f t="shared" si="26"/>
        <v>500</v>
      </c>
      <c r="B503" s="156">
        <f t="shared" si="24"/>
        <v>2026</v>
      </c>
      <c r="C503" s="129">
        <f t="shared" si="25"/>
        <v>2025</v>
      </c>
      <c r="D503" s="2" t="s">
        <v>155</v>
      </c>
      <c r="E503" s="2" t="s">
        <v>155</v>
      </c>
      <c r="F503" s="39">
        <v>45778</v>
      </c>
      <c r="G503" s="2">
        <f>DAY(EOMONTH(TA[[#This Row],[Month Year]],0))</f>
        <v>31</v>
      </c>
      <c r="H503" s="21">
        <v>45779</v>
      </c>
      <c r="I503" s="41">
        <f>IFERROR(VLOOKUP(TA[[#This Row],[Date]],Raw_Data[[Date]:[Sunset Time (POA&lt;20 W/m2)]],3,0),"")</f>
        <v>0.26319444444444445</v>
      </c>
      <c r="J503" s="41">
        <f>IFERROR(VLOOKUP(TA[[#This Row],[Date]],Raw_Data[[Date]:[Sunset Time (POA&lt;20 W/m2)]],4,0),"")</f>
        <v>0.76875000000000004</v>
      </c>
      <c r="K503" s="35">
        <f>IFERROR((TA[[#This Row],[Sunset Time (POA&lt;20 W/m2)]]-TA[[#This Row],[Sunrise Time (POA&gt;20 W/m2)]])*24,"")</f>
        <v>12.133333333333333</v>
      </c>
      <c r="L503" s="2" t="s">
        <v>296</v>
      </c>
      <c r="M503" s="42">
        <f>IFERROR(VLOOKUP(TA[[#This Row],[Affected Equipment]],'Basic Data'!$I$2:$K$40,3,0),"")</f>
        <v>8.6206896551724102E-3</v>
      </c>
      <c r="N503">
        <v>-28</v>
      </c>
      <c r="O503" t="s">
        <v>135</v>
      </c>
      <c r="P503" s="127" t="s">
        <v>318</v>
      </c>
      <c r="Q503" s="2" t="s">
        <v>321</v>
      </c>
      <c r="R503">
        <v>133</v>
      </c>
      <c r="S503" s="2">
        <v>26</v>
      </c>
      <c r="T503" t="s">
        <v>297</v>
      </c>
      <c r="U503" t="s">
        <v>300</v>
      </c>
      <c r="V503" t="s">
        <v>314</v>
      </c>
      <c r="W503" s="41">
        <f>IFERROR(VLOOKUP(TA[[#This Row],[Date]],Raw_Data[[Date]:[Sunset Time (POA&lt;20 W/m2)]],3,0),"")</f>
        <v>0.26319444444444445</v>
      </c>
      <c r="X503" s="41">
        <f>IFERROR(VLOOKUP(TA[[#This Row],[Date]],Raw_Data[[Date]:[Sunset Time (POA&lt;20 W/m2)]],3,0),"")</f>
        <v>0.26319444444444445</v>
      </c>
      <c r="Y503" s="34"/>
      <c r="Z503" s="34">
        <v>0.76041666666666663</v>
      </c>
      <c r="AA503" s="35">
        <f>IF(TA[[#This Row],[Work Start time on Fault]]="NA","",(TA[[#This Row],[Fault Acknowledgement Time ]]-TA[[#This Row],[Fault Time]])*24)</f>
        <v>0</v>
      </c>
      <c r="AB503" s="35">
        <f>(TA[[#This Row],[Work Start time on Fault]]-TA[[#This Row],[Fault Time]])*24</f>
        <v>-6.3166666666666664</v>
      </c>
      <c r="AC503" s="34">
        <f>(TA[[#This Row],[Work Completion time on fault]]-TA[[#This Row],[Fault Time]])*24</f>
        <v>11.933333333333332</v>
      </c>
      <c r="AD503" s="35">
        <f>IFERROR((TA[[#This Row],[Work Completion time on fault]]-TA[[#This Row],[Fault Time]])*24,"")</f>
        <v>11.933333333333332</v>
      </c>
      <c r="AE503" t="s">
        <v>328</v>
      </c>
      <c r="AF503" t="s">
        <v>256</v>
      </c>
      <c r="AG503" s="2"/>
      <c r="AH503" s="44">
        <f>1-COS(RADIANS(TA[[#This Row],[Avg. Target Angle during Fault Time (Radians)]]-TA[[#This Row],[Angle of affected equipment ]]))</f>
        <v>0.11705240714107301</v>
      </c>
      <c r="AI503" s="35">
        <f>IFERROR(TA[[#This Row],[Breakdown Time]]*TA[[#This Row],[Plant Equivalent Weightage]],"")</f>
        <v>0.10287356321839075</v>
      </c>
    </row>
    <row r="504" spans="1:35">
      <c r="A504" s="2">
        <f t="shared" si="26"/>
        <v>501</v>
      </c>
      <c r="B504" s="156">
        <f t="shared" si="24"/>
        <v>2026</v>
      </c>
      <c r="C504" s="129">
        <f t="shared" si="25"/>
        <v>2025</v>
      </c>
      <c r="D504" s="2" t="s">
        <v>155</v>
      </c>
      <c r="E504" s="2" t="s">
        <v>155</v>
      </c>
      <c r="F504" s="39">
        <v>45778</v>
      </c>
      <c r="G504" s="2">
        <f>DAY(EOMONTH(TA[[#This Row],[Month Year]],0))</f>
        <v>31</v>
      </c>
      <c r="H504" s="21">
        <v>45779</v>
      </c>
      <c r="I504" s="41">
        <f>IFERROR(VLOOKUP(TA[[#This Row],[Date]],Raw_Data[[Date]:[Sunset Time (POA&lt;20 W/m2)]],3,0),"")</f>
        <v>0.26319444444444445</v>
      </c>
      <c r="J504" s="41">
        <f>IFERROR(VLOOKUP(TA[[#This Row],[Date]],Raw_Data[[Date]:[Sunset Time (POA&lt;20 W/m2)]],4,0),"")</f>
        <v>0.76875000000000004</v>
      </c>
      <c r="K504" s="35">
        <f>IFERROR((TA[[#This Row],[Sunset Time (POA&lt;20 W/m2)]]-TA[[#This Row],[Sunrise Time (POA&gt;20 W/m2)]])*24,"")</f>
        <v>12.133333333333333</v>
      </c>
      <c r="L504" s="2" t="s">
        <v>294</v>
      </c>
      <c r="M504" s="42">
        <f>IFERROR(VLOOKUP(TA[[#This Row],[Affected Equipment]],'Basic Data'!$I$2:$K$40,3,0),"")</f>
        <v>1.7241379310344799E-3</v>
      </c>
      <c r="N504">
        <v>-28</v>
      </c>
      <c r="O504" t="s">
        <v>133</v>
      </c>
      <c r="P504" s="127" t="s">
        <v>316</v>
      </c>
      <c r="Q504" s="126" t="s">
        <v>317</v>
      </c>
      <c r="R504">
        <v>7</v>
      </c>
      <c r="S504" s="2">
        <v>32</v>
      </c>
      <c r="T504" t="s">
        <v>295</v>
      </c>
      <c r="U504" t="s">
        <v>300</v>
      </c>
      <c r="V504" t="s">
        <v>298</v>
      </c>
      <c r="W504" s="41"/>
      <c r="X504" s="41"/>
      <c r="Y504" s="34"/>
      <c r="Z504" s="34"/>
      <c r="AA504" s="35">
        <f>IF(TA[[#This Row],[Work Start time on Fault]]="NA","",(TA[[#This Row],[Fault Acknowledgement Time ]]-TA[[#This Row],[Fault Time]])*24)</f>
        <v>0</v>
      </c>
      <c r="AB504" s="35">
        <f>(TA[[#This Row],[Work Start time on Fault]]-TA[[#This Row],[Fault Time]])*24</f>
        <v>0</v>
      </c>
      <c r="AC504" s="34">
        <f>(TA[[#This Row],[Work Completion time on fault]]-TA[[#This Row],[Fault Time]])*24</f>
        <v>0</v>
      </c>
      <c r="AD504" s="35">
        <f>IFERROR((TA[[#This Row],[Work Completion time on fault]]-TA[[#This Row],[Fault Time]])*24,"")</f>
        <v>0</v>
      </c>
      <c r="AE504" t="s">
        <v>328</v>
      </c>
      <c r="AF504" t="s">
        <v>256</v>
      </c>
      <c r="AG504" s="2"/>
      <c r="AH504" s="44">
        <f>1-COS(RADIANS(TA[[#This Row],[Avg. Target Angle during Fault Time (Radians)]]-TA[[#This Row],[Angle of affected equipment ]]))</f>
        <v>0.11705240714107301</v>
      </c>
      <c r="AI504" s="35">
        <f>IFERROR(TA[[#This Row],[Breakdown Time]]*TA[[#This Row],[Plant Equivalent Weightage]],"")</f>
        <v>0</v>
      </c>
    </row>
    <row r="505" spans="1:35">
      <c r="A505" s="2">
        <f t="shared" si="26"/>
        <v>502</v>
      </c>
      <c r="B505" s="156">
        <f t="shared" si="24"/>
        <v>2026</v>
      </c>
      <c r="C505" s="129">
        <f t="shared" si="25"/>
        <v>2025</v>
      </c>
      <c r="D505" s="2" t="s">
        <v>155</v>
      </c>
      <c r="E505" s="2" t="s">
        <v>155</v>
      </c>
      <c r="F505" s="39">
        <v>45778</v>
      </c>
      <c r="G505" s="2">
        <f>DAY(EOMONTH(TA[[#This Row],[Month Year]],0))</f>
        <v>31</v>
      </c>
      <c r="H505" s="21">
        <v>45779</v>
      </c>
      <c r="I505" s="41">
        <f>IFERROR(VLOOKUP(TA[[#This Row],[Date]],Raw_Data[[Date]:[Sunset Time (POA&lt;20 W/m2)]],3,0),"")</f>
        <v>0.26319444444444445</v>
      </c>
      <c r="J505" s="41">
        <f>IFERROR(VLOOKUP(TA[[#This Row],[Date]],Raw_Data[[Date]:[Sunset Time (POA&lt;20 W/m2)]],4,0),"")</f>
        <v>0.76875000000000004</v>
      </c>
      <c r="K505" s="35">
        <f>IFERROR((TA[[#This Row],[Sunset Time (POA&lt;20 W/m2)]]-TA[[#This Row],[Sunrise Time (POA&gt;20 W/m2)]])*24,"")</f>
        <v>12.133333333333333</v>
      </c>
      <c r="L505" s="2" t="s">
        <v>294</v>
      </c>
      <c r="M505" s="42">
        <f>IFERROR(VLOOKUP(TA[[#This Row],[Affected Equipment]],'Basic Data'!$I$2:$K$40,3,0),"")</f>
        <v>1.7241379310344799E-3</v>
      </c>
      <c r="N505">
        <v>-28</v>
      </c>
      <c r="O505" t="s">
        <v>137</v>
      </c>
      <c r="P505" s="127" t="s">
        <v>315</v>
      </c>
      <c r="Q505" s="126" t="s">
        <v>319</v>
      </c>
      <c r="R505">
        <v>166</v>
      </c>
      <c r="S505" s="2">
        <v>91</v>
      </c>
      <c r="T505" t="s">
        <v>295</v>
      </c>
      <c r="U505" t="s">
        <v>300</v>
      </c>
      <c r="V505" t="s">
        <v>298</v>
      </c>
      <c r="W505" s="41"/>
      <c r="X505" s="41"/>
      <c r="Y505" s="34"/>
      <c r="Z505" s="34"/>
      <c r="AA505" s="35">
        <f>IF(TA[[#This Row],[Work Start time on Fault]]="NA","",(TA[[#This Row],[Fault Acknowledgement Time ]]-TA[[#This Row],[Fault Time]])*24)</f>
        <v>0</v>
      </c>
      <c r="AB505" s="35">
        <f>(TA[[#This Row],[Work Start time on Fault]]-TA[[#This Row],[Fault Time]])*24</f>
        <v>0</v>
      </c>
      <c r="AC505" s="34">
        <f>(TA[[#This Row],[Work Completion time on fault]]-TA[[#This Row],[Fault Time]])*24</f>
        <v>0</v>
      </c>
      <c r="AD505" s="35">
        <f>IFERROR((TA[[#This Row],[Work Completion time on fault]]-TA[[#This Row],[Fault Time]])*24,"")</f>
        <v>0</v>
      </c>
      <c r="AE505" t="s">
        <v>328</v>
      </c>
      <c r="AF505" t="s">
        <v>256</v>
      </c>
      <c r="AG505" s="2"/>
      <c r="AH505" s="44">
        <f>1-COS(RADIANS(TA[[#This Row],[Avg. Target Angle during Fault Time (Radians)]]-TA[[#This Row],[Angle of affected equipment ]]))</f>
        <v>0.11705240714107301</v>
      </c>
      <c r="AI505" s="35">
        <f>IFERROR(TA[[#This Row],[Breakdown Time]]*TA[[#This Row],[Plant Equivalent Weightage]],"")</f>
        <v>0</v>
      </c>
    </row>
    <row r="506" spans="1:35">
      <c r="A506" s="2">
        <f t="shared" si="26"/>
        <v>503</v>
      </c>
      <c r="B506" s="156">
        <f t="shared" si="24"/>
        <v>2026</v>
      </c>
      <c r="C506" s="129">
        <f t="shared" si="25"/>
        <v>2025</v>
      </c>
      <c r="D506" s="2" t="s">
        <v>155</v>
      </c>
      <c r="E506" s="2" t="s">
        <v>155</v>
      </c>
      <c r="F506" s="39">
        <v>45778</v>
      </c>
      <c r="G506" s="2">
        <f>DAY(EOMONTH(TA[[#This Row],[Month Year]],0))</f>
        <v>31</v>
      </c>
      <c r="H506" s="21">
        <v>45779</v>
      </c>
      <c r="I506" s="41">
        <f>IFERROR(VLOOKUP(TA[[#This Row],[Date]],Raw_Data[[Date]:[Sunset Time (POA&lt;20 W/m2)]],3,0),"")</f>
        <v>0.26319444444444445</v>
      </c>
      <c r="J506" s="41">
        <f>IFERROR(VLOOKUP(TA[[#This Row],[Date]],Raw_Data[[Date]:[Sunset Time (POA&lt;20 W/m2)]],4,0),"")</f>
        <v>0.76875000000000004</v>
      </c>
      <c r="K506" s="35">
        <f>IFERROR((TA[[#This Row],[Sunset Time (POA&lt;20 W/m2)]]-TA[[#This Row],[Sunrise Time (POA&gt;20 W/m2)]])*24,"")</f>
        <v>12.133333333333333</v>
      </c>
      <c r="L506" s="2" t="s">
        <v>294</v>
      </c>
      <c r="M506" s="42">
        <f>IFERROR(VLOOKUP(TA[[#This Row],[Affected Equipment]],'Basic Data'!$I$2:$K$40,3,0),"")</f>
        <v>1.7241379310344799E-3</v>
      </c>
      <c r="N506">
        <v>-28</v>
      </c>
      <c r="O506" t="s">
        <v>133</v>
      </c>
      <c r="P506" s="127" t="s">
        <v>316</v>
      </c>
      <c r="Q506" s="126" t="s">
        <v>316</v>
      </c>
      <c r="R506">
        <v>117</v>
      </c>
      <c r="S506" s="2">
        <v>20</v>
      </c>
      <c r="T506" t="s">
        <v>295</v>
      </c>
      <c r="U506" t="s">
        <v>300</v>
      </c>
      <c r="V506" t="s">
        <v>298</v>
      </c>
      <c r="W506" s="41"/>
      <c r="X506" s="41"/>
      <c r="Y506" s="34"/>
      <c r="Z506" s="34"/>
      <c r="AA506" s="35">
        <f>IF(TA[[#This Row],[Work Start time on Fault]]="NA","",(TA[[#This Row],[Fault Acknowledgement Time ]]-TA[[#This Row],[Fault Time]])*24)</f>
        <v>0</v>
      </c>
      <c r="AB506" s="35">
        <f>(TA[[#This Row],[Work Start time on Fault]]-TA[[#This Row],[Fault Time]])*24</f>
        <v>0</v>
      </c>
      <c r="AC506" s="34">
        <f>(TA[[#This Row],[Work Completion time on fault]]-TA[[#This Row],[Fault Time]])*24</f>
        <v>0</v>
      </c>
      <c r="AD506" s="35">
        <f>IFERROR((TA[[#This Row],[Work Completion time on fault]]-TA[[#This Row],[Fault Time]])*24,"")</f>
        <v>0</v>
      </c>
      <c r="AE506" t="s">
        <v>328</v>
      </c>
      <c r="AF506" t="s">
        <v>256</v>
      </c>
      <c r="AG506" s="2"/>
      <c r="AH506" s="44">
        <f>1-COS(RADIANS(TA[[#This Row],[Avg. Target Angle during Fault Time (Radians)]]-TA[[#This Row],[Angle of affected equipment ]]))</f>
        <v>0.11705240714107301</v>
      </c>
      <c r="AI506" s="35">
        <f>IFERROR(TA[[#This Row],[Breakdown Time]]*TA[[#This Row],[Plant Equivalent Weightage]],"")</f>
        <v>0</v>
      </c>
    </row>
    <row r="507" spans="1:35">
      <c r="A507" s="2">
        <f t="shared" si="26"/>
        <v>504</v>
      </c>
      <c r="B507" s="156">
        <f t="shared" si="24"/>
        <v>2026</v>
      </c>
      <c r="C507" s="129">
        <f t="shared" si="25"/>
        <v>2025</v>
      </c>
      <c r="D507" s="2" t="s">
        <v>155</v>
      </c>
      <c r="E507" s="2" t="s">
        <v>155</v>
      </c>
      <c r="F507" s="39">
        <v>45778</v>
      </c>
      <c r="G507" s="2">
        <f>DAY(EOMONTH(TA[[#This Row],[Month Year]],0))</f>
        <v>31</v>
      </c>
      <c r="H507" s="21">
        <v>45779</v>
      </c>
      <c r="I507" s="41">
        <f>IFERROR(VLOOKUP(TA[[#This Row],[Date]],Raw_Data[[Date]:[Sunset Time (POA&lt;20 W/m2)]],3,0),"")</f>
        <v>0.26319444444444445</v>
      </c>
      <c r="J507" s="41">
        <f>IFERROR(VLOOKUP(TA[[#This Row],[Date]],Raw_Data[[Date]:[Sunset Time (POA&lt;20 W/m2)]],4,0),"")</f>
        <v>0.76875000000000004</v>
      </c>
      <c r="K507" s="35">
        <f>IFERROR((TA[[#This Row],[Sunset Time (POA&lt;20 W/m2)]]-TA[[#This Row],[Sunrise Time (POA&gt;20 W/m2)]])*24,"")</f>
        <v>12.133333333333333</v>
      </c>
      <c r="L507" s="2" t="s">
        <v>294</v>
      </c>
      <c r="M507" s="42">
        <f>IFERROR(VLOOKUP(TA[[#This Row],[Affected Equipment]],'Basic Data'!$I$2:$K$40,3,0),"")</f>
        <v>1.7241379310344799E-3</v>
      </c>
      <c r="N507">
        <v>-28</v>
      </c>
      <c r="O507" t="s">
        <v>133</v>
      </c>
      <c r="P507" s="127" t="s">
        <v>316</v>
      </c>
      <c r="Q507" s="126" t="s">
        <v>316</v>
      </c>
      <c r="R507">
        <v>118</v>
      </c>
      <c r="S507" s="2">
        <v>22</v>
      </c>
      <c r="T507" t="s">
        <v>295</v>
      </c>
      <c r="U507" t="s">
        <v>300</v>
      </c>
      <c r="V507" t="s">
        <v>298</v>
      </c>
      <c r="W507" s="41"/>
      <c r="X507" s="41"/>
      <c r="Y507" s="34"/>
      <c r="Z507" s="34"/>
      <c r="AA507" s="35">
        <f>IF(TA[[#This Row],[Work Start time on Fault]]="NA","",(TA[[#This Row],[Fault Acknowledgement Time ]]-TA[[#This Row],[Fault Time]])*24)</f>
        <v>0</v>
      </c>
      <c r="AB507" s="35">
        <f>(TA[[#This Row],[Work Start time on Fault]]-TA[[#This Row],[Fault Time]])*24</f>
        <v>0</v>
      </c>
      <c r="AC507" s="34">
        <f>(TA[[#This Row],[Work Completion time on fault]]-TA[[#This Row],[Fault Time]])*24</f>
        <v>0</v>
      </c>
      <c r="AD507" s="35">
        <f>IFERROR((TA[[#This Row],[Work Completion time on fault]]-TA[[#This Row],[Fault Time]])*24,"")</f>
        <v>0</v>
      </c>
      <c r="AE507" t="s">
        <v>328</v>
      </c>
      <c r="AF507" t="s">
        <v>256</v>
      </c>
      <c r="AG507" s="2"/>
      <c r="AH507" s="44">
        <f>1-COS(RADIANS(TA[[#This Row],[Avg. Target Angle during Fault Time (Radians)]]-TA[[#This Row],[Angle of affected equipment ]]))</f>
        <v>0.11705240714107301</v>
      </c>
      <c r="AI507" s="35">
        <f>IFERROR(TA[[#This Row],[Breakdown Time]]*TA[[#This Row],[Plant Equivalent Weightage]],"")</f>
        <v>0</v>
      </c>
    </row>
    <row r="508" spans="1:35">
      <c r="A508" s="2">
        <f t="shared" si="26"/>
        <v>505</v>
      </c>
      <c r="B508" s="156">
        <f t="shared" si="24"/>
        <v>2026</v>
      </c>
      <c r="C508" s="129">
        <f t="shared" si="25"/>
        <v>2025</v>
      </c>
      <c r="D508" s="2" t="s">
        <v>155</v>
      </c>
      <c r="E508" s="2" t="s">
        <v>155</v>
      </c>
      <c r="F508" s="39">
        <v>45778</v>
      </c>
      <c r="G508" s="2">
        <f>DAY(EOMONTH(TA[[#This Row],[Month Year]],0))</f>
        <v>31</v>
      </c>
      <c r="H508" s="21">
        <v>45779</v>
      </c>
      <c r="I508" s="41">
        <f>IFERROR(VLOOKUP(TA[[#This Row],[Date]],Raw_Data[[Date]:[Sunset Time (POA&lt;20 W/m2)]],3,0),"")</f>
        <v>0.26319444444444445</v>
      </c>
      <c r="J508" s="41">
        <f>IFERROR(VLOOKUP(TA[[#This Row],[Date]],Raw_Data[[Date]:[Sunset Time (POA&lt;20 W/m2)]],4,0),"")</f>
        <v>0.76875000000000004</v>
      </c>
      <c r="K508" s="35">
        <f>IFERROR((TA[[#This Row],[Sunset Time (POA&lt;20 W/m2)]]-TA[[#This Row],[Sunrise Time (POA&gt;20 W/m2)]])*24,"")</f>
        <v>12.133333333333333</v>
      </c>
      <c r="L508" s="2" t="s">
        <v>296</v>
      </c>
      <c r="M508" s="42">
        <f>IFERROR(VLOOKUP(TA[[#This Row],[Affected Equipment]],'Basic Data'!$I$2:$K$40,3,0),"")</f>
        <v>8.6206896551724102E-3</v>
      </c>
      <c r="N508">
        <v>-28</v>
      </c>
      <c r="O508" t="s">
        <v>135</v>
      </c>
      <c r="P508" s="22" t="s">
        <v>323</v>
      </c>
      <c r="Q508" s="2" t="s">
        <v>329</v>
      </c>
      <c r="R508">
        <v>45</v>
      </c>
      <c r="S508" s="2">
        <v>8</v>
      </c>
      <c r="T508" t="s">
        <v>297</v>
      </c>
      <c r="U508" t="s">
        <v>326</v>
      </c>
      <c r="V508" t="s">
        <v>301</v>
      </c>
      <c r="W508" s="41"/>
      <c r="X508" s="41"/>
      <c r="Y508" s="34"/>
      <c r="Z508" s="34"/>
      <c r="AA508" s="35">
        <f>IF(TA[[#This Row],[Work Start time on Fault]]="NA","",(TA[[#This Row],[Fault Acknowledgement Time ]]-TA[[#This Row],[Fault Time]])*24)</f>
        <v>0</v>
      </c>
      <c r="AB508" s="35">
        <f>(TA[[#This Row],[Work Start time on Fault]]-TA[[#This Row],[Fault Time]])*24</f>
        <v>0</v>
      </c>
      <c r="AC508" s="34">
        <f>(TA[[#This Row],[Work Completion time on fault]]-TA[[#This Row],[Fault Time]])*24</f>
        <v>0</v>
      </c>
      <c r="AD508" s="35">
        <f>IFERROR((TA[[#This Row],[Work Completion time on fault]]-TA[[#This Row],[Fault Time]])*24,"")</f>
        <v>0</v>
      </c>
      <c r="AE508" t="s">
        <v>328</v>
      </c>
      <c r="AF508" t="s">
        <v>256</v>
      </c>
      <c r="AG508" s="2"/>
      <c r="AH508" s="44">
        <f>1-COS(RADIANS(TA[[#This Row],[Avg. Target Angle during Fault Time (Radians)]]-TA[[#This Row],[Angle of affected equipment ]]))</f>
        <v>0.11705240714107301</v>
      </c>
      <c r="AI508" s="35">
        <f>IFERROR(TA[[#This Row],[Breakdown Time]]*TA[[#This Row],[Plant Equivalent Weightage]],"")</f>
        <v>0</v>
      </c>
    </row>
    <row r="509" spans="1:35">
      <c r="A509" s="2">
        <f t="shared" si="26"/>
        <v>506</v>
      </c>
      <c r="B509" s="156">
        <f t="shared" si="24"/>
        <v>2026</v>
      </c>
      <c r="C509" s="129">
        <f t="shared" si="25"/>
        <v>2025</v>
      </c>
      <c r="D509" s="2" t="s">
        <v>155</v>
      </c>
      <c r="E509" s="2" t="s">
        <v>155</v>
      </c>
      <c r="F509" s="39">
        <v>45778</v>
      </c>
      <c r="G509" s="2">
        <f>DAY(EOMONTH(TA[[#This Row],[Month Year]],0))</f>
        <v>31</v>
      </c>
      <c r="H509" s="21">
        <v>45779</v>
      </c>
      <c r="I509" s="41">
        <f>IFERROR(VLOOKUP(TA[[#This Row],[Date]],Raw_Data[[Date]:[Sunset Time (POA&lt;20 W/m2)]],3,0),"")</f>
        <v>0.26319444444444445</v>
      </c>
      <c r="J509" s="41">
        <f>IFERROR(VLOOKUP(TA[[#This Row],[Date]],Raw_Data[[Date]:[Sunset Time (POA&lt;20 W/m2)]],4,0),"")</f>
        <v>0.76875000000000004</v>
      </c>
      <c r="K509" s="35">
        <f>IFERROR((TA[[#This Row],[Sunset Time (POA&lt;20 W/m2)]]-TA[[#This Row],[Sunrise Time (POA&gt;20 W/m2)]])*24,"")</f>
        <v>12.133333333333333</v>
      </c>
      <c r="L509" s="2" t="s">
        <v>296</v>
      </c>
      <c r="M509" s="42">
        <f>IFERROR(VLOOKUP(TA[[#This Row],[Affected Equipment]],'Basic Data'!$I$2:$K$40,3,0),"")</f>
        <v>8.6206896551724102E-3</v>
      </c>
      <c r="N509">
        <v>-28</v>
      </c>
      <c r="O509" t="s">
        <v>135</v>
      </c>
      <c r="P509" s="22" t="s">
        <v>323</v>
      </c>
      <c r="Q509" s="2" t="s">
        <v>329</v>
      </c>
      <c r="R509">
        <v>47</v>
      </c>
      <c r="S509" s="2">
        <v>18</v>
      </c>
      <c r="T509" t="s">
        <v>297</v>
      </c>
      <c r="U509" t="s">
        <v>326</v>
      </c>
      <c r="V509" t="s">
        <v>301</v>
      </c>
      <c r="W509" s="41"/>
      <c r="X509" s="41"/>
      <c r="Y509" s="34"/>
      <c r="Z509" s="34"/>
      <c r="AA509" s="35">
        <f>IF(TA[[#This Row],[Work Start time on Fault]]="NA","",(TA[[#This Row],[Fault Acknowledgement Time ]]-TA[[#This Row],[Fault Time]])*24)</f>
        <v>0</v>
      </c>
      <c r="AB509" s="35">
        <f>(TA[[#This Row],[Work Start time on Fault]]-TA[[#This Row],[Fault Time]])*24</f>
        <v>0</v>
      </c>
      <c r="AC509" s="34">
        <f>(TA[[#This Row],[Work Completion time on fault]]-TA[[#This Row],[Fault Time]])*24</f>
        <v>0</v>
      </c>
      <c r="AD509" s="35">
        <f>IFERROR((TA[[#This Row],[Work Completion time on fault]]-TA[[#This Row],[Fault Time]])*24,"")</f>
        <v>0</v>
      </c>
      <c r="AE509" t="s">
        <v>328</v>
      </c>
      <c r="AF509" t="s">
        <v>256</v>
      </c>
      <c r="AG509" s="2"/>
      <c r="AH509" s="44">
        <f>1-COS(RADIANS(TA[[#This Row],[Avg. Target Angle during Fault Time (Radians)]]-TA[[#This Row],[Angle of affected equipment ]]))</f>
        <v>0.11705240714107301</v>
      </c>
      <c r="AI509" s="35">
        <f>IFERROR(TA[[#This Row],[Breakdown Time]]*TA[[#This Row],[Plant Equivalent Weightage]],"")</f>
        <v>0</v>
      </c>
    </row>
    <row r="510" spans="1:35">
      <c r="A510" s="2">
        <f t="shared" si="26"/>
        <v>507</v>
      </c>
      <c r="B510" s="156">
        <f t="shared" si="24"/>
        <v>2026</v>
      </c>
      <c r="C510" s="129">
        <f t="shared" si="25"/>
        <v>2025</v>
      </c>
      <c r="D510" s="2" t="s">
        <v>155</v>
      </c>
      <c r="E510" s="2" t="s">
        <v>155</v>
      </c>
      <c r="F510" s="39">
        <v>45778</v>
      </c>
      <c r="G510" s="2">
        <f>DAY(EOMONTH(TA[[#This Row],[Month Year]],0))</f>
        <v>31</v>
      </c>
      <c r="H510" s="21">
        <v>45779</v>
      </c>
      <c r="I510" s="41">
        <f>IFERROR(VLOOKUP(TA[[#This Row],[Date]],Raw_Data[[Date]:[Sunset Time (POA&lt;20 W/m2)]],3,0),"")</f>
        <v>0.26319444444444445</v>
      </c>
      <c r="J510" s="41">
        <f>IFERROR(VLOOKUP(TA[[#This Row],[Date]],Raw_Data[[Date]:[Sunset Time (POA&lt;20 W/m2)]],4,0),"")</f>
        <v>0.76875000000000004</v>
      </c>
      <c r="K510" s="35">
        <f>IFERROR((TA[[#This Row],[Sunset Time (POA&lt;20 W/m2)]]-TA[[#This Row],[Sunrise Time (POA&gt;20 W/m2)]])*24,"")</f>
        <v>12.133333333333333</v>
      </c>
      <c r="L510" s="2" t="s">
        <v>296</v>
      </c>
      <c r="M510" s="42">
        <f>IFERROR(VLOOKUP(TA[[#This Row],[Affected Equipment]],'Basic Data'!$I$2:$K$40,3,0),"")</f>
        <v>8.6206896551724102E-3</v>
      </c>
      <c r="N510">
        <v>-28</v>
      </c>
      <c r="O510" t="s">
        <v>134</v>
      </c>
      <c r="P510" s="22" t="s">
        <v>330</v>
      </c>
      <c r="Q510" s="2" t="s">
        <v>323</v>
      </c>
      <c r="R510">
        <v>30</v>
      </c>
      <c r="S510" s="2">
        <v>57</v>
      </c>
      <c r="T510" t="s">
        <v>297</v>
      </c>
      <c r="U510" t="s">
        <v>326</v>
      </c>
      <c r="V510" t="s">
        <v>301</v>
      </c>
      <c r="W510" s="41"/>
      <c r="X510" s="41"/>
      <c r="Y510" s="34"/>
      <c r="Z510" s="34"/>
      <c r="AA510" s="35">
        <f>IF(TA[[#This Row],[Work Start time on Fault]]="NA","",(TA[[#This Row],[Fault Acknowledgement Time ]]-TA[[#This Row],[Fault Time]])*24)</f>
        <v>0</v>
      </c>
      <c r="AB510" s="35">
        <f>(TA[[#This Row],[Work Start time on Fault]]-TA[[#This Row],[Fault Time]])*24</f>
        <v>0</v>
      </c>
      <c r="AC510" s="34">
        <f>(TA[[#This Row],[Work Completion time on fault]]-TA[[#This Row],[Fault Time]])*24</f>
        <v>0</v>
      </c>
      <c r="AD510" s="35">
        <f>IFERROR((TA[[#This Row],[Work Completion time on fault]]-TA[[#This Row],[Fault Time]])*24,"")</f>
        <v>0</v>
      </c>
      <c r="AE510" t="s">
        <v>328</v>
      </c>
      <c r="AF510" t="s">
        <v>256</v>
      </c>
      <c r="AG510" s="2"/>
      <c r="AH510" s="44">
        <f>1-COS(RADIANS(TA[[#This Row],[Avg. Target Angle during Fault Time (Radians)]]-TA[[#This Row],[Angle of affected equipment ]]))</f>
        <v>0.11705240714107301</v>
      </c>
      <c r="AI510" s="35">
        <f>IFERROR(TA[[#This Row],[Breakdown Time]]*TA[[#This Row],[Plant Equivalent Weightage]],"")</f>
        <v>0</v>
      </c>
    </row>
    <row r="511" spans="1:35">
      <c r="A511" s="2">
        <f t="shared" si="26"/>
        <v>508</v>
      </c>
      <c r="B511" s="156">
        <f t="shared" si="24"/>
        <v>2026</v>
      </c>
      <c r="C511" s="129">
        <f t="shared" si="25"/>
        <v>2025</v>
      </c>
      <c r="D511" s="2" t="s">
        <v>155</v>
      </c>
      <c r="E511" s="2" t="s">
        <v>155</v>
      </c>
      <c r="F511" s="39">
        <v>45778</v>
      </c>
      <c r="G511" s="2">
        <f>DAY(EOMONTH(TA[[#This Row],[Month Year]],0))</f>
        <v>31</v>
      </c>
      <c r="H511" s="21">
        <v>45779</v>
      </c>
      <c r="I511" s="41">
        <f>IFERROR(VLOOKUP(TA[[#This Row],[Date]],Raw_Data[[Date]:[Sunset Time (POA&lt;20 W/m2)]],3,0),"")</f>
        <v>0.26319444444444445</v>
      </c>
      <c r="J511" s="41">
        <f>IFERROR(VLOOKUP(TA[[#This Row],[Date]],Raw_Data[[Date]:[Sunset Time (POA&lt;20 W/m2)]],4,0),"")</f>
        <v>0.76875000000000004</v>
      </c>
      <c r="K511" s="35">
        <f>IFERROR((TA[[#This Row],[Sunset Time (POA&lt;20 W/m2)]]-TA[[#This Row],[Sunrise Time (POA&gt;20 W/m2)]])*24,"")</f>
        <v>12.133333333333333</v>
      </c>
      <c r="L511" s="2" t="s">
        <v>296</v>
      </c>
      <c r="M511" s="42">
        <f>IFERROR(VLOOKUP(TA[[#This Row],[Affected Equipment]],'Basic Data'!$I$2:$K$40,3,0),"")</f>
        <v>8.6206896551724102E-3</v>
      </c>
      <c r="N511">
        <v>-28</v>
      </c>
      <c r="O511" t="s">
        <v>134</v>
      </c>
      <c r="P511" s="22" t="s">
        <v>330</v>
      </c>
      <c r="Q511" s="2" t="s">
        <v>323</v>
      </c>
      <c r="R511">
        <v>31</v>
      </c>
      <c r="S511" s="2">
        <v>61</v>
      </c>
      <c r="T511" t="s">
        <v>297</v>
      </c>
      <c r="U511" t="s">
        <v>326</v>
      </c>
      <c r="V511" t="s">
        <v>301</v>
      </c>
      <c r="W511" s="41"/>
      <c r="X511" s="41"/>
      <c r="Y511" s="34"/>
      <c r="Z511" s="34"/>
      <c r="AA511" s="35">
        <f>IF(TA[[#This Row],[Work Start time on Fault]]="NA","",(TA[[#This Row],[Fault Acknowledgement Time ]]-TA[[#This Row],[Fault Time]])*24)</f>
        <v>0</v>
      </c>
      <c r="AB511" s="35">
        <f>(TA[[#This Row],[Work Start time on Fault]]-TA[[#This Row],[Fault Time]])*24</f>
        <v>0</v>
      </c>
      <c r="AC511" s="34">
        <f>(TA[[#This Row],[Work Completion time on fault]]-TA[[#This Row],[Fault Time]])*24</f>
        <v>0</v>
      </c>
      <c r="AD511" s="35">
        <f>IFERROR((TA[[#This Row],[Work Completion time on fault]]-TA[[#This Row],[Fault Time]])*24,"")</f>
        <v>0</v>
      </c>
      <c r="AE511" t="s">
        <v>328</v>
      </c>
      <c r="AF511" t="s">
        <v>256</v>
      </c>
      <c r="AG511" s="2"/>
      <c r="AH511" s="44">
        <f>1-COS(RADIANS(TA[[#This Row],[Avg. Target Angle during Fault Time (Radians)]]-TA[[#This Row],[Angle of affected equipment ]]))</f>
        <v>0.11705240714107301</v>
      </c>
      <c r="AI511" s="35">
        <f>IFERROR(TA[[#This Row],[Breakdown Time]]*TA[[#This Row],[Plant Equivalent Weightage]],"")</f>
        <v>0</v>
      </c>
    </row>
    <row r="512" spans="1:35">
      <c r="A512" s="2">
        <f t="shared" si="26"/>
        <v>509</v>
      </c>
      <c r="B512" s="156">
        <f t="shared" si="24"/>
        <v>2026</v>
      </c>
      <c r="C512" s="129">
        <f t="shared" si="25"/>
        <v>2025</v>
      </c>
      <c r="D512" s="2" t="s">
        <v>155</v>
      </c>
      <c r="E512" s="2" t="s">
        <v>155</v>
      </c>
      <c r="F512" s="39">
        <v>45778</v>
      </c>
      <c r="G512" s="2">
        <f>DAY(EOMONTH(TA[[#This Row],[Month Year]],0))</f>
        <v>31</v>
      </c>
      <c r="H512" s="21">
        <v>45779</v>
      </c>
      <c r="I512" s="41">
        <f>IFERROR(VLOOKUP(TA[[#This Row],[Date]],Raw_Data[[Date]:[Sunset Time (POA&lt;20 W/m2)]],3,0),"")</f>
        <v>0.26319444444444445</v>
      </c>
      <c r="J512" s="41">
        <f>IFERROR(VLOOKUP(TA[[#This Row],[Date]],Raw_Data[[Date]:[Sunset Time (POA&lt;20 W/m2)]],4,0),"")</f>
        <v>0.76875000000000004</v>
      </c>
      <c r="K512" s="35">
        <f>IFERROR((TA[[#This Row],[Sunset Time (POA&lt;20 W/m2)]]-TA[[#This Row],[Sunrise Time (POA&gt;20 W/m2)]])*24,"")</f>
        <v>12.133333333333333</v>
      </c>
      <c r="L512" s="2" t="s">
        <v>312</v>
      </c>
      <c r="M512" s="42">
        <f>IFERROR(VLOOKUP(TA[[#This Row],[Affected Equipment]],'Basic Data'!$I$2:$K$40,3,0),"")</f>
        <v>5.74712643678161E-3</v>
      </c>
      <c r="N512">
        <v>-28</v>
      </c>
      <c r="O512" t="s">
        <v>133</v>
      </c>
      <c r="P512" s="22" t="s">
        <v>330</v>
      </c>
      <c r="Q512" s="2" t="s">
        <v>323</v>
      </c>
      <c r="R512">
        <v>26</v>
      </c>
      <c r="S512" s="2">
        <v>37</v>
      </c>
      <c r="T512" t="s">
        <v>297</v>
      </c>
      <c r="U512" t="s">
        <v>326</v>
      </c>
      <c r="V512" t="s">
        <v>301</v>
      </c>
      <c r="W512" s="41"/>
      <c r="X512" s="41"/>
      <c r="Y512" s="34"/>
      <c r="Z512" s="34"/>
      <c r="AA512" s="35">
        <f>IF(TA[[#This Row],[Work Start time on Fault]]="NA","",(TA[[#This Row],[Fault Acknowledgement Time ]]-TA[[#This Row],[Fault Time]])*24)</f>
        <v>0</v>
      </c>
      <c r="AB512" s="35">
        <f>(TA[[#This Row],[Work Start time on Fault]]-TA[[#This Row],[Fault Time]])*24</f>
        <v>0</v>
      </c>
      <c r="AC512" s="34">
        <f>(TA[[#This Row],[Work Completion time on fault]]-TA[[#This Row],[Fault Time]])*24</f>
        <v>0</v>
      </c>
      <c r="AD512" s="35">
        <f>IFERROR((TA[[#This Row],[Work Completion time on fault]]-TA[[#This Row],[Fault Time]])*24,"")</f>
        <v>0</v>
      </c>
      <c r="AE512" t="s">
        <v>328</v>
      </c>
      <c r="AF512" t="s">
        <v>256</v>
      </c>
      <c r="AG512" s="2"/>
      <c r="AH512" s="44">
        <f>1-COS(RADIANS(TA[[#This Row],[Avg. Target Angle during Fault Time (Radians)]]-TA[[#This Row],[Angle of affected equipment ]]))</f>
        <v>0.11705240714107301</v>
      </c>
      <c r="AI512" s="35">
        <f>IFERROR(TA[[#This Row],[Breakdown Time]]*TA[[#This Row],[Plant Equivalent Weightage]],"")</f>
        <v>0</v>
      </c>
    </row>
    <row r="513" spans="1:35">
      <c r="A513" s="2">
        <f t="shared" si="26"/>
        <v>510</v>
      </c>
      <c r="B513" s="156">
        <f t="shared" si="24"/>
        <v>2026</v>
      </c>
      <c r="C513" s="129">
        <f t="shared" si="25"/>
        <v>2025</v>
      </c>
      <c r="D513" s="2" t="s">
        <v>155</v>
      </c>
      <c r="E513" s="2" t="s">
        <v>155</v>
      </c>
      <c r="F513" s="39">
        <v>45778</v>
      </c>
      <c r="G513" s="2">
        <f>DAY(EOMONTH(TA[[#This Row],[Month Year]],0))</f>
        <v>31</v>
      </c>
      <c r="H513" s="21">
        <v>45779</v>
      </c>
      <c r="I513" s="41">
        <f>IFERROR(VLOOKUP(TA[[#This Row],[Date]],Raw_Data[[Date]:[Sunset Time (POA&lt;20 W/m2)]],3,0),"")</f>
        <v>0.26319444444444445</v>
      </c>
      <c r="J513" s="41">
        <f>IFERROR(VLOOKUP(TA[[#This Row],[Date]],Raw_Data[[Date]:[Sunset Time (POA&lt;20 W/m2)]],4,0),"")</f>
        <v>0.76875000000000004</v>
      </c>
      <c r="K513" s="35">
        <f>IFERROR((TA[[#This Row],[Sunset Time (POA&lt;20 W/m2)]]-TA[[#This Row],[Sunrise Time (POA&gt;20 W/m2)]])*24,"")</f>
        <v>12.133333333333333</v>
      </c>
      <c r="L513" s="2" t="s">
        <v>312</v>
      </c>
      <c r="M513" s="42">
        <f>IFERROR(VLOOKUP(TA[[#This Row],[Affected Equipment]],'Basic Data'!$I$2:$K$40,3,0),"")</f>
        <v>5.74712643678161E-3</v>
      </c>
      <c r="N513">
        <v>-28</v>
      </c>
      <c r="O513" t="s">
        <v>133</v>
      </c>
      <c r="P513" s="22" t="s">
        <v>330</v>
      </c>
      <c r="Q513" s="2" t="s">
        <v>323</v>
      </c>
      <c r="R513">
        <v>27</v>
      </c>
      <c r="S513" s="2">
        <v>42</v>
      </c>
      <c r="T513" t="s">
        <v>297</v>
      </c>
      <c r="U513" t="s">
        <v>326</v>
      </c>
      <c r="V513" t="s">
        <v>301</v>
      </c>
      <c r="W513" s="41">
        <f>IFERROR(VLOOKUP(TA[[#This Row],[Date]],Raw_Data[[Date]:[Sunset Time (POA&lt;20 W/m2)]],3,0),"")</f>
        <v>0.26319444444444445</v>
      </c>
      <c r="X513" s="41">
        <f>IFERROR(VLOOKUP(TA[[#This Row],[Date]],Raw_Data[[Date]:[Sunset Time (POA&lt;20 W/m2)]],3,0),"")</f>
        <v>0.26319444444444445</v>
      </c>
      <c r="Y513" s="34"/>
      <c r="Z513" s="34">
        <v>0.76041666666666663</v>
      </c>
      <c r="AA513" s="35">
        <f>IF(TA[[#This Row],[Work Start time on Fault]]="NA","",(TA[[#This Row],[Fault Acknowledgement Time ]]-TA[[#This Row],[Fault Time]])*24)</f>
        <v>0</v>
      </c>
      <c r="AB513" s="35">
        <f>(TA[[#This Row],[Work Start time on Fault]]-TA[[#This Row],[Fault Time]])*24</f>
        <v>-6.3166666666666664</v>
      </c>
      <c r="AC513" s="34">
        <f>(TA[[#This Row],[Work Completion time on fault]]-TA[[#This Row],[Fault Time]])*24</f>
        <v>11.933333333333332</v>
      </c>
      <c r="AD513" s="35">
        <f>IFERROR((TA[[#This Row],[Work Completion time on fault]]-TA[[#This Row],[Fault Time]])*24,"")</f>
        <v>11.933333333333332</v>
      </c>
      <c r="AE513" t="s">
        <v>309</v>
      </c>
      <c r="AF513" t="s">
        <v>256</v>
      </c>
      <c r="AG513" s="2"/>
      <c r="AH513" s="44">
        <f>1-COS(RADIANS(TA[[#This Row],[Avg. Target Angle during Fault Time (Radians)]]-TA[[#This Row],[Angle of affected equipment ]]))</f>
        <v>0.11705240714107301</v>
      </c>
      <c r="AI513" s="35">
        <f>IFERROR(TA[[#This Row],[Breakdown Time]]*TA[[#This Row],[Plant Equivalent Weightage]],"")</f>
        <v>6.8582375478927204E-2</v>
      </c>
    </row>
    <row r="514" spans="1:35">
      <c r="A514" s="2">
        <f t="shared" si="26"/>
        <v>511</v>
      </c>
      <c r="B514" s="156">
        <f t="shared" si="24"/>
        <v>2026</v>
      </c>
      <c r="C514" s="129">
        <f t="shared" si="25"/>
        <v>2025</v>
      </c>
      <c r="D514" s="2" t="s">
        <v>155</v>
      </c>
      <c r="E514" s="2" t="s">
        <v>155</v>
      </c>
      <c r="F514" s="39">
        <v>45778</v>
      </c>
      <c r="G514" s="2">
        <f>DAY(EOMONTH(TA[[#This Row],[Month Year]],0))</f>
        <v>31</v>
      </c>
      <c r="H514" s="21">
        <v>45780</v>
      </c>
      <c r="I514" s="41">
        <f>IFERROR(VLOOKUP(TA[[#This Row],[Date]],Raw_Data[[Date]:[Sunset Time (POA&lt;20 W/m2)]],3,0),"")</f>
        <v>0.25416666666666665</v>
      </c>
      <c r="J514" s="41">
        <f>IFERROR(VLOOKUP(TA[[#This Row],[Date]],Raw_Data[[Date]:[Sunset Time (POA&lt;20 W/m2)]],4,0),"")</f>
        <v>0.76944444444444449</v>
      </c>
      <c r="K514" s="35">
        <f>IFERROR((TA[[#This Row],[Sunset Time (POA&lt;20 W/m2)]]-TA[[#This Row],[Sunrise Time (POA&gt;20 W/m2)]])*24,"")</f>
        <v>12.366666666666667</v>
      </c>
      <c r="L514" s="2" t="s">
        <v>294</v>
      </c>
      <c r="M514" s="42">
        <f>IFERROR(VLOOKUP(TA[[#This Row],[Affected Equipment]],'Basic Data'!$I$2:$K$40,3,0),"")</f>
        <v>1.7241379310344799E-3</v>
      </c>
      <c r="N514">
        <v>-28</v>
      </c>
      <c r="O514" t="s">
        <v>135</v>
      </c>
      <c r="P514" s="127" t="s">
        <v>318</v>
      </c>
      <c r="Q514" s="126" t="s">
        <v>318</v>
      </c>
      <c r="R514">
        <v>130</v>
      </c>
      <c r="S514" s="2">
        <v>37</v>
      </c>
      <c r="T514" t="s">
        <v>295</v>
      </c>
      <c r="U514" t="s">
        <v>300</v>
      </c>
      <c r="V514" t="s">
        <v>298</v>
      </c>
      <c r="W514" s="41"/>
      <c r="X514" s="41"/>
      <c r="Y514" s="34"/>
      <c r="Z514" s="34"/>
      <c r="AA514" s="35">
        <f>IF(TA[[#This Row],[Work Start time on Fault]]="NA","",(TA[[#This Row],[Fault Acknowledgement Time ]]-TA[[#This Row],[Fault Time]])*24)</f>
        <v>0</v>
      </c>
      <c r="AB514" s="35">
        <f>(TA[[#This Row],[Work Start time on Fault]]-TA[[#This Row],[Fault Time]])*24</f>
        <v>0</v>
      </c>
      <c r="AC514" s="34">
        <f>(TA[[#This Row],[Work Completion time on fault]]-TA[[#This Row],[Fault Time]])*24</f>
        <v>0</v>
      </c>
      <c r="AD514" s="35">
        <f>IFERROR((TA[[#This Row],[Work Completion time on fault]]-TA[[#This Row],[Fault Time]])*24,"")</f>
        <v>0</v>
      </c>
      <c r="AE514" t="s">
        <v>328</v>
      </c>
      <c r="AF514" t="s">
        <v>256</v>
      </c>
      <c r="AG514" s="2"/>
      <c r="AH514" s="44">
        <f>1-COS(RADIANS(TA[[#This Row],[Avg. Target Angle during Fault Time (Radians)]]-TA[[#This Row],[Angle of affected equipment ]]))</f>
        <v>0.11705240714107301</v>
      </c>
      <c r="AI514" s="35">
        <f>IFERROR(TA[[#This Row],[Breakdown Time]]*TA[[#This Row],[Plant Equivalent Weightage]],"")</f>
        <v>0</v>
      </c>
    </row>
    <row r="515" spans="1:35">
      <c r="A515" s="2">
        <f t="shared" si="26"/>
        <v>512</v>
      </c>
      <c r="B515" s="156">
        <f t="shared" si="24"/>
        <v>2026</v>
      </c>
      <c r="C515" s="129">
        <f t="shared" si="25"/>
        <v>2025</v>
      </c>
      <c r="D515" s="2" t="s">
        <v>155</v>
      </c>
      <c r="E515" s="2" t="s">
        <v>155</v>
      </c>
      <c r="F515" s="39">
        <v>45778</v>
      </c>
      <c r="G515" s="2">
        <f>DAY(EOMONTH(TA[[#This Row],[Month Year]],0))</f>
        <v>31</v>
      </c>
      <c r="H515" s="21">
        <v>45780</v>
      </c>
      <c r="I515" s="41">
        <f>IFERROR(VLOOKUP(TA[[#This Row],[Date]],Raw_Data[[Date]:[Sunset Time (POA&lt;20 W/m2)]],3,0),"")</f>
        <v>0.25416666666666665</v>
      </c>
      <c r="J515" s="41">
        <f>IFERROR(VLOOKUP(TA[[#This Row],[Date]],Raw_Data[[Date]:[Sunset Time (POA&lt;20 W/m2)]],4,0),"")</f>
        <v>0.76944444444444449</v>
      </c>
      <c r="K515" s="35">
        <f>IFERROR((TA[[#This Row],[Sunset Time (POA&lt;20 W/m2)]]-TA[[#This Row],[Sunrise Time (POA&gt;20 W/m2)]])*24,"")</f>
        <v>12.366666666666667</v>
      </c>
      <c r="L515" s="2" t="s">
        <v>294</v>
      </c>
      <c r="M515" s="42">
        <f>IFERROR(VLOOKUP(TA[[#This Row],[Affected Equipment]],'Basic Data'!$I$2:$K$40,3,0),"")</f>
        <v>1.7241379310344799E-3</v>
      </c>
      <c r="N515">
        <v>-28</v>
      </c>
      <c r="O515" t="s">
        <v>135</v>
      </c>
      <c r="P515" s="127" t="s">
        <v>318</v>
      </c>
      <c r="Q515" s="126" t="s">
        <v>318</v>
      </c>
      <c r="R515">
        <v>131</v>
      </c>
      <c r="S515" s="2">
        <v>38</v>
      </c>
      <c r="T515" t="s">
        <v>295</v>
      </c>
      <c r="U515" t="s">
        <v>300</v>
      </c>
      <c r="V515" t="s">
        <v>298</v>
      </c>
      <c r="W515" s="41"/>
      <c r="X515" s="41"/>
      <c r="Y515" s="34"/>
      <c r="Z515" s="34"/>
      <c r="AA515" s="35">
        <f>IF(TA[[#This Row],[Work Start time on Fault]]="NA","",(TA[[#This Row],[Fault Acknowledgement Time ]]-TA[[#This Row],[Fault Time]])*24)</f>
        <v>0</v>
      </c>
      <c r="AB515" s="35">
        <f>(TA[[#This Row],[Work Start time on Fault]]-TA[[#This Row],[Fault Time]])*24</f>
        <v>0</v>
      </c>
      <c r="AC515" s="34">
        <f>(TA[[#This Row],[Work Completion time on fault]]-TA[[#This Row],[Fault Time]])*24</f>
        <v>0</v>
      </c>
      <c r="AD515" s="35">
        <f>IFERROR((TA[[#This Row],[Work Completion time on fault]]-TA[[#This Row],[Fault Time]])*24,"")</f>
        <v>0</v>
      </c>
      <c r="AE515" t="s">
        <v>328</v>
      </c>
      <c r="AF515" t="s">
        <v>256</v>
      </c>
      <c r="AG515" s="2"/>
      <c r="AH515" s="44">
        <f>1-COS(RADIANS(TA[[#This Row],[Avg. Target Angle during Fault Time (Radians)]]-TA[[#This Row],[Angle of affected equipment ]]))</f>
        <v>0.11705240714107301</v>
      </c>
      <c r="AI515" s="35">
        <f>IFERROR(TA[[#This Row],[Breakdown Time]]*TA[[#This Row],[Plant Equivalent Weightage]],"")</f>
        <v>0</v>
      </c>
    </row>
    <row r="516" spans="1:35">
      <c r="A516" s="2">
        <f t="shared" si="26"/>
        <v>513</v>
      </c>
      <c r="B516" s="156">
        <f t="shared" si="24"/>
        <v>2026</v>
      </c>
      <c r="C516" s="129">
        <f t="shared" si="25"/>
        <v>2025</v>
      </c>
      <c r="D516" s="2" t="s">
        <v>155</v>
      </c>
      <c r="E516" s="2" t="s">
        <v>155</v>
      </c>
      <c r="F516" s="39">
        <v>45778</v>
      </c>
      <c r="G516" s="2">
        <f>DAY(EOMONTH(TA[[#This Row],[Month Year]],0))</f>
        <v>31</v>
      </c>
      <c r="H516" s="21">
        <v>45780</v>
      </c>
      <c r="I516" s="41">
        <f>IFERROR(VLOOKUP(TA[[#This Row],[Date]],Raw_Data[[Date]:[Sunset Time (POA&lt;20 W/m2)]],3,0),"")</f>
        <v>0.25416666666666665</v>
      </c>
      <c r="J516" s="41">
        <f>IFERROR(VLOOKUP(TA[[#This Row],[Date]],Raw_Data[[Date]:[Sunset Time (POA&lt;20 W/m2)]],4,0),"")</f>
        <v>0.76944444444444449</v>
      </c>
      <c r="K516" s="35">
        <f>IFERROR((TA[[#This Row],[Sunset Time (POA&lt;20 W/m2)]]-TA[[#This Row],[Sunrise Time (POA&gt;20 W/m2)]])*24,"")</f>
        <v>12.366666666666667</v>
      </c>
      <c r="L516" s="2" t="s">
        <v>294</v>
      </c>
      <c r="M516" s="42">
        <f>IFERROR(VLOOKUP(TA[[#This Row],[Affected Equipment]],'Basic Data'!$I$2:$K$40,3,0),"")</f>
        <v>1.7241379310344799E-3</v>
      </c>
      <c r="N516">
        <v>-28</v>
      </c>
      <c r="O516" t="s">
        <v>135</v>
      </c>
      <c r="P516" s="127" t="s">
        <v>318</v>
      </c>
      <c r="Q516" s="126" t="s">
        <v>318</v>
      </c>
      <c r="R516">
        <v>131</v>
      </c>
      <c r="S516" s="2">
        <v>39</v>
      </c>
      <c r="T516" t="s">
        <v>295</v>
      </c>
      <c r="U516" t="s">
        <v>300</v>
      </c>
      <c r="V516" t="s">
        <v>298</v>
      </c>
      <c r="W516" s="41"/>
      <c r="X516" s="41"/>
      <c r="Y516" s="34"/>
      <c r="Z516" s="34"/>
      <c r="AA516" s="35">
        <f>IF(TA[[#This Row],[Work Start time on Fault]]="NA","",(TA[[#This Row],[Fault Acknowledgement Time ]]-TA[[#This Row],[Fault Time]])*24)</f>
        <v>0</v>
      </c>
      <c r="AB516" s="35">
        <f>(TA[[#This Row],[Work Start time on Fault]]-TA[[#This Row],[Fault Time]])*24</f>
        <v>0</v>
      </c>
      <c r="AC516" s="34">
        <f>(TA[[#This Row],[Work Completion time on fault]]-TA[[#This Row],[Fault Time]])*24</f>
        <v>0</v>
      </c>
      <c r="AD516" s="35">
        <f>IFERROR((TA[[#This Row],[Work Completion time on fault]]-TA[[#This Row],[Fault Time]])*24,"")</f>
        <v>0</v>
      </c>
      <c r="AE516" t="s">
        <v>328</v>
      </c>
      <c r="AF516" t="s">
        <v>256</v>
      </c>
      <c r="AG516" s="2"/>
      <c r="AH516" s="44">
        <f>1-COS(RADIANS(TA[[#This Row],[Avg. Target Angle during Fault Time (Radians)]]-TA[[#This Row],[Angle of affected equipment ]]))</f>
        <v>0.11705240714107301</v>
      </c>
      <c r="AI516" s="35">
        <f>IFERROR(TA[[#This Row],[Breakdown Time]]*TA[[#This Row],[Plant Equivalent Weightage]],"")</f>
        <v>0</v>
      </c>
    </row>
    <row r="517" spans="1:35">
      <c r="A517" s="2">
        <f t="shared" si="26"/>
        <v>514</v>
      </c>
      <c r="B517" s="156">
        <f t="shared" ref="B517:B577" si="27">YEAR(H517)+IF(MONTH(H517)&gt;=4,1,0)</f>
        <v>2026</v>
      </c>
      <c r="C517" s="129">
        <f t="shared" ref="C517:C577" si="28">YEAR(H517)</f>
        <v>2025</v>
      </c>
      <c r="D517" s="2" t="s">
        <v>155</v>
      </c>
      <c r="E517" s="2" t="s">
        <v>155</v>
      </c>
      <c r="F517" s="39">
        <v>45778</v>
      </c>
      <c r="G517" s="2">
        <f>DAY(EOMONTH(TA[[#This Row],[Month Year]],0))</f>
        <v>31</v>
      </c>
      <c r="H517" s="21">
        <v>45780</v>
      </c>
      <c r="I517" s="41">
        <f>IFERROR(VLOOKUP(TA[[#This Row],[Date]],Raw_Data[[Date]:[Sunset Time (POA&lt;20 W/m2)]],3,0),"")</f>
        <v>0.25416666666666665</v>
      </c>
      <c r="J517" s="41">
        <f>IFERROR(VLOOKUP(TA[[#This Row],[Date]],Raw_Data[[Date]:[Sunset Time (POA&lt;20 W/m2)]],4,0),"")</f>
        <v>0.76944444444444449</v>
      </c>
      <c r="K517" s="35">
        <f>IFERROR((TA[[#This Row],[Sunset Time (POA&lt;20 W/m2)]]-TA[[#This Row],[Sunrise Time (POA&gt;20 W/m2)]])*24,"")</f>
        <v>12.366666666666667</v>
      </c>
      <c r="L517" s="2" t="s">
        <v>296</v>
      </c>
      <c r="M517" s="42">
        <f>IFERROR(VLOOKUP(TA[[#This Row],[Affected Equipment]],'Basic Data'!$I$2:$K$40,3,0),"")</f>
        <v>8.6206896551724102E-3</v>
      </c>
      <c r="N517">
        <v>-28</v>
      </c>
      <c r="O517" t="s">
        <v>135</v>
      </c>
      <c r="P517" s="127" t="s">
        <v>318</v>
      </c>
      <c r="Q517" s="2" t="s">
        <v>321</v>
      </c>
      <c r="R517">
        <v>133</v>
      </c>
      <c r="S517" s="2">
        <v>26</v>
      </c>
      <c r="T517" t="s">
        <v>297</v>
      </c>
      <c r="U517" t="s">
        <v>300</v>
      </c>
      <c r="V517" t="s">
        <v>314</v>
      </c>
      <c r="W517" s="41">
        <f>IFERROR(VLOOKUP(TA[[#This Row],[Date]],Raw_Data[[Date]:[Sunset Time (POA&lt;20 W/m2)]],3,0),"")</f>
        <v>0.25416666666666665</v>
      </c>
      <c r="X517" s="41">
        <f>IFERROR(VLOOKUP(TA[[#This Row],[Date]],Raw_Data[[Date]:[Sunset Time (POA&lt;20 W/m2)]],3,0),"")</f>
        <v>0.25416666666666665</v>
      </c>
      <c r="Y517" s="34"/>
      <c r="Z517" s="34">
        <v>0.76041666666666663</v>
      </c>
      <c r="AA517" s="35">
        <f>IF(TA[[#This Row],[Work Start time on Fault]]="NA","",(TA[[#This Row],[Fault Acknowledgement Time ]]-TA[[#This Row],[Fault Time]])*24)</f>
        <v>0</v>
      </c>
      <c r="AB517" s="35">
        <f>(TA[[#This Row],[Work Start time on Fault]]-TA[[#This Row],[Fault Time]])*24</f>
        <v>-6.1</v>
      </c>
      <c r="AC517" s="34">
        <f>(TA[[#This Row],[Work Completion time on fault]]-TA[[#This Row],[Fault Time]])*24</f>
        <v>12.149999999999999</v>
      </c>
      <c r="AD517" s="35">
        <f>IFERROR((TA[[#This Row],[Work Completion time on fault]]-TA[[#This Row],[Fault Time]])*24,"")</f>
        <v>12.149999999999999</v>
      </c>
      <c r="AE517" t="s">
        <v>328</v>
      </c>
      <c r="AF517" t="s">
        <v>256</v>
      </c>
      <c r="AG517" s="2"/>
      <c r="AH517" s="44">
        <f>1-COS(RADIANS(TA[[#This Row],[Avg. Target Angle during Fault Time (Radians)]]-TA[[#This Row],[Angle of affected equipment ]]))</f>
        <v>0.11705240714107301</v>
      </c>
      <c r="AI517" s="35">
        <f>IFERROR(TA[[#This Row],[Breakdown Time]]*TA[[#This Row],[Plant Equivalent Weightage]],"")</f>
        <v>0.10474137931034477</v>
      </c>
    </row>
    <row r="518" spans="1:35">
      <c r="A518" s="2">
        <f t="shared" si="26"/>
        <v>515</v>
      </c>
      <c r="B518" s="156">
        <f t="shared" si="27"/>
        <v>2026</v>
      </c>
      <c r="C518" s="129">
        <f t="shared" si="28"/>
        <v>2025</v>
      </c>
      <c r="D518" s="2" t="s">
        <v>155</v>
      </c>
      <c r="E518" s="2" t="s">
        <v>155</v>
      </c>
      <c r="F518" s="39">
        <v>45778</v>
      </c>
      <c r="G518" s="2">
        <f>DAY(EOMONTH(TA[[#This Row],[Month Year]],0))</f>
        <v>31</v>
      </c>
      <c r="H518" s="21">
        <v>45780</v>
      </c>
      <c r="I518" s="41">
        <f>IFERROR(VLOOKUP(TA[[#This Row],[Date]],Raw_Data[[Date]:[Sunset Time (POA&lt;20 W/m2)]],3,0),"")</f>
        <v>0.25416666666666665</v>
      </c>
      <c r="J518" s="41">
        <f>IFERROR(VLOOKUP(TA[[#This Row],[Date]],Raw_Data[[Date]:[Sunset Time (POA&lt;20 W/m2)]],4,0),"")</f>
        <v>0.76944444444444449</v>
      </c>
      <c r="K518" s="35">
        <f>IFERROR((TA[[#This Row],[Sunset Time (POA&lt;20 W/m2)]]-TA[[#This Row],[Sunrise Time (POA&gt;20 W/m2)]])*24,"")</f>
        <v>12.366666666666667</v>
      </c>
      <c r="L518" s="2" t="s">
        <v>294</v>
      </c>
      <c r="M518" s="42">
        <f>IFERROR(VLOOKUP(TA[[#This Row],[Affected Equipment]],'Basic Data'!$I$2:$K$40,3,0),"")</f>
        <v>1.7241379310344799E-3</v>
      </c>
      <c r="N518">
        <v>-28</v>
      </c>
      <c r="O518" t="s">
        <v>133</v>
      </c>
      <c r="P518" s="127" t="s">
        <v>316</v>
      </c>
      <c r="Q518" s="126" t="s">
        <v>317</v>
      </c>
      <c r="R518">
        <v>7</v>
      </c>
      <c r="S518" s="2">
        <v>32</v>
      </c>
      <c r="T518" t="s">
        <v>295</v>
      </c>
      <c r="U518" t="s">
        <v>300</v>
      </c>
      <c r="V518" t="s">
        <v>298</v>
      </c>
      <c r="W518" s="41"/>
      <c r="X518" s="41"/>
      <c r="Y518" s="34"/>
      <c r="Z518" s="34"/>
      <c r="AA518" s="35">
        <f>IF(TA[[#This Row],[Work Start time on Fault]]="NA","",(TA[[#This Row],[Fault Acknowledgement Time ]]-TA[[#This Row],[Fault Time]])*24)</f>
        <v>0</v>
      </c>
      <c r="AB518" s="35">
        <f>(TA[[#This Row],[Work Start time on Fault]]-TA[[#This Row],[Fault Time]])*24</f>
        <v>0</v>
      </c>
      <c r="AC518" s="34">
        <f>(TA[[#This Row],[Work Completion time on fault]]-TA[[#This Row],[Fault Time]])*24</f>
        <v>0</v>
      </c>
      <c r="AD518" s="35">
        <f>IFERROR((TA[[#This Row],[Work Completion time on fault]]-TA[[#This Row],[Fault Time]])*24,"")</f>
        <v>0</v>
      </c>
      <c r="AE518" t="s">
        <v>328</v>
      </c>
      <c r="AF518" t="s">
        <v>256</v>
      </c>
      <c r="AG518" s="2"/>
      <c r="AH518" s="44">
        <f>1-COS(RADIANS(TA[[#This Row],[Avg. Target Angle during Fault Time (Radians)]]-TA[[#This Row],[Angle of affected equipment ]]))</f>
        <v>0.11705240714107301</v>
      </c>
      <c r="AI518" s="35">
        <f>IFERROR(TA[[#This Row],[Breakdown Time]]*TA[[#This Row],[Plant Equivalent Weightage]],"")</f>
        <v>0</v>
      </c>
    </row>
    <row r="519" spans="1:35">
      <c r="A519" s="2">
        <f t="shared" si="26"/>
        <v>516</v>
      </c>
      <c r="B519" s="156">
        <f t="shared" si="27"/>
        <v>2026</v>
      </c>
      <c r="C519" s="129">
        <f t="shared" si="28"/>
        <v>2025</v>
      </c>
      <c r="D519" s="2" t="s">
        <v>155</v>
      </c>
      <c r="E519" s="2" t="s">
        <v>155</v>
      </c>
      <c r="F519" s="39">
        <v>45778</v>
      </c>
      <c r="G519" s="2">
        <f>DAY(EOMONTH(TA[[#This Row],[Month Year]],0))</f>
        <v>31</v>
      </c>
      <c r="H519" s="21">
        <v>45780</v>
      </c>
      <c r="I519" s="41">
        <f>IFERROR(VLOOKUP(TA[[#This Row],[Date]],Raw_Data[[Date]:[Sunset Time (POA&lt;20 W/m2)]],3,0),"")</f>
        <v>0.25416666666666665</v>
      </c>
      <c r="J519" s="41">
        <f>IFERROR(VLOOKUP(TA[[#This Row],[Date]],Raw_Data[[Date]:[Sunset Time (POA&lt;20 W/m2)]],4,0),"")</f>
        <v>0.76944444444444449</v>
      </c>
      <c r="K519" s="35">
        <f>IFERROR((TA[[#This Row],[Sunset Time (POA&lt;20 W/m2)]]-TA[[#This Row],[Sunrise Time (POA&gt;20 W/m2)]])*24,"")</f>
        <v>12.366666666666667</v>
      </c>
      <c r="L519" s="2" t="s">
        <v>294</v>
      </c>
      <c r="M519" s="42">
        <f>IFERROR(VLOOKUP(TA[[#This Row],[Affected Equipment]],'Basic Data'!$I$2:$K$40,3,0),"")</f>
        <v>1.7241379310344799E-3</v>
      </c>
      <c r="N519">
        <v>-28</v>
      </c>
      <c r="O519" t="s">
        <v>137</v>
      </c>
      <c r="P519" s="127" t="s">
        <v>315</v>
      </c>
      <c r="Q519" s="126" t="s">
        <v>319</v>
      </c>
      <c r="R519">
        <v>166</v>
      </c>
      <c r="S519" s="2">
        <v>91</v>
      </c>
      <c r="T519" t="s">
        <v>295</v>
      </c>
      <c r="U519" t="s">
        <v>300</v>
      </c>
      <c r="V519" t="s">
        <v>298</v>
      </c>
      <c r="W519" s="41"/>
      <c r="X519" s="41"/>
      <c r="Y519" s="34"/>
      <c r="Z519" s="34"/>
      <c r="AA519" s="35">
        <f>IF(TA[[#This Row],[Work Start time on Fault]]="NA","",(TA[[#This Row],[Fault Acknowledgement Time ]]-TA[[#This Row],[Fault Time]])*24)</f>
        <v>0</v>
      </c>
      <c r="AB519" s="35">
        <f>(TA[[#This Row],[Work Start time on Fault]]-TA[[#This Row],[Fault Time]])*24</f>
        <v>0</v>
      </c>
      <c r="AC519" s="34">
        <f>(TA[[#This Row],[Work Completion time on fault]]-TA[[#This Row],[Fault Time]])*24</f>
        <v>0</v>
      </c>
      <c r="AD519" s="35">
        <f>IFERROR((TA[[#This Row],[Work Completion time on fault]]-TA[[#This Row],[Fault Time]])*24,"")</f>
        <v>0</v>
      </c>
      <c r="AE519" t="s">
        <v>328</v>
      </c>
      <c r="AF519" t="s">
        <v>256</v>
      </c>
      <c r="AG519" s="2"/>
      <c r="AH519" s="44">
        <f>1-COS(RADIANS(TA[[#This Row],[Avg. Target Angle during Fault Time (Radians)]]-TA[[#This Row],[Angle of affected equipment ]]))</f>
        <v>0.11705240714107301</v>
      </c>
      <c r="AI519" s="35">
        <f>IFERROR(TA[[#This Row],[Breakdown Time]]*TA[[#This Row],[Plant Equivalent Weightage]],"")</f>
        <v>0</v>
      </c>
    </row>
    <row r="520" spans="1:35">
      <c r="A520" s="2">
        <f t="shared" si="26"/>
        <v>517</v>
      </c>
      <c r="B520" s="156">
        <f t="shared" si="27"/>
        <v>2026</v>
      </c>
      <c r="C520" s="129">
        <f t="shared" si="28"/>
        <v>2025</v>
      </c>
      <c r="D520" s="2" t="s">
        <v>155</v>
      </c>
      <c r="E520" s="2" t="s">
        <v>155</v>
      </c>
      <c r="F520" s="39">
        <v>45778</v>
      </c>
      <c r="G520" s="2">
        <f>DAY(EOMONTH(TA[[#This Row],[Month Year]],0))</f>
        <v>31</v>
      </c>
      <c r="H520" s="21">
        <v>45780</v>
      </c>
      <c r="I520" s="41">
        <f>IFERROR(VLOOKUP(TA[[#This Row],[Date]],Raw_Data[[Date]:[Sunset Time (POA&lt;20 W/m2)]],3,0),"")</f>
        <v>0.25416666666666665</v>
      </c>
      <c r="J520" s="41">
        <f>IFERROR(VLOOKUP(TA[[#This Row],[Date]],Raw_Data[[Date]:[Sunset Time (POA&lt;20 W/m2)]],4,0),"")</f>
        <v>0.76944444444444449</v>
      </c>
      <c r="K520" s="35">
        <f>IFERROR((TA[[#This Row],[Sunset Time (POA&lt;20 W/m2)]]-TA[[#This Row],[Sunrise Time (POA&gt;20 W/m2)]])*24,"")</f>
        <v>12.366666666666667</v>
      </c>
      <c r="L520" s="2" t="s">
        <v>294</v>
      </c>
      <c r="M520" s="42">
        <f>IFERROR(VLOOKUP(TA[[#This Row],[Affected Equipment]],'Basic Data'!$I$2:$K$40,3,0),"")</f>
        <v>1.7241379310344799E-3</v>
      </c>
      <c r="N520">
        <v>-28</v>
      </c>
      <c r="O520" t="s">
        <v>133</v>
      </c>
      <c r="P520" s="127" t="s">
        <v>316</v>
      </c>
      <c r="Q520" s="126" t="s">
        <v>316</v>
      </c>
      <c r="R520">
        <v>117</v>
      </c>
      <c r="S520" s="2">
        <v>20</v>
      </c>
      <c r="T520" t="s">
        <v>295</v>
      </c>
      <c r="U520" t="s">
        <v>300</v>
      </c>
      <c r="V520" t="s">
        <v>298</v>
      </c>
      <c r="W520" s="41"/>
      <c r="X520" s="41"/>
      <c r="Y520" s="34"/>
      <c r="Z520" s="34"/>
      <c r="AA520" s="35">
        <f>IF(TA[[#This Row],[Work Start time on Fault]]="NA","",(TA[[#This Row],[Fault Acknowledgement Time ]]-TA[[#This Row],[Fault Time]])*24)</f>
        <v>0</v>
      </c>
      <c r="AB520" s="35">
        <f>(TA[[#This Row],[Work Start time on Fault]]-TA[[#This Row],[Fault Time]])*24</f>
        <v>0</v>
      </c>
      <c r="AC520" s="34">
        <f>(TA[[#This Row],[Work Completion time on fault]]-TA[[#This Row],[Fault Time]])*24</f>
        <v>0</v>
      </c>
      <c r="AD520" s="35">
        <f>IFERROR((TA[[#This Row],[Work Completion time on fault]]-TA[[#This Row],[Fault Time]])*24,"")</f>
        <v>0</v>
      </c>
      <c r="AE520" t="s">
        <v>328</v>
      </c>
      <c r="AF520" t="s">
        <v>256</v>
      </c>
      <c r="AG520" s="2"/>
      <c r="AH520" s="44">
        <f>1-COS(RADIANS(TA[[#This Row],[Avg. Target Angle during Fault Time (Radians)]]-TA[[#This Row],[Angle of affected equipment ]]))</f>
        <v>0.11705240714107301</v>
      </c>
      <c r="AI520" s="35">
        <f>IFERROR(TA[[#This Row],[Breakdown Time]]*TA[[#This Row],[Plant Equivalent Weightage]],"")</f>
        <v>0</v>
      </c>
    </row>
    <row r="521" spans="1:35">
      <c r="A521" s="2">
        <f t="shared" si="26"/>
        <v>518</v>
      </c>
      <c r="B521" s="156">
        <f t="shared" si="27"/>
        <v>2026</v>
      </c>
      <c r="C521" s="129">
        <f t="shared" si="28"/>
        <v>2025</v>
      </c>
      <c r="D521" s="2" t="s">
        <v>155</v>
      </c>
      <c r="E521" s="2" t="s">
        <v>155</v>
      </c>
      <c r="F521" s="39">
        <v>45778</v>
      </c>
      <c r="G521" s="2">
        <f>DAY(EOMONTH(TA[[#This Row],[Month Year]],0))</f>
        <v>31</v>
      </c>
      <c r="H521" s="21">
        <v>45780</v>
      </c>
      <c r="I521" s="41">
        <f>IFERROR(VLOOKUP(TA[[#This Row],[Date]],Raw_Data[[Date]:[Sunset Time (POA&lt;20 W/m2)]],3,0),"")</f>
        <v>0.25416666666666665</v>
      </c>
      <c r="J521" s="41">
        <f>IFERROR(VLOOKUP(TA[[#This Row],[Date]],Raw_Data[[Date]:[Sunset Time (POA&lt;20 W/m2)]],4,0),"")</f>
        <v>0.76944444444444449</v>
      </c>
      <c r="K521" s="35">
        <f>IFERROR((TA[[#This Row],[Sunset Time (POA&lt;20 W/m2)]]-TA[[#This Row],[Sunrise Time (POA&gt;20 W/m2)]])*24,"")</f>
        <v>12.366666666666667</v>
      </c>
      <c r="L521" s="2" t="s">
        <v>294</v>
      </c>
      <c r="M521" s="42">
        <f>IFERROR(VLOOKUP(TA[[#This Row],[Affected Equipment]],'Basic Data'!$I$2:$K$40,3,0),"")</f>
        <v>1.7241379310344799E-3</v>
      </c>
      <c r="N521">
        <v>-28</v>
      </c>
      <c r="O521" t="s">
        <v>133</v>
      </c>
      <c r="P521" s="127" t="s">
        <v>316</v>
      </c>
      <c r="Q521" s="126" t="s">
        <v>316</v>
      </c>
      <c r="R521">
        <v>118</v>
      </c>
      <c r="S521" s="2">
        <v>22</v>
      </c>
      <c r="T521" t="s">
        <v>295</v>
      </c>
      <c r="U521" t="s">
        <v>300</v>
      </c>
      <c r="V521" t="s">
        <v>298</v>
      </c>
      <c r="W521" s="41"/>
      <c r="X521" s="41"/>
      <c r="Y521" s="34"/>
      <c r="Z521" s="34"/>
      <c r="AA521" s="35">
        <f>IF(TA[[#This Row],[Work Start time on Fault]]="NA","",(TA[[#This Row],[Fault Acknowledgement Time ]]-TA[[#This Row],[Fault Time]])*24)</f>
        <v>0</v>
      </c>
      <c r="AB521" s="35">
        <f>(TA[[#This Row],[Work Start time on Fault]]-TA[[#This Row],[Fault Time]])*24</f>
        <v>0</v>
      </c>
      <c r="AC521" s="34">
        <f>(TA[[#This Row],[Work Completion time on fault]]-TA[[#This Row],[Fault Time]])*24</f>
        <v>0</v>
      </c>
      <c r="AD521" s="35">
        <f>IFERROR((TA[[#This Row],[Work Completion time on fault]]-TA[[#This Row],[Fault Time]])*24,"")</f>
        <v>0</v>
      </c>
      <c r="AE521" t="s">
        <v>328</v>
      </c>
      <c r="AF521" t="s">
        <v>256</v>
      </c>
      <c r="AG521" s="2"/>
      <c r="AH521" s="44">
        <f>1-COS(RADIANS(TA[[#This Row],[Avg. Target Angle during Fault Time (Radians)]]-TA[[#This Row],[Angle of affected equipment ]]))</f>
        <v>0.11705240714107301</v>
      </c>
      <c r="AI521" s="35">
        <f>IFERROR(TA[[#This Row],[Breakdown Time]]*TA[[#This Row],[Plant Equivalent Weightage]],"")</f>
        <v>0</v>
      </c>
    </row>
    <row r="522" spans="1:35">
      <c r="A522" s="2">
        <f t="shared" si="26"/>
        <v>519</v>
      </c>
      <c r="B522" s="156">
        <f t="shared" si="27"/>
        <v>2026</v>
      </c>
      <c r="C522" s="129">
        <f t="shared" si="28"/>
        <v>2025</v>
      </c>
      <c r="D522" s="2" t="s">
        <v>155</v>
      </c>
      <c r="E522" s="2" t="s">
        <v>155</v>
      </c>
      <c r="F522" s="39">
        <v>45778</v>
      </c>
      <c r="G522" s="2">
        <f>DAY(EOMONTH(TA[[#This Row],[Month Year]],0))</f>
        <v>31</v>
      </c>
      <c r="H522" s="21">
        <v>45780</v>
      </c>
      <c r="I522" s="41">
        <f>IFERROR(VLOOKUP(TA[[#This Row],[Date]],Raw_Data[[Date]:[Sunset Time (POA&lt;20 W/m2)]],3,0),"")</f>
        <v>0.25416666666666665</v>
      </c>
      <c r="J522" s="41">
        <f>IFERROR(VLOOKUP(TA[[#This Row],[Date]],Raw_Data[[Date]:[Sunset Time (POA&lt;20 W/m2)]],4,0),"")</f>
        <v>0.76944444444444449</v>
      </c>
      <c r="K522" s="35">
        <f>IFERROR((TA[[#This Row],[Sunset Time (POA&lt;20 W/m2)]]-TA[[#This Row],[Sunrise Time (POA&gt;20 W/m2)]])*24,"")</f>
        <v>12.366666666666667</v>
      </c>
      <c r="L522" s="2" t="s">
        <v>296</v>
      </c>
      <c r="M522" s="42">
        <f>IFERROR(VLOOKUP(TA[[#This Row],[Affected Equipment]],'Basic Data'!$I$2:$K$40,3,0),"")</f>
        <v>8.6206896551724102E-3</v>
      </c>
      <c r="N522">
        <v>-28</v>
      </c>
      <c r="O522" t="s">
        <v>135</v>
      </c>
      <c r="P522" s="22" t="s">
        <v>323</v>
      </c>
      <c r="Q522" s="2" t="s">
        <v>329</v>
      </c>
      <c r="R522">
        <v>45</v>
      </c>
      <c r="S522" s="2">
        <v>8</v>
      </c>
      <c r="T522" t="s">
        <v>297</v>
      </c>
      <c r="U522" t="s">
        <v>326</v>
      </c>
      <c r="V522" t="s">
        <v>301</v>
      </c>
      <c r="W522" s="41"/>
      <c r="X522" s="41"/>
      <c r="Y522" s="34"/>
      <c r="Z522" s="34"/>
      <c r="AA522" s="35">
        <f>IF(TA[[#This Row],[Work Start time on Fault]]="NA","",(TA[[#This Row],[Fault Acknowledgement Time ]]-TA[[#This Row],[Fault Time]])*24)</f>
        <v>0</v>
      </c>
      <c r="AB522" s="35">
        <f>(TA[[#This Row],[Work Start time on Fault]]-TA[[#This Row],[Fault Time]])*24</f>
        <v>0</v>
      </c>
      <c r="AC522" s="34">
        <f>(TA[[#This Row],[Work Completion time on fault]]-TA[[#This Row],[Fault Time]])*24</f>
        <v>0</v>
      </c>
      <c r="AD522" s="35">
        <f>IFERROR((TA[[#This Row],[Work Completion time on fault]]-TA[[#This Row],[Fault Time]])*24,"")</f>
        <v>0</v>
      </c>
      <c r="AE522" t="s">
        <v>328</v>
      </c>
      <c r="AF522" t="s">
        <v>256</v>
      </c>
      <c r="AG522" s="2"/>
      <c r="AH522" s="44">
        <f>1-COS(RADIANS(TA[[#This Row],[Avg. Target Angle during Fault Time (Radians)]]-TA[[#This Row],[Angle of affected equipment ]]))</f>
        <v>0.11705240714107301</v>
      </c>
      <c r="AI522" s="35">
        <f>IFERROR(TA[[#This Row],[Breakdown Time]]*TA[[#This Row],[Plant Equivalent Weightage]],"")</f>
        <v>0</v>
      </c>
    </row>
    <row r="523" spans="1:35">
      <c r="A523" s="2">
        <f t="shared" si="26"/>
        <v>520</v>
      </c>
      <c r="B523" s="156">
        <f t="shared" si="27"/>
        <v>2026</v>
      </c>
      <c r="C523" s="129">
        <f t="shared" si="28"/>
        <v>2025</v>
      </c>
      <c r="D523" s="2" t="s">
        <v>155</v>
      </c>
      <c r="E523" s="2" t="s">
        <v>155</v>
      </c>
      <c r="F523" s="39">
        <v>45778</v>
      </c>
      <c r="G523" s="2">
        <f>DAY(EOMONTH(TA[[#This Row],[Month Year]],0))</f>
        <v>31</v>
      </c>
      <c r="H523" s="21">
        <v>45780</v>
      </c>
      <c r="I523" s="41">
        <f>IFERROR(VLOOKUP(TA[[#This Row],[Date]],Raw_Data[[Date]:[Sunset Time (POA&lt;20 W/m2)]],3,0),"")</f>
        <v>0.25416666666666665</v>
      </c>
      <c r="J523" s="41">
        <f>IFERROR(VLOOKUP(TA[[#This Row],[Date]],Raw_Data[[Date]:[Sunset Time (POA&lt;20 W/m2)]],4,0),"")</f>
        <v>0.76944444444444449</v>
      </c>
      <c r="K523" s="35">
        <f>IFERROR((TA[[#This Row],[Sunset Time (POA&lt;20 W/m2)]]-TA[[#This Row],[Sunrise Time (POA&gt;20 W/m2)]])*24,"")</f>
        <v>12.366666666666667</v>
      </c>
      <c r="L523" s="2" t="s">
        <v>296</v>
      </c>
      <c r="M523" s="42">
        <f>IFERROR(VLOOKUP(TA[[#This Row],[Affected Equipment]],'Basic Data'!$I$2:$K$40,3,0),"")</f>
        <v>8.6206896551724102E-3</v>
      </c>
      <c r="N523">
        <v>-28</v>
      </c>
      <c r="O523" t="s">
        <v>135</v>
      </c>
      <c r="P523" s="22" t="s">
        <v>323</v>
      </c>
      <c r="Q523" s="2" t="s">
        <v>329</v>
      </c>
      <c r="R523">
        <v>47</v>
      </c>
      <c r="S523" s="2">
        <v>18</v>
      </c>
      <c r="T523" t="s">
        <v>297</v>
      </c>
      <c r="U523" t="s">
        <v>326</v>
      </c>
      <c r="V523" t="s">
        <v>301</v>
      </c>
      <c r="W523" s="41"/>
      <c r="X523" s="41"/>
      <c r="Y523" s="34"/>
      <c r="Z523" s="34"/>
      <c r="AA523" s="35">
        <f>IF(TA[[#This Row],[Work Start time on Fault]]="NA","",(TA[[#This Row],[Fault Acknowledgement Time ]]-TA[[#This Row],[Fault Time]])*24)</f>
        <v>0</v>
      </c>
      <c r="AB523" s="35">
        <f>(TA[[#This Row],[Work Start time on Fault]]-TA[[#This Row],[Fault Time]])*24</f>
        <v>0</v>
      </c>
      <c r="AC523" s="34">
        <f>(TA[[#This Row],[Work Completion time on fault]]-TA[[#This Row],[Fault Time]])*24</f>
        <v>0</v>
      </c>
      <c r="AD523" s="35">
        <f>IFERROR((TA[[#This Row],[Work Completion time on fault]]-TA[[#This Row],[Fault Time]])*24,"")</f>
        <v>0</v>
      </c>
      <c r="AE523" t="s">
        <v>328</v>
      </c>
      <c r="AF523" t="s">
        <v>256</v>
      </c>
      <c r="AG523" s="2"/>
      <c r="AH523" s="44">
        <f>1-COS(RADIANS(TA[[#This Row],[Avg. Target Angle during Fault Time (Radians)]]-TA[[#This Row],[Angle of affected equipment ]]))</f>
        <v>0.11705240714107301</v>
      </c>
      <c r="AI523" s="35">
        <f>IFERROR(TA[[#This Row],[Breakdown Time]]*TA[[#This Row],[Plant Equivalent Weightage]],"")</f>
        <v>0</v>
      </c>
    </row>
    <row r="524" spans="1:35">
      <c r="A524" s="2">
        <f t="shared" si="26"/>
        <v>521</v>
      </c>
      <c r="B524" s="156">
        <f t="shared" si="27"/>
        <v>2026</v>
      </c>
      <c r="C524" s="129">
        <f t="shared" si="28"/>
        <v>2025</v>
      </c>
      <c r="D524" s="2" t="s">
        <v>155</v>
      </c>
      <c r="E524" s="2" t="s">
        <v>155</v>
      </c>
      <c r="F524" s="39">
        <v>45778</v>
      </c>
      <c r="G524" s="2">
        <f>DAY(EOMONTH(TA[[#This Row],[Month Year]],0))</f>
        <v>31</v>
      </c>
      <c r="H524" s="21">
        <v>45780</v>
      </c>
      <c r="I524" s="41">
        <f>IFERROR(VLOOKUP(TA[[#This Row],[Date]],Raw_Data[[Date]:[Sunset Time (POA&lt;20 W/m2)]],3,0),"")</f>
        <v>0.25416666666666665</v>
      </c>
      <c r="J524" s="41">
        <f>IFERROR(VLOOKUP(TA[[#This Row],[Date]],Raw_Data[[Date]:[Sunset Time (POA&lt;20 W/m2)]],4,0),"")</f>
        <v>0.76944444444444449</v>
      </c>
      <c r="K524" s="35">
        <f>IFERROR((TA[[#This Row],[Sunset Time (POA&lt;20 W/m2)]]-TA[[#This Row],[Sunrise Time (POA&gt;20 W/m2)]])*24,"")</f>
        <v>12.366666666666667</v>
      </c>
      <c r="L524" s="2" t="s">
        <v>296</v>
      </c>
      <c r="M524" s="42">
        <f>IFERROR(VLOOKUP(TA[[#This Row],[Affected Equipment]],'Basic Data'!$I$2:$K$40,3,0),"")</f>
        <v>8.6206896551724102E-3</v>
      </c>
      <c r="N524">
        <v>-28</v>
      </c>
      <c r="O524" t="s">
        <v>134</v>
      </c>
      <c r="P524" s="22" t="s">
        <v>330</v>
      </c>
      <c r="Q524" s="2" t="s">
        <v>323</v>
      </c>
      <c r="R524">
        <v>30</v>
      </c>
      <c r="S524" s="2">
        <v>57</v>
      </c>
      <c r="T524" t="s">
        <v>297</v>
      </c>
      <c r="U524" t="s">
        <v>326</v>
      </c>
      <c r="V524" t="s">
        <v>301</v>
      </c>
      <c r="W524" s="41"/>
      <c r="X524" s="41"/>
      <c r="Y524" s="34"/>
      <c r="Z524" s="34"/>
      <c r="AA524" s="35">
        <f>IF(TA[[#This Row],[Work Start time on Fault]]="NA","",(TA[[#This Row],[Fault Acknowledgement Time ]]-TA[[#This Row],[Fault Time]])*24)</f>
        <v>0</v>
      </c>
      <c r="AB524" s="35">
        <f>(TA[[#This Row],[Work Start time on Fault]]-TA[[#This Row],[Fault Time]])*24</f>
        <v>0</v>
      </c>
      <c r="AC524" s="34">
        <f>(TA[[#This Row],[Work Completion time on fault]]-TA[[#This Row],[Fault Time]])*24</f>
        <v>0</v>
      </c>
      <c r="AD524" s="35">
        <f>IFERROR((TA[[#This Row],[Work Completion time on fault]]-TA[[#This Row],[Fault Time]])*24,"")</f>
        <v>0</v>
      </c>
      <c r="AE524" t="s">
        <v>328</v>
      </c>
      <c r="AF524" t="s">
        <v>256</v>
      </c>
      <c r="AG524" s="2"/>
      <c r="AH524" s="44">
        <f>1-COS(RADIANS(TA[[#This Row],[Avg. Target Angle during Fault Time (Radians)]]-TA[[#This Row],[Angle of affected equipment ]]))</f>
        <v>0.11705240714107301</v>
      </c>
      <c r="AI524" s="35">
        <f>IFERROR(TA[[#This Row],[Breakdown Time]]*TA[[#This Row],[Plant Equivalent Weightage]],"")</f>
        <v>0</v>
      </c>
    </row>
    <row r="525" spans="1:35">
      <c r="A525" s="2">
        <f t="shared" si="26"/>
        <v>522</v>
      </c>
      <c r="B525" s="156">
        <f t="shared" si="27"/>
        <v>2026</v>
      </c>
      <c r="C525" s="129">
        <f t="shared" si="28"/>
        <v>2025</v>
      </c>
      <c r="D525" s="2" t="s">
        <v>155</v>
      </c>
      <c r="E525" s="2" t="s">
        <v>155</v>
      </c>
      <c r="F525" s="39">
        <v>45778</v>
      </c>
      <c r="G525" s="2">
        <f>DAY(EOMONTH(TA[[#This Row],[Month Year]],0))</f>
        <v>31</v>
      </c>
      <c r="H525" s="21">
        <v>45780</v>
      </c>
      <c r="I525" s="41">
        <f>IFERROR(VLOOKUP(TA[[#This Row],[Date]],Raw_Data[[Date]:[Sunset Time (POA&lt;20 W/m2)]],3,0),"")</f>
        <v>0.25416666666666665</v>
      </c>
      <c r="J525" s="41">
        <f>IFERROR(VLOOKUP(TA[[#This Row],[Date]],Raw_Data[[Date]:[Sunset Time (POA&lt;20 W/m2)]],4,0),"")</f>
        <v>0.76944444444444449</v>
      </c>
      <c r="K525" s="35">
        <f>IFERROR((TA[[#This Row],[Sunset Time (POA&lt;20 W/m2)]]-TA[[#This Row],[Sunrise Time (POA&gt;20 W/m2)]])*24,"")</f>
        <v>12.366666666666667</v>
      </c>
      <c r="L525" s="2" t="s">
        <v>296</v>
      </c>
      <c r="M525" s="42">
        <f>IFERROR(VLOOKUP(TA[[#This Row],[Affected Equipment]],'Basic Data'!$I$2:$K$40,3,0),"")</f>
        <v>8.6206896551724102E-3</v>
      </c>
      <c r="N525">
        <v>-28</v>
      </c>
      <c r="O525" t="s">
        <v>134</v>
      </c>
      <c r="P525" s="22" t="s">
        <v>330</v>
      </c>
      <c r="Q525" s="2" t="s">
        <v>323</v>
      </c>
      <c r="R525">
        <v>31</v>
      </c>
      <c r="S525" s="2">
        <v>61</v>
      </c>
      <c r="T525" t="s">
        <v>297</v>
      </c>
      <c r="U525" t="s">
        <v>326</v>
      </c>
      <c r="V525" t="s">
        <v>301</v>
      </c>
      <c r="W525" s="41"/>
      <c r="X525" s="41"/>
      <c r="Y525" s="34"/>
      <c r="Z525" s="34"/>
      <c r="AA525" s="35">
        <f>IF(TA[[#This Row],[Work Start time on Fault]]="NA","",(TA[[#This Row],[Fault Acknowledgement Time ]]-TA[[#This Row],[Fault Time]])*24)</f>
        <v>0</v>
      </c>
      <c r="AB525" s="35">
        <f>(TA[[#This Row],[Work Start time on Fault]]-TA[[#This Row],[Fault Time]])*24</f>
        <v>0</v>
      </c>
      <c r="AC525" s="34">
        <f>(TA[[#This Row],[Work Completion time on fault]]-TA[[#This Row],[Fault Time]])*24</f>
        <v>0</v>
      </c>
      <c r="AD525" s="35">
        <f>IFERROR((TA[[#This Row],[Work Completion time on fault]]-TA[[#This Row],[Fault Time]])*24,"")</f>
        <v>0</v>
      </c>
      <c r="AE525" t="s">
        <v>328</v>
      </c>
      <c r="AF525" t="s">
        <v>256</v>
      </c>
      <c r="AG525" s="2"/>
      <c r="AH525" s="44">
        <f>1-COS(RADIANS(TA[[#This Row],[Avg. Target Angle during Fault Time (Radians)]]-TA[[#This Row],[Angle of affected equipment ]]))</f>
        <v>0.11705240714107301</v>
      </c>
      <c r="AI525" s="35">
        <f>IFERROR(TA[[#This Row],[Breakdown Time]]*TA[[#This Row],[Plant Equivalent Weightage]],"")</f>
        <v>0</v>
      </c>
    </row>
    <row r="526" spans="1:35">
      <c r="A526" s="2">
        <f t="shared" si="26"/>
        <v>523</v>
      </c>
      <c r="B526" s="156">
        <f t="shared" si="27"/>
        <v>2026</v>
      </c>
      <c r="C526" s="129">
        <f t="shared" si="28"/>
        <v>2025</v>
      </c>
      <c r="D526" s="2" t="s">
        <v>155</v>
      </c>
      <c r="E526" s="2" t="s">
        <v>155</v>
      </c>
      <c r="F526" s="39">
        <v>45778</v>
      </c>
      <c r="G526" s="2">
        <f>DAY(EOMONTH(TA[[#This Row],[Month Year]],0))</f>
        <v>31</v>
      </c>
      <c r="H526" s="21">
        <v>45780</v>
      </c>
      <c r="I526" s="41">
        <f>IFERROR(VLOOKUP(TA[[#This Row],[Date]],Raw_Data[[Date]:[Sunset Time (POA&lt;20 W/m2)]],3,0),"")</f>
        <v>0.25416666666666665</v>
      </c>
      <c r="J526" s="41">
        <f>IFERROR(VLOOKUP(TA[[#This Row],[Date]],Raw_Data[[Date]:[Sunset Time (POA&lt;20 W/m2)]],4,0),"")</f>
        <v>0.76944444444444449</v>
      </c>
      <c r="K526" s="35">
        <f>IFERROR((TA[[#This Row],[Sunset Time (POA&lt;20 W/m2)]]-TA[[#This Row],[Sunrise Time (POA&gt;20 W/m2)]])*24,"")</f>
        <v>12.366666666666667</v>
      </c>
      <c r="L526" s="2" t="s">
        <v>312</v>
      </c>
      <c r="M526" s="42">
        <f>IFERROR(VLOOKUP(TA[[#This Row],[Affected Equipment]],'Basic Data'!$I$2:$K$40,3,0),"")</f>
        <v>5.74712643678161E-3</v>
      </c>
      <c r="N526">
        <v>-28</v>
      </c>
      <c r="O526" t="s">
        <v>133</v>
      </c>
      <c r="P526" s="22" t="s">
        <v>330</v>
      </c>
      <c r="Q526" s="2" t="s">
        <v>323</v>
      </c>
      <c r="R526">
        <v>26</v>
      </c>
      <c r="S526" s="2">
        <v>37</v>
      </c>
      <c r="T526" t="s">
        <v>297</v>
      </c>
      <c r="U526" t="s">
        <v>326</v>
      </c>
      <c r="V526" t="s">
        <v>301</v>
      </c>
      <c r="W526" s="41"/>
      <c r="X526" s="41"/>
      <c r="Y526" s="34"/>
      <c r="Z526" s="34"/>
      <c r="AA526" s="35">
        <f>IF(TA[[#This Row],[Work Start time on Fault]]="NA","",(TA[[#This Row],[Fault Acknowledgement Time ]]-TA[[#This Row],[Fault Time]])*24)</f>
        <v>0</v>
      </c>
      <c r="AB526" s="35">
        <f>(TA[[#This Row],[Work Start time on Fault]]-TA[[#This Row],[Fault Time]])*24</f>
        <v>0</v>
      </c>
      <c r="AC526" s="34">
        <f>(TA[[#This Row],[Work Completion time on fault]]-TA[[#This Row],[Fault Time]])*24</f>
        <v>0</v>
      </c>
      <c r="AD526" s="35">
        <f>IFERROR((TA[[#This Row],[Work Completion time on fault]]-TA[[#This Row],[Fault Time]])*24,"")</f>
        <v>0</v>
      </c>
      <c r="AE526" t="s">
        <v>328</v>
      </c>
      <c r="AF526" t="s">
        <v>256</v>
      </c>
      <c r="AG526" s="2"/>
      <c r="AH526" s="44">
        <f>1-COS(RADIANS(TA[[#This Row],[Avg. Target Angle during Fault Time (Radians)]]-TA[[#This Row],[Angle of affected equipment ]]))</f>
        <v>0.11705240714107301</v>
      </c>
      <c r="AI526" s="35">
        <f>IFERROR(TA[[#This Row],[Breakdown Time]]*TA[[#This Row],[Plant Equivalent Weightage]],"")</f>
        <v>0</v>
      </c>
    </row>
    <row r="527" spans="1:35">
      <c r="A527" s="2">
        <f t="shared" si="26"/>
        <v>524</v>
      </c>
      <c r="B527" s="156">
        <f t="shared" si="27"/>
        <v>2026</v>
      </c>
      <c r="C527" s="129">
        <f t="shared" si="28"/>
        <v>2025</v>
      </c>
      <c r="D527" s="2" t="s">
        <v>155</v>
      </c>
      <c r="E527" s="2" t="s">
        <v>155</v>
      </c>
      <c r="F527" s="39">
        <v>45778</v>
      </c>
      <c r="G527" s="2">
        <f>DAY(EOMONTH(TA[[#This Row],[Month Year]],0))</f>
        <v>31</v>
      </c>
      <c r="H527" s="21">
        <v>45780</v>
      </c>
      <c r="I527" s="41">
        <f>IFERROR(VLOOKUP(TA[[#This Row],[Date]],Raw_Data[[Date]:[Sunset Time (POA&lt;20 W/m2)]],3,0),"")</f>
        <v>0.25416666666666665</v>
      </c>
      <c r="J527" s="41">
        <f>IFERROR(VLOOKUP(TA[[#This Row],[Date]],Raw_Data[[Date]:[Sunset Time (POA&lt;20 W/m2)]],4,0),"")</f>
        <v>0.76944444444444449</v>
      </c>
      <c r="K527" s="35">
        <f>IFERROR((TA[[#This Row],[Sunset Time (POA&lt;20 W/m2)]]-TA[[#This Row],[Sunrise Time (POA&gt;20 W/m2)]])*24,"")</f>
        <v>12.366666666666667</v>
      </c>
      <c r="L527" s="2" t="s">
        <v>312</v>
      </c>
      <c r="M527" s="42">
        <f>IFERROR(VLOOKUP(TA[[#This Row],[Affected Equipment]],'Basic Data'!$I$2:$K$40,3,0),"")</f>
        <v>5.74712643678161E-3</v>
      </c>
      <c r="N527">
        <v>-28</v>
      </c>
      <c r="O527" t="s">
        <v>133</v>
      </c>
      <c r="P527" s="22" t="s">
        <v>330</v>
      </c>
      <c r="Q527" s="2" t="s">
        <v>323</v>
      </c>
      <c r="R527">
        <v>27</v>
      </c>
      <c r="S527" s="2">
        <v>42</v>
      </c>
      <c r="T527" t="s">
        <v>297</v>
      </c>
      <c r="U527" t="s">
        <v>326</v>
      </c>
      <c r="V527" t="s">
        <v>301</v>
      </c>
      <c r="W527" s="41">
        <f>IFERROR(VLOOKUP(TA[[#This Row],[Date]],Raw_Data[[Date]:[Sunset Time (POA&lt;20 W/m2)]],3,0),"")</f>
        <v>0.25416666666666665</v>
      </c>
      <c r="X527" s="41">
        <f>IFERROR(VLOOKUP(TA[[#This Row],[Date]],Raw_Data[[Date]:[Sunset Time (POA&lt;20 W/m2)]],3,0),"")</f>
        <v>0.25416666666666665</v>
      </c>
      <c r="Y527" s="34"/>
      <c r="Z527" s="34">
        <v>0.76041666666666663</v>
      </c>
      <c r="AA527" s="35">
        <f>IF(TA[[#This Row],[Work Start time on Fault]]="NA","",(TA[[#This Row],[Fault Acknowledgement Time ]]-TA[[#This Row],[Fault Time]])*24)</f>
        <v>0</v>
      </c>
      <c r="AB527" s="35">
        <f>(TA[[#This Row],[Work Start time on Fault]]-TA[[#This Row],[Fault Time]])*24</f>
        <v>-6.1</v>
      </c>
      <c r="AC527" s="34">
        <f>(TA[[#This Row],[Work Completion time on fault]]-TA[[#This Row],[Fault Time]])*24</f>
        <v>12.149999999999999</v>
      </c>
      <c r="AD527" s="35">
        <f>IFERROR((TA[[#This Row],[Work Completion time on fault]]-TA[[#This Row],[Fault Time]])*24,"")</f>
        <v>12.149999999999999</v>
      </c>
      <c r="AE527" t="s">
        <v>309</v>
      </c>
      <c r="AF527" t="s">
        <v>256</v>
      </c>
      <c r="AG527" s="2"/>
      <c r="AH527" s="44">
        <f>1-COS(RADIANS(TA[[#This Row],[Avg. Target Angle during Fault Time (Radians)]]-TA[[#This Row],[Angle of affected equipment ]]))</f>
        <v>0.11705240714107301</v>
      </c>
      <c r="AI527" s="35">
        <f>IFERROR(TA[[#This Row],[Breakdown Time]]*TA[[#This Row],[Plant Equivalent Weightage]],"")</f>
        <v>6.9827586206896552E-2</v>
      </c>
    </row>
    <row r="528" spans="1:35">
      <c r="A528" s="2">
        <f t="shared" si="26"/>
        <v>525</v>
      </c>
      <c r="B528" s="156">
        <f t="shared" si="27"/>
        <v>2026</v>
      </c>
      <c r="C528" s="129">
        <f t="shared" si="28"/>
        <v>2025</v>
      </c>
      <c r="D528" s="2" t="s">
        <v>155</v>
      </c>
      <c r="E528" s="2" t="s">
        <v>155</v>
      </c>
      <c r="F528" s="39">
        <v>45778</v>
      </c>
      <c r="G528" s="2">
        <f>DAY(EOMONTH(TA[[#This Row],[Month Year]],0))</f>
        <v>31</v>
      </c>
      <c r="H528" s="21">
        <v>45781</v>
      </c>
      <c r="I528" s="41">
        <f>IFERROR(VLOOKUP(TA[[#This Row],[Date]],Raw_Data[[Date]:[Sunset Time (POA&lt;20 W/m2)]],3,0),"")</f>
        <v>0.25416666666666665</v>
      </c>
      <c r="J528" s="41">
        <f>IFERROR(VLOOKUP(TA[[#This Row],[Date]],Raw_Data[[Date]:[Sunset Time (POA&lt;20 W/m2)]],4,0),"")</f>
        <v>0.77222222222222225</v>
      </c>
      <c r="K528" s="35">
        <f>IFERROR((TA[[#This Row],[Sunset Time (POA&lt;20 W/m2)]]-TA[[#This Row],[Sunrise Time (POA&gt;20 W/m2)]])*24,"")</f>
        <v>12.433333333333334</v>
      </c>
      <c r="L528" s="2" t="s">
        <v>294</v>
      </c>
      <c r="M528" s="42">
        <f>IFERROR(VLOOKUP(TA[[#This Row],[Affected Equipment]],'Basic Data'!$I$2:$K$40,3,0),"")</f>
        <v>1.7241379310344799E-3</v>
      </c>
      <c r="N528">
        <v>-28</v>
      </c>
      <c r="O528" t="s">
        <v>135</v>
      </c>
      <c r="P528" s="127" t="s">
        <v>318</v>
      </c>
      <c r="Q528" s="126" t="s">
        <v>318</v>
      </c>
      <c r="R528">
        <v>130</v>
      </c>
      <c r="S528" s="2">
        <v>37</v>
      </c>
      <c r="T528" t="s">
        <v>295</v>
      </c>
      <c r="U528" t="s">
        <v>300</v>
      </c>
      <c r="V528" t="s">
        <v>298</v>
      </c>
      <c r="W528" s="41"/>
      <c r="X528" s="41"/>
      <c r="Y528" s="34"/>
      <c r="Z528" s="34"/>
      <c r="AA528" s="35">
        <f>IF(TA[[#This Row],[Work Start time on Fault]]="NA","",(TA[[#This Row],[Fault Acknowledgement Time ]]-TA[[#This Row],[Fault Time]])*24)</f>
        <v>0</v>
      </c>
      <c r="AB528" s="35">
        <f>(TA[[#This Row],[Work Start time on Fault]]-TA[[#This Row],[Fault Time]])*24</f>
        <v>0</v>
      </c>
      <c r="AC528" s="34">
        <f>(TA[[#This Row],[Work Completion time on fault]]-TA[[#This Row],[Fault Time]])*24</f>
        <v>0</v>
      </c>
      <c r="AD528" s="35">
        <f>IFERROR((TA[[#This Row],[Work Completion time on fault]]-TA[[#This Row],[Fault Time]])*24,"")</f>
        <v>0</v>
      </c>
      <c r="AE528" t="s">
        <v>328</v>
      </c>
      <c r="AF528" t="s">
        <v>256</v>
      </c>
      <c r="AG528" s="2"/>
      <c r="AH528" s="44">
        <f>1-COS(RADIANS(TA[[#This Row],[Avg. Target Angle during Fault Time (Radians)]]-TA[[#This Row],[Angle of affected equipment ]]))</f>
        <v>0.11705240714107301</v>
      </c>
      <c r="AI528" s="35">
        <f>IFERROR(TA[[#This Row],[Breakdown Time]]*TA[[#This Row],[Plant Equivalent Weightage]],"")</f>
        <v>0</v>
      </c>
    </row>
    <row r="529" spans="1:35">
      <c r="A529" s="2">
        <f t="shared" si="26"/>
        <v>526</v>
      </c>
      <c r="B529" s="156">
        <f t="shared" si="27"/>
        <v>2026</v>
      </c>
      <c r="C529" s="129">
        <f t="shared" si="28"/>
        <v>2025</v>
      </c>
      <c r="D529" s="2" t="s">
        <v>155</v>
      </c>
      <c r="E529" s="2" t="s">
        <v>155</v>
      </c>
      <c r="F529" s="39">
        <v>45778</v>
      </c>
      <c r="G529" s="2">
        <f>DAY(EOMONTH(TA[[#This Row],[Month Year]],0))</f>
        <v>31</v>
      </c>
      <c r="H529" s="21">
        <v>45781</v>
      </c>
      <c r="I529" s="41">
        <f>IFERROR(VLOOKUP(TA[[#This Row],[Date]],Raw_Data[[Date]:[Sunset Time (POA&lt;20 W/m2)]],3,0),"")</f>
        <v>0.25416666666666665</v>
      </c>
      <c r="J529" s="41">
        <f>IFERROR(VLOOKUP(TA[[#This Row],[Date]],Raw_Data[[Date]:[Sunset Time (POA&lt;20 W/m2)]],4,0),"")</f>
        <v>0.77222222222222225</v>
      </c>
      <c r="K529" s="35">
        <f>IFERROR((TA[[#This Row],[Sunset Time (POA&lt;20 W/m2)]]-TA[[#This Row],[Sunrise Time (POA&gt;20 W/m2)]])*24,"")</f>
        <v>12.433333333333334</v>
      </c>
      <c r="L529" s="2" t="s">
        <v>294</v>
      </c>
      <c r="M529" s="42">
        <f>IFERROR(VLOOKUP(TA[[#This Row],[Affected Equipment]],'Basic Data'!$I$2:$K$40,3,0),"")</f>
        <v>1.7241379310344799E-3</v>
      </c>
      <c r="N529">
        <v>-28</v>
      </c>
      <c r="O529" t="s">
        <v>135</v>
      </c>
      <c r="P529" s="127" t="s">
        <v>318</v>
      </c>
      <c r="Q529" s="126" t="s">
        <v>318</v>
      </c>
      <c r="R529">
        <v>131</v>
      </c>
      <c r="S529" s="2">
        <v>38</v>
      </c>
      <c r="T529" t="s">
        <v>295</v>
      </c>
      <c r="U529" t="s">
        <v>300</v>
      </c>
      <c r="V529" t="s">
        <v>298</v>
      </c>
      <c r="W529" s="41"/>
      <c r="X529" s="41"/>
      <c r="Y529" s="34"/>
      <c r="Z529" s="34"/>
      <c r="AA529" s="35">
        <f>IF(TA[[#This Row],[Work Start time on Fault]]="NA","",(TA[[#This Row],[Fault Acknowledgement Time ]]-TA[[#This Row],[Fault Time]])*24)</f>
        <v>0</v>
      </c>
      <c r="AB529" s="35">
        <f>(TA[[#This Row],[Work Start time on Fault]]-TA[[#This Row],[Fault Time]])*24</f>
        <v>0</v>
      </c>
      <c r="AC529" s="34">
        <f>(TA[[#This Row],[Work Completion time on fault]]-TA[[#This Row],[Fault Time]])*24</f>
        <v>0</v>
      </c>
      <c r="AD529" s="35">
        <f>IFERROR((TA[[#This Row],[Work Completion time on fault]]-TA[[#This Row],[Fault Time]])*24,"")</f>
        <v>0</v>
      </c>
      <c r="AE529" t="s">
        <v>328</v>
      </c>
      <c r="AF529" t="s">
        <v>256</v>
      </c>
      <c r="AG529" s="2"/>
      <c r="AH529" s="44">
        <f>1-COS(RADIANS(TA[[#This Row],[Avg. Target Angle during Fault Time (Radians)]]-TA[[#This Row],[Angle of affected equipment ]]))</f>
        <v>0.11705240714107301</v>
      </c>
      <c r="AI529" s="35">
        <f>IFERROR(TA[[#This Row],[Breakdown Time]]*TA[[#This Row],[Plant Equivalent Weightage]],"")</f>
        <v>0</v>
      </c>
    </row>
    <row r="530" spans="1:35">
      <c r="A530" s="2">
        <f t="shared" si="26"/>
        <v>527</v>
      </c>
      <c r="B530" s="156">
        <f t="shared" si="27"/>
        <v>2026</v>
      </c>
      <c r="C530" s="129">
        <f t="shared" si="28"/>
        <v>2025</v>
      </c>
      <c r="D530" s="2" t="s">
        <v>155</v>
      </c>
      <c r="E530" s="2" t="s">
        <v>155</v>
      </c>
      <c r="F530" s="39">
        <v>45778</v>
      </c>
      <c r="G530" s="2">
        <f>DAY(EOMONTH(TA[[#This Row],[Month Year]],0))</f>
        <v>31</v>
      </c>
      <c r="H530" s="21">
        <v>45781</v>
      </c>
      <c r="I530" s="41">
        <f>IFERROR(VLOOKUP(TA[[#This Row],[Date]],Raw_Data[[Date]:[Sunset Time (POA&lt;20 W/m2)]],3,0),"")</f>
        <v>0.25416666666666665</v>
      </c>
      <c r="J530" s="41">
        <f>IFERROR(VLOOKUP(TA[[#This Row],[Date]],Raw_Data[[Date]:[Sunset Time (POA&lt;20 W/m2)]],4,0),"")</f>
        <v>0.77222222222222225</v>
      </c>
      <c r="K530" s="35">
        <f>IFERROR((TA[[#This Row],[Sunset Time (POA&lt;20 W/m2)]]-TA[[#This Row],[Sunrise Time (POA&gt;20 W/m2)]])*24,"")</f>
        <v>12.433333333333334</v>
      </c>
      <c r="L530" s="2" t="s">
        <v>294</v>
      </c>
      <c r="M530" s="42">
        <f>IFERROR(VLOOKUP(TA[[#This Row],[Affected Equipment]],'Basic Data'!$I$2:$K$40,3,0),"")</f>
        <v>1.7241379310344799E-3</v>
      </c>
      <c r="N530">
        <v>-28</v>
      </c>
      <c r="O530" t="s">
        <v>135</v>
      </c>
      <c r="P530" s="127" t="s">
        <v>318</v>
      </c>
      <c r="Q530" s="126" t="s">
        <v>318</v>
      </c>
      <c r="R530">
        <v>131</v>
      </c>
      <c r="S530" s="2">
        <v>39</v>
      </c>
      <c r="T530" t="s">
        <v>295</v>
      </c>
      <c r="U530" t="s">
        <v>300</v>
      </c>
      <c r="V530" t="s">
        <v>298</v>
      </c>
      <c r="W530" s="41"/>
      <c r="X530" s="41"/>
      <c r="Y530" s="34"/>
      <c r="Z530" s="34"/>
      <c r="AA530" s="35">
        <f>IF(TA[[#This Row],[Work Start time on Fault]]="NA","",(TA[[#This Row],[Fault Acknowledgement Time ]]-TA[[#This Row],[Fault Time]])*24)</f>
        <v>0</v>
      </c>
      <c r="AB530" s="35">
        <f>(TA[[#This Row],[Work Start time on Fault]]-TA[[#This Row],[Fault Time]])*24</f>
        <v>0</v>
      </c>
      <c r="AC530" s="34">
        <f>(TA[[#This Row],[Work Completion time on fault]]-TA[[#This Row],[Fault Time]])*24</f>
        <v>0</v>
      </c>
      <c r="AD530" s="35">
        <f>IFERROR((TA[[#This Row],[Work Completion time on fault]]-TA[[#This Row],[Fault Time]])*24,"")</f>
        <v>0</v>
      </c>
      <c r="AE530" t="s">
        <v>328</v>
      </c>
      <c r="AF530" t="s">
        <v>256</v>
      </c>
      <c r="AG530" s="2"/>
      <c r="AH530" s="44">
        <f>1-COS(RADIANS(TA[[#This Row],[Avg. Target Angle during Fault Time (Radians)]]-TA[[#This Row],[Angle of affected equipment ]]))</f>
        <v>0.11705240714107301</v>
      </c>
      <c r="AI530" s="35">
        <f>IFERROR(TA[[#This Row],[Breakdown Time]]*TA[[#This Row],[Plant Equivalent Weightage]],"")</f>
        <v>0</v>
      </c>
    </row>
    <row r="531" spans="1:35">
      <c r="A531" s="2">
        <f t="shared" si="26"/>
        <v>528</v>
      </c>
      <c r="B531" s="156">
        <f t="shared" si="27"/>
        <v>2026</v>
      </c>
      <c r="C531" s="129">
        <f t="shared" si="28"/>
        <v>2025</v>
      </c>
      <c r="D531" s="2" t="s">
        <v>155</v>
      </c>
      <c r="E531" s="2" t="s">
        <v>155</v>
      </c>
      <c r="F531" s="39">
        <v>45778</v>
      </c>
      <c r="G531" s="2">
        <f>DAY(EOMONTH(TA[[#This Row],[Month Year]],0))</f>
        <v>31</v>
      </c>
      <c r="H531" s="21">
        <v>45781</v>
      </c>
      <c r="I531" s="41">
        <f>IFERROR(VLOOKUP(TA[[#This Row],[Date]],Raw_Data[[Date]:[Sunset Time (POA&lt;20 W/m2)]],3,0),"")</f>
        <v>0.25416666666666665</v>
      </c>
      <c r="J531" s="41">
        <f>IFERROR(VLOOKUP(TA[[#This Row],[Date]],Raw_Data[[Date]:[Sunset Time (POA&lt;20 W/m2)]],4,0),"")</f>
        <v>0.77222222222222225</v>
      </c>
      <c r="K531" s="35">
        <f>IFERROR((TA[[#This Row],[Sunset Time (POA&lt;20 W/m2)]]-TA[[#This Row],[Sunrise Time (POA&gt;20 W/m2)]])*24,"")</f>
        <v>12.433333333333334</v>
      </c>
      <c r="L531" s="2" t="s">
        <v>296</v>
      </c>
      <c r="M531" s="42">
        <f>IFERROR(VLOOKUP(TA[[#This Row],[Affected Equipment]],'Basic Data'!$I$2:$K$40,3,0),"")</f>
        <v>8.6206896551724102E-3</v>
      </c>
      <c r="N531">
        <v>-28</v>
      </c>
      <c r="O531" t="s">
        <v>135</v>
      </c>
      <c r="P531" s="127" t="s">
        <v>318</v>
      </c>
      <c r="Q531" s="2" t="s">
        <v>321</v>
      </c>
      <c r="R531">
        <v>133</v>
      </c>
      <c r="S531" s="2">
        <v>26</v>
      </c>
      <c r="T531" t="s">
        <v>297</v>
      </c>
      <c r="U531" t="s">
        <v>300</v>
      </c>
      <c r="V531" t="s">
        <v>314</v>
      </c>
      <c r="W531" s="41">
        <f>IFERROR(VLOOKUP(TA[[#This Row],[Date]],Raw_Data[[Date]:[Sunset Time (POA&lt;20 W/m2)]],3,0),"")</f>
        <v>0.25416666666666665</v>
      </c>
      <c r="X531" s="41">
        <f>IFERROR(VLOOKUP(TA[[#This Row],[Date]],Raw_Data[[Date]:[Sunset Time (POA&lt;20 W/m2)]],3,0),"")</f>
        <v>0.25416666666666665</v>
      </c>
      <c r="Y531" s="34"/>
      <c r="Z531" s="34">
        <v>0.76041666666666663</v>
      </c>
      <c r="AA531" s="35">
        <f>IF(TA[[#This Row],[Work Start time on Fault]]="NA","",(TA[[#This Row],[Fault Acknowledgement Time ]]-TA[[#This Row],[Fault Time]])*24)</f>
        <v>0</v>
      </c>
      <c r="AB531" s="35">
        <f>(TA[[#This Row],[Work Start time on Fault]]-TA[[#This Row],[Fault Time]])*24</f>
        <v>-6.1</v>
      </c>
      <c r="AC531" s="34">
        <f>(TA[[#This Row],[Work Completion time on fault]]-TA[[#This Row],[Fault Time]])*24</f>
        <v>12.149999999999999</v>
      </c>
      <c r="AD531" s="35">
        <f>IFERROR((TA[[#This Row],[Work Completion time on fault]]-TA[[#This Row],[Fault Time]])*24,"")</f>
        <v>12.149999999999999</v>
      </c>
      <c r="AE531" t="s">
        <v>328</v>
      </c>
      <c r="AF531" t="s">
        <v>256</v>
      </c>
      <c r="AG531" s="2"/>
      <c r="AH531" s="44">
        <f>1-COS(RADIANS(TA[[#This Row],[Avg. Target Angle during Fault Time (Radians)]]-TA[[#This Row],[Angle of affected equipment ]]))</f>
        <v>0.11705240714107301</v>
      </c>
      <c r="AI531" s="35">
        <f>IFERROR(TA[[#This Row],[Breakdown Time]]*TA[[#This Row],[Plant Equivalent Weightage]],"")</f>
        <v>0.10474137931034477</v>
      </c>
    </row>
    <row r="532" spans="1:35">
      <c r="A532" s="2">
        <f t="shared" si="26"/>
        <v>529</v>
      </c>
      <c r="B532" s="156">
        <f t="shared" si="27"/>
        <v>2026</v>
      </c>
      <c r="C532" s="129">
        <f t="shared" si="28"/>
        <v>2025</v>
      </c>
      <c r="D532" s="2" t="s">
        <v>155</v>
      </c>
      <c r="E532" s="2" t="s">
        <v>155</v>
      </c>
      <c r="F532" s="39">
        <v>45778</v>
      </c>
      <c r="G532" s="2">
        <f>DAY(EOMONTH(TA[[#This Row],[Month Year]],0))</f>
        <v>31</v>
      </c>
      <c r="H532" s="21">
        <v>45781</v>
      </c>
      <c r="I532" s="41">
        <f>IFERROR(VLOOKUP(TA[[#This Row],[Date]],Raw_Data[[Date]:[Sunset Time (POA&lt;20 W/m2)]],3,0),"")</f>
        <v>0.25416666666666665</v>
      </c>
      <c r="J532" s="41">
        <f>IFERROR(VLOOKUP(TA[[#This Row],[Date]],Raw_Data[[Date]:[Sunset Time (POA&lt;20 W/m2)]],4,0),"")</f>
        <v>0.77222222222222225</v>
      </c>
      <c r="K532" s="35">
        <f>IFERROR((TA[[#This Row],[Sunset Time (POA&lt;20 W/m2)]]-TA[[#This Row],[Sunrise Time (POA&gt;20 W/m2)]])*24,"")</f>
        <v>12.433333333333334</v>
      </c>
      <c r="L532" s="2" t="s">
        <v>294</v>
      </c>
      <c r="M532" s="42">
        <f>IFERROR(VLOOKUP(TA[[#This Row],[Affected Equipment]],'Basic Data'!$I$2:$K$40,3,0),"")</f>
        <v>1.7241379310344799E-3</v>
      </c>
      <c r="N532">
        <v>-28</v>
      </c>
      <c r="O532" t="s">
        <v>133</v>
      </c>
      <c r="P532" s="127" t="s">
        <v>316</v>
      </c>
      <c r="Q532" s="126" t="s">
        <v>317</v>
      </c>
      <c r="R532">
        <v>7</v>
      </c>
      <c r="S532" s="2">
        <v>32</v>
      </c>
      <c r="T532" t="s">
        <v>295</v>
      </c>
      <c r="U532" t="s">
        <v>300</v>
      </c>
      <c r="V532" t="s">
        <v>298</v>
      </c>
      <c r="W532" s="41"/>
      <c r="X532" s="41"/>
      <c r="Y532" s="34"/>
      <c r="Z532" s="34"/>
      <c r="AA532" s="35">
        <f>IF(TA[[#This Row],[Work Start time on Fault]]="NA","",(TA[[#This Row],[Fault Acknowledgement Time ]]-TA[[#This Row],[Fault Time]])*24)</f>
        <v>0</v>
      </c>
      <c r="AB532" s="35">
        <f>(TA[[#This Row],[Work Start time on Fault]]-TA[[#This Row],[Fault Time]])*24</f>
        <v>0</v>
      </c>
      <c r="AC532" s="34">
        <f>(TA[[#This Row],[Work Completion time on fault]]-TA[[#This Row],[Fault Time]])*24</f>
        <v>0</v>
      </c>
      <c r="AD532" s="35">
        <f>IFERROR((TA[[#This Row],[Work Completion time on fault]]-TA[[#This Row],[Fault Time]])*24,"")</f>
        <v>0</v>
      </c>
      <c r="AE532" t="s">
        <v>328</v>
      </c>
      <c r="AF532" t="s">
        <v>256</v>
      </c>
      <c r="AG532" s="2"/>
      <c r="AH532" s="44">
        <f>1-COS(RADIANS(TA[[#This Row],[Avg. Target Angle during Fault Time (Radians)]]-TA[[#This Row],[Angle of affected equipment ]]))</f>
        <v>0.11705240714107301</v>
      </c>
      <c r="AI532" s="35">
        <f>IFERROR(TA[[#This Row],[Breakdown Time]]*TA[[#This Row],[Plant Equivalent Weightage]],"")</f>
        <v>0</v>
      </c>
    </row>
    <row r="533" spans="1:35">
      <c r="A533" s="2">
        <f t="shared" si="26"/>
        <v>530</v>
      </c>
      <c r="B533" s="156">
        <f t="shared" si="27"/>
        <v>2026</v>
      </c>
      <c r="C533" s="129">
        <f t="shared" si="28"/>
        <v>2025</v>
      </c>
      <c r="D533" s="2" t="s">
        <v>155</v>
      </c>
      <c r="E533" s="2" t="s">
        <v>155</v>
      </c>
      <c r="F533" s="39">
        <v>45778</v>
      </c>
      <c r="G533" s="2">
        <f>DAY(EOMONTH(TA[[#This Row],[Month Year]],0))</f>
        <v>31</v>
      </c>
      <c r="H533" s="21">
        <v>45781</v>
      </c>
      <c r="I533" s="41">
        <f>IFERROR(VLOOKUP(TA[[#This Row],[Date]],Raw_Data[[Date]:[Sunset Time (POA&lt;20 W/m2)]],3,0),"")</f>
        <v>0.25416666666666665</v>
      </c>
      <c r="J533" s="41">
        <f>IFERROR(VLOOKUP(TA[[#This Row],[Date]],Raw_Data[[Date]:[Sunset Time (POA&lt;20 W/m2)]],4,0),"")</f>
        <v>0.77222222222222225</v>
      </c>
      <c r="K533" s="35">
        <f>IFERROR((TA[[#This Row],[Sunset Time (POA&lt;20 W/m2)]]-TA[[#This Row],[Sunrise Time (POA&gt;20 W/m2)]])*24,"")</f>
        <v>12.433333333333334</v>
      </c>
      <c r="L533" s="2" t="s">
        <v>294</v>
      </c>
      <c r="M533" s="42">
        <f>IFERROR(VLOOKUP(TA[[#This Row],[Affected Equipment]],'Basic Data'!$I$2:$K$40,3,0),"")</f>
        <v>1.7241379310344799E-3</v>
      </c>
      <c r="N533">
        <v>-28</v>
      </c>
      <c r="O533" t="s">
        <v>137</v>
      </c>
      <c r="P533" s="127" t="s">
        <v>315</v>
      </c>
      <c r="Q533" s="126" t="s">
        <v>319</v>
      </c>
      <c r="R533">
        <v>166</v>
      </c>
      <c r="S533" s="2">
        <v>91</v>
      </c>
      <c r="T533" t="s">
        <v>295</v>
      </c>
      <c r="U533" t="s">
        <v>300</v>
      </c>
      <c r="V533" t="s">
        <v>298</v>
      </c>
      <c r="W533" s="41"/>
      <c r="X533" s="41"/>
      <c r="Y533" s="34"/>
      <c r="Z533" s="34"/>
      <c r="AA533" s="35">
        <f>IF(TA[[#This Row],[Work Start time on Fault]]="NA","",(TA[[#This Row],[Fault Acknowledgement Time ]]-TA[[#This Row],[Fault Time]])*24)</f>
        <v>0</v>
      </c>
      <c r="AB533" s="35">
        <f>(TA[[#This Row],[Work Start time on Fault]]-TA[[#This Row],[Fault Time]])*24</f>
        <v>0</v>
      </c>
      <c r="AC533" s="34">
        <f>(TA[[#This Row],[Work Completion time on fault]]-TA[[#This Row],[Fault Time]])*24</f>
        <v>0</v>
      </c>
      <c r="AD533" s="35">
        <f>IFERROR((TA[[#This Row],[Work Completion time on fault]]-TA[[#This Row],[Fault Time]])*24,"")</f>
        <v>0</v>
      </c>
      <c r="AE533" t="s">
        <v>328</v>
      </c>
      <c r="AF533" t="s">
        <v>256</v>
      </c>
      <c r="AG533" s="2"/>
      <c r="AH533" s="44">
        <f>1-COS(RADIANS(TA[[#This Row],[Avg. Target Angle during Fault Time (Radians)]]-TA[[#This Row],[Angle of affected equipment ]]))</f>
        <v>0.11705240714107301</v>
      </c>
      <c r="AI533" s="35">
        <f>IFERROR(TA[[#This Row],[Breakdown Time]]*TA[[#This Row],[Plant Equivalent Weightage]],"")</f>
        <v>0</v>
      </c>
    </row>
    <row r="534" spans="1:35">
      <c r="A534" s="2">
        <f t="shared" si="26"/>
        <v>531</v>
      </c>
      <c r="B534" s="156">
        <f t="shared" si="27"/>
        <v>2026</v>
      </c>
      <c r="C534" s="129">
        <f t="shared" si="28"/>
        <v>2025</v>
      </c>
      <c r="D534" s="2" t="s">
        <v>155</v>
      </c>
      <c r="E534" s="2" t="s">
        <v>155</v>
      </c>
      <c r="F534" s="39">
        <v>45778</v>
      </c>
      <c r="G534" s="2">
        <f>DAY(EOMONTH(TA[[#This Row],[Month Year]],0))</f>
        <v>31</v>
      </c>
      <c r="H534" s="21">
        <v>45781</v>
      </c>
      <c r="I534" s="41">
        <f>IFERROR(VLOOKUP(TA[[#This Row],[Date]],Raw_Data[[Date]:[Sunset Time (POA&lt;20 W/m2)]],3,0),"")</f>
        <v>0.25416666666666665</v>
      </c>
      <c r="J534" s="41">
        <f>IFERROR(VLOOKUP(TA[[#This Row],[Date]],Raw_Data[[Date]:[Sunset Time (POA&lt;20 W/m2)]],4,0),"")</f>
        <v>0.77222222222222225</v>
      </c>
      <c r="K534" s="35">
        <f>IFERROR((TA[[#This Row],[Sunset Time (POA&lt;20 W/m2)]]-TA[[#This Row],[Sunrise Time (POA&gt;20 W/m2)]])*24,"")</f>
        <v>12.433333333333334</v>
      </c>
      <c r="L534" s="2" t="s">
        <v>294</v>
      </c>
      <c r="M534" s="42">
        <f>IFERROR(VLOOKUP(TA[[#This Row],[Affected Equipment]],'Basic Data'!$I$2:$K$40,3,0),"")</f>
        <v>1.7241379310344799E-3</v>
      </c>
      <c r="N534">
        <v>-28</v>
      </c>
      <c r="O534" t="s">
        <v>133</v>
      </c>
      <c r="P534" s="127" t="s">
        <v>316</v>
      </c>
      <c r="Q534" s="126" t="s">
        <v>316</v>
      </c>
      <c r="R534">
        <v>117</v>
      </c>
      <c r="S534" s="2">
        <v>20</v>
      </c>
      <c r="T534" t="s">
        <v>295</v>
      </c>
      <c r="U534" t="s">
        <v>300</v>
      </c>
      <c r="V534" t="s">
        <v>298</v>
      </c>
      <c r="W534" s="41"/>
      <c r="X534" s="41"/>
      <c r="Y534" s="34"/>
      <c r="Z534" s="34"/>
      <c r="AA534" s="35">
        <f>IF(TA[[#This Row],[Work Start time on Fault]]="NA","",(TA[[#This Row],[Fault Acknowledgement Time ]]-TA[[#This Row],[Fault Time]])*24)</f>
        <v>0</v>
      </c>
      <c r="AB534" s="35">
        <f>(TA[[#This Row],[Work Start time on Fault]]-TA[[#This Row],[Fault Time]])*24</f>
        <v>0</v>
      </c>
      <c r="AC534" s="34">
        <f>(TA[[#This Row],[Work Completion time on fault]]-TA[[#This Row],[Fault Time]])*24</f>
        <v>0</v>
      </c>
      <c r="AD534" s="35">
        <f>IFERROR((TA[[#This Row],[Work Completion time on fault]]-TA[[#This Row],[Fault Time]])*24,"")</f>
        <v>0</v>
      </c>
      <c r="AE534" t="s">
        <v>328</v>
      </c>
      <c r="AF534" t="s">
        <v>256</v>
      </c>
      <c r="AG534" s="2"/>
      <c r="AH534" s="44">
        <f>1-COS(RADIANS(TA[[#This Row],[Avg. Target Angle during Fault Time (Radians)]]-TA[[#This Row],[Angle of affected equipment ]]))</f>
        <v>0.11705240714107301</v>
      </c>
      <c r="AI534" s="35">
        <f>IFERROR(TA[[#This Row],[Breakdown Time]]*TA[[#This Row],[Plant Equivalent Weightage]],"")</f>
        <v>0</v>
      </c>
    </row>
    <row r="535" spans="1:35">
      <c r="A535" s="2">
        <f t="shared" si="26"/>
        <v>532</v>
      </c>
      <c r="B535" s="156">
        <f t="shared" si="27"/>
        <v>2026</v>
      </c>
      <c r="C535" s="129">
        <f t="shared" si="28"/>
        <v>2025</v>
      </c>
      <c r="D535" s="2" t="s">
        <v>155</v>
      </c>
      <c r="E535" s="2" t="s">
        <v>155</v>
      </c>
      <c r="F535" s="39">
        <v>45778</v>
      </c>
      <c r="G535" s="2">
        <f>DAY(EOMONTH(TA[[#This Row],[Month Year]],0))</f>
        <v>31</v>
      </c>
      <c r="H535" s="21">
        <v>45781</v>
      </c>
      <c r="I535" s="41">
        <f>IFERROR(VLOOKUP(TA[[#This Row],[Date]],Raw_Data[[Date]:[Sunset Time (POA&lt;20 W/m2)]],3,0),"")</f>
        <v>0.25416666666666665</v>
      </c>
      <c r="J535" s="41">
        <f>IFERROR(VLOOKUP(TA[[#This Row],[Date]],Raw_Data[[Date]:[Sunset Time (POA&lt;20 W/m2)]],4,0),"")</f>
        <v>0.77222222222222225</v>
      </c>
      <c r="K535" s="35">
        <f>IFERROR((TA[[#This Row],[Sunset Time (POA&lt;20 W/m2)]]-TA[[#This Row],[Sunrise Time (POA&gt;20 W/m2)]])*24,"")</f>
        <v>12.433333333333334</v>
      </c>
      <c r="L535" s="2" t="s">
        <v>294</v>
      </c>
      <c r="M535" s="42">
        <f>IFERROR(VLOOKUP(TA[[#This Row],[Affected Equipment]],'Basic Data'!$I$2:$K$40,3,0),"")</f>
        <v>1.7241379310344799E-3</v>
      </c>
      <c r="N535">
        <v>-28</v>
      </c>
      <c r="O535" t="s">
        <v>133</v>
      </c>
      <c r="P535" s="127" t="s">
        <v>316</v>
      </c>
      <c r="Q535" s="126" t="s">
        <v>316</v>
      </c>
      <c r="R535">
        <v>118</v>
      </c>
      <c r="S535" s="2">
        <v>22</v>
      </c>
      <c r="T535" t="s">
        <v>295</v>
      </c>
      <c r="U535" t="s">
        <v>300</v>
      </c>
      <c r="V535" t="s">
        <v>298</v>
      </c>
      <c r="W535" s="41"/>
      <c r="X535" s="41"/>
      <c r="Y535" s="34"/>
      <c r="Z535" s="34"/>
      <c r="AA535" s="35">
        <f>IF(TA[[#This Row],[Work Start time on Fault]]="NA","",(TA[[#This Row],[Fault Acknowledgement Time ]]-TA[[#This Row],[Fault Time]])*24)</f>
        <v>0</v>
      </c>
      <c r="AB535" s="35">
        <f>(TA[[#This Row],[Work Start time on Fault]]-TA[[#This Row],[Fault Time]])*24</f>
        <v>0</v>
      </c>
      <c r="AC535" s="34">
        <f>(TA[[#This Row],[Work Completion time on fault]]-TA[[#This Row],[Fault Time]])*24</f>
        <v>0</v>
      </c>
      <c r="AD535" s="35">
        <f>IFERROR((TA[[#This Row],[Work Completion time on fault]]-TA[[#This Row],[Fault Time]])*24,"")</f>
        <v>0</v>
      </c>
      <c r="AE535" t="s">
        <v>328</v>
      </c>
      <c r="AF535" t="s">
        <v>256</v>
      </c>
      <c r="AG535" s="2"/>
      <c r="AH535" s="44">
        <f>1-COS(RADIANS(TA[[#This Row],[Avg. Target Angle during Fault Time (Radians)]]-TA[[#This Row],[Angle of affected equipment ]]))</f>
        <v>0.11705240714107301</v>
      </c>
      <c r="AI535" s="35">
        <f>IFERROR(TA[[#This Row],[Breakdown Time]]*TA[[#This Row],[Plant Equivalent Weightage]],"")</f>
        <v>0</v>
      </c>
    </row>
    <row r="536" spans="1:35">
      <c r="A536" s="2">
        <f t="shared" si="26"/>
        <v>533</v>
      </c>
      <c r="B536" s="156">
        <f t="shared" si="27"/>
        <v>2026</v>
      </c>
      <c r="C536" s="129">
        <f t="shared" si="28"/>
        <v>2025</v>
      </c>
      <c r="D536" s="2" t="s">
        <v>155</v>
      </c>
      <c r="E536" s="2" t="s">
        <v>155</v>
      </c>
      <c r="F536" s="39">
        <v>45778</v>
      </c>
      <c r="G536" s="2">
        <f>DAY(EOMONTH(TA[[#This Row],[Month Year]],0))</f>
        <v>31</v>
      </c>
      <c r="H536" s="21">
        <v>45781</v>
      </c>
      <c r="I536" s="41">
        <f>IFERROR(VLOOKUP(TA[[#This Row],[Date]],Raw_Data[[Date]:[Sunset Time (POA&lt;20 W/m2)]],3,0),"")</f>
        <v>0.25416666666666665</v>
      </c>
      <c r="J536" s="41">
        <f>IFERROR(VLOOKUP(TA[[#This Row],[Date]],Raw_Data[[Date]:[Sunset Time (POA&lt;20 W/m2)]],4,0),"")</f>
        <v>0.77222222222222225</v>
      </c>
      <c r="K536" s="35">
        <f>IFERROR((TA[[#This Row],[Sunset Time (POA&lt;20 W/m2)]]-TA[[#This Row],[Sunrise Time (POA&gt;20 W/m2)]])*24,"")</f>
        <v>12.433333333333334</v>
      </c>
      <c r="L536" s="2" t="s">
        <v>296</v>
      </c>
      <c r="M536" s="42">
        <f>IFERROR(VLOOKUP(TA[[#This Row],[Affected Equipment]],'Basic Data'!$I$2:$K$40,3,0),"")</f>
        <v>8.6206896551724102E-3</v>
      </c>
      <c r="N536">
        <v>-28</v>
      </c>
      <c r="O536" t="s">
        <v>135</v>
      </c>
      <c r="P536" s="22" t="s">
        <v>323</v>
      </c>
      <c r="Q536" s="2" t="s">
        <v>329</v>
      </c>
      <c r="R536">
        <v>45</v>
      </c>
      <c r="S536" s="2">
        <v>8</v>
      </c>
      <c r="T536" t="s">
        <v>297</v>
      </c>
      <c r="U536" t="s">
        <v>326</v>
      </c>
      <c r="V536" t="s">
        <v>301</v>
      </c>
      <c r="W536" s="41"/>
      <c r="X536" s="41"/>
      <c r="Y536" s="34"/>
      <c r="Z536" s="34"/>
      <c r="AA536" s="35">
        <f>IF(TA[[#This Row],[Work Start time on Fault]]="NA","",(TA[[#This Row],[Fault Acknowledgement Time ]]-TA[[#This Row],[Fault Time]])*24)</f>
        <v>0</v>
      </c>
      <c r="AB536" s="35">
        <f>(TA[[#This Row],[Work Start time on Fault]]-TA[[#This Row],[Fault Time]])*24</f>
        <v>0</v>
      </c>
      <c r="AC536" s="34">
        <f>(TA[[#This Row],[Work Completion time on fault]]-TA[[#This Row],[Fault Time]])*24</f>
        <v>0</v>
      </c>
      <c r="AD536" s="35">
        <f>IFERROR((TA[[#This Row],[Work Completion time on fault]]-TA[[#This Row],[Fault Time]])*24,"")</f>
        <v>0</v>
      </c>
      <c r="AE536" t="s">
        <v>328</v>
      </c>
      <c r="AF536" t="s">
        <v>256</v>
      </c>
      <c r="AG536" s="2"/>
      <c r="AH536" s="44">
        <f>1-COS(RADIANS(TA[[#This Row],[Avg. Target Angle during Fault Time (Radians)]]-TA[[#This Row],[Angle of affected equipment ]]))</f>
        <v>0.11705240714107301</v>
      </c>
      <c r="AI536" s="35">
        <f>IFERROR(TA[[#This Row],[Breakdown Time]]*TA[[#This Row],[Plant Equivalent Weightage]],"")</f>
        <v>0</v>
      </c>
    </row>
    <row r="537" spans="1:35">
      <c r="A537" s="2">
        <f t="shared" si="26"/>
        <v>534</v>
      </c>
      <c r="B537" s="156">
        <f t="shared" si="27"/>
        <v>2026</v>
      </c>
      <c r="C537" s="129">
        <f t="shared" si="28"/>
        <v>2025</v>
      </c>
      <c r="D537" s="2" t="s">
        <v>155</v>
      </c>
      <c r="E537" s="2" t="s">
        <v>155</v>
      </c>
      <c r="F537" s="39">
        <v>45778</v>
      </c>
      <c r="G537" s="2">
        <f>DAY(EOMONTH(TA[[#This Row],[Month Year]],0))</f>
        <v>31</v>
      </c>
      <c r="H537" s="21">
        <v>45781</v>
      </c>
      <c r="I537" s="41">
        <f>IFERROR(VLOOKUP(TA[[#This Row],[Date]],Raw_Data[[Date]:[Sunset Time (POA&lt;20 W/m2)]],3,0),"")</f>
        <v>0.25416666666666665</v>
      </c>
      <c r="J537" s="41">
        <f>IFERROR(VLOOKUP(TA[[#This Row],[Date]],Raw_Data[[Date]:[Sunset Time (POA&lt;20 W/m2)]],4,0),"")</f>
        <v>0.77222222222222225</v>
      </c>
      <c r="K537" s="35">
        <f>IFERROR((TA[[#This Row],[Sunset Time (POA&lt;20 W/m2)]]-TA[[#This Row],[Sunrise Time (POA&gt;20 W/m2)]])*24,"")</f>
        <v>12.433333333333334</v>
      </c>
      <c r="L537" s="2" t="s">
        <v>296</v>
      </c>
      <c r="M537" s="42">
        <f>IFERROR(VLOOKUP(TA[[#This Row],[Affected Equipment]],'Basic Data'!$I$2:$K$40,3,0),"")</f>
        <v>8.6206896551724102E-3</v>
      </c>
      <c r="N537">
        <v>-28</v>
      </c>
      <c r="O537" t="s">
        <v>135</v>
      </c>
      <c r="P537" s="22" t="s">
        <v>323</v>
      </c>
      <c r="Q537" s="2" t="s">
        <v>329</v>
      </c>
      <c r="R537">
        <v>47</v>
      </c>
      <c r="S537" s="2">
        <v>18</v>
      </c>
      <c r="T537" t="s">
        <v>297</v>
      </c>
      <c r="U537" t="s">
        <v>326</v>
      </c>
      <c r="V537" t="s">
        <v>301</v>
      </c>
      <c r="W537" s="41"/>
      <c r="X537" s="41"/>
      <c r="Y537" s="34"/>
      <c r="Z537" s="34"/>
      <c r="AA537" s="35">
        <f>IF(TA[[#This Row],[Work Start time on Fault]]="NA","",(TA[[#This Row],[Fault Acknowledgement Time ]]-TA[[#This Row],[Fault Time]])*24)</f>
        <v>0</v>
      </c>
      <c r="AB537" s="35">
        <f>(TA[[#This Row],[Work Start time on Fault]]-TA[[#This Row],[Fault Time]])*24</f>
        <v>0</v>
      </c>
      <c r="AC537" s="34">
        <f>(TA[[#This Row],[Work Completion time on fault]]-TA[[#This Row],[Fault Time]])*24</f>
        <v>0</v>
      </c>
      <c r="AD537" s="35">
        <f>IFERROR((TA[[#This Row],[Work Completion time on fault]]-TA[[#This Row],[Fault Time]])*24,"")</f>
        <v>0</v>
      </c>
      <c r="AE537" t="s">
        <v>328</v>
      </c>
      <c r="AF537" t="s">
        <v>256</v>
      </c>
      <c r="AG537" s="2"/>
      <c r="AH537" s="44">
        <f>1-COS(RADIANS(TA[[#This Row],[Avg. Target Angle during Fault Time (Radians)]]-TA[[#This Row],[Angle of affected equipment ]]))</f>
        <v>0.11705240714107301</v>
      </c>
      <c r="AI537" s="35">
        <f>IFERROR(TA[[#This Row],[Breakdown Time]]*TA[[#This Row],[Plant Equivalent Weightage]],"")</f>
        <v>0</v>
      </c>
    </row>
    <row r="538" spans="1:35">
      <c r="A538" s="2">
        <f t="shared" si="26"/>
        <v>535</v>
      </c>
      <c r="B538" s="156">
        <f t="shared" si="27"/>
        <v>2026</v>
      </c>
      <c r="C538" s="129">
        <f t="shared" si="28"/>
        <v>2025</v>
      </c>
      <c r="D538" s="2" t="s">
        <v>155</v>
      </c>
      <c r="E538" s="2" t="s">
        <v>155</v>
      </c>
      <c r="F538" s="39">
        <v>45778</v>
      </c>
      <c r="G538" s="2">
        <f>DAY(EOMONTH(TA[[#This Row],[Month Year]],0))</f>
        <v>31</v>
      </c>
      <c r="H538" s="21">
        <v>45781</v>
      </c>
      <c r="I538" s="41">
        <f>IFERROR(VLOOKUP(TA[[#This Row],[Date]],Raw_Data[[Date]:[Sunset Time (POA&lt;20 W/m2)]],3,0),"")</f>
        <v>0.25416666666666665</v>
      </c>
      <c r="J538" s="41">
        <f>IFERROR(VLOOKUP(TA[[#This Row],[Date]],Raw_Data[[Date]:[Sunset Time (POA&lt;20 W/m2)]],4,0),"")</f>
        <v>0.77222222222222225</v>
      </c>
      <c r="K538" s="35">
        <f>IFERROR((TA[[#This Row],[Sunset Time (POA&lt;20 W/m2)]]-TA[[#This Row],[Sunrise Time (POA&gt;20 W/m2)]])*24,"")</f>
        <v>12.433333333333334</v>
      </c>
      <c r="L538" s="2" t="s">
        <v>296</v>
      </c>
      <c r="M538" s="42">
        <f>IFERROR(VLOOKUP(TA[[#This Row],[Affected Equipment]],'Basic Data'!$I$2:$K$40,3,0),"")</f>
        <v>8.6206896551724102E-3</v>
      </c>
      <c r="N538">
        <v>-28</v>
      </c>
      <c r="O538" t="s">
        <v>134</v>
      </c>
      <c r="P538" s="22" t="s">
        <v>330</v>
      </c>
      <c r="Q538" s="2" t="s">
        <v>323</v>
      </c>
      <c r="R538">
        <v>30</v>
      </c>
      <c r="S538" s="2">
        <v>57</v>
      </c>
      <c r="T538" t="s">
        <v>297</v>
      </c>
      <c r="U538" t="s">
        <v>326</v>
      </c>
      <c r="V538" t="s">
        <v>301</v>
      </c>
      <c r="W538" s="41"/>
      <c r="X538" s="41"/>
      <c r="Y538" s="34"/>
      <c r="Z538" s="34"/>
      <c r="AA538" s="35">
        <f>IF(TA[[#This Row],[Work Start time on Fault]]="NA","",(TA[[#This Row],[Fault Acknowledgement Time ]]-TA[[#This Row],[Fault Time]])*24)</f>
        <v>0</v>
      </c>
      <c r="AB538" s="35">
        <f>(TA[[#This Row],[Work Start time on Fault]]-TA[[#This Row],[Fault Time]])*24</f>
        <v>0</v>
      </c>
      <c r="AC538" s="34">
        <f>(TA[[#This Row],[Work Completion time on fault]]-TA[[#This Row],[Fault Time]])*24</f>
        <v>0</v>
      </c>
      <c r="AD538" s="35">
        <f>IFERROR((TA[[#This Row],[Work Completion time on fault]]-TA[[#This Row],[Fault Time]])*24,"")</f>
        <v>0</v>
      </c>
      <c r="AE538" t="s">
        <v>328</v>
      </c>
      <c r="AF538" t="s">
        <v>256</v>
      </c>
      <c r="AG538" s="2"/>
      <c r="AH538" s="44">
        <f>1-COS(RADIANS(TA[[#This Row],[Avg. Target Angle during Fault Time (Radians)]]-TA[[#This Row],[Angle of affected equipment ]]))</f>
        <v>0.11705240714107301</v>
      </c>
      <c r="AI538" s="35">
        <f>IFERROR(TA[[#This Row],[Breakdown Time]]*TA[[#This Row],[Plant Equivalent Weightage]],"")</f>
        <v>0</v>
      </c>
    </row>
    <row r="539" spans="1:35">
      <c r="A539" s="2">
        <f t="shared" si="26"/>
        <v>536</v>
      </c>
      <c r="B539" s="156">
        <f t="shared" si="27"/>
        <v>2026</v>
      </c>
      <c r="C539" s="129">
        <f t="shared" si="28"/>
        <v>2025</v>
      </c>
      <c r="D539" s="2" t="s">
        <v>155</v>
      </c>
      <c r="E539" s="2" t="s">
        <v>155</v>
      </c>
      <c r="F539" s="39">
        <v>45778</v>
      </c>
      <c r="G539" s="2">
        <f>DAY(EOMONTH(TA[[#This Row],[Month Year]],0))</f>
        <v>31</v>
      </c>
      <c r="H539" s="21">
        <v>45781</v>
      </c>
      <c r="I539" s="41">
        <f>IFERROR(VLOOKUP(TA[[#This Row],[Date]],Raw_Data[[Date]:[Sunset Time (POA&lt;20 W/m2)]],3,0),"")</f>
        <v>0.25416666666666665</v>
      </c>
      <c r="J539" s="41">
        <f>IFERROR(VLOOKUP(TA[[#This Row],[Date]],Raw_Data[[Date]:[Sunset Time (POA&lt;20 W/m2)]],4,0),"")</f>
        <v>0.77222222222222225</v>
      </c>
      <c r="K539" s="35">
        <f>IFERROR((TA[[#This Row],[Sunset Time (POA&lt;20 W/m2)]]-TA[[#This Row],[Sunrise Time (POA&gt;20 W/m2)]])*24,"")</f>
        <v>12.433333333333334</v>
      </c>
      <c r="L539" s="2" t="s">
        <v>296</v>
      </c>
      <c r="M539" s="42">
        <f>IFERROR(VLOOKUP(TA[[#This Row],[Affected Equipment]],'Basic Data'!$I$2:$K$40,3,0),"")</f>
        <v>8.6206896551724102E-3</v>
      </c>
      <c r="N539">
        <v>-28</v>
      </c>
      <c r="O539" t="s">
        <v>134</v>
      </c>
      <c r="P539" s="22" t="s">
        <v>330</v>
      </c>
      <c r="Q539" s="2" t="s">
        <v>323</v>
      </c>
      <c r="R539">
        <v>31</v>
      </c>
      <c r="S539" s="2">
        <v>61</v>
      </c>
      <c r="T539" t="s">
        <v>297</v>
      </c>
      <c r="U539" t="s">
        <v>326</v>
      </c>
      <c r="V539" t="s">
        <v>301</v>
      </c>
      <c r="W539" s="41"/>
      <c r="X539" s="41"/>
      <c r="Y539" s="34"/>
      <c r="Z539" s="34"/>
      <c r="AA539" s="35">
        <f>IF(TA[[#This Row],[Work Start time on Fault]]="NA","",(TA[[#This Row],[Fault Acknowledgement Time ]]-TA[[#This Row],[Fault Time]])*24)</f>
        <v>0</v>
      </c>
      <c r="AB539" s="35">
        <f>(TA[[#This Row],[Work Start time on Fault]]-TA[[#This Row],[Fault Time]])*24</f>
        <v>0</v>
      </c>
      <c r="AC539" s="34">
        <f>(TA[[#This Row],[Work Completion time on fault]]-TA[[#This Row],[Fault Time]])*24</f>
        <v>0</v>
      </c>
      <c r="AD539" s="35">
        <f>IFERROR((TA[[#This Row],[Work Completion time on fault]]-TA[[#This Row],[Fault Time]])*24,"")</f>
        <v>0</v>
      </c>
      <c r="AE539" t="s">
        <v>328</v>
      </c>
      <c r="AF539" t="s">
        <v>256</v>
      </c>
      <c r="AG539" s="2"/>
      <c r="AH539" s="44">
        <f>1-COS(RADIANS(TA[[#This Row],[Avg. Target Angle during Fault Time (Radians)]]-TA[[#This Row],[Angle of affected equipment ]]))</f>
        <v>0.11705240714107301</v>
      </c>
      <c r="AI539" s="35">
        <f>IFERROR(TA[[#This Row],[Breakdown Time]]*TA[[#This Row],[Plant Equivalent Weightage]],"")</f>
        <v>0</v>
      </c>
    </row>
    <row r="540" spans="1:35">
      <c r="A540" s="2">
        <f t="shared" si="26"/>
        <v>537</v>
      </c>
      <c r="B540" s="156">
        <f t="shared" si="27"/>
        <v>2026</v>
      </c>
      <c r="C540" s="129">
        <f t="shared" si="28"/>
        <v>2025</v>
      </c>
      <c r="D540" s="2" t="s">
        <v>155</v>
      </c>
      <c r="E540" s="2" t="s">
        <v>155</v>
      </c>
      <c r="F540" s="39">
        <v>45778</v>
      </c>
      <c r="G540" s="2">
        <f>DAY(EOMONTH(TA[[#This Row],[Month Year]],0))</f>
        <v>31</v>
      </c>
      <c r="H540" s="21">
        <v>45781</v>
      </c>
      <c r="I540" s="41">
        <f>IFERROR(VLOOKUP(TA[[#This Row],[Date]],Raw_Data[[Date]:[Sunset Time (POA&lt;20 W/m2)]],3,0),"")</f>
        <v>0.25416666666666665</v>
      </c>
      <c r="J540" s="41">
        <f>IFERROR(VLOOKUP(TA[[#This Row],[Date]],Raw_Data[[Date]:[Sunset Time (POA&lt;20 W/m2)]],4,0),"")</f>
        <v>0.77222222222222225</v>
      </c>
      <c r="K540" s="35">
        <f>IFERROR((TA[[#This Row],[Sunset Time (POA&lt;20 W/m2)]]-TA[[#This Row],[Sunrise Time (POA&gt;20 W/m2)]])*24,"")</f>
        <v>12.433333333333334</v>
      </c>
      <c r="L540" s="2" t="s">
        <v>312</v>
      </c>
      <c r="M540" s="42">
        <f>IFERROR(VLOOKUP(TA[[#This Row],[Affected Equipment]],'Basic Data'!$I$2:$K$40,3,0),"")</f>
        <v>5.74712643678161E-3</v>
      </c>
      <c r="N540">
        <v>-28</v>
      </c>
      <c r="O540" t="s">
        <v>133</v>
      </c>
      <c r="P540" s="22" t="s">
        <v>330</v>
      </c>
      <c r="Q540" s="2" t="s">
        <v>323</v>
      </c>
      <c r="R540">
        <v>26</v>
      </c>
      <c r="S540" s="2">
        <v>37</v>
      </c>
      <c r="T540" t="s">
        <v>297</v>
      </c>
      <c r="U540" t="s">
        <v>326</v>
      </c>
      <c r="V540" t="s">
        <v>301</v>
      </c>
      <c r="W540" s="41"/>
      <c r="X540" s="41"/>
      <c r="Y540" s="34"/>
      <c r="Z540" s="34"/>
      <c r="AA540" s="35">
        <f>IF(TA[[#This Row],[Work Start time on Fault]]="NA","",(TA[[#This Row],[Fault Acknowledgement Time ]]-TA[[#This Row],[Fault Time]])*24)</f>
        <v>0</v>
      </c>
      <c r="AB540" s="35">
        <f>(TA[[#This Row],[Work Start time on Fault]]-TA[[#This Row],[Fault Time]])*24</f>
        <v>0</v>
      </c>
      <c r="AC540" s="34">
        <f>(TA[[#This Row],[Work Completion time on fault]]-TA[[#This Row],[Fault Time]])*24</f>
        <v>0</v>
      </c>
      <c r="AD540" s="35">
        <f>IFERROR((TA[[#This Row],[Work Completion time on fault]]-TA[[#This Row],[Fault Time]])*24,"")</f>
        <v>0</v>
      </c>
      <c r="AE540" t="s">
        <v>328</v>
      </c>
      <c r="AF540" t="s">
        <v>256</v>
      </c>
      <c r="AG540" s="2"/>
      <c r="AH540" s="44">
        <f>1-COS(RADIANS(TA[[#This Row],[Avg. Target Angle during Fault Time (Radians)]]-TA[[#This Row],[Angle of affected equipment ]]))</f>
        <v>0.11705240714107301</v>
      </c>
      <c r="AI540" s="35">
        <f>IFERROR(TA[[#This Row],[Breakdown Time]]*TA[[#This Row],[Plant Equivalent Weightage]],"")</f>
        <v>0</v>
      </c>
    </row>
    <row r="541" spans="1:35">
      <c r="A541" s="2">
        <f t="shared" si="26"/>
        <v>538</v>
      </c>
      <c r="B541" s="156">
        <f t="shared" si="27"/>
        <v>2026</v>
      </c>
      <c r="C541" s="129">
        <f t="shared" si="28"/>
        <v>2025</v>
      </c>
      <c r="D541" s="2" t="s">
        <v>155</v>
      </c>
      <c r="E541" s="2" t="s">
        <v>155</v>
      </c>
      <c r="F541" s="39">
        <v>45778</v>
      </c>
      <c r="G541" s="2">
        <f>DAY(EOMONTH(TA[[#This Row],[Month Year]],0))</f>
        <v>31</v>
      </c>
      <c r="H541" s="21">
        <v>45781</v>
      </c>
      <c r="I541" s="41">
        <f>IFERROR(VLOOKUP(TA[[#This Row],[Date]],Raw_Data[[Date]:[Sunset Time (POA&lt;20 W/m2)]],3,0),"")</f>
        <v>0.25416666666666665</v>
      </c>
      <c r="J541" s="41">
        <f>IFERROR(VLOOKUP(TA[[#This Row],[Date]],Raw_Data[[Date]:[Sunset Time (POA&lt;20 W/m2)]],4,0),"")</f>
        <v>0.77222222222222225</v>
      </c>
      <c r="K541" s="35">
        <f>IFERROR((TA[[#This Row],[Sunset Time (POA&lt;20 W/m2)]]-TA[[#This Row],[Sunrise Time (POA&gt;20 W/m2)]])*24,"")</f>
        <v>12.433333333333334</v>
      </c>
      <c r="L541" s="2" t="s">
        <v>312</v>
      </c>
      <c r="M541" s="42">
        <f>IFERROR(VLOOKUP(TA[[#This Row],[Affected Equipment]],'Basic Data'!$I$2:$K$40,3,0),"")</f>
        <v>5.74712643678161E-3</v>
      </c>
      <c r="N541">
        <v>-28</v>
      </c>
      <c r="O541" t="s">
        <v>133</v>
      </c>
      <c r="P541" s="22" t="s">
        <v>330</v>
      </c>
      <c r="Q541" s="2" t="s">
        <v>323</v>
      </c>
      <c r="R541">
        <v>27</v>
      </c>
      <c r="S541" s="2">
        <v>42</v>
      </c>
      <c r="T541" t="s">
        <v>297</v>
      </c>
      <c r="U541" t="s">
        <v>326</v>
      </c>
      <c r="V541" t="s">
        <v>301</v>
      </c>
      <c r="W541" s="41">
        <f>IFERROR(VLOOKUP(TA[[#This Row],[Date]],Raw_Data[[Date]:[Sunset Time (POA&lt;20 W/m2)]],3,0),"")</f>
        <v>0.25416666666666665</v>
      </c>
      <c r="X541" s="41">
        <f>IFERROR(VLOOKUP(TA[[#This Row],[Date]],Raw_Data[[Date]:[Sunset Time (POA&lt;20 W/m2)]],3,0),"")</f>
        <v>0.25416666666666665</v>
      </c>
      <c r="Y541" s="34"/>
      <c r="Z541" s="34">
        <v>0.76041666666666663</v>
      </c>
      <c r="AA541" s="35">
        <f>IF(TA[[#This Row],[Work Start time on Fault]]="NA","",(TA[[#This Row],[Fault Acknowledgement Time ]]-TA[[#This Row],[Fault Time]])*24)</f>
        <v>0</v>
      </c>
      <c r="AB541" s="35">
        <f>(TA[[#This Row],[Work Start time on Fault]]-TA[[#This Row],[Fault Time]])*24</f>
        <v>-6.1</v>
      </c>
      <c r="AC541" s="34">
        <f>(TA[[#This Row],[Work Completion time on fault]]-TA[[#This Row],[Fault Time]])*24</f>
        <v>12.149999999999999</v>
      </c>
      <c r="AD541" s="35">
        <f>IFERROR((TA[[#This Row],[Work Completion time on fault]]-TA[[#This Row],[Fault Time]])*24,"")</f>
        <v>12.149999999999999</v>
      </c>
      <c r="AE541" t="s">
        <v>309</v>
      </c>
      <c r="AF541" t="s">
        <v>256</v>
      </c>
      <c r="AG541" s="2"/>
      <c r="AH541" s="44">
        <f>1-COS(RADIANS(TA[[#This Row],[Avg. Target Angle during Fault Time (Radians)]]-TA[[#This Row],[Angle of affected equipment ]]))</f>
        <v>0.11705240714107301</v>
      </c>
      <c r="AI541" s="35">
        <f>IFERROR(TA[[#This Row],[Breakdown Time]]*TA[[#This Row],[Plant Equivalent Weightage]],"")</f>
        <v>6.9827586206896552E-2</v>
      </c>
    </row>
    <row r="542" spans="1:35">
      <c r="A542" s="2">
        <f t="shared" si="26"/>
        <v>539</v>
      </c>
      <c r="B542" s="156">
        <f t="shared" si="27"/>
        <v>2026</v>
      </c>
      <c r="C542" s="129">
        <f t="shared" si="28"/>
        <v>2025</v>
      </c>
      <c r="D542" s="2" t="s">
        <v>155</v>
      </c>
      <c r="E542" s="2" t="s">
        <v>155</v>
      </c>
      <c r="F542" s="39">
        <v>45778</v>
      </c>
      <c r="G542" s="2">
        <f>DAY(EOMONTH(TA[[#This Row],[Month Year]],0))</f>
        <v>31</v>
      </c>
      <c r="H542" s="21">
        <v>45782</v>
      </c>
      <c r="I542" s="41">
        <f>IFERROR(VLOOKUP(TA[[#This Row],[Date]],Raw_Data[[Date]:[Sunset Time (POA&lt;20 W/m2)]],3,0),"")</f>
        <v>0.25208333333333333</v>
      </c>
      <c r="J542" s="41">
        <f>IFERROR(VLOOKUP(TA[[#This Row],[Date]],Raw_Data[[Date]:[Sunset Time (POA&lt;20 W/m2)]],4,0),"")</f>
        <v>0.77152777777777781</v>
      </c>
      <c r="K542" s="35">
        <f>IFERROR((TA[[#This Row],[Sunset Time (POA&lt;20 W/m2)]]-TA[[#This Row],[Sunrise Time (POA&gt;20 W/m2)]])*24,"")</f>
        <v>12.466666666666669</v>
      </c>
      <c r="L542" s="2" t="s">
        <v>322</v>
      </c>
      <c r="M542" s="42">
        <f>IFERROR(VLOOKUP(TA[[#This Row],[Affected Equipment]],'Basic Data'!$I$2:$K$40,3,0),"")</f>
        <v>4.5977011494252899E-3</v>
      </c>
      <c r="N542">
        <v>-28</v>
      </c>
      <c r="O542" t="s">
        <v>136</v>
      </c>
      <c r="P542" s="22" t="s">
        <v>315</v>
      </c>
      <c r="Q542" s="2" t="s">
        <v>319</v>
      </c>
      <c r="R542">
        <v>109</v>
      </c>
      <c r="S542" s="2">
        <v>77</v>
      </c>
      <c r="T542" t="s">
        <v>297</v>
      </c>
      <c r="U542" t="s">
        <v>300</v>
      </c>
      <c r="V542" t="s">
        <v>301</v>
      </c>
      <c r="W542" s="41">
        <f>IFERROR(VLOOKUP(TA[[#This Row],[Date]],Raw_Data[[Date]:[Sunset Time (POA&lt;20 W/m2)]],3,0),"")</f>
        <v>0.25208333333333333</v>
      </c>
      <c r="X542" s="41">
        <f>IFERROR(VLOOKUP(TA[[#This Row],[Date]],Raw_Data[[Date]:[Sunset Time (POA&lt;20 W/m2)]],3,0),"")</f>
        <v>0.25208333333333333</v>
      </c>
      <c r="Y542" s="34">
        <v>0.45833333333333298</v>
      </c>
      <c r="Z542" s="34">
        <v>0.46875</v>
      </c>
      <c r="AA542" s="35">
        <f>IF(TA[[#This Row],[Work Start time on Fault]]="NA","",(TA[[#This Row],[Fault Acknowledgement Time ]]-TA[[#This Row],[Fault Time]])*24)</f>
        <v>0</v>
      </c>
      <c r="AB542" s="35">
        <f>(TA[[#This Row],[Work Start time on Fault]]-TA[[#This Row],[Fault Time]])*24</f>
        <v>4.9499999999999922</v>
      </c>
      <c r="AC542" s="34">
        <f>(TA[[#This Row],[Work Completion time on fault]]-TA[[#This Row],[Fault Time]])*24</f>
        <v>5.2</v>
      </c>
      <c r="AD542" s="35">
        <f>IFERROR((TA[[#This Row],[Work Completion time on fault]]-TA[[#This Row],[Fault Time]])*24,"")</f>
        <v>5.2</v>
      </c>
      <c r="AE542" t="s">
        <v>313</v>
      </c>
      <c r="AF542" t="s">
        <v>249</v>
      </c>
      <c r="AG542" s="2"/>
      <c r="AH542" s="44">
        <f>1-COS(RADIANS(TA[[#This Row],[Avg. Target Angle during Fault Time (Radians)]]-TA[[#This Row],[Angle of affected equipment ]]))</f>
        <v>0.11705240714107301</v>
      </c>
      <c r="AI542" s="35">
        <f>IFERROR(TA[[#This Row],[Breakdown Time]]*TA[[#This Row],[Plant Equivalent Weightage]],"")</f>
        <v>2.3908045977011509E-2</v>
      </c>
    </row>
    <row r="543" spans="1:35">
      <c r="A543" s="2">
        <f t="shared" si="26"/>
        <v>540</v>
      </c>
      <c r="B543" s="156">
        <f t="shared" si="27"/>
        <v>2026</v>
      </c>
      <c r="C543" s="129">
        <f t="shared" si="28"/>
        <v>2025</v>
      </c>
      <c r="D543" s="2" t="s">
        <v>155</v>
      </c>
      <c r="E543" s="2" t="s">
        <v>155</v>
      </c>
      <c r="F543" s="39">
        <v>45778</v>
      </c>
      <c r="G543" s="2">
        <f>DAY(EOMONTH(TA[[#This Row],[Month Year]],0))</f>
        <v>31</v>
      </c>
      <c r="H543" s="21">
        <v>45782</v>
      </c>
      <c r="I543" s="41">
        <f>IFERROR(VLOOKUP(TA[[#This Row],[Date]],Raw_Data[[Date]:[Sunset Time (POA&lt;20 W/m2)]],3,0),"")</f>
        <v>0.25208333333333333</v>
      </c>
      <c r="J543" s="41">
        <f>IFERROR(VLOOKUP(TA[[#This Row],[Date]],Raw_Data[[Date]:[Sunset Time (POA&lt;20 W/m2)]],4,0),"")</f>
        <v>0.77152777777777781</v>
      </c>
      <c r="K543" s="35">
        <f>IFERROR((TA[[#This Row],[Sunset Time (POA&lt;20 W/m2)]]-TA[[#This Row],[Sunrise Time (POA&gt;20 W/m2)]])*24,"")</f>
        <v>12.466666666666669</v>
      </c>
      <c r="L543" s="2" t="s">
        <v>322</v>
      </c>
      <c r="M543" s="42">
        <f>IFERROR(VLOOKUP(TA[[#This Row],[Affected Equipment]],'Basic Data'!$I$2:$K$40,3,0),"")</f>
        <v>4.5977011494252899E-3</v>
      </c>
      <c r="N543">
        <v>-28</v>
      </c>
      <c r="O543" t="s">
        <v>134</v>
      </c>
      <c r="P543" s="22" t="s">
        <v>315</v>
      </c>
      <c r="Q543" s="2" t="s">
        <v>319</v>
      </c>
      <c r="R543">
        <v>100</v>
      </c>
      <c r="S543" s="2">
        <v>33</v>
      </c>
      <c r="T543" t="s">
        <v>297</v>
      </c>
      <c r="U543" t="s">
        <v>300</v>
      </c>
      <c r="V543" t="s">
        <v>301</v>
      </c>
      <c r="W543" s="41">
        <f>IFERROR(VLOOKUP(TA[[#This Row],[Date]],Raw_Data[[Date]:[Sunset Time (POA&lt;20 W/m2)]],3,0),"")</f>
        <v>0.25208333333333333</v>
      </c>
      <c r="X543" s="41">
        <f>IFERROR(VLOOKUP(TA[[#This Row],[Date]],Raw_Data[[Date]:[Sunset Time (POA&lt;20 W/m2)]],3,0),"")</f>
        <v>0.25208333333333333</v>
      </c>
      <c r="Y543" s="34">
        <v>0.47222222222222199</v>
      </c>
      <c r="Z543" s="34">
        <v>0.50694444444444398</v>
      </c>
      <c r="AA543" s="35">
        <f>IF(TA[[#This Row],[Work Start time on Fault]]="NA","",(TA[[#This Row],[Fault Acknowledgement Time ]]-TA[[#This Row],[Fault Time]])*24)</f>
        <v>0</v>
      </c>
      <c r="AB543" s="35">
        <f>(TA[[#This Row],[Work Start time on Fault]]-TA[[#This Row],[Fault Time]])*24</f>
        <v>5.2833333333333279</v>
      </c>
      <c r="AC543" s="34">
        <f>(TA[[#This Row],[Work Completion time on fault]]-TA[[#This Row],[Fault Time]])*24</f>
        <v>6.1166666666666556</v>
      </c>
      <c r="AD543" s="35">
        <f>IFERROR((TA[[#This Row],[Work Completion time on fault]]-TA[[#This Row],[Fault Time]])*24,"")</f>
        <v>6.1166666666666556</v>
      </c>
      <c r="AE543" t="s">
        <v>313</v>
      </c>
      <c r="AF543" t="s">
        <v>249</v>
      </c>
      <c r="AG543" s="2"/>
      <c r="AH543" s="44">
        <f>1-COS(RADIANS(TA[[#This Row],[Avg. Target Angle during Fault Time (Radians)]]-TA[[#This Row],[Angle of affected equipment ]]))</f>
        <v>0.11705240714107301</v>
      </c>
      <c r="AI543" s="35">
        <f>IFERROR(TA[[#This Row],[Breakdown Time]]*TA[[#This Row],[Plant Equivalent Weightage]],"")</f>
        <v>2.8122605363984639E-2</v>
      </c>
    </row>
    <row r="544" spans="1:35">
      <c r="A544" s="2">
        <f t="shared" si="26"/>
        <v>541</v>
      </c>
      <c r="B544" s="156">
        <f t="shared" si="27"/>
        <v>2026</v>
      </c>
      <c r="C544" s="129">
        <f t="shared" si="28"/>
        <v>2025</v>
      </c>
      <c r="D544" s="2" t="s">
        <v>155</v>
      </c>
      <c r="E544" s="2" t="s">
        <v>155</v>
      </c>
      <c r="F544" s="39">
        <v>45778</v>
      </c>
      <c r="G544" s="2">
        <f>DAY(EOMONTH(TA[[#This Row],[Month Year]],0))</f>
        <v>31</v>
      </c>
      <c r="H544" s="21">
        <v>45782</v>
      </c>
      <c r="I544" s="41">
        <f>IFERROR(VLOOKUP(TA[[#This Row],[Date]],Raw_Data[[Date]:[Sunset Time (POA&lt;20 W/m2)]],3,0),"")</f>
        <v>0.25208333333333333</v>
      </c>
      <c r="J544" s="41">
        <f>IFERROR(VLOOKUP(TA[[#This Row],[Date]],Raw_Data[[Date]:[Sunset Time (POA&lt;20 W/m2)]],4,0),"")</f>
        <v>0.77152777777777781</v>
      </c>
      <c r="K544" s="35">
        <f>IFERROR((TA[[#This Row],[Sunset Time (POA&lt;20 W/m2)]]-TA[[#This Row],[Sunrise Time (POA&gt;20 W/m2)]])*24,"")</f>
        <v>12.466666666666669</v>
      </c>
      <c r="L544" s="2" t="s">
        <v>322</v>
      </c>
      <c r="M544" s="42">
        <f>IFERROR(VLOOKUP(TA[[#This Row],[Affected Equipment]],'Basic Data'!$I$2:$K$40,3,0),"")</f>
        <v>4.5977011494252899E-3</v>
      </c>
      <c r="N544">
        <v>-28</v>
      </c>
      <c r="O544" t="s">
        <v>134</v>
      </c>
      <c r="P544" s="22" t="s">
        <v>315</v>
      </c>
      <c r="Q544" s="2" t="s">
        <v>315</v>
      </c>
      <c r="R544">
        <v>18</v>
      </c>
      <c r="S544" s="2">
        <v>64</v>
      </c>
      <c r="T544" t="s">
        <v>297</v>
      </c>
      <c r="U544" t="s">
        <v>300</v>
      </c>
      <c r="V544" t="s">
        <v>301</v>
      </c>
      <c r="W544" s="41">
        <f>IFERROR(VLOOKUP(TA[[#This Row],[Date]],Raw_Data[[Date]:[Sunset Time (POA&lt;20 W/m2)]],3,0),"")</f>
        <v>0.25208333333333333</v>
      </c>
      <c r="X544" s="41">
        <f>IFERROR(VLOOKUP(TA[[#This Row],[Date]],Raw_Data[[Date]:[Sunset Time (POA&lt;20 W/m2)]],3,0),"")</f>
        <v>0.25208333333333333</v>
      </c>
      <c r="Y544" s="34">
        <v>0.51388888888888895</v>
      </c>
      <c r="Z544" s="34">
        <v>0.53125</v>
      </c>
      <c r="AA544" s="35">
        <f>IF(TA[[#This Row],[Work Start time on Fault]]="NA","",(TA[[#This Row],[Fault Acknowledgement Time ]]-TA[[#This Row],[Fault Time]])*24)</f>
        <v>0</v>
      </c>
      <c r="AB544" s="35">
        <f>(TA[[#This Row],[Work Start time on Fault]]-TA[[#This Row],[Fault Time]])*24</f>
        <v>6.283333333333335</v>
      </c>
      <c r="AC544" s="34">
        <f>(TA[[#This Row],[Work Completion time on fault]]-TA[[#This Row],[Fault Time]])*24</f>
        <v>6.7</v>
      </c>
      <c r="AD544" s="35">
        <f>IFERROR((TA[[#This Row],[Work Completion time on fault]]-TA[[#This Row],[Fault Time]])*24,"")</f>
        <v>6.7</v>
      </c>
      <c r="AE544" t="s">
        <v>313</v>
      </c>
      <c r="AF544" t="s">
        <v>249</v>
      </c>
      <c r="AG544" s="2"/>
      <c r="AH544" s="44">
        <f>1-COS(RADIANS(TA[[#This Row],[Avg. Target Angle during Fault Time (Radians)]]-TA[[#This Row],[Angle of affected equipment ]]))</f>
        <v>0.11705240714107301</v>
      </c>
      <c r="AI544" s="35">
        <f>IFERROR(TA[[#This Row],[Breakdown Time]]*TA[[#This Row],[Plant Equivalent Weightage]],"")</f>
        <v>3.0804597701149444E-2</v>
      </c>
    </row>
    <row r="545" spans="1:35">
      <c r="A545" s="2">
        <f t="shared" si="26"/>
        <v>542</v>
      </c>
      <c r="B545" s="156">
        <f t="shared" si="27"/>
        <v>2026</v>
      </c>
      <c r="C545" s="129">
        <f t="shared" si="28"/>
        <v>2025</v>
      </c>
      <c r="D545" s="2" t="s">
        <v>155</v>
      </c>
      <c r="E545" s="2" t="s">
        <v>155</v>
      </c>
      <c r="F545" s="39">
        <v>45778</v>
      </c>
      <c r="G545" s="2">
        <f>DAY(EOMONTH(TA[[#This Row],[Month Year]],0))</f>
        <v>31</v>
      </c>
      <c r="H545" s="21">
        <v>45782</v>
      </c>
      <c r="I545" s="41">
        <f>IFERROR(VLOOKUP(TA[[#This Row],[Date]],Raw_Data[[Date]:[Sunset Time (POA&lt;20 W/m2)]],3,0),"")</f>
        <v>0.25208333333333333</v>
      </c>
      <c r="J545" s="41">
        <f>IFERROR(VLOOKUP(TA[[#This Row],[Date]],Raw_Data[[Date]:[Sunset Time (POA&lt;20 W/m2)]],4,0),"")</f>
        <v>0.77152777777777781</v>
      </c>
      <c r="K545" s="35">
        <f>IFERROR((TA[[#This Row],[Sunset Time (POA&lt;20 W/m2)]]-TA[[#This Row],[Sunrise Time (POA&gt;20 W/m2)]])*24,"")</f>
        <v>12.466666666666669</v>
      </c>
      <c r="L545" s="2" t="s">
        <v>322</v>
      </c>
      <c r="M545" s="42">
        <f>IFERROR(VLOOKUP(TA[[#This Row],[Affected Equipment]],'Basic Data'!$I$2:$K$40,3,0),"")</f>
        <v>4.5977011494252899E-3</v>
      </c>
      <c r="N545">
        <v>-28</v>
      </c>
      <c r="O545" t="s">
        <v>134</v>
      </c>
      <c r="P545" s="22" t="s">
        <v>316</v>
      </c>
      <c r="Q545" s="2" t="s">
        <v>317</v>
      </c>
      <c r="R545">
        <v>16</v>
      </c>
      <c r="S545" s="2">
        <v>92</v>
      </c>
      <c r="T545" t="s">
        <v>297</v>
      </c>
      <c r="U545" t="s">
        <v>300</v>
      </c>
      <c r="V545" t="s">
        <v>301</v>
      </c>
      <c r="W545" s="41">
        <f>IFERROR(VLOOKUP(TA[[#This Row],[Date]],Raw_Data[[Date]:[Sunset Time (POA&lt;20 W/m2)]],3,0),"")</f>
        <v>0.25208333333333333</v>
      </c>
      <c r="X545" s="41">
        <f>IFERROR(VLOOKUP(TA[[#This Row],[Date]],Raw_Data[[Date]:[Sunset Time (POA&lt;20 W/m2)]],3,0),"")</f>
        <v>0.25208333333333333</v>
      </c>
      <c r="Y545" s="34">
        <v>0.54166666666666696</v>
      </c>
      <c r="Z545" s="34">
        <v>0.57986111111111105</v>
      </c>
      <c r="AA545" s="35">
        <f>IF(TA[[#This Row],[Work Start time on Fault]]="NA","",(TA[[#This Row],[Fault Acknowledgement Time ]]-TA[[#This Row],[Fault Time]])*24)</f>
        <v>0</v>
      </c>
      <c r="AB545" s="35">
        <f>(TA[[#This Row],[Work Start time on Fault]]-TA[[#This Row],[Fault Time]])*24</f>
        <v>6.9500000000000073</v>
      </c>
      <c r="AC545" s="34">
        <f>(TA[[#This Row],[Work Completion time on fault]]-TA[[#This Row],[Fault Time]])*24</f>
        <v>7.8666666666666654</v>
      </c>
      <c r="AD545" s="35">
        <f>IFERROR((TA[[#This Row],[Work Completion time on fault]]-TA[[#This Row],[Fault Time]])*24,"")</f>
        <v>7.8666666666666654</v>
      </c>
      <c r="AE545" t="s">
        <v>313</v>
      </c>
      <c r="AF545" t="s">
        <v>249</v>
      </c>
      <c r="AG545" s="2"/>
      <c r="AH545" s="44">
        <f>1-COS(RADIANS(TA[[#This Row],[Avg. Target Angle during Fault Time (Radians)]]-TA[[#This Row],[Angle of affected equipment ]]))</f>
        <v>0.11705240714107301</v>
      </c>
      <c r="AI545" s="35">
        <f>IFERROR(TA[[#This Row],[Breakdown Time]]*TA[[#This Row],[Plant Equivalent Weightage]],"")</f>
        <v>3.6168582375478944E-2</v>
      </c>
    </row>
    <row r="546" spans="1:35">
      <c r="A546" s="2">
        <f t="shared" si="26"/>
        <v>543</v>
      </c>
      <c r="B546" s="156">
        <f t="shared" si="27"/>
        <v>2026</v>
      </c>
      <c r="C546" s="129">
        <f t="shared" si="28"/>
        <v>2025</v>
      </c>
      <c r="D546" s="2" t="s">
        <v>155</v>
      </c>
      <c r="E546" s="2" t="s">
        <v>155</v>
      </c>
      <c r="F546" s="39">
        <v>45778</v>
      </c>
      <c r="G546" s="2">
        <f>DAY(EOMONTH(TA[[#This Row],[Month Year]],0))</f>
        <v>31</v>
      </c>
      <c r="H546" s="21">
        <v>45782</v>
      </c>
      <c r="I546" s="41">
        <f>IFERROR(VLOOKUP(TA[[#This Row],[Date]],Raw_Data[[Date]:[Sunset Time (POA&lt;20 W/m2)]],3,0),"")</f>
        <v>0.25208333333333333</v>
      </c>
      <c r="J546" s="41">
        <f>IFERROR(VLOOKUP(TA[[#This Row],[Date]],Raw_Data[[Date]:[Sunset Time (POA&lt;20 W/m2)]],4,0),"")</f>
        <v>0.77152777777777781</v>
      </c>
      <c r="K546" s="35">
        <f>IFERROR((TA[[#This Row],[Sunset Time (POA&lt;20 W/m2)]]-TA[[#This Row],[Sunrise Time (POA&gt;20 W/m2)]])*24,"")</f>
        <v>12.466666666666669</v>
      </c>
      <c r="L546" s="2" t="s">
        <v>322</v>
      </c>
      <c r="M546" s="42">
        <f>IFERROR(VLOOKUP(TA[[#This Row],[Affected Equipment]],'Basic Data'!$I$2:$K$40,3,0),"")</f>
        <v>4.5977011494252899E-3</v>
      </c>
      <c r="N546">
        <v>-28</v>
      </c>
      <c r="O546" t="s">
        <v>136</v>
      </c>
      <c r="P546" s="22" t="s">
        <v>316</v>
      </c>
      <c r="Q546" s="2" t="s">
        <v>317</v>
      </c>
      <c r="R546">
        <v>14</v>
      </c>
      <c r="S546" s="2">
        <v>82</v>
      </c>
      <c r="T546" t="s">
        <v>297</v>
      </c>
      <c r="U546" t="s">
        <v>300</v>
      </c>
      <c r="V546" t="s">
        <v>301</v>
      </c>
      <c r="W546" s="41">
        <f>IFERROR(VLOOKUP(TA[[#This Row],[Date]],Raw_Data[[Date]:[Sunset Time (POA&lt;20 W/m2)]],3,0),"")</f>
        <v>0.25208333333333333</v>
      </c>
      <c r="X546" s="41">
        <f>IFERROR(VLOOKUP(TA[[#This Row],[Date]],Raw_Data[[Date]:[Sunset Time (POA&lt;20 W/m2)]],3,0),"")</f>
        <v>0.25208333333333333</v>
      </c>
      <c r="Y546" s="34">
        <v>0.60277777777777797</v>
      </c>
      <c r="Z546" s="34">
        <v>0.63541666666666696</v>
      </c>
      <c r="AA546" s="35">
        <f>IF(TA[[#This Row],[Work Start time on Fault]]="NA","",(TA[[#This Row],[Fault Acknowledgement Time ]]-TA[[#This Row],[Fault Time]])*24)</f>
        <v>0</v>
      </c>
      <c r="AB546" s="35">
        <f>(TA[[#This Row],[Work Start time on Fault]]-TA[[#This Row],[Fault Time]])*24</f>
        <v>8.4166666666666714</v>
      </c>
      <c r="AC546" s="34">
        <f>(TA[[#This Row],[Work Completion time on fault]]-TA[[#This Row],[Fault Time]])*24</f>
        <v>9.2000000000000064</v>
      </c>
      <c r="AD546" s="35">
        <f>IFERROR((TA[[#This Row],[Work Completion time on fault]]-TA[[#This Row],[Fault Time]])*24,"")</f>
        <v>9.2000000000000064</v>
      </c>
      <c r="AE546" t="s">
        <v>313</v>
      </c>
      <c r="AF546" t="s">
        <v>249</v>
      </c>
      <c r="AG546" s="2"/>
      <c r="AH546" s="44">
        <f>1-COS(RADIANS(TA[[#This Row],[Avg. Target Angle during Fault Time (Radians)]]-TA[[#This Row],[Angle of affected equipment ]]))</f>
        <v>0.11705240714107301</v>
      </c>
      <c r="AI546" s="35">
        <f>IFERROR(TA[[#This Row],[Breakdown Time]]*TA[[#This Row],[Plant Equivalent Weightage]],"")</f>
        <v>4.2298850574712693E-2</v>
      </c>
    </row>
    <row r="547" spans="1:35">
      <c r="A547" s="2">
        <f t="shared" si="26"/>
        <v>544</v>
      </c>
      <c r="B547" s="156">
        <f t="shared" si="27"/>
        <v>2026</v>
      </c>
      <c r="C547" s="129">
        <f t="shared" si="28"/>
        <v>2025</v>
      </c>
      <c r="D547" s="2" t="s">
        <v>155</v>
      </c>
      <c r="E547" s="2" t="s">
        <v>155</v>
      </c>
      <c r="F547" s="39">
        <v>45778</v>
      </c>
      <c r="G547" s="2">
        <f>DAY(EOMONTH(TA[[#This Row],[Month Year]],0))</f>
        <v>31</v>
      </c>
      <c r="H547" s="21">
        <v>45782</v>
      </c>
      <c r="I547" s="41">
        <f>IFERROR(VLOOKUP(TA[[#This Row],[Date]],Raw_Data[[Date]:[Sunset Time (POA&lt;20 W/m2)]],3,0),"")</f>
        <v>0.25208333333333333</v>
      </c>
      <c r="J547" s="41">
        <f>IFERROR(VLOOKUP(TA[[#This Row],[Date]],Raw_Data[[Date]:[Sunset Time (POA&lt;20 W/m2)]],4,0),"")</f>
        <v>0.77152777777777781</v>
      </c>
      <c r="K547" s="35">
        <f>IFERROR((TA[[#This Row],[Sunset Time (POA&lt;20 W/m2)]]-TA[[#This Row],[Sunrise Time (POA&gt;20 W/m2)]])*24,"")</f>
        <v>12.466666666666669</v>
      </c>
      <c r="L547" s="2" t="s">
        <v>322</v>
      </c>
      <c r="M547" s="42">
        <f>IFERROR(VLOOKUP(TA[[#This Row],[Affected Equipment]],'Basic Data'!$I$2:$K$40,3,0),"")</f>
        <v>4.5977011494252899E-3</v>
      </c>
      <c r="N547">
        <v>-28</v>
      </c>
      <c r="O547" t="s">
        <v>135</v>
      </c>
      <c r="P547" s="22" t="s">
        <v>316</v>
      </c>
      <c r="Q547" s="2" t="s">
        <v>317</v>
      </c>
      <c r="R547">
        <v>13</v>
      </c>
      <c r="S547" s="2">
        <v>77</v>
      </c>
      <c r="T547" t="s">
        <v>297</v>
      </c>
      <c r="U547" t="s">
        <v>300</v>
      </c>
      <c r="V547" t="s">
        <v>301</v>
      </c>
      <c r="W547" s="41">
        <f>IFERROR(VLOOKUP(TA[[#This Row],[Date]],Raw_Data[[Date]:[Sunset Time (POA&lt;20 W/m2)]],3,0),"")</f>
        <v>0.25208333333333333</v>
      </c>
      <c r="X547" s="41">
        <f>IFERROR(VLOOKUP(TA[[#This Row],[Date]],Raw_Data[[Date]:[Sunset Time (POA&lt;20 W/m2)]],3,0),"")</f>
        <v>0.25208333333333333</v>
      </c>
      <c r="Y547" s="34">
        <v>0.67361111111111105</v>
      </c>
      <c r="Z547" s="34">
        <v>0.69791666666666696</v>
      </c>
      <c r="AA547" s="35">
        <f>IF(TA[[#This Row],[Work Start time on Fault]]="NA","",(TA[[#This Row],[Fault Acknowledgement Time ]]-TA[[#This Row],[Fault Time]])*24)</f>
        <v>0</v>
      </c>
      <c r="AB547" s="35">
        <f>(TA[[#This Row],[Work Start time on Fault]]-TA[[#This Row],[Fault Time]])*24</f>
        <v>10.116666666666665</v>
      </c>
      <c r="AC547" s="34">
        <f>(TA[[#This Row],[Work Completion time on fault]]-TA[[#This Row],[Fault Time]])*24</f>
        <v>10.700000000000006</v>
      </c>
      <c r="AD547" s="35">
        <f>IFERROR((TA[[#This Row],[Work Completion time on fault]]-TA[[#This Row],[Fault Time]])*24,"")</f>
        <v>10.700000000000006</v>
      </c>
      <c r="AE547" t="s">
        <v>313</v>
      </c>
      <c r="AF547" t="s">
        <v>249</v>
      </c>
      <c r="AG547" s="2"/>
      <c r="AH547" s="44">
        <f>1-COS(RADIANS(TA[[#This Row],[Avg. Target Angle during Fault Time (Radians)]]-TA[[#This Row],[Angle of affected equipment ]]))</f>
        <v>0.11705240714107301</v>
      </c>
      <c r="AI547" s="35">
        <f>IFERROR(TA[[#This Row],[Breakdown Time]]*TA[[#This Row],[Plant Equivalent Weightage]],"")</f>
        <v>4.9195402298850631E-2</v>
      </c>
    </row>
    <row r="548" spans="1:35">
      <c r="A548" s="2">
        <f t="shared" si="26"/>
        <v>545</v>
      </c>
      <c r="B548" s="156">
        <f t="shared" si="27"/>
        <v>2026</v>
      </c>
      <c r="C548" s="129">
        <f t="shared" si="28"/>
        <v>2025</v>
      </c>
      <c r="D548" s="2" t="s">
        <v>155</v>
      </c>
      <c r="E548" s="2" t="s">
        <v>155</v>
      </c>
      <c r="F548" s="39">
        <v>45778</v>
      </c>
      <c r="G548" s="2">
        <f>DAY(EOMONTH(TA[[#This Row],[Month Year]],0))</f>
        <v>31</v>
      </c>
      <c r="H548" s="21">
        <v>45782</v>
      </c>
      <c r="I548" s="41">
        <f>IFERROR(VLOOKUP(TA[[#This Row],[Date]],Raw_Data[[Date]:[Sunset Time (POA&lt;20 W/m2)]],3,0),"")</f>
        <v>0.25208333333333333</v>
      </c>
      <c r="J548" s="41">
        <f>IFERROR(VLOOKUP(TA[[#This Row],[Date]],Raw_Data[[Date]:[Sunset Time (POA&lt;20 W/m2)]],4,0),"")</f>
        <v>0.77152777777777781</v>
      </c>
      <c r="K548" s="35">
        <f>IFERROR((TA[[#This Row],[Sunset Time (POA&lt;20 W/m2)]]-TA[[#This Row],[Sunrise Time (POA&gt;20 W/m2)]])*24,"")</f>
        <v>12.466666666666669</v>
      </c>
      <c r="L548" s="2" t="s">
        <v>322</v>
      </c>
      <c r="M548" s="42">
        <f>IFERROR(VLOOKUP(TA[[#This Row],[Affected Equipment]],'Basic Data'!$I$2:$K$40,3,0),"")</f>
        <v>4.5977011494252899E-3</v>
      </c>
      <c r="N548">
        <v>-28</v>
      </c>
      <c r="O548" t="s">
        <v>136</v>
      </c>
      <c r="P548" s="22" t="s">
        <v>316</v>
      </c>
      <c r="Q548" s="2" t="s">
        <v>320</v>
      </c>
      <c r="R548">
        <v>87</v>
      </c>
      <c r="S548" s="2">
        <v>17</v>
      </c>
      <c r="T548" t="s">
        <v>297</v>
      </c>
      <c r="U548" t="s">
        <v>300</v>
      </c>
      <c r="V548" t="s">
        <v>301</v>
      </c>
      <c r="W548" s="41">
        <f>IFERROR(VLOOKUP(TA[[#This Row],[Date]],Raw_Data[[Date]:[Sunset Time (POA&lt;20 W/m2)]],3,0),"")</f>
        <v>0.25208333333333333</v>
      </c>
      <c r="X548" s="41">
        <f>IFERROR(VLOOKUP(TA[[#This Row],[Date]],Raw_Data[[Date]:[Sunset Time (POA&lt;20 W/m2)]],3,0),"")</f>
        <v>0.25208333333333333</v>
      </c>
      <c r="Y548" s="34">
        <v>0.70833333333333304</v>
      </c>
      <c r="Z548" s="34">
        <v>0.74652777777777801</v>
      </c>
      <c r="AA548" s="35">
        <f>IF(TA[[#This Row],[Work Start time on Fault]]="NA","",(TA[[#This Row],[Fault Acknowledgement Time ]]-TA[[#This Row],[Fault Time]])*24)</f>
        <v>0</v>
      </c>
      <c r="AB548" s="35">
        <f>(TA[[#This Row],[Work Start time on Fault]]-TA[[#This Row],[Fault Time]])*24</f>
        <v>10.949999999999992</v>
      </c>
      <c r="AC548" s="34">
        <f>(TA[[#This Row],[Work Completion time on fault]]-TA[[#This Row],[Fault Time]])*24</f>
        <v>11.866666666666672</v>
      </c>
      <c r="AD548" s="35">
        <f>IFERROR((TA[[#This Row],[Work Completion time on fault]]-TA[[#This Row],[Fault Time]])*24,"")</f>
        <v>11.866666666666672</v>
      </c>
      <c r="AE548" t="s">
        <v>313</v>
      </c>
      <c r="AF548" t="s">
        <v>249</v>
      </c>
      <c r="AG548" s="2"/>
      <c r="AH548" s="44">
        <f>1-COS(RADIANS(TA[[#This Row],[Avg. Target Angle during Fault Time (Radians)]]-TA[[#This Row],[Angle of affected equipment ]]))</f>
        <v>0.11705240714107301</v>
      </c>
      <c r="AI548" s="35">
        <f>IFERROR(TA[[#This Row],[Breakdown Time]]*TA[[#This Row],[Plant Equivalent Weightage]],"")</f>
        <v>5.4559386973180135E-2</v>
      </c>
    </row>
    <row r="549" spans="1:35">
      <c r="A549" s="2">
        <f t="shared" si="26"/>
        <v>546</v>
      </c>
      <c r="B549" s="156">
        <f t="shared" si="27"/>
        <v>2026</v>
      </c>
      <c r="C549" s="129">
        <f t="shared" si="28"/>
        <v>2025</v>
      </c>
      <c r="D549" s="2" t="s">
        <v>155</v>
      </c>
      <c r="E549" s="2" t="s">
        <v>155</v>
      </c>
      <c r="F549" s="39">
        <v>45778</v>
      </c>
      <c r="G549" s="2">
        <f>DAY(EOMONTH(TA[[#This Row],[Month Year]],0))</f>
        <v>31</v>
      </c>
      <c r="H549" s="21">
        <v>45782</v>
      </c>
      <c r="I549" s="41">
        <f>IFERROR(VLOOKUP(TA[[#This Row],[Date]],Raw_Data[[Date]:[Sunset Time (POA&lt;20 W/m2)]],3,0),"")</f>
        <v>0.25208333333333333</v>
      </c>
      <c r="J549" s="41">
        <f>IFERROR(VLOOKUP(TA[[#This Row],[Date]],Raw_Data[[Date]:[Sunset Time (POA&lt;20 W/m2)]],4,0),"")</f>
        <v>0.77152777777777781</v>
      </c>
      <c r="K549" s="35">
        <f>IFERROR((TA[[#This Row],[Sunset Time (POA&lt;20 W/m2)]]-TA[[#This Row],[Sunrise Time (POA&gt;20 W/m2)]])*24,"")</f>
        <v>12.466666666666669</v>
      </c>
      <c r="L549" s="2" t="s">
        <v>322</v>
      </c>
      <c r="M549" s="42">
        <f>IFERROR(VLOOKUP(TA[[#This Row],[Affected Equipment]],'Basic Data'!$I$2:$K$40,3,0),"")</f>
        <v>4.5977011494252899E-3</v>
      </c>
      <c r="N549">
        <v>-28</v>
      </c>
      <c r="O549" t="s">
        <v>134</v>
      </c>
      <c r="P549" s="22" t="s">
        <v>316</v>
      </c>
      <c r="Q549" s="2" t="s">
        <v>320</v>
      </c>
      <c r="R549">
        <v>73</v>
      </c>
      <c r="S549" s="2">
        <v>34</v>
      </c>
      <c r="T549" t="s">
        <v>297</v>
      </c>
      <c r="U549" t="s">
        <v>300</v>
      </c>
      <c r="V549" t="s">
        <v>301</v>
      </c>
      <c r="W549" s="41">
        <f>IFERROR(VLOOKUP(TA[[#This Row],[Date]],Raw_Data[[Date]:[Sunset Time (POA&lt;20 W/m2)]],3,0),"")</f>
        <v>0.25208333333333333</v>
      </c>
      <c r="X549" s="41">
        <f>IFERROR(VLOOKUP(TA[[#This Row],[Date]],Raw_Data[[Date]:[Sunset Time (POA&lt;20 W/m2)]],3,0),"")</f>
        <v>0.25208333333333333</v>
      </c>
      <c r="Y549" s="34">
        <v>0.51388888888888895</v>
      </c>
      <c r="Z549" s="34">
        <v>0.53125</v>
      </c>
      <c r="AA549" s="35">
        <f>IF(TA[[#This Row],[Work Start time on Fault]]="NA","",(TA[[#This Row],[Fault Acknowledgement Time ]]-TA[[#This Row],[Fault Time]])*24)</f>
        <v>0</v>
      </c>
      <c r="AB549" s="35">
        <f>(TA[[#This Row],[Work Start time on Fault]]-TA[[#This Row],[Fault Time]])*24</f>
        <v>6.283333333333335</v>
      </c>
      <c r="AC549" s="34">
        <f>(TA[[#This Row],[Work Completion time on fault]]-TA[[#This Row],[Fault Time]])*24</f>
        <v>6.7</v>
      </c>
      <c r="AD549" s="35">
        <f>IFERROR((TA[[#This Row],[Work Completion time on fault]]-TA[[#This Row],[Fault Time]])*24,"")</f>
        <v>6.7</v>
      </c>
      <c r="AE549" t="s">
        <v>313</v>
      </c>
      <c r="AF549" t="s">
        <v>249</v>
      </c>
      <c r="AG549" s="2"/>
      <c r="AH549" s="44">
        <f>1-COS(RADIANS(TA[[#This Row],[Avg. Target Angle during Fault Time (Radians)]]-TA[[#This Row],[Angle of affected equipment ]]))</f>
        <v>0.11705240714107301</v>
      </c>
      <c r="AI549" s="35">
        <f>IFERROR(TA[[#This Row],[Breakdown Time]]*TA[[#This Row],[Plant Equivalent Weightage]],"")</f>
        <v>3.0804597701149444E-2</v>
      </c>
    </row>
    <row r="550" spans="1:35">
      <c r="A550" s="2">
        <f t="shared" si="26"/>
        <v>547</v>
      </c>
      <c r="B550" s="156">
        <f t="shared" si="27"/>
        <v>2026</v>
      </c>
      <c r="C550" s="129">
        <f t="shared" si="28"/>
        <v>2025</v>
      </c>
      <c r="D550" s="2" t="s">
        <v>155</v>
      </c>
      <c r="E550" s="2" t="s">
        <v>155</v>
      </c>
      <c r="F550" s="39">
        <v>45778</v>
      </c>
      <c r="G550" s="2">
        <f>DAY(EOMONTH(TA[[#This Row],[Month Year]],0))</f>
        <v>31</v>
      </c>
      <c r="H550" s="21">
        <v>45782</v>
      </c>
      <c r="I550" s="41">
        <f>IFERROR(VLOOKUP(TA[[#This Row],[Date]],Raw_Data[[Date]:[Sunset Time (POA&lt;20 W/m2)]],3,0),"")</f>
        <v>0.25208333333333333</v>
      </c>
      <c r="J550" s="41">
        <f>IFERROR(VLOOKUP(TA[[#This Row],[Date]],Raw_Data[[Date]:[Sunset Time (POA&lt;20 W/m2)]],4,0),"")</f>
        <v>0.77152777777777781</v>
      </c>
      <c r="K550" s="35">
        <f>IFERROR((TA[[#This Row],[Sunset Time (POA&lt;20 W/m2)]]-TA[[#This Row],[Sunrise Time (POA&gt;20 W/m2)]])*24,"")</f>
        <v>12.466666666666669</v>
      </c>
      <c r="L550" s="2" t="s">
        <v>294</v>
      </c>
      <c r="M550" s="42">
        <f>IFERROR(VLOOKUP(TA[[#This Row],[Affected Equipment]],'Basic Data'!$I$2:$K$40,3,0),"")</f>
        <v>1.7241379310344799E-3</v>
      </c>
      <c r="N550">
        <v>-28</v>
      </c>
      <c r="O550" t="s">
        <v>135</v>
      </c>
      <c r="P550" s="127" t="s">
        <v>318</v>
      </c>
      <c r="Q550" s="126" t="s">
        <v>318</v>
      </c>
      <c r="R550">
        <v>130</v>
      </c>
      <c r="S550" s="2">
        <v>37</v>
      </c>
      <c r="T550" t="s">
        <v>295</v>
      </c>
      <c r="U550" t="s">
        <v>300</v>
      </c>
      <c r="V550" t="s">
        <v>298</v>
      </c>
      <c r="W550" s="41"/>
      <c r="X550" s="41"/>
      <c r="Y550" s="34"/>
      <c r="Z550" s="34"/>
      <c r="AA550" s="35">
        <f>IF(TA[[#This Row],[Work Start time on Fault]]="NA","",(TA[[#This Row],[Fault Acknowledgement Time ]]-TA[[#This Row],[Fault Time]])*24)</f>
        <v>0</v>
      </c>
      <c r="AB550" s="35">
        <f>(TA[[#This Row],[Work Start time on Fault]]-TA[[#This Row],[Fault Time]])*24</f>
        <v>0</v>
      </c>
      <c r="AC550" s="34">
        <f>(TA[[#This Row],[Work Completion time on fault]]-TA[[#This Row],[Fault Time]])*24</f>
        <v>0</v>
      </c>
      <c r="AD550" s="35">
        <f>IFERROR((TA[[#This Row],[Work Completion time on fault]]-TA[[#This Row],[Fault Time]])*24,"")</f>
        <v>0</v>
      </c>
      <c r="AE550" t="s">
        <v>328</v>
      </c>
      <c r="AF550" t="s">
        <v>256</v>
      </c>
      <c r="AG550" s="2"/>
      <c r="AH550" s="44">
        <f>1-COS(RADIANS(TA[[#This Row],[Avg. Target Angle during Fault Time (Radians)]]-TA[[#This Row],[Angle of affected equipment ]]))</f>
        <v>0.11705240714107301</v>
      </c>
      <c r="AI550" s="35">
        <f>IFERROR(TA[[#This Row],[Breakdown Time]]*TA[[#This Row],[Plant Equivalent Weightage]],"")</f>
        <v>0</v>
      </c>
    </row>
    <row r="551" spans="1:35">
      <c r="A551" s="2">
        <f t="shared" ref="A551:A614" si="29">A550+1</f>
        <v>548</v>
      </c>
      <c r="B551" s="156">
        <f t="shared" si="27"/>
        <v>2026</v>
      </c>
      <c r="C551" s="129">
        <f t="shared" si="28"/>
        <v>2025</v>
      </c>
      <c r="D551" s="2" t="s">
        <v>155</v>
      </c>
      <c r="E551" s="2" t="s">
        <v>155</v>
      </c>
      <c r="F551" s="39">
        <v>45778</v>
      </c>
      <c r="G551" s="2">
        <f>DAY(EOMONTH(TA[[#This Row],[Month Year]],0))</f>
        <v>31</v>
      </c>
      <c r="H551" s="21">
        <v>45782</v>
      </c>
      <c r="I551" s="41">
        <f>IFERROR(VLOOKUP(TA[[#This Row],[Date]],Raw_Data[[Date]:[Sunset Time (POA&lt;20 W/m2)]],3,0),"")</f>
        <v>0.25208333333333333</v>
      </c>
      <c r="J551" s="41">
        <f>IFERROR(VLOOKUP(TA[[#This Row],[Date]],Raw_Data[[Date]:[Sunset Time (POA&lt;20 W/m2)]],4,0),"")</f>
        <v>0.77152777777777781</v>
      </c>
      <c r="K551" s="35">
        <f>IFERROR((TA[[#This Row],[Sunset Time (POA&lt;20 W/m2)]]-TA[[#This Row],[Sunrise Time (POA&gt;20 W/m2)]])*24,"")</f>
        <v>12.466666666666669</v>
      </c>
      <c r="L551" s="2" t="s">
        <v>294</v>
      </c>
      <c r="M551" s="42">
        <f>IFERROR(VLOOKUP(TA[[#This Row],[Affected Equipment]],'Basic Data'!$I$2:$K$40,3,0),"")</f>
        <v>1.7241379310344799E-3</v>
      </c>
      <c r="N551">
        <v>-28</v>
      </c>
      <c r="O551" t="s">
        <v>135</v>
      </c>
      <c r="P551" s="127" t="s">
        <v>318</v>
      </c>
      <c r="Q551" s="126" t="s">
        <v>318</v>
      </c>
      <c r="R551">
        <v>131</v>
      </c>
      <c r="S551" s="2">
        <v>38</v>
      </c>
      <c r="T551" t="s">
        <v>295</v>
      </c>
      <c r="U551" t="s">
        <v>300</v>
      </c>
      <c r="V551" t="s">
        <v>298</v>
      </c>
      <c r="W551" s="41"/>
      <c r="X551" s="41"/>
      <c r="Y551" s="34"/>
      <c r="Z551" s="34"/>
      <c r="AA551" s="35">
        <f>IF(TA[[#This Row],[Work Start time on Fault]]="NA","",(TA[[#This Row],[Fault Acknowledgement Time ]]-TA[[#This Row],[Fault Time]])*24)</f>
        <v>0</v>
      </c>
      <c r="AB551" s="35">
        <f>(TA[[#This Row],[Work Start time on Fault]]-TA[[#This Row],[Fault Time]])*24</f>
        <v>0</v>
      </c>
      <c r="AC551" s="34">
        <f>(TA[[#This Row],[Work Completion time on fault]]-TA[[#This Row],[Fault Time]])*24</f>
        <v>0</v>
      </c>
      <c r="AD551" s="35">
        <f>IFERROR((TA[[#This Row],[Work Completion time on fault]]-TA[[#This Row],[Fault Time]])*24,"")</f>
        <v>0</v>
      </c>
      <c r="AE551" t="s">
        <v>328</v>
      </c>
      <c r="AF551" t="s">
        <v>256</v>
      </c>
      <c r="AG551" s="2"/>
      <c r="AH551" s="44">
        <f>1-COS(RADIANS(TA[[#This Row],[Avg. Target Angle during Fault Time (Radians)]]-TA[[#This Row],[Angle of affected equipment ]]))</f>
        <v>0.11705240714107301</v>
      </c>
      <c r="AI551" s="35">
        <f>IFERROR(TA[[#This Row],[Breakdown Time]]*TA[[#This Row],[Plant Equivalent Weightage]],"")</f>
        <v>0</v>
      </c>
    </row>
    <row r="552" spans="1:35">
      <c r="A552" s="2">
        <f t="shared" si="29"/>
        <v>549</v>
      </c>
      <c r="B552" s="156">
        <f t="shared" si="27"/>
        <v>2026</v>
      </c>
      <c r="C552" s="129">
        <f t="shared" si="28"/>
        <v>2025</v>
      </c>
      <c r="D552" s="2" t="s">
        <v>155</v>
      </c>
      <c r="E552" s="2" t="s">
        <v>155</v>
      </c>
      <c r="F552" s="39">
        <v>45778</v>
      </c>
      <c r="G552" s="2">
        <f>DAY(EOMONTH(TA[[#This Row],[Month Year]],0))</f>
        <v>31</v>
      </c>
      <c r="H552" s="21">
        <v>45782</v>
      </c>
      <c r="I552" s="41">
        <f>IFERROR(VLOOKUP(TA[[#This Row],[Date]],Raw_Data[[Date]:[Sunset Time (POA&lt;20 W/m2)]],3,0),"")</f>
        <v>0.25208333333333333</v>
      </c>
      <c r="J552" s="41">
        <f>IFERROR(VLOOKUP(TA[[#This Row],[Date]],Raw_Data[[Date]:[Sunset Time (POA&lt;20 W/m2)]],4,0),"")</f>
        <v>0.77152777777777781</v>
      </c>
      <c r="K552" s="35">
        <f>IFERROR((TA[[#This Row],[Sunset Time (POA&lt;20 W/m2)]]-TA[[#This Row],[Sunrise Time (POA&gt;20 W/m2)]])*24,"")</f>
        <v>12.466666666666669</v>
      </c>
      <c r="L552" s="2" t="s">
        <v>294</v>
      </c>
      <c r="M552" s="42">
        <f>IFERROR(VLOOKUP(TA[[#This Row],[Affected Equipment]],'Basic Data'!$I$2:$K$40,3,0),"")</f>
        <v>1.7241379310344799E-3</v>
      </c>
      <c r="N552">
        <v>-28</v>
      </c>
      <c r="O552" t="s">
        <v>135</v>
      </c>
      <c r="P552" s="127" t="s">
        <v>318</v>
      </c>
      <c r="Q552" s="126" t="s">
        <v>318</v>
      </c>
      <c r="R552">
        <v>131</v>
      </c>
      <c r="S552" s="2">
        <v>39</v>
      </c>
      <c r="T552" t="s">
        <v>295</v>
      </c>
      <c r="U552" t="s">
        <v>300</v>
      </c>
      <c r="V552" t="s">
        <v>298</v>
      </c>
      <c r="W552" s="41"/>
      <c r="X552" s="41"/>
      <c r="Y552" s="34"/>
      <c r="Z552" s="34"/>
      <c r="AA552" s="35">
        <f>IF(TA[[#This Row],[Work Start time on Fault]]="NA","",(TA[[#This Row],[Fault Acknowledgement Time ]]-TA[[#This Row],[Fault Time]])*24)</f>
        <v>0</v>
      </c>
      <c r="AB552" s="35">
        <f>(TA[[#This Row],[Work Start time on Fault]]-TA[[#This Row],[Fault Time]])*24</f>
        <v>0</v>
      </c>
      <c r="AC552" s="34">
        <f>(TA[[#This Row],[Work Completion time on fault]]-TA[[#This Row],[Fault Time]])*24</f>
        <v>0</v>
      </c>
      <c r="AD552" s="35">
        <f>IFERROR((TA[[#This Row],[Work Completion time on fault]]-TA[[#This Row],[Fault Time]])*24,"")</f>
        <v>0</v>
      </c>
      <c r="AE552" t="s">
        <v>328</v>
      </c>
      <c r="AF552" t="s">
        <v>256</v>
      </c>
      <c r="AG552" s="2"/>
      <c r="AH552" s="44">
        <f>1-COS(RADIANS(TA[[#This Row],[Avg. Target Angle during Fault Time (Radians)]]-TA[[#This Row],[Angle of affected equipment ]]))</f>
        <v>0.11705240714107301</v>
      </c>
      <c r="AI552" s="35">
        <f>IFERROR(TA[[#This Row],[Breakdown Time]]*TA[[#This Row],[Plant Equivalent Weightage]],"")</f>
        <v>0</v>
      </c>
    </row>
    <row r="553" spans="1:35">
      <c r="A553" s="2">
        <f t="shared" si="29"/>
        <v>550</v>
      </c>
      <c r="B553" s="156">
        <f t="shared" si="27"/>
        <v>2026</v>
      </c>
      <c r="C553" s="129">
        <f t="shared" si="28"/>
        <v>2025</v>
      </c>
      <c r="D553" s="2" t="s">
        <v>155</v>
      </c>
      <c r="E553" s="2" t="s">
        <v>155</v>
      </c>
      <c r="F553" s="39">
        <v>45778</v>
      </c>
      <c r="G553" s="2">
        <f>DAY(EOMONTH(TA[[#This Row],[Month Year]],0))</f>
        <v>31</v>
      </c>
      <c r="H553" s="21">
        <v>45782</v>
      </c>
      <c r="I553" s="41">
        <f>IFERROR(VLOOKUP(TA[[#This Row],[Date]],Raw_Data[[Date]:[Sunset Time (POA&lt;20 W/m2)]],3,0),"")</f>
        <v>0.25208333333333333</v>
      </c>
      <c r="J553" s="41">
        <f>IFERROR(VLOOKUP(TA[[#This Row],[Date]],Raw_Data[[Date]:[Sunset Time (POA&lt;20 W/m2)]],4,0),"")</f>
        <v>0.77152777777777781</v>
      </c>
      <c r="K553" s="35">
        <f>IFERROR((TA[[#This Row],[Sunset Time (POA&lt;20 W/m2)]]-TA[[#This Row],[Sunrise Time (POA&gt;20 W/m2)]])*24,"")</f>
        <v>12.466666666666669</v>
      </c>
      <c r="L553" s="2" t="s">
        <v>296</v>
      </c>
      <c r="M553" s="42">
        <f>IFERROR(VLOOKUP(TA[[#This Row],[Affected Equipment]],'Basic Data'!$I$2:$K$40,3,0),"")</f>
        <v>8.6206896551724102E-3</v>
      </c>
      <c r="N553">
        <v>-28</v>
      </c>
      <c r="O553" t="s">
        <v>135</v>
      </c>
      <c r="P553" s="127" t="s">
        <v>318</v>
      </c>
      <c r="Q553" s="2" t="s">
        <v>321</v>
      </c>
      <c r="R553">
        <v>133</v>
      </c>
      <c r="S553" s="2">
        <v>26</v>
      </c>
      <c r="T553" t="s">
        <v>297</v>
      </c>
      <c r="U553" t="s">
        <v>300</v>
      </c>
      <c r="V553" t="s">
        <v>314</v>
      </c>
      <c r="W553" s="41">
        <f>IFERROR(VLOOKUP(TA[[#This Row],[Date]],Raw_Data[[Date]:[Sunset Time (POA&lt;20 W/m2)]],3,0),"")</f>
        <v>0.25208333333333333</v>
      </c>
      <c r="X553" s="41">
        <f>IFERROR(VLOOKUP(TA[[#This Row],[Date]],Raw_Data[[Date]:[Sunset Time (POA&lt;20 W/m2)]],3,0),"")</f>
        <v>0.25208333333333333</v>
      </c>
      <c r="Y553" s="34"/>
      <c r="Z553" s="34">
        <v>0.76041666666666663</v>
      </c>
      <c r="AA553" s="35">
        <f>IF(TA[[#This Row],[Work Start time on Fault]]="NA","",(TA[[#This Row],[Fault Acknowledgement Time ]]-TA[[#This Row],[Fault Time]])*24)</f>
        <v>0</v>
      </c>
      <c r="AB553" s="35">
        <f>(TA[[#This Row],[Work Start time on Fault]]-TA[[#This Row],[Fault Time]])*24</f>
        <v>-6.05</v>
      </c>
      <c r="AC553" s="34">
        <f>(TA[[#This Row],[Work Completion time on fault]]-TA[[#This Row],[Fault Time]])*24</f>
        <v>12.2</v>
      </c>
      <c r="AD553" s="35">
        <f>IFERROR((TA[[#This Row],[Work Completion time on fault]]-TA[[#This Row],[Fault Time]])*24,"")</f>
        <v>12.2</v>
      </c>
      <c r="AE553" t="s">
        <v>328</v>
      </c>
      <c r="AF553" t="s">
        <v>256</v>
      </c>
      <c r="AG553" s="2"/>
      <c r="AH553" s="44">
        <f>1-COS(RADIANS(TA[[#This Row],[Avg. Target Angle during Fault Time (Radians)]]-TA[[#This Row],[Angle of affected equipment ]]))</f>
        <v>0.11705240714107301</v>
      </c>
      <c r="AI553" s="35">
        <f>IFERROR(TA[[#This Row],[Breakdown Time]]*TA[[#This Row],[Plant Equivalent Weightage]],"")</f>
        <v>0.10517241379310339</v>
      </c>
    </row>
    <row r="554" spans="1:35">
      <c r="A554" s="2">
        <f t="shared" si="29"/>
        <v>551</v>
      </c>
      <c r="B554" s="156">
        <f t="shared" si="27"/>
        <v>2026</v>
      </c>
      <c r="C554" s="129">
        <f t="shared" si="28"/>
        <v>2025</v>
      </c>
      <c r="D554" s="2" t="s">
        <v>155</v>
      </c>
      <c r="E554" s="2" t="s">
        <v>155</v>
      </c>
      <c r="F554" s="39">
        <v>45778</v>
      </c>
      <c r="G554" s="2">
        <f>DAY(EOMONTH(TA[[#This Row],[Month Year]],0))</f>
        <v>31</v>
      </c>
      <c r="H554" s="21">
        <v>45782</v>
      </c>
      <c r="I554" s="41">
        <f>IFERROR(VLOOKUP(TA[[#This Row],[Date]],Raw_Data[[Date]:[Sunset Time (POA&lt;20 W/m2)]],3,0),"")</f>
        <v>0.25208333333333333</v>
      </c>
      <c r="J554" s="41">
        <f>IFERROR(VLOOKUP(TA[[#This Row],[Date]],Raw_Data[[Date]:[Sunset Time (POA&lt;20 W/m2)]],4,0),"")</f>
        <v>0.77152777777777781</v>
      </c>
      <c r="K554" s="35">
        <f>IFERROR((TA[[#This Row],[Sunset Time (POA&lt;20 W/m2)]]-TA[[#This Row],[Sunrise Time (POA&gt;20 W/m2)]])*24,"")</f>
        <v>12.466666666666669</v>
      </c>
      <c r="L554" s="2" t="s">
        <v>294</v>
      </c>
      <c r="M554" s="42">
        <f>IFERROR(VLOOKUP(TA[[#This Row],[Affected Equipment]],'Basic Data'!$I$2:$K$40,3,0),"")</f>
        <v>1.7241379310344799E-3</v>
      </c>
      <c r="N554">
        <v>-28</v>
      </c>
      <c r="O554" t="s">
        <v>133</v>
      </c>
      <c r="P554" s="127" t="s">
        <v>316</v>
      </c>
      <c r="Q554" s="126" t="s">
        <v>317</v>
      </c>
      <c r="R554">
        <v>7</v>
      </c>
      <c r="S554" s="2">
        <v>32</v>
      </c>
      <c r="T554" t="s">
        <v>295</v>
      </c>
      <c r="U554" t="s">
        <v>300</v>
      </c>
      <c r="V554" t="s">
        <v>298</v>
      </c>
      <c r="W554" s="41"/>
      <c r="X554" s="41"/>
      <c r="Y554" s="34"/>
      <c r="Z554" s="34"/>
      <c r="AA554" s="35">
        <f>IF(TA[[#This Row],[Work Start time on Fault]]="NA","",(TA[[#This Row],[Fault Acknowledgement Time ]]-TA[[#This Row],[Fault Time]])*24)</f>
        <v>0</v>
      </c>
      <c r="AB554" s="35">
        <f>(TA[[#This Row],[Work Start time on Fault]]-TA[[#This Row],[Fault Time]])*24</f>
        <v>0</v>
      </c>
      <c r="AC554" s="34">
        <f>(TA[[#This Row],[Work Completion time on fault]]-TA[[#This Row],[Fault Time]])*24</f>
        <v>0</v>
      </c>
      <c r="AD554" s="35">
        <f>IFERROR((TA[[#This Row],[Work Completion time on fault]]-TA[[#This Row],[Fault Time]])*24,"")</f>
        <v>0</v>
      </c>
      <c r="AE554" t="s">
        <v>328</v>
      </c>
      <c r="AF554" t="s">
        <v>256</v>
      </c>
      <c r="AG554" s="2"/>
      <c r="AH554" s="44">
        <f>1-COS(RADIANS(TA[[#This Row],[Avg. Target Angle during Fault Time (Radians)]]-TA[[#This Row],[Angle of affected equipment ]]))</f>
        <v>0.11705240714107301</v>
      </c>
      <c r="AI554" s="35">
        <f>IFERROR(TA[[#This Row],[Breakdown Time]]*TA[[#This Row],[Plant Equivalent Weightage]],"")</f>
        <v>0</v>
      </c>
    </row>
    <row r="555" spans="1:35">
      <c r="A555" s="2">
        <f t="shared" si="29"/>
        <v>552</v>
      </c>
      <c r="B555" s="156">
        <f t="shared" si="27"/>
        <v>2026</v>
      </c>
      <c r="C555" s="129">
        <f t="shared" si="28"/>
        <v>2025</v>
      </c>
      <c r="D555" s="2" t="s">
        <v>155</v>
      </c>
      <c r="E555" s="2" t="s">
        <v>155</v>
      </c>
      <c r="F555" s="39">
        <v>45778</v>
      </c>
      <c r="G555" s="2">
        <f>DAY(EOMONTH(TA[[#This Row],[Month Year]],0))</f>
        <v>31</v>
      </c>
      <c r="H555" s="21">
        <v>45782</v>
      </c>
      <c r="I555" s="41">
        <f>IFERROR(VLOOKUP(TA[[#This Row],[Date]],Raw_Data[[Date]:[Sunset Time (POA&lt;20 W/m2)]],3,0),"")</f>
        <v>0.25208333333333333</v>
      </c>
      <c r="J555" s="41">
        <f>IFERROR(VLOOKUP(TA[[#This Row],[Date]],Raw_Data[[Date]:[Sunset Time (POA&lt;20 W/m2)]],4,0),"")</f>
        <v>0.77152777777777781</v>
      </c>
      <c r="K555" s="35">
        <f>IFERROR((TA[[#This Row],[Sunset Time (POA&lt;20 W/m2)]]-TA[[#This Row],[Sunrise Time (POA&gt;20 W/m2)]])*24,"")</f>
        <v>12.466666666666669</v>
      </c>
      <c r="L555" s="2" t="s">
        <v>294</v>
      </c>
      <c r="M555" s="42">
        <f>IFERROR(VLOOKUP(TA[[#This Row],[Affected Equipment]],'Basic Data'!$I$2:$K$40,3,0),"")</f>
        <v>1.7241379310344799E-3</v>
      </c>
      <c r="N555">
        <v>-28</v>
      </c>
      <c r="O555" t="s">
        <v>137</v>
      </c>
      <c r="P555" s="127" t="s">
        <v>315</v>
      </c>
      <c r="Q555" s="126" t="s">
        <v>319</v>
      </c>
      <c r="R555">
        <v>166</v>
      </c>
      <c r="S555" s="2">
        <v>91</v>
      </c>
      <c r="T555" t="s">
        <v>295</v>
      </c>
      <c r="U555" t="s">
        <v>300</v>
      </c>
      <c r="V555" t="s">
        <v>298</v>
      </c>
      <c r="W555" s="41"/>
      <c r="X555" s="41"/>
      <c r="Y555" s="34"/>
      <c r="Z555" s="34"/>
      <c r="AA555" s="35">
        <f>IF(TA[[#This Row],[Work Start time on Fault]]="NA","",(TA[[#This Row],[Fault Acknowledgement Time ]]-TA[[#This Row],[Fault Time]])*24)</f>
        <v>0</v>
      </c>
      <c r="AB555" s="35">
        <f>(TA[[#This Row],[Work Start time on Fault]]-TA[[#This Row],[Fault Time]])*24</f>
        <v>0</v>
      </c>
      <c r="AC555" s="34">
        <f>(TA[[#This Row],[Work Completion time on fault]]-TA[[#This Row],[Fault Time]])*24</f>
        <v>0</v>
      </c>
      <c r="AD555" s="35">
        <f>IFERROR((TA[[#This Row],[Work Completion time on fault]]-TA[[#This Row],[Fault Time]])*24,"")</f>
        <v>0</v>
      </c>
      <c r="AE555" t="s">
        <v>328</v>
      </c>
      <c r="AF555" t="s">
        <v>256</v>
      </c>
      <c r="AG555" s="2"/>
      <c r="AH555" s="44">
        <f>1-COS(RADIANS(TA[[#This Row],[Avg. Target Angle during Fault Time (Radians)]]-TA[[#This Row],[Angle of affected equipment ]]))</f>
        <v>0.11705240714107301</v>
      </c>
      <c r="AI555" s="35">
        <f>IFERROR(TA[[#This Row],[Breakdown Time]]*TA[[#This Row],[Plant Equivalent Weightage]],"")</f>
        <v>0</v>
      </c>
    </row>
    <row r="556" spans="1:35">
      <c r="A556" s="2">
        <f t="shared" si="29"/>
        <v>553</v>
      </c>
      <c r="B556" s="156">
        <f t="shared" si="27"/>
        <v>2026</v>
      </c>
      <c r="C556" s="129">
        <f t="shared" si="28"/>
        <v>2025</v>
      </c>
      <c r="D556" s="2" t="s">
        <v>155</v>
      </c>
      <c r="E556" s="2" t="s">
        <v>155</v>
      </c>
      <c r="F556" s="39">
        <v>45778</v>
      </c>
      <c r="G556" s="2">
        <f>DAY(EOMONTH(TA[[#This Row],[Month Year]],0))</f>
        <v>31</v>
      </c>
      <c r="H556" s="21">
        <v>45782</v>
      </c>
      <c r="I556" s="41">
        <f>IFERROR(VLOOKUP(TA[[#This Row],[Date]],Raw_Data[[Date]:[Sunset Time (POA&lt;20 W/m2)]],3,0),"")</f>
        <v>0.25208333333333333</v>
      </c>
      <c r="J556" s="41">
        <f>IFERROR(VLOOKUP(TA[[#This Row],[Date]],Raw_Data[[Date]:[Sunset Time (POA&lt;20 W/m2)]],4,0),"")</f>
        <v>0.77152777777777781</v>
      </c>
      <c r="K556" s="35">
        <f>IFERROR((TA[[#This Row],[Sunset Time (POA&lt;20 W/m2)]]-TA[[#This Row],[Sunrise Time (POA&gt;20 W/m2)]])*24,"")</f>
        <v>12.466666666666669</v>
      </c>
      <c r="L556" s="2" t="s">
        <v>294</v>
      </c>
      <c r="M556" s="42">
        <f>IFERROR(VLOOKUP(TA[[#This Row],[Affected Equipment]],'Basic Data'!$I$2:$K$40,3,0),"")</f>
        <v>1.7241379310344799E-3</v>
      </c>
      <c r="N556">
        <v>-28</v>
      </c>
      <c r="O556" t="s">
        <v>133</v>
      </c>
      <c r="P556" s="127" t="s">
        <v>316</v>
      </c>
      <c r="Q556" s="126" t="s">
        <v>316</v>
      </c>
      <c r="R556">
        <v>117</v>
      </c>
      <c r="S556" s="2">
        <v>20</v>
      </c>
      <c r="T556" t="s">
        <v>295</v>
      </c>
      <c r="U556" t="s">
        <v>300</v>
      </c>
      <c r="V556" t="s">
        <v>298</v>
      </c>
      <c r="W556" s="41"/>
      <c r="X556" s="41"/>
      <c r="Y556" s="34"/>
      <c r="Z556" s="34"/>
      <c r="AA556" s="35">
        <f>IF(TA[[#This Row],[Work Start time on Fault]]="NA","",(TA[[#This Row],[Fault Acknowledgement Time ]]-TA[[#This Row],[Fault Time]])*24)</f>
        <v>0</v>
      </c>
      <c r="AB556" s="35">
        <f>(TA[[#This Row],[Work Start time on Fault]]-TA[[#This Row],[Fault Time]])*24</f>
        <v>0</v>
      </c>
      <c r="AC556" s="34">
        <f>(TA[[#This Row],[Work Completion time on fault]]-TA[[#This Row],[Fault Time]])*24</f>
        <v>0</v>
      </c>
      <c r="AD556" s="35">
        <f>IFERROR((TA[[#This Row],[Work Completion time on fault]]-TA[[#This Row],[Fault Time]])*24,"")</f>
        <v>0</v>
      </c>
      <c r="AE556" t="s">
        <v>328</v>
      </c>
      <c r="AF556" t="s">
        <v>256</v>
      </c>
      <c r="AG556" s="2"/>
      <c r="AH556" s="44">
        <f>1-COS(RADIANS(TA[[#This Row],[Avg. Target Angle during Fault Time (Radians)]]-TA[[#This Row],[Angle of affected equipment ]]))</f>
        <v>0.11705240714107301</v>
      </c>
      <c r="AI556" s="35">
        <f>IFERROR(TA[[#This Row],[Breakdown Time]]*TA[[#This Row],[Plant Equivalent Weightage]],"")</f>
        <v>0</v>
      </c>
    </row>
    <row r="557" spans="1:35">
      <c r="A557" s="2">
        <f t="shared" si="29"/>
        <v>554</v>
      </c>
      <c r="B557" s="156">
        <f t="shared" si="27"/>
        <v>2026</v>
      </c>
      <c r="C557" s="129">
        <f t="shared" si="28"/>
        <v>2025</v>
      </c>
      <c r="D557" s="2" t="s">
        <v>155</v>
      </c>
      <c r="E557" s="2" t="s">
        <v>155</v>
      </c>
      <c r="F557" s="39">
        <v>45778</v>
      </c>
      <c r="G557" s="2">
        <f>DAY(EOMONTH(TA[[#This Row],[Month Year]],0))</f>
        <v>31</v>
      </c>
      <c r="H557" s="21">
        <v>45782</v>
      </c>
      <c r="I557" s="41">
        <f>IFERROR(VLOOKUP(TA[[#This Row],[Date]],Raw_Data[[Date]:[Sunset Time (POA&lt;20 W/m2)]],3,0),"")</f>
        <v>0.25208333333333333</v>
      </c>
      <c r="J557" s="41">
        <f>IFERROR(VLOOKUP(TA[[#This Row],[Date]],Raw_Data[[Date]:[Sunset Time (POA&lt;20 W/m2)]],4,0),"")</f>
        <v>0.77152777777777781</v>
      </c>
      <c r="K557" s="35">
        <f>IFERROR((TA[[#This Row],[Sunset Time (POA&lt;20 W/m2)]]-TA[[#This Row],[Sunrise Time (POA&gt;20 W/m2)]])*24,"")</f>
        <v>12.466666666666669</v>
      </c>
      <c r="L557" s="2" t="s">
        <v>294</v>
      </c>
      <c r="M557" s="42">
        <f>IFERROR(VLOOKUP(TA[[#This Row],[Affected Equipment]],'Basic Data'!$I$2:$K$40,3,0),"")</f>
        <v>1.7241379310344799E-3</v>
      </c>
      <c r="N557">
        <v>-28</v>
      </c>
      <c r="O557" t="s">
        <v>133</v>
      </c>
      <c r="P557" s="127" t="s">
        <v>316</v>
      </c>
      <c r="Q557" s="126" t="s">
        <v>316</v>
      </c>
      <c r="R557">
        <v>118</v>
      </c>
      <c r="S557" s="2">
        <v>22</v>
      </c>
      <c r="T557" t="s">
        <v>295</v>
      </c>
      <c r="U557" t="s">
        <v>300</v>
      </c>
      <c r="V557" t="s">
        <v>298</v>
      </c>
      <c r="W557" s="41"/>
      <c r="X557" s="41"/>
      <c r="Y557" s="34"/>
      <c r="Z557" s="34"/>
      <c r="AA557" s="35">
        <f>IF(TA[[#This Row],[Work Start time on Fault]]="NA","",(TA[[#This Row],[Fault Acknowledgement Time ]]-TA[[#This Row],[Fault Time]])*24)</f>
        <v>0</v>
      </c>
      <c r="AB557" s="35">
        <f>(TA[[#This Row],[Work Start time on Fault]]-TA[[#This Row],[Fault Time]])*24</f>
        <v>0</v>
      </c>
      <c r="AC557" s="34">
        <f>(TA[[#This Row],[Work Completion time on fault]]-TA[[#This Row],[Fault Time]])*24</f>
        <v>0</v>
      </c>
      <c r="AD557" s="35">
        <f>IFERROR((TA[[#This Row],[Work Completion time on fault]]-TA[[#This Row],[Fault Time]])*24,"")</f>
        <v>0</v>
      </c>
      <c r="AE557" t="s">
        <v>328</v>
      </c>
      <c r="AF557" t="s">
        <v>256</v>
      </c>
      <c r="AG557" s="2"/>
      <c r="AH557" s="44">
        <f>1-COS(RADIANS(TA[[#This Row],[Avg. Target Angle during Fault Time (Radians)]]-TA[[#This Row],[Angle of affected equipment ]]))</f>
        <v>0.11705240714107301</v>
      </c>
      <c r="AI557" s="35">
        <f>IFERROR(TA[[#This Row],[Breakdown Time]]*TA[[#This Row],[Plant Equivalent Weightage]],"")</f>
        <v>0</v>
      </c>
    </row>
    <row r="558" spans="1:35">
      <c r="A558" s="2">
        <f t="shared" si="29"/>
        <v>555</v>
      </c>
      <c r="B558" s="156">
        <f t="shared" si="27"/>
        <v>2026</v>
      </c>
      <c r="C558" s="129">
        <f t="shared" si="28"/>
        <v>2025</v>
      </c>
      <c r="D558" s="2" t="s">
        <v>155</v>
      </c>
      <c r="E558" s="2" t="s">
        <v>155</v>
      </c>
      <c r="F558" s="39">
        <v>45778</v>
      </c>
      <c r="G558" s="2">
        <f>DAY(EOMONTH(TA[[#This Row],[Month Year]],0))</f>
        <v>31</v>
      </c>
      <c r="H558" s="21">
        <v>45782</v>
      </c>
      <c r="I558" s="41">
        <f>IFERROR(VLOOKUP(TA[[#This Row],[Date]],Raw_Data[[Date]:[Sunset Time (POA&lt;20 W/m2)]],3,0),"")</f>
        <v>0.25208333333333333</v>
      </c>
      <c r="J558" s="41">
        <f>IFERROR(VLOOKUP(TA[[#This Row],[Date]],Raw_Data[[Date]:[Sunset Time (POA&lt;20 W/m2)]],4,0),"")</f>
        <v>0.77152777777777781</v>
      </c>
      <c r="K558" s="35">
        <f>IFERROR((TA[[#This Row],[Sunset Time (POA&lt;20 W/m2)]]-TA[[#This Row],[Sunrise Time (POA&gt;20 W/m2)]])*24,"")</f>
        <v>12.466666666666669</v>
      </c>
      <c r="L558" s="2" t="s">
        <v>296</v>
      </c>
      <c r="M558" s="42">
        <f>IFERROR(VLOOKUP(TA[[#This Row],[Affected Equipment]],'Basic Data'!$I$2:$K$40,3,0),"")</f>
        <v>8.6206896551724102E-3</v>
      </c>
      <c r="N558">
        <v>-28</v>
      </c>
      <c r="O558" t="s">
        <v>135</v>
      </c>
      <c r="P558" s="22" t="s">
        <v>323</v>
      </c>
      <c r="Q558" s="2" t="s">
        <v>329</v>
      </c>
      <c r="R558">
        <v>45</v>
      </c>
      <c r="S558" s="2">
        <v>8</v>
      </c>
      <c r="T558" t="s">
        <v>297</v>
      </c>
      <c r="U558" t="s">
        <v>300</v>
      </c>
      <c r="V558" t="s">
        <v>301</v>
      </c>
      <c r="W558" s="41"/>
      <c r="X558" s="41"/>
      <c r="Y558" s="34"/>
      <c r="Z558" s="34"/>
      <c r="AA558" s="35">
        <f>IF(TA[[#This Row],[Work Start time on Fault]]="NA","",(TA[[#This Row],[Fault Acknowledgement Time ]]-TA[[#This Row],[Fault Time]])*24)</f>
        <v>0</v>
      </c>
      <c r="AB558" s="35">
        <f>(TA[[#This Row],[Work Start time on Fault]]-TA[[#This Row],[Fault Time]])*24</f>
        <v>0</v>
      </c>
      <c r="AC558" s="34">
        <f>(TA[[#This Row],[Work Completion time on fault]]-TA[[#This Row],[Fault Time]])*24</f>
        <v>0</v>
      </c>
      <c r="AD558" s="35">
        <f>IFERROR((TA[[#This Row],[Work Completion time on fault]]-TA[[#This Row],[Fault Time]])*24,"")</f>
        <v>0</v>
      </c>
      <c r="AE558" t="s">
        <v>328</v>
      </c>
      <c r="AF558" t="s">
        <v>256</v>
      </c>
      <c r="AG558" s="2"/>
      <c r="AH558" s="44">
        <f>1-COS(RADIANS(TA[[#This Row],[Avg. Target Angle during Fault Time (Radians)]]-TA[[#This Row],[Angle of affected equipment ]]))</f>
        <v>0.11705240714107301</v>
      </c>
      <c r="AI558" s="35">
        <f>IFERROR(TA[[#This Row],[Breakdown Time]]*TA[[#This Row],[Plant Equivalent Weightage]],"")</f>
        <v>0</v>
      </c>
    </row>
    <row r="559" spans="1:35">
      <c r="A559" s="2">
        <f t="shared" si="29"/>
        <v>556</v>
      </c>
      <c r="B559" s="156">
        <f t="shared" si="27"/>
        <v>2026</v>
      </c>
      <c r="C559" s="129">
        <f t="shared" si="28"/>
        <v>2025</v>
      </c>
      <c r="D559" s="2" t="s">
        <v>155</v>
      </c>
      <c r="E559" s="2" t="s">
        <v>155</v>
      </c>
      <c r="F559" s="39">
        <v>45778</v>
      </c>
      <c r="G559" s="2">
        <f>DAY(EOMONTH(TA[[#This Row],[Month Year]],0))</f>
        <v>31</v>
      </c>
      <c r="H559" s="21">
        <v>45782</v>
      </c>
      <c r="I559" s="41">
        <f>IFERROR(VLOOKUP(TA[[#This Row],[Date]],Raw_Data[[Date]:[Sunset Time (POA&lt;20 W/m2)]],3,0),"")</f>
        <v>0.25208333333333333</v>
      </c>
      <c r="J559" s="41">
        <f>IFERROR(VLOOKUP(TA[[#This Row],[Date]],Raw_Data[[Date]:[Sunset Time (POA&lt;20 W/m2)]],4,0),"")</f>
        <v>0.77152777777777781</v>
      </c>
      <c r="K559" s="35">
        <f>IFERROR((TA[[#This Row],[Sunset Time (POA&lt;20 W/m2)]]-TA[[#This Row],[Sunrise Time (POA&gt;20 W/m2)]])*24,"")</f>
        <v>12.466666666666669</v>
      </c>
      <c r="L559" s="2" t="s">
        <v>296</v>
      </c>
      <c r="M559" s="42">
        <f>IFERROR(VLOOKUP(TA[[#This Row],[Affected Equipment]],'Basic Data'!$I$2:$K$40,3,0),"")</f>
        <v>8.6206896551724102E-3</v>
      </c>
      <c r="N559">
        <v>-28</v>
      </c>
      <c r="O559" t="s">
        <v>135</v>
      </c>
      <c r="P559" s="22" t="s">
        <v>323</v>
      </c>
      <c r="Q559" s="2" t="s">
        <v>329</v>
      </c>
      <c r="R559">
        <v>47</v>
      </c>
      <c r="S559" s="2">
        <v>18</v>
      </c>
      <c r="T559" t="s">
        <v>297</v>
      </c>
      <c r="U559" t="s">
        <v>300</v>
      </c>
      <c r="V559" t="s">
        <v>301</v>
      </c>
      <c r="W559" s="41"/>
      <c r="X559" s="41"/>
      <c r="Y559" s="34"/>
      <c r="Z559" s="34"/>
      <c r="AA559" s="35">
        <f>IF(TA[[#This Row],[Work Start time on Fault]]="NA","",(TA[[#This Row],[Fault Acknowledgement Time ]]-TA[[#This Row],[Fault Time]])*24)</f>
        <v>0</v>
      </c>
      <c r="AB559" s="35">
        <f>(TA[[#This Row],[Work Start time on Fault]]-TA[[#This Row],[Fault Time]])*24</f>
        <v>0</v>
      </c>
      <c r="AC559" s="34">
        <f>(TA[[#This Row],[Work Completion time on fault]]-TA[[#This Row],[Fault Time]])*24</f>
        <v>0</v>
      </c>
      <c r="AD559" s="35">
        <f>IFERROR((TA[[#This Row],[Work Completion time on fault]]-TA[[#This Row],[Fault Time]])*24,"")</f>
        <v>0</v>
      </c>
      <c r="AE559" t="s">
        <v>328</v>
      </c>
      <c r="AF559" t="s">
        <v>256</v>
      </c>
      <c r="AG559" s="2"/>
      <c r="AH559" s="44">
        <f>1-COS(RADIANS(TA[[#This Row],[Avg. Target Angle during Fault Time (Radians)]]-TA[[#This Row],[Angle of affected equipment ]]))</f>
        <v>0.11705240714107301</v>
      </c>
      <c r="AI559" s="35">
        <f>IFERROR(TA[[#This Row],[Breakdown Time]]*TA[[#This Row],[Plant Equivalent Weightage]],"")</f>
        <v>0</v>
      </c>
    </row>
    <row r="560" spans="1:35">
      <c r="A560" s="2">
        <f t="shared" si="29"/>
        <v>557</v>
      </c>
      <c r="B560" s="156">
        <f t="shared" si="27"/>
        <v>2026</v>
      </c>
      <c r="C560" s="129">
        <f t="shared" si="28"/>
        <v>2025</v>
      </c>
      <c r="D560" s="2" t="s">
        <v>155</v>
      </c>
      <c r="E560" s="2" t="s">
        <v>155</v>
      </c>
      <c r="F560" s="39">
        <v>45778</v>
      </c>
      <c r="G560" s="2">
        <f>DAY(EOMONTH(TA[[#This Row],[Month Year]],0))</f>
        <v>31</v>
      </c>
      <c r="H560" s="21">
        <v>45782</v>
      </c>
      <c r="I560" s="41">
        <f>IFERROR(VLOOKUP(TA[[#This Row],[Date]],Raw_Data[[Date]:[Sunset Time (POA&lt;20 W/m2)]],3,0),"")</f>
        <v>0.25208333333333333</v>
      </c>
      <c r="J560" s="41">
        <f>IFERROR(VLOOKUP(TA[[#This Row],[Date]],Raw_Data[[Date]:[Sunset Time (POA&lt;20 W/m2)]],4,0),"")</f>
        <v>0.77152777777777781</v>
      </c>
      <c r="K560" s="35">
        <f>IFERROR((TA[[#This Row],[Sunset Time (POA&lt;20 W/m2)]]-TA[[#This Row],[Sunrise Time (POA&gt;20 W/m2)]])*24,"")</f>
        <v>12.466666666666669</v>
      </c>
      <c r="L560" s="2" t="s">
        <v>296</v>
      </c>
      <c r="M560" s="42">
        <f>IFERROR(VLOOKUP(TA[[#This Row],[Affected Equipment]],'Basic Data'!$I$2:$K$40,3,0),"")</f>
        <v>8.6206896551724102E-3</v>
      </c>
      <c r="N560">
        <v>-28</v>
      </c>
      <c r="O560" t="s">
        <v>134</v>
      </c>
      <c r="P560" s="22" t="s">
        <v>330</v>
      </c>
      <c r="Q560" s="2" t="s">
        <v>323</v>
      </c>
      <c r="R560">
        <v>30</v>
      </c>
      <c r="S560" s="2">
        <v>57</v>
      </c>
      <c r="T560" t="s">
        <v>297</v>
      </c>
      <c r="U560" t="s">
        <v>300</v>
      </c>
      <c r="V560" t="s">
        <v>301</v>
      </c>
      <c r="W560" s="41"/>
      <c r="X560" s="41"/>
      <c r="Y560" s="34"/>
      <c r="Z560" s="34"/>
      <c r="AA560" s="35">
        <f>IF(TA[[#This Row],[Work Start time on Fault]]="NA","",(TA[[#This Row],[Fault Acknowledgement Time ]]-TA[[#This Row],[Fault Time]])*24)</f>
        <v>0</v>
      </c>
      <c r="AB560" s="35">
        <f>(TA[[#This Row],[Work Start time on Fault]]-TA[[#This Row],[Fault Time]])*24</f>
        <v>0</v>
      </c>
      <c r="AC560" s="34">
        <f>(TA[[#This Row],[Work Completion time on fault]]-TA[[#This Row],[Fault Time]])*24</f>
        <v>0</v>
      </c>
      <c r="AD560" s="35">
        <f>IFERROR((TA[[#This Row],[Work Completion time on fault]]-TA[[#This Row],[Fault Time]])*24,"")</f>
        <v>0</v>
      </c>
      <c r="AE560" t="s">
        <v>328</v>
      </c>
      <c r="AF560" t="s">
        <v>256</v>
      </c>
      <c r="AG560" s="2"/>
      <c r="AH560" s="44">
        <f>1-COS(RADIANS(TA[[#This Row],[Avg. Target Angle during Fault Time (Radians)]]-TA[[#This Row],[Angle of affected equipment ]]))</f>
        <v>0.11705240714107301</v>
      </c>
      <c r="AI560" s="35">
        <f>IFERROR(TA[[#This Row],[Breakdown Time]]*TA[[#This Row],[Plant Equivalent Weightage]],"")</f>
        <v>0</v>
      </c>
    </row>
    <row r="561" spans="1:35">
      <c r="A561" s="2">
        <f t="shared" si="29"/>
        <v>558</v>
      </c>
      <c r="B561" s="156">
        <f t="shared" si="27"/>
        <v>2026</v>
      </c>
      <c r="C561" s="129">
        <f t="shared" si="28"/>
        <v>2025</v>
      </c>
      <c r="D561" s="2" t="s">
        <v>155</v>
      </c>
      <c r="E561" s="2" t="s">
        <v>155</v>
      </c>
      <c r="F561" s="39">
        <v>45778</v>
      </c>
      <c r="G561" s="2">
        <f>DAY(EOMONTH(TA[[#This Row],[Month Year]],0))</f>
        <v>31</v>
      </c>
      <c r="H561" s="21">
        <v>45782</v>
      </c>
      <c r="I561" s="41">
        <f>IFERROR(VLOOKUP(TA[[#This Row],[Date]],Raw_Data[[Date]:[Sunset Time (POA&lt;20 W/m2)]],3,0),"")</f>
        <v>0.25208333333333333</v>
      </c>
      <c r="J561" s="41">
        <f>IFERROR(VLOOKUP(TA[[#This Row],[Date]],Raw_Data[[Date]:[Sunset Time (POA&lt;20 W/m2)]],4,0),"")</f>
        <v>0.77152777777777781</v>
      </c>
      <c r="K561" s="35">
        <f>IFERROR((TA[[#This Row],[Sunset Time (POA&lt;20 W/m2)]]-TA[[#This Row],[Sunrise Time (POA&gt;20 W/m2)]])*24,"")</f>
        <v>12.466666666666669</v>
      </c>
      <c r="L561" s="2" t="s">
        <v>296</v>
      </c>
      <c r="M561" s="42">
        <f>IFERROR(VLOOKUP(TA[[#This Row],[Affected Equipment]],'Basic Data'!$I$2:$K$40,3,0),"")</f>
        <v>8.6206896551724102E-3</v>
      </c>
      <c r="N561">
        <v>-28</v>
      </c>
      <c r="O561" t="s">
        <v>134</v>
      </c>
      <c r="P561" s="22" t="s">
        <v>330</v>
      </c>
      <c r="Q561" s="2" t="s">
        <v>323</v>
      </c>
      <c r="R561">
        <v>31</v>
      </c>
      <c r="S561" s="2">
        <v>61</v>
      </c>
      <c r="T561" t="s">
        <v>297</v>
      </c>
      <c r="U561" t="s">
        <v>300</v>
      </c>
      <c r="V561" t="s">
        <v>301</v>
      </c>
      <c r="W561" s="41"/>
      <c r="X561" s="41"/>
      <c r="Y561" s="34"/>
      <c r="Z561" s="34"/>
      <c r="AA561" s="35">
        <f>IF(TA[[#This Row],[Work Start time on Fault]]="NA","",(TA[[#This Row],[Fault Acknowledgement Time ]]-TA[[#This Row],[Fault Time]])*24)</f>
        <v>0</v>
      </c>
      <c r="AB561" s="35">
        <f>(TA[[#This Row],[Work Start time on Fault]]-TA[[#This Row],[Fault Time]])*24</f>
        <v>0</v>
      </c>
      <c r="AC561" s="34">
        <f>(TA[[#This Row],[Work Completion time on fault]]-TA[[#This Row],[Fault Time]])*24</f>
        <v>0</v>
      </c>
      <c r="AD561" s="35">
        <f>IFERROR((TA[[#This Row],[Work Completion time on fault]]-TA[[#This Row],[Fault Time]])*24,"")</f>
        <v>0</v>
      </c>
      <c r="AE561" t="s">
        <v>328</v>
      </c>
      <c r="AF561" t="s">
        <v>256</v>
      </c>
      <c r="AG561" s="2"/>
      <c r="AH561" s="44">
        <f>1-COS(RADIANS(TA[[#This Row],[Avg. Target Angle during Fault Time (Radians)]]-TA[[#This Row],[Angle of affected equipment ]]))</f>
        <v>0.11705240714107301</v>
      </c>
      <c r="AI561" s="35">
        <f>IFERROR(TA[[#This Row],[Breakdown Time]]*TA[[#This Row],[Plant Equivalent Weightage]],"")</f>
        <v>0</v>
      </c>
    </row>
    <row r="562" spans="1:35">
      <c r="A562" s="2">
        <f t="shared" si="29"/>
        <v>559</v>
      </c>
      <c r="B562" s="156">
        <f t="shared" si="27"/>
        <v>2026</v>
      </c>
      <c r="C562" s="129">
        <f t="shared" si="28"/>
        <v>2025</v>
      </c>
      <c r="D562" s="2" t="s">
        <v>155</v>
      </c>
      <c r="E562" s="2" t="s">
        <v>155</v>
      </c>
      <c r="F562" s="39">
        <v>45778</v>
      </c>
      <c r="G562" s="2">
        <f>DAY(EOMONTH(TA[[#This Row],[Month Year]],0))</f>
        <v>31</v>
      </c>
      <c r="H562" s="21">
        <v>45782</v>
      </c>
      <c r="I562" s="41">
        <f>IFERROR(VLOOKUP(TA[[#This Row],[Date]],Raw_Data[[Date]:[Sunset Time (POA&lt;20 W/m2)]],3,0),"")</f>
        <v>0.25208333333333333</v>
      </c>
      <c r="J562" s="41">
        <f>IFERROR(VLOOKUP(TA[[#This Row],[Date]],Raw_Data[[Date]:[Sunset Time (POA&lt;20 W/m2)]],4,0),"")</f>
        <v>0.77152777777777781</v>
      </c>
      <c r="K562" s="35">
        <f>IFERROR((TA[[#This Row],[Sunset Time (POA&lt;20 W/m2)]]-TA[[#This Row],[Sunrise Time (POA&gt;20 W/m2)]])*24,"")</f>
        <v>12.466666666666669</v>
      </c>
      <c r="L562" s="2" t="s">
        <v>312</v>
      </c>
      <c r="M562" s="42">
        <f>IFERROR(VLOOKUP(TA[[#This Row],[Affected Equipment]],'Basic Data'!$I$2:$K$40,3,0),"")</f>
        <v>5.74712643678161E-3</v>
      </c>
      <c r="N562">
        <v>-28</v>
      </c>
      <c r="O562" t="s">
        <v>133</v>
      </c>
      <c r="P562" s="22" t="s">
        <v>330</v>
      </c>
      <c r="Q562" s="2" t="s">
        <v>323</v>
      </c>
      <c r="R562">
        <v>26</v>
      </c>
      <c r="S562" s="2">
        <v>37</v>
      </c>
      <c r="T562" t="s">
        <v>297</v>
      </c>
      <c r="U562" t="s">
        <v>300</v>
      </c>
      <c r="V562" t="s">
        <v>301</v>
      </c>
      <c r="W562" s="41"/>
      <c r="X562" s="41"/>
      <c r="Y562" s="34"/>
      <c r="Z562" s="34"/>
      <c r="AA562" s="35">
        <f>IF(TA[[#This Row],[Work Start time on Fault]]="NA","",(TA[[#This Row],[Fault Acknowledgement Time ]]-TA[[#This Row],[Fault Time]])*24)</f>
        <v>0</v>
      </c>
      <c r="AB562" s="35">
        <f>(TA[[#This Row],[Work Start time on Fault]]-TA[[#This Row],[Fault Time]])*24</f>
        <v>0</v>
      </c>
      <c r="AC562" s="34">
        <f>(TA[[#This Row],[Work Completion time on fault]]-TA[[#This Row],[Fault Time]])*24</f>
        <v>0</v>
      </c>
      <c r="AD562" s="35">
        <f>IFERROR((TA[[#This Row],[Work Completion time on fault]]-TA[[#This Row],[Fault Time]])*24,"")</f>
        <v>0</v>
      </c>
      <c r="AE562" t="s">
        <v>328</v>
      </c>
      <c r="AF562" t="s">
        <v>256</v>
      </c>
      <c r="AG562" s="2"/>
      <c r="AH562" s="44">
        <f>1-COS(RADIANS(TA[[#This Row],[Avg. Target Angle during Fault Time (Radians)]]-TA[[#This Row],[Angle of affected equipment ]]))</f>
        <v>0.11705240714107301</v>
      </c>
      <c r="AI562" s="35">
        <f>IFERROR(TA[[#This Row],[Breakdown Time]]*TA[[#This Row],[Plant Equivalent Weightage]],"")</f>
        <v>0</v>
      </c>
    </row>
    <row r="563" spans="1:35">
      <c r="A563" s="2">
        <f t="shared" si="29"/>
        <v>560</v>
      </c>
      <c r="B563" s="156">
        <f t="shared" si="27"/>
        <v>2026</v>
      </c>
      <c r="C563" s="129">
        <f t="shared" si="28"/>
        <v>2025</v>
      </c>
      <c r="D563" s="2" t="s">
        <v>155</v>
      </c>
      <c r="E563" s="2" t="s">
        <v>155</v>
      </c>
      <c r="F563" s="39">
        <v>45778</v>
      </c>
      <c r="G563" s="2">
        <f>DAY(EOMONTH(TA[[#This Row],[Month Year]],0))</f>
        <v>31</v>
      </c>
      <c r="H563" s="21">
        <v>45782</v>
      </c>
      <c r="I563" s="41">
        <f>IFERROR(VLOOKUP(TA[[#This Row],[Date]],Raw_Data[[Date]:[Sunset Time (POA&lt;20 W/m2)]],3,0),"")</f>
        <v>0.25208333333333333</v>
      </c>
      <c r="J563" s="41">
        <f>IFERROR(VLOOKUP(TA[[#This Row],[Date]],Raw_Data[[Date]:[Sunset Time (POA&lt;20 W/m2)]],4,0),"")</f>
        <v>0.77152777777777781</v>
      </c>
      <c r="K563" s="35">
        <f>IFERROR((TA[[#This Row],[Sunset Time (POA&lt;20 W/m2)]]-TA[[#This Row],[Sunrise Time (POA&gt;20 W/m2)]])*24,"")</f>
        <v>12.466666666666669</v>
      </c>
      <c r="L563" s="2" t="s">
        <v>312</v>
      </c>
      <c r="M563" s="42">
        <f>IFERROR(VLOOKUP(TA[[#This Row],[Affected Equipment]],'Basic Data'!$I$2:$K$40,3,0),"")</f>
        <v>5.74712643678161E-3</v>
      </c>
      <c r="N563">
        <v>-28</v>
      </c>
      <c r="O563" t="s">
        <v>133</v>
      </c>
      <c r="P563" s="22" t="s">
        <v>330</v>
      </c>
      <c r="Q563" s="2" t="s">
        <v>323</v>
      </c>
      <c r="R563">
        <v>27</v>
      </c>
      <c r="S563" s="2">
        <v>42</v>
      </c>
      <c r="T563" t="s">
        <v>297</v>
      </c>
      <c r="U563" t="s">
        <v>300</v>
      </c>
      <c r="V563" t="s">
        <v>301</v>
      </c>
      <c r="W563" s="41"/>
      <c r="X563" s="41"/>
      <c r="Y563" s="34"/>
      <c r="Z563" s="34"/>
      <c r="AA563" s="35">
        <f>IF(TA[[#This Row],[Work Start time on Fault]]="NA","",(TA[[#This Row],[Fault Acknowledgement Time ]]-TA[[#This Row],[Fault Time]])*24)</f>
        <v>0</v>
      </c>
      <c r="AB563" s="35">
        <f>(TA[[#This Row],[Work Start time on Fault]]-TA[[#This Row],[Fault Time]])*24</f>
        <v>0</v>
      </c>
      <c r="AC563" s="34">
        <f>(TA[[#This Row],[Work Completion time on fault]]-TA[[#This Row],[Fault Time]])*24</f>
        <v>0</v>
      </c>
      <c r="AD563" s="35">
        <f>IFERROR((TA[[#This Row],[Work Completion time on fault]]-TA[[#This Row],[Fault Time]])*24,"")</f>
        <v>0</v>
      </c>
      <c r="AE563" t="s">
        <v>309</v>
      </c>
      <c r="AF563" t="s">
        <v>256</v>
      </c>
      <c r="AG563" s="2"/>
      <c r="AH563" s="44">
        <f>1-COS(RADIANS(TA[[#This Row],[Avg. Target Angle during Fault Time (Radians)]]-TA[[#This Row],[Angle of affected equipment ]]))</f>
        <v>0.11705240714107301</v>
      </c>
      <c r="AI563" s="35">
        <f>IFERROR(TA[[#This Row],[Breakdown Time]]*TA[[#This Row],[Plant Equivalent Weightage]],"")</f>
        <v>0</v>
      </c>
    </row>
    <row r="564" spans="1:35">
      <c r="A564" s="2">
        <f t="shared" si="29"/>
        <v>561</v>
      </c>
      <c r="B564" s="156">
        <f t="shared" si="27"/>
        <v>2026</v>
      </c>
      <c r="C564" s="129">
        <f t="shared" si="28"/>
        <v>2025</v>
      </c>
      <c r="D564" s="2" t="s">
        <v>155</v>
      </c>
      <c r="E564" s="2" t="s">
        <v>155</v>
      </c>
      <c r="F564" s="39">
        <v>45778</v>
      </c>
      <c r="G564" s="2">
        <f>DAY(EOMONTH(TA[[#This Row],[Month Year]],0))</f>
        <v>31</v>
      </c>
      <c r="H564" s="21">
        <v>45783</v>
      </c>
      <c r="I564" s="41">
        <f>IFERROR(VLOOKUP(TA[[#This Row],[Date]],Raw_Data[[Date]:[Sunset Time (POA&lt;20 W/m2)]],3,0),"")</f>
        <v>0.2638888888888889</v>
      </c>
      <c r="J564" s="41">
        <f>IFERROR(VLOOKUP(TA[[#This Row],[Date]],Raw_Data[[Date]:[Sunset Time (POA&lt;20 W/m2)]],4,0),"")</f>
        <v>0.76944444444444449</v>
      </c>
      <c r="K564" s="35">
        <f>IFERROR((TA[[#This Row],[Sunset Time (POA&lt;20 W/m2)]]-TA[[#This Row],[Sunrise Time (POA&gt;20 W/m2)]])*24,"")</f>
        <v>12.133333333333333</v>
      </c>
      <c r="L564" s="2" t="s">
        <v>294</v>
      </c>
      <c r="M564" s="42">
        <f>IFERROR(VLOOKUP(TA[[#This Row],[Affected Equipment]],'Basic Data'!$I$2:$K$40,3,0),"")</f>
        <v>1.7241379310344799E-3</v>
      </c>
      <c r="N564">
        <v>-28</v>
      </c>
      <c r="O564" t="s">
        <v>135</v>
      </c>
      <c r="P564" s="127" t="s">
        <v>318</v>
      </c>
      <c r="Q564" s="126" t="s">
        <v>318</v>
      </c>
      <c r="R564">
        <v>130</v>
      </c>
      <c r="S564" s="2">
        <v>37</v>
      </c>
      <c r="T564" t="s">
        <v>295</v>
      </c>
      <c r="U564" t="s">
        <v>300</v>
      </c>
      <c r="V564" t="s">
        <v>298</v>
      </c>
      <c r="W564" s="41"/>
      <c r="X564" s="41"/>
      <c r="Y564" s="34"/>
      <c r="Z564" s="34"/>
      <c r="AA564" s="35">
        <f>IF(TA[[#This Row],[Work Start time on Fault]]="NA","",(TA[[#This Row],[Fault Acknowledgement Time ]]-TA[[#This Row],[Fault Time]])*24)</f>
        <v>0</v>
      </c>
      <c r="AB564" s="35">
        <f>(TA[[#This Row],[Work Start time on Fault]]-TA[[#This Row],[Fault Time]])*24</f>
        <v>0</v>
      </c>
      <c r="AC564" s="34">
        <f>(TA[[#This Row],[Work Completion time on fault]]-TA[[#This Row],[Fault Time]])*24</f>
        <v>0</v>
      </c>
      <c r="AD564" s="35">
        <f>IFERROR((TA[[#This Row],[Work Completion time on fault]]-TA[[#This Row],[Fault Time]])*24,"")</f>
        <v>0</v>
      </c>
      <c r="AE564" t="s">
        <v>328</v>
      </c>
      <c r="AF564" t="s">
        <v>256</v>
      </c>
      <c r="AG564" s="2"/>
      <c r="AH564" s="44">
        <f>1-COS(RADIANS(TA[[#This Row],[Avg. Target Angle during Fault Time (Radians)]]-TA[[#This Row],[Angle of affected equipment ]]))</f>
        <v>0.11705240714107301</v>
      </c>
      <c r="AI564" s="35">
        <f>IFERROR(TA[[#This Row],[Breakdown Time]]*TA[[#This Row],[Plant Equivalent Weightage]],"")</f>
        <v>0</v>
      </c>
    </row>
    <row r="565" spans="1:35">
      <c r="A565" s="2">
        <f t="shared" si="29"/>
        <v>562</v>
      </c>
      <c r="B565" s="156">
        <f t="shared" si="27"/>
        <v>2026</v>
      </c>
      <c r="C565" s="129">
        <f t="shared" si="28"/>
        <v>2025</v>
      </c>
      <c r="D565" s="2" t="s">
        <v>155</v>
      </c>
      <c r="E565" s="2" t="s">
        <v>155</v>
      </c>
      <c r="F565" s="39">
        <v>45778</v>
      </c>
      <c r="G565" s="2">
        <f>DAY(EOMONTH(TA[[#This Row],[Month Year]],0))</f>
        <v>31</v>
      </c>
      <c r="H565" s="21">
        <v>45783</v>
      </c>
      <c r="I565" s="41">
        <f>IFERROR(VLOOKUP(TA[[#This Row],[Date]],Raw_Data[[Date]:[Sunset Time (POA&lt;20 W/m2)]],3,0),"")</f>
        <v>0.2638888888888889</v>
      </c>
      <c r="J565" s="41">
        <f>IFERROR(VLOOKUP(TA[[#This Row],[Date]],Raw_Data[[Date]:[Sunset Time (POA&lt;20 W/m2)]],4,0),"")</f>
        <v>0.76944444444444449</v>
      </c>
      <c r="K565" s="35">
        <f>IFERROR((TA[[#This Row],[Sunset Time (POA&lt;20 W/m2)]]-TA[[#This Row],[Sunrise Time (POA&gt;20 W/m2)]])*24,"")</f>
        <v>12.133333333333333</v>
      </c>
      <c r="L565" s="2" t="s">
        <v>294</v>
      </c>
      <c r="M565" s="42">
        <f>IFERROR(VLOOKUP(TA[[#This Row],[Affected Equipment]],'Basic Data'!$I$2:$K$40,3,0),"")</f>
        <v>1.7241379310344799E-3</v>
      </c>
      <c r="N565">
        <v>-28</v>
      </c>
      <c r="O565" t="s">
        <v>135</v>
      </c>
      <c r="P565" s="127" t="s">
        <v>318</v>
      </c>
      <c r="Q565" s="126" t="s">
        <v>318</v>
      </c>
      <c r="R565">
        <v>131</v>
      </c>
      <c r="S565" s="2">
        <v>38</v>
      </c>
      <c r="T565" t="s">
        <v>295</v>
      </c>
      <c r="U565" t="s">
        <v>300</v>
      </c>
      <c r="V565" t="s">
        <v>298</v>
      </c>
      <c r="W565" s="41"/>
      <c r="X565" s="41"/>
      <c r="Y565" s="34"/>
      <c r="Z565" s="34"/>
      <c r="AA565" s="35">
        <f>IF(TA[[#This Row],[Work Start time on Fault]]="NA","",(TA[[#This Row],[Fault Acknowledgement Time ]]-TA[[#This Row],[Fault Time]])*24)</f>
        <v>0</v>
      </c>
      <c r="AB565" s="35">
        <f>(TA[[#This Row],[Work Start time on Fault]]-TA[[#This Row],[Fault Time]])*24</f>
        <v>0</v>
      </c>
      <c r="AC565" s="34">
        <f>(TA[[#This Row],[Work Completion time on fault]]-TA[[#This Row],[Fault Time]])*24</f>
        <v>0</v>
      </c>
      <c r="AD565" s="35">
        <f>IFERROR((TA[[#This Row],[Work Completion time on fault]]-TA[[#This Row],[Fault Time]])*24,"")</f>
        <v>0</v>
      </c>
      <c r="AE565" t="s">
        <v>328</v>
      </c>
      <c r="AF565" t="s">
        <v>256</v>
      </c>
      <c r="AG565" s="2"/>
      <c r="AH565" s="44">
        <f>1-COS(RADIANS(TA[[#This Row],[Avg. Target Angle during Fault Time (Radians)]]-TA[[#This Row],[Angle of affected equipment ]]))</f>
        <v>0.11705240714107301</v>
      </c>
      <c r="AI565" s="35">
        <f>IFERROR(TA[[#This Row],[Breakdown Time]]*TA[[#This Row],[Plant Equivalent Weightage]],"")</f>
        <v>0</v>
      </c>
    </row>
    <row r="566" spans="1:35">
      <c r="A566" s="2">
        <f t="shared" si="29"/>
        <v>563</v>
      </c>
      <c r="B566" s="156">
        <f t="shared" si="27"/>
        <v>2026</v>
      </c>
      <c r="C566" s="129">
        <f t="shared" si="28"/>
        <v>2025</v>
      </c>
      <c r="D566" s="2" t="s">
        <v>155</v>
      </c>
      <c r="E566" s="2" t="s">
        <v>155</v>
      </c>
      <c r="F566" s="39">
        <v>45778</v>
      </c>
      <c r="G566" s="2">
        <f>DAY(EOMONTH(TA[[#This Row],[Month Year]],0))</f>
        <v>31</v>
      </c>
      <c r="H566" s="21">
        <v>45783</v>
      </c>
      <c r="I566" s="41">
        <f>IFERROR(VLOOKUP(TA[[#This Row],[Date]],Raw_Data[[Date]:[Sunset Time (POA&lt;20 W/m2)]],3,0),"")</f>
        <v>0.2638888888888889</v>
      </c>
      <c r="J566" s="41">
        <f>IFERROR(VLOOKUP(TA[[#This Row],[Date]],Raw_Data[[Date]:[Sunset Time (POA&lt;20 W/m2)]],4,0),"")</f>
        <v>0.76944444444444449</v>
      </c>
      <c r="K566" s="35">
        <f>IFERROR((TA[[#This Row],[Sunset Time (POA&lt;20 W/m2)]]-TA[[#This Row],[Sunrise Time (POA&gt;20 W/m2)]])*24,"")</f>
        <v>12.133333333333333</v>
      </c>
      <c r="L566" s="2" t="s">
        <v>294</v>
      </c>
      <c r="M566" s="42">
        <f>IFERROR(VLOOKUP(TA[[#This Row],[Affected Equipment]],'Basic Data'!$I$2:$K$40,3,0),"")</f>
        <v>1.7241379310344799E-3</v>
      </c>
      <c r="N566">
        <v>-28</v>
      </c>
      <c r="O566" t="s">
        <v>135</v>
      </c>
      <c r="P566" s="127" t="s">
        <v>318</v>
      </c>
      <c r="Q566" s="126" t="s">
        <v>318</v>
      </c>
      <c r="R566">
        <v>131</v>
      </c>
      <c r="S566" s="2">
        <v>39</v>
      </c>
      <c r="T566" t="s">
        <v>295</v>
      </c>
      <c r="U566" t="s">
        <v>300</v>
      </c>
      <c r="V566" t="s">
        <v>298</v>
      </c>
      <c r="W566" s="41"/>
      <c r="X566" s="41"/>
      <c r="Y566" s="34"/>
      <c r="Z566" s="34"/>
      <c r="AA566" s="35">
        <f>IF(TA[[#This Row],[Work Start time on Fault]]="NA","",(TA[[#This Row],[Fault Acknowledgement Time ]]-TA[[#This Row],[Fault Time]])*24)</f>
        <v>0</v>
      </c>
      <c r="AB566" s="35">
        <f>(TA[[#This Row],[Work Start time on Fault]]-TA[[#This Row],[Fault Time]])*24</f>
        <v>0</v>
      </c>
      <c r="AC566" s="34">
        <f>(TA[[#This Row],[Work Completion time on fault]]-TA[[#This Row],[Fault Time]])*24</f>
        <v>0</v>
      </c>
      <c r="AD566" s="35">
        <f>IFERROR((TA[[#This Row],[Work Completion time on fault]]-TA[[#This Row],[Fault Time]])*24,"")</f>
        <v>0</v>
      </c>
      <c r="AE566" t="s">
        <v>328</v>
      </c>
      <c r="AF566" t="s">
        <v>256</v>
      </c>
      <c r="AG566" s="2"/>
      <c r="AH566" s="44">
        <f>1-COS(RADIANS(TA[[#This Row],[Avg. Target Angle during Fault Time (Radians)]]-TA[[#This Row],[Angle of affected equipment ]]))</f>
        <v>0.11705240714107301</v>
      </c>
      <c r="AI566" s="35">
        <f>IFERROR(TA[[#This Row],[Breakdown Time]]*TA[[#This Row],[Plant Equivalent Weightage]],"")</f>
        <v>0</v>
      </c>
    </row>
    <row r="567" spans="1:35">
      <c r="A567" s="2">
        <f t="shared" si="29"/>
        <v>564</v>
      </c>
      <c r="B567" s="156">
        <f t="shared" si="27"/>
        <v>2026</v>
      </c>
      <c r="C567" s="129">
        <f t="shared" si="28"/>
        <v>2025</v>
      </c>
      <c r="D567" s="2" t="s">
        <v>155</v>
      </c>
      <c r="E567" s="2" t="s">
        <v>155</v>
      </c>
      <c r="F567" s="39">
        <v>45778</v>
      </c>
      <c r="G567" s="2">
        <f>DAY(EOMONTH(TA[[#This Row],[Month Year]],0))</f>
        <v>31</v>
      </c>
      <c r="H567" s="21">
        <v>45783</v>
      </c>
      <c r="I567" s="41">
        <f>IFERROR(VLOOKUP(TA[[#This Row],[Date]],Raw_Data[[Date]:[Sunset Time (POA&lt;20 W/m2)]],3,0),"")</f>
        <v>0.2638888888888889</v>
      </c>
      <c r="J567" s="41">
        <f>IFERROR(VLOOKUP(TA[[#This Row],[Date]],Raw_Data[[Date]:[Sunset Time (POA&lt;20 W/m2)]],4,0),"")</f>
        <v>0.76944444444444449</v>
      </c>
      <c r="K567" s="35">
        <f>IFERROR((TA[[#This Row],[Sunset Time (POA&lt;20 W/m2)]]-TA[[#This Row],[Sunrise Time (POA&gt;20 W/m2)]])*24,"")</f>
        <v>12.133333333333333</v>
      </c>
      <c r="L567" s="2" t="s">
        <v>296</v>
      </c>
      <c r="M567" s="42">
        <f>IFERROR(VLOOKUP(TA[[#This Row],[Affected Equipment]],'Basic Data'!$I$2:$K$40,3,0),"")</f>
        <v>8.6206896551724102E-3</v>
      </c>
      <c r="N567">
        <v>-28</v>
      </c>
      <c r="O567" t="s">
        <v>135</v>
      </c>
      <c r="P567" s="127" t="s">
        <v>318</v>
      </c>
      <c r="Q567" s="2" t="s">
        <v>321</v>
      </c>
      <c r="R567">
        <v>133</v>
      </c>
      <c r="S567" s="2">
        <v>26</v>
      </c>
      <c r="T567" t="s">
        <v>297</v>
      </c>
      <c r="U567" t="s">
        <v>300</v>
      </c>
      <c r="V567" t="s">
        <v>314</v>
      </c>
      <c r="W567" s="41">
        <f>IFERROR(VLOOKUP(TA[[#This Row],[Date]],Raw_Data[[Date]:[Sunset Time (POA&lt;20 W/m2)]],3,0),"")</f>
        <v>0.2638888888888889</v>
      </c>
      <c r="X567" s="41">
        <f>IFERROR(VLOOKUP(TA[[#This Row],[Date]],Raw_Data[[Date]:[Sunset Time (POA&lt;20 W/m2)]],3,0),"")</f>
        <v>0.2638888888888889</v>
      </c>
      <c r="Y567" s="34"/>
      <c r="Z567" s="34">
        <v>0.76041666666666663</v>
      </c>
      <c r="AA567" s="35">
        <f>IF(TA[[#This Row],[Work Start time on Fault]]="NA","",(TA[[#This Row],[Fault Acknowledgement Time ]]-TA[[#This Row],[Fault Time]])*24)</f>
        <v>0</v>
      </c>
      <c r="AB567" s="35">
        <f>(TA[[#This Row],[Work Start time on Fault]]-TA[[#This Row],[Fault Time]])*24</f>
        <v>-6.3333333333333339</v>
      </c>
      <c r="AC567" s="34">
        <f>(TA[[#This Row],[Work Completion time on fault]]-TA[[#This Row],[Fault Time]])*24</f>
        <v>11.916666666666666</v>
      </c>
      <c r="AD567" s="35">
        <f>IFERROR((TA[[#This Row],[Work Completion time on fault]]-TA[[#This Row],[Fault Time]])*24,"")</f>
        <v>11.916666666666666</v>
      </c>
      <c r="AE567" t="s">
        <v>328</v>
      </c>
      <c r="AF567" t="s">
        <v>256</v>
      </c>
      <c r="AG567" s="2"/>
      <c r="AH567" s="44">
        <f>1-COS(RADIANS(TA[[#This Row],[Avg. Target Angle during Fault Time (Radians)]]-TA[[#This Row],[Angle of affected equipment ]]))</f>
        <v>0.11705240714107301</v>
      </c>
      <c r="AI567" s="35">
        <f>IFERROR(TA[[#This Row],[Breakdown Time]]*TA[[#This Row],[Plant Equivalent Weightage]],"")</f>
        <v>0.10272988505747122</v>
      </c>
    </row>
    <row r="568" spans="1:35">
      <c r="A568" s="2">
        <f t="shared" si="29"/>
        <v>565</v>
      </c>
      <c r="B568" s="156">
        <f t="shared" si="27"/>
        <v>2026</v>
      </c>
      <c r="C568" s="129">
        <f t="shared" si="28"/>
        <v>2025</v>
      </c>
      <c r="D568" s="2" t="s">
        <v>155</v>
      </c>
      <c r="E568" s="2" t="s">
        <v>155</v>
      </c>
      <c r="F568" s="39">
        <v>45778</v>
      </c>
      <c r="G568" s="2">
        <f>DAY(EOMONTH(TA[[#This Row],[Month Year]],0))</f>
        <v>31</v>
      </c>
      <c r="H568" s="21">
        <v>45783</v>
      </c>
      <c r="I568" s="41">
        <f>IFERROR(VLOOKUP(TA[[#This Row],[Date]],Raw_Data[[Date]:[Sunset Time (POA&lt;20 W/m2)]],3,0),"")</f>
        <v>0.2638888888888889</v>
      </c>
      <c r="J568" s="41">
        <f>IFERROR(VLOOKUP(TA[[#This Row],[Date]],Raw_Data[[Date]:[Sunset Time (POA&lt;20 W/m2)]],4,0),"")</f>
        <v>0.76944444444444449</v>
      </c>
      <c r="K568" s="35">
        <f>IFERROR((TA[[#This Row],[Sunset Time (POA&lt;20 W/m2)]]-TA[[#This Row],[Sunrise Time (POA&gt;20 W/m2)]])*24,"")</f>
        <v>12.133333333333333</v>
      </c>
      <c r="L568" s="2" t="s">
        <v>294</v>
      </c>
      <c r="M568" s="42">
        <f>IFERROR(VLOOKUP(TA[[#This Row],[Affected Equipment]],'Basic Data'!$I$2:$K$40,3,0),"")</f>
        <v>1.7241379310344799E-3</v>
      </c>
      <c r="N568">
        <v>-28</v>
      </c>
      <c r="O568" t="s">
        <v>133</v>
      </c>
      <c r="P568" s="127" t="s">
        <v>316</v>
      </c>
      <c r="Q568" s="126" t="s">
        <v>317</v>
      </c>
      <c r="R568">
        <v>7</v>
      </c>
      <c r="S568" s="2">
        <v>32</v>
      </c>
      <c r="T568" t="s">
        <v>295</v>
      </c>
      <c r="U568" t="s">
        <v>300</v>
      </c>
      <c r="V568" t="s">
        <v>298</v>
      </c>
      <c r="W568" s="41"/>
      <c r="X568" s="41"/>
      <c r="Y568" s="34"/>
      <c r="Z568" s="34"/>
      <c r="AA568" s="35">
        <f>IF(TA[[#This Row],[Work Start time on Fault]]="NA","",(TA[[#This Row],[Fault Acknowledgement Time ]]-TA[[#This Row],[Fault Time]])*24)</f>
        <v>0</v>
      </c>
      <c r="AB568" s="35">
        <f>(TA[[#This Row],[Work Start time on Fault]]-TA[[#This Row],[Fault Time]])*24</f>
        <v>0</v>
      </c>
      <c r="AC568" s="34">
        <f>(TA[[#This Row],[Work Completion time on fault]]-TA[[#This Row],[Fault Time]])*24</f>
        <v>0</v>
      </c>
      <c r="AD568" s="35">
        <f>IFERROR((TA[[#This Row],[Work Completion time on fault]]-TA[[#This Row],[Fault Time]])*24,"")</f>
        <v>0</v>
      </c>
      <c r="AE568" t="s">
        <v>328</v>
      </c>
      <c r="AF568" t="s">
        <v>256</v>
      </c>
      <c r="AG568" s="2"/>
      <c r="AH568" s="44">
        <f>1-COS(RADIANS(TA[[#This Row],[Avg. Target Angle during Fault Time (Radians)]]-TA[[#This Row],[Angle of affected equipment ]]))</f>
        <v>0.11705240714107301</v>
      </c>
      <c r="AI568" s="35">
        <f>IFERROR(TA[[#This Row],[Breakdown Time]]*TA[[#This Row],[Plant Equivalent Weightage]],"")</f>
        <v>0</v>
      </c>
    </row>
    <row r="569" spans="1:35">
      <c r="A569" s="2">
        <f t="shared" si="29"/>
        <v>566</v>
      </c>
      <c r="B569" s="156">
        <f t="shared" si="27"/>
        <v>2026</v>
      </c>
      <c r="C569" s="129">
        <f t="shared" si="28"/>
        <v>2025</v>
      </c>
      <c r="D569" s="2" t="s">
        <v>155</v>
      </c>
      <c r="E569" s="2" t="s">
        <v>155</v>
      </c>
      <c r="F569" s="39">
        <v>45778</v>
      </c>
      <c r="G569" s="2">
        <f>DAY(EOMONTH(TA[[#This Row],[Month Year]],0))</f>
        <v>31</v>
      </c>
      <c r="H569" s="21">
        <v>45783</v>
      </c>
      <c r="I569" s="41">
        <f>IFERROR(VLOOKUP(TA[[#This Row],[Date]],Raw_Data[[Date]:[Sunset Time (POA&lt;20 W/m2)]],3,0),"")</f>
        <v>0.2638888888888889</v>
      </c>
      <c r="J569" s="41">
        <f>IFERROR(VLOOKUP(TA[[#This Row],[Date]],Raw_Data[[Date]:[Sunset Time (POA&lt;20 W/m2)]],4,0),"")</f>
        <v>0.76944444444444449</v>
      </c>
      <c r="K569" s="35">
        <f>IFERROR((TA[[#This Row],[Sunset Time (POA&lt;20 W/m2)]]-TA[[#This Row],[Sunrise Time (POA&gt;20 W/m2)]])*24,"")</f>
        <v>12.133333333333333</v>
      </c>
      <c r="L569" s="2" t="s">
        <v>294</v>
      </c>
      <c r="M569" s="42">
        <f>IFERROR(VLOOKUP(TA[[#This Row],[Affected Equipment]],'Basic Data'!$I$2:$K$40,3,0),"")</f>
        <v>1.7241379310344799E-3</v>
      </c>
      <c r="N569">
        <v>-28</v>
      </c>
      <c r="O569" t="s">
        <v>137</v>
      </c>
      <c r="P569" s="127" t="s">
        <v>315</v>
      </c>
      <c r="Q569" s="126" t="s">
        <v>319</v>
      </c>
      <c r="R569">
        <v>166</v>
      </c>
      <c r="S569" s="2">
        <v>91</v>
      </c>
      <c r="T569" t="s">
        <v>295</v>
      </c>
      <c r="U569" t="s">
        <v>300</v>
      </c>
      <c r="V569" t="s">
        <v>298</v>
      </c>
      <c r="W569" s="41"/>
      <c r="X569" s="41"/>
      <c r="Y569" s="34"/>
      <c r="Z569" s="34"/>
      <c r="AA569" s="35">
        <f>IF(TA[[#This Row],[Work Start time on Fault]]="NA","",(TA[[#This Row],[Fault Acknowledgement Time ]]-TA[[#This Row],[Fault Time]])*24)</f>
        <v>0</v>
      </c>
      <c r="AB569" s="35">
        <f>(TA[[#This Row],[Work Start time on Fault]]-TA[[#This Row],[Fault Time]])*24</f>
        <v>0</v>
      </c>
      <c r="AC569" s="34">
        <f>(TA[[#This Row],[Work Completion time on fault]]-TA[[#This Row],[Fault Time]])*24</f>
        <v>0</v>
      </c>
      <c r="AD569" s="35">
        <f>IFERROR((TA[[#This Row],[Work Completion time on fault]]-TA[[#This Row],[Fault Time]])*24,"")</f>
        <v>0</v>
      </c>
      <c r="AE569" t="s">
        <v>328</v>
      </c>
      <c r="AF569" t="s">
        <v>256</v>
      </c>
      <c r="AG569" s="2"/>
      <c r="AH569" s="44">
        <f>1-COS(RADIANS(TA[[#This Row],[Avg. Target Angle during Fault Time (Radians)]]-TA[[#This Row],[Angle of affected equipment ]]))</f>
        <v>0.11705240714107301</v>
      </c>
      <c r="AI569" s="35">
        <f>IFERROR(TA[[#This Row],[Breakdown Time]]*TA[[#This Row],[Plant Equivalent Weightage]],"")</f>
        <v>0</v>
      </c>
    </row>
    <row r="570" spans="1:35">
      <c r="A570" s="2">
        <f t="shared" si="29"/>
        <v>567</v>
      </c>
      <c r="B570" s="156">
        <f t="shared" si="27"/>
        <v>2026</v>
      </c>
      <c r="C570" s="129">
        <f t="shared" si="28"/>
        <v>2025</v>
      </c>
      <c r="D570" s="2" t="s">
        <v>155</v>
      </c>
      <c r="E570" s="2" t="s">
        <v>155</v>
      </c>
      <c r="F570" s="39">
        <v>45778</v>
      </c>
      <c r="G570" s="2">
        <f>DAY(EOMONTH(TA[[#This Row],[Month Year]],0))</f>
        <v>31</v>
      </c>
      <c r="H570" s="21">
        <v>45783</v>
      </c>
      <c r="I570" s="41">
        <f>IFERROR(VLOOKUP(TA[[#This Row],[Date]],Raw_Data[[Date]:[Sunset Time (POA&lt;20 W/m2)]],3,0),"")</f>
        <v>0.2638888888888889</v>
      </c>
      <c r="J570" s="41">
        <f>IFERROR(VLOOKUP(TA[[#This Row],[Date]],Raw_Data[[Date]:[Sunset Time (POA&lt;20 W/m2)]],4,0),"")</f>
        <v>0.76944444444444449</v>
      </c>
      <c r="K570" s="35">
        <f>IFERROR((TA[[#This Row],[Sunset Time (POA&lt;20 W/m2)]]-TA[[#This Row],[Sunrise Time (POA&gt;20 W/m2)]])*24,"")</f>
        <v>12.133333333333333</v>
      </c>
      <c r="L570" s="2" t="s">
        <v>294</v>
      </c>
      <c r="M570" s="42">
        <f>IFERROR(VLOOKUP(TA[[#This Row],[Affected Equipment]],'Basic Data'!$I$2:$K$40,3,0),"")</f>
        <v>1.7241379310344799E-3</v>
      </c>
      <c r="N570">
        <v>-28</v>
      </c>
      <c r="O570" t="s">
        <v>133</v>
      </c>
      <c r="P570" s="127" t="s">
        <v>316</v>
      </c>
      <c r="Q570" s="126" t="s">
        <v>316</v>
      </c>
      <c r="R570">
        <v>117</v>
      </c>
      <c r="S570" s="2">
        <v>20</v>
      </c>
      <c r="T570" t="s">
        <v>295</v>
      </c>
      <c r="U570" t="s">
        <v>300</v>
      </c>
      <c r="V570" t="s">
        <v>298</v>
      </c>
      <c r="W570" s="41"/>
      <c r="X570" s="41"/>
      <c r="Y570" s="34"/>
      <c r="Z570" s="34"/>
      <c r="AA570" s="35">
        <f>IF(TA[[#This Row],[Work Start time on Fault]]="NA","",(TA[[#This Row],[Fault Acknowledgement Time ]]-TA[[#This Row],[Fault Time]])*24)</f>
        <v>0</v>
      </c>
      <c r="AB570" s="35">
        <f>(TA[[#This Row],[Work Start time on Fault]]-TA[[#This Row],[Fault Time]])*24</f>
        <v>0</v>
      </c>
      <c r="AC570" s="34">
        <f>(TA[[#This Row],[Work Completion time on fault]]-TA[[#This Row],[Fault Time]])*24</f>
        <v>0</v>
      </c>
      <c r="AD570" s="35">
        <f>IFERROR((TA[[#This Row],[Work Completion time on fault]]-TA[[#This Row],[Fault Time]])*24,"")</f>
        <v>0</v>
      </c>
      <c r="AE570" t="s">
        <v>328</v>
      </c>
      <c r="AF570" t="s">
        <v>256</v>
      </c>
      <c r="AG570" s="2"/>
      <c r="AH570" s="44">
        <f>1-COS(RADIANS(TA[[#This Row],[Avg. Target Angle during Fault Time (Radians)]]-TA[[#This Row],[Angle of affected equipment ]]))</f>
        <v>0.11705240714107301</v>
      </c>
      <c r="AI570" s="35">
        <f>IFERROR(TA[[#This Row],[Breakdown Time]]*TA[[#This Row],[Plant Equivalent Weightage]],"")</f>
        <v>0</v>
      </c>
    </row>
    <row r="571" spans="1:35">
      <c r="A571" s="2">
        <f t="shared" si="29"/>
        <v>568</v>
      </c>
      <c r="B571" s="156">
        <f t="shared" si="27"/>
        <v>2026</v>
      </c>
      <c r="C571" s="129">
        <f t="shared" si="28"/>
        <v>2025</v>
      </c>
      <c r="D571" s="2" t="s">
        <v>155</v>
      </c>
      <c r="E571" s="2" t="s">
        <v>155</v>
      </c>
      <c r="F571" s="39">
        <v>45778</v>
      </c>
      <c r="G571" s="2">
        <f>DAY(EOMONTH(TA[[#This Row],[Month Year]],0))</f>
        <v>31</v>
      </c>
      <c r="H571" s="21">
        <v>45783</v>
      </c>
      <c r="I571" s="41">
        <f>IFERROR(VLOOKUP(TA[[#This Row],[Date]],Raw_Data[[Date]:[Sunset Time (POA&lt;20 W/m2)]],3,0),"")</f>
        <v>0.2638888888888889</v>
      </c>
      <c r="J571" s="41">
        <f>IFERROR(VLOOKUP(TA[[#This Row],[Date]],Raw_Data[[Date]:[Sunset Time (POA&lt;20 W/m2)]],4,0),"")</f>
        <v>0.76944444444444449</v>
      </c>
      <c r="K571" s="35">
        <f>IFERROR((TA[[#This Row],[Sunset Time (POA&lt;20 W/m2)]]-TA[[#This Row],[Sunrise Time (POA&gt;20 W/m2)]])*24,"")</f>
        <v>12.133333333333333</v>
      </c>
      <c r="L571" s="2" t="s">
        <v>294</v>
      </c>
      <c r="M571" s="42">
        <f>IFERROR(VLOOKUP(TA[[#This Row],[Affected Equipment]],'Basic Data'!$I$2:$K$40,3,0),"")</f>
        <v>1.7241379310344799E-3</v>
      </c>
      <c r="N571">
        <v>-28</v>
      </c>
      <c r="O571" t="s">
        <v>133</v>
      </c>
      <c r="P571" s="127" t="s">
        <v>316</v>
      </c>
      <c r="Q571" s="126" t="s">
        <v>316</v>
      </c>
      <c r="R571">
        <v>118</v>
      </c>
      <c r="S571" s="2">
        <v>22</v>
      </c>
      <c r="T571" t="s">
        <v>295</v>
      </c>
      <c r="U571" t="s">
        <v>300</v>
      </c>
      <c r="V571" t="s">
        <v>298</v>
      </c>
      <c r="W571" s="41"/>
      <c r="X571" s="41"/>
      <c r="Y571" s="34"/>
      <c r="Z571" s="34"/>
      <c r="AA571" s="35">
        <f>IF(TA[[#This Row],[Work Start time on Fault]]="NA","",(TA[[#This Row],[Fault Acknowledgement Time ]]-TA[[#This Row],[Fault Time]])*24)</f>
        <v>0</v>
      </c>
      <c r="AB571" s="35">
        <f>(TA[[#This Row],[Work Start time on Fault]]-TA[[#This Row],[Fault Time]])*24</f>
        <v>0</v>
      </c>
      <c r="AC571" s="34">
        <f>(TA[[#This Row],[Work Completion time on fault]]-TA[[#This Row],[Fault Time]])*24</f>
        <v>0</v>
      </c>
      <c r="AD571" s="35">
        <f>IFERROR((TA[[#This Row],[Work Completion time on fault]]-TA[[#This Row],[Fault Time]])*24,"")</f>
        <v>0</v>
      </c>
      <c r="AE571" t="s">
        <v>328</v>
      </c>
      <c r="AF571" t="s">
        <v>256</v>
      </c>
      <c r="AG571" s="2"/>
      <c r="AH571" s="44">
        <f>1-COS(RADIANS(TA[[#This Row],[Avg. Target Angle during Fault Time (Radians)]]-TA[[#This Row],[Angle of affected equipment ]]))</f>
        <v>0.11705240714107301</v>
      </c>
      <c r="AI571" s="35">
        <f>IFERROR(TA[[#This Row],[Breakdown Time]]*TA[[#This Row],[Plant Equivalent Weightage]],"")</f>
        <v>0</v>
      </c>
    </row>
    <row r="572" spans="1:35">
      <c r="A572" s="2">
        <f t="shared" si="29"/>
        <v>569</v>
      </c>
      <c r="B572" s="156">
        <f t="shared" si="27"/>
        <v>2026</v>
      </c>
      <c r="C572" s="129">
        <f t="shared" si="28"/>
        <v>2025</v>
      </c>
      <c r="D572" s="2" t="s">
        <v>155</v>
      </c>
      <c r="E572" s="2" t="s">
        <v>155</v>
      </c>
      <c r="F572" s="39">
        <v>45778</v>
      </c>
      <c r="G572" s="2">
        <f>DAY(EOMONTH(TA[[#This Row],[Month Year]],0))</f>
        <v>31</v>
      </c>
      <c r="H572" s="21">
        <v>45783</v>
      </c>
      <c r="I572" s="41">
        <f>IFERROR(VLOOKUP(TA[[#This Row],[Date]],Raw_Data[[Date]:[Sunset Time (POA&lt;20 W/m2)]],3,0),"")</f>
        <v>0.2638888888888889</v>
      </c>
      <c r="J572" s="41">
        <f>IFERROR(VLOOKUP(TA[[#This Row],[Date]],Raw_Data[[Date]:[Sunset Time (POA&lt;20 W/m2)]],4,0),"")</f>
        <v>0.76944444444444449</v>
      </c>
      <c r="K572" s="35">
        <f>IFERROR((TA[[#This Row],[Sunset Time (POA&lt;20 W/m2)]]-TA[[#This Row],[Sunrise Time (POA&gt;20 W/m2)]])*24,"")</f>
        <v>12.133333333333333</v>
      </c>
      <c r="L572" s="2" t="s">
        <v>296</v>
      </c>
      <c r="M572" s="42">
        <f>IFERROR(VLOOKUP(TA[[#This Row],[Affected Equipment]],'Basic Data'!$I$2:$K$40,3,0),"")</f>
        <v>8.6206896551724102E-3</v>
      </c>
      <c r="N572">
        <v>-28</v>
      </c>
      <c r="O572" t="s">
        <v>135</v>
      </c>
      <c r="P572" s="22" t="s">
        <v>323</v>
      </c>
      <c r="Q572" s="2" t="s">
        <v>329</v>
      </c>
      <c r="R572">
        <v>45</v>
      </c>
      <c r="S572" s="2">
        <v>8</v>
      </c>
      <c r="T572" t="s">
        <v>297</v>
      </c>
      <c r="U572" t="s">
        <v>300</v>
      </c>
      <c r="V572" t="s">
        <v>301</v>
      </c>
      <c r="W572" s="41"/>
      <c r="X572" s="41"/>
      <c r="Y572" s="34"/>
      <c r="Z572" s="34"/>
      <c r="AA572" s="35">
        <f>IF(TA[[#This Row],[Work Start time on Fault]]="NA","",(TA[[#This Row],[Fault Acknowledgement Time ]]-TA[[#This Row],[Fault Time]])*24)</f>
        <v>0</v>
      </c>
      <c r="AB572" s="35">
        <f>(TA[[#This Row],[Work Start time on Fault]]-TA[[#This Row],[Fault Time]])*24</f>
        <v>0</v>
      </c>
      <c r="AC572" s="34">
        <f>(TA[[#This Row],[Work Completion time on fault]]-TA[[#This Row],[Fault Time]])*24</f>
        <v>0</v>
      </c>
      <c r="AD572" s="35">
        <f>IFERROR((TA[[#This Row],[Work Completion time on fault]]-TA[[#This Row],[Fault Time]])*24,"")</f>
        <v>0</v>
      </c>
      <c r="AE572" t="s">
        <v>328</v>
      </c>
      <c r="AF572" t="s">
        <v>256</v>
      </c>
      <c r="AG572" s="2"/>
      <c r="AH572" s="44">
        <f>1-COS(RADIANS(TA[[#This Row],[Avg. Target Angle during Fault Time (Radians)]]-TA[[#This Row],[Angle of affected equipment ]]))</f>
        <v>0.11705240714107301</v>
      </c>
      <c r="AI572" s="35">
        <f>IFERROR(TA[[#This Row],[Breakdown Time]]*TA[[#This Row],[Plant Equivalent Weightage]],"")</f>
        <v>0</v>
      </c>
    </row>
    <row r="573" spans="1:35">
      <c r="A573" s="2">
        <f t="shared" si="29"/>
        <v>570</v>
      </c>
      <c r="B573" s="156">
        <f t="shared" si="27"/>
        <v>2026</v>
      </c>
      <c r="C573" s="129">
        <f t="shared" si="28"/>
        <v>2025</v>
      </c>
      <c r="D573" s="2" t="s">
        <v>155</v>
      </c>
      <c r="E573" s="2" t="s">
        <v>155</v>
      </c>
      <c r="F573" s="39">
        <v>45778</v>
      </c>
      <c r="G573" s="2">
        <f>DAY(EOMONTH(TA[[#This Row],[Month Year]],0))</f>
        <v>31</v>
      </c>
      <c r="H573" s="21">
        <v>45783</v>
      </c>
      <c r="I573" s="41">
        <f>IFERROR(VLOOKUP(TA[[#This Row],[Date]],Raw_Data[[Date]:[Sunset Time (POA&lt;20 W/m2)]],3,0),"")</f>
        <v>0.2638888888888889</v>
      </c>
      <c r="J573" s="41">
        <f>IFERROR(VLOOKUP(TA[[#This Row],[Date]],Raw_Data[[Date]:[Sunset Time (POA&lt;20 W/m2)]],4,0),"")</f>
        <v>0.76944444444444449</v>
      </c>
      <c r="K573" s="35">
        <f>IFERROR((TA[[#This Row],[Sunset Time (POA&lt;20 W/m2)]]-TA[[#This Row],[Sunrise Time (POA&gt;20 W/m2)]])*24,"")</f>
        <v>12.133333333333333</v>
      </c>
      <c r="L573" s="2" t="s">
        <v>296</v>
      </c>
      <c r="M573" s="42">
        <f>IFERROR(VLOOKUP(TA[[#This Row],[Affected Equipment]],'Basic Data'!$I$2:$K$40,3,0),"")</f>
        <v>8.6206896551724102E-3</v>
      </c>
      <c r="N573">
        <v>-28</v>
      </c>
      <c r="O573" t="s">
        <v>135</v>
      </c>
      <c r="P573" s="22" t="s">
        <v>323</v>
      </c>
      <c r="Q573" s="2" t="s">
        <v>329</v>
      </c>
      <c r="R573">
        <v>47</v>
      </c>
      <c r="S573" s="2">
        <v>18</v>
      </c>
      <c r="T573" t="s">
        <v>297</v>
      </c>
      <c r="U573" t="s">
        <v>300</v>
      </c>
      <c r="V573" t="s">
        <v>301</v>
      </c>
      <c r="W573" s="41"/>
      <c r="X573" s="41"/>
      <c r="Y573" s="34"/>
      <c r="Z573" s="34"/>
      <c r="AA573" s="35">
        <f>IF(TA[[#This Row],[Work Start time on Fault]]="NA","",(TA[[#This Row],[Fault Acknowledgement Time ]]-TA[[#This Row],[Fault Time]])*24)</f>
        <v>0</v>
      </c>
      <c r="AB573" s="35">
        <f>(TA[[#This Row],[Work Start time on Fault]]-TA[[#This Row],[Fault Time]])*24</f>
        <v>0</v>
      </c>
      <c r="AC573" s="34">
        <f>(TA[[#This Row],[Work Completion time on fault]]-TA[[#This Row],[Fault Time]])*24</f>
        <v>0</v>
      </c>
      <c r="AD573" s="35">
        <f>IFERROR((TA[[#This Row],[Work Completion time on fault]]-TA[[#This Row],[Fault Time]])*24,"")</f>
        <v>0</v>
      </c>
      <c r="AE573" t="s">
        <v>328</v>
      </c>
      <c r="AF573" t="s">
        <v>256</v>
      </c>
      <c r="AG573" s="2"/>
      <c r="AH573" s="44">
        <f>1-COS(RADIANS(TA[[#This Row],[Avg. Target Angle during Fault Time (Radians)]]-TA[[#This Row],[Angle of affected equipment ]]))</f>
        <v>0.11705240714107301</v>
      </c>
      <c r="AI573" s="35">
        <f>IFERROR(TA[[#This Row],[Breakdown Time]]*TA[[#This Row],[Plant Equivalent Weightage]],"")</f>
        <v>0</v>
      </c>
    </row>
    <row r="574" spans="1:35">
      <c r="A574" s="2">
        <f t="shared" si="29"/>
        <v>571</v>
      </c>
      <c r="B574" s="156">
        <f t="shared" si="27"/>
        <v>2026</v>
      </c>
      <c r="C574" s="129">
        <f t="shared" si="28"/>
        <v>2025</v>
      </c>
      <c r="D574" s="2" t="s">
        <v>155</v>
      </c>
      <c r="E574" s="2" t="s">
        <v>155</v>
      </c>
      <c r="F574" s="39">
        <v>45778</v>
      </c>
      <c r="G574" s="2">
        <f>DAY(EOMONTH(TA[[#This Row],[Month Year]],0))</f>
        <v>31</v>
      </c>
      <c r="H574" s="21">
        <v>45783</v>
      </c>
      <c r="I574" s="41">
        <f>IFERROR(VLOOKUP(TA[[#This Row],[Date]],Raw_Data[[Date]:[Sunset Time (POA&lt;20 W/m2)]],3,0),"")</f>
        <v>0.2638888888888889</v>
      </c>
      <c r="J574" s="41">
        <f>IFERROR(VLOOKUP(TA[[#This Row],[Date]],Raw_Data[[Date]:[Sunset Time (POA&lt;20 W/m2)]],4,0),"")</f>
        <v>0.76944444444444449</v>
      </c>
      <c r="K574" s="35">
        <f>IFERROR((TA[[#This Row],[Sunset Time (POA&lt;20 W/m2)]]-TA[[#This Row],[Sunrise Time (POA&gt;20 W/m2)]])*24,"")</f>
        <v>12.133333333333333</v>
      </c>
      <c r="L574" s="2" t="s">
        <v>296</v>
      </c>
      <c r="M574" s="42">
        <f>IFERROR(VLOOKUP(TA[[#This Row],[Affected Equipment]],'Basic Data'!$I$2:$K$40,3,0),"")</f>
        <v>8.6206896551724102E-3</v>
      </c>
      <c r="N574">
        <v>-28</v>
      </c>
      <c r="O574" t="s">
        <v>134</v>
      </c>
      <c r="P574" s="22" t="s">
        <v>330</v>
      </c>
      <c r="Q574" s="2" t="s">
        <v>323</v>
      </c>
      <c r="R574">
        <v>30</v>
      </c>
      <c r="S574" s="2">
        <v>57</v>
      </c>
      <c r="T574" t="s">
        <v>297</v>
      </c>
      <c r="U574" t="s">
        <v>300</v>
      </c>
      <c r="V574" t="s">
        <v>301</v>
      </c>
      <c r="W574" s="41"/>
      <c r="X574" s="41"/>
      <c r="Y574" s="34"/>
      <c r="Z574" s="34"/>
      <c r="AA574" s="35">
        <f>IF(TA[[#This Row],[Work Start time on Fault]]="NA","",(TA[[#This Row],[Fault Acknowledgement Time ]]-TA[[#This Row],[Fault Time]])*24)</f>
        <v>0</v>
      </c>
      <c r="AB574" s="35">
        <f>(TA[[#This Row],[Work Start time on Fault]]-TA[[#This Row],[Fault Time]])*24</f>
        <v>0</v>
      </c>
      <c r="AC574" s="34">
        <f>(TA[[#This Row],[Work Completion time on fault]]-TA[[#This Row],[Fault Time]])*24</f>
        <v>0</v>
      </c>
      <c r="AD574" s="35">
        <f>IFERROR((TA[[#This Row],[Work Completion time on fault]]-TA[[#This Row],[Fault Time]])*24,"")</f>
        <v>0</v>
      </c>
      <c r="AE574" t="s">
        <v>328</v>
      </c>
      <c r="AF574" t="s">
        <v>256</v>
      </c>
      <c r="AG574" s="2"/>
      <c r="AH574" s="44">
        <f>1-COS(RADIANS(TA[[#This Row],[Avg. Target Angle during Fault Time (Radians)]]-TA[[#This Row],[Angle of affected equipment ]]))</f>
        <v>0.11705240714107301</v>
      </c>
      <c r="AI574" s="35">
        <f>IFERROR(TA[[#This Row],[Breakdown Time]]*TA[[#This Row],[Plant Equivalent Weightage]],"")</f>
        <v>0</v>
      </c>
    </row>
    <row r="575" spans="1:35">
      <c r="A575" s="2">
        <f t="shared" si="29"/>
        <v>572</v>
      </c>
      <c r="B575" s="156">
        <f t="shared" si="27"/>
        <v>2026</v>
      </c>
      <c r="C575" s="129">
        <f t="shared" si="28"/>
        <v>2025</v>
      </c>
      <c r="D575" s="2" t="s">
        <v>155</v>
      </c>
      <c r="E575" s="2" t="s">
        <v>155</v>
      </c>
      <c r="F575" s="39">
        <v>45778</v>
      </c>
      <c r="G575" s="2">
        <f>DAY(EOMONTH(TA[[#This Row],[Month Year]],0))</f>
        <v>31</v>
      </c>
      <c r="H575" s="21">
        <v>45783</v>
      </c>
      <c r="I575" s="41">
        <f>IFERROR(VLOOKUP(TA[[#This Row],[Date]],Raw_Data[[Date]:[Sunset Time (POA&lt;20 W/m2)]],3,0),"")</f>
        <v>0.2638888888888889</v>
      </c>
      <c r="J575" s="41">
        <f>IFERROR(VLOOKUP(TA[[#This Row],[Date]],Raw_Data[[Date]:[Sunset Time (POA&lt;20 W/m2)]],4,0),"")</f>
        <v>0.76944444444444449</v>
      </c>
      <c r="K575" s="35">
        <f>IFERROR((TA[[#This Row],[Sunset Time (POA&lt;20 W/m2)]]-TA[[#This Row],[Sunrise Time (POA&gt;20 W/m2)]])*24,"")</f>
        <v>12.133333333333333</v>
      </c>
      <c r="L575" s="2" t="s">
        <v>296</v>
      </c>
      <c r="M575" s="42">
        <f>IFERROR(VLOOKUP(TA[[#This Row],[Affected Equipment]],'Basic Data'!$I$2:$K$40,3,0),"")</f>
        <v>8.6206896551724102E-3</v>
      </c>
      <c r="N575">
        <v>-28</v>
      </c>
      <c r="O575" t="s">
        <v>134</v>
      </c>
      <c r="P575" s="22" t="s">
        <v>330</v>
      </c>
      <c r="Q575" s="2" t="s">
        <v>323</v>
      </c>
      <c r="R575">
        <v>31</v>
      </c>
      <c r="S575" s="2">
        <v>61</v>
      </c>
      <c r="T575" t="s">
        <v>297</v>
      </c>
      <c r="U575" t="s">
        <v>300</v>
      </c>
      <c r="V575" t="s">
        <v>301</v>
      </c>
      <c r="W575" s="41"/>
      <c r="X575" s="41"/>
      <c r="Y575" s="34"/>
      <c r="Z575" s="34"/>
      <c r="AA575" s="35">
        <f>IF(TA[[#This Row],[Work Start time on Fault]]="NA","",(TA[[#This Row],[Fault Acknowledgement Time ]]-TA[[#This Row],[Fault Time]])*24)</f>
        <v>0</v>
      </c>
      <c r="AB575" s="35">
        <f>(TA[[#This Row],[Work Start time on Fault]]-TA[[#This Row],[Fault Time]])*24</f>
        <v>0</v>
      </c>
      <c r="AC575" s="34">
        <f>(TA[[#This Row],[Work Completion time on fault]]-TA[[#This Row],[Fault Time]])*24</f>
        <v>0</v>
      </c>
      <c r="AD575" s="35">
        <f>IFERROR((TA[[#This Row],[Work Completion time on fault]]-TA[[#This Row],[Fault Time]])*24,"")</f>
        <v>0</v>
      </c>
      <c r="AE575" t="s">
        <v>328</v>
      </c>
      <c r="AF575" t="s">
        <v>256</v>
      </c>
      <c r="AG575" s="2"/>
      <c r="AH575" s="44">
        <f>1-COS(RADIANS(TA[[#This Row],[Avg. Target Angle during Fault Time (Radians)]]-TA[[#This Row],[Angle of affected equipment ]]))</f>
        <v>0.11705240714107301</v>
      </c>
      <c r="AI575" s="35">
        <f>IFERROR(TA[[#This Row],[Breakdown Time]]*TA[[#This Row],[Plant Equivalent Weightage]],"")</f>
        <v>0</v>
      </c>
    </row>
    <row r="576" spans="1:35">
      <c r="A576" s="2">
        <f t="shared" si="29"/>
        <v>573</v>
      </c>
      <c r="B576" s="156">
        <f t="shared" si="27"/>
        <v>2026</v>
      </c>
      <c r="C576" s="129">
        <f t="shared" si="28"/>
        <v>2025</v>
      </c>
      <c r="D576" s="2" t="s">
        <v>155</v>
      </c>
      <c r="E576" s="2" t="s">
        <v>155</v>
      </c>
      <c r="F576" s="39">
        <v>45778</v>
      </c>
      <c r="G576" s="2">
        <f>DAY(EOMONTH(TA[[#This Row],[Month Year]],0))</f>
        <v>31</v>
      </c>
      <c r="H576" s="21">
        <v>45783</v>
      </c>
      <c r="I576" s="41">
        <f>IFERROR(VLOOKUP(TA[[#This Row],[Date]],Raw_Data[[Date]:[Sunset Time (POA&lt;20 W/m2)]],3,0),"")</f>
        <v>0.2638888888888889</v>
      </c>
      <c r="J576" s="41">
        <f>IFERROR(VLOOKUP(TA[[#This Row],[Date]],Raw_Data[[Date]:[Sunset Time (POA&lt;20 W/m2)]],4,0),"")</f>
        <v>0.76944444444444449</v>
      </c>
      <c r="K576" s="35">
        <f>IFERROR((TA[[#This Row],[Sunset Time (POA&lt;20 W/m2)]]-TA[[#This Row],[Sunrise Time (POA&gt;20 W/m2)]])*24,"")</f>
        <v>12.133333333333333</v>
      </c>
      <c r="L576" s="2" t="s">
        <v>312</v>
      </c>
      <c r="M576" s="42">
        <f>IFERROR(VLOOKUP(TA[[#This Row],[Affected Equipment]],'Basic Data'!$I$2:$K$40,3,0),"")</f>
        <v>5.74712643678161E-3</v>
      </c>
      <c r="N576">
        <v>-28</v>
      </c>
      <c r="O576" t="s">
        <v>133</v>
      </c>
      <c r="P576" s="22" t="s">
        <v>330</v>
      </c>
      <c r="Q576" s="2" t="s">
        <v>323</v>
      </c>
      <c r="R576">
        <v>26</v>
      </c>
      <c r="S576" s="2">
        <v>37</v>
      </c>
      <c r="T576" t="s">
        <v>297</v>
      </c>
      <c r="U576" t="s">
        <v>300</v>
      </c>
      <c r="V576" t="s">
        <v>301</v>
      </c>
      <c r="W576" s="41"/>
      <c r="X576" s="41"/>
      <c r="Y576" s="34"/>
      <c r="Z576" s="34"/>
      <c r="AA576" s="35">
        <f>IF(TA[[#This Row],[Work Start time on Fault]]="NA","",(TA[[#This Row],[Fault Acknowledgement Time ]]-TA[[#This Row],[Fault Time]])*24)</f>
        <v>0</v>
      </c>
      <c r="AB576" s="35">
        <f>(TA[[#This Row],[Work Start time on Fault]]-TA[[#This Row],[Fault Time]])*24</f>
        <v>0</v>
      </c>
      <c r="AC576" s="34">
        <f>(TA[[#This Row],[Work Completion time on fault]]-TA[[#This Row],[Fault Time]])*24</f>
        <v>0</v>
      </c>
      <c r="AD576" s="35">
        <f>IFERROR((TA[[#This Row],[Work Completion time on fault]]-TA[[#This Row],[Fault Time]])*24,"")</f>
        <v>0</v>
      </c>
      <c r="AE576" t="s">
        <v>328</v>
      </c>
      <c r="AF576" t="s">
        <v>256</v>
      </c>
      <c r="AG576" s="2"/>
      <c r="AH576" s="44">
        <f>1-COS(RADIANS(TA[[#This Row],[Avg. Target Angle during Fault Time (Radians)]]-TA[[#This Row],[Angle of affected equipment ]]))</f>
        <v>0.11705240714107301</v>
      </c>
      <c r="AI576" s="35">
        <f>IFERROR(TA[[#This Row],[Breakdown Time]]*TA[[#This Row],[Plant Equivalent Weightage]],"")</f>
        <v>0</v>
      </c>
    </row>
    <row r="577" spans="1:35">
      <c r="A577" s="2">
        <f t="shared" si="29"/>
        <v>574</v>
      </c>
      <c r="B577" s="156">
        <f t="shared" si="27"/>
        <v>2026</v>
      </c>
      <c r="C577" s="129">
        <f t="shared" si="28"/>
        <v>2025</v>
      </c>
      <c r="D577" s="2" t="s">
        <v>155</v>
      </c>
      <c r="E577" s="2" t="s">
        <v>155</v>
      </c>
      <c r="F577" s="39">
        <v>45778</v>
      </c>
      <c r="G577" s="2">
        <f>DAY(EOMONTH(TA[[#This Row],[Month Year]],0))</f>
        <v>31</v>
      </c>
      <c r="H577" s="21">
        <v>45783</v>
      </c>
      <c r="I577" s="41">
        <f>IFERROR(VLOOKUP(TA[[#This Row],[Date]],Raw_Data[[Date]:[Sunset Time (POA&lt;20 W/m2)]],3,0),"")</f>
        <v>0.2638888888888889</v>
      </c>
      <c r="J577" s="41">
        <f>IFERROR(VLOOKUP(TA[[#This Row],[Date]],Raw_Data[[Date]:[Sunset Time (POA&lt;20 W/m2)]],4,0),"")</f>
        <v>0.76944444444444449</v>
      </c>
      <c r="K577" s="35">
        <f>IFERROR((TA[[#This Row],[Sunset Time (POA&lt;20 W/m2)]]-TA[[#This Row],[Sunrise Time (POA&gt;20 W/m2)]])*24,"")</f>
        <v>12.133333333333333</v>
      </c>
      <c r="L577" s="2" t="s">
        <v>312</v>
      </c>
      <c r="M577" s="42">
        <f>IFERROR(VLOOKUP(TA[[#This Row],[Affected Equipment]],'Basic Data'!$I$2:$K$40,3,0),"")</f>
        <v>5.74712643678161E-3</v>
      </c>
      <c r="N577">
        <v>-28</v>
      </c>
      <c r="O577" t="s">
        <v>133</v>
      </c>
      <c r="P577" s="22" t="s">
        <v>330</v>
      </c>
      <c r="Q577" s="2" t="s">
        <v>323</v>
      </c>
      <c r="R577">
        <v>27</v>
      </c>
      <c r="S577" s="2">
        <v>42</v>
      </c>
      <c r="T577" t="s">
        <v>297</v>
      </c>
      <c r="U577" t="s">
        <v>300</v>
      </c>
      <c r="V577" t="s">
        <v>301</v>
      </c>
      <c r="W577" s="41">
        <f>IFERROR(VLOOKUP(TA[[#This Row],[Date]],Raw_Data[[Date]:[Sunset Time (POA&lt;20 W/m2)]],3,0),"")</f>
        <v>0.2638888888888889</v>
      </c>
      <c r="X577" s="41">
        <f>IFERROR(VLOOKUP(TA[[#This Row],[Date]],Raw_Data[[Date]:[Sunset Time (POA&lt;20 W/m2)]],3,0),"")</f>
        <v>0.2638888888888889</v>
      </c>
      <c r="Y577" s="34"/>
      <c r="Z577" s="34">
        <v>0.76041666666666663</v>
      </c>
      <c r="AA577" s="35">
        <f>IF(TA[[#This Row],[Work Start time on Fault]]="NA","",(TA[[#This Row],[Fault Acknowledgement Time ]]-TA[[#This Row],[Fault Time]])*24)</f>
        <v>0</v>
      </c>
      <c r="AB577" s="35">
        <f>(TA[[#This Row],[Work Start time on Fault]]-TA[[#This Row],[Fault Time]])*24</f>
        <v>-6.3333333333333339</v>
      </c>
      <c r="AC577" s="34">
        <f>(TA[[#This Row],[Work Completion time on fault]]-TA[[#This Row],[Fault Time]])*24</f>
        <v>11.916666666666666</v>
      </c>
      <c r="AD577" s="35">
        <f>IFERROR((TA[[#This Row],[Work Completion time on fault]]-TA[[#This Row],[Fault Time]])*24,"")</f>
        <v>11.916666666666666</v>
      </c>
      <c r="AE577" t="s">
        <v>309</v>
      </c>
      <c r="AF577" t="s">
        <v>256</v>
      </c>
      <c r="AG577" s="2"/>
      <c r="AH577" s="44">
        <f>1-COS(RADIANS(TA[[#This Row],[Avg. Target Angle during Fault Time (Radians)]]-TA[[#This Row],[Angle of affected equipment ]]))</f>
        <v>0.11705240714107301</v>
      </c>
      <c r="AI577" s="35">
        <f>IFERROR(TA[[#This Row],[Breakdown Time]]*TA[[#This Row],[Plant Equivalent Weightage]],"")</f>
        <v>6.8486590038314185E-2</v>
      </c>
    </row>
    <row r="578" spans="1:35">
      <c r="A578" s="2">
        <f t="shared" si="29"/>
        <v>575</v>
      </c>
      <c r="B578" s="156">
        <f t="shared" ref="B578:B591" si="30">YEAR(H578)+IF(MONTH(H578)&gt;=4,1,0)</f>
        <v>2026</v>
      </c>
      <c r="C578" s="129">
        <f t="shared" ref="C578:C591" si="31">YEAR(H578)</f>
        <v>2025</v>
      </c>
      <c r="D578" s="2" t="s">
        <v>155</v>
      </c>
      <c r="E578" s="2" t="s">
        <v>155</v>
      </c>
      <c r="F578" s="39">
        <v>45778</v>
      </c>
      <c r="G578" s="2">
        <f>DAY(EOMONTH(TA[[#This Row],[Month Year]],0))</f>
        <v>31</v>
      </c>
      <c r="H578" s="21">
        <v>45784</v>
      </c>
      <c r="I578" s="41">
        <f>IFERROR(VLOOKUP(TA[[#This Row],[Date]],Raw_Data[[Date]:[Sunset Time (POA&lt;20 W/m2)]],3,0),"")</f>
        <v>0.25208333333333333</v>
      </c>
      <c r="J578" s="41">
        <f>IFERROR(VLOOKUP(TA[[#This Row],[Date]],Raw_Data[[Date]:[Sunset Time (POA&lt;20 W/m2)]],4,0),"")</f>
        <v>0.76944444444444449</v>
      </c>
      <c r="K578" s="35">
        <f>IFERROR((TA[[#This Row],[Sunset Time (POA&lt;20 W/m2)]]-TA[[#This Row],[Sunrise Time (POA&gt;20 W/m2)]])*24,"")</f>
        <v>12.416666666666668</v>
      </c>
      <c r="L578" s="2" t="s">
        <v>294</v>
      </c>
      <c r="M578" s="42">
        <f>IFERROR(VLOOKUP(TA[[#This Row],[Affected Equipment]],'Basic Data'!$I$2:$K$40,3,0),"")</f>
        <v>1.7241379310344799E-3</v>
      </c>
      <c r="N578">
        <v>-28</v>
      </c>
      <c r="O578" t="s">
        <v>135</v>
      </c>
      <c r="P578" s="127" t="s">
        <v>318</v>
      </c>
      <c r="Q578" s="126" t="s">
        <v>318</v>
      </c>
      <c r="R578">
        <v>130</v>
      </c>
      <c r="S578" s="2">
        <v>37</v>
      </c>
      <c r="T578" t="s">
        <v>295</v>
      </c>
      <c r="U578" t="s">
        <v>300</v>
      </c>
      <c r="V578" t="s">
        <v>298</v>
      </c>
      <c r="W578" s="41"/>
      <c r="X578" s="41"/>
      <c r="Y578" s="34"/>
      <c r="Z578" s="34"/>
      <c r="AA578" s="35">
        <f>IF(TA[[#This Row],[Work Start time on Fault]]="NA","",(TA[[#This Row],[Fault Acknowledgement Time ]]-TA[[#This Row],[Fault Time]])*24)</f>
        <v>0</v>
      </c>
      <c r="AB578" s="35">
        <f>(TA[[#This Row],[Work Start time on Fault]]-TA[[#This Row],[Fault Time]])*24</f>
        <v>0</v>
      </c>
      <c r="AC578" s="34">
        <f>(TA[[#This Row],[Work Completion time on fault]]-TA[[#This Row],[Fault Time]])*24</f>
        <v>0</v>
      </c>
      <c r="AD578" s="35">
        <f>IFERROR((TA[[#This Row],[Work Completion time on fault]]-TA[[#This Row],[Fault Time]])*24,"")</f>
        <v>0</v>
      </c>
      <c r="AE578" t="s">
        <v>328</v>
      </c>
      <c r="AF578" t="s">
        <v>256</v>
      </c>
      <c r="AG578" s="2"/>
      <c r="AH578" s="44">
        <f>1-COS(RADIANS(TA[[#This Row],[Avg. Target Angle during Fault Time (Radians)]]-TA[[#This Row],[Angle of affected equipment ]]))</f>
        <v>0.11705240714107301</v>
      </c>
      <c r="AI578" s="35">
        <f>IFERROR(TA[[#This Row],[Breakdown Time]]*TA[[#This Row],[Plant Equivalent Weightage]],"")</f>
        <v>0</v>
      </c>
    </row>
    <row r="579" spans="1:35">
      <c r="A579" s="2">
        <f t="shared" si="29"/>
        <v>576</v>
      </c>
      <c r="B579" s="156">
        <f t="shared" si="30"/>
        <v>2026</v>
      </c>
      <c r="C579" s="129">
        <f t="shared" si="31"/>
        <v>2025</v>
      </c>
      <c r="D579" s="2" t="s">
        <v>155</v>
      </c>
      <c r="E579" s="2" t="s">
        <v>155</v>
      </c>
      <c r="F579" s="39">
        <v>45778</v>
      </c>
      <c r="G579" s="2">
        <f>DAY(EOMONTH(TA[[#This Row],[Month Year]],0))</f>
        <v>31</v>
      </c>
      <c r="H579" s="21">
        <v>45784</v>
      </c>
      <c r="I579" s="41">
        <f>IFERROR(VLOOKUP(TA[[#This Row],[Date]],Raw_Data[[Date]:[Sunset Time (POA&lt;20 W/m2)]],3,0),"")</f>
        <v>0.25208333333333333</v>
      </c>
      <c r="J579" s="41">
        <f>IFERROR(VLOOKUP(TA[[#This Row],[Date]],Raw_Data[[Date]:[Sunset Time (POA&lt;20 W/m2)]],4,0),"")</f>
        <v>0.76944444444444449</v>
      </c>
      <c r="K579" s="35">
        <f>IFERROR((TA[[#This Row],[Sunset Time (POA&lt;20 W/m2)]]-TA[[#This Row],[Sunrise Time (POA&gt;20 W/m2)]])*24,"")</f>
        <v>12.416666666666668</v>
      </c>
      <c r="L579" s="2" t="s">
        <v>294</v>
      </c>
      <c r="M579" s="42">
        <f>IFERROR(VLOOKUP(TA[[#This Row],[Affected Equipment]],'Basic Data'!$I$2:$K$40,3,0),"")</f>
        <v>1.7241379310344799E-3</v>
      </c>
      <c r="N579">
        <v>-28</v>
      </c>
      <c r="O579" t="s">
        <v>135</v>
      </c>
      <c r="P579" s="127" t="s">
        <v>318</v>
      </c>
      <c r="Q579" s="126" t="s">
        <v>318</v>
      </c>
      <c r="R579">
        <v>131</v>
      </c>
      <c r="S579" s="2">
        <v>38</v>
      </c>
      <c r="T579" t="s">
        <v>295</v>
      </c>
      <c r="U579" t="s">
        <v>300</v>
      </c>
      <c r="V579" t="s">
        <v>298</v>
      </c>
      <c r="W579" s="41"/>
      <c r="X579" s="41"/>
      <c r="Y579" s="34"/>
      <c r="Z579" s="34"/>
      <c r="AA579" s="35">
        <f>IF(TA[[#This Row],[Work Start time on Fault]]="NA","",(TA[[#This Row],[Fault Acknowledgement Time ]]-TA[[#This Row],[Fault Time]])*24)</f>
        <v>0</v>
      </c>
      <c r="AB579" s="35">
        <f>(TA[[#This Row],[Work Start time on Fault]]-TA[[#This Row],[Fault Time]])*24</f>
        <v>0</v>
      </c>
      <c r="AC579" s="34">
        <f>(TA[[#This Row],[Work Completion time on fault]]-TA[[#This Row],[Fault Time]])*24</f>
        <v>0</v>
      </c>
      <c r="AD579" s="35">
        <f>IFERROR((TA[[#This Row],[Work Completion time on fault]]-TA[[#This Row],[Fault Time]])*24,"")</f>
        <v>0</v>
      </c>
      <c r="AE579" t="s">
        <v>328</v>
      </c>
      <c r="AF579" t="s">
        <v>256</v>
      </c>
      <c r="AG579" s="2"/>
      <c r="AH579" s="44">
        <f>1-COS(RADIANS(TA[[#This Row],[Avg. Target Angle during Fault Time (Radians)]]-TA[[#This Row],[Angle of affected equipment ]]))</f>
        <v>0.11705240714107301</v>
      </c>
      <c r="AI579" s="35">
        <f>IFERROR(TA[[#This Row],[Breakdown Time]]*TA[[#This Row],[Plant Equivalent Weightage]],"")</f>
        <v>0</v>
      </c>
    </row>
    <row r="580" spans="1:35">
      <c r="A580" s="2">
        <f t="shared" si="29"/>
        <v>577</v>
      </c>
      <c r="B580" s="156">
        <f t="shared" si="30"/>
        <v>2026</v>
      </c>
      <c r="C580" s="129">
        <f t="shared" si="31"/>
        <v>2025</v>
      </c>
      <c r="D580" s="2" t="s">
        <v>155</v>
      </c>
      <c r="E580" s="2" t="s">
        <v>155</v>
      </c>
      <c r="F580" s="39">
        <v>45778</v>
      </c>
      <c r="G580" s="2">
        <f>DAY(EOMONTH(TA[[#This Row],[Month Year]],0))</f>
        <v>31</v>
      </c>
      <c r="H580" s="21">
        <v>45784</v>
      </c>
      <c r="I580" s="41">
        <f>IFERROR(VLOOKUP(TA[[#This Row],[Date]],Raw_Data[[Date]:[Sunset Time (POA&lt;20 W/m2)]],3,0),"")</f>
        <v>0.25208333333333333</v>
      </c>
      <c r="J580" s="41">
        <f>IFERROR(VLOOKUP(TA[[#This Row],[Date]],Raw_Data[[Date]:[Sunset Time (POA&lt;20 W/m2)]],4,0),"")</f>
        <v>0.76944444444444449</v>
      </c>
      <c r="K580" s="35">
        <f>IFERROR((TA[[#This Row],[Sunset Time (POA&lt;20 W/m2)]]-TA[[#This Row],[Sunrise Time (POA&gt;20 W/m2)]])*24,"")</f>
        <v>12.416666666666668</v>
      </c>
      <c r="L580" s="2" t="s">
        <v>294</v>
      </c>
      <c r="M580" s="42">
        <f>IFERROR(VLOOKUP(TA[[#This Row],[Affected Equipment]],'Basic Data'!$I$2:$K$40,3,0),"")</f>
        <v>1.7241379310344799E-3</v>
      </c>
      <c r="N580">
        <v>-28</v>
      </c>
      <c r="O580" t="s">
        <v>135</v>
      </c>
      <c r="P580" s="127" t="s">
        <v>318</v>
      </c>
      <c r="Q580" s="126" t="s">
        <v>318</v>
      </c>
      <c r="R580">
        <v>131</v>
      </c>
      <c r="S580" s="2">
        <v>39</v>
      </c>
      <c r="T580" t="s">
        <v>295</v>
      </c>
      <c r="U580" t="s">
        <v>300</v>
      </c>
      <c r="V580" t="s">
        <v>298</v>
      </c>
      <c r="W580" s="41"/>
      <c r="X580" s="41"/>
      <c r="Y580" s="34"/>
      <c r="Z580" s="34"/>
      <c r="AA580" s="35">
        <f>IF(TA[[#This Row],[Work Start time on Fault]]="NA","",(TA[[#This Row],[Fault Acknowledgement Time ]]-TA[[#This Row],[Fault Time]])*24)</f>
        <v>0</v>
      </c>
      <c r="AB580" s="35">
        <f>(TA[[#This Row],[Work Start time on Fault]]-TA[[#This Row],[Fault Time]])*24</f>
        <v>0</v>
      </c>
      <c r="AC580" s="34">
        <f>(TA[[#This Row],[Work Completion time on fault]]-TA[[#This Row],[Fault Time]])*24</f>
        <v>0</v>
      </c>
      <c r="AD580" s="35">
        <f>IFERROR((TA[[#This Row],[Work Completion time on fault]]-TA[[#This Row],[Fault Time]])*24,"")</f>
        <v>0</v>
      </c>
      <c r="AE580" t="s">
        <v>328</v>
      </c>
      <c r="AF580" t="s">
        <v>256</v>
      </c>
      <c r="AG580" s="2"/>
      <c r="AH580" s="44">
        <f>1-COS(RADIANS(TA[[#This Row],[Avg. Target Angle during Fault Time (Radians)]]-TA[[#This Row],[Angle of affected equipment ]]))</f>
        <v>0.11705240714107301</v>
      </c>
      <c r="AI580" s="35">
        <f>IFERROR(TA[[#This Row],[Breakdown Time]]*TA[[#This Row],[Plant Equivalent Weightage]],"")</f>
        <v>0</v>
      </c>
    </row>
    <row r="581" spans="1:35">
      <c r="A581" s="2">
        <f t="shared" si="29"/>
        <v>578</v>
      </c>
      <c r="B581" s="156">
        <f t="shared" si="30"/>
        <v>2026</v>
      </c>
      <c r="C581" s="129">
        <f t="shared" si="31"/>
        <v>2025</v>
      </c>
      <c r="D581" s="2" t="s">
        <v>155</v>
      </c>
      <c r="E581" s="2" t="s">
        <v>155</v>
      </c>
      <c r="F581" s="39">
        <v>45778</v>
      </c>
      <c r="G581" s="2">
        <f>DAY(EOMONTH(TA[[#This Row],[Month Year]],0))</f>
        <v>31</v>
      </c>
      <c r="H581" s="21">
        <v>45784</v>
      </c>
      <c r="I581" s="41">
        <f>IFERROR(VLOOKUP(TA[[#This Row],[Date]],Raw_Data[[Date]:[Sunset Time (POA&lt;20 W/m2)]],3,0),"")</f>
        <v>0.25208333333333333</v>
      </c>
      <c r="J581" s="41">
        <f>IFERROR(VLOOKUP(TA[[#This Row],[Date]],Raw_Data[[Date]:[Sunset Time (POA&lt;20 W/m2)]],4,0),"")</f>
        <v>0.76944444444444449</v>
      </c>
      <c r="K581" s="35">
        <f>IFERROR((TA[[#This Row],[Sunset Time (POA&lt;20 W/m2)]]-TA[[#This Row],[Sunrise Time (POA&gt;20 W/m2)]])*24,"")</f>
        <v>12.416666666666668</v>
      </c>
      <c r="L581" s="2" t="s">
        <v>296</v>
      </c>
      <c r="M581" s="42">
        <f>IFERROR(VLOOKUP(TA[[#This Row],[Affected Equipment]],'Basic Data'!$I$2:$K$40,3,0),"")</f>
        <v>8.6206896551724102E-3</v>
      </c>
      <c r="N581">
        <v>-28</v>
      </c>
      <c r="O581" t="s">
        <v>135</v>
      </c>
      <c r="P581" s="127" t="s">
        <v>318</v>
      </c>
      <c r="Q581" s="2" t="s">
        <v>321</v>
      </c>
      <c r="R581">
        <v>133</v>
      </c>
      <c r="S581" s="2">
        <v>26</v>
      </c>
      <c r="T581" t="s">
        <v>297</v>
      </c>
      <c r="U581" t="s">
        <v>300</v>
      </c>
      <c r="V581" t="s">
        <v>314</v>
      </c>
      <c r="W581" s="41">
        <f>IFERROR(VLOOKUP(TA[[#This Row],[Date]],Raw_Data[[Date]:[Sunset Time (POA&lt;20 W/m2)]],3,0),"")</f>
        <v>0.25208333333333333</v>
      </c>
      <c r="X581" s="41">
        <f>IFERROR(VLOOKUP(TA[[#This Row],[Date]],Raw_Data[[Date]:[Sunset Time (POA&lt;20 W/m2)]],3,0),"")</f>
        <v>0.25208333333333333</v>
      </c>
      <c r="Y581" s="34"/>
      <c r="Z581" s="34">
        <v>0.76041666666666663</v>
      </c>
      <c r="AA581" s="35">
        <f>IF(TA[[#This Row],[Work Start time on Fault]]="NA","",(TA[[#This Row],[Fault Acknowledgement Time ]]-TA[[#This Row],[Fault Time]])*24)</f>
        <v>0</v>
      </c>
      <c r="AB581" s="35">
        <f>(TA[[#This Row],[Work Start time on Fault]]-TA[[#This Row],[Fault Time]])*24</f>
        <v>-6.05</v>
      </c>
      <c r="AC581" s="34">
        <f>(TA[[#This Row],[Work Completion time on fault]]-TA[[#This Row],[Fault Time]])*24</f>
        <v>12.2</v>
      </c>
      <c r="AD581" s="35">
        <f>IFERROR((TA[[#This Row],[Work Completion time on fault]]-TA[[#This Row],[Fault Time]])*24,"")</f>
        <v>12.2</v>
      </c>
      <c r="AE581" t="s">
        <v>328</v>
      </c>
      <c r="AF581" t="s">
        <v>256</v>
      </c>
      <c r="AG581" s="2"/>
      <c r="AH581" s="44">
        <f>1-COS(RADIANS(TA[[#This Row],[Avg. Target Angle during Fault Time (Radians)]]-TA[[#This Row],[Angle of affected equipment ]]))</f>
        <v>0.11705240714107301</v>
      </c>
      <c r="AI581" s="35">
        <f>IFERROR(TA[[#This Row],[Breakdown Time]]*TA[[#This Row],[Plant Equivalent Weightage]],"")</f>
        <v>0.10517241379310339</v>
      </c>
    </row>
    <row r="582" spans="1:35">
      <c r="A582" s="2">
        <f t="shared" si="29"/>
        <v>579</v>
      </c>
      <c r="B582" s="156">
        <f t="shared" si="30"/>
        <v>2026</v>
      </c>
      <c r="C582" s="129">
        <f t="shared" si="31"/>
        <v>2025</v>
      </c>
      <c r="D582" s="2" t="s">
        <v>155</v>
      </c>
      <c r="E582" s="2" t="s">
        <v>155</v>
      </c>
      <c r="F582" s="39">
        <v>45778</v>
      </c>
      <c r="G582" s="2">
        <f>DAY(EOMONTH(TA[[#This Row],[Month Year]],0))</f>
        <v>31</v>
      </c>
      <c r="H582" s="21">
        <v>45784</v>
      </c>
      <c r="I582" s="41">
        <f>IFERROR(VLOOKUP(TA[[#This Row],[Date]],Raw_Data[[Date]:[Sunset Time (POA&lt;20 W/m2)]],3,0),"")</f>
        <v>0.25208333333333333</v>
      </c>
      <c r="J582" s="41">
        <f>IFERROR(VLOOKUP(TA[[#This Row],[Date]],Raw_Data[[Date]:[Sunset Time (POA&lt;20 W/m2)]],4,0),"")</f>
        <v>0.76944444444444449</v>
      </c>
      <c r="K582" s="35">
        <f>IFERROR((TA[[#This Row],[Sunset Time (POA&lt;20 W/m2)]]-TA[[#This Row],[Sunrise Time (POA&gt;20 W/m2)]])*24,"")</f>
        <v>12.416666666666668</v>
      </c>
      <c r="L582" s="2" t="s">
        <v>294</v>
      </c>
      <c r="M582" s="42">
        <f>IFERROR(VLOOKUP(TA[[#This Row],[Affected Equipment]],'Basic Data'!$I$2:$K$40,3,0),"")</f>
        <v>1.7241379310344799E-3</v>
      </c>
      <c r="N582">
        <v>-28</v>
      </c>
      <c r="O582" t="s">
        <v>133</v>
      </c>
      <c r="P582" s="127" t="s">
        <v>316</v>
      </c>
      <c r="Q582" s="126" t="s">
        <v>317</v>
      </c>
      <c r="R582">
        <v>7</v>
      </c>
      <c r="S582" s="2">
        <v>32</v>
      </c>
      <c r="T582" t="s">
        <v>295</v>
      </c>
      <c r="U582" t="s">
        <v>300</v>
      </c>
      <c r="V582" t="s">
        <v>298</v>
      </c>
      <c r="W582" s="41"/>
      <c r="X582" s="41"/>
      <c r="Y582" s="34"/>
      <c r="Z582" s="34"/>
      <c r="AA582" s="35">
        <f>IF(TA[[#This Row],[Work Start time on Fault]]="NA","",(TA[[#This Row],[Fault Acknowledgement Time ]]-TA[[#This Row],[Fault Time]])*24)</f>
        <v>0</v>
      </c>
      <c r="AB582" s="35">
        <f>(TA[[#This Row],[Work Start time on Fault]]-TA[[#This Row],[Fault Time]])*24</f>
        <v>0</v>
      </c>
      <c r="AC582" s="34">
        <f>(TA[[#This Row],[Work Completion time on fault]]-TA[[#This Row],[Fault Time]])*24</f>
        <v>0</v>
      </c>
      <c r="AD582" s="35">
        <f>IFERROR((TA[[#This Row],[Work Completion time on fault]]-TA[[#This Row],[Fault Time]])*24,"")</f>
        <v>0</v>
      </c>
      <c r="AE582" t="s">
        <v>328</v>
      </c>
      <c r="AF582" t="s">
        <v>256</v>
      </c>
      <c r="AG582" s="2"/>
      <c r="AH582" s="44">
        <f>1-COS(RADIANS(TA[[#This Row],[Avg. Target Angle during Fault Time (Radians)]]-TA[[#This Row],[Angle of affected equipment ]]))</f>
        <v>0.11705240714107301</v>
      </c>
      <c r="AI582" s="35">
        <f>IFERROR(TA[[#This Row],[Breakdown Time]]*TA[[#This Row],[Plant Equivalent Weightage]],"")</f>
        <v>0</v>
      </c>
    </row>
    <row r="583" spans="1:35">
      <c r="A583" s="2">
        <f t="shared" si="29"/>
        <v>580</v>
      </c>
      <c r="B583" s="156">
        <f t="shared" si="30"/>
        <v>2026</v>
      </c>
      <c r="C583" s="129">
        <f t="shared" si="31"/>
        <v>2025</v>
      </c>
      <c r="D583" s="2" t="s">
        <v>155</v>
      </c>
      <c r="E583" s="2" t="s">
        <v>155</v>
      </c>
      <c r="F583" s="39">
        <v>45778</v>
      </c>
      <c r="G583" s="2">
        <f>DAY(EOMONTH(TA[[#This Row],[Month Year]],0))</f>
        <v>31</v>
      </c>
      <c r="H583" s="21">
        <v>45784</v>
      </c>
      <c r="I583" s="41">
        <f>IFERROR(VLOOKUP(TA[[#This Row],[Date]],Raw_Data[[Date]:[Sunset Time (POA&lt;20 W/m2)]],3,0),"")</f>
        <v>0.25208333333333333</v>
      </c>
      <c r="J583" s="41">
        <f>IFERROR(VLOOKUP(TA[[#This Row],[Date]],Raw_Data[[Date]:[Sunset Time (POA&lt;20 W/m2)]],4,0),"")</f>
        <v>0.76944444444444449</v>
      </c>
      <c r="K583" s="35">
        <f>IFERROR((TA[[#This Row],[Sunset Time (POA&lt;20 W/m2)]]-TA[[#This Row],[Sunrise Time (POA&gt;20 W/m2)]])*24,"")</f>
        <v>12.416666666666668</v>
      </c>
      <c r="L583" s="2" t="s">
        <v>294</v>
      </c>
      <c r="M583" s="42">
        <f>IFERROR(VLOOKUP(TA[[#This Row],[Affected Equipment]],'Basic Data'!$I$2:$K$40,3,0),"")</f>
        <v>1.7241379310344799E-3</v>
      </c>
      <c r="N583">
        <v>-28</v>
      </c>
      <c r="O583" t="s">
        <v>137</v>
      </c>
      <c r="P583" s="127" t="s">
        <v>315</v>
      </c>
      <c r="Q583" s="126" t="s">
        <v>319</v>
      </c>
      <c r="R583">
        <v>166</v>
      </c>
      <c r="S583" s="2">
        <v>91</v>
      </c>
      <c r="T583" t="s">
        <v>295</v>
      </c>
      <c r="U583" t="s">
        <v>300</v>
      </c>
      <c r="V583" t="s">
        <v>298</v>
      </c>
      <c r="W583" s="41"/>
      <c r="X583" s="41"/>
      <c r="Y583" s="34"/>
      <c r="Z583" s="34"/>
      <c r="AA583" s="35">
        <f>IF(TA[[#This Row],[Work Start time on Fault]]="NA","",(TA[[#This Row],[Fault Acknowledgement Time ]]-TA[[#This Row],[Fault Time]])*24)</f>
        <v>0</v>
      </c>
      <c r="AB583" s="35">
        <f>(TA[[#This Row],[Work Start time on Fault]]-TA[[#This Row],[Fault Time]])*24</f>
        <v>0</v>
      </c>
      <c r="AC583" s="34">
        <f>(TA[[#This Row],[Work Completion time on fault]]-TA[[#This Row],[Fault Time]])*24</f>
        <v>0</v>
      </c>
      <c r="AD583" s="35">
        <f>IFERROR((TA[[#This Row],[Work Completion time on fault]]-TA[[#This Row],[Fault Time]])*24,"")</f>
        <v>0</v>
      </c>
      <c r="AE583" t="s">
        <v>328</v>
      </c>
      <c r="AF583" t="s">
        <v>256</v>
      </c>
      <c r="AG583" s="2"/>
      <c r="AH583" s="44">
        <f>1-COS(RADIANS(TA[[#This Row],[Avg. Target Angle during Fault Time (Radians)]]-TA[[#This Row],[Angle of affected equipment ]]))</f>
        <v>0.11705240714107301</v>
      </c>
      <c r="AI583" s="35">
        <f>IFERROR(TA[[#This Row],[Breakdown Time]]*TA[[#This Row],[Plant Equivalent Weightage]],"")</f>
        <v>0</v>
      </c>
    </row>
    <row r="584" spans="1:35">
      <c r="A584" s="2">
        <f t="shared" si="29"/>
        <v>581</v>
      </c>
      <c r="B584" s="156">
        <f t="shared" si="30"/>
        <v>2026</v>
      </c>
      <c r="C584" s="129">
        <f t="shared" si="31"/>
        <v>2025</v>
      </c>
      <c r="D584" s="2" t="s">
        <v>155</v>
      </c>
      <c r="E584" s="2" t="s">
        <v>155</v>
      </c>
      <c r="F584" s="39">
        <v>45778</v>
      </c>
      <c r="G584" s="2">
        <f>DAY(EOMONTH(TA[[#This Row],[Month Year]],0))</f>
        <v>31</v>
      </c>
      <c r="H584" s="21">
        <v>45784</v>
      </c>
      <c r="I584" s="41">
        <f>IFERROR(VLOOKUP(TA[[#This Row],[Date]],Raw_Data[[Date]:[Sunset Time (POA&lt;20 W/m2)]],3,0),"")</f>
        <v>0.25208333333333333</v>
      </c>
      <c r="J584" s="41">
        <f>IFERROR(VLOOKUP(TA[[#This Row],[Date]],Raw_Data[[Date]:[Sunset Time (POA&lt;20 W/m2)]],4,0),"")</f>
        <v>0.76944444444444449</v>
      </c>
      <c r="K584" s="35">
        <f>IFERROR((TA[[#This Row],[Sunset Time (POA&lt;20 W/m2)]]-TA[[#This Row],[Sunrise Time (POA&gt;20 W/m2)]])*24,"")</f>
        <v>12.416666666666668</v>
      </c>
      <c r="L584" s="2" t="s">
        <v>294</v>
      </c>
      <c r="M584" s="42">
        <f>IFERROR(VLOOKUP(TA[[#This Row],[Affected Equipment]],'Basic Data'!$I$2:$K$40,3,0),"")</f>
        <v>1.7241379310344799E-3</v>
      </c>
      <c r="N584">
        <v>-28</v>
      </c>
      <c r="O584" t="s">
        <v>133</v>
      </c>
      <c r="P584" s="127" t="s">
        <v>316</v>
      </c>
      <c r="Q584" s="126" t="s">
        <v>316</v>
      </c>
      <c r="R584">
        <v>117</v>
      </c>
      <c r="S584" s="2">
        <v>20</v>
      </c>
      <c r="T584" t="s">
        <v>295</v>
      </c>
      <c r="U584" t="s">
        <v>300</v>
      </c>
      <c r="V584" t="s">
        <v>298</v>
      </c>
      <c r="W584" s="41"/>
      <c r="X584" s="41"/>
      <c r="Y584" s="34"/>
      <c r="Z584" s="34"/>
      <c r="AA584" s="35">
        <f>IF(TA[[#This Row],[Work Start time on Fault]]="NA","",(TA[[#This Row],[Fault Acknowledgement Time ]]-TA[[#This Row],[Fault Time]])*24)</f>
        <v>0</v>
      </c>
      <c r="AB584" s="35">
        <f>(TA[[#This Row],[Work Start time on Fault]]-TA[[#This Row],[Fault Time]])*24</f>
        <v>0</v>
      </c>
      <c r="AC584" s="34">
        <f>(TA[[#This Row],[Work Completion time on fault]]-TA[[#This Row],[Fault Time]])*24</f>
        <v>0</v>
      </c>
      <c r="AD584" s="35">
        <f>IFERROR((TA[[#This Row],[Work Completion time on fault]]-TA[[#This Row],[Fault Time]])*24,"")</f>
        <v>0</v>
      </c>
      <c r="AE584" t="s">
        <v>328</v>
      </c>
      <c r="AF584" t="s">
        <v>256</v>
      </c>
      <c r="AG584" s="2"/>
      <c r="AH584" s="44">
        <f>1-COS(RADIANS(TA[[#This Row],[Avg. Target Angle during Fault Time (Radians)]]-TA[[#This Row],[Angle of affected equipment ]]))</f>
        <v>0.11705240714107301</v>
      </c>
      <c r="AI584" s="35">
        <f>IFERROR(TA[[#This Row],[Breakdown Time]]*TA[[#This Row],[Plant Equivalent Weightage]],"")</f>
        <v>0</v>
      </c>
    </row>
    <row r="585" spans="1:35">
      <c r="A585" s="2">
        <f t="shared" si="29"/>
        <v>582</v>
      </c>
      <c r="B585" s="156">
        <f t="shared" si="30"/>
        <v>2026</v>
      </c>
      <c r="C585" s="129">
        <f t="shared" si="31"/>
        <v>2025</v>
      </c>
      <c r="D585" s="2" t="s">
        <v>155</v>
      </c>
      <c r="E585" s="2" t="s">
        <v>155</v>
      </c>
      <c r="F585" s="39">
        <v>45778</v>
      </c>
      <c r="G585" s="2">
        <f>DAY(EOMONTH(TA[[#This Row],[Month Year]],0))</f>
        <v>31</v>
      </c>
      <c r="H585" s="21">
        <v>45784</v>
      </c>
      <c r="I585" s="41">
        <f>IFERROR(VLOOKUP(TA[[#This Row],[Date]],Raw_Data[[Date]:[Sunset Time (POA&lt;20 W/m2)]],3,0),"")</f>
        <v>0.25208333333333333</v>
      </c>
      <c r="J585" s="41">
        <f>IFERROR(VLOOKUP(TA[[#This Row],[Date]],Raw_Data[[Date]:[Sunset Time (POA&lt;20 W/m2)]],4,0),"")</f>
        <v>0.76944444444444449</v>
      </c>
      <c r="K585" s="35">
        <f>IFERROR((TA[[#This Row],[Sunset Time (POA&lt;20 W/m2)]]-TA[[#This Row],[Sunrise Time (POA&gt;20 W/m2)]])*24,"")</f>
        <v>12.416666666666668</v>
      </c>
      <c r="L585" s="2" t="s">
        <v>294</v>
      </c>
      <c r="M585" s="42">
        <f>IFERROR(VLOOKUP(TA[[#This Row],[Affected Equipment]],'Basic Data'!$I$2:$K$40,3,0),"")</f>
        <v>1.7241379310344799E-3</v>
      </c>
      <c r="N585">
        <v>-28</v>
      </c>
      <c r="O585" t="s">
        <v>133</v>
      </c>
      <c r="P585" s="127" t="s">
        <v>316</v>
      </c>
      <c r="Q585" s="126" t="s">
        <v>316</v>
      </c>
      <c r="R585">
        <v>118</v>
      </c>
      <c r="S585" s="2">
        <v>22</v>
      </c>
      <c r="T585" t="s">
        <v>295</v>
      </c>
      <c r="U585" t="s">
        <v>300</v>
      </c>
      <c r="V585" t="s">
        <v>298</v>
      </c>
      <c r="W585" s="41"/>
      <c r="X585" s="41"/>
      <c r="Y585" s="34"/>
      <c r="Z585" s="34"/>
      <c r="AA585" s="35">
        <f>IF(TA[[#This Row],[Work Start time on Fault]]="NA","",(TA[[#This Row],[Fault Acknowledgement Time ]]-TA[[#This Row],[Fault Time]])*24)</f>
        <v>0</v>
      </c>
      <c r="AB585" s="35">
        <f>(TA[[#This Row],[Work Start time on Fault]]-TA[[#This Row],[Fault Time]])*24</f>
        <v>0</v>
      </c>
      <c r="AC585" s="34">
        <f>(TA[[#This Row],[Work Completion time on fault]]-TA[[#This Row],[Fault Time]])*24</f>
        <v>0</v>
      </c>
      <c r="AD585" s="35">
        <f>IFERROR((TA[[#This Row],[Work Completion time on fault]]-TA[[#This Row],[Fault Time]])*24,"")</f>
        <v>0</v>
      </c>
      <c r="AE585" t="s">
        <v>328</v>
      </c>
      <c r="AF585" t="s">
        <v>256</v>
      </c>
      <c r="AG585" s="2"/>
      <c r="AH585" s="44">
        <f>1-COS(RADIANS(TA[[#This Row],[Avg. Target Angle during Fault Time (Radians)]]-TA[[#This Row],[Angle of affected equipment ]]))</f>
        <v>0.11705240714107301</v>
      </c>
      <c r="AI585" s="35">
        <f>IFERROR(TA[[#This Row],[Breakdown Time]]*TA[[#This Row],[Plant Equivalent Weightage]],"")</f>
        <v>0</v>
      </c>
    </row>
    <row r="586" spans="1:35">
      <c r="A586" s="2">
        <f t="shared" si="29"/>
        <v>583</v>
      </c>
      <c r="B586" s="156">
        <f t="shared" si="30"/>
        <v>2026</v>
      </c>
      <c r="C586" s="129">
        <f t="shared" si="31"/>
        <v>2025</v>
      </c>
      <c r="D586" s="2" t="s">
        <v>155</v>
      </c>
      <c r="E586" s="2" t="s">
        <v>155</v>
      </c>
      <c r="F586" s="39">
        <v>45778</v>
      </c>
      <c r="G586" s="2">
        <f>DAY(EOMONTH(TA[[#This Row],[Month Year]],0))</f>
        <v>31</v>
      </c>
      <c r="H586" s="21">
        <v>45784</v>
      </c>
      <c r="I586" s="41">
        <f>IFERROR(VLOOKUP(TA[[#This Row],[Date]],Raw_Data[[Date]:[Sunset Time (POA&lt;20 W/m2)]],3,0),"")</f>
        <v>0.25208333333333333</v>
      </c>
      <c r="J586" s="41">
        <f>IFERROR(VLOOKUP(TA[[#This Row],[Date]],Raw_Data[[Date]:[Sunset Time (POA&lt;20 W/m2)]],4,0),"")</f>
        <v>0.76944444444444449</v>
      </c>
      <c r="K586" s="35">
        <f>IFERROR((TA[[#This Row],[Sunset Time (POA&lt;20 W/m2)]]-TA[[#This Row],[Sunrise Time (POA&gt;20 W/m2)]])*24,"")</f>
        <v>12.416666666666668</v>
      </c>
      <c r="L586" s="2" t="s">
        <v>296</v>
      </c>
      <c r="M586" s="42">
        <f>IFERROR(VLOOKUP(TA[[#This Row],[Affected Equipment]],'Basic Data'!$I$2:$K$40,3,0),"")</f>
        <v>8.6206896551724102E-3</v>
      </c>
      <c r="N586">
        <v>-28</v>
      </c>
      <c r="O586" t="s">
        <v>135</v>
      </c>
      <c r="P586" s="22" t="s">
        <v>323</v>
      </c>
      <c r="Q586" s="2" t="s">
        <v>329</v>
      </c>
      <c r="R586">
        <v>45</v>
      </c>
      <c r="S586" s="2">
        <v>8</v>
      </c>
      <c r="T586" t="s">
        <v>297</v>
      </c>
      <c r="U586" t="s">
        <v>300</v>
      </c>
      <c r="V586" t="s">
        <v>301</v>
      </c>
      <c r="W586" s="41"/>
      <c r="X586" s="41"/>
      <c r="Y586" s="34"/>
      <c r="Z586" s="34"/>
      <c r="AA586" s="35">
        <f>IF(TA[[#This Row],[Work Start time on Fault]]="NA","",(TA[[#This Row],[Fault Acknowledgement Time ]]-TA[[#This Row],[Fault Time]])*24)</f>
        <v>0</v>
      </c>
      <c r="AB586" s="35">
        <f>(TA[[#This Row],[Work Start time on Fault]]-TA[[#This Row],[Fault Time]])*24</f>
        <v>0</v>
      </c>
      <c r="AC586" s="34">
        <f>(TA[[#This Row],[Work Completion time on fault]]-TA[[#This Row],[Fault Time]])*24</f>
        <v>0</v>
      </c>
      <c r="AD586" s="35">
        <f>IFERROR((TA[[#This Row],[Work Completion time on fault]]-TA[[#This Row],[Fault Time]])*24,"")</f>
        <v>0</v>
      </c>
      <c r="AE586" t="s">
        <v>328</v>
      </c>
      <c r="AF586" t="s">
        <v>256</v>
      </c>
      <c r="AG586" s="2"/>
      <c r="AH586" s="44">
        <f>1-COS(RADIANS(TA[[#This Row],[Avg. Target Angle during Fault Time (Radians)]]-TA[[#This Row],[Angle of affected equipment ]]))</f>
        <v>0.11705240714107301</v>
      </c>
      <c r="AI586" s="35">
        <f>IFERROR(TA[[#This Row],[Breakdown Time]]*TA[[#This Row],[Plant Equivalent Weightage]],"")</f>
        <v>0</v>
      </c>
    </row>
    <row r="587" spans="1:35">
      <c r="A587" s="2">
        <f t="shared" si="29"/>
        <v>584</v>
      </c>
      <c r="B587" s="156">
        <f t="shared" si="30"/>
        <v>2026</v>
      </c>
      <c r="C587" s="129">
        <f t="shared" si="31"/>
        <v>2025</v>
      </c>
      <c r="D587" s="2" t="s">
        <v>155</v>
      </c>
      <c r="E587" s="2" t="s">
        <v>155</v>
      </c>
      <c r="F587" s="39">
        <v>45778</v>
      </c>
      <c r="G587" s="2">
        <f>DAY(EOMONTH(TA[[#This Row],[Month Year]],0))</f>
        <v>31</v>
      </c>
      <c r="H587" s="21">
        <v>45784</v>
      </c>
      <c r="I587" s="41">
        <f>IFERROR(VLOOKUP(TA[[#This Row],[Date]],Raw_Data[[Date]:[Sunset Time (POA&lt;20 W/m2)]],3,0),"")</f>
        <v>0.25208333333333333</v>
      </c>
      <c r="J587" s="41">
        <f>IFERROR(VLOOKUP(TA[[#This Row],[Date]],Raw_Data[[Date]:[Sunset Time (POA&lt;20 W/m2)]],4,0),"")</f>
        <v>0.76944444444444449</v>
      </c>
      <c r="K587" s="35">
        <f>IFERROR((TA[[#This Row],[Sunset Time (POA&lt;20 W/m2)]]-TA[[#This Row],[Sunrise Time (POA&gt;20 W/m2)]])*24,"")</f>
        <v>12.416666666666668</v>
      </c>
      <c r="L587" s="2" t="s">
        <v>296</v>
      </c>
      <c r="M587" s="42">
        <f>IFERROR(VLOOKUP(TA[[#This Row],[Affected Equipment]],'Basic Data'!$I$2:$K$40,3,0),"")</f>
        <v>8.6206896551724102E-3</v>
      </c>
      <c r="N587">
        <v>-28</v>
      </c>
      <c r="O587" t="s">
        <v>135</v>
      </c>
      <c r="P587" s="22" t="s">
        <v>323</v>
      </c>
      <c r="Q587" s="2" t="s">
        <v>329</v>
      </c>
      <c r="R587">
        <v>47</v>
      </c>
      <c r="S587" s="2">
        <v>18</v>
      </c>
      <c r="T587" t="s">
        <v>297</v>
      </c>
      <c r="U587" t="s">
        <v>300</v>
      </c>
      <c r="V587" t="s">
        <v>301</v>
      </c>
      <c r="W587" s="41"/>
      <c r="X587" s="41"/>
      <c r="Y587" s="34"/>
      <c r="Z587" s="34"/>
      <c r="AA587" s="35">
        <f>IF(TA[[#This Row],[Work Start time on Fault]]="NA","",(TA[[#This Row],[Fault Acknowledgement Time ]]-TA[[#This Row],[Fault Time]])*24)</f>
        <v>0</v>
      </c>
      <c r="AB587" s="35">
        <f>(TA[[#This Row],[Work Start time on Fault]]-TA[[#This Row],[Fault Time]])*24</f>
        <v>0</v>
      </c>
      <c r="AC587" s="34">
        <f>(TA[[#This Row],[Work Completion time on fault]]-TA[[#This Row],[Fault Time]])*24</f>
        <v>0</v>
      </c>
      <c r="AD587" s="35">
        <f>IFERROR((TA[[#This Row],[Work Completion time on fault]]-TA[[#This Row],[Fault Time]])*24,"")</f>
        <v>0</v>
      </c>
      <c r="AE587" t="s">
        <v>328</v>
      </c>
      <c r="AF587" t="s">
        <v>256</v>
      </c>
      <c r="AG587" s="2"/>
      <c r="AH587" s="44">
        <f>1-COS(RADIANS(TA[[#This Row],[Avg. Target Angle during Fault Time (Radians)]]-TA[[#This Row],[Angle of affected equipment ]]))</f>
        <v>0.11705240714107301</v>
      </c>
      <c r="AI587" s="35">
        <f>IFERROR(TA[[#This Row],[Breakdown Time]]*TA[[#This Row],[Plant Equivalent Weightage]],"")</f>
        <v>0</v>
      </c>
    </row>
    <row r="588" spans="1:35">
      <c r="A588" s="2">
        <f t="shared" si="29"/>
        <v>585</v>
      </c>
      <c r="B588" s="156">
        <f t="shared" si="30"/>
        <v>2026</v>
      </c>
      <c r="C588" s="129">
        <f t="shared" si="31"/>
        <v>2025</v>
      </c>
      <c r="D588" s="2" t="s">
        <v>155</v>
      </c>
      <c r="E588" s="2" t="s">
        <v>155</v>
      </c>
      <c r="F588" s="39">
        <v>45778</v>
      </c>
      <c r="G588" s="2">
        <f>DAY(EOMONTH(TA[[#This Row],[Month Year]],0))</f>
        <v>31</v>
      </c>
      <c r="H588" s="21">
        <v>45784</v>
      </c>
      <c r="I588" s="41">
        <f>IFERROR(VLOOKUP(TA[[#This Row],[Date]],Raw_Data[[Date]:[Sunset Time (POA&lt;20 W/m2)]],3,0),"")</f>
        <v>0.25208333333333333</v>
      </c>
      <c r="J588" s="41">
        <f>IFERROR(VLOOKUP(TA[[#This Row],[Date]],Raw_Data[[Date]:[Sunset Time (POA&lt;20 W/m2)]],4,0),"")</f>
        <v>0.76944444444444449</v>
      </c>
      <c r="K588" s="35">
        <f>IFERROR((TA[[#This Row],[Sunset Time (POA&lt;20 W/m2)]]-TA[[#This Row],[Sunrise Time (POA&gt;20 W/m2)]])*24,"")</f>
        <v>12.416666666666668</v>
      </c>
      <c r="L588" s="2" t="s">
        <v>296</v>
      </c>
      <c r="M588" s="42">
        <f>IFERROR(VLOOKUP(TA[[#This Row],[Affected Equipment]],'Basic Data'!$I$2:$K$40,3,0),"")</f>
        <v>8.6206896551724102E-3</v>
      </c>
      <c r="N588">
        <v>-28</v>
      </c>
      <c r="O588" t="s">
        <v>134</v>
      </c>
      <c r="P588" s="22" t="s">
        <v>330</v>
      </c>
      <c r="Q588" s="2" t="s">
        <v>323</v>
      </c>
      <c r="R588">
        <v>30</v>
      </c>
      <c r="S588" s="2">
        <v>57</v>
      </c>
      <c r="T588" t="s">
        <v>297</v>
      </c>
      <c r="U588" t="s">
        <v>300</v>
      </c>
      <c r="V588" t="s">
        <v>301</v>
      </c>
      <c r="W588" s="41"/>
      <c r="X588" s="41"/>
      <c r="Y588" s="34"/>
      <c r="Z588" s="34"/>
      <c r="AA588" s="35">
        <f>IF(TA[[#This Row],[Work Start time on Fault]]="NA","",(TA[[#This Row],[Fault Acknowledgement Time ]]-TA[[#This Row],[Fault Time]])*24)</f>
        <v>0</v>
      </c>
      <c r="AB588" s="35">
        <f>(TA[[#This Row],[Work Start time on Fault]]-TA[[#This Row],[Fault Time]])*24</f>
        <v>0</v>
      </c>
      <c r="AC588" s="34">
        <f>(TA[[#This Row],[Work Completion time on fault]]-TA[[#This Row],[Fault Time]])*24</f>
        <v>0</v>
      </c>
      <c r="AD588" s="35">
        <f>IFERROR((TA[[#This Row],[Work Completion time on fault]]-TA[[#This Row],[Fault Time]])*24,"")</f>
        <v>0</v>
      </c>
      <c r="AE588" t="s">
        <v>328</v>
      </c>
      <c r="AF588" t="s">
        <v>256</v>
      </c>
      <c r="AG588" s="2"/>
      <c r="AH588" s="44">
        <f>1-COS(RADIANS(TA[[#This Row],[Avg. Target Angle during Fault Time (Radians)]]-TA[[#This Row],[Angle of affected equipment ]]))</f>
        <v>0.11705240714107301</v>
      </c>
      <c r="AI588" s="35">
        <f>IFERROR(TA[[#This Row],[Breakdown Time]]*TA[[#This Row],[Plant Equivalent Weightage]],"")</f>
        <v>0</v>
      </c>
    </row>
    <row r="589" spans="1:35">
      <c r="A589" s="2">
        <f t="shared" si="29"/>
        <v>586</v>
      </c>
      <c r="B589" s="156">
        <f t="shared" si="30"/>
        <v>2026</v>
      </c>
      <c r="C589" s="129">
        <f t="shared" si="31"/>
        <v>2025</v>
      </c>
      <c r="D589" s="2" t="s">
        <v>155</v>
      </c>
      <c r="E589" s="2" t="s">
        <v>155</v>
      </c>
      <c r="F589" s="39">
        <v>45778</v>
      </c>
      <c r="G589" s="2">
        <f>DAY(EOMONTH(TA[[#This Row],[Month Year]],0))</f>
        <v>31</v>
      </c>
      <c r="H589" s="21">
        <v>45784</v>
      </c>
      <c r="I589" s="41">
        <f>IFERROR(VLOOKUP(TA[[#This Row],[Date]],Raw_Data[[Date]:[Sunset Time (POA&lt;20 W/m2)]],3,0),"")</f>
        <v>0.25208333333333333</v>
      </c>
      <c r="J589" s="41">
        <f>IFERROR(VLOOKUP(TA[[#This Row],[Date]],Raw_Data[[Date]:[Sunset Time (POA&lt;20 W/m2)]],4,0),"")</f>
        <v>0.76944444444444449</v>
      </c>
      <c r="K589" s="35">
        <f>IFERROR((TA[[#This Row],[Sunset Time (POA&lt;20 W/m2)]]-TA[[#This Row],[Sunrise Time (POA&gt;20 W/m2)]])*24,"")</f>
        <v>12.416666666666668</v>
      </c>
      <c r="L589" s="2" t="s">
        <v>296</v>
      </c>
      <c r="M589" s="42">
        <f>IFERROR(VLOOKUP(TA[[#This Row],[Affected Equipment]],'Basic Data'!$I$2:$K$40,3,0),"")</f>
        <v>8.6206896551724102E-3</v>
      </c>
      <c r="N589">
        <v>-28</v>
      </c>
      <c r="O589" t="s">
        <v>134</v>
      </c>
      <c r="P589" s="22" t="s">
        <v>330</v>
      </c>
      <c r="Q589" s="2" t="s">
        <v>323</v>
      </c>
      <c r="R589">
        <v>31</v>
      </c>
      <c r="S589" s="2">
        <v>61</v>
      </c>
      <c r="T589" t="s">
        <v>297</v>
      </c>
      <c r="U589" t="s">
        <v>300</v>
      </c>
      <c r="V589" t="s">
        <v>301</v>
      </c>
      <c r="W589" s="41"/>
      <c r="X589" s="41"/>
      <c r="Y589" s="34"/>
      <c r="Z589" s="34"/>
      <c r="AA589" s="35">
        <f>IF(TA[[#This Row],[Work Start time on Fault]]="NA","",(TA[[#This Row],[Fault Acknowledgement Time ]]-TA[[#This Row],[Fault Time]])*24)</f>
        <v>0</v>
      </c>
      <c r="AB589" s="35">
        <f>(TA[[#This Row],[Work Start time on Fault]]-TA[[#This Row],[Fault Time]])*24</f>
        <v>0</v>
      </c>
      <c r="AC589" s="34">
        <f>(TA[[#This Row],[Work Completion time on fault]]-TA[[#This Row],[Fault Time]])*24</f>
        <v>0</v>
      </c>
      <c r="AD589" s="35">
        <f>IFERROR((TA[[#This Row],[Work Completion time on fault]]-TA[[#This Row],[Fault Time]])*24,"")</f>
        <v>0</v>
      </c>
      <c r="AE589" t="s">
        <v>328</v>
      </c>
      <c r="AF589" t="s">
        <v>256</v>
      </c>
      <c r="AG589" s="2"/>
      <c r="AH589" s="44">
        <f>1-COS(RADIANS(TA[[#This Row],[Avg. Target Angle during Fault Time (Radians)]]-TA[[#This Row],[Angle of affected equipment ]]))</f>
        <v>0.11705240714107301</v>
      </c>
      <c r="AI589" s="35">
        <f>IFERROR(TA[[#This Row],[Breakdown Time]]*TA[[#This Row],[Plant Equivalent Weightage]],"")</f>
        <v>0</v>
      </c>
    </row>
    <row r="590" spans="1:35">
      <c r="A590" s="2">
        <f t="shared" si="29"/>
        <v>587</v>
      </c>
      <c r="B590" s="156">
        <f t="shared" si="30"/>
        <v>2026</v>
      </c>
      <c r="C590" s="129">
        <f t="shared" si="31"/>
        <v>2025</v>
      </c>
      <c r="D590" s="2" t="s">
        <v>155</v>
      </c>
      <c r="E590" s="2" t="s">
        <v>155</v>
      </c>
      <c r="F590" s="39">
        <v>45778</v>
      </c>
      <c r="G590" s="2">
        <f>DAY(EOMONTH(TA[[#This Row],[Month Year]],0))</f>
        <v>31</v>
      </c>
      <c r="H590" s="21">
        <v>45784</v>
      </c>
      <c r="I590" s="41">
        <f>IFERROR(VLOOKUP(TA[[#This Row],[Date]],Raw_Data[[Date]:[Sunset Time (POA&lt;20 W/m2)]],3,0),"")</f>
        <v>0.25208333333333333</v>
      </c>
      <c r="J590" s="41">
        <f>IFERROR(VLOOKUP(TA[[#This Row],[Date]],Raw_Data[[Date]:[Sunset Time (POA&lt;20 W/m2)]],4,0),"")</f>
        <v>0.76944444444444449</v>
      </c>
      <c r="K590" s="35">
        <f>IFERROR((TA[[#This Row],[Sunset Time (POA&lt;20 W/m2)]]-TA[[#This Row],[Sunrise Time (POA&gt;20 W/m2)]])*24,"")</f>
        <v>12.416666666666668</v>
      </c>
      <c r="L590" s="2" t="s">
        <v>312</v>
      </c>
      <c r="M590" s="42">
        <f>IFERROR(VLOOKUP(TA[[#This Row],[Affected Equipment]],'Basic Data'!$I$2:$K$40,3,0),"")</f>
        <v>5.74712643678161E-3</v>
      </c>
      <c r="N590">
        <v>-28</v>
      </c>
      <c r="O590" t="s">
        <v>133</v>
      </c>
      <c r="P590" s="22" t="s">
        <v>330</v>
      </c>
      <c r="Q590" s="2" t="s">
        <v>323</v>
      </c>
      <c r="R590">
        <v>26</v>
      </c>
      <c r="S590" s="2">
        <v>37</v>
      </c>
      <c r="T590" t="s">
        <v>297</v>
      </c>
      <c r="U590" t="s">
        <v>300</v>
      </c>
      <c r="V590" t="s">
        <v>301</v>
      </c>
      <c r="W590" s="41"/>
      <c r="X590" s="41"/>
      <c r="Y590" s="34"/>
      <c r="Z590" s="34"/>
      <c r="AA590" s="35">
        <f>IF(TA[[#This Row],[Work Start time on Fault]]="NA","",(TA[[#This Row],[Fault Acknowledgement Time ]]-TA[[#This Row],[Fault Time]])*24)</f>
        <v>0</v>
      </c>
      <c r="AB590" s="35">
        <f>(TA[[#This Row],[Work Start time on Fault]]-TA[[#This Row],[Fault Time]])*24</f>
        <v>0</v>
      </c>
      <c r="AC590" s="34">
        <f>(TA[[#This Row],[Work Completion time on fault]]-TA[[#This Row],[Fault Time]])*24</f>
        <v>0</v>
      </c>
      <c r="AD590" s="35">
        <f>IFERROR((TA[[#This Row],[Work Completion time on fault]]-TA[[#This Row],[Fault Time]])*24,"")</f>
        <v>0</v>
      </c>
      <c r="AE590" t="s">
        <v>328</v>
      </c>
      <c r="AF590" t="s">
        <v>256</v>
      </c>
      <c r="AG590" s="2"/>
      <c r="AH590" s="44">
        <f>1-COS(RADIANS(TA[[#This Row],[Avg. Target Angle during Fault Time (Radians)]]-TA[[#This Row],[Angle of affected equipment ]]))</f>
        <v>0.11705240714107301</v>
      </c>
      <c r="AI590" s="35">
        <f>IFERROR(TA[[#This Row],[Breakdown Time]]*TA[[#This Row],[Plant Equivalent Weightage]],"")</f>
        <v>0</v>
      </c>
    </row>
    <row r="591" spans="1:35">
      <c r="A591" s="2">
        <f t="shared" si="29"/>
        <v>588</v>
      </c>
      <c r="B591" s="156">
        <f t="shared" si="30"/>
        <v>2026</v>
      </c>
      <c r="C591" s="129">
        <f t="shared" si="31"/>
        <v>2025</v>
      </c>
      <c r="D591" s="2" t="s">
        <v>155</v>
      </c>
      <c r="E591" s="2" t="s">
        <v>155</v>
      </c>
      <c r="F591" s="39">
        <v>45778</v>
      </c>
      <c r="G591" s="2">
        <f>DAY(EOMONTH(TA[[#This Row],[Month Year]],0))</f>
        <v>31</v>
      </c>
      <c r="H591" s="21">
        <v>45784</v>
      </c>
      <c r="I591" s="41">
        <f>IFERROR(VLOOKUP(TA[[#This Row],[Date]],Raw_Data[[Date]:[Sunset Time (POA&lt;20 W/m2)]],3,0),"")</f>
        <v>0.25208333333333333</v>
      </c>
      <c r="J591" s="41">
        <f>IFERROR(VLOOKUP(TA[[#This Row],[Date]],Raw_Data[[Date]:[Sunset Time (POA&lt;20 W/m2)]],4,0),"")</f>
        <v>0.76944444444444449</v>
      </c>
      <c r="K591" s="35">
        <f>IFERROR((TA[[#This Row],[Sunset Time (POA&lt;20 W/m2)]]-TA[[#This Row],[Sunrise Time (POA&gt;20 W/m2)]])*24,"")</f>
        <v>12.416666666666668</v>
      </c>
      <c r="L591" s="2" t="s">
        <v>312</v>
      </c>
      <c r="M591" s="42">
        <f>IFERROR(VLOOKUP(TA[[#This Row],[Affected Equipment]],'Basic Data'!$I$2:$K$40,3,0),"")</f>
        <v>5.74712643678161E-3</v>
      </c>
      <c r="N591">
        <v>-28</v>
      </c>
      <c r="O591" t="s">
        <v>133</v>
      </c>
      <c r="P591" s="22" t="s">
        <v>330</v>
      </c>
      <c r="Q591" s="2" t="s">
        <v>323</v>
      </c>
      <c r="R591">
        <v>27</v>
      </c>
      <c r="S591" s="2">
        <v>42</v>
      </c>
      <c r="T591" t="s">
        <v>297</v>
      </c>
      <c r="U591" t="s">
        <v>300</v>
      </c>
      <c r="V591" t="s">
        <v>301</v>
      </c>
      <c r="W591" s="41">
        <f>IFERROR(VLOOKUP(TA[[#This Row],[Date]],Raw_Data[[Date]:[Sunset Time (POA&lt;20 W/m2)]],3,0),"")</f>
        <v>0.25208333333333333</v>
      </c>
      <c r="X591" s="41">
        <f>IFERROR(VLOOKUP(TA[[#This Row],[Date]],Raw_Data[[Date]:[Sunset Time (POA&lt;20 W/m2)]],3,0),"")</f>
        <v>0.25208333333333333</v>
      </c>
      <c r="Y591" s="34"/>
      <c r="Z591" s="34">
        <v>0.76041666666666663</v>
      </c>
      <c r="AA591" s="35">
        <f>IF(TA[[#This Row],[Work Start time on Fault]]="NA","",(TA[[#This Row],[Fault Acknowledgement Time ]]-TA[[#This Row],[Fault Time]])*24)</f>
        <v>0</v>
      </c>
      <c r="AB591" s="35">
        <f>(TA[[#This Row],[Work Start time on Fault]]-TA[[#This Row],[Fault Time]])*24</f>
        <v>-6.05</v>
      </c>
      <c r="AC591" s="34">
        <f>(TA[[#This Row],[Work Completion time on fault]]-TA[[#This Row],[Fault Time]])*24</f>
        <v>12.2</v>
      </c>
      <c r="AD591" s="35">
        <f>IFERROR((TA[[#This Row],[Work Completion time on fault]]-TA[[#This Row],[Fault Time]])*24,"")</f>
        <v>12.2</v>
      </c>
      <c r="AE591" t="s">
        <v>309</v>
      </c>
      <c r="AF591" t="s">
        <v>256</v>
      </c>
      <c r="AG591" s="2"/>
      <c r="AH591" s="44">
        <f>1-COS(RADIANS(TA[[#This Row],[Avg. Target Angle during Fault Time (Radians)]]-TA[[#This Row],[Angle of affected equipment ]]))</f>
        <v>0.11705240714107301</v>
      </c>
      <c r="AI591" s="35">
        <f>IFERROR(TA[[#This Row],[Breakdown Time]]*TA[[#This Row],[Plant Equivalent Weightage]],"")</f>
        <v>7.0114942528735638E-2</v>
      </c>
    </row>
    <row r="592" spans="1:35">
      <c r="A592" s="2">
        <f t="shared" si="29"/>
        <v>589</v>
      </c>
      <c r="B592" s="156">
        <f t="shared" ref="B592:B605" si="32">YEAR(H592)+IF(MONTH(H592)&gt;=4,1,0)</f>
        <v>2026</v>
      </c>
      <c r="C592" s="129">
        <f t="shared" ref="C592:C605" si="33">YEAR(H592)</f>
        <v>2025</v>
      </c>
      <c r="D592" s="2" t="s">
        <v>155</v>
      </c>
      <c r="E592" s="2" t="s">
        <v>155</v>
      </c>
      <c r="F592" s="39">
        <v>45778</v>
      </c>
      <c r="G592" s="2">
        <f>DAY(EOMONTH(TA[[#This Row],[Month Year]],0))</f>
        <v>31</v>
      </c>
      <c r="H592" s="21">
        <v>45785</v>
      </c>
      <c r="I592" s="41">
        <f>IFERROR(VLOOKUP(TA[[#This Row],[Date]],Raw_Data[[Date]:[Sunset Time (POA&lt;20 W/m2)]],3,0),"")</f>
        <v>0.25208333333333333</v>
      </c>
      <c r="J592" s="41">
        <f>IFERROR(VLOOKUP(TA[[#This Row],[Date]],Raw_Data[[Date]:[Sunset Time (POA&lt;20 W/m2)]],4,0),"")</f>
        <v>0.77222222222222225</v>
      </c>
      <c r="K592" s="35">
        <f>IFERROR((TA[[#This Row],[Sunset Time (POA&lt;20 W/m2)]]-TA[[#This Row],[Sunrise Time (POA&gt;20 W/m2)]])*24,"")</f>
        <v>12.483333333333334</v>
      </c>
      <c r="L592" s="2" t="s">
        <v>294</v>
      </c>
      <c r="M592" s="42">
        <f>IFERROR(VLOOKUP(TA[[#This Row],[Affected Equipment]],'Basic Data'!$I$2:$K$40,3,0),"")</f>
        <v>1.7241379310344799E-3</v>
      </c>
      <c r="N592">
        <v>-28</v>
      </c>
      <c r="O592" t="s">
        <v>135</v>
      </c>
      <c r="P592" s="127" t="s">
        <v>318</v>
      </c>
      <c r="Q592" s="126" t="s">
        <v>318</v>
      </c>
      <c r="R592">
        <v>130</v>
      </c>
      <c r="S592" s="2">
        <v>37</v>
      </c>
      <c r="T592" t="s">
        <v>295</v>
      </c>
      <c r="U592" t="s">
        <v>300</v>
      </c>
      <c r="V592" t="s">
        <v>298</v>
      </c>
      <c r="W592" s="41"/>
      <c r="X592" s="41"/>
      <c r="Y592" s="34"/>
      <c r="Z592" s="34"/>
      <c r="AA592" s="35">
        <f>IF(TA[[#This Row],[Work Start time on Fault]]="NA","",(TA[[#This Row],[Fault Acknowledgement Time ]]-TA[[#This Row],[Fault Time]])*24)</f>
        <v>0</v>
      </c>
      <c r="AB592" s="35">
        <f>(TA[[#This Row],[Work Start time on Fault]]-TA[[#This Row],[Fault Time]])*24</f>
        <v>0</v>
      </c>
      <c r="AC592" s="34">
        <f>(TA[[#This Row],[Work Completion time on fault]]-TA[[#This Row],[Fault Time]])*24</f>
        <v>0</v>
      </c>
      <c r="AD592" s="35">
        <f>IFERROR((TA[[#This Row],[Work Completion time on fault]]-TA[[#This Row],[Fault Time]])*24,"")</f>
        <v>0</v>
      </c>
      <c r="AE592" t="s">
        <v>328</v>
      </c>
      <c r="AF592" t="s">
        <v>256</v>
      </c>
      <c r="AG592" s="2"/>
      <c r="AH592" s="44">
        <f>1-COS(RADIANS(TA[[#This Row],[Avg. Target Angle during Fault Time (Radians)]]-TA[[#This Row],[Angle of affected equipment ]]))</f>
        <v>0.11705240714107301</v>
      </c>
      <c r="AI592" s="35">
        <f>IFERROR(TA[[#This Row],[Breakdown Time]]*TA[[#This Row],[Plant Equivalent Weightage]],"")</f>
        <v>0</v>
      </c>
    </row>
    <row r="593" spans="1:35">
      <c r="A593" s="2">
        <f t="shared" si="29"/>
        <v>590</v>
      </c>
      <c r="B593" s="156">
        <f t="shared" si="32"/>
        <v>2026</v>
      </c>
      <c r="C593" s="129">
        <f t="shared" si="33"/>
        <v>2025</v>
      </c>
      <c r="D593" s="2" t="s">
        <v>155</v>
      </c>
      <c r="E593" s="2" t="s">
        <v>155</v>
      </c>
      <c r="F593" s="39">
        <v>45778</v>
      </c>
      <c r="G593" s="2">
        <f>DAY(EOMONTH(TA[[#This Row],[Month Year]],0))</f>
        <v>31</v>
      </c>
      <c r="H593" s="21">
        <v>45785</v>
      </c>
      <c r="I593" s="41">
        <f>IFERROR(VLOOKUP(TA[[#This Row],[Date]],Raw_Data[[Date]:[Sunset Time (POA&lt;20 W/m2)]],3,0),"")</f>
        <v>0.25208333333333333</v>
      </c>
      <c r="J593" s="41">
        <f>IFERROR(VLOOKUP(TA[[#This Row],[Date]],Raw_Data[[Date]:[Sunset Time (POA&lt;20 W/m2)]],4,0),"")</f>
        <v>0.77222222222222225</v>
      </c>
      <c r="K593" s="35">
        <f>IFERROR((TA[[#This Row],[Sunset Time (POA&lt;20 W/m2)]]-TA[[#This Row],[Sunrise Time (POA&gt;20 W/m2)]])*24,"")</f>
        <v>12.483333333333334</v>
      </c>
      <c r="L593" s="2" t="s">
        <v>294</v>
      </c>
      <c r="M593" s="42">
        <f>IFERROR(VLOOKUP(TA[[#This Row],[Affected Equipment]],'Basic Data'!$I$2:$K$40,3,0),"")</f>
        <v>1.7241379310344799E-3</v>
      </c>
      <c r="N593">
        <v>-28</v>
      </c>
      <c r="O593" t="s">
        <v>135</v>
      </c>
      <c r="P593" s="127" t="s">
        <v>318</v>
      </c>
      <c r="Q593" s="126" t="s">
        <v>318</v>
      </c>
      <c r="R593">
        <v>131</v>
      </c>
      <c r="S593" s="2">
        <v>38</v>
      </c>
      <c r="T593" t="s">
        <v>295</v>
      </c>
      <c r="U593" t="s">
        <v>300</v>
      </c>
      <c r="V593" t="s">
        <v>298</v>
      </c>
      <c r="W593" s="41"/>
      <c r="X593" s="41"/>
      <c r="Y593" s="34"/>
      <c r="Z593" s="34"/>
      <c r="AA593" s="35">
        <f>IF(TA[[#This Row],[Work Start time on Fault]]="NA","",(TA[[#This Row],[Fault Acknowledgement Time ]]-TA[[#This Row],[Fault Time]])*24)</f>
        <v>0</v>
      </c>
      <c r="AB593" s="35">
        <f>(TA[[#This Row],[Work Start time on Fault]]-TA[[#This Row],[Fault Time]])*24</f>
        <v>0</v>
      </c>
      <c r="AC593" s="34">
        <f>(TA[[#This Row],[Work Completion time on fault]]-TA[[#This Row],[Fault Time]])*24</f>
        <v>0</v>
      </c>
      <c r="AD593" s="35">
        <f>IFERROR((TA[[#This Row],[Work Completion time on fault]]-TA[[#This Row],[Fault Time]])*24,"")</f>
        <v>0</v>
      </c>
      <c r="AE593" t="s">
        <v>328</v>
      </c>
      <c r="AF593" t="s">
        <v>256</v>
      </c>
      <c r="AG593" s="2"/>
      <c r="AH593" s="44">
        <f>1-COS(RADIANS(TA[[#This Row],[Avg. Target Angle during Fault Time (Radians)]]-TA[[#This Row],[Angle of affected equipment ]]))</f>
        <v>0.11705240714107301</v>
      </c>
      <c r="AI593" s="35">
        <f>IFERROR(TA[[#This Row],[Breakdown Time]]*TA[[#This Row],[Plant Equivalent Weightage]],"")</f>
        <v>0</v>
      </c>
    </row>
    <row r="594" spans="1:35">
      <c r="A594" s="2">
        <f t="shared" si="29"/>
        <v>591</v>
      </c>
      <c r="B594" s="156">
        <f t="shared" si="32"/>
        <v>2026</v>
      </c>
      <c r="C594" s="129">
        <f t="shared" si="33"/>
        <v>2025</v>
      </c>
      <c r="D594" s="2" t="s">
        <v>155</v>
      </c>
      <c r="E594" s="2" t="s">
        <v>155</v>
      </c>
      <c r="F594" s="39">
        <v>45778</v>
      </c>
      <c r="G594" s="2">
        <f>DAY(EOMONTH(TA[[#This Row],[Month Year]],0))</f>
        <v>31</v>
      </c>
      <c r="H594" s="21">
        <v>45785</v>
      </c>
      <c r="I594" s="41">
        <f>IFERROR(VLOOKUP(TA[[#This Row],[Date]],Raw_Data[[Date]:[Sunset Time (POA&lt;20 W/m2)]],3,0),"")</f>
        <v>0.25208333333333333</v>
      </c>
      <c r="J594" s="41">
        <f>IFERROR(VLOOKUP(TA[[#This Row],[Date]],Raw_Data[[Date]:[Sunset Time (POA&lt;20 W/m2)]],4,0),"")</f>
        <v>0.77222222222222225</v>
      </c>
      <c r="K594" s="35">
        <f>IFERROR((TA[[#This Row],[Sunset Time (POA&lt;20 W/m2)]]-TA[[#This Row],[Sunrise Time (POA&gt;20 W/m2)]])*24,"")</f>
        <v>12.483333333333334</v>
      </c>
      <c r="L594" s="2" t="s">
        <v>294</v>
      </c>
      <c r="M594" s="42">
        <f>IFERROR(VLOOKUP(TA[[#This Row],[Affected Equipment]],'Basic Data'!$I$2:$K$40,3,0),"")</f>
        <v>1.7241379310344799E-3</v>
      </c>
      <c r="N594">
        <v>-28</v>
      </c>
      <c r="O594" t="s">
        <v>135</v>
      </c>
      <c r="P594" s="127" t="s">
        <v>318</v>
      </c>
      <c r="Q594" s="126" t="s">
        <v>318</v>
      </c>
      <c r="R594">
        <v>131</v>
      </c>
      <c r="S594" s="2">
        <v>39</v>
      </c>
      <c r="T594" t="s">
        <v>295</v>
      </c>
      <c r="U594" t="s">
        <v>300</v>
      </c>
      <c r="V594" t="s">
        <v>298</v>
      </c>
      <c r="W594" s="41"/>
      <c r="X594" s="41"/>
      <c r="Y594" s="34"/>
      <c r="Z594" s="34"/>
      <c r="AA594" s="35">
        <f>IF(TA[[#This Row],[Work Start time on Fault]]="NA","",(TA[[#This Row],[Fault Acknowledgement Time ]]-TA[[#This Row],[Fault Time]])*24)</f>
        <v>0</v>
      </c>
      <c r="AB594" s="35">
        <f>(TA[[#This Row],[Work Start time on Fault]]-TA[[#This Row],[Fault Time]])*24</f>
        <v>0</v>
      </c>
      <c r="AC594" s="34">
        <f>(TA[[#This Row],[Work Completion time on fault]]-TA[[#This Row],[Fault Time]])*24</f>
        <v>0</v>
      </c>
      <c r="AD594" s="35">
        <f>IFERROR((TA[[#This Row],[Work Completion time on fault]]-TA[[#This Row],[Fault Time]])*24,"")</f>
        <v>0</v>
      </c>
      <c r="AE594" t="s">
        <v>328</v>
      </c>
      <c r="AF594" t="s">
        <v>256</v>
      </c>
      <c r="AG594" s="2"/>
      <c r="AH594" s="44">
        <f>1-COS(RADIANS(TA[[#This Row],[Avg. Target Angle during Fault Time (Radians)]]-TA[[#This Row],[Angle of affected equipment ]]))</f>
        <v>0.11705240714107301</v>
      </c>
      <c r="AI594" s="35">
        <f>IFERROR(TA[[#This Row],[Breakdown Time]]*TA[[#This Row],[Plant Equivalent Weightage]],"")</f>
        <v>0</v>
      </c>
    </row>
    <row r="595" spans="1:35">
      <c r="A595" s="2">
        <f t="shared" si="29"/>
        <v>592</v>
      </c>
      <c r="B595" s="156">
        <f t="shared" si="32"/>
        <v>2026</v>
      </c>
      <c r="C595" s="129">
        <f t="shared" si="33"/>
        <v>2025</v>
      </c>
      <c r="D595" s="2" t="s">
        <v>155</v>
      </c>
      <c r="E595" s="2" t="s">
        <v>155</v>
      </c>
      <c r="F595" s="39">
        <v>45778</v>
      </c>
      <c r="G595" s="2">
        <f>DAY(EOMONTH(TA[[#This Row],[Month Year]],0))</f>
        <v>31</v>
      </c>
      <c r="H595" s="21">
        <v>45785</v>
      </c>
      <c r="I595" s="41">
        <f>IFERROR(VLOOKUP(TA[[#This Row],[Date]],Raw_Data[[Date]:[Sunset Time (POA&lt;20 W/m2)]],3,0),"")</f>
        <v>0.25208333333333333</v>
      </c>
      <c r="J595" s="41">
        <f>IFERROR(VLOOKUP(TA[[#This Row],[Date]],Raw_Data[[Date]:[Sunset Time (POA&lt;20 W/m2)]],4,0),"")</f>
        <v>0.77222222222222225</v>
      </c>
      <c r="K595" s="35">
        <f>IFERROR((TA[[#This Row],[Sunset Time (POA&lt;20 W/m2)]]-TA[[#This Row],[Sunrise Time (POA&gt;20 W/m2)]])*24,"")</f>
        <v>12.483333333333334</v>
      </c>
      <c r="L595" s="2" t="s">
        <v>296</v>
      </c>
      <c r="M595" s="42">
        <f>IFERROR(VLOOKUP(TA[[#This Row],[Affected Equipment]],'Basic Data'!$I$2:$K$40,3,0),"")</f>
        <v>8.6206896551724102E-3</v>
      </c>
      <c r="N595">
        <v>-28</v>
      </c>
      <c r="O595" t="s">
        <v>135</v>
      </c>
      <c r="P595" s="127" t="s">
        <v>318</v>
      </c>
      <c r="Q595" s="2" t="s">
        <v>321</v>
      </c>
      <c r="R595">
        <v>133</v>
      </c>
      <c r="S595" s="2">
        <v>26</v>
      </c>
      <c r="T595" t="s">
        <v>297</v>
      </c>
      <c r="U595" t="s">
        <v>300</v>
      </c>
      <c r="V595" t="s">
        <v>314</v>
      </c>
      <c r="W595" s="41">
        <f>IFERROR(VLOOKUP(TA[[#This Row],[Date]],Raw_Data[[Date]:[Sunset Time (POA&lt;20 W/m2)]],3,0),"")</f>
        <v>0.25208333333333333</v>
      </c>
      <c r="X595" s="41">
        <f>IFERROR(VLOOKUP(TA[[#This Row],[Date]],Raw_Data[[Date]:[Sunset Time (POA&lt;20 W/m2)]],3,0),"")</f>
        <v>0.25208333333333333</v>
      </c>
      <c r="Y595" s="34"/>
      <c r="Z595" s="34">
        <v>0.76041666666666663</v>
      </c>
      <c r="AA595" s="35">
        <f>IF(TA[[#This Row],[Work Start time on Fault]]="NA","",(TA[[#This Row],[Fault Acknowledgement Time ]]-TA[[#This Row],[Fault Time]])*24)</f>
        <v>0</v>
      </c>
      <c r="AB595" s="35">
        <f>(TA[[#This Row],[Work Start time on Fault]]-TA[[#This Row],[Fault Time]])*24</f>
        <v>-6.05</v>
      </c>
      <c r="AC595" s="34">
        <f>(TA[[#This Row],[Work Completion time on fault]]-TA[[#This Row],[Fault Time]])*24</f>
        <v>12.2</v>
      </c>
      <c r="AD595" s="35">
        <f>IFERROR((TA[[#This Row],[Work Completion time on fault]]-TA[[#This Row],[Fault Time]])*24,"")</f>
        <v>12.2</v>
      </c>
      <c r="AE595" t="s">
        <v>328</v>
      </c>
      <c r="AF595" t="s">
        <v>256</v>
      </c>
      <c r="AG595" s="2"/>
      <c r="AH595" s="44">
        <f>1-COS(RADIANS(TA[[#This Row],[Avg. Target Angle during Fault Time (Radians)]]-TA[[#This Row],[Angle of affected equipment ]]))</f>
        <v>0.11705240714107301</v>
      </c>
      <c r="AI595" s="35">
        <f>IFERROR(TA[[#This Row],[Breakdown Time]]*TA[[#This Row],[Plant Equivalent Weightage]],"")</f>
        <v>0.10517241379310339</v>
      </c>
    </row>
    <row r="596" spans="1:35">
      <c r="A596" s="2">
        <f t="shared" si="29"/>
        <v>593</v>
      </c>
      <c r="B596" s="156">
        <f t="shared" si="32"/>
        <v>2026</v>
      </c>
      <c r="C596" s="129">
        <f t="shared" si="33"/>
        <v>2025</v>
      </c>
      <c r="D596" s="2" t="s">
        <v>155</v>
      </c>
      <c r="E596" s="2" t="s">
        <v>155</v>
      </c>
      <c r="F596" s="39">
        <v>45778</v>
      </c>
      <c r="G596" s="2">
        <f>DAY(EOMONTH(TA[[#This Row],[Month Year]],0))</f>
        <v>31</v>
      </c>
      <c r="H596" s="21">
        <v>45785</v>
      </c>
      <c r="I596" s="41">
        <f>IFERROR(VLOOKUP(TA[[#This Row],[Date]],Raw_Data[[Date]:[Sunset Time (POA&lt;20 W/m2)]],3,0),"")</f>
        <v>0.25208333333333333</v>
      </c>
      <c r="J596" s="41">
        <f>IFERROR(VLOOKUP(TA[[#This Row],[Date]],Raw_Data[[Date]:[Sunset Time (POA&lt;20 W/m2)]],4,0),"")</f>
        <v>0.77222222222222225</v>
      </c>
      <c r="K596" s="35">
        <f>IFERROR((TA[[#This Row],[Sunset Time (POA&lt;20 W/m2)]]-TA[[#This Row],[Sunrise Time (POA&gt;20 W/m2)]])*24,"")</f>
        <v>12.483333333333334</v>
      </c>
      <c r="L596" s="2" t="s">
        <v>294</v>
      </c>
      <c r="M596" s="42">
        <f>IFERROR(VLOOKUP(TA[[#This Row],[Affected Equipment]],'Basic Data'!$I$2:$K$40,3,0),"")</f>
        <v>1.7241379310344799E-3</v>
      </c>
      <c r="N596">
        <v>-28</v>
      </c>
      <c r="O596" t="s">
        <v>133</v>
      </c>
      <c r="P596" s="127" t="s">
        <v>316</v>
      </c>
      <c r="Q596" s="126" t="s">
        <v>317</v>
      </c>
      <c r="R596">
        <v>7</v>
      </c>
      <c r="S596" s="2">
        <v>32</v>
      </c>
      <c r="T596" t="s">
        <v>295</v>
      </c>
      <c r="U596" t="s">
        <v>300</v>
      </c>
      <c r="V596" t="s">
        <v>298</v>
      </c>
      <c r="W596" s="41"/>
      <c r="X596" s="41"/>
      <c r="Y596" s="34"/>
      <c r="Z596" s="34"/>
      <c r="AA596" s="35">
        <f>IF(TA[[#This Row],[Work Start time on Fault]]="NA","",(TA[[#This Row],[Fault Acknowledgement Time ]]-TA[[#This Row],[Fault Time]])*24)</f>
        <v>0</v>
      </c>
      <c r="AB596" s="35">
        <f>(TA[[#This Row],[Work Start time on Fault]]-TA[[#This Row],[Fault Time]])*24</f>
        <v>0</v>
      </c>
      <c r="AC596" s="34">
        <f>(TA[[#This Row],[Work Completion time on fault]]-TA[[#This Row],[Fault Time]])*24</f>
        <v>0</v>
      </c>
      <c r="AD596" s="35">
        <f>IFERROR((TA[[#This Row],[Work Completion time on fault]]-TA[[#This Row],[Fault Time]])*24,"")</f>
        <v>0</v>
      </c>
      <c r="AE596" t="s">
        <v>328</v>
      </c>
      <c r="AF596" t="s">
        <v>256</v>
      </c>
      <c r="AG596" s="2"/>
      <c r="AH596" s="44">
        <f>1-COS(RADIANS(TA[[#This Row],[Avg. Target Angle during Fault Time (Radians)]]-TA[[#This Row],[Angle of affected equipment ]]))</f>
        <v>0.11705240714107301</v>
      </c>
      <c r="AI596" s="35">
        <f>IFERROR(TA[[#This Row],[Breakdown Time]]*TA[[#This Row],[Plant Equivalent Weightage]],"")</f>
        <v>0</v>
      </c>
    </row>
    <row r="597" spans="1:35">
      <c r="A597" s="2">
        <f t="shared" si="29"/>
        <v>594</v>
      </c>
      <c r="B597" s="156">
        <f t="shared" si="32"/>
        <v>2026</v>
      </c>
      <c r="C597" s="129">
        <f t="shared" si="33"/>
        <v>2025</v>
      </c>
      <c r="D597" s="2" t="s">
        <v>155</v>
      </c>
      <c r="E597" s="2" t="s">
        <v>155</v>
      </c>
      <c r="F597" s="39">
        <v>45778</v>
      </c>
      <c r="G597" s="2">
        <f>DAY(EOMONTH(TA[[#This Row],[Month Year]],0))</f>
        <v>31</v>
      </c>
      <c r="H597" s="21">
        <v>45785</v>
      </c>
      <c r="I597" s="41">
        <f>IFERROR(VLOOKUP(TA[[#This Row],[Date]],Raw_Data[[Date]:[Sunset Time (POA&lt;20 W/m2)]],3,0),"")</f>
        <v>0.25208333333333333</v>
      </c>
      <c r="J597" s="41">
        <f>IFERROR(VLOOKUP(TA[[#This Row],[Date]],Raw_Data[[Date]:[Sunset Time (POA&lt;20 W/m2)]],4,0),"")</f>
        <v>0.77222222222222225</v>
      </c>
      <c r="K597" s="35">
        <f>IFERROR((TA[[#This Row],[Sunset Time (POA&lt;20 W/m2)]]-TA[[#This Row],[Sunrise Time (POA&gt;20 W/m2)]])*24,"")</f>
        <v>12.483333333333334</v>
      </c>
      <c r="L597" s="2" t="s">
        <v>294</v>
      </c>
      <c r="M597" s="42">
        <f>IFERROR(VLOOKUP(TA[[#This Row],[Affected Equipment]],'Basic Data'!$I$2:$K$40,3,0),"")</f>
        <v>1.7241379310344799E-3</v>
      </c>
      <c r="N597">
        <v>-28</v>
      </c>
      <c r="O597" t="s">
        <v>137</v>
      </c>
      <c r="P597" s="127" t="s">
        <v>315</v>
      </c>
      <c r="Q597" s="126" t="s">
        <v>319</v>
      </c>
      <c r="R597">
        <v>166</v>
      </c>
      <c r="S597" s="2">
        <v>91</v>
      </c>
      <c r="T597" t="s">
        <v>295</v>
      </c>
      <c r="U597" t="s">
        <v>300</v>
      </c>
      <c r="V597" t="s">
        <v>298</v>
      </c>
      <c r="W597" s="41"/>
      <c r="X597" s="41"/>
      <c r="Y597" s="34"/>
      <c r="Z597" s="34"/>
      <c r="AA597" s="35">
        <f>IF(TA[[#This Row],[Work Start time on Fault]]="NA","",(TA[[#This Row],[Fault Acknowledgement Time ]]-TA[[#This Row],[Fault Time]])*24)</f>
        <v>0</v>
      </c>
      <c r="AB597" s="35">
        <f>(TA[[#This Row],[Work Start time on Fault]]-TA[[#This Row],[Fault Time]])*24</f>
        <v>0</v>
      </c>
      <c r="AC597" s="34">
        <f>(TA[[#This Row],[Work Completion time on fault]]-TA[[#This Row],[Fault Time]])*24</f>
        <v>0</v>
      </c>
      <c r="AD597" s="35">
        <f>IFERROR((TA[[#This Row],[Work Completion time on fault]]-TA[[#This Row],[Fault Time]])*24,"")</f>
        <v>0</v>
      </c>
      <c r="AE597" t="s">
        <v>328</v>
      </c>
      <c r="AF597" t="s">
        <v>256</v>
      </c>
      <c r="AG597" s="2"/>
      <c r="AH597" s="44">
        <f>1-COS(RADIANS(TA[[#This Row],[Avg. Target Angle during Fault Time (Radians)]]-TA[[#This Row],[Angle of affected equipment ]]))</f>
        <v>0.11705240714107301</v>
      </c>
      <c r="AI597" s="35">
        <f>IFERROR(TA[[#This Row],[Breakdown Time]]*TA[[#This Row],[Plant Equivalent Weightage]],"")</f>
        <v>0</v>
      </c>
    </row>
    <row r="598" spans="1:35">
      <c r="A598" s="2">
        <f t="shared" si="29"/>
        <v>595</v>
      </c>
      <c r="B598" s="156">
        <f t="shared" si="32"/>
        <v>2026</v>
      </c>
      <c r="C598" s="129">
        <f t="shared" si="33"/>
        <v>2025</v>
      </c>
      <c r="D598" s="2" t="s">
        <v>155</v>
      </c>
      <c r="E598" s="2" t="s">
        <v>155</v>
      </c>
      <c r="F598" s="39">
        <v>45778</v>
      </c>
      <c r="G598" s="2">
        <f>DAY(EOMONTH(TA[[#This Row],[Month Year]],0))</f>
        <v>31</v>
      </c>
      <c r="H598" s="21">
        <v>45785</v>
      </c>
      <c r="I598" s="41">
        <f>IFERROR(VLOOKUP(TA[[#This Row],[Date]],Raw_Data[[Date]:[Sunset Time (POA&lt;20 W/m2)]],3,0),"")</f>
        <v>0.25208333333333333</v>
      </c>
      <c r="J598" s="41">
        <f>IFERROR(VLOOKUP(TA[[#This Row],[Date]],Raw_Data[[Date]:[Sunset Time (POA&lt;20 W/m2)]],4,0),"")</f>
        <v>0.77222222222222225</v>
      </c>
      <c r="K598" s="35">
        <f>IFERROR((TA[[#This Row],[Sunset Time (POA&lt;20 W/m2)]]-TA[[#This Row],[Sunrise Time (POA&gt;20 W/m2)]])*24,"")</f>
        <v>12.483333333333334</v>
      </c>
      <c r="L598" s="2" t="s">
        <v>294</v>
      </c>
      <c r="M598" s="42">
        <f>IFERROR(VLOOKUP(TA[[#This Row],[Affected Equipment]],'Basic Data'!$I$2:$K$40,3,0),"")</f>
        <v>1.7241379310344799E-3</v>
      </c>
      <c r="N598">
        <v>-28</v>
      </c>
      <c r="O598" t="s">
        <v>133</v>
      </c>
      <c r="P598" s="127" t="s">
        <v>316</v>
      </c>
      <c r="Q598" s="126" t="s">
        <v>316</v>
      </c>
      <c r="R598">
        <v>117</v>
      </c>
      <c r="S598" s="2">
        <v>20</v>
      </c>
      <c r="T598" t="s">
        <v>295</v>
      </c>
      <c r="U598" t="s">
        <v>300</v>
      </c>
      <c r="V598" t="s">
        <v>298</v>
      </c>
      <c r="W598" s="41"/>
      <c r="X598" s="41"/>
      <c r="Y598" s="34"/>
      <c r="Z598" s="34"/>
      <c r="AA598" s="35">
        <f>IF(TA[[#This Row],[Work Start time on Fault]]="NA","",(TA[[#This Row],[Fault Acknowledgement Time ]]-TA[[#This Row],[Fault Time]])*24)</f>
        <v>0</v>
      </c>
      <c r="AB598" s="35">
        <f>(TA[[#This Row],[Work Start time on Fault]]-TA[[#This Row],[Fault Time]])*24</f>
        <v>0</v>
      </c>
      <c r="AC598" s="34">
        <f>(TA[[#This Row],[Work Completion time on fault]]-TA[[#This Row],[Fault Time]])*24</f>
        <v>0</v>
      </c>
      <c r="AD598" s="35">
        <f>IFERROR((TA[[#This Row],[Work Completion time on fault]]-TA[[#This Row],[Fault Time]])*24,"")</f>
        <v>0</v>
      </c>
      <c r="AE598" t="s">
        <v>328</v>
      </c>
      <c r="AF598" t="s">
        <v>256</v>
      </c>
      <c r="AG598" s="2"/>
      <c r="AH598" s="44">
        <f>1-COS(RADIANS(TA[[#This Row],[Avg. Target Angle during Fault Time (Radians)]]-TA[[#This Row],[Angle of affected equipment ]]))</f>
        <v>0.11705240714107301</v>
      </c>
      <c r="AI598" s="35">
        <f>IFERROR(TA[[#This Row],[Breakdown Time]]*TA[[#This Row],[Plant Equivalent Weightage]],"")</f>
        <v>0</v>
      </c>
    </row>
    <row r="599" spans="1:35">
      <c r="A599" s="2">
        <f t="shared" si="29"/>
        <v>596</v>
      </c>
      <c r="B599" s="156">
        <f t="shared" si="32"/>
        <v>2026</v>
      </c>
      <c r="C599" s="129">
        <f t="shared" si="33"/>
        <v>2025</v>
      </c>
      <c r="D599" s="2" t="s">
        <v>155</v>
      </c>
      <c r="E599" s="2" t="s">
        <v>155</v>
      </c>
      <c r="F599" s="39">
        <v>45778</v>
      </c>
      <c r="G599" s="2">
        <f>DAY(EOMONTH(TA[[#This Row],[Month Year]],0))</f>
        <v>31</v>
      </c>
      <c r="H599" s="21">
        <v>45785</v>
      </c>
      <c r="I599" s="41">
        <f>IFERROR(VLOOKUP(TA[[#This Row],[Date]],Raw_Data[[Date]:[Sunset Time (POA&lt;20 W/m2)]],3,0),"")</f>
        <v>0.25208333333333333</v>
      </c>
      <c r="J599" s="41">
        <f>IFERROR(VLOOKUP(TA[[#This Row],[Date]],Raw_Data[[Date]:[Sunset Time (POA&lt;20 W/m2)]],4,0),"")</f>
        <v>0.77222222222222225</v>
      </c>
      <c r="K599" s="35">
        <f>IFERROR((TA[[#This Row],[Sunset Time (POA&lt;20 W/m2)]]-TA[[#This Row],[Sunrise Time (POA&gt;20 W/m2)]])*24,"")</f>
        <v>12.483333333333334</v>
      </c>
      <c r="L599" s="2" t="s">
        <v>294</v>
      </c>
      <c r="M599" s="42">
        <f>IFERROR(VLOOKUP(TA[[#This Row],[Affected Equipment]],'Basic Data'!$I$2:$K$40,3,0),"")</f>
        <v>1.7241379310344799E-3</v>
      </c>
      <c r="N599">
        <v>-28</v>
      </c>
      <c r="O599" t="s">
        <v>133</v>
      </c>
      <c r="P599" s="127" t="s">
        <v>316</v>
      </c>
      <c r="Q599" s="126" t="s">
        <v>316</v>
      </c>
      <c r="R599">
        <v>118</v>
      </c>
      <c r="S599" s="2">
        <v>22</v>
      </c>
      <c r="T599" t="s">
        <v>295</v>
      </c>
      <c r="U599" t="s">
        <v>300</v>
      </c>
      <c r="V599" t="s">
        <v>298</v>
      </c>
      <c r="W599" s="41"/>
      <c r="X599" s="41"/>
      <c r="Y599" s="34"/>
      <c r="Z599" s="34"/>
      <c r="AA599" s="35">
        <f>IF(TA[[#This Row],[Work Start time on Fault]]="NA","",(TA[[#This Row],[Fault Acknowledgement Time ]]-TA[[#This Row],[Fault Time]])*24)</f>
        <v>0</v>
      </c>
      <c r="AB599" s="35">
        <f>(TA[[#This Row],[Work Start time on Fault]]-TA[[#This Row],[Fault Time]])*24</f>
        <v>0</v>
      </c>
      <c r="AC599" s="34">
        <f>(TA[[#This Row],[Work Completion time on fault]]-TA[[#This Row],[Fault Time]])*24</f>
        <v>0</v>
      </c>
      <c r="AD599" s="35">
        <f>IFERROR((TA[[#This Row],[Work Completion time on fault]]-TA[[#This Row],[Fault Time]])*24,"")</f>
        <v>0</v>
      </c>
      <c r="AE599" t="s">
        <v>328</v>
      </c>
      <c r="AF599" t="s">
        <v>256</v>
      </c>
      <c r="AG599" s="2"/>
      <c r="AH599" s="44">
        <f>1-COS(RADIANS(TA[[#This Row],[Avg. Target Angle during Fault Time (Radians)]]-TA[[#This Row],[Angle of affected equipment ]]))</f>
        <v>0.11705240714107301</v>
      </c>
      <c r="AI599" s="35">
        <f>IFERROR(TA[[#This Row],[Breakdown Time]]*TA[[#This Row],[Plant Equivalent Weightage]],"")</f>
        <v>0</v>
      </c>
    </row>
    <row r="600" spans="1:35">
      <c r="A600" s="2">
        <f t="shared" si="29"/>
        <v>597</v>
      </c>
      <c r="B600" s="156">
        <f t="shared" si="32"/>
        <v>2026</v>
      </c>
      <c r="C600" s="129">
        <f t="shared" si="33"/>
        <v>2025</v>
      </c>
      <c r="D600" s="2" t="s">
        <v>155</v>
      </c>
      <c r="E600" s="2" t="s">
        <v>155</v>
      </c>
      <c r="F600" s="39">
        <v>45778</v>
      </c>
      <c r="G600" s="2">
        <f>DAY(EOMONTH(TA[[#This Row],[Month Year]],0))</f>
        <v>31</v>
      </c>
      <c r="H600" s="21">
        <v>45785</v>
      </c>
      <c r="I600" s="41">
        <f>IFERROR(VLOOKUP(TA[[#This Row],[Date]],Raw_Data[[Date]:[Sunset Time (POA&lt;20 W/m2)]],3,0),"")</f>
        <v>0.25208333333333333</v>
      </c>
      <c r="J600" s="41">
        <f>IFERROR(VLOOKUP(TA[[#This Row],[Date]],Raw_Data[[Date]:[Sunset Time (POA&lt;20 W/m2)]],4,0),"")</f>
        <v>0.77222222222222225</v>
      </c>
      <c r="K600" s="35">
        <f>IFERROR((TA[[#This Row],[Sunset Time (POA&lt;20 W/m2)]]-TA[[#This Row],[Sunrise Time (POA&gt;20 W/m2)]])*24,"")</f>
        <v>12.483333333333334</v>
      </c>
      <c r="L600" s="2" t="s">
        <v>296</v>
      </c>
      <c r="M600" s="42">
        <f>IFERROR(VLOOKUP(TA[[#This Row],[Affected Equipment]],'Basic Data'!$I$2:$K$40,3,0),"")</f>
        <v>8.6206896551724102E-3</v>
      </c>
      <c r="N600">
        <v>-28</v>
      </c>
      <c r="O600" t="s">
        <v>135</v>
      </c>
      <c r="P600" s="22" t="s">
        <v>323</v>
      </c>
      <c r="Q600" s="2" t="s">
        <v>329</v>
      </c>
      <c r="R600">
        <v>45</v>
      </c>
      <c r="S600" s="2">
        <v>8</v>
      </c>
      <c r="T600" t="s">
        <v>297</v>
      </c>
      <c r="U600" t="s">
        <v>300</v>
      </c>
      <c r="V600" t="s">
        <v>301</v>
      </c>
      <c r="W600" s="41"/>
      <c r="X600" s="41"/>
      <c r="Y600" s="34"/>
      <c r="Z600" s="34"/>
      <c r="AA600" s="35">
        <f>IF(TA[[#This Row],[Work Start time on Fault]]="NA","",(TA[[#This Row],[Fault Acknowledgement Time ]]-TA[[#This Row],[Fault Time]])*24)</f>
        <v>0</v>
      </c>
      <c r="AB600" s="35">
        <f>(TA[[#This Row],[Work Start time on Fault]]-TA[[#This Row],[Fault Time]])*24</f>
        <v>0</v>
      </c>
      <c r="AC600" s="34">
        <f>(TA[[#This Row],[Work Completion time on fault]]-TA[[#This Row],[Fault Time]])*24</f>
        <v>0</v>
      </c>
      <c r="AD600" s="35">
        <f>IFERROR((TA[[#This Row],[Work Completion time on fault]]-TA[[#This Row],[Fault Time]])*24,"")</f>
        <v>0</v>
      </c>
      <c r="AE600" t="s">
        <v>328</v>
      </c>
      <c r="AF600" t="s">
        <v>256</v>
      </c>
      <c r="AG600" s="2"/>
      <c r="AH600" s="44">
        <f>1-COS(RADIANS(TA[[#This Row],[Avg. Target Angle during Fault Time (Radians)]]-TA[[#This Row],[Angle of affected equipment ]]))</f>
        <v>0.11705240714107301</v>
      </c>
      <c r="AI600" s="35">
        <f>IFERROR(TA[[#This Row],[Breakdown Time]]*TA[[#This Row],[Plant Equivalent Weightage]],"")</f>
        <v>0</v>
      </c>
    </row>
    <row r="601" spans="1:35">
      <c r="A601" s="2">
        <f t="shared" si="29"/>
        <v>598</v>
      </c>
      <c r="B601" s="156">
        <f t="shared" si="32"/>
        <v>2026</v>
      </c>
      <c r="C601" s="129">
        <f t="shared" si="33"/>
        <v>2025</v>
      </c>
      <c r="D601" s="2" t="s">
        <v>155</v>
      </c>
      <c r="E601" s="2" t="s">
        <v>155</v>
      </c>
      <c r="F601" s="39">
        <v>45778</v>
      </c>
      <c r="G601" s="2">
        <f>DAY(EOMONTH(TA[[#This Row],[Month Year]],0))</f>
        <v>31</v>
      </c>
      <c r="H601" s="21">
        <v>45785</v>
      </c>
      <c r="I601" s="41">
        <f>IFERROR(VLOOKUP(TA[[#This Row],[Date]],Raw_Data[[Date]:[Sunset Time (POA&lt;20 W/m2)]],3,0),"")</f>
        <v>0.25208333333333333</v>
      </c>
      <c r="J601" s="41">
        <f>IFERROR(VLOOKUP(TA[[#This Row],[Date]],Raw_Data[[Date]:[Sunset Time (POA&lt;20 W/m2)]],4,0),"")</f>
        <v>0.77222222222222225</v>
      </c>
      <c r="K601" s="35">
        <f>IFERROR((TA[[#This Row],[Sunset Time (POA&lt;20 W/m2)]]-TA[[#This Row],[Sunrise Time (POA&gt;20 W/m2)]])*24,"")</f>
        <v>12.483333333333334</v>
      </c>
      <c r="L601" s="2" t="s">
        <v>296</v>
      </c>
      <c r="M601" s="42">
        <f>IFERROR(VLOOKUP(TA[[#This Row],[Affected Equipment]],'Basic Data'!$I$2:$K$40,3,0),"")</f>
        <v>8.6206896551724102E-3</v>
      </c>
      <c r="N601">
        <v>-28</v>
      </c>
      <c r="O601" t="s">
        <v>135</v>
      </c>
      <c r="P601" s="22" t="s">
        <v>323</v>
      </c>
      <c r="Q601" s="2" t="s">
        <v>329</v>
      </c>
      <c r="R601">
        <v>47</v>
      </c>
      <c r="S601" s="2">
        <v>18</v>
      </c>
      <c r="T601" t="s">
        <v>297</v>
      </c>
      <c r="U601" t="s">
        <v>300</v>
      </c>
      <c r="V601" t="s">
        <v>301</v>
      </c>
      <c r="W601" s="41"/>
      <c r="X601" s="41"/>
      <c r="Y601" s="34"/>
      <c r="Z601" s="34"/>
      <c r="AA601" s="35">
        <f>IF(TA[[#This Row],[Work Start time on Fault]]="NA","",(TA[[#This Row],[Fault Acknowledgement Time ]]-TA[[#This Row],[Fault Time]])*24)</f>
        <v>0</v>
      </c>
      <c r="AB601" s="35">
        <f>(TA[[#This Row],[Work Start time on Fault]]-TA[[#This Row],[Fault Time]])*24</f>
        <v>0</v>
      </c>
      <c r="AC601" s="34">
        <f>(TA[[#This Row],[Work Completion time on fault]]-TA[[#This Row],[Fault Time]])*24</f>
        <v>0</v>
      </c>
      <c r="AD601" s="35">
        <f>IFERROR((TA[[#This Row],[Work Completion time on fault]]-TA[[#This Row],[Fault Time]])*24,"")</f>
        <v>0</v>
      </c>
      <c r="AE601" t="s">
        <v>328</v>
      </c>
      <c r="AF601" t="s">
        <v>256</v>
      </c>
      <c r="AG601" s="2"/>
      <c r="AH601" s="44">
        <f>1-COS(RADIANS(TA[[#This Row],[Avg. Target Angle during Fault Time (Radians)]]-TA[[#This Row],[Angle of affected equipment ]]))</f>
        <v>0.11705240714107301</v>
      </c>
      <c r="AI601" s="35">
        <f>IFERROR(TA[[#This Row],[Breakdown Time]]*TA[[#This Row],[Plant Equivalent Weightage]],"")</f>
        <v>0</v>
      </c>
    </row>
    <row r="602" spans="1:35">
      <c r="A602" s="2">
        <f t="shared" si="29"/>
        <v>599</v>
      </c>
      <c r="B602" s="156">
        <f t="shared" si="32"/>
        <v>2026</v>
      </c>
      <c r="C602" s="129">
        <f t="shared" si="33"/>
        <v>2025</v>
      </c>
      <c r="D602" s="2" t="s">
        <v>155</v>
      </c>
      <c r="E602" s="2" t="s">
        <v>155</v>
      </c>
      <c r="F602" s="39">
        <v>45778</v>
      </c>
      <c r="G602" s="2">
        <f>DAY(EOMONTH(TA[[#This Row],[Month Year]],0))</f>
        <v>31</v>
      </c>
      <c r="H602" s="21">
        <v>45785</v>
      </c>
      <c r="I602" s="41">
        <f>IFERROR(VLOOKUP(TA[[#This Row],[Date]],Raw_Data[[Date]:[Sunset Time (POA&lt;20 W/m2)]],3,0),"")</f>
        <v>0.25208333333333333</v>
      </c>
      <c r="J602" s="41">
        <f>IFERROR(VLOOKUP(TA[[#This Row],[Date]],Raw_Data[[Date]:[Sunset Time (POA&lt;20 W/m2)]],4,0),"")</f>
        <v>0.77222222222222225</v>
      </c>
      <c r="K602" s="35">
        <f>IFERROR((TA[[#This Row],[Sunset Time (POA&lt;20 W/m2)]]-TA[[#This Row],[Sunrise Time (POA&gt;20 W/m2)]])*24,"")</f>
        <v>12.483333333333334</v>
      </c>
      <c r="L602" s="2" t="s">
        <v>296</v>
      </c>
      <c r="M602" s="42">
        <f>IFERROR(VLOOKUP(TA[[#This Row],[Affected Equipment]],'Basic Data'!$I$2:$K$40,3,0),"")</f>
        <v>8.6206896551724102E-3</v>
      </c>
      <c r="N602">
        <v>-28</v>
      </c>
      <c r="O602" t="s">
        <v>134</v>
      </c>
      <c r="P602" s="22" t="s">
        <v>330</v>
      </c>
      <c r="Q602" s="2" t="s">
        <v>323</v>
      </c>
      <c r="R602">
        <v>30</v>
      </c>
      <c r="S602" s="2">
        <v>57</v>
      </c>
      <c r="T602" t="s">
        <v>297</v>
      </c>
      <c r="U602" t="s">
        <v>300</v>
      </c>
      <c r="V602" t="s">
        <v>301</v>
      </c>
      <c r="W602" s="41"/>
      <c r="X602" s="41"/>
      <c r="Y602" s="34"/>
      <c r="Z602" s="34"/>
      <c r="AA602" s="35">
        <f>IF(TA[[#This Row],[Work Start time on Fault]]="NA","",(TA[[#This Row],[Fault Acknowledgement Time ]]-TA[[#This Row],[Fault Time]])*24)</f>
        <v>0</v>
      </c>
      <c r="AB602" s="35">
        <f>(TA[[#This Row],[Work Start time on Fault]]-TA[[#This Row],[Fault Time]])*24</f>
        <v>0</v>
      </c>
      <c r="AC602" s="34">
        <f>(TA[[#This Row],[Work Completion time on fault]]-TA[[#This Row],[Fault Time]])*24</f>
        <v>0</v>
      </c>
      <c r="AD602" s="35">
        <f>IFERROR((TA[[#This Row],[Work Completion time on fault]]-TA[[#This Row],[Fault Time]])*24,"")</f>
        <v>0</v>
      </c>
      <c r="AE602" t="s">
        <v>328</v>
      </c>
      <c r="AF602" t="s">
        <v>256</v>
      </c>
      <c r="AG602" s="2"/>
      <c r="AH602" s="44">
        <f>1-COS(RADIANS(TA[[#This Row],[Avg. Target Angle during Fault Time (Radians)]]-TA[[#This Row],[Angle of affected equipment ]]))</f>
        <v>0.11705240714107301</v>
      </c>
      <c r="AI602" s="35">
        <f>IFERROR(TA[[#This Row],[Breakdown Time]]*TA[[#This Row],[Plant Equivalent Weightage]],"")</f>
        <v>0</v>
      </c>
    </row>
    <row r="603" spans="1:35">
      <c r="A603" s="2">
        <f t="shared" si="29"/>
        <v>600</v>
      </c>
      <c r="B603" s="156">
        <f t="shared" si="32"/>
        <v>2026</v>
      </c>
      <c r="C603" s="129">
        <f t="shared" si="33"/>
        <v>2025</v>
      </c>
      <c r="D603" s="2" t="s">
        <v>155</v>
      </c>
      <c r="E603" s="2" t="s">
        <v>155</v>
      </c>
      <c r="F603" s="39">
        <v>45778</v>
      </c>
      <c r="G603" s="2">
        <f>DAY(EOMONTH(TA[[#This Row],[Month Year]],0))</f>
        <v>31</v>
      </c>
      <c r="H603" s="21">
        <v>45785</v>
      </c>
      <c r="I603" s="41">
        <f>IFERROR(VLOOKUP(TA[[#This Row],[Date]],Raw_Data[[Date]:[Sunset Time (POA&lt;20 W/m2)]],3,0),"")</f>
        <v>0.25208333333333333</v>
      </c>
      <c r="J603" s="41">
        <f>IFERROR(VLOOKUP(TA[[#This Row],[Date]],Raw_Data[[Date]:[Sunset Time (POA&lt;20 W/m2)]],4,0),"")</f>
        <v>0.77222222222222225</v>
      </c>
      <c r="K603" s="35">
        <f>IFERROR((TA[[#This Row],[Sunset Time (POA&lt;20 W/m2)]]-TA[[#This Row],[Sunrise Time (POA&gt;20 W/m2)]])*24,"")</f>
        <v>12.483333333333334</v>
      </c>
      <c r="L603" s="2" t="s">
        <v>296</v>
      </c>
      <c r="M603" s="42">
        <f>IFERROR(VLOOKUP(TA[[#This Row],[Affected Equipment]],'Basic Data'!$I$2:$K$40,3,0),"")</f>
        <v>8.6206896551724102E-3</v>
      </c>
      <c r="N603">
        <v>-28</v>
      </c>
      <c r="O603" t="s">
        <v>134</v>
      </c>
      <c r="P603" s="22" t="s">
        <v>330</v>
      </c>
      <c r="Q603" s="2" t="s">
        <v>323</v>
      </c>
      <c r="R603">
        <v>31</v>
      </c>
      <c r="S603" s="2">
        <v>61</v>
      </c>
      <c r="T603" t="s">
        <v>297</v>
      </c>
      <c r="U603" t="s">
        <v>300</v>
      </c>
      <c r="V603" t="s">
        <v>301</v>
      </c>
      <c r="W603" s="41"/>
      <c r="X603" s="41"/>
      <c r="Y603" s="34"/>
      <c r="Z603" s="34"/>
      <c r="AA603" s="35">
        <f>IF(TA[[#This Row],[Work Start time on Fault]]="NA","",(TA[[#This Row],[Fault Acknowledgement Time ]]-TA[[#This Row],[Fault Time]])*24)</f>
        <v>0</v>
      </c>
      <c r="AB603" s="35">
        <f>(TA[[#This Row],[Work Start time on Fault]]-TA[[#This Row],[Fault Time]])*24</f>
        <v>0</v>
      </c>
      <c r="AC603" s="34">
        <f>(TA[[#This Row],[Work Completion time on fault]]-TA[[#This Row],[Fault Time]])*24</f>
        <v>0</v>
      </c>
      <c r="AD603" s="35">
        <f>IFERROR((TA[[#This Row],[Work Completion time on fault]]-TA[[#This Row],[Fault Time]])*24,"")</f>
        <v>0</v>
      </c>
      <c r="AE603" t="s">
        <v>328</v>
      </c>
      <c r="AF603" t="s">
        <v>256</v>
      </c>
      <c r="AG603" s="2"/>
      <c r="AH603" s="44">
        <f>1-COS(RADIANS(TA[[#This Row],[Avg. Target Angle during Fault Time (Radians)]]-TA[[#This Row],[Angle of affected equipment ]]))</f>
        <v>0.11705240714107301</v>
      </c>
      <c r="AI603" s="35">
        <f>IFERROR(TA[[#This Row],[Breakdown Time]]*TA[[#This Row],[Plant Equivalent Weightage]],"")</f>
        <v>0</v>
      </c>
    </row>
    <row r="604" spans="1:35">
      <c r="A604" s="2">
        <f t="shared" si="29"/>
        <v>601</v>
      </c>
      <c r="B604" s="156">
        <f t="shared" si="32"/>
        <v>2026</v>
      </c>
      <c r="C604" s="129">
        <f t="shared" si="33"/>
        <v>2025</v>
      </c>
      <c r="D604" s="2" t="s">
        <v>155</v>
      </c>
      <c r="E604" s="2" t="s">
        <v>155</v>
      </c>
      <c r="F604" s="39">
        <v>45778</v>
      </c>
      <c r="G604" s="2">
        <f>DAY(EOMONTH(TA[[#This Row],[Month Year]],0))</f>
        <v>31</v>
      </c>
      <c r="H604" s="21">
        <v>45785</v>
      </c>
      <c r="I604" s="41">
        <f>IFERROR(VLOOKUP(TA[[#This Row],[Date]],Raw_Data[[Date]:[Sunset Time (POA&lt;20 W/m2)]],3,0),"")</f>
        <v>0.25208333333333333</v>
      </c>
      <c r="J604" s="41">
        <f>IFERROR(VLOOKUP(TA[[#This Row],[Date]],Raw_Data[[Date]:[Sunset Time (POA&lt;20 W/m2)]],4,0),"")</f>
        <v>0.77222222222222225</v>
      </c>
      <c r="K604" s="35">
        <f>IFERROR((TA[[#This Row],[Sunset Time (POA&lt;20 W/m2)]]-TA[[#This Row],[Sunrise Time (POA&gt;20 W/m2)]])*24,"")</f>
        <v>12.483333333333334</v>
      </c>
      <c r="L604" s="2" t="s">
        <v>312</v>
      </c>
      <c r="M604" s="42">
        <f>IFERROR(VLOOKUP(TA[[#This Row],[Affected Equipment]],'Basic Data'!$I$2:$K$40,3,0),"")</f>
        <v>5.74712643678161E-3</v>
      </c>
      <c r="N604">
        <v>-28</v>
      </c>
      <c r="O604" t="s">
        <v>133</v>
      </c>
      <c r="P604" s="22" t="s">
        <v>330</v>
      </c>
      <c r="Q604" s="2" t="s">
        <v>323</v>
      </c>
      <c r="R604">
        <v>26</v>
      </c>
      <c r="S604" s="2">
        <v>37</v>
      </c>
      <c r="T604" t="s">
        <v>297</v>
      </c>
      <c r="U604" t="s">
        <v>300</v>
      </c>
      <c r="V604" t="s">
        <v>301</v>
      </c>
      <c r="W604" s="41"/>
      <c r="X604" s="41"/>
      <c r="Y604" s="34"/>
      <c r="Z604" s="34"/>
      <c r="AA604" s="35">
        <f>IF(TA[[#This Row],[Work Start time on Fault]]="NA","",(TA[[#This Row],[Fault Acknowledgement Time ]]-TA[[#This Row],[Fault Time]])*24)</f>
        <v>0</v>
      </c>
      <c r="AB604" s="35">
        <f>(TA[[#This Row],[Work Start time on Fault]]-TA[[#This Row],[Fault Time]])*24</f>
        <v>0</v>
      </c>
      <c r="AC604" s="34">
        <f>(TA[[#This Row],[Work Completion time on fault]]-TA[[#This Row],[Fault Time]])*24</f>
        <v>0</v>
      </c>
      <c r="AD604" s="35">
        <f>IFERROR((TA[[#This Row],[Work Completion time on fault]]-TA[[#This Row],[Fault Time]])*24,"")</f>
        <v>0</v>
      </c>
      <c r="AE604" t="s">
        <v>328</v>
      </c>
      <c r="AF604" t="s">
        <v>256</v>
      </c>
      <c r="AG604" s="2"/>
      <c r="AH604" s="44">
        <f>1-COS(RADIANS(TA[[#This Row],[Avg. Target Angle during Fault Time (Radians)]]-TA[[#This Row],[Angle of affected equipment ]]))</f>
        <v>0.11705240714107301</v>
      </c>
      <c r="AI604" s="35">
        <f>IFERROR(TA[[#This Row],[Breakdown Time]]*TA[[#This Row],[Plant Equivalent Weightage]],"")</f>
        <v>0</v>
      </c>
    </row>
    <row r="605" spans="1:35">
      <c r="A605" s="2">
        <f t="shared" si="29"/>
        <v>602</v>
      </c>
      <c r="B605" s="156">
        <f t="shared" si="32"/>
        <v>2026</v>
      </c>
      <c r="C605" s="129">
        <f t="shared" si="33"/>
        <v>2025</v>
      </c>
      <c r="D605" s="2" t="s">
        <v>155</v>
      </c>
      <c r="E605" s="2" t="s">
        <v>155</v>
      </c>
      <c r="F605" s="39">
        <v>45778</v>
      </c>
      <c r="G605" s="2">
        <f>DAY(EOMONTH(TA[[#This Row],[Month Year]],0))</f>
        <v>31</v>
      </c>
      <c r="H605" s="21">
        <v>45785</v>
      </c>
      <c r="I605" s="41">
        <f>IFERROR(VLOOKUP(TA[[#This Row],[Date]],Raw_Data[[Date]:[Sunset Time (POA&lt;20 W/m2)]],3,0),"")</f>
        <v>0.25208333333333333</v>
      </c>
      <c r="J605" s="41">
        <f>IFERROR(VLOOKUP(TA[[#This Row],[Date]],Raw_Data[[Date]:[Sunset Time (POA&lt;20 W/m2)]],4,0),"")</f>
        <v>0.77222222222222225</v>
      </c>
      <c r="K605" s="35">
        <f>IFERROR((TA[[#This Row],[Sunset Time (POA&lt;20 W/m2)]]-TA[[#This Row],[Sunrise Time (POA&gt;20 W/m2)]])*24,"")</f>
        <v>12.483333333333334</v>
      </c>
      <c r="L605" s="2" t="s">
        <v>312</v>
      </c>
      <c r="M605" s="42">
        <f>IFERROR(VLOOKUP(TA[[#This Row],[Affected Equipment]],'Basic Data'!$I$2:$K$40,3,0),"")</f>
        <v>5.74712643678161E-3</v>
      </c>
      <c r="N605">
        <v>-28</v>
      </c>
      <c r="O605" t="s">
        <v>133</v>
      </c>
      <c r="P605" s="22" t="s">
        <v>330</v>
      </c>
      <c r="Q605" s="2" t="s">
        <v>323</v>
      </c>
      <c r="R605">
        <v>27</v>
      </c>
      <c r="S605" s="2">
        <v>42</v>
      </c>
      <c r="T605" t="s">
        <v>297</v>
      </c>
      <c r="U605" t="s">
        <v>300</v>
      </c>
      <c r="V605" t="s">
        <v>301</v>
      </c>
      <c r="W605" s="41">
        <f>IFERROR(VLOOKUP(TA[[#This Row],[Date]],Raw_Data[[Date]:[Sunset Time (POA&lt;20 W/m2)]],3,0),"")</f>
        <v>0.25208333333333333</v>
      </c>
      <c r="X605" s="41">
        <f>IFERROR(VLOOKUP(TA[[#This Row],[Date]],Raw_Data[[Date]:[Sunset Time (POA&lt;20 W/m2)]],3,0),"")</f>
        <v>0.25208333333333333</v>
      </c>
      <c r="Y605" s="34"/>
      <c r="Z605" s="34">
        <v>0.76041666666666663</v>
      </c>
      <c r="AA605" s="35">
        <f>IF(TA[[#This Row],[Work Start time on Fault]]="NA","",(TA[[#This Row],[Fault Acknowledgement Time ]]-TA[[#This Row],[Fault Time]])*24)</f>
        <v>0</v>
      </c>
      <c r="AB605" s="35">
        <f>(TA[[#This Row],[Work Start time on Fault]]-TA[[#This Row],[Fault Time]])*24</f>
        <v>-6.05</v>
      </c>
      <c r="AC605" s="34">
        <f>(TA[[#This Row],[Work Completion time on fault]]-TA[[#This Row],[Fault Time]])*24</f>
        <v>12.2</v>
      </c>
      <c r="AD605" s="35">
        <f>IFERROR((TA[[#This Row],[Work Completion time on fault]]-TA[[#This Row],[Fault Time]])*24,"")</f>
        <v>12.2</v>
      </c>
      <c r="AE605" t="s">
        <v>309</v>
      </c>
      <c r="AF605" t="s">
        <v>256</v>
      </c>
      <c r="AG605" s="2"/>
      <c r="AH605" s="44">
        <f>1-COS(RADIANS(TA[[#This Row],[Avg. Target Angle during Fault Time (Radians)]]-TA[[#This Row],[Angle of affected equipment ]]))</f>
        <v>0.11705240714107301</v>
      </c>
      <c r="AI605" s="35">
        <f>IFERROR(TA[[#This Row],[Breakdown Time]]*TA[[#This Row],[Plant Equivalent Weightage]],"")</f>
        <v>7.0114942528735638E-2</v>
      </c>
    </row>
    <row r="606" spans="1:35">
      <c r="A606" s="2">
        <f t="shared" si="29"/>
        <v>603</v>
      </c>
      <c r="B606" s="156">
        <f t="shared" ref="B606:B619" si="34">YEAR(H606)+IF(MONTH(H606)&gt;=4,1,0)</f>
        <v>2026</v>
      </c>
      <c r="C606" s="129">
        <f t="shared" ref="C606:C619" si="35">YEAR(H606)</f>
        <v>2025</v>
      </c>
      <c r="D606" s="2" t="s">
        <v>155</v>
      </c>
      <c r="E606" s="2" t="s">
        <v>155</v>
      </c>
      <c r="F606" s="39">
        <v>45778</v>
      </c>
      <c r="G606" s="2">
        <f>DAY(EOMONTH(TA[[#This Row],[Month Year]],0))</f>
        <v>31</v>
      </c>
      <c r="H606" s="21">
        <v>45786</v>
      </c>
      <c r="I606" s="41">
        <f>IFERROR(VLOOKUP(TA[[#This Row],[Date]],Raw_Data[[Date]:[Sunset Time (POA&lt;20 W/m2)]],3,0),"")</f>
        <v>0.25</v>
      </c>
      <c r="J606" s="41">
        <f>IFERROR(VLOOKUP(TA[[#This Row],[Date]],Raw_Data[[Date]:[Sunset Time (POA&lt;20 W/m2)]],4,0),"")</f>
        <v>0.77013888888888893</v>
      </c>
      <c r="K606" s="35">
        <f>IFERROR((TA[[#This Row],[Sunset Time (POA&lt;20 W/m2)]]-TA[[#This Row],[Sunrise Time (POA&gt;20 W/m2)]])*24,"")</f>
        <v>12.483333333333334</v>
      </c>
      <c r="L606" s="2" t="s">
        <v>294</v>
      </c>
      <c r="M606" s="42">
        <f>IFERROR(VLOOKUP(TA[[#This Row],[Affected Equipment]],'Basic Data'!$I$2:$K$40,3,0),"")</f>
        <v>1.7241379310344799E-3</v>
      </c>
      <c r="N606">
        <v>-28</v>
      </c>
      <c r="O606" t="s">
        <v>135</v>
      </c>
      <c r="P606" s="127" t="s">
        <v>318</v>
      </c>
      <c r="Q606" s="126" t="s">
        <v>318</v>
      </c>
      <c r="R606">
        <v>130</v>
      </c>
      <c r="S606" s="2">
        <v>37</v>
      </c>
      <c r="T606" t="s">
        <v>295</v>
      </c>
      <c r="U606" t="s">
        <v>300</v>
      </c>
      <c r="V606" t="s">
        <v>298</v>
      </c>
      <c r="W606" s="41"/>
      <c r="X606" s="41"/>
      <c r="Y606" s="34"/>
      <c r="Z606" s="34"/>
      <c r="AA606" s="35">
        <f>IF(TA[[#This Row],[Work Start time on Fault]]="NA","",(TA[[#This Row],[Fault Acknowledgement Time ]]-TA[[#This Row],[Fault Time]])*24)</f>
        <v>0</v>
      </c>
      <c r="AB606" s="35">
        <f>(TA[[#This Row],[Work Start time on Fault]]-TA[[#This Row],[Fault Time]])*24</f>
        <v>0</v>
      </c>
      <c r="AC606" s="34">
        <f>(TA[[#This Row],[Work Completion time on fault]]-TA[[#This Row],[Fault Time]])*24</f>
        <v>0</v>
      </c>
      <c r="AD606" s="35">
        <f>IFERROR((TA[[#This Row],[Work Completion time on fault]]-TA[[#This Row],[Fault Time]])*24,"")</f>
        <v>0</v>
      </c>
      <c r="AE606" t="s">
        <v>328</v>
      </c>
      <c r="AF606" t="s">
        <v>256</v>
      </c>
      <c r="AG606" s="2"/>
      <c r="AH606" s="44">
        <f>1-COS(RADIANS(TA[[#This Row],[Avg. Target Angle during Fault Time (Radians)]]-TA[[#This Row],[Angle of affected equipment ]]))</f>
        <v>0.11705240714107301</v>
      </c>
      <c r="AI606" s="35">
        <f>IFERROR(TA[[#This Row],[Breakdown Time]]*TA[[#This Row],[Plant Equivalent Weightage]],"")</f>
        <v>0</v>
      </c>
    </row>
    <row r="607" spans="1:35">
      <c r="A607" s="2">
        <f t="shared" si="29"/>
        <v>604</v>
      </c>
      <c r="B607" s="156">
        <f t="shared" si="34"/>
        <v>2026</v>
      </c>
      <c r="C607" s="129">
        <f t="shared" si="35"/>
        <v>2025</v>
      </c>
      <c r="D607" s="2" t="s">
        <v>155</v>
      </c>
      <c r="E607" s="2" t="s">
        <v>155</v>
      </c>
      <c r="F607" s="39">
        <v>45778</v>
      </c>
      <c r="G607" s="2">
        <f>DAY(EOMONTH(TA[[#This Row],[Month Year]],0))</f>
        <v>31</v>
      </c>
      <c r="H607" s="21">
        <v>45786</v>
      </c>
      <c r="I607" s="41">
        <f>IFERROR(VLOOKUP(TA[[#This Row],[Date]],Raw_Data[[Date]:[Sunset Time (POA&lt;20 W/m2)]],3,0),"")</f>
        <v>0.25</v>
      </c>
      <c r="J607" s="41">
        <f>IFERROR(VLOOKUP(TA[[#This Row],[Date]],Raw_Data[[Date]:[Sunset Time (POA&lt;20 W/m2)]],4,0),"")</f>
        <v>0.77013888888888893</v>
      </c>
      <c r="K607" s="35">
        <f>IFERROR((TA[[#This Row],[Sunset Time (POA&lt;20 W/m2)]]-TA[[#This Row],[Sunrise Time (POA&gt;20 W/m2)]])*24,"")</f>
        <v>12.483333333333334</v>
      </c>
      <c r="L607" s="2" t="s">
        <v>294</v>
      </c>
      <c r="M607" s="42">
        <f>IFERROR(VLOOKUP(TA[[#This Row],[Affected Equipment]],'Basic Data'!$I$2:$K$40,3,0),"")</f>
        <v>1.7241379310344799E-3</v>
      </c>
      <c r="N607">
        <v>-28</v>
      </c>
      <c r="O607" t="s">
        <v>135</v>
      </c>
      <c r="P607" s="127" t="s">
        <v>318</v>
      </c>
      <c r="Q607" s="126" t="s">
        <v>318</v>
      </c>
      <c r="R607">
        <v>131</v>
      </c>
      <c r="S607" s="2">
        <v>38</v>
      </c>
      <c r="T607" t="s">
        <v>295</v>
      </c>
      <c r="U607" t="s">
        <v>300</v>
      </c>
      <c r="V607" t="s">
        <v>298</v>
      </c>
      <c r="W607" s="41"/>
      <c r="X607" s="41"/>
      <c r="Y607" s="34"/>
      <c r="Z607" s="34"/>
      <c r="AA607" s="35">
        <f>IF(TA[[#This Row],[Work Start time on Fault]]="NA","",(TA[[#This Row],[Fault Acknowledgement Time ]]-TA[[#This Row],[Fault Time]])*24)</f>
        <v>0</v>
      </c>
      <c r="AB607" s="35">
        <f>(TA[[#This Row],[Work Start time on Fault]]-TA[[#This Row],[Fault Time]])*24</f>
        <v>0</v>
      </c>
      <c r="AC607" s="34">
        <f>(TA[[#This Row],[Work Completion time on fault]]-TA[[#This Row],[Fault Time]])*24</f>
        <v>0</v>
      </c>
      <c r="AD607" s="35">
        <f>IFERROR((TA[[#This Row],[Work Completion time on fault]]-TA[[#This Row],[Fault Time]])*24,"")</f>
        <v>0</v>
      </c>
      <c r="AE607" t="s">
        <v>328</v>
      </c>
      <c r="AF607" t="s">
        <v>256</v>
      </c>
      <c r="AG607" s="2"/>
      <c r="AH607" s="44">
        <f>1-COS(RADIANS(TA[[#This Row],[Avg. Target Angle during Fault Time (Radians)]]-TA[[#This Row],[Angle of affected equipment ]]))</f>
        <v>0.11705240714107301</v>
      </c>
      <c r="AI607" s="35">
        <f>IFERROR(TA[[#This Row],[Breakdown Time]]*TA[[#This Row],[Plant Equivalent Weightage]],"")</f>
        <v>0</v>
      </c>
    </row>
    <row r="608" spans="1:35">
      <c r="A608" s="2">
        <f t="shared" si="29"/>
        <v>605</v>
      </c>
      <c r="B608" s="156">
        <f t="shared" si="34"/>
        <v>2026</v>
      </c>
      <c r="C608" s="129">
        <f t="shared" si="35"/>
        <v>2025</v>
      </c>
      <c r="D608" s="2" t="s">
        <v>155</v>
      </c>
      <c r="E608" s="2" t="s">
        <v>155</v>
      </c>
      <c r="F608" s="39">
        <v>45778</v>
      </c>
      <c r="G608" s="2">
        <f>DAY(EOMONTH(TA[[#This Row],[Month Year]],0))</f>
        <v>31</v>
      </c>
      <c r="H608" s="21">
        <v>45786</v>
      </c>
      <c r="I608" s="41">
        <f>IFERROR(VLOOKUP(TA[[#This Row],[Date]],Raw_Data[[Date]:[Sunset Time (POA&lt;20 W/m2)]],3,0),"")</f>
        <v>0.25</v>
      </c>
      <c r="J608" s="41">
        <f>IFERROR(VLOOKUP(TA[[#This Row],[Date]],Raw_Data[[Date]:[Sunset Time (POA&lt;20 W/m2)]],4,0),"")</f>
        <v>0.77013888888888893</v>
      </c>
      <c r="K608" s="35">
        <f>IFERROR((TA[[#This Row],[Sunset Time (POA&lt;20 W/m2)]]-TA[[#This Row],[Sunrise Time (POA&gt;20 W/m2)]])*24,"")</f>
        <v>12.483333333333334</v>
      </c>
      <c r="L608" s="2" t="s">
        <v>294</v>
      </c>
      <c r="M608" s="42">
        <f>IFERROR(VLOOKUP(TA[[#This Row],[Affected Equipment]],'Basic Data'!$I$2:$K$40,3,0),"")</f>
        <v>1.7241379310344799E-3</v>
      </c>
      <c r="N608">
        <v>-28</v>
      </c>
      <c r="O608" t="s">
        <v>135</v>
      </c>
      <c r="P608" s="127" t="s">
        <v>318</v>
      </c>
      <c r="Q608" s="126" t="s">
        <v>318</v>
      </c>
      <c r="R608">
        <v>131</v>
      </c>
      <c r="S608" s="2">
        <v>39</v>
      </c>
      <c r="T608" t="s">
        <v>295</v>
      </c>
      <c r="U608" t="s">
        <v>300</v>
      </c>
      <c r="V608" t="s">
        <v>298</v>
      </c>
      <c r="W608" s="41"/>
      <c r="X608" s="41"/>
      <c r="Y608" s="34"/>
      <c r="Z608" s="34"/>
      <c r="AA608" s="35">
        <f>IF(TA[[#This Row],[Work Start time on Fault]]="NA","",(TA[[#This Row],[Fault Acknowledgement Time ]]-TA[[#This Row],[Fault Time]])*24)</f>
        <v>0</v>
      </c>
      <c r="AB608" s="35">
        <f>(TA[[#This Row],[Work Start time on Fault]]-TA[[#This Row],[Fault Time]])*24</f>
        <v>0</v>
      </c>
      <c r="AC608" s="34">
        <f>(TA[[#This Row],[Work Completion time on fault]]-TA[[#This Row],[Fault Time]])*24</f>
        <v>0</v>
      </c>
      <c r="AD608" s="35">
        <f>IFERROR((TA[[#This Row],[Work Completion time on fault]]-TA[[#This Row],[Fault Time]])*24,"")</f>
        <v>0</v>
      </c>
      <c r="AE608" t="s">
        <v>328</v>
      </c>
      <c r="AF608" t="s">
        <v>256</v>
      </c>
      <c r="AG608" s="2"/>
      <c r="AH608" s="44">
        <f>1-COS(RADIANS(TA[[#This Row],[Avg. Target Angle during Fault Time (Radians)]]-TA[[#This Row],[Angle of affected equipment ]]))</f>
        <v>0.11705240714107301</v>
      </c>
      <c r="AI608" s="35">
        <f>IFERROR(TA[[#This Row],[Breakdown Time]]*TA[[#This Row],[Plant Equivalent Weightage]],"")</f>
        <v>0</v>
      </c>
    </row>
    <row r="609" spans="1:35">
      <c r="A609" s="2">
        <f t="shared" si="29"/>
        <v>606</v>
      </c>
      <c r="B609" s="156">
        <f t="shared" si="34"/>
        <v>2026</v>
      </c>
      <c r="C609" s="129">
        <f t="shared" si="35"/>
        <v>2025</v>
      </c>
      <c r="D609" s="2" t="s">
        <v>155</v>
      </c>
      <c r="E609" s="2" t="s">
        <v>155</v>
      </c>
      <c r="F609" s="39">
        <v>45778</v>
      </c>
      <c r="G609" s="2">
        <f>DAY(EOMONTH(TA[[#This Row],[Month Year]],0))</f>
        <v>31</v>
      </c>
      <c r="H609" s="21">
        <v>45786</v>
      </c>
      <c r="I609" s="41">
        <f>IFERROR(VLOOKUP(TA[[#This Row],[Date]],Raw_Data[[Date]:[Sunset Time (POA&lt;20 W/m2)]],3,0),"")</f>
        <v>0.25</v>
      </c>
      <c r="J609" s="41">
        <f>IFERROR(VLOOKUP(TA[[#This Row],[Date]],Raw_Data[[Date]:[Sunset Time (POA&lt;20 W/m2)]],4,0),"")</f>
        <v>0.77013888888888893</v>
      </c>
      <c r="K609" s="35">
        <f>IFERROR((TA[[#This Row],[Sunset Time (POA&lt;20 W/m2)]]-TA[[#This Row],[Sunrise Time (POA&gt;20 W/m2)]])*24,"")</f>
        <v>12.483333333333334</v>
      </c>
      <c r="L609" s="2" t="s">
        <v>296</v>
      </c>
      <c r="M609" s="42">
        <f>IFERROR(VLOOKUP(TA[[#This Row],[Affected Equipment]],'Basic Data'!$I$2:$K$40,3,0),"")</f>
        <v>8.6206896551724102E-3</v>
      </c>
      <c r="N609">
        <v>-28</v>
      </c>
      <c r="O609" t="s">
        <v>135</v>
      </c>
      <c r="P609" s="127" t="s">
        <v>318</v>
      </c>
      <c r="Q609" s="2" t="s">
        <v>321</v>
      </c>
      <c r="R609">
        <v>133</v>
      </c>
      <c r="S609" s="2">
        <v>26</v>
      </c>
      <c r="T609" t="s">
        <v>297</v>
      </c>
      <c r="U609" t="s">
        <v>300</v>
      </c>
      <c r="V609" t="s">
        <v>314</v>
      </c>
      <c r="W609" s="41">
        <f>IFERROR(VLOOKUP(TA[[#This Row],[Date]],Raw_Data[[Date]:[Sunset Time (POA&lt;20 W/m2)]],3,0),"")</f>
        <v>0.25</v>
      </c>
      <c r="X609" s="41">
        <f>IFERROR(VLOOKUP(TA[[#This Row],[Date]],Raw_Data[[Date]:[Sunset Time (POA&lt;20 W/m2)]],3,0),"")</f>
        <v>0.25</v>
      </c>
      <c r="Y609" s="34"/>
      <c r="Z609" s="34">
        <v>0.76041666666666663</v>
      </c>
      <c r="AA609" s="35">
        <f>IF(TA[[#This Row],[Work Start time on Fault]]="NA","",(TA[[#This Row],[Fault Acknowledgement Time ]]-TA[[#This Row],[Fault Time]])*24)</f>
        <v>0</v>
      </c>
      <c r="AB609" s="35">
        <f>(TA[[#This Row],[Work Start time on Fault]]-TA[[#This Row],[Fault Time]])*24</f>
        <v>-6</v>
      </c>
      <c r="AC609" s="34">
        <f>(TA[[#This Row],[Work Completion time on fault]]-TA[[#This Row],[Fault Time]])*24</f>
        <v>12.25</v>
      </c>
      <c r="AD609" s="35">
        <f>IFERROR((TA[[#This Row],[Work Completion time on fault]]-TA[[#This Row],[Fault Time]])*24,"")</f>
        <v>12.25</v>
      </c>
      <c r="AE609" t="s">
        <v>328</v>
      </c>
      <c r="AF609" t="s">
        <v>256</v>
      </c>
      <c r="AG609" s="2"/>
      <c r="AH609" s="44">
        <f>1-COS(RADIANS(TA[[#This Row],[Avg. Target Angle during Fault Time (Radians)]]-TA[[#This Row],[Angle of affected equipment ]]))</f>
        <v>0.11705240714107301</v>
      </c>
      <c r="AI609" s="35">
        <f>IFERROR(TA[[#This Row],[Breakdown Time]]*TA[[#This Row],[Plant Equivalent Weightage]],"")</f>
        <v>0.10560344827586203</v>
      </c>
    </row>
    <row r="610" spans="1:35">
      <c r="A610" s="2">
        <f t="shared" si="29"/>
        <v>607</v>
      </c>
      <c r="B610" s="156">
        <f t="shared" si="34"/>
        <v>2026</v>
      </c>
      <c r="C610" s="129">
        <f t="shared" si="35"/>
        <v>2025</v>
      </c>
      <c r="D610" s="2" t="s">
        <v>155</v>
      </c>
      <c r="E610" s="2" t="s">
        <v>155</v>
      </c>
      <c r="F610" s="39">
        <v>45778</v>
      </c>
      <c r="G610" s="2">
        <f>DAY(EOMONTH(TA[[#This Row],[Month Year]],0))</f>
        <v>31</v>
      </c>
      <c r="H610" s="21">
        <v>45786</v>
      </c>
      <c r="I610" s="41">
        <f>IFERROR(VLOOKUP(TA[[#This Row],[Date]],Raw_Data[[Date]:[Sunset Time (POA&lt;20 W/m2)]],3,0),"")</f>
        <v>0.25</v>
      </c>
      <c r="J610" s="41">
        <f>IFERROR(VLOOKUP(TA[[#This Row],[Date]],Raw_Data[[Date]:[Sunset Time (POA&lt;20 W/m2)]],4,0),"")</f>
        <v>0.77013888888888893</v>
      </c>
      <c r="K610" s="35">
        <f>IFERROR((TA[[#This Row],[Sunset Time (POA&lt;20 W/m2)]]-TA[[#This Row],[Sunrise Time (POA&gt;20 W/m2)]])*24,"")</f>
        <v>12.483333333333334</v>
      </c>
      <c r="L610" s="2" t="s">
        <v>294</v>
      </c>
      <c r="M610" s="42">
        <f>IFERROR(VLOOKUP(TA[[#This Row],[Affected Equipment]],'Basic Data'!$I$2:$K$40,3,0),"")</f>
        <v>1.7241379310344799E-3</v>
      </c>
      <c r="N610">
        <v>-28</v>
      </c>
      <c r="O610" t="s">
        <v>133</v>
      </c>
      <c r="P610" s="127" t="s">
        <v>316</v>
      </c>
      <c r="Q610" s="126" t="s">
        <v>317</v>
      </c>
      <c r="R610">
        <v>7</v>
      </c>
      <c r="S610" s="2">
        <v>32</v>
      </c>
      <c r="T610" t="s">
        <v>295</v>
      </c>
      <c r="U610" t="s">
        <v>300</v>
      </c>
      <c r="V610" t="s">
        <v>298</v>
      </c>
      <c r="W610" s="41"/>
      <c r="X610" s="41"/>
      <c r="Y610" s="34"/>
      <c r="Z610" s="34"/>
      <c r="AA610" s="35">
        <f>IF(TA[[#This Row],[Work Start time on Fault]]="NA","",(TA[[#This Row],[Fault Acknowledgement Time ]]-TA[[#This Row],[Fault Time]])*24)</f>
        <v>0</v>
      </c>
      <c r="AB610" s="35">
        <f>(TA[[#This Row],[Work Start time on Fault]]-TA[[#This Row],[Fault Time]])*24</f>
        <v>0</v>
      </c>
      <c r="AC610" s="34">
        <f>(TA[[#This Row],[Work Completion time on fault]]-TA[[#This Row],[Fault Time]])*24</f>
        <v>0</v>
      </c>
      <c r="AD610" s="35">
        <f>IFERROR((TA[[#This Row],[Work Completion time on fault]]-TA[[#This Row],[Fault Time]])*24,"")</f>
        <v>0</v>
      </c>
      <c r="AE610" t="s">
        <v>328</v>
      </c>
      <c r="AF610" t="s">
        <v>256</v>
      </c>
      <c r="AG610" s="2"/>
      <c r="AH610" s="44">
        <f>1-COS(RADIANS(TA[[#This Row],[Avg. Target Angle during Fault Time (Radians)]]-TA[[#This Row],[Angle of affected equipment ]]))</f>
        <v>0.11705240714107301</v>
      </c>
      <c r="AI610" s="35">
        <f>IFERROR(TA[[#This Row],[Breakdown Time]]*TA[[#This Row],[Plant Equivalent Weightage]],"")</f>
        <v>0</v>
      </c>
    </row>
    <row r="611" spans="1:35">
      <c r="A611" s="2">
        <f t="shared" si="29"/>
        <v>608</v>
      </c>
      <c r="B611" s="156">
        <f t="shared" si="34"/>
        <v>2026</v>
      </c>
      <c r="C611" s="129">
        <f t="shared" si="35"/>
        <v>2025</v>
      </c>
      <c r="D611" s="2" t="s">
        <v>155</v>
      </c>
      <c r="E611" s="2" t="s">
        <v>155</v>
      </c>
      <c r="F611" s="39">
        <v>45778</v>
      </c>
      <c r="G611" s="2">
        <f>DAY(EOMONTH(TA[[#This Row],[Month Year]],0))</f>
        <v>31</v>
      </c>
      <c r="H611" s="21">
        <v>45786</v>
      </c>
      <c r="I611" s="41">
        <f>IFERROR(VLOOKUP(TA[[#This Row],[Date]],Raw_Data[[Date]:[Sunset Time (POA&lt;20 W/m2)]],3,0),"")</f>
        <v>0.25</v>
      </c>
      <c r="J611" s="41">
        <f>IFERROR(VLOOKUP(TA[[#This Row],[Date]],Raw_Data[[Date]:[Sunset Time (POA&lt;20 W/m2)]],4,0),"")</f>
        <v>0.77013888888888893</v>
      </c>
      <c r="K611" s="35">
        <f>IFERROR((TA[[#This Row],[Sunset Time (POA&lt;20 W/m2)]]-TA[[#This Row],[Sunrise Time (POA&gt;20 W/m2)]])*24,"")</f>
        <v>12.483333333333334</v>
      </c>
      <c r="L611" s="2" t="s">
        <v>294</v>
      </c>
      <c r="M611" s="42">
        <f>IFERROR(VLOOKUP(TA[[#This Row],[Affected Equipment]],'Basic Data'!$I$2:$K$40,3,0),"")</f>
        <v>1.7241379310344799E-3</v>
      </c>
      <c r="N611">
        <v>-28</v>
      </c>
      <c r="O611" t="s">
        <v>137</v>
      </c>
      <c r="P611" s="127" t="s">
        <v>315</v>
      </c>
      <c r="Q611" s="126" t="s">
        <v>319</v>
      </c>
      <c r="R611">
        <v>166</v>
      </c>
      <c r="S611" s="2">
        <v>91</v>
      </c>
      <c r="T611" t="s">
        <v>295</v>
      </c>
      <c r="U611" t="s">
        <v>300</v>
      </c>
      <c r="V611" t="s">
        <v>298</v>
      </c>
      <c r="W611" s="41"/>
      <c r="X611" s="41"/>
      <c r="Y611" s="34"/>
      <c r="Z611" s="34"/>
      <c r="AA611" s="35">
        <f>IF(TA[[#This Row],[Work Start time on Fault]]="NA","",(TA[[#This Row],[Fault Acknowledgement Time ]]-TA[[#This Row],[Fault Time]])*24)</f>
        <v>0</v>
      </c>
      <c r="AB611" s="35">
        <f>(TA[[#This Row],[Work Start time on Fault]]-TA[[#This Row],[Fault Time]])*24</f>
        <v>0</v>
      </c>
      <c r="AC611" s="34">
        <f>(TA[[#This Row],[Work Completion time on fault]]-TA[[#This Row],[Fault Time]])*24</f>
        <v>0</v>
      </c>
      <c r="AD611" s="35">
        <f>IFERROR((TA[[#This Row],[Work Completion time on fault]]-TA[[#This Row],[Fault Time]])*24,"")</f>
        <v>0</v>
      </c>
      <c r="AE611" t="s">
        <v>328</v>
      </c>
      <c r="AF611" t="s">
        <v>256</v>
      </c>
      <c r="AG611" s="2"/>
      <c r="AH611" s="44">
        <f>1-COS(RADIANS(TA[[#This Row],[Avg. Target Angle during Fault Time (Radians)]]-TA[[#This Row],[Angle of affected equipment ]]))</f>
        <v>0.11705240714107301</v>
      </c>
      <c r="AI611" s="35">
        <f>IFERROR(TA[[#This Row],[Breakdown Time]]*TA[[#This Row],[Plant Equivalent Weightage]],"")</f>
        <v>0</v>
      </c>
    </row>
    <row r="612" spans="1:35">
      <c r="A612" s="2">
        <f t="shared" si="29"/>
        <v>609</v>
      </c>
      <c r="B612" s="156">
        <f t="shared" si="34"/>
        <v>2026</v>
      </c>
      <c r="C612" s="129">
        <f t="shared" si="35"/>
        <v>2025</v>
      </c>
      <c r="D612" s="2" t="s">
        <v>155</v>
      </c>
      <c r="E612" s="2" t="s">
        <v>155</v>
      </c>
      <c r="F612" s="39">
        <v>45778</v>
      </c>
      <c r="G612" s="2">
        <f>DAY(EOMONTH(TA[[#This Row],[Month Year]],0))</f>
        <v>31</v>
      </c>
      <c r="H612" s="21">
        <v>45786</v>
      </c>
      <c r="I612" s="41">
        <f>IFERROR(VLOOKUP(TA[[#This Row],[Date]],Raw_Data[[Date]:[Sunset Time (POA&lt;20 W/m2)]],3,0),"")</f>
        <v>0.25</v>
      </c>
      <c r="J612" s="41">
        <f>IFERROR(VLOOKUP(TA[[#This Row],[Date]],Raw_Data[[Date]:[Sunset Time (POA&lt;20 W/m2)]],4,0),"")</f>
        <v>0.77013888888888893</v>
      </c>
      <c r="K612" s="35">
        <f>IFERROR((TA[[#This Row],[Sunset Time (POA&lt;20 W/m2)]]-TA[[#This Row],[Sunrise Time (POA&gt;20 W/m2)]])*24,"")</f>
        <v>12.483333333333334</v>
      </c>
      <c r="L612" s="2" t="s">
        <v>294</v>
      </c>
      <c r="M612" s="42">
        <f>IFERROR(VLOOKUP(TA[[#This Row],[Affected Equipment]],'Basic Data'!$I$2:$K$40,3,0),"")</f>
        <v>1.7241379310344799E-3</v>
      </c>
      <c r="N612">
        <v>-28</v>
      </c>
      <c r="O612" t="s">
        <v>133</v>
      </c>
      <c r="P612" s="127" t="s">
        <v>316</v>
      </c>
      <c r="Q612" s="126" t="s">
        <v>316</v>
      </c>
      <c r="R612">
        <v>117</v>
      </c>
      <c r="S612" s="2">
        <v>20</v>
      </c>
      <c r="T612" t="s">
        <v>295</v>
      </c>
      <c r="U612" t="s">
        <v>300</v>
      </c>
      <c r="V612" t="s">
        <v>298</v>
      </c>
      <c r="W612" s="41"/>
      <c r="X612" s="41"/>
      <c r="Y612" s="34"/>
      <c r="Z612" s="34"/>
      <c r="AA612" s="35">
        <f>IF(TA[[#This Row],[Work Start time on Fault]]="NA","",(TA[[#This Row],[Fault Acknowledgement Time ]]-TA[[#This Row],[Fault Time]])*24)</f>
        <v>0</v>
      </c>
      <c r="AB612" s="35">
        <f>(TA[[#This Row],[Work Start time on Fault]]-TA[[#This Row],[Fault Time]])*24</f>
        <v>0</v>
      </c>
      <c r="AC612" s="34">
        <f>(TA[[#This Row],[Work Completion time on fault]]-TA[[#This Row],[Fault Time]])*24</f>
        <v>0</v>
      </c>
      <c r="AD612" s="35">
        <f>IFERROR((TA[[#This Row],[Work Completion time on fault]]-TA[[#This Row],[Fault Time]])*24,"")</f>
        <v>0</v>
      </c>
      <c r="AE612" t="s">
        <v>328</v>
      </c>
      <c r="AF612" t="s">
        <v>256</v>
      </c>
      <c r="AG612" s="2"/>
      <c r="AH612" s="44">
        <f>1-COS(RADIANS(TA[[#This Row],[Avg. Target Angle during Fault Time (Radians)]]-TA[[#This Row],[Angle of affected equipment ]]))</f>
        <v>0.11705240714107301</v>
      </c>
      <c r="AI612" s="35">
        <f>IFERROR(TA[[#This Row],[Breakdown Time]]*TA[[#This Row],[Plant Equivalent Weightage]],"")</f>
        <v>0</v>
      </c>
    </row>
    <row r="613" spans="1:35">
      <c r="A613" s="2">
        <f t="shared" si="29"/>
        <v>610</v>
      </c>
      <c r="B613" s="156">
        <f t="shared" si="34"/>
        <v>2026</v>
      </c>
      <c r="C613" s="129">
        <f t="shared" si="35"/>
        <v>2025</v>
      </c>
      <c r="D613" s="2" t="s">
        <v>155</v>
      </c>
      <c r="E613" s="2" t="s">
        <v>155</v>
      </c>
      <c r="F613" s="39">
        <v>45778</v>
      </c>
      <c r="G613" s="2">
        <f>DAY(EOMONTH(TA[[#This Row],[Month Year]],0))</f>
        <v>31</v>
      </c>
      <c r="H613" s="21">
        <v>45786</v>
      </c>
      <c r="I613" s="41">
        <f>IFERROR(VLOOKUP(TA[[#This Row],[Date]],Raw_Data[[Date]:[Sunset Time (POA&lt;20 W/m2)]],3,0),"")</f>
        <v>0.25</v>
      </c>
      <c r="J613" s="41">
        <f>IFERROR(VLOOKUP(TA[[#This Row],[Date]],Raw_Data[[Date]:[Sunset Time (POA&lt;20 W/m2)]],4,0),"")</f>
        <v>0.77013888888888893</v>
      </c>
      <c r="K613" s="35">
        <f>IFERROR((TA[[#This Row],[Sunset Time (POA&lt;20 W/m2)]]-TA[[#This Row],[Sunrise Time (POA&gt;20 W/m2)]])*24,"")</f>
        <v>12.483333333333334</v>
      </c>
      <c r="L613" s="2" t="s">
        <v>294</v>
      </c>
      <c r="M613" s="42">
        <f>IFERROR(VLOOKUP(TA[[#This Row],[Affected Equipment]],'Basic Data'!$I$2:$K$40,3,0),"")</f>
        <v>1.7241379310344799E-3</v>
      </c>
      <c r="N613">
        <v>-28</v>
      </c>
      <c r="O613" t="s">
        <v>133</v>
      </c>
      <c r="P613" s="127" t="s">
        <v>316</v>
      </c>
      <c r="Q613" s="126" t="s">
        <v>316</v>
      </c>
      <c r="R613">
        <v>118</v>
      </c>
      <c r="S613" s="2">
        <v>22</v>
      </c>
      <c r="T613" t="s">
        <v>295</v>
      </c>
      <c r="U613" t="s">
        <v>300</v>
      </c>
      <c r="V613" t="s">
        <v>298</v>
      </c>
      <c r="W613" s="41"/>
      <c r="X613" s="41"/>
      <c r="Y613" s="34"/>
      <c r="Z613" s="34"/>
      <c r="AA613" s="35">
        <f>IF(TA[[#This Row],[Work Start time on Fault]]="NA","",(TA[[#This Row],[Fault Acknowledgement Time ]]-TA[[#This Row],[Fault Time]])*24)</f>
        <v>0</v>
      </c>
      <c r="AB613" s="35">
        <f>(TA[[#This Row],[Work Start time on Fault]]-TA[[#This Row],[Fault Time]])*24</f>
        <v>0</v>
      </c>
      <c r="AC613" s="34">
        <f>(TA[[#This Row],[Work Completion time on fault]]-TA[[#This Row],[Fault Time]])*24</f>
        <v>0</v>
      </c>
      <c r="AD613" s="35">
        <f>IFERROR((TA[[#This Row],[Work Completion time on fault]]-TA[[#This Row],[Fault Time]])*24,"")</f>
        <v>0</v>
      </c>
      <c r="AE613" t="s">
        <v>328</v>
      </c>
      <c r="AF613" t="s">
        <v>256</v>
      </c>
      <c r="AG613" s="2"/>
      <c r="AH613" s="44">
        <f>1-COS(RADIANS(TA[[#This Row],[Avg. Target Angle during Fault Time (Radians)]]-TA[[#This Row],[Angle of affected equipment ]]))</f>
        <v>0.11705240714107301</v>
      </c>
      <c r="AI613" s="35">
        <f>IFERROR(TA[[#This Row],[Breakdown Time]]*TA[[#This Row],[Plant Equivalent Weightage]],"")</f>
        <v>0</v>
      </c>
    </row>
    <row r="614" spans="1:35">
      <c r="A614" s="2">
        <f t="shared" si="29"/>
        <v>611</v>
      </c>
      <c r="B614" s="156">
        <f t="shared" si="34"/>
        <v>2026</v>
      </c>
      <c r="C614" s="129">
        <f t="shared" si="35"/>
        <v>2025</v>
      </c>
      <c r="D614" s="2" t="s">
        <v>155</v>
      </c>
      <c r="E614" s="2" t="s">
        <v>155</v>
      </c>
      <c r="F614" s="39">
        <v>45778</v>
      </c>
      <c r="G614" s="2">
        <f>DAY(EOMONTH(TA[[#This Row],[Month Year]],0))</f>
        <v>31</v>
      </c>
      <c r="H614" s="21">
        <v>45786</v>
      </c>
      <c r="I614" s="41">
        <f>IFERROR(VLOOKUP(TA[[#This Row],[Date]],Raw_Data[[Date]:[Sunset Time (POA&lt;20 W/m2)]],3,0),"")</f>
        <v>0.25</v>
      </c>
      <c r="J614" s="41">
        <f>IFERROR(VLOOKUP(TA[[#This Row],[Date]],Raw_Data[[Date]:[Sunset Time (POA&lt;20 W/m2)]],4,0),"")</f>
        <v>0.77013888888888893</v>
      </c>
      <c r="K614" s="35">
        <f>IFERROR((TA[[#This Row],[Sunset Time (POA&lt;20 W/m2)]]-TA[[#This Row],[Sunrise Time (POA&gt;20 W/m2)]])*24,"")</f>
        <v>12.483333333333334</v>
      </c>
      <c r="L614" s="2" t="s">
        <v>296</v>
      </c>
      <c r="M614" s="42">
        <f>IFERROR(VLOOKUP(TA[[#This Row],[Affected Equipment]],'Basic Data'!$I$2:$K$40,3,0),"")</f>
        <v>8.6206896551724102E-3</v>
      </c>
      <c r="N614">
        <v>-28</v>
      </c>
      <c r="O614" t="s">
        <v>135</v>
      </c>
      <c r="P614" s="22" t="s">
        <v>323</v>
      </c>
      <c r="Q614" s="2" t="s">
        <v>329</v>
      </c>
      <c r="R614">
        <v>45</v>
      </c>
      <c r="S614" s="2">
        <v>8</v>
      </c>
      <c r="T614" t="s">
        <v>297</v>
      </c>
      <c r="U614" t="s">
        <v>300</v>
      </c>
      <c r="V614" t="s">
        <v>301</v>
      </c>
      <c r="W614" s="41"/>
      <c r="X614" s="41"/>
      <c r="Y614" s="34"/>
      <c r="Z614" s="34"/>
      <c r="AA614" s="35">
        <f>IF(TA[[#This Row],[Work Start time on Fault]]="NA","",(TA[[#This Row],[Fault Acknowledgement Time ]]-TA[[#This Row],[Fault Time]])*24)</f>
        <v>0</v>
      </c>
      <c r="AB614" s="35">
        <f>(TA[[#This Row],[Work Start time on Fault]]-TA[[#This Row],[Fault Time]])*24</f>
        <v>0</v>
      </c>
      <c r="AC614" s="34">
        <f>(TA[[#This Row],[Work Completion time on fault]]-TA[[#This Row],[Fault Time]])*24</f>
        <v>0</v>
      </c>
      <c r="AD614" s="35">
        <f>IFERROR((TA[[#This Row],[Work Completion time on fault]]-TA[[#This Row],[Fault Time]])*24,"")</f>
        <v>0</v>
      </c>
      <c r="AE614" t="s">
        <v>328</v>
      </c>
      <c r="AF614" t="s">
        <v>256</v>
      </c>
      <c r="AG614" s="2"/>
      <c r="AH614" s="44">
        <f>1-COS(RADIANS(TA[[#This Row],[Avg. Target Angle during Fault Time (Radians)]]-TA[[#This Row],[Angle of affected equipment ]]))</f>
        <v>0.11705240714107301</v>
      </c>
      <c r="AI614" s="35">
        <f>IFERROR(TA[[#This Row],[Breakdown Time]]*TA[[#This Row],[Plant Equivalent Weightage]],"")</f>
        <v>0</v>
      </c>
    </row>
    <row r="615" spans="1:35">
      <c r="A615" s="2">
        <f t="shared" ref="A615:A678" si="36">A614+1</f>
        <v>612</v>
      </c>
      <c r="B615" s="156">
        <f t="shared" si="34"/>
        <v>2026</v>
      </c>
      <c r="C615" s="129">
        <f t="shared" si="35"/>
        <v>2025</v>
      </c>
      <c r="D615" s="2" t="s">
        <v>155</v>
      </c>
      <c r="E615" s="2" t="s">
        <v>155</v>
      </c>
      <c r="F615" s="39">
        <v>45778</v>
      </c>
      <c r="G615" s="2">
        <f>DAY(EOMONTH(TA[[#This Row],[Month Year]],0))</f>
        <v>31</v>
      </c>
      <c r="H615" s="21">
        <v>45786</v>
      </c>
      <c r="I615" s="41">
        <f>IFERROR(VLOOKUP(TA[[#This Row],[Date]],Raw_Data[[Date]:[Sunset Time (POA&lt;20 W/m2)]],3,0),"")</f>
        <v>0.25</v>
      </c>
      <c r="J615" s="41">
        <f>IFERROR(VLOOKUP(TA[[#This Row],[Date]],Raw_Data[[Date]:[Sunset Time (POA&lt;20 W/m2)]],4,0),"")</f>
        <v>0.77013888888888893</v>
      </c>
      <c r="K615" s="35">
        <f>IFERROR((TA[[#This Row],[Sunset Time (POA&lt;20 W/m2)]]-TA[[#This Row],[Sunrise Time (POA&gt;20 W/m2)]])*24,"")</f>
        <v>12.483333333333334</v>
      </c>
      <c r="L615" s="2" t="s">
        <v>296</v>
      </c>
      <c r="M615" s="42">
        <f>IFERROR(VLOOKUP(TA[[#This Row],[Affected Equipment]],'Basic Data'!$I$2:$K$40,3,0),"")</f>
        <v>8.6206896551724102E-3</v>
      </c>
      <c r="N615">
        <v>-28</v>
      </c>
      <c r="O615" t="s">
        <v>135</v>
      </c>
      <c r="P615" s="22" t="s">
        <v>323</v>
      </c>
      <c r="Q615" s="2" t="s">
        <v>329</v>
      </c>
      <c r="R615">
        <v>47</v>
      </c>
      <c r="S615" s="2">
        <v>18</v>
      </c>
      <c r="T615" t="s">
        <v>297</v>
      </c>
      <c r="U615" t="s">
        <v>300</v>
      </c>
      <c r="V615" t="s">
        <v>301</v>
      </c>
      <c r="W615" s="41"/>
      <c r="X615" s="41"/>
      <c r="Y615" s="34"/>
      <c r="Z615" s="34"/>
      <c r="AA615" s="35">
        <f>IF(TA[[#This Row],[Work Start time on Fault]]="NA","",(TA[[#This Row],[Fault Acknowledgement Time ]]-TA[[#This Row],[Fault Time]])*24)</f>
        <v>0</v>
      </c>
      <c r="AB615" s="35">
        <f>(TA[[#This Row],[Work Start time on Fault]]-TA[[#This Row],[Fault Time]])*24</f>
        <v>0</v>
      </c>
      <c r="AC615" s="34">
        <f>(TA[[#This Row],[Work Completion time on fault]]-TA[[#This Row],[Fault Time]])*24</f>
        <v>0</v>
      </c>
      <c r="AD615" s="35">
        <f>IFERROR((TA[[#This Row],[Work Completion time on fault]]-TA[[#This Row],[Fault Time]])*24,"")</f>
        <v>0</v>
      </c>
      <c r="AE615" t="s">
        <v>328</v>
      </c>
      <c r="AF615" t="s">
        <v>256</v>
      </c>
      <c r="AG615" s="2"/>
      <c r="AH615" s="44">
        <f>1-COS(RADIANS(TA[[#This Row],[Avg. Target Angle during Fault Time (Radians)]]-TA[[#This Row],[Angle of affected equipment ]]))</f>
        <v>0.11705240714107301</v>
      </c>
      <c r="AI615" s="35">
        <f>IFERROR(TA[[#This Row],[Breakdown Time]]*TA[[#This Row],[Plant Equivalent Weightage]],"")</f>
        <v>0</v>
      </c>
    </row>
    <row r="616" spans="1:35">
      <c r="A616" s="2">
        <f t="shared" si="36"/>
        <v>613</v>
      </c>
      <c r="B616" s="156">
        <f t="shared" si="34"/>
        <v>2026</v>
      </c>
      <c r="C616" s="129">
        <f t="shared" si="35"/>
        <v>2025</v>
      </c>
      <c r="D616" s="2" t="s">
        <v>155</v>
      </c>
      <c r="E616" s="2" t="s">
        <v>155</v>
      </c>
      <c r="F616" s="39">
        <v>45778</v>
      </c>
      <c r="G616" s="2">
        <f>DAY(EOMONTH(TA[[#This Row],[Month Year]],0))</f>
        <v>31</v>
      </c>
      <c r="H616" s="21">
        <v>45786</v>
      </c>
      <c r="I616" s="41">
        <f>IFERROR(VLOOKUP(TA[[#This Row],[Date]],Raw_Data[[Date]:[Sunset Time (POA&lt;20 W/m2)]],3,0),"")</f>
        <v>0.25</v>
      </c>
      <c r="J616" s="41">
        <f>IFERROR(VLOOKUP(TA[[#This Row],[Date]],Raw_Data[[Date]:[Sunset Time (POA&lt;20 W/m2)]],4,0),"")</f>
        <v>0.77013888888888893</v>
      </c>
      <c r="K616" s="35">
        <f>IFERROR((TA[[#This Row],[Sunset Time (POA&lt;20 W/m2)]]-TA[[#This Row],[Sunrise Time (POA&gt;20 W/m2)]])*24,"")</f>
        <v>12.483333333333334</v>
      </c>
      <c r="L616" s="2" t="s">
        <v>296</v>
      </c>
      <c r="M616" s="42">
        <f>IFERROR(VLOOKUP(TA[[#This Row],[Affected Equipment]],'Basic Data'!$I$2:$K$40,3,0),"")</f>
        <v>8.6206896551724102E-3</v>
      </c>
      <c r="N616">
        <v>-28</v>
      </c>
      <c r="O616" t="s">
        <v>134</v>
      </c>
      <c r="P616" s="22" t="s">
        <v>330</v>
      </c>
      <c r="Q616" s="2" t="s">
        <v>323</v>
      </c>
      <c r="R616">
        <v>30</v>
      </c>
      <c r="S616" s="2">
        <v>57</v>
      </c>
      <c r="T616" t="s">
        <v>297</v>
      </c>
      <c r="U616" t="s">
        <v>300</v>
      </c>
      <c r="V616" t="s">
        <v>301</v>
      </c>
      <c r="W616" s="41"/>
      <c r="X616" s="41"/>
      <c r="Y616" s="34"/>
      <c r="Z616" s="34"/>
      <c r="AA616" s="35">
        <f>IF(TA[[#This Row],[Work Start time on Fault]]="NA","",(TA[[#This Row],[Fault Acknowledgement Time ]]-TA[[#This Row],[Fault Time]])*24)</f>
        <v>0</v>
      </c>
      <c r="AB616" s="35">
        <f>(TA[[#This Row],[Work Start time on Fault]]-TA[[#This Row],[Fault Time]])*24</f>
        <v>0</v>
      </c>
      <c r="AC616" s="34">
        <f>(TA[[#This Row],[Work Completion time on fault]]-TA[[#This Row],[Fault Time]])*24</f>
        <v>0</v>
      </c>
      <c r="AD616" s="35">
        <f>IFERROR((TA[[#This Row],[Work Completion time on fault]]-TA[[#This Row],[Fault Time]])*24,"")</f>
        <v>0</v>
      </c>
      <c r="AE616" t="s">
        <v>328</v>
      </c>
      <c r="AF616" t="s">
        <v>256</v>
      </c>
      <c r="AG616" s="2"/>
      <c r="AH616" s="44">
        <f>1-COS(RADIANS(TA[[#This Row],[Avg. Target Angle during Fault Time (Radians)]]-TA[[#This Row],[Angle of affected equipment ]]))</f>
        <v>0.11705240714107301</v>
      </c>
      <c r="AI616" s="35">
        <f>IFERROR(TA[[#This Row],[Breakdown Time]]*TA[[#This Row],[Plant Equivalent Weightage]],"")</f>
        <v>0</v>
      </c>
    </row>
    <row r="617" spans="1:35">
      <c r="A617" s="2">
        <f t="shared" si="36"/>
        <v>614</v>
      </c>
      <c r="B617" s="156">
        <f t="shared" si="34"/>
        <v>2026</v>
      </c>
      <c r="C617" s="129">
        <f t="shared" si="35"/>
        <v>2025</v>
      </c>
      <c r="D617" s="2" t="s">
        <v>155</v>
      </c>
      <c r="E617" s="2" t="s">
        <v>155</v>
      </c>
      <c r="F617" s="39">
        <v>45778</v>
      </c>
      <c r="G617" s="2">
        <f>DAY(EOMONTH(TA[[#This Row],[Month Year]],0))</f>
        <v>31</v>
      </c>
      <c r="H617" s="21">
        <v>45786</v>
      </c>
      <c r="I617" s="41">
        <f>IFERROR(VLOOKUP(TA[[#This Row],[Date]],Raw_Data[[Date]:[Sunset Time (POA&lt;20 W/m2)]],3,0),"")</f>
        <v>0.25</v>
      </c>
      <c r="J617" s="41">
        <f>IFERROR(VLOOKUP(TA[[#This Row],[Date]],Raw_Data[[Date]:[Sunset Time (POA&lt;20 W/m2)]],4,0),"")</f>
        <v>0.77013888888888893</v>
      </c>
      <c r="K617" s="35">
        <f>IFERROR((TA[[#This Row],[Sunset Time (POA&lt;20 W/m2)]]-TA[[#This Row],[Sunrise Time (POA&gt;20 W/m2)]])*24,"")</f>
        <v>12.483333333333334</v>
      </c>
      <c r="L617" s="2" t="s">
        <v>296</v>
      </c>
      <c r="M617" s="42">
        <f>IFERROR(VLOOKUP(TA[[#This Row],[Affected Equipment]],'Basic Data'!$I$2:$K$40,3,0),"")</f>
        <v>8.6206896551724102E-3</v>
      </c>
      <c r="N617">
        <v>-28</v>
      </c>
      <c r="O617" t="s">
        <v>134</v>
      </c>
      <c r="P617" s="22" t="s">
        <v>330</v>
      </c>
      <c r="Q617" s="2" t="s">
        <v>323</v>
      </c>
      <c r="R617">
        <v>31</v>
      </c>
      <c r="S617" s="2">
        <v>61</v>
      </c>
      <c r="T617" t="s">
        <v>297</v>
      </c>
      <c r="U617" t="s">
        <v>300</v>
      </c>
      <c r="V617" t="s">
        <v>301</v>
      </c>
      <c r="W617" s="41"/>
      <c r="X617" s="41"/>
      <c r="Y617" s="34"/>
      <c r="Z617" s="34"/>
      <c r="AA617" s="35">
        <f>IF(TA[[#This Row],[Work Start time on Fault]]="NA","",(TA[[#This Row],[Fault Acknowledgement Time ]]-TA[[#This Row],[Fault Time]])*24)</f>
        <v>0</v>
      </c>
      <c r="AB617" s="35">
        <f>(TA[[#This Row],[Work Start time on Fault]]-TA[[#This Row],[Fault Time]])*24</f>
        <v>0</v>
      </c>
      <c r="AC617" s="34">
        <f>(TA[[#This Row],[Work Completion time on fault]]-TA[[#This Row],[Fault Time]])*24</f>
        <v>0</v>
      </c>
      <c r="AD617" s="35">
        <f>IFERROR((TA[[#This Row],[Work Completion time on fault]]-TA[[#This Row],[Fault Time]])*24,"")</f>
        <v>0</v>
      </c>
      <c r="AE617" t="s">
        <v>328</v>
      </c>
      <c r="AF617" t="s">
        <v>256</v>
      </c>
      <c r="AG617" s="2"/>
      <c r="AH617" s="44">
        <f>1-COS(RADIANS(TA[[#This Row],[Avg. Target Angle during Fault Time (Radians)]]-TA[[#This Row],[Angle of affected equipment ]]))</f>
        <v>0.11705240714107301</v>
      </c>
      <c r="AI617" s="35">
        <f>IFERROR(TA[[#This Row],[Breakdown Time]]*TA[[#This Row],[Plant Equivalent Weightage]],"")</f>
        <v>0</v>
      </c>
    </row>
    <row r="618" spans="1:35">
      <c r="A618" s="2">
        <f t="shared" si="36"/>
        <v>615</v>
      </c>
      <c r="B618" s="156">
        <f t="shared" si="34"/>
        <v>2026</v>
      </c>
      <c r="C618" s="129">
        <f t="shared" si="35"/>
        <v>2025</v>
      </c>
      <c r="D618" s="2" t="s">
        <v>155</v>
      </c>
      <c r="E618" s="2" t="s">
        <v>155</v>
      </c>
      <c r="F618" s="39">
        <v>45778</v>
      </c>
      <c r="G618" s="2">
        <f>DAY(EOMONTH(TA[[#This Row],[Month Year]],0))</f>
        <v>31</v>
      </c>
      <c r="H618" s="21">
        <v>45786</v>
      </c>
      <c r="I618" s="41">
        <f>IFERROR(VLOOKUP(TA[[#This Row],[Date]],Raw_Data[[Date]:[Sunset Time (POA&lt;20 W/m2)]],3,0),"")</f>
        <v>0.25</v>
      </c>
      <c r="J618" s="41">
        <f>IFERROR(VLOOKUP(TA[[#This Row],[Date]],Raw_Data[[Date]:[Sunset Time (POA&lt;20 W/m2)]],4,0),"")</f>
        <v>0.77013888888888893</v>
      </c>
      <c r="K618" s="35">
        <f>IFERROR((TA[[#This Row],[Sunset Time (POA&lt;20 W/m2)]]-TA[[#This Row],[Sunrise Time (POA&gt;20 W/m2)]])*24,"")</f>
        <v>12.483333333333334</v>
      </c>
      <c r="L618" s="2" t="s">
        <v>312</v>
      </c>
      <c r="M618" s="42">
        <f>IFERROR(VLOOKUP(TA[[#This Row],[Affected Equipment]],'Basic Data'!$I$2:$K$40,3,0),"")</f>
        <v>5.74712643678161E-3</v>
      </c>
      <c r="N618">
        <v>-28</v>
      </c>
      <c r="O618" t="s">
        <v>133</v>
      </c>
      <c r="P618" s="22" t="s">
        <v>330</v>
      </c>
      <c r="Q618" s="2" t="s">
        <v>323</v>
      </c>
      <c r="R618">
        <v>26</v>
      </c>
      <c r="S618" s="2">
        <v>37</v>
      </c>
      <c r="T618" t="s">
        <v>297</v>
      </c>
      <c r="U618" t="s">
        <v>300</v>
      </c>
      <c r="V618" t="s">
        <v>301</v>
      </c>
      <c r="W618" s="41"/>
      <c r="X618" s="41"/>
      <c r="Y618" s="34"/>
      <c r="Z618" s="34"/>
      <c r="AA618" s="35">
        <f>IF(TA[[#This Row],[Work Start time on Fault]]="NA","",(TA[[#This Row],[Fault Acknowledgement Time ]]-TA[[#This Row],[Fault Time]])*24)</f>
        <v>0</v>
      </c>
      <c r="AB618" s="35">
        <f>(TA[[#This Row],[Work Start time on Fault]]-TA[[#This Row],[Fault Time]])*24</f>
        <v>0</v>
      </c>
      <c r="AC618" s="34">
        <f>(TA[[#This Row],[Work Completion time on fault]]-TA[[#This Row],[Fault Time]])*24</f>
        <v>0</v>
      </c>
      <c r="AD618" s="35">
        <f>IFERROR((TA[[#This Row],[Work Completion time on fault]]-TA[[#This Row],[Fault Time]])*24,"")</f>
        <v>0</v>
      </c>
      <c r="AE618" t="s">
        <v>328</v>
      </c>
      <c r="AF618" t="s">
        <v>256</v>
      </c>
      <c r="AG618" s="2"/>
      <c r="AH618" s="44">
        <f>1-COS(RADIANS(TA[[#This Row],[Avg. Target Angle during Fault Time (Radians)]]-TA[[#This Row],[Angle of affected equipment ]]))</f>
        <v>0.11705240714107301</v>
      </c>
      <c r="AI618" s="35">
        <f>IFERROR(TA[[#This Row],[Breakdown Time]]*TA[[#This Row],[Plant Equivalent Weightage]],"")</f>
        <v>0</v>
      </c>
    </row>
    <row r="619" spans="1:35">
      <c r="A619" s="2">
        <f t="shared" si="36"/>
        <v>616</v>
      </c>
      <c r="B619" s="156">
        <f t="shared" si="34"/>
        <v>2026</v>
      </c>
      <c r="C619" s="129">
        <f t="shared" si="35"/>
        <v>2025</v>
      </c>
      <c r="D619" s="2" t="s">
        <v>155</v>
      </c>
      <c r="E619" s="2" t="s">
        <v>155</v>
      </c>
      <c r="F619" s="39">
        <v>45778</v>
      </c>
      <c r="G619" s="2">
        <f>DAY(EOMONTH(TA[[#This Row],[Month Year]],0))</f>
        <v>31</v>
      </c>
      <c r="H619" s="21">
        <v>45786</v>
      </c>
      <c r="I619" s="41">
        <f>IFERROR(VLOOKUP(TA[[#This Row],[Date]],Raw_Data[[Date]:[Sunset Time (POA&lt;20 W/m2)]],3,0),"")</f>
        <v>0.25</v>
      </c>
      <c r="J619" s="41">
        <f>IFERROR(VLOOKUP(TA[[#This Row],[Date]],Raw_Data[[Date]:[Sunset Time (POA&lt;20 W/m2)]],4,0),"")</f>
        <v>0.77013888888888893</v>
      </c>
      <c r="K619" s="35">
        <f>IFERROR((TA[[#This Row],[Sunset Time (POA&lt;20 W/m2)]]-TA[[#This Row],[Sunrise Time (POA&gt;20 W/m2)]])*24,"")</f>
        <v>12.483333333333334</v>
      </c>
      <c r="L619" s="2" t="s">
        <v>312</v>
      </c>
      <c r="M619" s="42">
        <f>IFERROR(VLOOKUP(TA[[#This Row],[Affected Equipment]],'Basic Data'!$I$2:$K$40,3,0),"")</f>
        <v>5.74712643678161E-3</v>
      </c>
      <c r="N619">
        <v>-28</v>
      </c>
      <c r="O619" t="s">
        <v>133</v>
      </c>
      <c r="P619" s="22" t="s">
        <v>330</v>
      </c>
      <c r="Q619" s="2" t="s">
        <v>323</v>
      </c>
      <c r="R619">
        <v>27</v>
      </c>
      <c r="S619" s="2">
        <v>42</v>
      </c>
      <c r="T619" t="s">
        <v>297</v>
      </c>
      <c r="U619" t="s">
        <v>300</v>
      </c>
      <c r="V619" t="s">
        <v>301</v>
      </c>
      <c r="W619" s="41">
        <f>IFERROR(VLOOKUP(TA[[#This Row],[Date]],Raw_Data[[Date]:[Sunset Time (POA&lt;20 W/m2)]],3,0),"")</f>
        <v>0.25</v>
      </c>
      <c r="X619" s="41">
        <f>IFERROR(VLOOKUP(TA[[#This Row],[Date]],Raw_Data[[Date]:[Sunset Time (POA&lt;20 W/m2)]],3,0),"")</f>
        <v>0.25</v>
      </c>
      <c r="Y619" s="34"/>
      <c r="Z619" s="34">
        <v>0.76041666666666663</v>
      </c>
      <c r="AA619" s="35">
        <f>IF(TA[[#This Row],[Work Start time on Fault]]="NA","",(TA[[#This Row],[Fault Acknowledgement Time ]]-TA[[#This Row],[Fault Time]])*24)</f>
        <v>0</v>
      </c>
      <c r="AB619" s="35">
        <f>(TA[[#This Row],[Work Start time on Fault]]-TA[[#This Row],[Fault Time]])*24</f>
        <v>-6</v>
      </c>
      <c r="AC619" s="34">
        <f>(TA[[#This Row],[Work Completion time on fault]]-TA[[#This Row],[Fault Time]])*24</f>
        <v>12.25</v>
      </c>
      <c r="AD619" s="35">
        <f>IFERROR((TA[[#This Row],[Work Completion time on fault]]-TA[[#This Row],[Fault Time]])*24,"")</f>
        <v>12.25</v>
      </c>
      <c r="AE619" t="s">
        <v>309</v>
      </c>
      <c r="AF619" t="s">
        <v>256</v>
      </c>
      <c r="AG619" s="2"/>
      <c r="AH619" s="44">
        <f>1-COS(RADIANS(TA[[#This Row],[Avg. Target Angle during Fault Time (Radians)]]-TA[[#This Row],[Angle of affected equipment ]]))</f>
        <v>0.11705240714107301</v>
      </c>
      <c r="AI619" s="35">
        <f>IFERROR(TA[[#This Row],[Breakdown Time]]*TA[[#This Row],[Plant Equivalent Weightage]],"")</f>
        <v>7.0402298850574724E-2</v>
      </c>
    </row>
    <row r="620" spans="1:35">
      <c r="A620" s="2">
        <f t="shared" si="36"/>
        <v>617</v>
      </c>
      <c r="B620" s="156">
        <f t="shared" ref="B620:B633" si="37">YEAR(H620)+IF(MONTH(H620)&gt;=4,1,0)</f>
        <v>2026</v>
      </c>
      <c r="C620" s="129">
        <f t="shared" ref="C620:C633" si="38">YEAR(H620)</f>
        <v>2025</v>
      </c>
      <c r="D620" s="2" t="s">
        <v>155</v>
      </c>
      <c r="E620" s="2" t="s">
        <v>155</v>
      </c>
      <c r="F620" s="39">
        <v>45778</v>
      </c>
      <c r="G620" s="2">
        <f>DAY(EOMONTH(TA[[#This Row],[Month Year]],0))</f>
        <v>31</v>
      </c>
      <c r="H620" s="21">
        <v>45787</v>
      </c>
      <c r="I620" s="41">
        <f>IFERROR(VLOOKUP(TA[[#This Row],[Date]],Raw_Data[[Date]:[Sunset Time (POA&lt;20 W/m2)]],3,0),"")</f>
        <v>0.25208333333333333</v>
      </c>
      <c r="J620" s="41">
        <f>IFERROR(VLOOKUP(TA[[#This Row],[Date]],Raw_Data[[Date]:[Sunset Time (POA&lt;20 W/m2)]],4,0),"")</f>
        <v>0.76736111111111116</v>
      </c>
      <c r="K620" s="35">
        <f>IFERROR((TA[[#This Row],[Sunset Time (POA&lt;20 W/m2)]]-TA[[#This Row],[Sunrise Time (POA&gt;20 W/m2)]])*24,"")</f>
        <v>12.366666666666667</v>
      </c>
      <c r="L620" s="2" t="s">
        <v>294</v>
      </c>
      <c r="M620" s="42">
        <f>IFERROR(VLOOKUP(TA[[#This Row],[Affected Equipment]],'Basic Data'!$I$2:$K$40,3,0),"")</f>
        <v>1.7241379310344799E-3</v>
      </c>
      <c r="N620">
        <v>-28</v>
      </c>
      <c r="O620" t="s">
        <v>135</v>
      </c>
      <c r="P620" s="127" t="s">
        <v>318</v>
      </c>
      <c r="Q620" s="126" t="s">
        <v>318</v>
      </c>
      <c r="R620">
        <v>130</v>
      </c>
      <c r="S620" s="2">
        <v>37</v>
      </c>
      <c r="T620" t="s">
        <v>295</v>
      </c>
      <c r="U620" t="s">
        <v>300</v>
      </c>
      <c r="V620" t="s">
        <v>298</v>
      </c>
      <c r="W620" s="41"/>
      <c r="X620" s="41"/>
      <c r="Y620" s="34"/>
      <c r="Z620" s="34"/>
      <c r="AA620" s="35">
        <f>IF(TA[[#This Row],[Work Start time on Fault]]="NA","",(TA[[#This Row],[Fault Acknowledgement Time ]]-TA[[#This Row],[Fault Time]])*24)</f>
        <v>0</v>
      </c>
      <c r="AB620" s="35">
        <f>(TA[[#This Row],[Work Start time on Fault]]-TA[[#This Row],[Fault Time]])*24</f>
        <v>0</v>
      </c>
      <c r="AC620" s="34">
        <f>(TA[[#This Row],[Work Completion time on fault]]-TA[[#This Row],[Fault Time]])*24</f>
        <v>0</v>
      </c>
      <c r="AD620" s="35">
        <f>IFERROR((TA[[#This Row],[Work Completion time on fault]]-TA[[#This Row],[Fault Time]])*24,"")</f>
        <v>0</v>
      </c>
      <c r="AE620" t="s">
        <v>328</v>
      </c>
      <c r="AF620" t="s">
        <v>256</v>
      </c>
      <c r="AG620" s="2"/>
      <c r="AH620" s="44">
        <f>1-COS(RADIANS(TA[[#This Row],[Avg. Target Angle during Fault Time (Radians)]]-TA[[#This Row],[Angle of affected equipment ]]))</f>
        <v>0.11705240714107301</v>
      </c>
      <c r="AI620" s="35">
        <f>IFERROR(TA[[#This Row],[Breakdown Time]]*TA[[#This Row],[Plant Equivalent Weightage]],"")</f>
        <v>0</v>
      </c>
    </row>
    <row r="621" spans="1:35">
      <c r="A621" s="2">
        <f t="shared" si="36"/>
        <v>618</v>
      </c>
      <c r="B621" s="156">
        <f t="shared" si="37"/>
        <v>2026</v>
      </c>
      <c r="C621" s="129">
        <f t="shared" si="38"/>
        <v>2025</v>
      </c>
      <c r="D621" s="2" t="s">
        <v>155</v>
      </c>
      <c r="E621" s="2" t="s">
        <v>155</v>
      </c>
      <c r="F621" s="39">
        <v>45778</v>
      </c>
      <c r="G621" s="2">
        <f>DAY(EOMONTH(TA[[#This Row],[Month Year]],0))</f>
        <v>31</v>
      </c>
      <c r="H621" s="21">
        <v>45787</v>
      </c>
      <c r="I621" s="41">
        <f>IFERROR(VLOOKUP(TA[[#This Row],[Date]],Raw_Data[[Date]:[Sunset Time (POA&lt;20 W/m2)]],3,0),"")</f>
        <v>0.25208333333333333</v>
      </c>
      <c r="J621" s="41">
        <f>IFERROR(VLOOKUP(TA[[#This Row],[Date]],Raw_Data[[Date]:[Sunset Time (POA&lt;20 W/m2)]],4,0),"")</f>
        <v>0.76736111111111116</v>
      </c>
      <c r="K621" s="35">
        <f>IFERROR((TA[[#This Row],[Sunset Time (POA&lt;20 W/m2)]]-TA[[#This Row],[Sunrise Time (POA&gt;20 W/m2)]])*24,"")</f>
        <v>12.366666666666667</v>
      </c>
      <c r="L621" s="2" t="s">
        <v>294</v>
      </c>
      <c r="M621" s="42">
        <f>IFERROR(VLOOKUP(TA[[#This Row],[Affected Equipment]],'Basic Data'!$I$2:$K$40,3,0),"")</f>
        <v>1.7241379310344799E-3</v>
      </c>
      <c r="N621">
        <v>-28</v>
      </c>
      <c r="O621" t="s">
        <v>135</v>
      </c>
      <c r="P621" s="127" t="s">
        <v>318</v>
      </c>
      <c r="Q621" s="126" t="s">
        <v>318</v>
      </c>
      <c r="R621">
        <v>131</v>
      </c>
      <c r="S621" s="2">
        <v>38</v>
      </c>
      <c r="T621" t="s">
        <v>295</v>
      </c>
      <c r="U621" t="s">
        <v>300</v>
      </c>
      <c r="V621" t="s">
        <v>298</v>
      </c>
      <c r="W621" s="41"/>
      <c r="X621" s="41"/>
      <c r="Y621" s="34"/>
      <c r="Z621" s="34"/>
      <c r="AA621" s="35">
        <f>IF(TA[[#This Row],[Work Start time on Fault]]="NA","",(TA[[#This Row],[Fault Acknowledgement Time ]]-TA[[#This Row],[Fault Time]])*24)</f>
        <v>0</v>
      </c>
      <c r="AB621" s="35">
        <f>(TA[[#This Row],[Work Start time on Fault]]-TA[[#This Row],[Fault Time]])*24</f>
        <v>0</v>
      </c>
      <c r="AC621" s="34">
        <f>(TA[[#This Row],[Work Completion time on fault]]-TA[[#This Row],[Fault Time]])*24</f>
        <v>0</v>
      </c>
      <c r="AD621" s="35">
        <f>IFERROR((TA[[#This Row],[Work Completion time on fault]]-TA[[#This Row],[Fault Time]])*24,"")</f>
        <v>0</v>
      </c>
      <c r="AE621" t="s">
        <v>328</v>
      </c>
      <c r="AF621" t="s">
        <v>256</v>
      </c>
      <c r="AG621" s="2"/>
      <c r="AH621" s="44">
        <f>1-COS(RADIANS(TA[[#This Row],[Avg. Target Angle during Fault Time (Radians)]]-TA[[#This Row],[Angle of affected equipment ]]))</f>
        <v>0.11705240714107301</v>
      </c>
      <c r="AI621" s="35">
        <f>IFERROR(TA[[#This Row],[Breakdown Time]]*TA[[#This Row],[Plant Equivalent Weightage]],"")</f>
        <v>0</v>
      </c>
    </row>
    <row r="622" spans="1:35">
      <c r="A622" s="2">
        <f t="shared" si="36"/>
        <v>619</v>
      </c>
      <c r="B622" s="156">
        <f t="shared" si="37"/>
        <v>2026</v>
      </c>
      <c r="C622" s="129">
        <f t="shared" si="38"/>
        <v>2025</v>
      </c>
      <c r="D622" s="2" t="s">
        <v>155</v>
      </c>
      <c r="E622" s="2" t="s">
        <v>155</v>
      </c>
      <c r="F622" s="39">
        <v>45778</v>
      </c>
      <c r="G622" s="2">
        <f>DAY(EOMONTH(TA[[#This Row],[Month Year]],0))</f>
        <v>31</v>
      </c>
      <c r="H622" s="21">
        <v>45787</v>
      </c>
      <c r="I622" s="41">
        <f>IFERROR(VLOOKUP(TA[[#This Row],[Date]],Raw_Data[[Date]:[Sunset Time (POA&lt;20 W/m2)]],3,0),"")</f>
        <v>0.25208333333333333</v>
      </c>
      <c r="J622" s="41">
        <f>IFERROR(VLOOKUP(TA[[#This Row],[Date]],Raw_Data[[Date]:[Sunset Time (POA&lt;20 W/m2)]],4,0),"")</f>
        <v>0.76736111111111116</v>
      </c>
      <c r="K622" s="35">
        <f>IFERROR((TA[[#This Row],[Sunset Time (POA&lt;20 W/m2)]]-TA[[#This Row],[Sunrise Time (POA&gt;20 W/m2)]])*24,"")</f>
        <v>12.366666666666667</v>
      </c>
      <c r="L622" s="2" t="s">
        <v>294</v>
      </c>
      <c r="M622" s="42">
        <f>IFERROR(VLOOKUP(TA[[#This Row],[Affected Equipment]],'Basic Data'!$I$2:$K$40,3,0),"")</f>
        <v>1.7241379310344799E-3</v>
      </c>
      <c r="N622">
        <v>-28</v>
      </c>
      <c r="O622" t="s">
        <v>135</v>
      </c>
      <c r="P622" s="127" t="s">
        <v>318</v>
      </c>
      <c r="Q622" s="126" t="s">
        <v>318</v>
      </c>
      <c r="R622">
        <v>131</v>
      </c>
      <c r="S622" s="2">
        <v>39</v>
      </c>
      <c r="T622" t="s">
        <v>295</v>
      </c>
      <c r="U622" t="s">
        <v>300</v>
      </c>
      <c r="V622" t="s">
        <v>298</v>
      </c>
      <c r="W622" s="41"/>
      <c r="X622" s="41"/>
      <c r="Y622" s="34"/>
      <c r="Z622" s="34"/>
      <c r="AA622" s="35">
        <f>IF(TA[[#This Row],[Work Start time on Fault]]="NA","",(TA[[#This Row],[Fault Acknowledgement Time ]]-TA[[#This Row],[Fault Time]])*24)</f>
        <v>0</v>
      </c>
      <c r="AB622" s="35">
        <f>(TA[[#This Row],[Work Start time on Fault]]-TA[[#This Row],[Fault Time]])*24</f>
        <v>0</v>
      </c>
      <c r="AC622" s="34">
        <f>(TA[[#This Row],[Work Completion time on fault]]-TA[[#This Row],[Fault Time]])*24</f>
        <v>0</v>
      </c>
      <c r="AD622" s="35">
        <f>IFERROR((TA[[#This Row],[Work Completion time on fault]]-TA[[#This Row],[Fault Time]])*24,"")</f>
        <v>0</v>
      </c>
      <c r="AE622" t="s">
        <v>328</v>
      </c>
      <c r="AF622" t="s">
        <v>256</v>
      </c>
      <c r="AG622" s="2"/>
      <c r="AH622" s="44">
        <f>1-COS(RADIANS(TA[[#This Row],[Avg. Target Angle during Fault Time (Radians)]]-TA[[#This Row],[Angle of affected equipment ]]))</f>
        <v>0.11705240714107301</v>
      </c>
      <c r="AI622" s="35">
        <f>IFERROR(TA[[#This Row],[Breakdown Time]]*TA[[#This Row],[Plant Equivalent Weightage]],"")</f>
        <v>0</v>
      </c>
    </row>
    <row r="623" spans="1:35">
      <c r="A623" s="2">
        <f t="shared" si="36"/>
        <v>620</v>
      </c>
      <c r="B623" s="156">
        <f t="shared" si="37"/>
        <v>2026</v>
      </c>
      <c r="C623" s="129">
        <f t="shared" si="38"/>
        <v>2025</v>
      </c>
      <c r="D623" s="2" t="s">
        <v>155</v>
      </c>
      <c r="E623" s="2" t="s">
        <v>155</v>
      </c>
      <c r="F623" s="39">
        <v>45778</v>
      </c>
      <c r="G623" s="2">
        <f>DAY(EOMONTH(TA[[#This Row],[Month Year]],0))</f>
        <v>31</v>
      </c>
      <c r="H623" s="21">
        <v>45787</v>
      </c>
      <c r="I623" s="41">
        <f>IFERROR(VLOOKUP(TA[[#This Row],[Date]],Raw_Data[[Date]:[Sunset Time (POA&lt;20 W/m2)]],3,0),"")</f>
        <v>0.25208333333333333</v>
      </c>
      <c r="J623" s="41">
        <f>IFERROR(VLOOKUP(TA[[#This Row],[Date]],Raw_Data[[Date]:[Sunset Time (POA&lt;20 W/m2)]],4,0),"")</f>
        <v>0.76736111111111116</v>
      </c>
      <c r="K623" s="35">
        <f>IFERROR((TA[[#This Row],[Sunset Time (POA&lt;20 W/m2)]]-TA[[#This Row],[Sunrise Time (POA&gt;20 W/m2)]])*24,"")</f>
        <v>12.366666666666667</v>
      </c>
      <c r="L623" s="2" t="s">
        <v>296</v>
      </c>
      <c r="M623" s="42">
        <f>IFERROR(VLOOKUP(TA[[#This Row],[Affected Equipment]],'Basic Data'!$I$2:$K$40,3,0),"")</f>
        <v>8.6206896551724102E-3</v>
      </c>
      <c r="N623">
        <v>-28</v>
      </c>
      <c r="O623" t="s">
        <v>135</v>
      </c>
      <c r="P623" s="127" t="s">
        <v>318</v>
      </c>
      <c r="Q623" s="2" t="s">
        <v>321</v>
      </c>
      <c r="R623">
        <v>133</v>
      </c>
      <c r="S623" s="2">
        <v>26</v>
      </c>
      <c r="T623" t="s">
        <v>297</v>
      </c>
      <c r="U623" t="s">
        <v>300</v>
      </c>
      <c r="V623" t="s">
        <v>314</v>
      </c>
      <c r="W623" s="41">
        <f>IFERROR(VLOOKUP(TA[[#This Row],[Date]],Raw_Data[[Date]:[Sunset Time (POA&lt;20 W/m2)]],3,0),"")</f>
        <v>0.25208333333333333</v>
      </c>
      <c r="X623" s="41">
        <f>IFERROR(VLOOKUP(TA[[#This Row],[Date]],Raw_Data[[Date]:[Sunset Time (POA&lt;20 W/m2)]],3,0),"")</f>
        <v>0.25208333333333333</v>
      </c>
      <c r="Y623" s="34"/>
      <c r="Z623" s="34">
        <v>0.76041666666666663</v>
      </c>
      <c r="AA623" s="35">
        <f>IF(TA[[#This Row],[Work Start time on Fault]]="NA","",(TA[[#This Row],[Fault Acknowledgement Time ]]-TA[[#This Row],[Fault Time]])*24)</f>
        <v>0</v>
      </c>
      <c r="AB623" s="35">
        <f>(TA[[#This Row],[Work Start time on Fault]]-TA[[#This Row],[Fault Time]])*24</f>
        <v>-6.05</v>
      </c>
      <c r="AC623" s="34">
        <f>(TA[[#This Row],[Work Completion time on fault]]-TA[[#This Row],[Fault Time]])*24</f>
        <v>12.2</v>
      </c>
      <c r="AD623" s="35">
        <f>IFERROR((TA[[#This Row],[Work Completion time on fault]]-TA[[#This Row],[Fault Time]])*24,"")</f>
        <v>12.2</v>
      </c>
      <c r="AE623" t="s">
        <v>328</v>
      </c>
      <c r="AF623" t="s">
        <v>256</v>
      </c>
      <c r="AG623" s="2"/>
      <c r="AH623" s="44">
        <f>1-COS(RADIANS(TA[[#This Row],[Avg. Target Angle during Fault Time (Radians)]]-TA[[#This Row],[Angle of affected equipment ]]))</f>
        <v>0.11705240714107301</v>
      </c>
      <c r="AI623" s="35">
        <f>IFERROR(TA[[#This Row],[Breakdown Time]]*TA[[#This Row],[Plant Equivalent Weightage]],"")</f>
        <v>0.10517241379310339</v>
      </c>
    </row>
    <row r="624" spans="1:35">
      <c r="A624" s="2">
        <f t="shared" si="36"/>
        <v>621</v>
      </c>
      <c r="B624" s="156">
        <f t="shared" si="37"/>
        <v>2026</v>
      </c>
      <c r="C624" s="129">
        <f t="shared" si="38"/>
        <v>2025</v>
      </c>
      <c r="D624" s="2" t="s">
        <v>155</v>
      </c>
      <c r="E624" s="2" t="s">
        <v>155</v>
      </c>
      <c r="F624" s="39">
        <v>45778</v>
      </c>
      <c r="G624" s="2">
        <f>DAY(EOMONTH(TA[[#This Row],[Month Year]],0))</f>
        <v>31</v>
      </c>
      <c r="H624" s="21">
        <v>45787</v>
      </c>
      <c r="I624" s="41">
        <f>IFERROR(VLOOKUP(TA[[#This Row],[Date]],Raw_Data[[Date]:[Sunset Time (POA&lt;20 W/m2)]],3,0),"")</f>
        <v>0.25208333333333333</v>
      </c>
      <c r="J624" s="41">
        <f>IFERROR(VLOOKUP(TA[[#This Row],[Date]],Raw_Data[[Date]:[Sunset Time (POA&lt;20 W/m2)]],4,0),"")</f>
        <v>0.76736111111111116</v>
      </c>
      <c r="K624" s="35">
        <f>IFERROR((TA[[#This Row],[Sunset Time (POA&lt;20 W/m2)]]-TA[[#This Row],[Sunrise Time (POA&gt;20 W/m2)]])*24,"")</f>
        <v>12.366666666666667</v>
      </c>
      <c r="L624" s="2" t="s">
        <v>294</v>
      </c>
      <c r="M624" s="42">
        <f>IFERROR(VLOOKUP(TA[[#This Row],[Affected Equipment]],'Basic Data'!$I$2:$K$40,3,0),"")</f>
        <v>1.7241379310344799E-3</v>
      </c>
      <c r="N624">
        <v>-28</v>
      </c>
      <c r="O624" t="s">
        <v>133</v>
      </c>
      <c r="P624" s="127" t="s">
        <v>316</v>
      </c>
      <c r="Q624" s="126" t="s">
        <v>317</v>
      </c>
      <c r="R624">
        <v>7</v>
      </c>
      <c r="S624" s="2">
        <v>32</v>
      </c>
      <c r="T624" t="s">
        <v>295</v>
      </c>
      <c r="U624" t="s">
        <v>300</v>
      </c>
      <c r="V624" t="s">
        <v>298</v>
      </c>
      <c r="W624" s="41"/>
      <c r="X624" s="41"/>
      <c r="Y624" s="34"/>
      <c r="Z624" s="34"/>
      <c r="AA624" s="35">
        <f>IF(TA[[#This Row],[Work Start time on Fault]]="NA","",(TA[[#This Row],[Fault Acknowledgement Time ]]-TA[[#This Row],[Fault Time]])*24)</f>
        <v>0</v>
      </c>
      <c r="AB624" s="35">
        <f>(TA[[#This Row],[Work Start time on Fault]]-TA[[#This Row],[Fault Time]])*24</f>
        <v>0</v>
      </c>
      <c r="AC624" s="34">
        <f>(TA[[#This Row],[Work Completion time on fault]]-TA[[#This Row],[Fault Time]])*24</f>
        <v>0</v>
      </c>
      <c r="AD624" s="35">
        <f>IFERROR((TA[[#This Row],[Work Completion time on fault]]-TA[[#This Row],[Fault Time]])*24,"")</f>
        <v>0</v>
      </c>
      <c r="AE624" t="s">
        <v>328</v>
      </c>
      <c r="AF624" t="s">
        <v>256</v>
      </c>
      <c r="AG624" s="2"/>
      <c r="AH624" s="44">
        <f>1-COS(RADIANS(TA[[#This Row],[Avg. Target Angle during Fault Time (Radians)]]-TA[[#This Row],[Angle of affected equipment ]]))</f>
        <v>0.11705240714107301</v>
      </c>
      <c r="AI624" s="35">
        <f>IFERROR(TA[[#This Row],[Breakdown Time]]*TA[[#This Row],[Plant Equivalent Weightage]],"")</f>
        <v>0</v>
      </c>
    </row>
    <row r="625" spans="1:35">
      <c r="A625" s="2">
        <f t="shared" si="36"/>
        <v>622</v>
      </c>
      <c r="B625" s="156">
        <f t="shared" si="37"/>
        <v>2026</v>
      </c>
      <c r="C625" s="129">
        <f t="shared" si="38"/>
        <v>2025</v>
      </c>
      <c r="D625" s="2" t="s">
        <v>155</v>
      </c>
      <c r="E625" s="2" t="s">
        <v>155</v>
      </c>
      <c r="F625" s="39">
        <v>45778</v>
      </c>
      <c r="G625" s="2">
        <f>DAY(EOMONTH(TA[[#This Row],[Month Year]],0))</f>
        <v>31</v>
      </c>
      <c r="H625" s="21">
        <v>45787</v>
      </c>
      <c r="I625" s="41">
        <f>IFERROR(VLOOKUP(TA[[#This Row],[Date]],Raw_Data[[Date]:[Sunset Time (POA&lt;20 W/m2)]],3,0),"")</f>
        <v>0.25208333333333333</v>
      </c>
      <c r="J625" s="41">
        <f>IFERROR(VLOOKUP(TA[[#This Row],[Date]],Raw_Data[[Date]:[Sunset Time (POA&lt;20 W/m2)]],4,0),"")</f>
        <v>0.76736111111111116</v>
      </c>
      <c r="K625" s="35">
        <f>IFERROR((TA[[#This Row],[Sunset Time (POA&lt;20 W/m2)]]-TA[[#This Row],[Sunrise Time (POA&gt;20 W/m2)]])*24,"")</f>
        <v>12.366666666666667</v>
      </c>
      <c r="L625" s="2" t="s">
        <v>294</v>
      </c>
      <c r="M625" s="42">
        <f>IFERROR(VLOOKUP(TA[[#This Row],[Affected Equipment]],'Basic Data'!$I$2:$K$40,3,0),"")</f>
        <v>1.7241379310344799E-3</v>
      </c>
      <c r="N625">
        <v>-28</v>
      </c>
      <c r="O625" t="s">
        <v>137</v>
      </c>
      <c r="P625" s="127" t="s">
        <v>315</v>
      </c>
      <c r="Q625" s="126" t="s">
        <v>319</v>
      </c>
      <c r="R625">
        <v>166</v>
      </c>
      <c r="S625" s="2">
        <v>91</v>
      </c>
      <c r="T625" t="s">
        <v>295</v>
      </c>
      <c r="U625" t="s">
        <v>300</v>
      </c>
      <c r="V625" t="s">
        <v>298</v>
      </c>
      <c r="W625" s="41"/>
      <c r="X625" s="41"/>
      <c r="Y625" s="34"/>
      <c r="Z625" s="34"/>
      <c r="AA625" s="35">
        <f>IF(TA[[#This Row],[Work Start time on Fault]]="NA","",(TA[[#This Row],[Fault Acknowledgement Time ]]-TA[[#This Row],[Fault Time]])*24)</f>
        <v>0</v>
      </c>
      <c r="AB625" s="35">
        <f>(TA[[#This Row],[Work Start time on Fault]]-TA[[#This Row],[Fault Time]])*24</f>
        <v>0</v>
      </c>
      <c r="AC625" s="34">
        <f>(TA[[#This Row],[Work Completion time on fault]]-TA[[#This Row],[Fault Time]])*24</f>
        <v>0</v>
      </c>
      <c r="AD625" s="35">
        <f>IFERROR((TA[[#This Row],[Work Completion time on fault]]-TA[[#This Row],[Fault Time]])*24,"")</f>
        <v>0</v>
      </c>
      <c r="AE625" t="s">
        <v>328</v>
      </c>
      <c r="AF625" t="s">
        <v>256</v>
      </c>
      <c r="AG625" s="2"/>
      <c r="AH625" s="44">
        <f>1-COS(RADIANS(TA[[#This Row],[Avg. Target Angle during Fault Time (Radians)]]-TA[[#This Row],[Angle of affected equipment ]]))</f>
        <v>0.11705240714107301</v>
      </c>
      <c r="AI625" s="35">
        <f>IFERROR(TA[[#This Row],[Breakdown Time]]*TA[[#This Row],[Plant Equivalent Weightage]],"")</f>
        <v>0</v>
      </c>
    </row>
    <row r="626" spans="1:35">
      <c r="A626" s="2">
        <f t="shared" si="36"/>
        <v>623</v>
      </c>
      <c r="B626" s="156">
        <f t="shared" si="37"/>
        <v>2026</v>
      </c>
      <c r="C626" s="129">
        <f t="shared" si="38"/>
        <v>2025</v>
      </c>
      <c r="D626" s="2" t="s">
        <v>155</v>
      </c>
      <c r="E626" s="2" t="s">
        <v>155</v>
      </c>
      <c r="F626" s="39">
        <v>45778</v>
      </c>
      <c r="G626" s="2">
        <f>DAY(EOMONTH(TA[[#This Row],[Month Year]],0))</f>
        <v>31</v>
      </c>
      <c r="H626" s="21">
        <v>45787</v>
      </c>
      <c r="I626" s="41">
        <f>IFERROR(VLOOKUP(TA[[#This Row],[Date]],Raw_Data[[Date]:[Sunset Time (POA&lt;20 W/m2)]],3,0),"")</f>
        <v>0.25208333333333333</v>
      </c>
      <c r="J626" s="41">
        <f>IFERROR(VLOOKUP(TA[[#This Row],[Date]],Raw_Data[[Date]:[Sunset Time (POA&lt;20 W/m2)]],4,0),"")</f>
        <v>0.76736111111111116</v>
      </c>
      <c r="K626" s="35">
        <f>IFERROR((TA[[#This Row],[Sunset Time (POA&lt;20 W/m2)]]-TA[[#This Row],[Sunrise Time (POA&gt;20 W/m2)]])*24,"")</f>
        <v>12.366666666666667</v>
      </c>
      <c r="L626" s="2" t="s">
        <v>294</v>
      </c>
      <c r="M626" s="42">
        <f>IFERROR(VLOOKUP(TA[[#This Row],[Affected Equipment]],'Basic Data'!$I$2:$K$40,3,0),"")</f>
        <v>1.7241379310344799E-3</v>
      </c>
      <c r="N626">
        <v>-28</v>
      </c>
      <c r="O626" t="s">
        <v>133</v>
      </c>
      <c r="P626" s="127" t="s">
        <v>316</v>
      </c>
      <c r="Q626" s="126" t="s">
        <v>316</v>
      </c>
      <c r="R626">
        <v>117</v>
      </c>
      <c r="S626" s="2">
        <v>20</v>
      </c>
      <c r="T626" t="s">
        <v>295</v>
      </c>
      <c r="U626" t="s">
        <v>300</v>
      </c>
      <c r="V626" t="s">
        <v>298</v>
      </c>
      <c r="W626" s="41"/>
      <c r="X626" s="41"/>
      <c r="Y626" s="34"/>
      <c r="Z626" s="34"/>
      <c r="AA626" s="35">
        <f>IF(TA[[#This Row],[Work Start time on Fault]]="NA","",(TA[[#This Row],[Fault Acknowledgement Time ]]-TA[[#This Row],[Fault Time]])*24)</f>
        <v>0</v>
      </c>
      <c r="AB626" s="35">
        <f>(TA[[#This Row],[Work Start time on Fault]]-TA[[#This Row],[Fault Time]])*24</f>
        <v>0</v>
      </c>
      <c r="AC626" s="34">
        <f>(TA[[#This Row],[Work Completion time on fault]]-TA[[#This Row],[Fault Time]])*24</f>
        <v>0</v>
      </c>
      <c r="AD626" s="35">
        <f>IFERROR((TA[[#This Row],[Work Completion time on fault]]-TA[[#This Row],[Fault Time]])*24,"")</f>
        <v>0</v>
      </c>
      <c r="AE626" t="s">
        <v>328</v>
      </c>
      <c r="AF626" t="s">
        <v>256</v>
      </c>
      <c r="AG626" s="2"/>
      <c r="AH626" s="44">
        <f>1-COS(RADIANS(TA[[#This Row],[Avg. Target Angle during Fault Time (Radians)]]-TA[[#This Row],[Angle of affected equipment ]]))</f>
        <v>0.11705240714107301</v>
      </c>
      <c r="AI626" s="35">
        <f>IFERROR(TA[[#This Row],[Breakdown Time]]*TA[[#This Row],[Plant Equivalent Weightage]],"")</f>
        <v>0</v>
      </c>
    </row>
    <row r="627" spans="1:35">
      <c r="A627" s="2">
        <f t="shared" si="36"/>
        <v>624</v>
      </c>
      <c r="B627" s="156">
        <f t="shared" si="37"/>
        <v>2026</v>
      </c>
      <c r="C627" s="129">
        <f t="shared" si="38"/>
        <v>2025</v>
      </c>
      <c r="D627" s="2" t="s">
        <v>155</v>
      </c>
      <c r="E627" s="2" t="s">
        <v>155</v>
      </c>
      <c r="F627" s="39">
        <v>45778</v>
      </c>
      <c r="G627" s="2">
        <f>DAY(EOMONTH(TA[[#This Row],[Month Year]],0))</f>
        <v>31</v>
      </c>
      <c r="H627" s="21">
        <v>45787</v>
      </c>
      <c r="I627" s="41">
        <f>IFERROR(VLOOKUP(TA[[#This Row],[Date]],Raw_Data[[Date]:[Sunset Time (POA&lt;20 W/m2)]],3,0),"")</f>
        <v>0.25208333333333333</v>
      </c>
      <c r="J627" s="41">
        <f>IFERROR(VLOOKUP(TA[[#This Row],[Date]],Raw_Data[[Date]:[Sunset Time (POA&lt;20 W/m2)]],4,0),"")</f>
        <v>0.76736111111111116</v>
      </c>
      <c r="K627" s="35">
        <f>IFERROR((TA[[#This Row],[Sunset Time (POA&lt;20 W/m2)]]-TA[[#This Row],[Sunrise Time (POA&gt;20 W/m2)]])*24,"")</f>
        <v>12.366666666666667</v>
      </c>
      <c r="L627" s="2" t="s">
        <v>294</v>
      </c>
      <c r="M627" s="42">
        <f>IFERROR(VLOOKUP(TA[[#This Row],[Affected Equipment]],'Basic Data'!$I$2:$K$40,3,0),"")</f>
        <v>1.7241379310344799E-3</v>
      </c>
      <c r="N627">
        <v>-28</v>
      </c>
      <c r="O627" t="s">
        <v>133</v>
      </c>
      <c r="P627" s="127" t="s">
        <v>316</v>
      </c>
      <c r="Q627" s="126" t="s">
        <v>316</v>
      </c>
      <c r="R627">
        <v>118</v>
      </c>
      <c r="S627" s="2">
        <v>22</v>
      </c>
      <c r="T627" t="s">
        <v>295</v>
      </c>
      <c r="U627" t="s">
        <v>300</v>
      </c>
      <c r="V627" t="s">
        <v>298</v>
      </c>
      <c r="W627" s="41"/>
      <c r="X627" s="41"/>
      <c r="Y627" s="34"/>
      <c r="Z627" s="34"/>
      <c r="AA627" s="35">
        <f>IF(TA[[#This Row],[Work Start time on Fault]]="NA","",(TA[[#This Row],[Fault Acknowledgement Time ]]-TA[[#This Row],[Fault Time]])*24)</f>
        <v>0</v>
      </c>
      <c r="AB627" s="35">
        <f>(TA[[#This Row],[Work Start time on Fault]]-TA[[#This Row],[Fault Time]])*24</f>
        <v>0</v>
      </c>
      <c r="AC627" s="34">
        <f>(TA[[#This Row],[Work Completion time on fault]]-TA[[#This Row],[Fault Time]])*24</f>
        <v>0</v>
      </c>
      <c r="AD627" s="35">
        <f>IFERROR((TA[[#This Row],[Work Completion time on fault]]-TA[[#This Row],[Fault Time]])*24,"")</f>
        <v>0</v>
      </c>
      <c r="AE627" t="s">
        <v>328</v>
      </c>
      <c r="AF627" t="s">
        <v>256</v>
      </c>
      <c r="AG627" s="2"/>
      <c r="AH627" s="44">
        <f>1-COS(RADIANS(TA[[#This Row],[Avg. Target Angle during Fault Time (Radians)]]-TA[[#This Row],[Angle of affected equipment ]]))</f>
        <v>0.11705240714107301</v>
      </c>
      <c r="AI627" s="35">
        <f>IFERROR(TA[[#This Row],[Breakdown Time]]*TA[[#This Row],[Plant Equivalent Weightage]],"")</f>
        <v>0</v>
      </c>
    </row>
    <row r="628" spans="1:35">
      <c r="A628" s="2">
        <f t="shared" si="36"/>
        <v>625</v>
      </c>
      <c r="B628" s="156">
        <f t="shared" si="37"/>
        <v>2026</v>
      </c>
      <c r="C628" s="129">
        <f t="shared" si="38"/>
        <v>2025</v>
      </c>
      <c r="D628" s="2" t="s">
        <v>155</v>
      </c>
      <c r="E628" s="2" t="s">
        <v>155</v>
      </c>
      <c r="F628" s="39">
        <v>45778</v>
      </c>
      <c r="G628" s="2">
        <f>DAY(EOMONTH(TA[[#This Row],[Month Year]],0))</f>
        <v>31</v>
      </c>
      <c r="H628" s="21">
        <v>45787</v>
      </c>
      <c r="I628" s="41">
        <f>IFERROR(VLOOKUP(TA[[#This Row],[Date]],Raw_Data[[Date]:[Sunset Time (POA&lt;20 W/m2)]],3,0),"")</f>
        <v>0.25208333333333333</v>
      </c>
      <c r="J628" s="41">
        <f>IFERROR(VLOOKUP(TA[[#This Row],[Date]],Raw_Data[[Date]:[Sunset Time (POA&lt;20 W/m2)]],4,0),"")</f>
        <v>0.76736111111111116</v>
      </c>
      <c r="K628" s="35">
        <f>IFERROR((TA[[#This Row],[Sunset Time (POA&lt;20 W/m2)]]-TA[[#This Row],[Sunrise Time (POA&gt;20 W/m2)]])*24,"")</f>
        <v>12.366666666666667</v>
      </c>
      <c r="L628" s="2" t="s">
        <v>296</v>
      </c>
      <c r="M628" s="42">
        <f>IFERROR(VLOOKUP(TA[[#This Row],[Affected Equipment]],'Basic Data'!$I$2:$K$40,3,0),"")</f>
        <v>8.6206896551724102E-3</v>
      </c>
      <c r="N628">
        <v>-28</v>
      </c>
      <c r="O628" t="s">
        <v>135</v>
      </c>
      <c r="P628" s="22" t="s">
        <v>323</v>
      </c>
      <c r="Q628" s="2" t="s">
        <v>329</v>
      </c>
      <c r="R628">
        <v>45</v>
      </c>
      <c r="S628" s="2">
        <v>8</v>
      </c>
      <c r="T628" t="s">
        <v>297</v>
      </c>
      <c r="U628" t="s">
        <v>300</v>
      </c>
      <c r="V628" t="s">
        <v>301</v>
      </c>
      <c r="W628" s="41"/>
      <c r="X628" s="41"/>
      <c r="Y628" s="34"/>
      <c r="Z628" s="34"/>
      <c r="AA628" s="35">
        <f>IF(TA[[#This Row],[Work Start time on Fault]]="NA","",(TA[[#This Row],[Fault Acknowledgement Time ]]-TA[[#This Row],[Fault Time]])*24)</f>
        <v>0</v>
      </c>
      <c r="AB628" s="35">
        <f>(TA[[#This Row],[Work Start time on Fault]]-TA[[#This Row],[Fault Time]])*24</f>
        <v>0</v>
      </c>
      <c r="AC628" s="34">
        <f>(TA[[#This Row],[Work Completion time on fault]]-TA[[#This Row],[Fault Time]])*24</f>
        <v>0</v>
      </c>
      <c r="AD628" s="35">
        <f>IFERROR((TA[[#This Row],[Work Completion time on fault]]-TA[[#This Row],[Fault Time]])*24,"")</f>
        <v>0</v>
      </c>
      <c r="AE628" t="s">
        <v>328</v>
      </c>
      <c r="AF628" t="s">
        <v>256</v>
      </c>
      <c r="AG628" s="2"/>
      <c r="AH628" s="44">
        <f>1-COS(RADIANS(TA[[#This Row],[Avg. Target Angle during Fault Time (Radians)]]-TA[[#This Row],[Angle of affected equipment ]]))</f>
        <v>0.11705240714107301</v>
      </c>
      <c r="AI628" s="35">
        <f>IFERROR(TA[[#This Row],[Breakdown Time]]*TA[[#This Row],[Plant Equivalent Weightage]],"")</f>
        <v>0</v>
      </c>
    </row>
    <row r="629" spans="1:35">
      <c r="A629" s="2">
        <f t="shared" si="36"/>
        <v>626</v>
      </c>
      <c r="B629" s="156">
        <f t="shared" si="37"/>
        <v>2026</v>
      </c>
      <c r="C629" s="129">
        <f t="shared" si="38"/>
        <v>2025</v>
      </c>
      <c r="D629" s="2" t="s">
        <v>155</v>
      </c>
      <c r="E629" s="2" t="s">
        <v>155</v>
      </c>
      <c r="F629" s="39">
        <v>45778</v>
      </c>
      <c r="G629" s="2">
        <f>DAY(EOMONTH(TA[[#This Row],[Month Year]],0))</f>
        <v>31</v>
      </c>
      <c r="H629" s="21">
        <v>45787</v>
      </c>
      <c r="I629" s="41">
        <f>IFERROR(VLOOKUP(TA[[#This Row],[Date]],Raw_Data[[Date]:[Sunset Time (POA&lt;20 W/m2)]],3,0),"")</f>
        <v>0.25208333333333333</v>
      </c>
      <c r="J629" s="41">
        <f>IFERROR(VLOOKUP(TA[[#This Row],[Date]],Raw_Data[[Date]:[Sunset Time (POA&lt;20 W/m2)]],4,0),"")</f>
        <v>0.76736111111111116</v>
      </c>
      <c r="K629" s="35">
        <f>IFERROR((TA[[#This Row],[Sunset Time (POA&lt;20 W/m2)]]-TA[[#This Row],[Sunrise Time (POA&gt;20 W/m2)]])*24,"")</f>
        <v>12.366666666666667</v>
      </c>
      <c r="L629" s="2" t="s">
        <v>296</v>
      </c>
      <c r="M629" s="42">
        <f>IFERROR(VLOOKUP(TA[[#This Row],[Affected Equipment]],'Basic Data'!$I$2:$K$40,3,0),"")</f>
        <v>8.6206896551724102E-3</v>
      </c>
      <c r="N629">
        <v>-28</v>
      </c>
      <c r="O629" t="s">
        <v>135</v>
      </c>
      <c r="P629" s="22" t="s">
        <v>323</v>
      </c>
      <c r="Q629" s="2" t="s">
        <v>329</v>
      </c>
      <c r="R629">
        <v>47</v>
      </c>
      <c r="S629" s="2">
        <v>18</v>
      </c>
      <c r="T629" t="s">
        <v>297</v>
      </c>
      <c r="U629" t="s">
        <v>300</v>
      </c>
      <c r="V629" t="s">
        <v>301</v>
      </c>
      <c r="W629" s="41"/>
      <c r="X629" s="41"/>
      <c r="Y629" s="34"/>
      <c r="Z629" s="34"/>
      <c r="AA629" s="35">
        <f>IF(TA[[#This Row],[Work Start time on Fault]]="NA","",(TA[[#This Row],[Fault Acknowledgement Time ]]-TA[[#This Row],[Fault Time]])*24)</f>
        <v>0</v>
      </c>
      <c r="AB629" s="35">
        <f>(TA[[#This Row],[Work Start time on Fault]]-TA[[#This Row],[Fault Time]])*24</f>
        <v>0</v>
      </c>
      <c r="AC629" s="34">
        <f>(TA[[#This Row],[Work Completion time on fault]]-TA[[#This Row],[Fault Time]])*24</f>
        <v>0</v>
      </c>
      <c r="AD629" s="35">
        <f>IFERROR((TA[[#This Row],[Work Completion time on fault]]-TA[[#This Row],[Fault Time]])*24,"")</f>
        <v>0</v>
      </c>
      <c r="AE629" t="s">
        <v>328</v>
      </c>
      <c r="AF629" t="s">
        <v>256</v>
      </c>
      <c r="AG629" s="2"/>
      <c r="AH629" s="44">
        <f>1-COS(RADIANS(TA[[#This Row],[Avg. Target Angle during Fault Time (Radians)]]-TA[[#This Row],[Angle of affected equipment ]]))</f>
        <v>0.11705240714107301</v>
      </c>
      <c r="AI629" s="35">
        <f>IFERROR(TA[[#This Row],[Breakdown Time]]*TA[[#This Row],[Plant Equivalent Weightage]],"")</f>
        <v>0</v>
      </c>
    </row>
    <row r="630" spans="1:35">
      <c r="A630" s="2">
        <f t="shared" si="36"/>
        <v>627</v>
      </c>
      <c r="B630" s="156">
        <f t="shared" si="37"/>
        <v>2026</v>
      </c>
      <c r="C630" s="129">
        <f t="shared" si="38"/>
        <v>2025</v>
      </c>
      <c r="D630" s="2" t="s">
        <v>155</v>
      </c>
      <c r="E630" s="2" t="s">
        <v>155</v>
      </c>
      <c r="F630" s="39">
        <v>45778</v>
      </c>
      <c r="G630" s="2">
        <f>DAY(EOMONTH(TA[[#This Row],[Month Year]],0))</f>
        <v>31</v>
      </c>
      <c r="H630" s="21">
        <v>45787</v>
      </c>
      <c r="I630" s="41">
        <f>IFERROR(VLOOKUP(TA[[#This Row],[Date]],Raw_Data[[Date]:[Sunset Time (POA&lt;20 W/m2)]],3,0),"")</f>
        <v>0.25208333333333333</v>
      </c>
      <c r="J630" s="41">
        <f>IFERROR(VLOOKUP(TA[[#This Row],[Date]],Raw_Data[[Date]:[Sunset Time (POA&lt;20 W/m2)]],4,0),"")</f>
        <v>0.76736111111111116</v>
      </c>
      <c r="K630" s="35">
        <f>IFERROR((TA[[#This Row],[Sunset Time (POA&lt;20 W/m2)]]-TA[[#This Row],[Sunrise Time (POA&gt;20 W/m2)]])*24,"")</f>
        <v>12.366666666666667</v>
      </c>
      <c r="L630" s="2" t="s">
        <v>296</v>
      </c>
      <c r="M630" s="42">
        <f>IFERROR(VLOOKUP(TA[[#This Row],[Affected Equipment]],'Basic Data'!$I$2:$K$40,3,0),"")</f>
        <v>8.6206896551724102E-3</v>
      </c>
      <c r="N630">
        <v>-28</v>
      </c>
      <c r="O630" t="s">
        <v>134</v>
      </c>
      <c r="P630" s="22" t="s">
        <v>330</v>
      </c>
      <c r="Q630" s="2" t="s">
        <v>323</v>
      </c>
      <c r="R630">
        <v>30</v>
      </c>
      <c r="S630" s="2">
        <v>57</v>
      </c>
      <c r="T630" t="s">
        <v>297</v>
      </c>
      <c r="U630" t="s">
        <v>300</v>
      </c>
      <c r="V630" t="s">
        <v>301</v>
      </c>
      <c r="W630" s="41"/>
      <c r="X630" s="41"/>
      <c r="Y630" s="34"/>
      <c r="Z630" s="34"/>
      <c r="AA630" s="35">
        <f>IF(TA[[#This Row],[Work Start time on Fault]]="NA","",(TA[[#This Row],[Fault Acknowledgement Time ]]-TA[[#This Row],[Fault Time]])*24)</f>
        <v>0</v>
      </c>
      <c r="AB630" s="35">
        <f>(TA[[#This Row],[Work Start time on Fault]]-TA[[#This Row],[Fault Time]])*24</f>
        <v>0</v>
      </c>
      <c r="AC630" s="34">
        <f>(TA[[#This Row],[Work Completion time on fault]]-TA[[#This Row],[Fault Time]])*24</f>
        <v>0</v>
      </c>
      <c r="AD630" s="35">
        <f>IFERROR((TA[[#This Row],[Work Completion time on fault]]-TA[[#This Row],[Fault Time]])*24,"")</f>
        <v>0</v>
      </c>
      <c r="AE630" t="s">
        <v>328</v>
      </c>
      <c r="AF630" t="s">
        <v>256</v>
      </c>
      <c r="AG630" s="2"/>
      <c r="AH630" s="44">
        <f>1-COS(RADIANS(TA[[#This Row],[Avg. Target Angle during Fault Time (Radians)]]-TA[[#This Row],[Angle of affected equipment ]]))</f>
        <v>0.11705240714107301</v>
      </c>
      <c r="AI630" s="35">
        <f>IFERROR(TA[[#This Row],[Breakdown Time]]*TA[[#This Row],[Plant Equivalent Weightage]],"")</f>
        <v>0</v>
      </c>
    </row>
    <row r="631" spans="1:35">
      <c r="A631" s="2">
        <f t="shared" si="36"/>
        <v>628</v>
      </c>
      <c r="B631" s="156">
        <f t="shared" si="37"/>
        <v>2026</v>
      </c>
      <c r="C631" s="129">
        <f t="shared" si="38"/>
        <v>2025</v>
      </c>
      <c r="D631" s="2" t="s">
        <v>155</v>
      </c>
      <c r="E631" s="2" t="s">
        <v>155</v>
      </c>
      <c r="F631" s="39">
        <v>45778</v>
      </c>
      <c r="G631" s="2">
        <f>DAY(EOMONTH(TA[[#This Row],[Month Year]],0))</f>
        <v>31</v>
      </c>
      <c r="H631" s="21">
        <v>45787</v>
      </c>
      <c r="I631" s="41">
        <f>IFERROR(VLOOKUP(TA[[#This Row],[Date]],Raw_Data[[Date]:[Sunset Time (POA&lt;20 W/m2)]],3,0),"")</f>
        <v>0.25208333333333333</v>
      </c>
      <c r="J631" s="41">
        <f>IFERROR(VLOOKUP(TA[[#This Row],[Date]],Raw_Data[[Date]:[Sunset Time (POA&lt;20 W/m2)]],4,0),"")</f>
        <v>0.76736111111111116</v>
      </c>
      <c r="K631" s="35">
        <f>IFERROR((TA[[#This Row],[Sunset Time (POA&lt;20 W/m2)]]-TA[[#This Row],[Sunrise Time (POA&gt;20 W/m2)]])*24,"")</f>
        <v>12.366666666666667</v>
      </c>
      <c r="L631" s="2" t="s">
        <v>296</v>
      </c>
      <c r="M631" s="42">
        <f>IFERROR(VLOOKUP(TA[[#This Row],[Affected Equipment]],'Basic Data'!$I$2:$K$40,3,0),"")</f>
        <v>8.6206896551724102E-3</v>
      </c>
      <c r="N631">
        <v>-28</v>
      </c>
      <c r="O631" t="s">
        <v>134</v>
      </c>
      <c r="P631" s="22" t="s">
        <v>330</v>
      </c>
      <c r="Q631" s="2" t="s">
        <v>323</v>
      </c>
      <c r="R631">
        <v>31</v>
      </c>
      <c r="S631" s="2">
        <v>61</v>
      </c>
      <c r="T631" t="s">
        <v>297</v>
      </c>
      <c r="U631" t="s">
        <v>300</v>
      </c>
      <c r="V631" t="s">
        <v>301</v>
      </c>
      <c r="W631" s="41"/>
      <c r="X631" s="41"/>
      <c r="Y631" s="34"/>
      <c r="Z631" s="34"/>
      <c r="AA631" s="35">
        <f>IF(TA[[#This Row],[Work Start time on Fault]]="NA","",(TA[[#This Row],[Fault Acknowledgement Time ]]-TA[[#This Row],[Fault Time]])*24)</f>
        <v>0</v>
      </c>
      <c r="AB631" s="35">
        <f>(TA[[#This Row],[Work Start time on Fault]]-TA[[#This Row],[Fault Time]])*24</f>
        <v>0</v>
      </c>
      <c r="AC631" s="34">
        <f>(TA[[#This Row],[Work Completion time on fault]]-TA[[#This Row],[Fault Time]])*24</f>
        <v>0</v>
      </c>
      <c r="AD631" s="35">
        <f>IFERROR((TA[[#This Row],[Work Completion time on fault]]-TA[[#This Row],[Fault Time]])*24,"")</f>
        <v>0</v>
      </c>
      <c r="AE631" t="s">
        <v>328</v>
      </c>
      <c r="AF631" t="s">
        <v>256</v>
      </c>
      <c r="AG631" s="2"/>
      <c r="AH631" s="44">
        <f>1-COS(RADIANS(TA[[#This Row],[Avg. Target Angle during Fault Time (Radians)]]-TA[[#This Row],[Angle of affected equipment ]]))</f>
        <v>0.11705240714107301</v>
      </c>
      <c r="AI631" s="35">
        <f>IFERROR(TA[[#This Row],[Breakdown Time]]*TA[[#This Row],[Plant Equivalent Weightage]],"")</f>
        <v>0</v>
      </c>
    </row>
    <row r="632" spans="1:35">
      <c r="A632" s="2">
        <f t="shared" si="36"/>
        <v>629</v>
      </c>
      <c r="B632" s="156">
        <f t="shared" si="37"/>
        <v>2026</v>
      </c>
      <c r="C632" s="129">
        <f t="shared" si="38"/>
        <v>2025</v>
      </c>
      <c r="D632" s="2" t="s">
        <v>155</v>
      </c>
      <c r="E632" s="2" t="s">
        <v>155</v>
      </c>
      <c r="F632" s="39">
        <v>45778</v>
      </c>
      <c r="G632" s="2">
        <f>DAY(EOMONTH(TA[[#This Row],[Month Year]],0))</f>
        <v>31</v>
      </c>
      <c r="H632" s="21">
        <v>45787</v>
      </c>
      <c r="I632" s="41">
        <f>IFERROR(VLOOKUP(TA[[#This Row],[Date]],Raw_Data[[Date]:[Sunset Time (POA&lt;20 W/m2)]],3,0),"")</f>
        <v>0.25208333333333333</v>
      </c>
      <c r="J632" s="41">
        <f>IFERROR(VLOOKUP(TA[[#This Row],[Date]],Raw_Data[[Date]:[Sunset Time (POA&lt;20 W/m2)]],4,0),"")</f>
        <v>0.76736111111111116</v>
      </c>
      <c r="K632" s="35">
        <f>IFERROR((TA[[#This Row],[Sunset Time (POA&lt;20 W/m2)]]-TA[[#This Row],[Sunrise Time (POA&gt;20 W/m2)]])*24,"")</f>
        <v>12.366666666666667</v>
      </c>
      <c r="L632" s="2" t="s">
        <v>312</v>
      </c>
      <c r="M632" s="42">
        <f>IFERROR(VLOOKUP(TA[[#This Row],[Affected Equipment]],'Basic Data'!$I$2:$K$40,3,0),"")</f>
        <v>5.74712643678161E-3</v>
      </c>
      <c r="N632">
        <v>-28</v>
      </c>
      <c r="O632" t="s">
        <v>133</v>
      </c>
      <c r="P632" s="22" t="s">
        <v>330</v>
      </c>
      <c r="Q632" s="2" t="s">
        <v>323</v>
      </c>
      <c r="R632">
        <v>26</v>
      </c>
      <c r="S632" s="2">
        <v>37</v>
      </c>
      <c r="T632" t="s">
        <v>297</v>
      </c>
      <c r="U632" t="s">
        <v>300</v>
      </c>
      <c r="V632" t="s">
        <v>301</v>
      </c>
      <c r="W632" s="41"/>
      <c r="X632" s="41"/>
      <c r="Y632" s="34"/>
      <c r="Z632" s="34"/>
      <c r="AA632" s="35">
        <f>IF(TA[[#This Row],[Work Start time on Fault]]="NA","",(TA[[#This Row],[Fault Acknowledgement Time ]]-TA[[#This Row],[Fault Time]])*24)</f>
        <v>0</v>
      </c>
      <c r="AB632" s="35">
        <f>(TA[[#This Row],[Work Start time on Fault]]-TA[[#This Row],[Fault Time]])*24</f>
        <v>0</v>
      </c>
      <c r="AC632" s="34">
        <f>(TA[[#This Row],[Work Completion time on fault]]-TA[[#This Row],[Fault Time]])*24</f>
        <v>0</v>
      </c>
      <c r="AD632" s="35">
        <f>IFERROR((TA[[#This Row],[Work Completion time on fault]]-TA[[#This Row],[Fault Time]])*24,"")</f>
        <v>0</v>
      </c>
      <c r="AE632" t="s">
        <v>328</v>
      </c>
      <c r="AF632" t="s">
        <v>256</v>
      </c>
      <c r="AG632" s="2"/>
      <c r="AH632" s="44">
        <f>1-COS(RADIANS(TA[[#This Row],[Avg. Target Angle during Fault Time (Radians)]]-TA[[#This Row],[Angle of affected equipment ]]))</f>
        <v>0.11705240714107301</v>
      </c>
      <c r="AI632" s="35">
        <f>IFERROR(TA[[#This Row],[Breakdown Time]]*TA[[#This Row],[Plant Equivalent Weightage]],"")</f>
        <v>0</v>
      </c>
    </row>
    <row r="633" spans="1:35">
      <c r="A633" s="2">
        <f t="shared" si="36"/>
        <v>630</v>
      </c>
      <c r="B633" s="156">
        <f t="shared" si="37"/>
        <v>2026</v>
      </c>
      <c r="C633" s="129">
        <f t="shared" si="38"/>
        <v>2025</v>
      </c>
      <c r="D633" s="2" t="s">
        <v>155</v>
      </c>
      <c r="E633" s="2" t="s">
        <v>155</v>
      </c>
      <c r="F633" s="39">
        <v>45778</v>
      </c>
      <c r="G633" s="2">
        <f>DAY(EOMONTH(TA[[#This Row],[Month Year]],0))</f>
        <v>31</v>
      </c>
      <c r="H633" s="21">
        <v>45787</v>
      </c>
      <c r="I633" s="41">
        <f>IFERROR(VLOOKUP(TA[[#This Row],[Date]],Raw_Data[[Date]:[Sunset Time (POA&lt;20 W/m2)]],3,0),"")</f>
        <v>0.25208333333333333</v>
      </c>
      <c r="J633" s="41">
        <f>IFERROR(VLOOKUP(TA[[#This Row],[Date]],Raw_Data[[Date]:[Sunset Time (POA&lt;20 W/m2)]],4,0),"")</f>
        <v>0.76736111111111116</v>
      </c>
      <c r="K633" s="35">
        <f>IFERROR((TA[[#This Row],[Sunset Time (POA&lt;20 W/m2)]]-TA[[#This Row],[Sunrise Time (POA&gt;20 W/m2)]])*24,"")</f>
        <v>12.366666666666667</v>
      </c>
      <c r="L633" s="2" t="s">
        <v>312</v>
      </c>
      <c r="M633" s="42">
        <f>IFERROR(VLOOKUP(TA[[#This Row],[Affected Equipment]],'Basic Data'!$I$2:$K$40,3,0),"")</f>
        <v>5.74712643678161E-3</v>
      </c>
      <c r="N633">
        <v>-28</v>
      </c>
      <c r="O633" t="s">
        <v>133</v>
      </c>
      <c r="P633" s="22" t="s">
        <v>330</v>
      </c>
      <c r="Q633" s="2" t="s">
        <v>323</v>
      </c>
      <c r="R633">
        <v>27</v>
      </c>
      <c r="S633" s="2">
        <v>42</v>
      </c>
      <c r="T633" t="s">
        <v>297</v>
      </c>
      <c r="U633" t="s">
        <v>300</v>
      </c>
      <c r="V633" t="s">
        <v>301</v>
      </c>
      <c r="W633" s="41">
        <f>IFERROR(VLOOKUP(TA[[#This Row],[Date]],Raw_Data[[Date]:[Sunset Time (POA&lt;20 W/m2)]],3,0),"")</f>
        <v>0.25208333333333333</v>
      </c>
      <c r="X633" s="41">
        <f>IFERROR(VLOOKUP(TA[[#This Row],[Date]],Raw_Data[[Date]:[Sunset Time (POA&lt;20 W/m2)]],3,0),"")</f>
        <v>0.25208333333333333</v>
      </c>
      <c r="Y633" s="34"/>
      <c r="Z633" s="34">
        <v>0.76041666666666663</v>
      </c>
      <c r="AA633" s="35">
        <f>IF(TA[[#This Row],[Work Start time on Fault]]="NA","",(TA[[#This Row],[Fault Acknowledgement Time ]]-TA[[#This Row],[Fault Time]])*24)</f>
        <v>0</v>
      </c>
      <c r="AB633" s="35">
        <f>(TA[[#This Row],[Work Start time on Fault]]-TA[[#This Row],[Fault Time]])*24</f>
        <v>-6.05</v>
      </c>
      <c r="AC633" s="34">
        <f>(TA[[#This Row],[Work Completion time on fault]]-TA[[#This Row],[Fault Time]])*24</f>
        <v>12.2</v>
      </c>
      <c r="AD633" s="35">
        <f>IFERROR((TA[[#This Row],[Work Completion time on fault]]-TA[[#This Row],[Fault Time]])*24,"")</f>
        <v>12.2</v>
      </c>
      <c r="AE633" t="s">
        <v>309</v>
      </c>
      <c r="AF633" t="s">
        <v>256</v>
      </c>
      <c r="AG633" s="2"/>
      <c r="AH633" s="44">
        <f>1-COS(RADIANS(TA[[#This Row],[Avg. Target Angle during Fault Time (Radians)]]-TA[[#This Row],[Angle of affected equipment ]]))</f>
        <v>0.11705240714107301</v>
      </c>
      <c r="AI633" s="35">
        <f>IFERROR(TA[[#This Row],[Breakdown Time]]*TA[[#This Row],[Plant Equivalent Weightage]],"")</f>
        <v>7.0114942528735638E-2</v>
      </c>
    </row>
    <row r="634" spans="1:35">
      <c r="A634" s="2">
        <f t="shared" si="36"/>
        <v>631</v>
      </c>
      <c r="B634" s="156">
        <f t="shared" ref="B634:B647" si="39">YEAR(H634)+IF(MONTH(H634)&gt;=4,1,0)</f>
        <v>2026</v>
      </c>
      <c r="C634" s="129">
        <f t="shared" ref="C634:C647" si="40">YEAR(H634)</f>
        <v>2025</v>
      </c>
      <c r="D634" s="2" t="s">
        <v>155</v>
      </c>
      <c r="E634" s="2" t="s">
        <v>155</v>
      </c>
      <c r="F634" s="39">
        <v>45778</v>
      </c>
      <c r="G634" s="2">
        <f>DAY(EOMONTH(TA[[#This Row],[Month Year]],0))</f>
        <v>31</v>
      </c>
      <c r="H634" s="21">
        <v>45788</v>
      </c>
      <c r="I634" s="41">
        <f>IFERROR(VLOOKUP(TA[[#This Row],[Date]],Raw_Data[[Date]:[Sunset Time (POA&lt;20 W/m2)]],3,0),"")</f>
        <v>0.25208333333333333</v>
      </c>
      <c r="J634" s="41">
        <f>IFERROR(VLOOKUP(TA[[#This Row],[Date]],Raw_Data[[Date]:[Sunset Time (POA&lt;20 W/m2)]],4,0),"")</f>
        <v>0.75694444444444442</v>
      </c>
      <c r="K634" s="35">
        <f>IFERROR((TA[[#This Row],[Sunset Time (POA&lt;20 W/m2)]]-TA[[#This Row],[Sunrise Time (POA&gt;20 W/m2)]])*24,"")</f>
        <v>12.116666666666667</v>
      </c>
      <c r="L634" s="2" t="s">
        <v>294</v>
      </c>
      <c r="M634" s="42">
        <f>IFERROR(VLOOKUP(TA[[#This Row],[Affected Equipment]],'Basic Data'!$I$2:$K$40,3,0),"")</f>
        <v>1.7241379310344799E-3</v>
      </c>
      <c r="N634">
        <v>-28</v>
      </c>
      <c r="O634" t="s">
        <v>135</v>
      </c>
      <c r="P634" s="127" t="s">
        <v>318</v>
      </c>
      <c r="Q634" s="126" t="s">
        <v>318</v>
      </c>
      <c r="R634">
        <v>130</v>
      </c>
      <c r="S634" s="2">
        <v>37</v>
      </c>
      <c r="T634" t="s">
        <v>295</v>
      </c>
      <c r="U634" t="s">
        <v>300</v>
      </c>
      <c r="V634" t="s">
        <v>298</v>
      </c>
      <c r="W634" s="41"/>
      <c r="X634" s="41"/>
      <c r="Y634" s="34"/>
      <c r="Z634" s="34"/>
      <c r="AA634" s="35">
        <f>IF(TA[[#This Row],[Work Start time on Fault]]="NA","",(TA[[#This Row],[Fault Acknowledgement Time ]]-TA[[#This Row],[Fault Time]])*24)</f>
        <v>0</v>
      </c>
      <c r="AB634" s="35">
        <f>(TA[[#This Row],[Work Start time on Fault]]-TA[[#This Row],[Fault Time]])*24</f>
        <v>0</v>
      </c>
      <c r="AC634" s="34">
        <f>(TA[[#This Row],[Work Completion time on fault]]-TA[[#This Row],[Fault Time]])*24</f>
        <v>0</v>
      </c>
      <c r="AD634" s="35">
        <f>IFERROR((TA[[#This Row],[Work Completion time on fault]]-TA[[#This Row],[Fault Time]])*24,"")</f>
        <v>0</v>
      </c>
      <c r="AE634" t="s">
        <v>328</v>
      </c>
      <c r="AF634" t="s">
        <v>256</v>
      </c>
      <c r="AG634" s="2"/>
      <c r="AH634" s="44">
        <f>1-COS(RADIANS(TA[[#This Row],[Avg. Target Angle during Fault Time (Radians)]]-TA[[#This Row],[Angle of affected equipment ]]))</f>
        <v>0.11705240714107301</v>
      </c>
      <c r="AI634" s="35">
        <f>IFERROR(TA[[#This Row],[Breakdown Time]]*TA[[#This Row],[Plant Equivalent Weightage]],"")</f>
        <v>0</v>
      </c>
    </row>
    <row r="635" spans="1:35">
      <c r="A635" s="2">
        <f t="shared" si="36"/>
        <v>632</v>
      </c>
      <c r="B635" s="156">
        <f t="shared" si="39"/>
        <v>2026</v>
      </c>
      <c r="C635" s="129">
        <f t="shared" si="40"/>
        <v>2025</v>
      </c>
      <c r="D635" s="2" t="s">
        <v>155</v>
      </c>
      <c r="E635" s="2" t="s">
        <v>155</v>
      </c>
      <c r="F635" s="39">
        <v>45778</v>
      </c>
      <c r="G635" s="2">
        <f>DAY(EOMONTH(TA[[#This Row],[Month Year]],0))</f>
        <v>31</v>
      </c>
      <c r="H635" s="21">
        <v>45788</v>
      </c>
      <c r="I635" s="41">
        <f>IFERROR(VLOOKUP(TA[[#This Row],[Date]],Raw_Data[[Date]:[Sunset Time (POA&lt;20 W/m2)]],3,0),"")</f>
        <v>0.25208333333333333</v>
      </c>
      <c r="J635" s="41">
        <f>IFERROR(VLOOKUP(TA[[#This Row],[Date]],Raw_Data[[Date]:[Sunset Time (POA&lt;20 W/m2)]],4,0),"")</f>
        <v>0.75694444444444442</v>
      </c>
      <c r="K635" s="35">
        <f>IFERROR((TA[[#This Row],[Sunset Time (POA&lt;20 W/m2)]]-TA[[#This Row],[Sunrise Time (POA&gt;20 W/m2)]])*24,"")</f>
        <v>12.116666666666667</v>
      </c>
      <c r="L635" s="2" t="s">
        <v>294</v>
      </c>
      <c r="M635" s="42">
        <f>IFERROR(VLOOKUP(TA[[#This Row],[Affected Equipment]],'Basic Data'!$I$2:$K$40,3,0),"")</f>
        <v>1.7241379310344799E-3</v>
      </c>
      <c r="N635">
        <v>-28</v>
      </c>
      <c r="O635" t="s">
        <v>135</v>
      </c>
      <c r="P635" s="127" t="s">
        <v>318</v>
      </c>
      <c r="Q635" s="126" t="s">
        <v>318</v>
      </c>
      <c r="R635">
        <v>131</v>
      </c>
      <c r="S635" s="2">
        <v>38</v>
      </c>
      <c r="T635" t="s">
        <v>295</v>
      </c>
      <c r="U635" t="s">
        <v>300</v>
      </c>
      <c r="V635" t="s">
        <v>298</v>
      </c>
      <c r="W635" s="41"/>
      <c r="X635" s="41"/>
      <c r="Y635" s="34"/>
      <c r="Z635" s="34"/>
      <c r="AA635" s="35">
        <f>IF(TA[[#This Row],[Work Start time on Fault]]="NA","",(TA[[#This Row],[Fault Acknowledgement Time ]]-TA[[#This Row],[Fault Time]])*24)</f>
        <v>0</v>
      </c>
      <c r="AB635" s="35">
        <f>(TA[[#This Row],[Work Start time on Fault]]-TA[[#This Row],[Fault Time]])*24</f>
        <v>0</v>
      </c>
      <c r="AC635" s="34">
        <f>(TA[[#This Row],[Work Completion time on fault]]-TA[[#This Row],[Fault Time]])*24</f>
        <v>0</v>
      </c>
      <c r="AD635" s="35">
        <f>IFERROR((TA[[#This Row],[Work Completion time on fault]]-TA[[#This Row],[Fault Time]])*24,"")</f>
        <v>0</v>
      </c>
      <c r="AE635" t="s">
        <v>328</v>
      </c>
      <c r="AF635" t="s">
        <v>256</v>
      </c>
      <c r="AG635" s="2"/>
      <c r="AH635" s="44">
        <f>1-COS(RADIANS(TA[[#This Row],[Avg. Target Angle during Fault Time (Radians)]]-TA[[#This Row],[Angle of affected equipment ]]))</f>
        <v>0.11705240714107301</v>
      </c>
      <c r="AI635" s="35">
        <f>IFERROR(TA[[#This Row],[Breakdown Time]]*TA[[#This Row],[Plant Equivalent Weightage]],"")</f>
        <v>0</v>
      </c>
    </row>
    <row r="636" spans="1:35">
      <c r="A636" s="2">
        <f t="shared" si="36"/>
        <v>633</v>
      </c>
      <c r="B636" s="156">
        <f t="shared" si="39"/>
        <v>2026</v>
      </c>
      <c r="C636" s="129">
        <f t="shared" si="40"/>
        <v>2025</v>
      </c>
      <c r="D636" s="2" t="s">
        <v>155</v>
      </c>
      <c r="E636" s="2" t="s">
        <v>155</v>
      </c>
      <c r="F636" s="39">
        <v>45778</v>
      </c>
      <c r="G636" s="2">
        <f>DAY(EOMONTH(TA[[#This Row],[Month Year]],0))</f>
        <v>31</v>
      </c>
      <c r="H636" s="21">
        <v>45788</v>
      </c>
      <c r="I636" s="41">
        <f>IFERROR(VLOOKUP(TA[[#This Row],[Date]],Raw_Data[[Date]:[Sunset Time (POA&lt;20 W/m2)]],3,0),"")</f>
        <v>0.25208333333333333</v>
      </c>
      <c r="J636" s="41">
        <f>IFERROR(VLOOKUP(TA[[#This Row],[Date]],Raw_Data[[Date]:[Sunset Time (POA&lt;20 W/m2)]],4,0),"")</f>
        <v>0.75694444444444442</v>
      </c>
      <c r="K636" s="35">
        <f>IFERROR((TA[[#This Row],[Sunset Time (POA&lt;20 W/m2)]]-TA[[#This Row],[Sunrise Time (POA&gt;20 W/m2)]])*24,"")</f>
        <v>12.116666666666667</v>
      </c>
      <c r="L636" s="2" t="s">
        <v>294</v>
      </c>
      <c r="M636" s="42">
        <f>IFERROR(VLOOKUP(TA[[#This Row],[Affected Equipment]],'Basic Data'!$I$2:$K$40,3,0),"")</f>
        <v>1.7241379310344799E-3</v>
      </c>
      <c r="N636">
        <v>-28</v>
      </c>
      <c r="O636" t="s">
        <v>135</v>
      </c>
      <c r="P636" s="127" t="s">
        <v>318</v>
      </c>
      <c r="Q636" s="126" t="s">
        <v>318</v>
      </c>
      <c r="R636">
        <v>131</v>
      </c>
      <c r="S636" s="2">
        <v>39</v>
      </c>
      <c r="T636" t="s">
        <v>295</v>
      </c>
      <c r="U636" t="s">
        <v>300</v>
      </c>
      <c r="V636" t="s">
        <v>298</v>
      </c>
      <c r="W636" s="41"/>
      <c r="X636" s="41"/>
      <c r="Y636" s="34"/>
      <c r="Z636" s="34"/>
      <c r="AA636" s="35">
        <f>IF(TA[[#This Row],[Work Start time on Fault]]="NA","",(TA[[#This Row],[Fault Acknowledgement Time ]]-TA[[#This Row],[Fault Time]])*24)</f>
        <v>0</v>
      </c>
      <c r="AB636" s="35">
        <f>(TA[[#This Row],[Work Start time on Fault]]-TA[[#This Row],[Fault Time]])*24</f>
        <v>0</v>
      </c>
      <c r="AC636" s="34">
        <f>(TA[[#This Row],[Work Completion time on fault]]-TA[[#This Row],[Fault Time]])*24</f>
        <v>0</v>
      </c>
      <c r="AD636" s="35">
        <f>IFERROR((TA[[#This Row],[Work Completion time on fault]]-TA[[#This Row],[Fault Time]])*24,"")</f>
        <v>0</v>
      </c>
      <c r="AE636" t="s">
        <v>328</v>
      </c>
      <c r="AF636" t="s">
        <v>256</v>
      </c>
      <c r="AG636" s="2"/>
      <c r="AH636" s="44">
        <f>1-COS(RADIANS(TA[[#This Row],[Avg. Target Angle during Fault Time (Radians)]]-TA[[#This Row],[Angle of affected equipment ]]))</f>
        <v>0.11705240714107301</v>
      </c>
      <c r="AI636" s="35">
        <f>IFERROR(TA[[#This Row],[Breakdown Time]]*TA[[#This Row],[Plant Equivalent Weightage]],"")</f>
        <v>0</v>
      </c>
    </row>
    <row r="637" spans="1:35">
      <c r="A637" s="2">
        <f t="shared" si="36"/>
        <v>634</v>
      </c>
      <c r="B637" s="156">
        <f t="shared" si="39"/>
        <v>2026</v>
      </c>
      <c r="C637" s="129">
        <f t="shared" si="40"/>
        <v>2025</v>
      </c>
      <c r="D637" s="2" t="s">
        <v>155</v>
      </c>
      <c r="E637" s="2" t="s">
        <v>155</v>
      </c>
      <c r="F637" s="39">
        <v>45778</v>
      </c>
      <c r="G637" s="2">
        <f>DAY(EOMONTH(TA[[#This Row],[Month Year]],0))</f>
        <v>31</v>
      </c>
      <c r="H637" s="21">
        <v>45788</v>
      </c>
      <c r="I637" s="41">
        <f>IFERROR(VLOOKUP(TA[[#This Row],[Date]],Raw_Data[[Date]:[Sunset Time (POA&lt;20 W/m2)]],3,0),"")</f>
        <v>0.25208333333333333</v>
      </c>
      <c r="J637" s="41">
        <f>IFERROR(VLOOKUP(TA[[#This Row],[Date]],Raw_Data[[Date]:[Sunset Time (POA&lt;20 W/m2)]],4,0),"")</f>
        <v>0.75694444444444442</v>
      </c>
      <c r="K637" s="35">
        <f>IFERROR((TA[[#This Row],[Sunset Time (POA&lt;20 W/m2)]]-TA[[#This Row],[Sunrise Time (POA&gt;20 W/m2)]])*24,"")</f>
        <v>12.116666666666667</v>
      </c>
      <c r="L637" s="2" t="s">
        <v>296</v>
      </c>
      <c r="M637" s="42">
        <f>IFERROR(VLOOKUP(TA[[#This Row],[Affected Equipment]],'Basic Data'!$I$2:$K$40,3,0),"")</f>
        <v>8.6206896551724102E-3</v>
      </c>
      <c r="N637">
        <v>-28</v>
      </c>
      <c r="O637" t="s">
        <v>135</v>
      </c>
      <c r="P637" s="127" t="s">
        <v>318</v>
      </c>
      <c r="Q637" s="2" t="s">
        <v>321</v>
      </c>
      <c r="R637">
        <v>133</v>
      </c>
      <c r="S637" s="2">
        <v>26</v>
      </c>
      <c r="T637" t="s">
        <v>297</v>
      </c>
      <c r="U637" t="s">
        <v>300</v>
      </c>
      <c r="V637" t="s">
        <v>314</v>
      </c>
      <c r="W637" s="41">
        <f>IFERROR(VLOOKUP(TA[[#This Row],[Date]],Raw_Data[[Date]:[Sunset Time (POA&lt;20 W/m2)]],3,0),"")</f>
        <v>0.25208333333333333</v>
      </c>
      <c r="X637" s="41">
        <f>IFERROR(VLOOKUP(TA[[#This Row],[Date]],Raw_Data[[Date]:[Sunset Time (POA&lt;20 W/m2)]],3,0),"")</f>
        <v>0.25208333333333333</v>
      </c>
      <c r="Y637" s="34"/>
      <c r="Z637" s="34">
        <v>0.76041666666666663</v>
      </c>
      <c r="AA637" s="35">
        <f>IF(TA[[#This Row],[Work Start time on Fault]]="NA","",(TA[[#This Row],[Fault Acknowledgement Time ]]-TA[[#This Row],[Fault Time]])*24)</f>
        <v>0</v>
      </c>
      <c r="AB637" s="35">
        <f>(TA[[#This Row],[Work Start time on Fault]]-TA[[#This Row],[Fault Time]])*24</f>
        <v>-6.05</v>
      </c>
      <c r="AC637" s="34">
        <f>(TA[[#This Row],[Work Completion time on fault]]-TA[[#This Row],[Fault Time]])*24</f>
        <v>12.2</v>
      </c>
      <c r="AD637" s="35">
        <f>IFERROR((TA[[#This Row],[Work Completion time on fault]]-TA[[#This Row],[Fault Time]])*24,"")</f>
        <v>12.2</v>
      </c>
      <c r="AE637" t="s">
        <v>328</v>
      </c>
      <c r="AF637" t="s">
        <v>256</v>
      </c>
      <c r="AG637" s="2"/>
      <c r="AH637" s="44">
        <f>1-COS(RADIANS(TA[[#This Row],[Avg. Target Angle during Fault Time (Radians)]]-TA[[#This Row],[Angle of affected equipment ]]))</f>
        <v>0.11705240714107301</v>
      </c>
      <c r="AI637" s="35">
        <f>IFERROR(TA[[#This Row],[Breakdown Time]]*TA[[#This Row],[Plant Equivalent Weightage]],"")</f>
        <v>0.10517241379310339</v>
      </c>
    </row>
    <row r="638" spans="1:35">
      <c r="A638" s="2">
        <f t="shared" si="36"/>
        <v>635</v>
      </c>
      <c r="B638" s="156">
        <f t="shared" si="39"/>
        <v>2026</v>
      </c>
      <c r="C638" s="129">
        <f t="shared" si="40"/>
        <v>2025</v>
      </c>
      <c r="D638" s="2" t="s">
        <v>155</v>
      </c>
      <c r="E638" s="2" t="s">
        <v>155</v>
      </c>
      <c r="F638" s="39">
        <v>45778</v>
      </c>
      <c r="G638" s="2">
        <f>DAY(EOMONTH(TA[[#This Row],[Month Year]],0))</f>
        <v>31</v>
      </c>
      <c r="H638" s="21">
        <v>45788</v>
      </c>
      <c r="I638" s="41">
        <f>IFERROR(VLOOKUP(TA[[#This Row],[Date]],Raw_Data[[Date]:[Sunset Time (POA&lt;20 W/m2)]],3,0),"")</f>
        <v>0.25208333333333333</v>
      </c>
      <c r="J638" s="41">
        <f>IFERROR(VLOOKUP(TA[[#This Row],[Date]],Raw_Data[[Date]:[Sunset Time (POA&lt;20 W/m2)]],4,0),"")</f>
        <v>0.75694444444444442</v>
      </c>
      <c r="K638" s="35">
        <f>IFERROR((TA[[#This Row],[Sunset Time (POA&lt;20 W/m2)]]-TA[[#This Row],[Sunrise Time (POA&gt;20 W/m2)]])*24,"")</f>
        <v>12.116666666666667</v>
      </c>
      <c r="L638" s="2" t="s">
        <v>294</v>
      </c>
      <c r="M638" s="42">
        <f>IFERROR(VLOOKUP(TA[[#This Row],[Affected Equipment]],'Basic Data'!$I$2:$K$40,3,0),"")</f>
        <v>1.7241379310344799E-3</v>
      </c>
      <c r="N638">
        <v>-28</v>
      </c>
      <c r="O638" t="s">
        <v>133</v>
      </c>
      <c r="P638" s="127" t="s">
        <v>316</v>
      </c>
      <c r="Q638" s="126" t="s">
        <v>317</v>
      </c>
      <c r="R638">
        <v>7</v>
      </c>
      <c r="S638" s="2">
        <v>32</v>
      </c>
      <c r="T638" t="s">
        <v>295</v>
      </c>
      <c r="U638" t="s">
        <v>300</v>
      </c>
      <c r="V638" t="s">
        <v>298</v>
      </c>
      <c r="W638" s="41"/>
      <c r="X638" s="41"/>
      <c r="Y638" s="34"/>
      <c r="Z638" s="34"/>
      <c r="AA638" s="35">
        <f>IF(TA[[#This Row],[Work Start time on Fault]]="NA","",(TA[[#This Row],[Fault Acknowledgement Time ]]-TA[[#This Row],[Fault Time]])*24)</f>
        <v>0</v>
      </c>
      <c r="AB638" s="35">
        <f>(TA[[#This Row],[Work Start time on Fault]]-TA[[#This Row],[Fault Time]])*24</f>
        <v>0</v>
      </c>
      <c r="AC638" s="34">
        <f>(TA[[#This Row],[Work Completion time on fault]]-TA[[#This Row],[Fault Time]])*24</f>
        <v>0</v>
      </c>
      <c r="AD638" s="35">
        <f>IFERROR((TA[[#This Row],[Work Completion time on fault]]-TA[[#This Row],[Fault Time]])*24,"")</f>
        <v>0</v>
      </c>
      <c r="AE638" t="s">
        <v>328</v>
      </c>
      <c r="AF638" t="s">
        <v>256</v>
      </c>
      <c r="AG638" s="2"/>
      <c r="AH638" s="44">
        <f>1-COS(RADIANS(TA[[#This Row],[Avg. Target Angle during Fault Time (Radians)]]-TA[[#This Row],[Angle of affected equipment ]]))</f>
        <v>0.11705240714107301</v>
      </c>
      <c r="AI638" s="35">
        <f>IFERROR(TA[[#This Row],[Breakdown Time]]*TA[[#This Row],[Plant Equivalent Weightage]],"")</f>
        <v>0</v>
      </c>
    </row>
    <row r="639" spans="1:35">
      <c r="A639" s="2">
        <f t="shared" si="36"/>
        <v>636</v>
      </c>
      <c r="B639" s="156">
        <f t="shared" si="39"/>
        <v>2026</v>
      </c>
      <c r="C639" s="129">
        <f t="shared" si="40"/>
        <v>2025</v>
      </c>
      <c r="D639" s="2" t="s">
        <v>155</v>
      </c>
      <c r="E639" s="2" t="s">
        <v>155</v>
      </c>
      <c r="F639" s="39">
        <v>45778</v>
      </c>
      <c r="G639" s="2">
        <f>DAY(EOMONTH(TA[[#This Row],[Month Year]],0))</f>
        <v>31</v>
      </c>
      <c r="H639" s="21">
        <v>45788</v>
      </c>
      <c r="I639" s="41">
        <f>IFERROR(VLOOKUP(TA[[#This Row],[Date]],Raw_Data[[Date]:[Sunset Time (POA&lt;20 W/m2)]],3,0),"")</f>
        <v>0.25208333333333333</v>
      </c>
      <c r="J639" s="41">
        <f>IFERROR(VLOOKUP(TA[[#This Row],[Date]],Raw_Data[[Date]:[Sunset Time (POA&lt;20 W/m2)]],4,0),"")</f>
        <v>0.75694444444444442</v>
      </c>
      <c r="K639" s="35">
        <f>IFERROR((TA[[#This Row],[Sunset Time (POA&lt;20 W/m2)]]-TA[[#This Row],[Sunrise Time (POA&gt;20 W/m2)]])*24,"")</f>
        <v>12.116666666666667</v>
      </c>
      <c r="L639" s="2" t="s">
        <v>294</v>
      </c>
      <c r="M639" s="42">
        <f>IFERROR(VLOOKUP(TA[[#This Row],[Affected Equipment]],'Basic Data'!$I$2:$K$40,3,0),"")</f>
        <v>1.7241379310344799E-3</v>
      </c>
      <c r="N639">
        <v>-28</v>
      </c>
      <c r="O639" t="s">
        <v>137</v>
      </c>
      <c r="P639" s="127" t="s">
        <v>315</v>
      </c>
      <c r="Q639" s="126" t="s">
        <v>319</v>
      </c>
      <c r="R639">
        <v>166</v>
      </c>
      <c r="S639" s="2">
        <v>91</v>
      </c>
      <c r="T639" t="s">
        <v>295</v>
      </c>
      <c r="U639" t="s">
        <v>300</v>
      </c>
      <c r="V639" t="s">
        <v>298</v>
      </c>
      <c r="W639" s="41"/>
      <c r="X639" s="41"/>
      <c r="Y639" s="34"/>
      <c r="Z639" s="34"/>
      <c r="AA639" s="35">
        <f>IF(TA[[#This Row],[Work Start time on Fault]]="NA","",(TA[[#This Row],[Fault Acknowledgement Time ]]-TA[[#This Row],[Fault Time]])*24)</f>
        <v>0</v>
      </c>
      <c r="AB639" s="35">
        <f>(TA[[#This Row],[Work Start time on Fault]]-TA[[#This Row],[Fault Time]])*24</f>
        <v>0</v>
      </c>
      <c r="AC639" s="34">
        <f>(TA[[#This Row],[Work Completion time on fault]]-TA[[#This Row],[Fault Time]])*24</f>
        <v>0</v>
      </c>
      <c r="AD639" s="35">
        <f>IFERROR((TA[[#This Row],[Work Completion time on fault]]-TA[[#This Row],[Fault Time]])*24,"")</f>
        <v>0</v>
      </c>
      <c r="AE639" t="s">
        <v>328</v>
      </c>
      <c r="AF639" t="s">
        <v>256</v>
      </c>
      <c r="AG639" s="2"/>
      <c r="AH639" s="44">
        <f>1-COS(RADIANS(TA[[#This Row],[Avg. Target Angle during Fault Time (Radians)]]-TA[[#This Row],[Angle of affected equipment ]]))</f>
        <v>0.11705240714107301</v>
      </c>
      <c r="AI639" s="35">
        <f>IFERROR(TA[[#This Row],[Breakdown Time]]*TA[[#This Row],[Plant Equivalent Weightage]],"")</f>
        <v>0</v>
      </c>
    </row>
    <row r="640" spans="1:35">
      <c r="A640" s="2">
        <f t="shared" si="36"/>
        <v>637</v>
      </c>
      <c r="B640" s="156">
        <f t="shared" si="39"/>
        <v>2026</v>
      </c>
      <c r="C640" s="129">
        <f t="shared" si="40"/>
        <v>2025</v>
      </c>
      <c r="D640" s="2" t="s">
        <v>155</v>
      </c>
      <c r="E640" s="2" t="s">
        <v>155</v>
      </c>
      <c r="F640" s="39">
        <v>45778</v>
      </c>
      <c r="G640" s="2">
        <f>DAY(EOMONTH(TA[[#This Row],[Month Year]],0))</f>
        <v>31</v>
      </c>
      <c r="H640" s="21">
        <v>45788</v>
      </c>
      <c r="I640" s="41">
        <f>IFERROR(VLOOKUP(TA[[#This Row],[Date]],Raw_Data[[Date]:[Sunset Time (POA&lt;20 W/m2)]],3,0),"")</f>
        <v>0.25208333333333333</v>
      </c>
      <c r="J640" s="41">
        <f>IFERROR(VLOOKUP(TA[[#This Row],[Date]],Raw_Data[[Date]:[Sunset Time (POA&lt;20 W/m2)]],4,0),"")</f>
        <v>0.75694444444444442</v>
      </c>
      <c r="K640" s="35">
        <f>IFERROR((TA[[#This Row],[Sunset Time (POA&lt;20 W/m2)]]-TA[[#This Row],[Sunrise Time (POA&gt;20 W/m2)]])*24,"")</f>
        <v>12.116666666666667</v>
      </c>
      <c r="L640" s="2" t="s">
        <v>294</v>
      </c>
      <c r="M640" s="42">
        <f>IFERROR(VLOOKUP(TA[[#This Row],[Affected Equipment]],'Basic Data'!$I$2:$K$40,3,0),"")</f>
        <v>1.7241379310344799E-3</v>
      </c>
      <c r="N640">
        <v>-28</v>
      </c>
      <c r="O640" t="s">
        <v>133</v>
      </c>
      <c r="P640" s="127" t="s">
        <v>316</v>
      </c>
      <c r="Q640" s="126" t="s">
        <v>316</v>
      </c>
      <c r="R640">
        <v>117</v>
      </c>
      <c r="S640" s="2">
        <v>20</v>
      </c>
      <c r="T640" t="s">
        <v>295</v>
      </c>
      <c r="U640" t="s">
        <v>300</v>
      </c>
      <c r="V640" t="s">
        <v>298</v>
      </c>
      <c r="W640" s="41"/>
      <c r="X640" s="41"/>
      <c r="Y640" s="34"/>
      <c r="Z640" s="34"/>
      <c r="AA640" s="35">
        <f>IF(TA[[#This Row],[Work Start time on Fault]]="NA","",(TA[[#This Row],[Fault Acknowledgement Time ]]-TA[[#This Row],[Fault Time]])*24)</f>
        <v>0</v>
      </c>
      <c r="AB640" s="35">
        <f>(TA[[#This Row],[Work Start time on Fault]]-TA[[#This Row],[Fault Time]])*24</f>
        <v>0</v>
      </c>
      <c r="AC640" s="34">
        <f>(TA[[#This Row],[Work Completion time on fault]]-TA[[#This Row],[Fault Time]])*24</f>
        <v>0</v>
      </c>
      <c r="AD640" s="35">
        <f>IFERROR((TA[[#This Row],[Work Completion time on fault]]-TA[[#This Row],[Fault Time]])*24,"")</f>
        <v>0</v>
      </c>
      <c r="AE640" t="s">
        <v>328</v>
      </c>
      <c r="AF640" t="s">
        <v>256</v>
      </c>
      <c r="AG640" s="2"/>
      <c r="AH640" s="44">
        <f>1-COS(RADIANS(TA[[#This Row],[Avg. Target Angle during Fault Time (Radians)]]-TA[[#This Row],[Angle of affected equipment ]]))</f>
        <v>0.11705240714107301</v>
      </c>
      <c r="AI640" s="35">
        <f>IFERROR(TA[[#This Row],[Breakdown Time]]*TA[[#This Row],[Plant Equivalent Weightage]],"")</f>
        <v>0</v>
      </c>
    </row>
    <row r="641" spans="1:35">
      <c r="A641" s="2">
        <f t="shared" si="36"/>
        <v>638</v>
      </c>
      <c r="B641" s="156">
        <f t="shared" si="39"/>
        <v>2026</v>
      </c>
      <c r="C641" s="129">
        <f t="shared" si="40"/>
        <v>2025</v>
      </c>
      <c r="D641" s="2" t="s">
        <v>155</v>
      </c>
      <c r="E641" s="2" t="s">
        <v>155</v>
      </c>
      <c r="F641" s="39">
        <v>45778</v>
      </c>
      <c r="G641" s="2">
        <f>DAY(EOMONTH(TA[[#This Row],[Month Year]],0))</f>
        <v>31</v>
      </c>
      <c r="H641" s="21">
        <v>45788</v>
      </c>
      <c r="I641" s="41">
        <f>IFERROR(VLOOKUP(TA[[#This Row],[Date]],Raw_Data[[Date]:[Sunset Time (POA&lt;20 W/m2)]],3,0),"")</f>
        <v>0.25208333333333333</v>
      </c>
      <c r="J641" s="41">
        <f>IFERROR(VLOOKUP(TA[[#This Row],[Date]],Raw_Data[[Date]:[Sunset Time (POA&lt;20 W/m2)]],4,0),"")</f>
        <v>0.75694444444444442</v>
      </c>
      <c r="K641" s="35">
        <f>IFERROR((TA[[#This Row],[Sunset Time (POA&lt;20 W/m2)]]-TA[[#This Row],[Sunrise Time (POA&gt;20 W/m2)]])*24,"")</f>
        <v>12.116666666666667</v>
      </c>
      <c r="L641" s="2" t="s">
        <v>294</v>
      </c>
      <c r="M641" s="42">
        <f>IFERROR(VLOOKUP(TA[[#This Row],[Affected Equipment]],'Basic Data'!$I$2:$K$40,3,0),"")</f>
        <v>1.7241379310344799E-3</v>
      </c>
      <c r="N641">
        <v>-28</v>
      </c>
      <c r="O641" t="s">
        <v>133</v>
      </c>
      <c r="P641" s="127" t="s">
        <v>316</v>
      </c>
      <c r="Q641" s="126" t="s">
        <v>316</v>
      </c>
      <c r="R641">
        <v>118</v>
      </c>
      <c r="S641" s="2">
        <v>22</v>
      </c>
      <c r="T641" t="s">
        <v>295</v>
      </c>
      <c r="U641" t="s">
        <v>300</v>
      </c>
      <c r="V641" t="s">
        <v>298</v>
      </c>
      <c r="W641" s="41"/>
      <c r="X641" s="41"/>
      <c r="Y641" s="34"/>
      <c r="Z641" s="34"/>
      <c r="AA641" s="35">
        <f>IF(TA[[#This Row],[Work Start time on Fault]]="NA","",(TA[[#This Row],[Fault Acknowledgement Time ]]-TA[[#This Row],[Fault Time]])*24)</f>
        <v>0</v>
      </c>
      <c r="AB641" s="35">
        <f>(TA[[#This Row],[Work Start time on Fault]]-TA[[#This Row],[Fault Time]])*24</f>
        <v>0</v>
      </c>
      <c r="AC641" s="34">
        <f>(TA[[#This Row],[Work Completion time on fault]]-TA[[#This Row],[Fault Time]])*24</f>
        <v>0</v>
      </c>
      <c r="AD641" s="35">
        <f>IFERROR((TA[[#This Row],[Work Completion time on fault]]-TA[[#This Row],[Fault Time]])*24,"")</f>
        <v>0</v>
      </c>
      <c r="AE641" t="s">
        <v>328</v>
      </c>
      <c r="AF641" t="s">
        <v>256</v>
      </c>
      <c r="AG641" s="2"/>
      <c r="AH641" s="44">
        <f>1-COS(RADIANS(TA[[#This Row],[Avg. Target Angle during Fault Time (Radians)]]-TA[[#This Row],[Angle of affected equipment ]]))</f>
        <v>0.11705240714107301</v>
      </c>
      <c r="AI641" s="35">
        <f>IFERROR(TA[[#This Row],[Breakdown Time]]*TA[[#This Row],[Plant Equivalent Weightage]],"")</f>
        <v>0</v>
      </c>
    </row>
    <row r="642" spans="1:35">
      <c r="A642" s="2">
        <f t="shared" si="36"/>
        <v>639</v>
      </c>
      <c r="B642" s="156">
        <f t="shared" si="39"/>
        <v>2026</v>
      </c>
      <c r="C642" s="129">
        <f t="shared" si="40"/>
        <v>2025</v>
      </c>
      <c r="D642" s="2" t="s">
        <v>155</v>
      </c>
      <c r="E642" s="2" t="s">
        <v>155</v>
      </c>
      <c r="F642" s="39">
        <v>45778</v>
      </c>
      <c r="G642" s="2">
        <f>DAY(EOMONTH(TA[[#This Row],[Month Year]],0))</f>
        <v>31</v>
      </c>
      <c r="H642" s="21">
        <v>45788</v>
      </c>
      <c r="I642" s="41">
        <f>IFERROR(VLOOKUP(TA[[#This Row],[Date]],Raw_Data[[Date]:[Sunset Time (POA&lt;20 W/m2)]],3,0),"")</f>
        <v>0.25208333333333333</v>
      </c>
      <c r="J642" s="41">
        <f>IFERROR(VLOOKUP(TA[[#This Row],[Date]],Raw_Data[[Date]:[Sunset Time (POA&lt;20 W/m2)]],4,0),"")</f>
        <v>0.75694444444444442</v>
      </c>
      <c r="K642" s="35">
        <f>IFERROR((TA[[#This Row],[Sunset Time (POA&lt;20 W/m2)]]-TA[[#This Row],[Sunrise Time (POA&gt;20 W/m2)]])*24,"")</f>
        <v>12.116666666666667</v>
      </c>
      <c r="L642" s="2" t="s">
        <v>296</v>
      </c>
      <c r="M642" s="42">
        <f>IFERROR(VLOOKUP(TA[[#This Row],[Affected Equipment]],'Basic Data'!$I$2:$K$40,3,0),"")</f>
        <v>8.6206896551724102E-3</v>
      </c>
      <c r="N642">
        <v>-28</v>
      </c>
      <c r="O642" t="s">
        <v>135</v>
      </c>
      <c r="P642" s="22" t="s">
        <v>323</v>
      </c>
      <c r="Q642" s="2" t="s">
        <v>329</v>
      </c>
      <c r="R642">
        <v>45</v>
      </c>
      <c r="S642" s="2">
        <v>8</v>
      </c>
      <c r="T642" t="s">
        <v>297</v>
      </c>
      <c r="U642" t="s">
        <v>300</v>
      </c>
      <c r="V642" t="s">
        <v>301</v>
      </c>
      <c r="W642" s="41"/>
      <c r="X642" s="41"/>
      <c r="Y642" s="34"/>
      <c r="Z642" s="34"/>
      <c r="AA642" s="35">
        <f>IF(TA[[#This Row],[Work Start time on Fault]]="NA","",(TA[[#This Row],[Fault Acknowledgement Time ]]-TA[[#This Row],[Fault Time]])*24)</f>
        <v>0</v>
      </c>
      <c r="AB642" s="35">
        <f>(TA[[#This Row],[Work Start time on Fault]]-TA[[#This Row],[Fault Time]])*24</f>
        <v>0</v>
      </c>
      <c r="AC642" s="34">
        <f>(TA[[#This Row],[Work Completion time on fault]]-TA[[#This Row],[Fault Time]])*24</f>
        <v>0</v>
      </c>
      <c r="AD642" s="35">
        <f>IFERROR((TA[[#This Row],[Work Completion time on fault]]-TA[[#This Row],[Fault Time]])*24,"")</f>
        <v>0</v>
      </c>
      <c r="AE642" t="s">
        <v>328</v>
      </c>
      <c r="AF642" t="s">
        <v>256</v>
      </c>
      <c r="AG642" s="2"/>
      <c r="AH642" s="44">
        <f>1-COS(RADIANS(TA[[#This Row],[Avg. Target Angle during Fault Time (Radians)]]-TA[[#This Row],[Angle of affected equipment ]]))</f>
        <v>0.11705240714107301</v>
      </c>
      <c r="AI642" s="35">
        <f>IFERROR(TA[[#This Row],[Breakdown Time]]*TA[[#This Row],[Plant Equivalent Weightage]],"")</f>
        <v>0</v>
      </c>
    </row>
    <row r="643" spans="1:35">
      <c r="A643" s="2">
        <f t="shared" si="36"/>
        <v>640</v>
      </c>
      <c r="B643" s="156">
        <f t="shared" si="39"/>
        <v>2026</v>
      </c>
      <c r="C643" s="129">
        <f t="shared" si="40"/>
        <v>2025</v>
      </c>
      <c r="D643" s="2" t="s">
        <v>155</v>
      </c>
      <c r="E643" s="2" t="s">
        <v>155</v>
      </c>
      <c r="F643" s="39">
        <v>45778</v>
      </c>
      <c r="G643" s="2">
        <f>DAY(EOMONTH(TA[[#This Row],[Month Year]],0))</f>
        <v>31</v>
      </c>
      <c r="H643" s="21">
        <v>45788</v>
      </c>
      <c r="I643" s="41">
        <f>IFERROR(VLOOKUP(TA[[#This Row],[Date]],Raw_Data[[Date]:[Sunset Time (POA&lt;20 W/m2)]],3,0),"")</f>
        <v>0.25208333333333333</v>
      </c>
      <c r="J643" s="41">
        <f>IFERROR(VLOOKUP(TA[[#This Row],[Date]],Raw_Data[[Date]:[Sunset Time (POA&lt;20 W/m2)]],4,0),"")</f>
        <v>0.75694444444444442</v>
      </c>
      <c r="K643" s="35">
        <f>IFERROR((TA[[#This Row],[Sunset Time (POA&lt;20 W/m2)]]-TA[[#This Row],[Sunrise Time (POA&gt;20 W/m2)]])*24,"")</f>
        <v>12.116666666666667</v>
      </c>
      <c r="L643" s="2" t="s">
        <v>296</v>
      </c>
      <c r="M643" s="42">
        <f>IFERROR(VLOOKUP(TA[[#This Row],[Affected Equipment]],'Basic Data'!$I$2:$K$40,3,0),"")</f>
        <v>8.6206896551724102E-3</v>
      </c>
      <c r="N643">
        <v>-28</v>
      </c>
      <c r="O643" t="s">
        <v>135</v>
      </c>
      <c r="P643" s="22" t="s">
        <v>323</v>
      </c>
      <c r="Q643" s="2" t="s">
        <v>329</v>
      </c>
      <c r="R643">
        <v>47</v>
      </c>
      <c r="S643" s="2">
        <v>18</v>
      </c>
      <c r="T643" t="s">
        <v>297</v>
      </c>
      <c r="U643" t="s">
        <v>300</v>
      </c>
      <c r="V643" t="s">
        <v>301</v>
      </c>
      <c r="W643" s="41"/>
      <c r="X643" s="41"/>
      <c r="Y643" s="34"/>
      <c r="Z643" s="34"/>
      <c r="AA643" s="35">
        <f>IF(TA[[#This Row],[Work Start time on Fault]]="NA","",(TA[[#This Row],[Fault Acknowledgement Time ]]-TA[[#This Row],[Fault Time]])*24)</f>
        <v>0</v>
      </c>
      <c r="AB643" s="35">
        <f>(TA[[#This Row],[Work Start time on Fault]]-TA[[#This Row],[Fault Time]])*24</f>
        <v>0</v>
      </c>
      <c r="AC643" s="34">
        <f>(TA[[#This Row],[Work Completion time on fault]]-TA[[#This Row],[Fault Time]])*24</f>
        <v>0</v>
      </c>
      <c r="AD643" s="35">
        <f>IFERROR((TA[[#This Row],[Work Completion time on fault]]-TA[[#This Row],[Fault Time]])*24,"")</f>
        <v>0</v>
      </c>
      <c r="AE643" t="s">
        <v>328</v>
      </c>
      <c r="AF643" t="s">
        <v>256</v>
      </c>
      <c r="AG643" s="2"/>
      <c r="AH643" s="44">
        <f>1-COS(RADIANS(TA[[#This Row],[Avg. Target Angle during Fault Time (Radians)]]-TA[[#This Row],[Angle of affected equipment ]]))</f>
        <v>0.11705240714107301</v>
      </c>
      <c r="AI643" s="35">
        <f>IFERROR(TA[[#This Row],[Breakdown Time]]*TA[[#This Row],[Plant Equivalent Weightage]],"")</f>
        <v>0</v>
      </c>
    </row>
    <row r="644" spans="1:35">
      <c r="A644" s="2">
        <f t="shared" si="36"/>
        <v>641</v>
      </c>
      <c r="B644" s="156">
        <f t="shared" si="39"/>
        <v>2026</v>
      </c>
      <c r="C644" s="129">
        <f t="shared" si="40"/>
        <v>2025</v>
      </c>
      <c r="D644" s="2" t="s">
        <v>155</v>
      </c>
      <c r="E644" s="2" t="s">
        <v>155</v>
      </c>
      <c r="F644" s="39">
        <v>45778</v>
      </c>
      <c r="G644" s="2">
        <f>DAY(EOMONTH(TA[[#This Row],[Month Year]],0))</f>
        <v>31</v>
      </c>
      <c r="H644" s="21">
        <v>45788</v>
      </c>
      <c r="I644" s="41">
        <f>IFERROR(VLOOKUP(TA[[#This Row],[Date]],Raw_Data[[Date]:[Sunset Time (POA&lt;20 W/m2)]],3,0),"")</f>
        <v>0.25208333333333333</v>
      </c>
      <c r="J644" s="41">
        <f>IFERROR(VLOOKUP(TA[[#This Row],[Date]],Raw_Data[[Date]:[Sunset Time (POA&lt;20 W/m2)]],4,0),"")</f>
        <v>0.75694444444444442</v>
      </c>
      <c r="K644" s="35">
        <f>IFERROR((TA[[#This Row],[Sunset Time (POA&lt;20 W/m2)]]-TA[[#This Row],[Sunrise Time (POA&gt;20 W/m2)]])*24,"")</f>
        <v>12.116666666666667</v>
      </c>
      <c r="L644" s="2" t="s">
        <v>296</v>
      </c>
      <c r="M644" s="42">
        <f>IFERROR(VLOOKUP(TA[[#This Row],[Affected Equipment]],'Basic Data'!$I$2:$K$40,3,0),"")</f>
        <v>8.6206896551724102E-3</v>
      </c>
      <c r="N644">
        <v>-28</v>
      </c>
      <c r="O644" t="s">
        <v>134</v>
      </c>
      <c r="P644" s="22" t="s">
        <v>330</v>
      </c>
      <c r="Q644" s="2" t="s">
        <v>323</v>
      </c>
      <c r="R644">
        <v>30</v>
      </c>
      <c r="S644" s="2">
        <v>57</v>
      </c>
      <c r="T644" t="s">
        <v>297</v>
      </c>
      <c r="U644" t="s">
        <v>300</v>
      </c>
      <c r="V644" t="s">
        <v>301</v>
      </c>
      <c r="W644" s="41"/>
      <c r="X644" s="41"/>
      <c r="Y644" s="34"/>
      <c r="Z644" s="34"/>
      <c r="AA644" s="35">
        <f>IF(TA[[#This Row],[Work Start time on Fault]]="NA","",(TA[[#This Row],[Fault Acknowledgement Time ]]-TA[[#This Row],[Fault Time]])*24)</f>
        <v>0</v>
      </c>
      <c r="AB644" s="35">
        <f>(TA[[#This Row],[Work Start time on Fault]]-TA[[#This Row],[Fault Time]])*24</f>
        <v>0</v>
      </c>
      <c r="AC644" s="34">
        <f>(TA[[#This Row],[Work Completion time on fault]]-TA[[#This Row],[Fault Time]])*24</f>
        <v>0</v>
      </c>
      <c r="AD644" s="35">
        <f>IFERROR((TA[[#This Row],[Work Completion time on fault]]-TA[[#This Row],[Fault Time]])*24,"")</f>
        <v>0</v>
      </c>
      <c r="AE644" t="s">
        <v>328</v>
      </c>
      <c r="AF644" t="s">
        <v>256</v>
      </c>
      <c r="AG644" s="2"/>
      <c r="AH644" s="44">
        <f>1-COS(RADIANS(TA[[#This Row],[Avg. Target Angle during Fault Time (Radians)]]-TA[[#This Row],[Angle of affected equipment ]]))</f>
        <v>0.11705240714107301</v>
      </c>
      <c r="AI644" s="35">
        <f>IFERROR(TA[[#This Row],[Breakdown Time]]*TA[[#This Row],[Plant Equivalent Weightage]],"")</f>
        <v>0</v>
      </c>
    </row>
    <row r="645" spans="1:35">
      <c r="A645" s="2">
        <f t="shared" si="36"/>
        <v>642</v>
      </c>
      <c r="B645" s="156">
        <f t="shared" si="39"/>
        <v>2026</v>
      </c>
      <c r="C645" s="129">
        <f t="shared" si="40"/>
        <v>2025</v>
      </c>
      <c r="D645" s="2" t="s">
        <v>155</v>
      </c>
      <c r="E645" s="2" t="s">
        <v>155</v>
      </c>
      <c r="F645" s="39">
        <v>45778</v>
      </c>
      <c r="G645" s="2">
        <f>DAY(EOMONTH(TA[[#This Row],[Month Year]],0))</f>
        <v>31</v>
      </c>
      <c r="H645" s="21">
        <v>45788</v>
      </c>
      <c r="I645" s="41">
        <f>IFERROR(VLOOKUP(TA[[#This Row],[Date]],Raw_Data[[Date]:[Sunset Time (POA&lt;20 W/m2)]],3,0),"")</f>
        <v>0.25208333333333333</v>
      </c>
      <c r="J645" s="41">
        <f>IFERROR(VLOOKUP(TA[[#This Row],[Date]],Raw_Data[[Date]:[Sunset Time (POA&lt;20 W/m2)]],4,0),"")</f>
        <v>0.75694444444444442</v>
      </c>
      <c r="K645" s="35">
        <f>IFERROR((TA[[#This Row],[Sunset Time (POA&lt;20 W/m2)]]-TA[[#This Row],[Sunrise Time (POA&gt;20 W/m2)]])*24,"")</f>
        <v>12.116666666666667</v>
      </c>
      <c r="L645" s="2" t="s">
        <v>296</v>
      </c>
      <c r="M645" s="42">
        <f>IFERROR(VLOOKUP(TA[[#This Row],[Affected Equipment]],'Basic Data'!$I$2:$K$40,3,0),"")</f>
        <v>8.6206896551724102E-3</v>
      </c>
      <c r="N645">
        <v>-28</v>
      </c>
      <c r="O645" t="s">
        <v>134</v>
      </c>
      <c r="P645" s="22" t="s">
        <v>330</v>
      </c>
      <c r="Q645" s="2" t="s">
        <v>323</v>
      </c>
      <c r="R645">
        <v>31</v>
      </c>
      <c r="S645" s="2">
        <v>61</v>
      </c>
      <c r="T645" t="s">
        <v>297</v>
      </c>
      <c r="U645" t="s">
        <v>300</v>
      </c>
      <c r="V645" t="s">
        <v>301</v>
      </c>
      <c r="W645" s="41"/>
      <c r="X645" s="41"/>
      <c r="Y645" s="34"/>
      <c r="Z645" s="34"/>
      <c r="AA645" s="35">
        <f>IF(TA[[#This Row],[Work Start time on Fault]]="NA","",(TA[[#This Row],[Fault Acknowledgement Time ]]-TA[[#This Row],[Fault Time]])*24)</f>
        <v>0</v>
      </c>
      <c r="AB645" s="35">
        <f>(TA[[#This Row],[Work Start time on Fault]]-TA[[#This Row],[Fault Time]])*24</f>
        <v>0</v>
      </c>
      <c r="AC645" s="34">
        <f>(TA[[#This Row],[Work Completion time on fault]]-TA[[#This Row],[Fault Time]])*24</f>
        <v>0</v>
      </c>
      <c r="AD645" s="35">
        <f>IFERROR((TA[[#This Row],[Work Completion time on fault]]-TA[[#This Row],[Fault Time]])*24,"")</f>
        <v>0</v>
      </c>
      <c r="AE645" t="s">
        <v>328</v>
      </c>
      <c r="AF645" t="s">
        <v>256</v>
      </c>
      <c r="AG645" s="2"/>
      <c r="AH645" s="44">
        <f>1-COS(RADIANS(TA[[#This Row],[Avg. Target Angle during Fault Time (Radians)]]-TA[[#This Row],[Angle of affected equipment ]]))</f>
        <v>0.11705240714107301</v>
      </c>
      <c r="AI645" s="35">
        <f>IFERROR(TA[[#This Row],[Breakdown Time]]*TA[[#This Row],[Plant Equivalent Weightage]],"")</f>
        <v>0</v>
      </c>
    </row>
    <row r="646" spans="1:35">
      <c r="A646" s="2">
        <f t="shared" si="36"/>
        <v>643</v>
      </c>
      <c r="B646" s="156">
        <f t="shared" si="39"/>
        <v>2026</v>
      </c>
      <c r="C646" s="129">
        <f t="shared" si="40"/>
        <v>2025</v>
      </c>
      <c r="D646" s="2" t="s">
        <v>155</v>
      </c>
      <c r="E646" s="2" t="s">
        <v>155</v>
      </c>
      <c r="F646" s="39">
        <v>45778</v>
      </c>
      <c r="G646" s="2">
        <f>DAY(EOMONTH(TA[[#This Row],[Month Year]],0))</f>
        <v>31</v>
      </c>
      <c r="H646" s="21">
        <v>45788</v>
      </c>
      <c r="I646" s="41">
        <f>IFERROR(VLOOKUP(TA[[#This Row],[Date]],Raw_Data[[Date]:[Sunset Time (POA&lt;20 W/m2)]],3,0),"")</f>
        <v>0.25208333333333333</v>
      </c>
      <c r="J646" s="41">
        <f>IFERROR(VLOOKUP(TA[[#This Row],[Date]],Raw_Data[[Date]:[Sunset Time (POA&lt;20 W/m2)]],4,0),"")</f>
        <v>0.75694444444444442</v>
      </c>
      <c r="K646" s="35">
        <f>IFERROR((TA[[#This Row],[Sunset Time (POA&lt;20 W/m2)]]-TA[[#This Row],[Sunrise Time (POA&gt;20 W/m2)]])*24,"")</f>
        <v>12.116666666666667</v>
      </c>
      <c r="L646" s="2" t="s">
        <v>312</v>
      </c>
      <c r="M646" s="42">
        <f>IFERROR(VLOOKUP(TA[[#This Row],[Affected Equipment]],'Basic Data'!$I$2:$K$40,3,0),"")</f>
        <v>5.74712643678161E-3</v>
      </c>
      <c r="N646">
        <v>-28</v>
      </c>
      <c r="O646" t="s">
        <v>133</v>
      </c>
      <c r="P646" s="22" t="s">
        <v>330</v>
      </c>
      <c r="Q646" s="2" t="s">
        <v>323</v>
      </c>
      <c r="R646">
        <v>26</v>
      </c>
      <c r="S646" s="2">
        <v>37</v>
      </c>
      <c r="T646" t="s">
        <v>297</v>
      </c>
      <c r="U646" t="s">
        <v>300</v>
      </c>
      <c r="V646" t="s">
        <v>301</v>
      </c>
      <c r="W646" s="41"/>
      <c r="X646" s="41"/>
      <c r="Y646" s="34"/>
      <c r="Z646" s="34"/>
      <c r="AA646" s="35">
        <f>IF(TA[[#This Row],[Work Start time on Fault]]="NA","",(TA[[#This Row],[Fault Acknowledgement Time ]]-TA[[#This Row],[Fault Time]])*24)</f>
        <v>0</v>
      </c>
      <c r="AB646" s="35">
        <f>(TA[[#This Row],[Work Start time on Fault]]-TA[[#This Row],[Fault Time]])*24</f>
        <v>0</v>
      </c>
      <c r="AC646" s="34">
        <f>(TA[[#This Row],[Work Completion time on fault]]-TA[[#This Row],[Fault Time]])*24</f>
        <v>0</v>
      </c>
      <c r="AD646" s="35">
        <f>IFERROR((TA[[#This Row],[Work Completion time on fault]]-TA[[#This Row],[Fault Time]])*24,"")</f>
        <v>0</v>
      </c>
      <c r="AE646" t="s">
        <v>328</v>
      </c>
      <c r="AF646" t="s">
        <v>256</v>
      </c>
      <c r="AG646" s="2"/>
      <c r="AH646" s="44">
        <f>1-COS(RADIANS(TA[[#This Row],[Avg. Target Angle during Fault Time (Radians)]]-TA[[#This Row],[Angle of affected equipment ]]))</f>
        <v>0.11705240714107301</v>
      </c>
      <c r="AI646" s="35">
        <f>IFERROR(TA[[#This Row],[Breakdown Time]]*TA[[#This Row],[Plant Equivalent Weightage]],"")</f>
        <v>0</v>
      </c>
    </row>
    <row r="647" spans="1:35">
      <c r="A647" s="2">
        <f t="shared" si="36"/>
        <v>644</v>
      </c>
      <c r="B647" s="156">
        <f t="shared" si="39"/>
        <v>2026</v>
      </c>
      <c r="C647" s="129">
        <f t="shared" si="40"/>
        <v>2025</v>
      </c>
      <c r="D647" s="2" t="s">
        <v>155</v>
      </c>
      <c r="E647" s="2" t="s">
        <v>155</v>
      </c>
      <c r="F647" s="39">
        <v>45778</v>
      </c>
      <c r="G647" s="2">
        <f>DAY(EOMONTH(TA[[#This Row],[Month Year]],0))</f>
        <v>31</v>
      </c>
      <c r="H647" s="21">
        <v>45788</v>
      </c>
      <c r="I647" s="41">
        <f>IFERROR(VLOOKUP(TA[[#This Row],[Date]],Raw_Data[[Date]:[Sunset Time (POA&lt;20 W/m2)]],3,0),"")</f>
        <v>0.25208333333333333</v>
      </c>
      <c r="J647" s="41">
        <f>IFERROR(VLOOKUP(TA[[#This Row],[Date]],Raw_Data[[Date]:[Sunset Time (POA&lt;20 W/m2)]],4,0),"")</f>
        <v>0.75694444444444442</v>
      </c>
      <c r="K647" s="35">
        <f>IFERROR((TA[[#This Row],[Sunset Time (POA&lt;20 W/m2)]]-TA[[#This Row],[Sunrise Time (POA&gt;20 W/m2)]])*24,"")</f>
        <v>12.116666666666667</v>
      </c>
      <c r="L647" s="2" t="s">
        <v>312</v>
      </c>
      <c r="M647" s="42">
        <f>IFERROR(VLOOKUP(TA[[#This Row],[Affected Equipment]],'Basic Data'!$I$2:$K$40,3,0),"")</f>
        <v>5.74712643678161E-3</v>
      </c>
      <c r="N647">
        <v>-28</v>
      </c>
      <c r="O647" t="s">
        <v>133</v>
      </c>
      <c r="P647" s="22" t="s">
        <v>330</v>
      </c>
      <c r="Q647" s="2" t="s">
        <v>323</v>
      </c>
      <c r="R647">
        <v>27</v>
      </c>
      <c r="S647" s="2">
        <v>42</v>
      </c>
      <c r="T647" t="s">
        <v>297</v>
      </c>
      <c r="U647" t="s">
        <v>300</v>
      </c>
      <c r="V647" t="s">
        <v>301</v>
      </c>
      <c r="W647" s="41">
        <f>IFERROR(VLOOKUP(TA[[#This Row],[Date]],Raw_Data[[Date]:[Sunset Time (POA&lt;20 W/m2)]],3,0),"")</f>
        <v>0.25208333333333333</v>
      </c>
      <c r="X647" s="41">
        <f>IFERROR(VLOOKUP(TA[[#This Row],[Date]],Raw_Data[[Date]:[Sunset Time (POA&lt;20 W/m2)]],3,0),"")</f>
        <v>0.25208333333333333</v>
      </c>
      <c r="Y647" s="34"/>
      <c r="Z647" s="34">
        <v>0.76041666666666663</v>
      </c>
      <c r="AA647" s="35">
        <f>IF(TA[[#This Row],[Work Start time on Fault]]="NA","",(TA[[#This Row],[Fault Acknowledgement Time ]]-TA[[#This Row],[Fault Time]])*24)</f>
        <v>0</v>
      </c>
      <c r="AB647" s="35">
        <f>(TA[[#This Row],[Work Start time on Fault]]-TA[[#This Row],[Fault Time]])*24</f>
        <v>-6.05</v>
      </c>
      <c r="AC647" s="34">
        <f>(TA[[#This Row],[Work Completion time on fault]]-TA[[#This Row],[Fault Time]])*24</f>
        <v>12.2</v>
      </c>
      <c r="AD647" s="35">
        <f>IFERROR((TA[[#This Row],[Work Completion time on fault]]-TA[[#This Row],[Fault Time]])*24,"")</f>
        <v>12.2</v>
      </c>
      <c r="AE647" t="s">
        <v>309</v>
      </c>
      <c r="AF647" t="s">
        <v>256</v>
      </c>
      <c r="AG647" s="2"/>
      <c r="AH647" s="44">
        <f>1-COS(RADIANS(TA[[#This Row],[Avg. Target Angle during Fault Time (Radians)]]-TA[[#This Row],[Angle of affected equipment ]]))</f>
        <v>0.11705240714107301</v>
      </c>
      <c r="AI647" s="35">
        <f>IFERROR(TA[[#This Row],[Breakdown Time]]*TA[[#This Row],[Plant Equivalent Weightage]],"")</f>
        <v>7.0114942528735638E-2</v>
      </c>
    </row>
    <row r="648" spans="1:35">
      <c r="A648" s="2">
        <f t="shared" si="36"/>
        <v>645</v>
      </c>
      <c r="B648" s="156">
        <f t="shared" ref="B648:B661" si="41">YEAR(H648)+IF(MONTH(H648)&gt;=4,1,0)</f>
        <v>2026</v>
      </c>
      <c r="C648" s="129">
        <f t="shared" ref="C648:C661" si="42">YEAR(H648)</f>
        <v>2025</v>
      </c>
      <c r="D648" s="2" t="s">
        <v>155</v>
      </c>
      <c r="E648" s="2" t="s">
        <v>155</v>
      </c>
      <c r="F648" s="39">
        <v>45778</v>
      </c>
      <c r="G648" s="2">
        <f>DAY(EOMONTH(TA[[#This Row],[Month Year]],0))</f>
        <v>31</v>
      </c>
      <c r="H648" s="21">
        <v>45789</v>
      </c>
      <c r="I648" s="41">
        <f>IFERROR(VLOOKUP(TA[[#This Row],[Date]],Raw_Data[[Date]:[Sunset Time (POA&lt;20 W/m2)]],3,0),"")</f>
        <v>0.25416666666666665</v>
      </c>
      <c r="J648" s="41">
        <f>IFERROR(VLOOKUP(TA[[#This Row],[Date]],Raw_Data[[Date]:[Sunset Time (POA&lt;20 W/m2)]],4,0),"")</f>
        <v>0.75</v>
      </c>
      <c r="K648" s="35">
        <f>IFERROR((TA[[#This Row],[Sunset Time (POA&lt;20 W/m2)]]-TA[[#This Row],[Sunrise Time (POA&gt;20 W/m2)]])*24,"")</f>
        <v>11.9</v>
      </c>
      <c r="L648" s="2" t="s">
        <v>294</v>
      </c>
      <c r="M648" s="42">
        <f>IFERROR(VLOOKUP(TA[[#This Row],[Affected Equipment]],'Basic Data'!$I$2:$K$40,3,0),"")</f>
        <v>1.7241379310344799E-3</v>
      </c>
      <c r="N648">
        <v>-28</v>
      </c>
      <c r="O648" t="s">
        <v>135</v>
      </c>
      <c r="P648" s="127" t="s">
        <v>318</v>
      </c>
      <c r="Q648" s="126" t="s">
        <v>318</v>
      </c>
      <c r="R648">
        <v>130</v>
      </c>
      <c r="S648" s="2">
        <v>37</v>
      </c>
      <c r="T648" t="s">
        <v>295</v>
      </c>
      <c r="U648" t="s">
        <v>300</v>
      </c>
      <c r="V648" t="s">
        <v>298</v>
      </c>
      <c r="W648" s="41"/>
      <c r="X648" s="41"/>
      <c r="Y648" s="34"/>
      <c r="Z648" s="34"/>
      <c r="AA648" s="35">
        <f>IF(TA[[#This Row],[Work Start time on Fault]]="NA","",(TA[[#This Row],[Fault Acknowledgement Time ]]-TA[[#This Row],[Fault Time]])*24)</f>
        <v>0</v>
      </c>
      <c r="AB648" s="35">
        <f>(TA[[#This Row],[Work Start time on Fault]]-TA[[#This Row],[Fault Time]])*24</f>
        <v>0</v>
      </c>
      <c r="AC648" s="34">
        <f>(TA[[#This Row],[Work Completion time on fault]]-TA[[#This Row],[Fault Time]])*24</f>
        <v>0</v>
      </c>
      <c r="AD648" s="35">
        <f>IFERROR((TA[[#This Row],[Work Completion time on fault]]-TA[[#This Row],[Fault Time]])*24,"")</f>
        <v>0</v>
      </c>
      <c r="AE648" t="s">
        <v>328</v>
      </c>
      <c r="AF648" t="s">
        <v>256</v>
      </c>
      <c r="AG648" s="2"/>
      <c r="AH648" s="44">
        <f>1-COS(RADIANS(TA[[#This Row],[Avg. Target Angle during Fault Time (Radians)]]-TA[[#This Row],[Angle of affected equipment ]]))</f>
        <v>0.11705240714107301</v>
      </c>
      <c r="AI648" s="35">
        <f>IFERROR(TA[[#This Row],[Breakdown Time]]*TA[[#This Row],[Plant Equivalent Weightage]],"")</f>
        <v>0</v>
      </c>
    </row>
    <row r="649" spans="1:35">
      <c r="A649" s="2">
        <f t="shared" si="36"/>
        <v>646</v>
      </c>
      <c r="B649" s="156">
        <f t="shared" si="41"/>
        <v>2026</v>
      </c>
      <c r="C649" s="129">
        <f t="shared" si="42"/>
        <v>2025</v>
      </c>
      <c r="D649" s="2" t="s">
        <v>155</v>
      </c>
      <c r="E649" s="2" t="s">
        <v>155</v>
      </c>
      <c r="F649" s="39">
        <v>45778</v>
      </c>
      <c r="G649" s="2">
        <f>DAY(EOMONTH(TA[[#This Row],[Month Year]],0))</f>
        <v>31</v>
      </c>
      <c r="H649" s="21">
        <v>45789</v>
      </c>
      <c r="I649" s="41">
        <f>IFERROR(VLOOKUP(TA[[#This Row],[Date]],Raw_Data[[Date]:[Sunset Time (POA&lt;20 W/m2)]],3,0),"")</f>
        <v>0.25416666666666665</v>
      </c>
      <c r="J649" s="41">
        <f>IFERROR(VLOOKUP(TA[[#This Row],[Date]],Raw_Data[[Date]:[Sunset Time (POA&lt;20 W/m2)]],4,0),"")</f>
        <v>0.75</v>
      </c>
      <c r="K649" s="35">
        <f>IFERROR((TA[[#This Row],[Sunset Time (POA&lt;20 W/m2)]]-TA[[#This Row],[Sunrise Time (POA&gt;20 W/m2)]])*24,"")</f>
        <v>11.9</v>
      </c>
      <c r="L649" s="2" t="s">
        <v>294</v>
      </c>
      <c r="M649" s="42">
        <f>IFERROR(VLOOKUP(TA[[#This Row],[Affected Equipment]],'Basic Data'!$I$2:$K$40,3,0),"")</f>
        <v>1.7241379310344799E-3</v>
      </c>
      <c r="N649">
        <v>-28</v>
      </c>
      <c r="O649" t="s">
        <v>135</v>
      </c>
      <c r="P649" s="127" t="s">
        <v>318</v>
      </c>
      <c r="Q649" s="126" t="s">
        <v>318</v>
      </c>
      <c r="R649">
        <v>131</v>
      </c>
      <c r="S649" s="2">
        <v>38</v>
      </c>
      <c r="T649" t="s">
        <v>295</v>
      </c>
      <c r="U649" t="s">
        <v>300</v>
      </c>
      <c r="V649" t="s">
        <v>298</v>
      </c>
      <c r="W649" s="41"/>
      <c r="X649" s="41"/>
      <c r="Y649" s="34"/>
      <c r="Z649" s="34"/>
      <c r="AA649" s="35">
        <f>IF(TA[[#This Row],[Work Start time on Fault]]="NA","",(TA[[#This Row],[Fault Acknowledgement Time ]]-TA[[#This Row],[Fault Time]])*24)</f>
        <v>0</v>
      </c>
      <c r="AB649" s="35">
        <f>(TA[[#This Row],[Work Start time on Fault]]-TA[[#This Row],[Fault Time]])*24</f>
        <v>0</v>
      </c>
      <c r="AC649" s="34">
        <f>(TA[[#This Row],[Work Completion time on fault]]-TA[[#This Row],[Fault Time]])*24</f>
        <v>0</v>
      </c>
      <c r="AD649" s="35">
        <f>IFERROR((TA[[#This Row],[Work Completion time on fault]]-TA[[#This Row],[Fault Time]])*24,"")</f>
        <v>0</v>
      </c>
      <c r="AE649" t="s">
        <v>328</v>
      </c>
      <c r="AF649" t="s">
        <v>256</v>
      </c>
      <c r="AG649" s="2"/>
      <c r="AH649" s="44">
        <f>1-COS(RADIANS(TA[[#This Row],[Avg. Target Angle during Fault Time (Radians)]]-TA[[#This Row],[Angle of affected equipment ]]))</f>
        <v>0.11705240714107301</v>
      </c>
      <c r="AI649" s="35">
        <f>IFERROR(TA[[#This Row],[Breakdown Time]]*TA[[#This Row],[Plant Equivalent Weightage]],"")</f>
        <v>0</v>
      </c>
    </row>
    <row r="650" spans="1:35">
      <c r="A650" s="2">
        <f t="shared" si="36"/>
        <v>647</v>
      </c>
      <c r="B650" s="156">
        <f t="shared" si="41"/>
        <v>2026</v>
      </c>
      <c r="C650" s="129">
        <f t="shared" si="42"/>
        <v>2025</v>
      </c>
      <c r="D650" s="2" t="s">
        <v>155</v>
      </c>
      <c r="E650" s="2" t="s">
        <v>155</v>
      </c>
      <c r="F650" s="39">
        <v>45778</v>
      </c>
      <c r="G650" s="2">
        <f>DAY(EOMONTH(TA[[#This Row],[Month Year]],0))</f>
        <v>31</v>
      </c>
      <c r="H650" s="21">
        <v>45789</v>
      </c>
      <c r="I650" s="41">
        <f>IFERROR(VLOOKUP(TA[[#This Row],[Date]],Raw_Data[[Date]:[Sunset Time (POA&lt;20 W/m2)]],3,0),"")</f>
        <v>0.25416666666666665</v>
      </c>
      <c r="J650" s="41">
        <f>IFERROR(VLOOKUP(TA[[#This Row],[Date]],Raw_Data[[Date]:[Sunset Time (POA&lt;20 W/m2)]],4,0),"")</f>
        <v>0.75</v>
      </c>
      <c r="K650" s="35">
        <f>IFERROR((TA[[#This Row],[Sunset Time (POA&lt;20 W/m2)]]-TA[[#This Row],[Sunrise Time (POA&gt;20 W/m2)]])*24,"")</f>
        <v>11.9</v>
      </c>
      <c r="L650" s="2" t="s">
        <v>294</v>
      </c>
      <c r="M650" s="42">
        <f>IFERROR(VLOOKUP(TA[[#This Row],[Affected Equipment]],'Basic Data'!$I$2:$K$40,3,0),"")</f>
        <v>1.7241379310344799E-3</v>
      </c>
      <c r="N650">
        <v>-28</v>
      </c>
      <c r="O650" t="s">
        <v>135</v>
      </c>
      <c r="P650" s="127" t="s">
        <v>318</v>
      </c>
      <c r="Q650" s="126" t="s">
        <v>318</v>
      </c>
      <c r="R650">
        <v>131</v>
      </c>
      <c r="S650" s="2">
        <v>39</v>
      </c>
      <c r="T650" t="s">
        <v>295</v>
      </c>
      <c r="U650" t="s">
        <v>300</v>
      </c>
      <c r="V650" t="s">
        <v>298</v>
      </c>
      <c r="W650" s="41"/>
      <c r="X650" s="41"/>
      <c r="Y650" s="34"/>
      <c r="Z650" s="34"/>
      <c r="AA650" s="35">
        <f>IF(TA[[#This Row],[Work Start time on Fault]]="NA","",(TA[[#This Row],[Fault Acknowledgement Time ]]-TA[[#This Row],[Fault Time]])*24)</f>
        <v>0</v>
      </c>
      <c r="AB650" s="35">
        <f>(TA[[#This Row],[Work Start time on Fault]]-TA[[#This Row],[Fault Time]])*24</f>
        <v>0</v>
      </c>
      <c r="AC650" s="34">
        <f>(TA[[#This Row],[Work Completion time on fault]]-TA[[#This Row],[Fault Time]])*24</f>
        <v>0</v>
      </c>
      <c r="AD650" s="35">
        <f>IFERROR((TA[[#This Row],[Work Completion time on fault]]-TA[[#This Row],[Fault Time]])*24,"")</f>
        <v>0</v>
      </c>
      <c r="AE650" t="s">
        <v>328</v>
      </c>
      <c r="AF650" t="s">
        <v>256</v>
      </c>
      <c r="AG650" s="2"/>
      <c r="AH650" s="44">
        <f>1-COS(RADIANS(TA[[#This Row],[Avg. Target Angle during Fault Time (Radians)]]-TA[[#This Row],[Angle of affected equipment ]]))</f>
        <v>0.11705240714107301</v>
      </c>
      <c r="AI650" s="35">
        <f>IFERROR(TA[[#This Row],[Breakdown Time]]*TA[[#This Row],[Plant Equivalent Weightage]],"")</f>
        <v>0</v>
      </c>
    </row>
    <row r="651" spans="1:35">
      <c r="A651" s="2">
        <f t="shared" si="36"/>
        <v>648</v>
      </c>
      <c r="B651" s="156">
        <f t="shared" si="41"/>
        <v>2026</v>
      </c>
      <c r="C651" s="129">
        <f t="shared" si="42"/>
        <v>2025</v>
      </c>
      <c r="D651" s="2" t="s">
        <v>155</v>
      </c>
      <c r="E651" s="2" t="s">
        <v>155</v>
      </c>
      <c r="F651" s="39">
        <v>45778</v>
      </c>
      <c r="G651" s="2">
        <f>DAY(EOMONTH(TA[[#This Row],[Month Year]],0))</f>
        <v>31</v>
      </c>
      <c r="H651" s="21">
        <v>45789</v>
      </c>
      <c r="I651" s="41">
        <f>IFERROR(VLOOKUP(TA[[#This Row],[Date]],Raw_Data[[Date]:[Sunset Time (POA&lt;20 W/m2)]],3,0),"")</f>
        <v>0.25416666666666665</v>
      </c>
      <c r="J651" s="41">
        <f>IFERROR(VLOOKUP(TA[[#This Row],[Date]],Raw_Data[[Date]:[Sunset Time (POA&lt;20 W/m2)]],4,0),"")</f>
        <v>0.75</v>
      </c>
      <c r="K651" s="35">
        <f>IFERROR((TA[[#This Row],[Sunset Time (POA&lt;20 W/m2)]]-TA[[#This Row],[Sunrise Time (POA&gt;20 W/m2)]])*24,"")</f>
        <v>11.9</v>
      </c>
      <c r="L651" s="2" t="s">
        <v>296</v>
      </c>
      <c r="M651" s="42">
        <f>IFERROR(VLOOKUP(TA[[#This Row],[Affected Equipment]],'Basic Data'!$I$2:$K$40,3,0),"")</f>
        <v>8.6206896551724102E-3</v>
      </c>
      <c r="N651">
        <v>-28</v>
      </c>
      <c r="O651" t="s">
        <v>135</v>
      </c>
      <c r="P651" s="127" t="s">
        <v>318</v>
      </c>
      <c r="Q651" s="2" t="s">
        <v>321</v>
      </c>
      <c r="R651">
        <v>133</v>
      </c>
      <c r="S651" s="2">
        <v>26</v>
      </c>
      <c r="T651" t="s">
        <v>297</v>
      </c>
      <c r="U651" t="s">
        <v>300</v>
      </c>
      <c r="V651" t="s">
        <v>314</v>
      </c>
      <c r="W651" s="41">
        <f>IFERROR(VLOOKUP(TA[[#This Row],[Date]],Raw_Data[[Date]:[Sunset Time (POA&lt;20 W/m2)]],3,0),"")</f>
        <v>0.25416666666666665</v>
      </c>
      <c r="X651" s="41">
        <f>IFERROR(VLOOKUP(TA[[#This Row],[Date]],Raw_Data[[Date]:[Sunset Time (POA&lt;20 W/m2)]],3,0),"")</f>
        <v>0.25416666666666665</v>
      </c>
      <c r="Y651" s="34"/>
      <c r="Z651" s="34">
        <v>0.76041666666666663</v>
      </c>
      <c r="AA651" s="35">
        <f>IF(TA[[#This Row],[Work Start time on Fault]]="NA","",(TA[[#This Row],[Fault Acknowledgement Time ]]-TA[[#This Row],[Fault Time]])*24)</f>
        <v>0</v>
      </c>
      <c r="AB651" s="35">
        <f>(TA[[#This Row],[Work Start time on Fault]]-TA[[#This Row],[Fault Time]])*24</f>
        <v>-6.1</v>
      </c>
      <c r="AC651" s="34">
        <f>(TA[[#This Row],[Work Completion time on fault]]-TA[[#This Row],[Fault Time]])*24</f>
        <v>12.149999999999999</v>
      </c>
      <c r="AD651" s="35">
        <f>IFERROR((TA[[#This Row],[Work Completion time on fault]]-TA[[#This Row],[Fault Time]])*24,"")</f>
        <v>12.149999999999999</v>
      </c>
      <c r="AE651" t="s">
        <v>328</v>
      </c>
      <c r="AF651" t="s">
        <v>256</v>
      </c>
      <c r="AG651" s="2"/>
      <c r="AH651" s="44">
        <f>1-COS(RADIANS(TA[[#This Row],[Avg. Target Angle during Fault Time (Radians)]]-TA[[#This Row],[Angle of affected equipment ]]))</f>
        <v>0.11705240714107301</v>
      </c>
      <c r="AI651" s="35">
        <f>IFERROR(TA[[#This Row],[Breakdown Time]]*TA[[#This Row],[Plant Equivalent Weightage]],"")</f>
        <v>0.10474137931034477</v>
      </c>
    </row>
    <row r="652" spans="1:35">
      <c r="A652" s="2">
        <f t="shared" si="36"/>
        <v>649</v>
      </c>
      <c r="B652" s="156">
        <f t="shared" si="41"/>
        <v>2026</v>
      </c>
      <c r="C652" s="129">
        <f t="shared" si="42"/>
        <v>2025</v>
      </c>
      <c r="D652" s="2" t="s">
        <v>155</v>
      </c>
      <c r="E652" s="2" t="s">
        <v>155</v>
      </c>
      <c r="F652" s="39">
        <v>45778</v>
      </c>
      <c r="G652" s="2">
        <f>DAY(EOMONTH(TA[[#This Row],[Month Year]],0))</f>
        <v>31</v>
      </c>
      <c r="H652" s="21">
        <v>45789</v>
      </c>
      <c r="I652" s="41">
        <f>IFERROR(VLOOKUP(TA[[#This Row],[Date]],Raw_Data[[Date]:[Sunset Time (POA&lt;20 W/m2)]],3,0),"")</f>
        <v>0.25416666666666665</v>
      </c>
      <c r="J652" s="41">
        <f>IFERROR(VLOOKUP(TA[[#This Row],[Date]],Raw_Data[[Date]:[Sunset Time (POA&lt;20 W/m2)]],4,0),"")</f>
        <v>0.75</v>
      </c>
      <c r="K652" s="35">
        <f>IFERROR((TA[[#This Row],[Sunset Time (POA&lt;20 W/m2)]]-TA[[#This Row],[Sunrise Time (POA&gt;20 W/m2)]])*24,"")</f>
        <v>11.9</v>
      </c>
      <c r="L652" s="2" t="s">
        <v>294</v>
      </c>
      <c r="M652" s="42">
        <f>IFERROR(VLOOKUP(TA[[#This Row],[Affected Equipment]],'Basic Data'!$I$2:$K$40,3,0),"")</f>
        <v>1.7241379310344799E-3</v>
      </c>
      <c r="N652">
        <v>-28</v>
      </c>
      <c r="O652" t="s">
        <v>133</v>
      </c>
      <c r="P652" s="127" t="s">
        <v>316</v>
      </c>
      <c r="Q652" s="126" t="s">
        <v>317</v>
      </c>
      <c r="R652">
        <v>7</v>
      </c>
      <c r="S652" s="2">
        <v>32</v>
      </c>
      <c r="T652" t="s">
        <v>295</v>
      </c>
      <c r="U652" t="s">
        <v>300</v>
      </c>
      <c r="V652" t="s">
        <v>298</v>
      </c>
      <c r="W652" s="41"/>
      <c r="X652" s="41"/>
      <c r="Y652" s="34"/>
      <c r="Z652" s="34"/>
      <c r="AA652" s="35">
        <f>IF(TA[[#This Row],[Work Start time on Fault]]="NA","",(TA[[#This Row],[Fault Acknowledgement Time ]]-TA[[#This Row],[Fault Time]])*24)</f>
        <v>0</v>
      </c>
      <c r="AB652" s="35">
        <f>(TA[[#This Row],[Work Start time on Fault]]-TA[[#This Row],[Fault Time]])*24</f>
        <v>0</v>
      </c>
      <c r="AC652" s="34">
        <f>(TA[[#This Row],[Work Completion time on fault]]-TA[[#This Row],[Fault Time]])*24</f>
        <v>0</v>
      </c>
      <c r="AD652" s="35">
        <f>IFERROR((TA[[#This Row],[Work Completion time on fault]]-TA[[#This Row],[Fault Time]])*24,"")</f>
        <v>0</v>
      </c>
      <c r="AE652" t="s">
        <v>328</v>
      </c>
      <c r="AF652" t="s">
        <v>256</v>
      </c>
      <c r="AG652" s="2"/>
      <c r="AH652" s="44">
        <f>1-COS(RADIANS(TA[[#This Row],[Avg. Target Angle during Fault Time (Radians)]]-TA[[#This Row],[Angle of affected equipment ]]))</f>
        <v>0.11705240714107301</v>
      </c>
      <c r="AI652" s="35">
        <f>IFERROR(TA[[#This Row],[Breakdown Time]]*TA[[#This Row],[Plant Equivalent Weightage]],"")</f>
        <v>0</v>
      </c>
    </row>
    <row r="653" spans="1:35">
      <c r="A653" s="2">
        <f t="shared" si="36"/>
        <v>650</v>
      </c>
      <c r="B653" s="156">
        <f t="shared" si="41"/>
        <v>2026</v>
      </c>
      <c r="C653" s="129">
        <f t="shared" si="42"/>
        <v>2025</v>
      </c>
      <c r="D653" s="2" t="s">
        <v>155</v>
      </c>
      <c r="E653" s="2" t="s">
        <v>155</v>
      </c>
      <c r="F653" s="39">
        <v>45778</v>
      </c>
      <c r="G653" s="2">
        <f>DAY(EOMONTH(TA[[#This Row],[Month Year]],0))</f>
        <v>31</v>
      </c>
      <c r="H653" s="21">
        <v>45789</v>
      </c>
      <c r="I653" s="41">
        <f>IFERROR(VLOOKUP(TA[[#This Row],[Date]],Raw_Data[[Date]:[Sunset Time (POA&lt;20 W/m2)]],3,0),"")</f>
        <v>0.25416666666666665</v>
      </c>
      <c r="J653" s="41">
        <f>IFERROR(VLOOKUP(TA[[#This Row],[Date]],Raw_Data[[Date]:[Sunset Time (POA&lt;20 W/m2)]],4,0),"")</f>
        <v>0.75</v>
      </c>
      <c r="K653" s="35">
        <f>IFERROR((TA[[#This Row],[Sunset Time (POA&lt;20 W/m2)]]-TA[[#This Row],[Sunrise Time (POA&gt;20 W/m2)]])*24,"")</f>
        <v>11.9</v>
      </c>
      <c r="L653" s="2" t="s">
        <v>294</v>
      </c>
      <c r="M653" s="42">
        <f>IFERROR(VLOOKUP(TA[[#This Row],[Affected Equipment]],'Basic Data'!$I$2:$K$40,3,0),"")</f>
        <v>1.7241379310344799E-3</v>
      </c>
      <c r="N653">
        <v>-28</v>
      </c>
      <c r="O653" t="s">
        <v>137</v>
      </c>
      <c r="P653" s="127" t="s">
        <v>315</v>
      </c>
      <c r="Q653" s="126" t="s">
        <v>319</v>
      </c>
      <c r="R653">
        <v>166</v>
      </c>
      <c r="S653" s="2">
        <v>91</v>
      </c>
      <c r="T653" t="s">
        <v>295</v>
      </c>
      <c r="U653" t="s">
        <v>300</v>
      </c>
      <c r="V653" t="s">
        <v>298</v>
      </c>
      <c r="W653" s="41"/>
      <c r="X653" s="41"/>
      <c r="Y653" s="34"/>
      <c r="Z653" s="34"/>
      <c r="AA653" s="35">
        <f>IF(TA[[#This Row],[Work Start time on Fault]]="NA","",(TA[[#This Row],[Fault Acknowledgement Time ]]-TA[[#This Row],[Fault Time]])*24)</f>
        <v>0</v>
      </c>
      <c r="AB653" s="35">
        <f>(TA[[#This Row],[Work Start time on Fault]]-TA[[#This Row],[Fault Time]])*24</f>
        <v>0</v>
      </c>
      <c r="AC653" s="34">
        <f>(TA[[#This Row],[Work Completion time on fault]]-TA[[#This Row],[Fault Time]])*24</f>
        <v>0</v>
      </c>
      <c r="AD653" s="35">
        <f>IFERROR((TA[[#This Row],[Work Completion time on fault]]-TA[[#This Row],[Fault Time]])*24,"")</f>
        <v>0</v>
      </c>
      <c r="AE653" t="s">
        <v>328</v>
      </c>
      <c r="AF653" t="s">
        <v>256</v>
      </c>
      <c r="AG653" s="2"/>
      <c r="AH653" s="44">
        <f>1-COS(RADIANS(TA[[#This Row],[Avg. Target Angle during Fault Time (Radians)]]-TA[[#This Row],[Angle of affected equipment ]]))</f>
        <v>0.11705240714107301</v>
      </c>
      <c r="AI653" s="35">
        <f>IFERROR(TA[[#This Row],[Breakdown Time]]*TA[[#This Row],[Plant Equivalent Weightage]],"")</f>
        <v>0</v>
      </c>
    </row>
    <row r="654" spans="1:35">
      <c r="A654" s="2">
        <f t="shared" si="36"/>
        <v>651</v>
      </c>
      <c r="B654" s="156">
        <f t="shared" si="41"/>
        <v>2026</v>
      </c>
      <c r="C654" s="129">
        <f t="shared" si="42"/>
        <v>2025</v>
      </c>
      <c r="D654" s="2" t="s">
        <v>155</v>
      </c>
      <c r="E654" s="2" t="s">
        <v>155</v>
      </c>
      <c r="F654" s="39">
        <v>45778</v>
      </c>
      <c r="G654" s="2">
        <f>DAY(EOMONTH(TA[[#This Row],[Month Year]],0))</f>
        <v>31</v>
      </c>
      <c r="H654" s="21">
        <v>45789</v>
      </c>
      <c r="I654" s="41">
        <f>IFERROR(VLOOKUP(TA[[#This Row],[Date]],Raw_Data[[Date]:[Sunset Time (POA&lt;20 W/m2)]],3,0),"")</f>
        <v>0.25416666666666665</v>
      </c>
      <c r="J654" s="41">
        <f>IFERROR(VLOOKUP(TA[[#This Row],[Date]],Raw_Data[[Date]:[Sunset Time (POA&lt;20 W/m2)]],4,0),"")</f>
        <v>0.75</v>
      </c>
      <c r="K654" s="35">
        <f>IFERROR((TA[[#This Row],[Sunset Time (POA&lt;20 W/m2)]]-TA[[#This Row],[Sunrise Time (POA&gt;20 W/m2)]])*24,"")</f>
        <v>11.9</v>
      </c>
      <c r="L654" s="2" t="s">
        <v>294</v>
      </c>
      <c r="M654" s="42">
        <f>IFERROR(VLOOKUP(TA[[#This Row],[Affected Equipment]],'Basic Data'!$I$2:$K$40,3,0),"")</f>
        <v>1.7241379310344799E-3</v>
      </c>
      <c r="N654">
        <v>-28</v>
      </c>
      <c r="O654" t="s">
        <v>133</v>
      </c>
      <c r="P654" s="127" t="s">
        <v>316</v>
      </c>
      <c r="Q654" s="126" t="s">
        <v>316</v>
      </c>
      <c r="R654">
        <v>117</v>
      </c>
      <c r="S654" s="2">
        <v>20</v>
      </c>
      <c r="T654" t="s">
        <v>295</v>
      </c>
      <c r="U654" t="s">
        <v>300</v>
      </c>
      <c r="V654" t="s">
        <v>298</v>
      </c>
      <c r="W654" s="41"/>
      <c r="X654" s="41"/>
      <c r="Y654" s="34"/>
      <c r="Z654" s="34"/>
      <c r="AA654" s="35">
        <f>IF(TA[[#This Row],[Work Start time on Fault]]="NA","",(TA[[#This Row],[Fault Acknowledgement Time ]]-TA[[#This Row],[Fault Time]])*24)</f>
        <v>0</v>
      </c>
      <c r="AB654" s="35">
        <f>(TA[[#This Row],[Work Start time on Fault]]-TA[[#This Row],[Fault Time]])*24</f>
        <v>0</v>
      </c>
      <c r="AC654" s="34">
        <f>(TA[[#This Row],[Work Completion time on fault]]-TA[[#This Row],[Fault Time]])*24</f>
        <v>0</v>
      </c>
      <c r="AD654" s="35">
        <f>IFERROR((TA[[#This Row],[Work Completion time on fault]]-TA[[#This Row],[Fault Time]])*24,"")</f>
        <v>0</v>
      </c>
      <c r="AE654" t="s">
        <v>328</v>
      </c>
      <c r="AF654" t="s">
        <v>256</v>
      </c>
      <c r="AG654" s="2"/>
      <c r="AH654" s="44">
        <f>1-COS(RADIANS(TA[[#This Row],[Avg. Target Angle during Fault Time (Radians)]]-TA[[#This Row],[Angle of affected equipment ]]))</f>
        <v>0.11705240714107301</v>
      </c>
      <c r="AI654" s="35">
        <f>IFERROR(TA[[#This Row],[Breakdown Time]]*TA[[#This Row],[Plant Equivalent Weightage]],"")</f>
        <v>0</v>
      </c>
    </row>
    <row r="655" spans="1:35">
      <c r="A655" s="2">
        <f t="shared" si="36"/>
        <v>652</v>
      </c>
      <c r="B655" s="156">
        <f t="shared" si="41"/>
        <v>2026</v>
      </c>
      <c r="C655" s="129">
        <f t="shared" si="42"/>
        <v>2025</v>
      </c>
      <c r="D655" s="2" t="s">
        <v>155</v>
      </c>
      <c r="E655" s="2" t="s">
        <v>155</v>
      </c>
      <c r="F655" s="39">
        <v>45778</v>
      </c>
      <c r="G655" s="2">
        <f>DAY(EOMONTH(TA[[#This Row],[Month Year]],0))</f>
        <v>31</v>
      </c>
      <c r="H655" s="21">
        <v>45789</v>
      </c>
      <c r="I655" s="41">
        <f>IFERROR(VLOOKUP(TA[[#This Row],[Date]],Raw_Data[[Date]:[Sunset Time (POA&lt;20 W/m2)]],3,0),"")</f>
        <v>0.25416666666666665</v>
      </c>
      <c r="J655" s="41">
        <f>IFERROR(VLOOKUP(TA[[#This Row],[Date]],Raw_Data[[Date]:[Sunset Time (POA&lt;20 W/m2)]],4,0),"")</f>
        <v>0.75</v>
      </c>
      <c r="K655" s="35">
        <f>IFERROR((TA[[#This Row],[Sunset Time (POA&lt;20 W/m2)]]-TA[[#This Row],[Sunrise Time (POA&gt;20 W/m2)]])*24,"")</f>
        <v>11.9</v>
      </c>
      <c r="L655" s="2" t="s">
        <v>294</v>
      </c>
      <c r="M655" s="42">
        <f>IFERROR(VLOOKUP(TA[[#This Row],[Affected Equipment]],'Basic Data'!$I$2:$K$40,3,0),"")</f>
        <v>1.7241379310344799E-3</v>
      </c>
      <c r="N655">
        <v>-28</v>
      </c>
      <c r="O655" t="s">
        <v>133</v>
      </c>
      <c r="P655" s="127" t="s">
        <v>316</v>
      </c>
      <c r="Q655" s="126" t="s">
        <v>316</v>
      </c>
      <c r="R655">
        <v>118</v>
      </c>
      <c r="S655" s="2">
        <v>22</v>
      </c>
      <c r="T655" t="s">
        <v>295</v>
      </c>
      <c r="U655" t="s">
        <v>300</v>
      </c>
      <c r="V655" t="s">
        <v>298</v>
      </c>
      <c r="W655" s="41"/>
      <c r="X655" s="41"/>
      <c r="Y655" s="34"/>
      <c r="Z655" s="34"/>
      <c r="AA655" s="35">
        <f>IF(TA[[#This Row],[Work Start time on Fault]]="NA","",(TA[[#This Row],[Fault Acknowledgement Time ]]-TA[[#This Row],[Fault Time]])*24)</f>
        <v>0</v>
      </c>
      <c r="AB655" s="35">
        <f>(TA[[#This Row],[Work Start time on Fault]]-TA[[#This Row],[Fault Time]])*24</f>
        <v>0</v>
      </c>
      <c r="AC655" s="34">
        <f>(TA[[#This Row],[Work Completion time on fault]]-TA[[#This Row],[Fault Time]])*24</f>
        <v>0</v>
      </c>
      <c r="AD655" s="35">
        <f>IFERROR((TA[[#This Row],[Work Completion time on fault]]-TA[[#This Row],[Fault Time]])*24,"")</f>
        <v>0</v>
      </c>
      <c r="AE655" t="s">
        <v>328</v>
      </c>
      <c r="AF655" t="s">
        <v>256</v>
      </c>
      <c r="AG655" s="2"/>
      <c r="AH655" s="44">
        <f>1-COS(RADIANS(TA[[#This Row],[Avg. Target Angle during Fault Time (Radians)]]-TA[[#This Row],[Angle of affected equipment ]]))</f>
        <v>0.11705240714107301</v>
      </c>
      <c r="AI655" s="35">
        <f>IFERROR(TA[[#This Row],[Breakdown Time]]*TA[[#This Row],[Plant Equivalent Weightage]],"")</f>
        <v>0</v>
      </c>
    </row>
    <row r="656" spans="1:35">
      <c r="A656" s="2">
        <f t="shared" si="36"/>
        <v>653</v>
      </c>
      <c r="B656" s="156">
        <f t="shared" si="41"/>
        <v>2026</v>
      </c>
      <c r="C656" s="129">
        <f t="shared" si="42"/>
        <v>2025</v>
      </c>
      <c r="D656" s="2" t="s">
        <v>155</v>
      </c>
      <c r="E656" s="2" t="s">
        <v>155</v>
      </c>
      <c r="F656" s="39">
        <v>45778</v>
      </c>
      <c r="G656" s="2">
        <f>DAY(EOMONTH(TA[[#This Row],[Month Year]],0))</f>
        <v>31</v>
      </c>
      <c r="H656" s="21">
        <v>45789</v>
      </c>
      <c r="I656" s="41">
        <f>IFERROR(VLOOKUP(TA[[#This Row],[Date]],Raw_Data[[Date]:[Sunset Time (POA&lt;20 W/m2)]],3,0),"")</f>
        <v>0.25416666666666665</v>
      </c>
      <c r="J656" s="41">
        <f>IFERROR(VLOOKUP(TA[[#This Row],[Date]],Raw_Data[[Date]:[Sunset Time (POA&lt;20 W/m2)]],4,0),"")</f>
        <v>0.75</v>
      </c>
      <c r="K656" s="35">
        <f>IFERROR((TA[[#This Row],[Sunset Time (POA&lt;20 W/m2)]]-TA[[#This Row],[Sunrise Time (POA&gt;20 W/m2)]])*24,"")</f>
        <v>11.9</v>
      </c>
      <c r="L656" s="2" t="s">
        <v>296</v>
      </c>
      <c r="M656" s="42">
        <f>IFERROR(VLOOKUP(TA[[#This Row],[Affected Equipment]],'Basic Data'!$I$2:$K$40,3,0),"")</f>
        <v>8.6206896551724102E-3</v>
      </c>
      <c r="N656">
        <v>-28</v>
      </c>
      <c r="O656" t="s">
        <v>135</v>
      </c>
      <c r="P656" s="22" t="s">
        <v>323</v>
      </c>
      <c r="Q656" s="2" t="s">
        <v>329</v>
      </c>
      <c r="R656">
        <v>45</v>
      </c>
      <c r="S656" s="2">
        <v>8</v>
      </c>
      <c r="T656" t="s">
        <v>297</v>
      </c>
      <c r="U656" t="s">
        <v>300</v>
      </c>
      <c r="V656" t="s">
        <v>301</v>
      </c>
      <c r="W656" s="41"/>
      <c r="X656" s="41"/>
      <c r="Y656" s="34"/>
      <c r="Z656" s="34"/>
      <c r="AA656" s="35">
        <f>IF(TA[[#This Row],[Work Start time on Fault]]="NA","",(TA[[#This Row],[Fault Acknowledgement Time ]]-TA[[#This Row],[Fault Time]])*24)</f>
        <v>0</v>
      </c>
      <c r="AB656" s="35">
        <f>(TA[[#This Row],[Work Start time on Fault]]-TA[[#This Row],[Fault Time]])*24</f>
        <v>0</v>
      </c>
      <c r="AC656" s="34">
        <f>(TA[[#This Row],[Work Completion time on fault]]-TA[[#This Row],[Fault Time]])*24</f>
        <v>0</v>
      </c>
      <c r="AD656" s="35">
        <f>IFERROR((TA[[#This Row],[Work Completion time on fault]]-TA[[#This Row],[Fault Time]])*24,"")</f>
        <v>0</v>
      </c>
      <c r="AE656" t="s">
        <v>328</v>
      </c>
      <c r="AF656" t="s">
        <v>256</v>
      </c>
      <c r="AG656" s="2"/>
      <c r="AH656" s="44">
        <f>1-COS(RADIANS(TA[[#This Row],[Avg. Target Angle during Fault Time (Radians)]]-TA[[#This Row],[Angle of affected equipment ]]))</f>
        <v>0.11705240714107301</v>
      </c>
      <c r="AI656" s="35">
        <f>IFERROR(TA[[#This Row],[Breakdown Time]]*TA[[#This Row],[Plant Equivalent Weightage]],"")</f>
        <v>0</v>
      </c>
    </row>
    <row r="657" spans="1:35">
      <c r="A657" s="2">
        <f t="shared" si="36"/>
        <v>654</v>
      </c>
      <c r="B657" s="156">
        <f t="shared" si="41"/>
        <v>2026</v>
      </c>
      <c r="C657" s="129">
        <f t="shared" si="42"/>
        <v>2025</v>
      </c>
      <c r="D657" s="2" t="s">
        <v>155</v>
      </c>
      <c r="E657" s="2" t="s">
        <v>155</v>
      </c>
      <c r="F657" s="39">
        <v>45778</v>
      </c>
      <c r="G657" s="2">
        <f>DAY(EOMONTH(TA[[#This Row],[Month Year]],0))</f>
        <v>31</v>
      </c>
      <c r="H657" s="21">
        <v>45789</v>
      </c>
      <c r="I657" s="41">
        <f>IFERROR(VLOOKUP(TA[[#This Row],[Date]],Raw_Data[[Date]:[Sunset Time (POA&lt;20 W/m2)]],3,0),"")</f>
        <v>0.25416666666666665</v>
      </c>
      <c r="J657" s="41">
        <f>IFERROR(VLOOKUP(TA[[#This Row],[Date]],Raw_Data[[Date]:[Sunset Time (POA&lt;20 W/m2)]],4,0),"")</f>
        <v>0.75</v>
      </c>
      <c r="K657" s="35">
        <f>IFERROR((TA[[#This Row],[Sunset Time (POA&lt;20 W/m2)]]-TA[[#This Row],[Sunrise Time (POA&gt;20 W/m2)]])*24,"")</f>
        <v>11.9</v>
      </c>
      <c r="L657" s="2" t="s">
        <v>296</v>
      </c>
      <c r="M657" s="42">
        <f>IFERROR(VLOOKUP(TA[[#This Row],[Affected Equipment]],'Basic Data'!$I$2:$K$40,3,0),"")</f>
        <v>8.6206896551724102E-3</v>
      </c>
      <c r="N657">
        <v>-28</v>
      </c>
      <c r="O657" t="s">
        <v>135</v>
      </c>
      <c r="P657" s="22" t="s">
        <v>323</v>
      </c>
      <c r="Q657" s="2" t="s">
        <v>329</v>
      </c>
      <c r="R657">
        <v>47</v>
      </c>
      <c r="S657" s="2">
        <v>18</v>
      </c>
      <c r="T657" t="s">
        <v>297</v>
      </c>
      <c r="U657" t="s">
        <v>300</v>
      </c>
      <c r="V657" t="s">
        <v>301</v>
      </c>
      <c r="W657" s="41"/>
      <c r="X657" s="41"/>
      <c r="Y657" s="34"/>
      <c r="Z657" s="34"/>
      <c r="AA657" s="35">
        <f>IF(TA[[#This Row],[Work Start time on Fault]]="NA","",(TA[[#This Row],[Fault Acknowledgement Time ]]-TA[[#This Row],[Fault Time]])*24)</f>
        <v>0</v>
      </c>
      <c r="AB657" s="35">
        <f>(TA[[#This Row],[Work Start time on Fault]]-TA[[#This Row],[Fault Time]])*24</f>
        <v>0</v>
      </c>
      <c r="AC657" s="34">
        <f>(TA[[#This Row],[Work Completion time on fault]]-TA[[#This Row],[Fault Time]])*24</f>
        <v>0</v>
      </c>
      <c r="AD657" s="35">
        <f>IFERROR((TA[[#This Row],[Work Completion time on fault]]-TA[[#This Row],[Fault Time]])*24,"")</f>
        <v>0</v>
      </c>
      <c r="AE657" t="s">
        <v>328</v>
      </c>
      <c r="AF657" t="s">
        <v>256</v>
      </c>
      <c r="AG657" s="2"/>
      <c r="AH657" s="44">
        <f>1-COS(RADIANS(TA[[#This Row],[Avg. Target Angle during Fault Time (Radians)]]-TA[[#This Row],[Angle of affected equipment ]]))</f>
        <v>0.11705240714107301</v>
      </c>
      <c r="AI657" s="35">
        <f>IFERROR(TA[[#This Row],[Breakdown Time]]*TA[[#This Row],[Plant Equivalent Weightage]],"")</f>
        <v>0</v>
      </c>
    </row>
    <row r="658" spans="1:35">
      <c r="A658" s="2">
        <f t="shared" si="36"/>
        <v>655</v>
      </c>
      <c r="B658" s="156">
        <f t="shared" si="41"/>
        <v>2026</v>
      </c>
      <c r="C658" s="129">
        <f t="shared" si="42"/>
        <v>2025</v>
      </c>
      <c r="D658" s="2" t="s">
        <v>155</v>
      </c>
      <c r="E658" s="2" t="s">
        <v>155</v>
      </c>
      <c r="F658" s="39">
        <v>45778</v>
      </c>
      <c r="G658" s="2">
        <f>DAY(EOMONTH(TA[[#This Row],[Month Year]],0))</f>
        <v>31</v>
      </c>
      <c r="H658" s="21">
        <v>45789</v>
      </c>
      <c r="I658" s="41">
        <f>IFERROR(VLOOKUP(TA[[#This Row],[Date]],Raw_Data[[Date]:[Sunset Time (POA&lt;20 W/m2)]],3,0),"")</f>
        <v>0.25416666666666665</v>
      </c>
      <c r="J658" s="41">
        <f>IFERROR(VLOOKUP(TA[[#This Row],[Date]],Raw_Data[[Date]:[Sunset Time (POA&lt;20 W/m2)]],4,0),"")</f>
        <v>0.75</v>
      </c>
      <c r="K658" s="35">
        <f>IFERROR((TA[[#This Row],[Sunset Time (POA&lt;20 W/m2)]]-TA[[#This Row],[Sunrise Time (POA&gt;20 W/m2)]])*24,"")</f>
        <v>11.9</v>
      </c>
      <c r="L658" s="2" t="s">
        <v>296</v>
      </c>
      <c r="M658" s="42">
        <f>IFERROR(VLOOKUP(TA[[#This Row],[Affected Equipment]],'Basic Data'!$I$2:$K$40,3,0),"")</f>
        <v>8.6206896551724102E-3</v>
      </c>
      <c r="N658">
        <v>-28</v>
      </c>
      <c r="O658" t="s">
        <v>134</v>
      </c>
      <c r="P658" s="22" t="s">
        <v>330</v>
      </c>
      <c r="Q658" s="2" t="s">
        <v>323</v>
      </c>
      <c r="R658">
        <v>30</v>
      </c>
      <c r="S658" s="2">
        <v>57</v>
      </c>
      <c r="T658" t="s">
        <v>297</v>
      </c>
      <c r="U658" t="s">
        <v>300</v>
      </c>
      <c r="V658" t="s">
        <v>301</v>
      </c>
      <c r="W658" s="41"/>
      <c r="X658" s="41"/>
      <c r="Y658" s="34"/>
      <c r="Z658" s="34"/>
      <c r="AA658" s="35">
        <f>IF(TA[[#This Row],[Work Start time on Fault]]="NA","",(TA[[#This Row],[Fault Acknowledgement Time ]]-TA[[#This Row],[Fault Time]])*24)</f>
        <v>0</v>
      </c>
      <c r="AB658" s="35">
        <f>(TA[[#This Row],[Work Start time on Fault]]-TA[[#This Row],[Fault Time]])*24</f>
        <v>0</v>
      </c>
      <c r="AC658" s="34">
        <f>(TA[[#This Row],[Work Completion time on fault]]-TA[[#This Row],[Fault Time]])*24</f>
        <v>0</v>
      </c>
      <c r="AD658" s="35">
        <f>IFERROR((TA[[#This Row],[Work Completion time on fault]]-TA[[#This Row],[Fault Time]])*24,"")</f>
        <v>0</v>
      </c>
      <c r="AE658" t="s">
        <v>328</v>
      </c>
      <c r="AF658" t="s">
        <v>256</v>
      </c>
      <c r="AG658" s="2"/>
      <c r="AH658" s="44">
        <f>1-COS(RADIANS(TA[[#This Row],[Avg. Target Angle during Fault Time (Radians)]]-TA[[#This Row],[Angle of affected equipment ]]))</f>
        <v>0.11705240714107301</v>
      </c>
      <c r="AI658" s="35">
        <f>IFERROR(TA[[#This Row],[Breakdown Time]]*TA[[#This Row],[Plant Equivalent Weightage]],"")</f>
        <v>0</v>
      </c>
    </row>
    <row r="659" spans="1:35">
      <c r="A659" s="2">
        <f t="shared" si="36"/>
        <v>656</v>
      </c>
      <c r="B659" s="156">
        <f t="shared" si="41"/>
        <v>2026</v>
      </c>
      <c r="C659" s="129">
        <f t="shared" si="42"/>
        <v>2025</v>
      </c>
      <c r="D659" s="2" t="s">
        <v>155</v>
      </c>
      <c r="E659" s="2" t="s">
        <v>155</v>
      </c>
      <c r="F659" s="39">
        <v>45778</v>
      </c>
      <c r="G659" s="2">
        <f>DAY(EOMONTH(TA[[#This Row],[Month Year]],0))</f>
        <v>31</v>
      </c>
      <c r="H659" s="21">
        <v>45789</v>
      </c>
      <c r="I659" s="41">
        <f>IFERROR(VLOOKUP(TA[[#This Row],[Date]],Raw_Data[[Date]:[Sunset Time (POA&lt;20 W/m2)]],3,0),"")</f>
        <v>0.25416666666666665</v>
      </c>
      <c r="J659" s="41">
        <f>IFERROR(VLOOKUP(TA[[#This Row],[Date]],Raw_Data[[Date]:[Sunset Time (POA&lt;20 W/m2)]],4,0),"")</f>
        <v>0.75</v>
      </c>
      <c r="K659" s="35">
        <f>IFERROR((TA[[#This Row],[Sunset Time (POA&lt;20 W/m2)]]-TA[[#This Row],[Sunrise Time (POA&gt;20 W/m2)]])*24,"")</f>
        <v>11.9</v>
      </c>
      <c r="L659" s="2" t="s">
        <v>296</v>
      </c>
      <c r="M659" s="42">
        <f>IFERROR(VLOOKUP(TA[[#This Row],[Affected Equipment]],'Basic Data'!$I$2:$K$40,3,0),"")</f>
        <v>8.6206896551724102E-3</v>
      </c>
      <c r="N659">
        <v>-28</v>
      </c>
      <c r="O659" t="s">
        <v>134</v>
      </c>
      <c r="P659" s="22" t="s">
        <v>330</v>
      </c>
      <c r="Q659" s="2" t="s">
        <v>323</v>
      </c>
      <c r="R659">
        <v>31</v>
      </c>
      <c r="S659" s="2">
        <v>61</v>
      </c>
      <c r="T659" t="s">
        <v>297</v>
      </c>
      <c r="U659" t="s">
        <v>300</v>
      </c>
      <c r="V659" t="s">
        <v>301</v>
      </c>
      <c r="W659" s="41"/>
      <c r="X659" s="41"/>
      <c r="Y659" s="34"/>
      <c r="Z659" s="34"/>
      <c r="AA659" s="35">
        <f>IF(TA[[#This Row],[Work Start time on Fault]]="NA","",(TA[[#This Row],[Fault Acknowledgement Time ]]-TA[[#This Row],[Fault Time]])*24)</f>
        <v>0</v>
      </c>
      <c r="AB659" s="35">
        <f>(TA[[#This Row],[Work Start time on Fault]]-TA[[#This Row],[Fault Time]])*24</f>
        <v>0</v>
      </c>
      <c r="AC659" s="34">
        <f>(TA[[#This Row],[Work Completion time on fault]]-TA[[#This Row],[Fault Time]])*24</f>
        <v>0</v>
      </c>
      <c r="AD659" s="35">
        <f>IFERROR((TA[[#This Row],[Work Completion time on fault]]-TA[[#This Row],[Fault Time]])*24,"")</f>
        <v>0</v>
      </c>
      <c r="AE659" t="s">
        <v>328</v>
      </c>
      <c r="AF659" t="s">
        <v>256</v>
      </c>
      <c r="AG659" s="2"/>
      <c r="AH659" s="44">
        <f>1-COS(RADIANS(TA[[#This Row],[Avg. Target Angle during Fault Time (Radians)]]-TA[[#This Row],[Angle of affected equipment ]]))</f>
        <v>0.11705240714107301</v>
      </c>
      <c r="AI659" s="35">
        <f>IFERROR(TA[[#This Row],[Breakdown Time]]*TA[[#This Row],[Plant Equivalent Weightage]],"")</f>
        <v>0</v>
      </c>
    </row>
    <row r="660" spans="1:35">
      <c r="A660" s="2">
        <f t="shared" si="36"/>
        <v>657</v>
      </c>
      <c r="B660" s="156">
        <f t="shared" si="41"/>
        <v>2026</v>
      </c>
      <c r="C660" s="129">
        <f t="shared" si="42"/>
        <v>2025</v>
      </c>
      <c r="D660" s="2" t="s">
        <v>155</v>
      </c>
      <c r="E660" s="2" t="s">
        <v>155</v>
      </c>
      <c r="F660" s="39">
        <v>45778</v>
      </c>
      <c r="G660" s="2">
        <f>DAY(EOMONTH(TA[[#This Row],[Month Year]],0))</f>
        <v>31</v>
      </c>
      <c r="H660" s="21">
        <v>45789</v>
      </c>
      <c r="I660" s="41">
        <f>IFERROR(VLOOKUP(TA[[#This Row],[Date]],Raw_Data[[Date]:[Sunset Time (POA&lt;20 W/m2)]],3,0),"")</f>
        <v>0.25416666666666665</v>
      </c>
      <c r="J660" s="41">
        <f>IFERROR(VLOOKUP(TA[[#This Row],[Date]],Raw_Data[[Date]:[Sunset Time (POA&lt;20 W/m2)]],4,0),"")</f>
        <v>0.75</v>
      </c>
      <c r="K660" s="35">
        <f>IFERROR((TA[[#This Row],[Sunset Time (POA&lt;20 W/m2)]]-TA[[#This Row],[Sunrise Time (POA&gt;20 W/m2)]])*24,"")</f>
        <v>11.9</v>
      </c>
      <c r="L660" s="2" t="s">
        <v>312</v>
      </c>
      <c r="M660" s="42">
        <f>IFERROR(VLOOKUP(TA[[#This Row],[Affected Equipment]],'Basic Data'!$I$2:$K$40,3,0),"")</f>
        <v>5.74712643678161E-3</v>
      </c>
      <c r="N660">
        <v>-28</v>
      </c>
      <c r="O660" t="s">
        <v>133</v>
      </c>
      <c r="P660" s="22" t="s">
        <v>330</v>
      </c>
      <c r="Q660" s="2" t="s">
        <v>323</v>
      </c>
      <c r="R660">
        <v>26</v>
      </c>
      <c r="S660" s="2">
        <v>37</v>
      </c>
      <c r="T660" t="s">
        <v>297</v>
      </c>
      <c r="U660" t="s">
        <v>300</v>
      </c>
      <c r="V660" t="s">
        <v>301</v>
      </c>
      <c r="W660" s="41"/>
      <c r="X660" s="41"/>
      <c r="Y660" s="34"/>
      <c r="Z660" s="34"/>
      <c r="AA660" s="35">
        <f>IF(TA[[#This Row],[Work Start time on Fault]]="NA","",(TA[[#This Row],[Fault Acknowledgement Time ]]-TA[[#This Row],[Fault Time]])*24)</f>
        <v>0</v>
      </c>
      <c r="AB660" s="35">
        <f>(TA[[#This Row],[Work Start time on Fault]]-TA[[#This Row],[Fault Time]])*24</f>
        <v>0</v>
      </c>
      <c r="AC660" s="34">
        <f>(TA[[#This Row],[Work Completion time on fault]]-TA[[#This Row],[Fault Time]])*24</f>
        <v>0</v>
      </c>
      <c r="AD660" s="35">
        <f>IFERROR((TA[[#This Row],[Work Completion time on fault]]-TA[[#This Row],[Fault Time]])*24,"")</f>
        <v>0</v>
      </c>
      <c r="AE660" t="s">
        <v>328</v>
      </c>
      <c r="AF660" t="s">
        <v>256</v>
      </c>
      <c r="AG660" s="2"/>
      <c r="AH660" s="44">
        <f>1-COS(RADIANS(TA[[#This Row],[Avg. Target Angle during Fault Time (Radians)]]-TA[[#This Row],[Angle of affected equipment ]]))</f>
        <v>0.11705240714107301</v>
      </c>
      <c r="AI660" s="35">
        <f>IFERROR(TA[[#This Row],[Breakdown Time]]*TA[[#This Row],[Plant Equivalent Weightage]],"")</f>
        <v>0</v>
      </c>
    </row>
    <row r="661" spans="1:35">
      <c r="A661" s="2">
        <f t="shared" si="36"/>
        <v>658</v>
      </c>
      <c r="B661" s="156">
        <f t="shared" si="41"/>
        <v>2026</v>
      </c>
      <c r="C661" s="129">
        <f t="shared" si="42"/>
        <v>2025</v>
      </c>
      <c r="D661" s="2" t="s">
        <v>155</v>
      </c>
      <c r="E661" s="2" t="s">
        <v>155</v>
      </c>
      <c r="F661" s="39">
        <v>45778</v>
      </c>
      <c r="G661" s="2">
        <f>DAY(EOMONTH(TA[[#This Row],[Month Year]],0))</f>
        <v>31</v>
      </c>
      <c r="H661" s="21">
        <v>45789</v>
      </c>
      <c r="I661" s="41">
        <f>IFERROR(VLOOKUP(TA[[#This Row],[Date]],Raw_Data[[Date]:[Sunset Time (POA&lt;20 W/m2)]],3,0),"")</f>
        <v>0.25416666666666665</v>
      </c>
      <c r="J661" s="41">
        <f>IFERROR(VLOOKUP(TA[[#This Row],[Date]],Raw_Data[[Date]:[Sunset Time (POA&lt;20 W/m2)]],4,0),"")</f>
        <v>0.75</v>
      </c>
      <c r="K661" s="35">
        <f>IFERROR((TA[[#This Row],[Sunset Time (POA&lt;20 W/m2)]]-TA[[#This Row],[Sunrise Time (POA&gt;20 W/m2)]])*24,"")</f>
        <v>11.9</v>
      </c>
      <c r="L661" s="2" t="s">
        <v>312</v>
      </c>
      <c r="M661" s="42">
        <f>IFERROR(VLOOKUP(TA[[#This Row],[Affected Equipment]],'Basic Data'!$I$2:$K$40,3,0),"")</f>
        <v>5.74712643678161E-3</v>
      </c>
      <c r="N661">
        <v>-28</v>
      </c>
      <c r="O661" t="s">
        <v>133</v>
      </c>
      <c r="P661" s="22" t="s">
        <v>330</v>
      </c>
      <c r="Q661" s="2" t="s">
        <v>323</v>
      </c>
      <c r="R661">
        <v>27</v>
      </c>
      <c r="S661" s="2">
        <v>42</v>
      </c>
      <c r="T661" t="s">
        <v>297</v>
      </c>
      <c r="U661" t="s">
        <v>300</v>
      </c>
      <c r="V661" t="s">
        <v>301</v>
      </c>
      <c r="W661" s="41">
        <f>IFERROR(VLOOKUP(TA[[#This Row],[Date]],Raw_Data[[Date]:[Sunset Time (POA&lt;20 W/m2)]],3,0),"")</f>
        <v>0.25416666666666665</v>
      </c>
      <c r="X661" s="41">
        <f>IFERROR(VLOOKUP(TA[[#This Row],[Date]],Raw_Data[[Date]:[Sunset Time (POA&lt;20 W/m2)]],3,0),"")</f>
        <v>0.25416666666666665</v>
      </c>
      <c r="Y661" s="34"/>
      <c r="Z661" s="34">
        <v>0.76041666666666663</v>
      </c>
      <c r="AA661" s="35">
        <f>IF(TA[[#This Row],[Work Start time on Fault]]="NA","",(TA[[#This Row],[Fault Acknowledgement Time ]]-TA[[#This Row],[Fault Time]])*24)</f>
        <v>0</v>
      </c>
      <c r="AB661" s="35">
        <f>(TA[[#This Row],[Work Start time on Fault]]-TA[[#This Row],[Fault Time]])*24</f>
        <v>-6.1</v>
      </c>
      <c r="AC661" s="34">
        <f>(TA[[#This Row],[Work Completion time on fault]]-TA[[#This Row],[Fault Time]])*24</f>
        <v>12.149999999999999</v>
      </c>
      <c r="AD661" s="35">
        <f>IFERROR((TA[[#This Row],[Work Completion time on fault]]-TA[[#This Row],[Fault Time]])*24,"")</f>
        <v>12.149999999999999</v>
      </c>
      <c r="AE661" t="s">
        <v>309</v>
      </c>
      <c r="AF661" t="s">
        <v>256</v>
      </c>
      <c r="AG661" s="2"/>
      <c r="AH661" s="44">
        <f>1-COS(RADIANS(TA[[#This Row],[Avg. Target Angle during Fault Time (Radians)]]-TA[[#This Row],[Angle of affected equipment ]]))</f>
        <v>0.11705240714107301</v>
      </c>
      <c r="AI661" s="35">
        <f>IFERROR(TA[[#This Row],[Breakdown Time]]*TA[[#This Row],[Plant Equivalent Weightage]],"")</f>
        <v>6.9827586206896552E-2</v>
      </c>
    </row>
    <row r="662" spans="1:35">
      <c r="A662" s="2">
        <f t="shared" si="36"/>
        <v>659</v>
      </c>
      <c r="B662" s="156">
        <f t="shared" ref="B662:B675" si="43">YEAR(H662)+IF(MONTH(H662)&gt;=4,1,0)</f>
        <v>2026</v>
      </c>
      <c r="C662" s="129">
        <f t="shared" ref="C662:C675" si="44">YEAR(H662)</f>
        <v>2025</v>
      </c>
      <c r="D662" s="2" t="s">
        <v>155</v>
      </c>
      <c r="E662" s="2" t="s">
        <v>155</v>
      </c>
      <c r="F662" s="39">
        <v>45778</v>
      </c>
      <c r="G662" s="2">
        <f>DAY(EOMONTH(TA[[#This Row],[Month Year]],0))</f>
        <v>31</v>
      </c>
      <c r="H662" s="21">
        <v>45790</v>
      </c>
      <c r="I662" s="41">
        <f>IFERROR(VLOOKUP(TA[[#This Row],[Date]],Raw_Data[[Date]:[Sunset Time (POA&lt;20 W/m2)]],3,0),"")</f>
        <v>0.26041666666666669</v>
      </c>
      <c r="J662" s="41">
        <f>IFERROR(VLOOKUP(TA[[#This Row],[Date]],Raw_Data[[Date]:[Sunset Time (POA&lt;20 W/m2)]],4,0),"")</f>
        <v>0.75486111111111109</v>
      </c>
      <c r="K662" s="35">
        <f>IFERROR((TA[[#This Row],[Sunset Time (POA&lt;20 W/m2)]]-TA[[#This Row],[Sunrise Time (POA&gt;20 W/m2)]])*24,"")</f>
        <v>11.866666666666665</v>
      </c>
      <c r="L662" s="2" t="s">
        <v>294</v>
      </c>
      <c r="M662" s="42">
        <f>IFERROR(VLOOKUP(TA[[#This Row],[Affected Equipment]],'Basic Data'!$I$2:$K$40,3,0),"")</f>
        <v>1.7241379310344799E-3</v>
      </c>
      <c r="N662">
        <v>-28</v>
      </c>
      <c r="O662" t="s">
        <v>135</v>
      </c>
      <c r="P662" s="127" t="s">
        <v>318</v>
      </c>
      <c r="Q662" s="126" t="s">
        <v>318</v>
      </c>
      <c r="R662">
        <v>130</v>
      </c>
      <c r="S662" s="2">
        <v>37</v>
      </c>
      <c r="T662" t="s">
        <v>295</v>
      </c>
      <c r="U662" t="s">
        <v>300</v>
      </c>
      <c r="V662" t="s">
        <v>298</v>
      </c>
      <c r="W662" s="41"/>
      <c r="X662" s="41"/>
      <c r="Y662" s="34"/>
      <c r="Z662" s="34"/>
      <c r="AA662" s="35">
        <f>IF(TA[[#This Row],[Work Start time on Fault]]="NA","",(TA[[#This Row],[Fault Acknowledgement Time ]]-TA[[#This Row],[Fault Time]])*24)</f>
        <v>0</v>
      </c>
      <c r="AB662" s="35">
        <f>(TA[[#This Row],[Work Start time on Fault]]-TA[[#This Row],[Fault Time]])*24</f>
        <v>0</v>
      </c>
      <c r="AC662" s="34">
        <f>(TA[[#This Row],[Work Completion time on fault]]-TA[[#This Row],[Fault Time]])*24</f>
        <v>0</v>
      </c>
      <c r="AD662" s="35">
        <f>IFERROR((TA[[#This Row],[Work Completion time on fault]]-TA[[#This Row],[Fault Time]])*24,"")</f>
        <v>0</v>
      </c>
      <c r="AE662" t="s">
        <v>328</v>
      </c>
      <c r="AF662" t="s">
        <v>256</v>
      </c>
      <c r="AG662" s="2"/>
      <c r="AH662" s="44">
        <f>1-COS(RADIANS(TA[[#This Row],[Avg. Target Angle during Fault Time (Radians)]]-TA[[#This Row],[Angle of affected equipment ]]))</f>
        <v>0.11705240714107301</v>
      </c>
      <c r="AI662" s="35">
        <f>IFERROR(TA[[#This Row],[Breakdown Time]]*TA[[#This Row],[Plant Equivalent Weightage]],"")</f>
        <v>0</v>
      </c>
    </row>
    <row r="663" spans="1:35">
      <c r="A663" s="2">
        <f t="shared" si="36"/>
        <v>660</v>
      </c>
      <c r="B663" s="156">
        <f t="shared" si="43"/>
        <v>2026</v>
      </c>
      <c r="C663" s="129">
        <f t="shared" si="44"/>
        <v>2025</v>
      </c>
      <c r="D663" s="2" t="s">
        <v>155</v>
      </c>
      <c r="E663" s="2" t="s">
        <v>155</v>
      </c>
      <c r="F663" s="39">
        <v>45778</v>
      </c>
      <c r="G663" s="2">
        <f>DAY(EOMONTH(TA[[#This Row],[Month Year]],0))</f>
        <v>31</v>
      </c>
      <c r="H663" s="21">
        <v>45790</v>
      </c>
      <c r="I663" s="41">
        <f>IFERROR(VLOOKUP(TA[[#This Row],[Date]],Raw_Data[[Date]:[Sunset Time (POA&lt;20 W/m2)]],3,0),"")</f>
        <v>0.26041666666666669</v>
      </c>
      <c r="J663" s="41">
        <f>IFERROR(VLOOKUP(TA[[#This Row],[Date]],Raw_Data[[Date]:[Sunset Time (POA&lt;20 W/m2)]],4,0),"")</f>
        <v>0.75486111111111109</v>
      </c>
      <c r="K663" s="35">
        <f>IFERROR((TA[[#This Row],[Sunset Time (POA&lt;20 W/m2)]]-TA[[#This Row],[Sunrise Time (POA&gt;20 W/m2)]])*24,"")</f>
        <v>11.866666666666665</v>
      </c>
      <c r="L663" s="2" t="s">
        <v>294</v>
      </c>
      <c r="M663" s="42">
        <f>IFERROR(VLOOKUP(TA[[#This Row],[Affected Equipment]],'Basic Data'!$I$2:$K$40,3,0),"")</f>
        <v>1.7241379310344799E-3</v>
      </c>
      <c r="N663">
        <v>-28</v>
      </c>
      <c r="O663" t="s">
        <v>135</v>
      </c>
      <c r="P663" s="127" t="s">
        <v>318</v>
      </c>
      <c r="Q663" s="126" t="s">
        <v>318</v>
      </c>
      <c r="R663">
        <v>131</v>
      </c>
      <c r="S663" s="2">
        <v>38</v>
      </c>
      <c r="T663" t="s">
        <v>295</v>
      </c>
      <c r="U663" t="s">
        <v>300</v>
      </c>
      <c r="V663" t="s">
        <v>298</v>
      </c>
      <c r="W663" s="41"/>
      <c r="X663" s="41"/>
      <c r="Y663" s="34"/>
      <c r="Z663" s="34"/>
      <c r="AA663" s="35">
        <f>IF(TA[[#This Row],[Work Start time on Fault]]="NA","",(TA[[#This Row],[Fault Acknowledgement Time ]]-TA[[#This Row],[Fault Time]])*24)</f>
        <v>0</v>
      </c>
      <c r="AB663" s="35">
        <f>(TA[[#This Row],[Work Start time on Fault]]-TA[[#This Row],[Fault Time]])*24</f>
        <v>0</v>
      </c>
      <c r="AC663" s="34">
        <f>(TA[[#This Row],[Work Completion time on fault]]-TA[[#This Row],[Fault Time]])*24</f>
        <v>0</v>
      </c>
      <c r="AD663" s="35">
        <f>IFERROR((TA[[#This Row],[Work Completion time on fault]]-TA[[#This Row],[Fault Time]])*24,"")</f>
        <v>0</v>
      </c>
      <c r="AE663" t="s">
        <v>328</v>
      </c>
      <c r="AF663" t="s">
        <v>256</v>
      </c>
      <c r="AG663" s="2"/>
      <c r="AH663" s="44">
        <f>1-COS(RADIANS(TA[[#This Row],[Avg. Target Angle during Fault Time (Radians)]]-TA[[#This Row],[Angle of affected equipment ]]))</f>
        <v>0.11705240714107301</v>
      </c>
      <c r="AI663" s="35">
        <f>IFERROR(TA[[#This Row],[Breakdown Time]]*TA[[#This Row],[Plant Equivalent Weightage]],"")</f>
        <v>0</v>
      </c>
    </row>
    <row r="664" spans="1:35">
      <c r="A664" s="2">
        <f t="shared" si="36"/>
        <v>661</v>
      </c>
      <c r="B664" s="156">
        <f t="shared" si="43"/>
        <v>2026</v>
      </c>
      <c r="C664" s="129">
        <f t="shared" si="44"/>
        <v>2025</v>
      </c>
      <c r="D664" s="2" t="s">
        <v>155</v>
      </c>
      <c r="E664" s="2" t="s">
        <v>155</v>
      </c>
      <c r="F664" s="39">
        <v>45778</v>
      </c>
      <c r="G664" s="2">
        <f>DAY(EOMONTH(TA[[#This Row],[Month Year]],0))</f>
        <v>31</v>
      </c>
      <c r="H664" s="21">
        <v>45790</v>
      </c>
      <c r="I664" s="41">
        <f>IFERROR(VLOOKUP(TA[[#This Row],[Date]],Raw_Data[[Date]:[Sunset Time (POA&lt;20 W/m2)]],3,0),"")</f>
        <v>0.26041666666666669</v>
      </c>
      <c r="J664" s="41">
        <f>IFERROR(VLOOKUP(TA[[#This Row],[Date]],Raw_Data[[Date]:[Sunset Time (POA&lt;20 W/m2)]],4,0),"")</f>
        <v>0.75486111111111109</v>
      </c>
      <c r="K664" s="35">
        <f>IFERROR((TA[[#This Row],[Sunset Time (POA&lt;20 W/m2)]]-TA[[#This Row],[Sunrise Time (POA&gt;20 W/m2)]])*24,"")</f>
        <v>11.866666666666665</v>
      </c>
      <c r="L664" s="2" t="s">
        <v>294</v>
      </c>
      <c r="M664" s="42">
        <f>IFERROR(VLOOKUP(TA[[#This Row],[Affected Equipment]],'Basic Data'!$I$2:$K$40,3,0),"")</f>
        <v>1.7241379310344799E-3</v>
      </c>
      <c r="N664">
        <v>-28</v>
      </c>
      <c r="O664" t="s">
        <v>135</v>
      </c>
      <c r="P664" s="127" t="s">
        <v>318</v>
      </c>
      <c r="Q664" s="126" t="s">
        <v>318</v>
      </c>
      <c r="R664">
        <v>131</v>
      </c>
      <c r="S664" s="2">
        <v>39</v>
      </c>
      <c r="T664" t="s">
        <v>295</v>
      </c>
      <c r="U664" t="s">
        <v>300</v>
      </c>
      <c r="V664" t="s">
        <v>298</v>
      </c>
      <c r="W664" s="41"/>
      <c r="X664" s="41"/>
      <c r="Y664" s="34"/>
      <c r="Z664" s="34"/>
      <c r="AA664" s="35">
        <f>IF(TA[[#This Row],[Work Start time on Fault]]="NA","",(TA[[#This Row],[Fault Acknowledgement Time ]]-TA[[#This Row],[Fault Time]])*24)</f>
        <v>0</v>
      </c>
      <c r="AB664" s="35">
        <f>(TA[[#This Row],[Work Start time on Fault]]-TA[[#This Row],[Fault Time]])*24</f>
        <v>0</v>
      </c>
      <c r="AC664" s="34">
        <f>(TA[[#This Row],[Work Completion time on fault]]-TA[[#This Row],[Fault Time]])*24</f>
        <v>0</v>
      </c>
      <c r="AD664" s="35">
        <f>IFERROR((TA[[#This Row],[Work Completion time on fault]]-TA[[#This Row],[Fault Time]])*24,"")</f>
        <v>0</v>
      </c>
      <c r="AE664" t="s">
        <v>328</v>
      </c>
      <c r="AF664" t="s">
        <v>256</v>
      </c>
      <c r="AG664" s="2"/>
      <c r="AH664" s="44">
        <f>1-COS(RADIANS(TA[[#This Row],[Avg. Target Angle during Fault Time (Radians)]]-TA[[#This Row],[Angle of affected equipment ]]))</f>
        <v>0.11705240714107301</v>
      </c>
      <c r="AI664" s="35">
        <f>IFERROR(TA[[#This Row],[Breakdown Time]]*TA[[#This Row],[Plant Equivalent Weightage]],"")</f>
        <v>0</v>
      </c>
    </row>
    <row r="665" spans="1:35">
      <c r="A665" s="2">
        <f t="shared" si="36"/>
        <v>662</v>
      </c>
      <c r="B665" s="156">
        <f t="shared" si="43"/>
        <v>2026</v>
      </c>
      <c r="C665" s="129">
        <f t="shared" si="44"/>
        <v>2025</v>
      </c>
      <c r="D665" s="2" t="s">
        <v>155</v>
      </c>
      <c r="E665" s="2" t="s">
        <v>155</v>
      </c>
      <c r="F665" s="39">
        <v>45778</v>
      </c>
      <c r="G665" s="2">
        <f>DAY(EOMONTH(TA[[#This Row],[Month Year]],0))</f>
        <v>31</v>
      </c>
      <c r="H665" s="21">
        <v>45790</v>
      </c>
      <c r="I665" s="41">
        <f>IFERROR(VLOOKUP(TA[[#This Row],[Date]],Raw_Data[[Date]:[Sunset Time (POA&lt;20 W/m2)]],3,0),"")</f>
        <v>0.26041666666666669</v>
      </c>
      <c r="J665" s="41">
        <f>IFERROR(VLOOKUP(TA[[#This Row],[Date]],Raw_Data[[Date]:[Sunset Time (POA&lt;20 W/m2)]],4,0),"")</f>
        <v>0.75486111111111109</v>
      </c>
      <c r="K665" s="35">
        <f>IFERROR((TA[[#This Row],[Sunset Time (POA&lt;20 W/m2)]]-TA[[#This Row],[Sunrise Time (POA&gt;20 W/m2)]])*24,"")</f>
        <v>11.866666666666665</v>
      </c>
      <c r="L665" s="2" t="s">
        <v>296</v>
      </c>
      <c r="M665" s="42">
        <f>IFERROR(VLOOKUP(TA[[#This Row],[Affected Equipment]],'Basic Data'!$I$2:$K$40,3,0),"")</f>
        <v>8.6206896551724102E-3</v>
      </c>
      <c r="N665">
        <v>-28</v>
      </c>
      <c r="O665" t="s">
        <v>135</v>
      </c>
      <c r="P665" s="127" t="s">
        <v>318</v>
      </c>
      <c r="Q665" s="2" t="s">
        <v>321</v>
      </c>
      <c r="R665">
        <v>133</v>
      </c>
      <c r="S665" s="2">
        <v>26</v>
      </c>
      <c r="T665" t="s">
        <v>297</v>
      </c>
      <c r="U665" t="s">
        <v>300</v>
      </c>
      <c r="V665" t="s">
        <v>314</v>
      </c>
      <c r="W665" s="41">
        <f>IFERROR(VLOOKUP(TA[[#This Row],[Date]],Raw_Data[[Date]:[Sunset Time (POA&lt;20 W/m2)]],3,0),"")</f>
        <v>0.26041666666666669</v>
      </c>
      <c r="X665" s="41">
        <f>IFERROR(VLOOKUP(TA[[#This Row],[Date]],Raw_Data[[Date]:[Sunset Time (POA&lt;20 W/m2)]],3,0),"")</f>
        <v>0.26041666666666669</v>
      </c>
      <c r="Y665" s="34"/>
      <c r="Z665" s="34">
        <v>0.76041666666666663</v>
      </c>
      <c r="AA665" s="35">
        <f>IF(TA[[#This Row],[Work Start time on Fault]]="NA","",(TA[[#This Row],[Fault Acknowledgement Time ]]-TA[[#This Row],[Fault Time]])*24)</f>
        <v>0</v>
      </c>
      <c r="AB665" s="35">
        <f>(TA[[#This Row],[Work Start time on Fault]]-TA[[#This Row],[Fault Time]])*24</f>
        <v>-6.25</v>
      </c>
      <c r="AC665" s="34">
        <f>(TA[[#This Row],[Work Completion time on fault]]-TA[[#This Row],[Fault Time]])*24</f>
        <v>11.999999999999998</v>
      </c>
      <c r="AD665" s="35">
        <f>IFERROR((TA[[#This Row],[Work Completion time on fault]]-TA[[#This Row],[Fault Time]])*24,"")</f>
        <v>11.999999999999998</v>
      </c>
      <c r="AE665" t="s">
        <v>328</v>
      </c>
      <c r="AF665" t="s">
        <v>256</v>
      </c>
      <c r="AG665" s="2"/>
      <c r="AH665" s="44">
        <f>1-COS(RADIANS(TA[[#This Row],[Avg. Target Angle during Fault Time (Radians)]]-TA[[#This Row],[Angle of affected equipment ]]))</f>
        <v>0.11705240714107301</v>
      </c>
      <c r="AI665" s="35">
        <f>IFERROR(TA[[#This Row],[Breakdown Time]]*TA[[#This Row],[Plant Equivalent Weightage]],"")</f>
        <v>0.10344827586206891</v>
      </c>
    </row>
    <row r="666" spans="1:35">
      <c r="A666" s="2">
        <f t="shared" si="36"/>
        <v>663</v>
      </c>
      <c r="B666" s="156">
        <f t="shared" si="43"/>
        <v>2026</v>
      </c>
      <c r="C666" s="129">
        <f t="shared" si="44"/>
        <v>2025</v>
      </c>
      <c r="D666" s="2" t="s">
        <v>155</v>
      </c>
      <c r="E666" s="2" t="s">
        <v>155</v>
      </c>
      <c r="F666" s="39">
        <v>45778</v>
      </c>
      <c r="G666" s="2">
        <f>DAY(EOMONTH(TA[[#This Row],[Month Year]],0))</f>
        <v>31</v>
      </c>
      <c r="H666" s="21">
        <v>45790</v>
      </c>
      <c r="I666" s="41">
        <f>IFERROR(VLOOKUP(TA[[#This Row],[Date]],Raw_Data[[Date]:[Sunset Time (POA&lt;20 W/m2)]],3,0),"")</f>
        <v>0.26041666666666669</v>
      </c>
      <c r="J666" s="41">
        <f>IFERROR(VLOOKUP(TA[[#This Row],[Date]],Raw_Data[[Date]:[Sunset Time (POA&lt;20 W/m2)]],4,0),"")</f>
        <v>0.75486111111111109</v>
      </c>
      <c r="K666" s="35">
        <f>IFERROR((TA[[#This Row],[Sunset Time (POA&lt;20 W/m2)]]-TA[[#This Row],[Sunrise Time (POA&gt;20 W/m2)]])*24,"")</f>
        <v>11.866666666666665</v>
      </c>
      <c r="L666" s="2" t="s">
        <v>294</v>
      </c>
      <c r="M666" s="42">
        <f>IFERROR(VLOOKUP(TA[[#This Row],[Affected Equipment]],'Basic Data'!$I$2:$K$40,3,0),"")</f>
        <v>1.7241379310344799E-3</v>
      </c>
      <c r="N666">
        <v>-28</v>
      </c>
      <c r="O666" t="s">
        <v>133</v>
      </c>
      <c r="P666" s="127" t="s">
        <v>316</v>
      </c>
      <c r="Q666" s="126" t="s">
        <v>317</v>
      </c>
      <c r="R666">
        <v>7</v>
      </c>
      <c r="S666" s="2">
        <v>32</v>
      </c>
      <c r="T666" t="s">
        <v>295</v>
      </c>
      <c r="U666" t="s">
        <v>300</v>
      </c>
      <c r="V666" t="s">
        <v>298</v>
      </c>
      <c r="W666" s="41"/>
      <c r="X666" s="41"/>
      <c r="Y666" s="34"/>
      <c r="Z666" s="34"/>
      <c r="AA666" s="35">
        <f>IF(TA[[#This Row],[Work Start time on Fault]]="NA","",(TA[[#This Row],[Fault Acknowledgement Time ]]-TA[[#This Row],[Fault Time]])*24)</f>
        <v>0</v>
      </c>
      <c r="AB666" s="35">
        <f>(TA[[#This Row],[Work Start time on Fault]]-TA[[#This Row],[Fault Time]])*24</f>
        <v>0</v>
      </c>
      <c r="AC666" s="34">
        <f>(TA[[#This Row],[Work Completion time on fault]]-TA[[#This Row],[Fault Time]])*24</f>
        <v>0</v>
      </c>
      <c r="AD666" s="35">
        <f>IFERROR((TA[[#This Row],[Work Completion time on fault]]-TA[[#This Row],[Fault Time]])*24,"")</f>
        <v>0</v>
      </c>
      <c r="AE666" t="s">
        <v>328</v>
      </c>
      <c r="AF666" t="s">
        <v>256</v>
      </c>
      <c r="AG666" s="2"/>
      <c r="AH666" s="44">
        <f>1-COS(RADIANS(TA[[#This Row],[Avg. Target Angle during Fault Time (Radians)]]-TA[[#This Row],[Angle of affected equipment ]]))</f>
        <v>0.11705240714107301</v>
      </c>
      <c r="AI666" s="35">
        <f>IFERROR(TA[[#This Row],[Breakdown Time]]*TA[[#This Row],[Plant Equivalent Weightage]],"")</f>
        <v>0</v>
      </c>
    </row>
    <row r="667" spans="1:35">
      <c r="A667" s="2">
        <f t="shared" si="36"/>
        <v>664</v>
      </c>
      <c r="B667" s="156">
        <f t="shared" si="43"/>
        <v>2026</v>
      </c>
      <c r="C667" s="129">
        <f t="shared" si="44"/>
        <v>2025</v>
      </c>
      <c r="D667" s="2" t="s">
        <v>155</v>
      </c>
      <c r="E667" s="2" t="s">
        <v>155</v>
      </c>
      <c r="F667" s="39">
        <v>45778</v>
      </c>
      <c r="G667" s="2">
        <f>DAY(EOMONTH(TA[[#This Row],[Month Year]],0))</f>
        <v>31</v>
      </c>
      <c r="H667" s="21">
        <v>45790</v>
      </c>
      <c r="I667" s="41">
        <f>IFERROR(VLOOKUP(TA[[#This Row],[Date]],Raw_Data[[Date]:[Sunset Time (POA&lt;20 W/m2)]],3,0),"")</f>
        <v>0.26041666666666669</v>
      </c>
      <c r="J667" s="41">
        <f>IFERROR(VLOOKUP(TA[[#This Row],[Date]],Raw_Data[[Date]:[Sunset Time (POA&lt;20 W/m2)]],4,0),"")</f>
        <v>0.75486111111111109</v>
      </c>
      <c r="K667" s="35">
        <f>IFERROR((TA[[#This Row],[Sunset Time (POA&lt;20 W/m2)]]-TA[[#This Row],[Sunrise Time (POA&gt;20 W/m2)]])*24,"")</f>
        <v>11.866666666666665</v>
      </c>
      <c r="L667" s="2" t="s">
        <v>294</v>
      </c>
      <c r="M667" s="42">
        <f>IFERROR(VLOOKUP(TA[[#This Row],[Affected Equipment]],'Basic Data'!$I$2:$K$40,3,0),"")</f>
        <v>1.7241379310344799E-3</v>
      </c>
      <c r="N667">
        <v>-28</v>
      </c>
      <c r="O667" t="s">
        <v>137</v>
      </c>
      <c r="P667" s="127" t="s">
        <v>315</v>
      </c>
      <c r="Q667" s="126" t="s">
        <v>319</v>
      </c>
      <c r="R667">
        <v>166</v>
      </c>
      <c r="S667" s="2">
        <v>91</v>
      </c>
      <c r="T667" t="s">
        <v>295</v>
      </c>
      <c r="U667" t="s">
        <v>300</v>
      </c>
      <c r="V667" t="s">
        <v>298</v>
      </c>
      <c r="W667" s="41"/>
      <c r="X667" s="41"/>
      <c r="Y667" s="34"/>
      <c r="Z667" s="34"/>
      <c r="AA667" s="35">
        <f>IF(TA[[#This Row],[Work Start time on Fault]]="NA","",(TA[[#This Row],[Fault Acknowledgement Time ]]-TA[[#This Row],[Fault Time]])*24)</f>
        <v>0</v>
      </c>
      <c r="AB667" s="35">
        <f>(TA[[#This Row],[Work Start time on Fault]]-TA[[#This Row],[Fault Time]])*24</f>
        <v>0</v>
      </c>
      <c r="AC667" s="34">
        <f>(TA[[#This Row],[Work Completion time on fault]]-TA[[#This Row],[Fault Time]])*24</f>
        <v>0</v>
      </c>
      <c r="AD667" s="35">
        <f>IFERROR((TA[[#This Row],[Work Completion time on fault]]-TA[[#This Row],[Fault Time]])*24,"")</f>
        <v>0</v>
      </c>
      <c r="AE667" t="s">
        <v>328</v>
      </c>
      <c r="AF667" t="s">
        <v>256</v>
      </c>
      <c r="AG667" s="2"/>
      <c r="AH667" s="44">
        <f>1-COS(RADIANS(TA[[#This Row],[Avg. Target Angle during Fault Time (Radians)]]-TA[[#This Row],[Angle of affected equipment ]]))</f>
        <v>0.11705240714107301</v>
      </c>
      <c r="AI667" s="35">
        <f>IFERROR(TA[[#This Row],[Breakdown Time]]*TA[[#This Row],[Plant Equivalent Weightage]],"")</f>
        <v>0</v>
      </c>
    </row>
    <row r="668" spans="1:35">
      <c r="A668" s="2">
        <f t="shared" si="36"/>
        <v>665</v>
      </c>
      <c r="B668" s="156">
        <f t="shared" si="43"/>
        <v>2026</v>
      </c>
      <c r="C668" s="129">
        <f t="shared" si="44"/>
        <v>2025</v>
      </c>
      <c r="D668" s="2" t="s">
        <v>155</v>
      </c>
      <c r="E668" s="2" t="s">
        <v>155</v>
      </c>
      <c r="F668" s="39">
        <v>45778</v>
      </c>
      <c r="G668" s="2">
        <f>DAY(EOMONTH(TA[[#This Row],[Month Year]],0))</f>
        <v>31</v>
      </c>
      <c r="H668" s="21">
        <v>45790</v>
      </c>
      <c r="I668" s="41">
        <f>IFERROR(VLOOKUP(TA[[#This Row],[Date]],Raw_Data[[Date]:[Sunset Time (POA&lt;20 W/m2)]],3,0),"")</f>
        <v>0.26041666666666669</v>
      </c>
      <c r="J668" s="41">
        <f>IFERROR(VLOOKUP(TA[[#This Row],[Date]],Raw_Data[[Date]:[Sunset Time (POA&lt;20 W/m2)]],4,0),"")</f>
        <v>0.75486111111111109</v>
      </c>
      <c r="K668" s="35">
        <f>IFERROR((TA[[#This Row],[Sunset Time (POA&lt;20 W/m2)]]-TA[[#This Row],[Sunrise Time (POA&gt;20 W/m2)]])*24,"")</f>
        <v>11.866666666666665</v>
      </c>
      <c r="L668" s="2" t="s">
        <v>294</v>
      </c>
      <c r="M668" s="42">
        <f>IFERROR(VLOOKUP(TA[[#This Row],[Affected Equipment]],'Basic Data'!$I$2:$K$40,3,0),"")</f>
        <v>1.7241379310344799E-3</v>
      </c>
      <c r="N668">
        <v>-28</v>
      </c>
      <c r="O668" t="s">
        <v>133</v>
      </c>
      <c r="P668" s="127" t="s">
        <v>316</v>
      </c>
      <c r="Q668" s="126" t="s">
        <v>316</v>
      </c>
      <c r="R668">
        <v>117</v>
      </c>
      <c r="S668" s="2">
        <v>20</v>
      </c>
      <c r="T668" t="s">
        <v>295</v>
      </c>
      <c r="U668" t="s">
        <v>300</v>
      </c>
      <c r="V668" t="s">
        <v>298</v>
      </c>
      <c r="W668" s="41"/>
      <c r="X668" s="41"/>
      <c r="Y668" s="34"/>
      <c r="Z668" s="34"/>
      <c r="AA668" s="35">
        <f>IF(TA[[#This Row],[Work Start time on Fault]]="NA","",(TA[[#This Row],[Fault Acknowledgement Time ]]-TA[[#This Row],[Fault Time]])*24)</f>
        <v>0</v>
      </c>
      <c r="AB668" s="35">
        <f>(TA[[#This Row],[Work Start time on Fault]]-TA[[#This Row],[Fault Time]])*24</f>
        <v>0</v>
      </c>
      <c r="AC668" s="34">
        <f>(TA[[#This Row],[Work Completion time on fault]]-TA[[#This Row],[Fault Time]])*24</f>
        <v>0</v>
      </c>
      <c r="AD668" s="35">
        <f>IFERROR((TA[[#This Row],[Work Completion time on fault]]-TA[[#This Row],[Fault Time]])*24,"")</f>
        <v>0</v>
      </c>
      <c r="AE668" t="s">
        <v>328</v>
      </c>
      <c r="AF668" t="s">
        <v>256</v>
      </c>
      <c r="AG668" s="2"/>
      <c r="AH668" s="44">
        <f>1-COS(RADIANS(TA[[#This Row],[Avg. Target Angle during Fault Time (Radians)]]-TA[[#This Row],[Angle of affected equipment ]]))</f>
        <v>0.11705240714107301</v>
      </c>
      <c r="AI668" s="35">
        <f>IFERROR(TA[[#This Row],[Breakdown Time]]*TA[[#This Row],[Plant Equivalent Weightage]],"")</f>
        <v>0</v>
      </c>
    </row>
    <row r="669" spans="1:35">
      <c r="A669" s="2">
        <f t="shared" si="36"/>
        <v>666</v>
      </c>
      <c r="B669" s="156">
        <f t="shared" si="43"/>
        <v>2026</v>
      </c>
      <c r="C669" s="129">
        <f t="shared" si="44"/>
        <v>2025</v>
      </c>
      <c r="D669" s="2" t="s">
        <v>155</v>
      </c>
      <c r="E669" s="2" t="s">
        <v>155</v>
      </c>
      <c r="F669" s="39">
        <v>45778</v>
      </c>
      <c r="G669" s="2">
        <f>DAY(EOMONTH(TA[[#This Row],[Month Year]],0))</f>
        <v>31</v>
      </c>
      <c r="H669" s="21">
        <v>45790</v>
      </c>
      <c r="I669" s="41">
        <f>IFERROR(VLOOKUP(TA[[#This Row],[Date]],Raw_Data[[Date]:[Sunset Time (POA&lt;20 W/m2)]],3,0),"")</f>
        <v>0.26041666666666669</v>
      </c>
      <c r="J669" s="41">
        <f>IFERROR(VLOOKUP(TA[[#This Row],[Date]],Raw_Data[[Date]:[Sunset Time (POA&lt;20 W/m2)]],4,0),"")</f>
        <v>0.75486111111111109</v>
      </c>
      <c r="K669" s="35">
        <f>IFERROR((TA[[#This Row],[Sunset Time (POA&lt;20 W/m2)]]-TA[[#This Row],[Sunrise Time (POA&gt;20 W/m2)]])*24,"")</f>
        <v>11.866666666666665</v>
      </c>
      <c r="L669" s="2" t="s">
        <v>294</v>
      </c>
      <c r="M669" s="42">
        <f>IFERROR(VLOOKUP(TA[[#This Row],[Affected Equipment]],'Basic Data'!$I$2:$K$40,3,0),"")</f>
        <v>1.7241379310344799E-3</v>
      </c>
      <c r="N669">
        <v>-28</v>
      </c>
      <c r="O669" t="s">
        <v>133</v>
      </c>
      <c r="P669" s="127" t="s">
        <v>316</v>
      </c>
      <c r="Q669" s="126" t="s">
        <v>316</v>
      </c>
      <c r="R669">
        <v>118</v>
      </c>
      <c r="S669" s="2">
        <v>22</v>
      </c>
      <c r="T669" t="s">
        <v>295</v>
      </c>
      <c r="U669" t="s">
        <v>300</v>
      </c>
      <c r="V669" t="s">
        <v>298</v>
      </c>
      <c r="W669" s="41"/>
      <c r="X669" s="41"/>
      <c r="Y669" s="34"/>
      <c r="Z669" s="34"/>
      <c r="AA669" s="35">
        <f>IF(TA[[#This Row],[Work Start time on Fault]]="NA","",(TA[[#This Row],[Fault Acknowledgement Time ]]-TA[[#This Row],[Fault Time]])*24)</f>
        <v>0</v>
      </c>
      <c r="AB669" s="35">
        <f>(TA[[#This Row],[Work Start time on Fault]]-TA[[#This Row],[Fault Time]])*24</f>
        <v>0</v>
      </c>
      <c r="AC669" s="34">
        <f>(TA[[#This Row],[Work Completion time on fault]]-TA[[#This Row],[Fault Time]])*24</f>
        <v>0</v>
      </c>
      <c r="AD669" s="35">
        <f>IFERROR((TA[[#This Row],[Work Completion time on fault]]-TA[[#This Row],[Fault Time]])*24,"")</f>
        <v>0</v>
      </c>
      <c r="AE669" t="s">
        <v>328</v>
      </c>
      <c r="AF669" t="s">
        <v>256</v>
      </c>
      <c r="AG669" s="2"/>
      <c r="AH669" s="44">
        <f>1-COS(RADIANS(TA[[#This Row],[Avg. Target Angle during Fault Time (Radians)]]-TA[[#This Row],[Angle of affected equipment ]]))</f>
        <v>0.11705240714107301</v>
      </c>
      <c r="AI669" s="35">
        <f>IFERROR(TA[[#This Row],[Breakdown Time]]*TA[[#This Row],[Plant Equivalent Weightage]],"")</f>
        <v>0</v>
      </c>
    </row>
    <row r="670" spans="1:35">
      <c r="A670" s="2">
        <f t="shared" si="36"/>
        <v>667</v>
      </c>
      <c r="B670" s="156">
        <f t="shared" si="43"/>
        <v>2026</v>
      </c>
      <c r="C670" s="129">
        <f t="shared" si="44"/>
        <v>2025</v>
      </c>
      <c r="D670" s="2" t="s">
        <v>155</v>
      </c>
      <c r="E670" s="2" t="s">
        <v>155</v>
      </c>
      <c r="F670" s="39">
        <v>45778</v>
      </c>
      <c r="G670" s="2">
        <f>DAY(EOMONTH(TA[[#This Row],[Month Year]],0))</f>
        <v>31</v>
      </c>
      <c r="H670" s="21">
        <v>45790</v>
      </c>
      <c r="I670" s="41">
        <f>IFERROR(VLOOKUP(TA[[#This Row],[Date]],Raw_Data[[Date]:[Sunset Time (POA&lt;20 W/m2)]],3,0),"")</f>
        <v>0.26041666666666669</v>
      </c>
      <c r="J670" s="41">
        <f>IFERROR(VLOOKUP(TA[[#This Row],[Date]],Raw_Data[[Date]:[Sunset Time (POA&lt;20 W/m2)]],4,0),"")</f>
        <v>0.75486111111111109</v>
      </c>
      <c r="K670" s="35">
        <f>IFERROR((TA[[#This Row],[Sunset Time (POA&lt;20 W/m2)]]-TA[[#This Row],[Sunrise Time (POA&gt;20 W/m2)]])*24,"")</f>
        <v>11.866666666666665</v>
      </c>
      <c r="L670" s="2" t="s">
        <v>296</v>
      </c>
      <c r="M670" s="42">
        <f>IFERROR(VLOOKUP(TA[[#This Row],[Affected Equipment]],'Basic Data'!$I$2:$K$40,3,0),"")</f>
        <v>8.6206896551724102E-3</v>
      </c>
      <c r="N670">
        <v>-28</v>
      </c>
      <c r="O670" t="s">
        <v>135</v>
      </c>
      <c r="P670" s="22" t="s">
        <v>323</v>
      </c>
      <c r="Q670" s="2" t="s">
        <v>329</v>
      </c>
      <c r="R670">
        <v>45</v>
      </c>
      <c r="S670" s="2">
        <v>8</v>
      </c>
      <c r="T670" t="s">
        <v>297</v>
      </c>
      <c r="U670" t="s">
        <v>300</v>
      </c>
      <c r="V670" t="s">
        <v>301</v>
      </c>
      <c r="W670" s="41"/>
      <c r="X670" s="41"/>
      <c r="Y670" s="34"/>
      <c r="Z670" s="34"/>
      <c r="AA670" s="35">
        <f>IF(TA[[#This Row],[Work Start time on Fault]]="NA","",(TA[[#This Row],[Fault Acknowledgement Time ]]-TA[[#This Row],[Fault Time]])*24)</f>
        <v>0</v>
      </c>
      <c r="AB670" s="35">
        <f>(TA[[#This Row],[Work Start time on Fault]]-TA[[#This Row],[Fault Time]])*24</f>
        <v>0</v>
      </c>
      <c r="AC670" s="34">
        <f>(TA[[#This Row],[Work Completion time on fault]]-TA[[#This Row],[Fault Time]])*24</f>
        <v>0</v>
      </c>
      <c r="AD670" s="35">
        <f>IFERROR((TA[[#This Row],[Work Completion time on fault]]-TA[[#This Row],[Fault Time]])*24,"")</f>
        <v>0</v>
      </c>
      <c r="AE670" t="s">
        <v>328</v>
      </c>
      <c r="AF670" t="s">
        <v>256</v>
      </c>
      <c r="AG670" s="2"/>
      <c r="AH670" s="44">
        <f>1-COS(RADIANS(TA[[#This Row],[Avg. Target Angle during Fault Time (Radians)]]-TA[[#This Row],[Angle of affected equipment ]]))</f>
        <v>0.11705240714107301</v>
      </c>
      <c r="AI670" s="35">
        <f>IFERROR(TA[[#This Row],[Breakdown Time]]*TA[[#This Row],[Plant Equivalent Weightage]],"")</f>
        <v>0</v>
      </c>
    </row>
    <row r="671" spans="1:35">
      <c r="A671" s="2">
        <f t="shared" si="36"/>
        <v>668</v>
      </c>
      <c r="B671" s="156">
        <f t="shared" si="43"/>
        <v>2026</v>
      </c>
      <c r="C671" s="129">
        <f t="shared" si="44"/>
        <v>2025</v>
      </c>
      <c r="D671" s="2" t="s">
        <v>155</v>
      </c>
      <c r="E671" s="2" t="s">
        <v>155</v>
      </c>
      <c r="F671" s="39">
        <v>45778</v>
      </c>
      <c r="G671" s="2">
        <f>DAY(EOMONTH(TA[[#This Row],[Month Year]],0))</f>
        <v>31</v>
      </c>
      <c r="H671" s="21">
        <v>45790</v>
      </c>
      <c r="I671" s="41">
        <f>IFERROR(VLOOKUP(TA[[#This Row],[Date]],Raw_Data[[Date]:[Sunset Time (POA&lt;20 W/m2)]],3,0),"")</f>
        <v>0.26041666666666669</v>
      </c>
      <c r="J671" s="41">
        <f>IFERROR(VLOOKUP(TA[[#This Row],[Date]],Raw_Data[[Date]:[Sunset Time (POA&lt;20 W/m2)]],4,0),"")</f>
        <v>0.75486111111111109</v>
      </c>
      <c r="K671" s="35">
        <f>IFERROR((TA[[#This Row],[Sunset Time (POA&lt;20 W/m2)]]-TA[[#This Row],[Sunrise Time (POA&gt;20 W/m2)]])*24,"")</f>
        <v>11.866666666666665</v>
      </c>
      <c r="L671" s="2" t="s">
        <v>296</v>
      </c>
      <c r="M671" s="42">
        <f>IFERROR(VLOOKUP(TA[[#This Row],[Affected Equipment]],'Basic Data'!$I$2:$K$40,3,0),"")</f>
        <v>8.6206896551724102E-3</v>
      </c>
      <c r="N671">
        <v>-28</v>
      </c>
      <c r="O671" t="s">
        <v>135</v>
      </c>
      <c r="P671" s="22" t="s">
        <v>323</v>
      </c>
      <c r="Q671" s="2" t="s">
        <v>329</v>
      </c>
      <c r="R671">
        <v>47</v>
      </c>
      <c r="S671" s="2">
        <v>18</v>
      </c>
      <c r="T671" t="s">
        <v>297</v>
      </c>
      <c r="U671" t="s">
        <v>300</v>
      </c>
      <c r="V671" t="s">
        <v>301</v>
      </c>
      <c r="W671" s="41"/>
      <c r="X671" s="41"/>
      <c r="Y671" s="34"/>
      <c r="Z671" s="34"/>
      <c r="AA671" s="35">
        <f>IF(TA[[#This Row],[Work Start time on Fault]]="NA","",(TA[[#This Row],[Fault Acknowledgement Time ]]-TA[[#This Row],[Fault Time]])*24)</f>
        <v>0</v>
      </c>
      <c r="AB671" s="35">
        <f>(TA[[#This Row],[Work Start time on Fault]]-TA[[#This Row],[Fault Time]])*24</f>
        <v>0</v>
      </c>
      <c r="AC671" s="34">
        <f>(TA[[#This Row],[Work Completion time on fault]]-TA[[#This Row],[Fault Time]])*24</f>
        <v>0</v>
      </c>
      <c r="AD671" s="35">
        <f>IFERROR((TA[[#This Row],[Work Completion time on fault]]-TA[[#This Row],[Fault Time]])*24,"")</f>
        <v>0</v>
      </c>
      <c r="AE671" t="s">
        <v>328</v>
      </c>
      <c r="AF671" t="s">
        <v>256</v>
      </c>
      <c r="AG671" s="2"/>
      <c r="AH671" s="44">
        <f>1-COS(RADIANS(TA[[#This Row],[Avg. Target Angle during Fault Time (Radians)]]-TA[[#This Row],[Angle of affected equipment ]]))</f>
        <v>0.11705240714107301</v>
      </c>
      <c r="AI671" s="35">
        <f>IFERROR(TA[[#This Row],[Breakdown Time]]*TA[[#This Row],[Plant Equivalent Weightage]],"")</f>
        <v>0</v>
      </c>
    </row>
    <row r="672" spans="1:35">
      <c r="A672" s="2">
        <f t="shared" si="36"/>
        <v>669</v>
      </c>
      <c r="B672" s="156">
        <f t="shared" si="43"/>
        <v>2026</v>
      </c>
      <c r="C672" s="129">
        <f t="shared" si="44"/>
        <v>2025</v>
      </c>
      <c r="D672" s="2" t="s">
        <v>155</v>
      </c>
      <c r="E672" s="2" t="s">
        <v>155</v>
      </c>
      <c r="F672" s="39">
        <v>45778</v>
      </c>
      <c r="G672" s="2">
        <f>DAY(EOMONTH(TA[[#This Row],[Month Year]],0))</f>
        <v>31</v>
      </c>
      <c r="H672" s="21">
        <v>45790</v>
      </c>
      <c r="I672" s="41">
        <f>IFERROR(VLOOKUP(TA[[#This Row],[Date]],Raw_Data[[Date]:[Sunset Time (POA&lt;20 W/m2)]],3,0),"")</f>
        <v>0.26041666666666669</v>
      </c>
      <c r="J672" s="41">
        <f>IFERROR(VLOOKUP(TA[[#This Row],[Date]],Raw_Data[[Date]:[Sunset Time (POA&lt;20 W/m2)]],4,0),"")</f>
        <v>0.75486111111111109</v>
      </c>
      <c r="K672" s="35">
        <f>IFERROR((TA[[#This Row],[Sunset Time (POA&lt;20 W/m2)]]-TA[[#This Row],[Sunrise Time (POA&gt;20 W/m2)]])*24,"")</f>
        <v>11.866666666666665</v>
      </c>
      <c r="L672" s="2" t="s">
        <v>296</v>
      </c>
      <c r="M672" s="42">
        <f>IFERROR(VLOOKUP(TA[[#This Row],[Affected Equipment]],'Basic Data'!$I$2:$K$40,3,0),"")</f>
        <v>8.6206896551724102E-3</v>
      </c>
      <c r="N672">
        <v>-28</v>
      </c>
      <c r="O672" t="s">
        <v>134</v>
      </c>
      <c r="P672" s="22" t="s">
        <v>330</v>
      </c>
      <c r="Q672" s="2" t="s">
        <v>323</v>
      </c>
      <c r="R672">
        <v>30</v>
      </c>
      <c r="S672" s="2">
        <v>57</v>
      </c>
      <c r="T672" t="s">
        <v>297</v>
      </c>
      <c r="U672" t="s">
        <v>300</v>
      </c>
      <c r="V672" t="s">
        <v>301</v>
      </c>
      <c r="W672" s="41"/>
      <c r="X672" s="41"/>
      <c r="Y672" s="34"/>
      <c r="Z672" s="34"/>
      <c r="AA672" s="35">
        <f>IF(TA[[#This Row],[Work Start time on Fault]]="NA","",(TA[[#This Row],[Fault Acknowledgement Time ]]-TA[[#This Row],[Fault Time]])*24)</f>
        <v>0</v>
      </c>
      <c r="AB672" s="35">
        <f>(TA[[#This Row],[Work Start time on Fault]]-TA[[#This Row],[Fault Time]])*24</f>
        <v>0</v>
      </c>
      <c r="AC672" s="34">
        <f>(TA[[#This Row],[Work Completion time on fault]]-TA[[#This Row],[Fault Time]])*24</f>
        <v>0</v>
      </c>
      <c r="AD672" s="35">
        <f>IFERROR((TA[[#This Row],[Work Completion time on fault]]-TA[[#This Row],[Fault Time]])*24,"")</f>
        <v>0</v>
      </c>
      <c r="AE672" t="s">
        <v>328</v>
      </c>
      <c r="AF672" t="s">
        <v>256</v>
      </c>
      <c r="AG672" s="2"/>
      <c r="AH672" s="44">
        <f>1-COS(RADIANS(TA[[#This Row],[Avg. Target Angle during Fault Time (Radians)]]-TA[[#This Row],[Angle of affected equipment ]]))</f>
        <v>0.11705240714107301</v>
      </c>
      <c r="AI672" s="35">
        <f>IFERROR(TA[[#This Row],[Breakdown Time]]*TA[[#This Row],[Plant Equivalent Weightage]],"")</f>
        <v>0</v>
      </c>
    </row>
    <row r="673" spans="1:35">
      <c r="A673" s="2">
        <f t="shared" si="36"/>
        <v>670</v>
      </c>
      <c r="B673" s="156">
        <f t="shared" si="43"/>
        <v>2026</v>
      </c>
      <c r="C673" s="129">
        <f t="shared" si="44"/>
        <v>2025</v>
      </c>
      <c r="D673" s="2" t="s">
        <v>155</v>
      </c>
      <c r="E673" s="2" t="s">
        <v>155</v>
      </c>
      <c r="F673" s="39">
        <v>45778</v>
      </c>
      <c r="G673" s="2">
        <f>DAY(EOMONTH(TA[[#This Row],[Month Year]],0))</f>
        <v>31</v>
      </c>
      <c r="H673" s="21">
        <v>45790</v>
      </c>
      <c r="I673" s="41">
        <f>IFERROR(VLOOKUP(TA[[#This Row],[Date]],Raw_Data[[Date]:[Sunset Time (POA&lt;20 W/m2)]],3,0),"")</f>
        <v>0.26041666666666669</v>
      </c>
      <c r="J673" s="41">
        <f>IFERROR(VLOOKUP(TA[[#This Row],[Date]],Raw_Data[[Date]:[Sunset Time (POA&lt;20 W/m2)]],4,0),"")</f>
        <v>0.75486111111111109</v>
      </c>
      <c r="K673" s="35">
        <f>IFERROR((TA[[#This Row],[Sunset Time (POA&lt;20 W/m2)]]-TA[[#This Row],[Sunrise Time (POA&gt;20 W/m2)]])*24,"")</f>
        <v>11.866666666666665</v>
      </c>
      <c r="L673" s="2" t="s">
        <v>296</v>
      </c>
      <c r="M673" s="42">
        <f>IFERROR(VLOOKUP(TA[[#This Row],[Affected Equipment]],'Basic Data'!$I$2:$K$40,3,0),"")</f>
        <v>8.6206896551724102E-3</v>
      </c>
      <c r="N673">
        <v>-28</v>
      </c>
      <c r="O673" t="s">
        <v>134</v>
      </c>
      <c r="P673" s="22" t="s">
        <v>330</v>
      </c>
      <c r="Q673" s="2" t="s">
        <v>323</v>
      </c>
      <c r="R673">
        <v>31</v>
      </c>
      <c r="S673" s="2">
        <v>61</v>
      </c>
      <c r="T673" t="s">
        <v>297</v>
      </c>
      <c r="U673" t="s">
        <v>300</v>
      </c>
      <c r="V673" t="s">
        <v>301</v>
      </c>
      <c r="W673" s="41"/>
      <c r="X673" s="41"/>
      <c r="Y673" s="34"/>
      <c r="Z673" s="34"/>
      <c r="AA673" s="35">
        <f>IF(TA[[#This Row],[Work Start time on Fault]]="NA","",(TA[[#This Row],[Fault Acknowledgement Time ]]-TA[[#This Row],[Fault Time]])*24)</f>
        <v>0</v>
      </c>
      <c r="AB673" s="35">
        <f>(TA[[#This Row],[Work Start time on Fault]]-TA[[#This Row],[Fault Time]])*24</f>
        <v>0</v>
      </c>
      <c r="AC673" s="34">
        <f>(TA[[#This Row],[Work Completion time on fault]]-TA[[#This Row],[Fault Time]])*24</f>
        <v>0</v>
      </c>
      <c r="AD673" s="35">
        <f>IFERROR((TA[[#This Row],[Work Completion time on fault]]-TA[[#This Row],[Fault Time]])*24,"")</f>
        <v>0</v>
      </c>
      <c r="AE673" t="s">
        <v>328</v>
      </c>
      <c r="AF673" t="s">
        <v>256</v>
      </c>
      <c r="AG673" s="2"/>
      <c r="AH673" s="44">
        <f>1-COS(RADIANS(TA[[#This Row],[Avg. Target Angle during Fault Time (Radians)]]-TA[[#This Row],[Angle of affected equipment ]]))</f>
        <v>0.11705240714107301</v>
      </c>
      <c r="AI673" s="35">
        <f>IFERROR(TA[[#This Row],[Breakdown Time]]*TA[[#This Row],[Plant Equivalent Weightage]],"")</f>
        <v>0</v>
      </c>
    </row>
    <row r="674" spans="1:35">
      <c r="A674" s="2">
        <f t="shared" si="36"/>
        <v>671</v>
      </c>
      <c r="B674" s="156">
        <f t="shared" si="43"/>
        <v>2026</v>
      </c>
      <c r="C674" s="129">
        <f t="shared" si="44"/>
        <v>2025</v>
      </c>
      <c r="D674" s="2" t="s">
        <v>155</v>
      </c>
      <c r="E674" s="2" t="s">
        <v>155</v>
      </c>
      <c r="F674" s="39">
        <v>45778</v>
      </c>
      <c r="G674" s="2">
        <f>DAY(EOMONTH(TA[[#This Row],[Month Year]],0))</f>
        <v>31</v>
      </c>
      <c r="H674" s="21">
        <v>45790</v>
      </c>
      <c r="I674" s="41">
        <f>IFERROR(VLOOKUP(TA[[#This Row],[Date]],Raw_Data[[Date]:[Sunset Time (POA&lt;20 W/m2)]],3,0),"")</f>
        <v>0.26041666666666669</v>
      </c>
      <c r="J674" s="41">
        <f>IFERROR(VLOOKUP(TA[[#This Row],[Date]],Raw_Data[[Date]:[Sunset Time (POA&lt;20 W/m2)]],4,0),"")</f>
        <v>0.75486111111111109</v>
      </c>
      <c r="K674" s="35">
        <f>IFERROR((TA[[#This Row],[Sunset Time (POA&lt;20 W/m2)]]-TA[[#This Row],[Sunrise Time (POA&gt;20 W/m2)]])*24,"")</f>
        <v>11.866666666666665</v>
      </c>
      <c r="L674" s="2" t="s">
        <v>312</v>
      </c>
      <c r="M674" s="42">
        <f>IFERROR(VLOOKUP(TA[[#This Row],[Affected Equipment]],'Basic Data'!$I$2:$K$40,3,0),"")</f>
        <v>5.74712643678161E-3</v>
      </c>
      <c r="N674">
        <v>-28</v>
      </c>
      <c r="O674" t="s">
        <v>133</v>
      </c>
      <c r="P674" s="22" t="s">
        <v>330</v>
      </c>
      <c r="Q674" s="2" t="s">
        <v>323</v>
      </c>
      <c r="R674">
        <v>26</v>
      </c>
      <c r="S674" s="2">
        <v>37</v>
      </c>
      <c r="T674" t="s">
        <v>297</v>
      </c>
      <c r="U674" t="s">
        <v>300</v>
      </c>
      <c r="V674" t="s">
        <v>301</v>
      </c>
      <c r="W674" s="41"/>
      <c r="X674" s="41"/>
      <c r="Y674" s="34"/>
      <c r="Z674" s="34"/>
      <c r="AA674" s="35">
        <f>IF(TA[[#This Row],[Work Start time on Fault]]="NA","",(TA[[#This Row],[Fault Acknowledgement Time ]]-TA[[#This Row],[Fault Time]])*24)</f>
        <v>0</v>
      </c>
      <c r="AB674" s="35">
        <f>(TA[[#This Row],[Work Start time on Fault]]-TA[[#This Row],[Fault Time]])*24</f>
        <v>0</v>
      </c>
      <c r="AC674" s="34">
        <f>(TA[[#This Row],[Work Completion time on fault]]-TA[[#This Row],[Fault Time]])*24</f>
        <v>0</v>
      </c>
      <c r="AD674" s="35">
        <f>IFERROR((TA[[#This Row],[Work Completion time on fault]]-TA[[#This Row],[Fault Time]])*24,"")</f>
        <v>0</v>
      </c>
      <c r="AE674" t="s">
        <v>328</v>
      </c>
      <c r="AF674" t="s">
        <v>256</v>
      </c>
      <c r="AG674" s="2"/>
      <c r="AH674" s="44">
        <f>1-COS(RADIANS(TA[[#This Row],[Avg. Target Angle during Fault Time (Radians)]]-TA[[#This Row],[Angle of affected equipment ]]))</f>
        <v>0.11705240714107301</v>
      </c>
      <c r="AI674" s="35">
        <f>IFERROR(TA[[#This Row],[Breakdown Time]]*TA[[#This Row],[Plant Equivalent Weightage]],"")</f>
        <v>0</v>
      </c>
    </row>
    <row r="675" spans="1:35">
      <c r="A675" s="2">
        <f t="shared" si="36"/>
        <v>672</v>
      </c>
      <c r="B675" s="156">
        <f t="shared" si="43"/>
        <v>2026</v>
      </c>
      <c r="C675" s="129">
        <f t="shared" si="44"/>
        <v>2025</v>
      </c>
      <c r="D675" s="2" t="s">
        <v>155</v>
      </c>
      <c r="E675" s="2" t="s">
        <v>155</v>
      </c>
      <c r="F675" s="39">
        <v>45778</v>
      </c>
      <c r="G675" s="2">
        <f>DAY(EOMONTH(TA[[#This Row],[Month Year]],0))</f>
        <v>31</v>
      </c>
      <c r="H675" s="21">
        <v>45790</v>
      </c>
      <c r="I675" s="41">
        <f>IFERROR(VLOOKUP(TA[[#This Row],[Date]],Raw_Data[[Date]:[Sunset Time (POA&lt;20 W/m2)]],3,0),"")</f>
        <v>0.26041666666666669</v>
      </c>
      <c r="J675" s="41">
        <f>IFERROR(VLOOKUP(TA[[#This Row],[Date]],Raw_Data[[Date]:[Sunset Time (POA&lt;20 W/m2)]],4,0),"")</f>
        <v>0.75486111111111109</v>
      </c>
      <c r="K675" s="35">
        <f>IFERROR((TA[[#This Row],[Sunset Time (POA&lt;20 W/m2)]]-TA[[#This Row],[Sunrise Time (POA&gt;20 W/m2)]])*24,"")</f>
        <v>11.866666666666665</v>
      </c>
      <c r="L675" s="2" t="s">
        <v>312</v>
      </c>
      <c r="M675" s="42">
        <f>IFERROR(VLOOKUP(TA[[#This Row],[Affected Equipment]],'Basic Data'!$I$2:$K$40,3,0),"")</f>
        <v>5.74712643678161E-3</v>
      </c>
      <c r="N675">
        <v>-28</v>
      </c>
      <c r="O675" t="s">
        <v>133</v>
      </c>
      <c r="P675" s="22" t="s">
        <v>330</v>
      </c>
      <c r="Q675" s="2" t="s">
        <v>323</v>
      </c>
      <c r="R675">
        <v>27</v>
      </c>
      <c r="S675" s="2">
        <v>42</v>
      </c>
      <c r="T675" t="s">
        <v>297</v>
      </c>
      <c r="U675" t="s">
        <v>300</v>
      </c>
      <c r="V675" t="s">
        <v>301</v>
      </c>
      <c r="W675" s="41">
        <f>IFERROR(VLOOKUP(TA[[#This Row],[Date]],Raw_Data[[Date]:[Sunset Time (POA&lt;20 W/m2)]],3,0),"")</f>
        <v>0.26041666666666669</v>
      </c>
      <c r="X675" s="41">
        <f>IFERROR(VLOOKUP(TA[[#This Row],[Date]],Raw_Data[[Date]:[Sunset Time (POA&lt;20 W/m2)]],3,0),"")</f>
        <v>0.26041666666666669</v>
      </c>
      <c r="Y675" s="34"/>
      <c r="Z675" s="34">
        <v>0.76041666666666663</v>
      </c>
      <c r="AA675" s="35">
        <f>IF(TA[[#This Row],[Work Start time on Fault]]="NA","",(TA[[#This Row],[Fault Acknowledgement Time ]]-TA[[#This Row],[Fault Time]])*24)</f>
        <v>0</v>
      </c>
      <c r="AB675" s="35">
        <f>(TA[[#This Row],[Work Start time on Fault]]-TA[[#This Row],[Fault Time]])*24</f>
        <v>-6.25</v>
      </c>
      <c r="AC675" s="34">
        <f>(TA[[#This Row],[Work Completion time on fault]]-TA[[#This Row],[Fault Time]])*24</f>
        <v>11.999999999999998</v>
      </c>
      <c r="AD675" s="35">
        <f>IFERROR((TA[[#This Row],[Work Completion time on fault]]-TA[[#This Row],[Fault Time]])*24,"")</f>
        <v>11.999999999999998</v>
      </c>
      <c r="AE675" t="s">
        <v>309</v>
      </c>
      <c r="AF675" t="s">
        <v>256</v>
      </c>
      <c r="AG675" s="2"/>
      <c r="AH675" s="44">
        <f>1-COS(RADIANS(TA[[#This Row],[Avg. Target Angle during Fault Time (Radians)]]-TA[[#This Row],[Angle of affected equipment ]]))</f>
        <v>0.11705240714107301</v>
      </c>
      <c r="AI675" s="35">
        <f>IFERROR(TA[[#This Row],[Breakdown Time]]*TA[[#This Row],[Plant Equivalent Weightage]],"")</f>
        <v>6.8965517241379309E-2</v>
      </c>
    </row>
    <row r="676" spans="1:35">
      <c r="A676" s="2">
        <f t="shared" si="36"/>
        <v>673</v>
      </c>
      <c r="B676" s="156">
        <f t="shared" ref="B676:B689" si="45">YEAR(H676)+IF(MONTH(H676)&gt;=4,1,0)</f>
        <v>2026</v>
      </c>
      <c r="C676" s="129">
        <f t="shared" ref="C676:C689" si="46">YEAR(H676)</f>
        <v>2025</v>
      </c>
      <c r="D676" s="2" t="s">
        <v>155</v>
      </c>
      <c r="E676" s="2" t="s">
        <v>155</v>
      </c>
      <c r="F676" s="39">
        <v>45778</v>
      </c>
      <c r="G676" s="2">
        <f>DAY(EOMONTH(TA[[#This Row],[Month Year]],0))</f>
        <v>31</v>
      </c>
      <c r="H676" s="21">
        <v>45791</v>
      </c>
      <c r="I676" s="41">
        <f>IFERROR(VLOOKUP(TA[[#This Row],[Date]],Raw_Data[[Date]:[Sunset Time (POA&lt;20 W/m2)]],3,0),"")</f>
        <v>0.25486111111111109</v>
      </c>
      <c r="J676" s="41">
        <f>IFERROR(VLOOKUP(TA[[#This Row],[Date]],Raw_Data[[Date]:[Sunset Time (POA&lt;20 W/m2)]],4,0),"")</f>
        <v>0.73472222222222228</v>
      </c>
      <c r="K676" s="35">
        <f>IFERROR((TA[[#This Row],[Sunset Time (POA&lt;20 W/m2)]]-TA[[#This Row],[Sunrise Time (POA&gt;20 W/m2)]])*24,"")</f>
        <v>11.516666666666669</v>
      </c>
      <c r="L676" s="2" t="s">
        <v>294</v>
      </c>
      <c r="M676" s="42">
        <f>IFERROR(VLOOKUP(TA[[#This Row],[Affected Equipment]],'Basic Data'!$I$2:$K$40,3,0),"")</f>
        <v>1.7241379310344799E-3</v>
      </c>
      <c r="N676">
        <v>-28</v>
      </c>
      <c r="O676" t="s">
        <v>135</v>
      </c>
      <c r="P676" s="127" t="s">
        <v>318</v>
      </c>
      <c r="Q676" s="126" t="s">
        <v>318</v>
      </c>
      <c r="R676">
        <v>130</v>
      </c>
      <c r="S676" s="2">
        <v>37</v>
      </c>
      <c r="T676" t="s">
        <v>295</v>
      </c>
      <c r="U676" t="s">
        <v>300</v>
      </c>
      <c r="V676" t="s">
        <v>298</v>
      </c>
      <c r="W676" s="41"/>
      <c r="X676" s="41"/>
      <c r="Y676" s="34"/>
      <c r="Z676" s="34"/>
      <c r="AA676" s="35">
        <f>IF(TA[[#This Row],[Work Start time on Fault]]="NA","",(TA[[#This Row],[Fault Acknowledgement Time ]]-TA[[#This Row],[Fault Time]])*24)</f>
        <v>0</v>
      </c>
      <c r="AB676" s="35">
        <f>(TA[[#This Row],[Work Start time on Fault]]-TA[[#This Row],[Fault Time]])*24</f>
        <v>0</v>
      </c>
      <c r="AC676" s="34">
        <f>(TA[[#This Row],[Work Completion time on fault]]-TA[[#This Row],[Fault Time]])*24</f>
        <v>0</v>
      </c>
      <c r="AD676" s="35">
        <f>IFERROR((TA[[#This Row],[Work Completion time on fault]]-TA[[#This Row],[Fault Time]])*24,"")</f>
        <v>0</v>
      </c>
      <c r="AE676" t="s">
        <v>328</v>
      </c>
      <c r="AF676" t="s">
        <v>256</v>
      </c>
      <c r="AG676" s="2"/>
      <c r="AH676" s="44">
        <f>1-COS(RADIANS(TA[[#This Row],[Avg. Target Angle during Fault Time (Radians)]]-TA[[#This Row],[Angle of affected equipment ]]))</f>
        <v>0.11705240714107301</v>
      </c>
      <c r="AI676" s="35">
        <f>IFERROR(TA[[#This Row],[Breakdown Time]]*TA[[#This Row],[Plant Equivalent Weightage]],"")</f>
        <v>0</v>
      </c>
    </row>
    <row r="677" spans="1:35">
      <c r="A677" s="2">
        <f t="shared" si="36"/>
        <v>674</v>
      </c>
      <c r="B677" s="156">
        <f t="shared" si="45"/>
        <v>2026</v>
      </c>
      <c r="C677" s="129">
        <f t="shared" si="46"/>
        <v>2025</v>
      </c>
      <c r="D677" s="2" t="s">
        <v>155</v>
      </c>
      <c r="E677" s="2" t="s">
        <v>155</v>
      </c>
      <c r="F677" s="39">
        <v>45778</v>
      </c>
      <c r="G677" s="2">
        <f>DAY(EOMONTH(TA[[#This Row],[Month Year]],0))</f>
        <v>31</v>
      </c>
      <c r="H677" s="21">
        <v>45791</v>
      </c>
      <c r="I677" s="41">
        <f>IFERROR(VLOOKUP(TA[[#This Row],[Date]],Raw_Data[[Date]:[Sunset Time (POA&lt;20 W/m2)]],3,0),"")</f>
        <v>0.25486111111111109</v>
      </c>
      <c r="J677" s="41">
        <f>IFERROR(VLOOKUP(TA[[#This Row],[Date]],Raw_Data[[Date]:[Sunset Time (POA&lt;20 W/m2)]],4,0),"")</f>
        <v>0.73472222222222228</v>
      </c>
      <c r="K677" s="35">
        <f>IFERROR((TA[[#This Row],[Sunset Time (POA&lt;20 W/m2)]]-TA[[#This Row],[Sunrise Time (POA&gt;20 W/m2)]])*24,"")</f>
        <v>11.516666666666669</v>
      </c>
      <c r="L677" s="2" t="s">
        <v>294</v>
      </c>
      <c r="M677" s="42">
        <f>IFERROR(VLOOKUP(TA[[#This Row],[Affected Equipment]],'Basic Data'!$I$2:$K$40,3,0),"")</f>
        <v>1.7241379310344799E-3</v>
      </c>
      <c r="N677">
        <v>-28</v>
      </c>
      <c r="O677" t="s">
        <v>135</v>
      </c>
      <c r="P677" s="127" t="s">
        <v>318</v>
      </c>
      <c r="Q677" s="126" t="s">
        <v>318</v>
      </c>
      <c r="R677">
        <v>131</v>
      </c>
      <c r="S677" s="2">
        <v>38</v>
      </c>
      <c r="T677" t="s">
        <v>295</v>
      </c>
      <c r="U677" t="s">
        <v>300</v>
      </c>
      <c r="V677" t="s">
        <v>298</v>
      </c>
      <c r="W677" s="41"/>
      <c r="X677" s="41"/>
      <c r="Y677" s="34"/>
      <c r="Z677" s="34"/>
      <c r="AA677" s="35">
        <f>IF(TA[[#This Row],[Work Start time on Fault]]="NA","",(TA[[#This Row],[Fault Acknowledgement Time ]]-TA[[#This Row],[Fault Time]])*24)</f>
        <v>0</v>
      </c>
      <c r="AB677" s="35">
        <f>(TA[[#This Row],[Work Start time on Fault]]-TA[[#This Row],[Fault Time]])*24</f>
        <v>0</v>
      </c>
      <c r="AC677" s="34">
        <f>(TA[[#This Row],[Work Completion time on fault]]-TA[[#This Row],[Fault Time]])*24</f>
        <v>0</v>
      </c>
      <c r="AD677" s="35">
        <f>IFERROR((TA[[#This Row],[Work Completion time on fault]]-TA[[#This Row],[Fault Time]])*24,"")</f>
        <v>0</v>
      </c>
      <c r="AE677" t="s">
        <v>328</v>
      </c>
      <c r="AF677" t="s">
        <v>256</v>
      </c>
      <c r="AG677" s="2"/>
      <c r="AH677" s="44">
        <f>1-COS(RADIANS(TA[[#This Row],[Avg. Target Angle during Fault Time (Radians)]]-TA[[#This Row],[Angle of affected equipment ]]))</f>
        <v>0.11705240714107301</v>
      </c>
      <c r="AI677" s="35">
        <f>IFERROR(TA[[#This Row],[Breakdown Time]]*TA[[#This Row],[Plant Equivalent Weightage]],"")</f>
        <v>0</v>
      </c>
    </row>
    <row r="678" spans="1:35">
      <c r="A678" s="2">
        <f t="shared" si="36"/>
        <v>675</v>
      </c>
      <c r="B678" s="156">
        <f t="shared" si="45"/>
        <v>2026</v>
      </c>
      <c r="C678" s="129">
        <f t="shared" si="46"/>
        <v>2025</v>
      </c>
      <c r="D678" s="2" t="s">
        <v>155</v>
      </c>
      <c r="E678" s="2" t="s">
        <v>155</v>
      </c>
      <c r="F678" s="39">
        <v>45778</v>
      </c>
      <c r="G678" s="2">
        <f>DAY(EOMONTH(TA[[#This Row],[Month Year]],0))</f>
        <v>31</v>
      </c>
      <c r="H678" s="21">
        <v>45791</v>
      </c>
      <c r="I678" s="41">
        <f>IFERROR(VLOOKUP(TA[[#This Row],[Date]],Raw_Data[[Date]:[Sunset Time (POA&lt;20 W/m2)]],3,0),"")</f>
        <v>0.25486111111111109</v>
      </c>
      <c r="J678" s="41">
        <f>IFERROR(VLOOKUP(TA[[#This Row],[Date]],Raw_Data[[Date]:[Sunset Time (POA&lt;20 W/m2)]],4,0),"")</f>
        <v>0.73472222222222228</v>
      </c>
      <c r="K678" s="35">
        <f>IFERROR((TA[[#This Row],[Sunset Time (POA&lt;20 W/m2)]]-TA[[#This Row],[Sunrise Time (POA&gt;20 W/m2)]])*24,"")</f>
        <v>11.516666666666669</v>
      </c>
      <c r="L678" s="2" t="s">
        <v>294</v>
      </c>
      <c r="M678" s="42">
        <f>IFERROR(VLOOKUP(TA[[#This Row],[Affected Equipment]],'Basic Data'!$I$2:$K$40,3,0),"")</f>
        <v>1.7241379310344799E-3</v>
      </c>
      <c r="N678">
        <v>-28</v>
      </c>
      <c r="O678" t="s">
        <v>135</v>
      </c>
      <c r="P678" s="127" t="s">
        <v>318</v>
      </c>
      <c r="Q678" s="126" t="s">
        <v>318</v>
      </c>
      <c r="R678">
        <v>131</v>
      </c>
      <c r="S678" s="2">
        <v>39</v>
      </c>
      <c r="T678" t="s">
        <v>295</v>
      </c>
      <c r="U678" t="s">
        <v>300</v>
      </c>
      <c r="V678" t="s">
        <v>298</v>
      </c>
      <c r="W678" s="41"/>
      <c r="X678" s="41"/>
      <c r="Y678" s="34"/>
      <c r="Z678" s="34"/>
      <c r="AA678" s="35">
        <f>IF(TA[[#This Row],[Work Start time on Fault]]="NA","",(TA[[#This Row],[Fault Acknowledgement Time ]]-TA[[#This Row],[Fault Time]])*24)</f>
        <v>0</v>
      </c>
      <c r="AB678" s="35">
        <f>(TA[[#This Row],[Work Start time on Fault]]-TA[[#This Row],[Fault Time]])*24</f>
        <v>0</v>
      </c>
      <c r="AC678" s="34">
        <f>(TA[[#This Row],[Work Completion time on fault]]-TA[[#This Row],[Fault Time]])*24</f>
        <v>0</v>
      </c>
      <c r="AD678" s="35">
        <f>IFERROR((TA[[#This Row],[Work Completion time on fault]]-TA[[#This Row],[Fault Time]])*24,"")</f>
        <v>0</v>
      </c>
      <c r="AE678" t="s">
        <v>328</v>
      </c>
      <c r="AF678" t="s">
        <v>256</v>
      </c>
      <c r="AG678" s="2"/>
      <c r="AH678" s="44">
        <f>1-COS(RADIANS(TA[[#This Row],[Avg. Target Angle during Fault Time (Radians)]]-TA[[#This Row],[Angle of affected equipment ]]))</f>
        <v>0.11705240714107301</v>
      </c>
      <c r="AI678" s="35">
        <f>IFERROR(TA[[#This Row],[Breakdown Time]]*TA[[#This Row],[Plant Equivalent Weightage]],"")</f>
        <v>0</v>
      </c>
    </row>
    <row r="679" spans="1:35">
      <c r="A679" s="2">
        <f t="shared" ref="A679:A742" si="47">A678+1</f>
        <v>676</v>
      </c>
      <c r="B679" s="156">
        <f t="shared" si="45"/>
        <v>2026</v>
      </c>
      <c r="C679" s="129">
        <f t="shared" si="46"/>
        <v>2025</v>
      </c>
      <c r="D679" s="2" t="s">
        <v>155</v>
      </c>
      <c r="E679" s="2" t="s">
        <v>155</v>
      </c>
      <c r="F679" s="39">
        <v>45778</v>
      </c>
      <c r="G679" s="2">
        <f>DAY(EOMONTH(TA[[#This Row],[Month Year]],0))</f>
        <v>31</v>
      </c>
      <c r="H679" s="21">
        <v>45791</v>
      </c>
      <c r="I679" s="41">
        <f>IFERROR(VLOOKUP(TA[[#This Row],[Date]],Raw_Data[[Date]:[Sunset Time (POA&lt;20 W/m2)]],3,0),"")</f>
        <v>0.25486111111111109</v>
      </c>
      <c r="J679" s="41">
        <f>IFERROR(VLOOKUP(TA[[#This Row],[Date]],Raw_Data[[Date]:[Sunset Time (POA&lt;20 W/m2)]],4,0),"")</f>
        <v>0.73472222222222228</v>
      </c>
      <c r="K679" s="35">
        <f>IFERROR((TA[[#This Row],[Sunset Time (POA&lt;20 W/m2)]]-TA[[#This Row],[Sunrise Time (POA&gt;20 W/m2)]])*24,"")</f>
        <v>11.516666666666669</v>
      </c>
      <c r="L679" s="2" t="s">
        <v>296</v>
      </c>
      <c r="M679" s="42">
        <f>IFERROR(VLOOKUP(TA[[#This Row],[Affected Equipment]],'Basic Data'!$I$2:$K$40,3,0),"")</f>
        <v>8.6206896551724102E-3</v>
      </c>
      <c r="N679">
        <v>-28</v>
      </c>
      <c r="O679" t="s">
        <v>135</v>
      </c>
      <c r="P679" s="127" t="s">
        <v>318</v>
      </c>
      <c r="Q679" s="2" t="s">
        <v>321</v>
      </c>
      <c r="R679">
        <v>133</v>
      </c>
      <c r="S679" s="2">
        <v>26</v>
      </c>
      <c r="T679" t="s">
        <v>297</v>
      </c>
      <c r="U679" t="s">
        <v>300</v>
      </c>
      <c r="V679" t="s">
        <v>314</v>
      </c>
      <c r="W679" s="41">
        <f>IFERROR(VLOOKUP(TA[[#This Row],[Date]],Raw_Data[[Date]:[Sunset Time (POA&lt;20 W/m2)]],3,0),"")</f>
        <v>0.25486111111111109</v>
      </c>
      <c r="X679" s="41">
        <f>IFERROR(VLOOKUP(TA[[#This Row],[Date]],Raw_Data[[Date]:[Sunset Time (POA&lt;20 W/m2)]],3,0),"")</f>
        <v>0.25486111111111109</v>
      </c>
      <c r="Y679" s="34"/>
      <c r="Z679" s="34">
        <v>0.76041666666666663</v>
      </c>
      <c r="AA679" s="35">
        <f>IF(TA[[#This Row],[Work Start time on Fault]]="NA","",(TA[[#This Row],[Fault Acknowledgement Time ]]-TA[[#This Row],[Fault Time]])*24)</f>
        <v>0</v>
      </c>
      <c r="AB679" s="35">
        <f>(TA[[#This Row],[Work Start time on Fault]]-TA[[#This Row],[Fault Time]])*24</f>
        <v>-6.1166666666666663</v>
      </c>
      <c r="AC679" s="34">
        <f>(TA[[#This Row],[Work Completion time on fault]]-TA[[#This Row],[Fault Time]])*24</f>
        <v>12.133333333333333</v>
      </c>
      <c r="AD679" s="35">
        <f>IFERROR((TA[[#This Row],[Work Completion time on fault]]-TA[[#This Row],[Fault Time]])*24,"")</f>
        <v>12.133333333333333</v>
      </c>
      <c r="AE679" t="s">
        <v>328</v>
      </c>
      <c r="AF679" t="s">
        <v>256</v>
      </c>
      <c r="AG679" s="2"/>
      <c r="AH679" s="44">
        <f>1-COS(RADIANS(TA[[#This Row],[Avg. Target Angle during Fault Time (Radians)]]-TA[[#This Row],[Angle of affected equipment ]]))</f>
        <v>0.11705240714107301</v>
      </c>
      <c r="AI679" s="35">
        <f>IFERROR(TA[[#This Row],[Breakdown Time]]*TA[[#This Row],[Plant Equivalent Weightage]],"")</f>
        <v>0.10459770114942524</v>
      </c>
    </row>
    <row r="680" spans="1:35">
      <c r="A680" s="2">
        <f t="shared" si="47"/>
        <v>677</v>
      </c>
      <c r="B680" s="156">
        <f t="shared" si="45"/>
        <v>2026</v>
      </c>
      <c r="C680" s="129">
        <f t="shared" si="46"/>
        <v>2025</v>
      </c>
      <c r="D680" s="2" t="s">
        <v>155</v>
      </c>
      <c r="E680" s="2" t="s">
        <v>155</v>
      </c>
      <c r="F680" s="39">
        <v>45778</v>
      </c>
      <c r="G680" s="2">
        <f>DAY(EOMONTH(TA[[#This Row],[Month Year]],0))</f>
        <v>31</v>
      </c>
      <c r="H680" s="21">
        <v>45791</v>
      </c>
      <c r="I680" s="41">
        <f>IFERROR(VLOOKUP(TA[[#This Row],[Date]],Raw_Data[[Date]:[Sunset Time (POA&lt;20 W/m2)]],3,0),"")</f>
        <v>0.25486111111111109</v>
      </c>
      <c r="J680" s="41">
        <f>IFERROR(VLOOKUP(TA[[#This Row],[Date]],Raw_Data[[Date]:[Sunset Time (POA&lt;20 W/m2)]],4,0),"")</f>
        <v>0.73472222222222228</v>
      </c>
      <c r="K680" s="35">
        <f>IFERROR((TA[[#This Row],[Sunset Time (POA&lt;20 W/m2)]]-TA[[#This Row],[Sunrise Time (POA&gt;20 W/m2)]])*24,"")</f>
        <v>11.516666666666669</v>
      </c>
      <c r="L680" s="2" t="s">
        <v>294</v>
      </c>
      <c r="M680" s="42">
        <f>IFERROR(VLOOKUP(TA[[#This Row],[Affected Equipment]],'Basic Data'!$I$2:$K$40,3,0),"")</f>
        <v>1.7241379310344799E-3</v>
      </c>
      <c r="N680">
        <v>-28</v>
      </c>
      <c r="O680" t="s">
        <v>133</v>
      </c>
      <c r="P680" s="127" t="s">
        <v>316</v>
      </c>
      <c r="Q680" s="126" t="s">
        <v>317</v>
      </c>
      <c r="R680">
        <v>7</v>
      </c>
      <c r="S680" s="2">
        <v>32</v>
      </c>
      <c r="T680" t="s">
        <v>295</v>
      </c>
      <c r="U680" t="s">
        <v>300</v>
      </c>
      <c r="V680" t="s">
        <v>298</v>
      </c>
      <c r="W680" s="41"/>
      <c r="X680" s="41"/>
      <c r="Y680" s="34"/>
      <c r="Z680" s="34"/>
      <c r="AA680" s="35">
        <f>IF(TA[[#This Row],[Work Start time on Fault]]="NA","",(TA[[#This Row],[Fault Acknowledgement Time ]]-TA[[#This Row],[Fault Time]])*24)</f>
        <v>0</v>
      </c>
      <c r="AB680" s="35">
        <f>(TA[[#This Row],[Work Start time on Fault]]-TA[[#This Row],[Fault Time]])*24</f>
        <v>0</v>
      </c>
      <c r="AC680" s="34">
        <f>(TA[[#This Row],[Work Completion time on fault]]-TA[[#This Row],[Fault Time]])*24</f>
        <v>0</v>
      </c>
      <c r="AD680" s="35">
        <f>IFERROR((TA[[#This Row],[Work Completion time on fault]]-TA[[#This Row],[Fault Time]])*24,"")</f>
        <v>0</v>
      </c>
      <c r="AE680" t="s">
        <v>328</v>
      </c>
      <c r="AF680" t="s">
        <v>256</v>
      </c>
      <c r="AG680" s="2"/>
      <c r="AH680" s="44">
        <f>1-COS(RADIANS(TA[[#This Row],[Avg. Target Angle during Fault Time (Radians)]]-TA[[#This Row],[Angle of affected equipment ]]))</f>
        <v>0.11705240714107301</v>
      </c>
      <c r="AI680" s="35">
        <f>IFERROR(TA[[#This Row],[Breakdown Time]]*TA[[#This Row],[Plant Equivalent Weightage]],"")</f>
        <v>0</v>
      </c>
    </row>
    <row r="681" spans="1:35">
      <c r="A681" s="2">
        <f t="shared" si="47"/>
        <v>678</v>
      </c>
      <c r="B681" s="156">
        <f t="shared" si="45"/>
        <v>2026</v>
      </c>
      <c r="C681" s="129">
        <f t="shared" si="46"/>
        <v>2025</v>
      </c>
      <c r="D681" s="2" t="s">
        <v>155</v>
      </c>
      <c r="E681" s="2" t="s">
        <v>155</v>
      </c>
      <c r="F681" s="39">
        <v>45778</v>
      </c>
      <c r="G681" s="2">
        <f>DAY(EOMONTH(TA[[#This Row],[Month Year]],0))</f>
        <v>31</v>
      </c>
      <c r="H681" s="21">
        <v>45791</v>
      </c>
      <c r="I681" s="41">
        <f>IFERROR(VLOOKUP(TA[[#This Row],[Date]],Raw_Data[[Date]:[Sunset Time (POA&lt;20 W/m2)]],3,0),"")</f>
        <v>0.25486111111111109</v>
      </c>
      <c r="J681" s="41">
        <f>IFERROR(VLOOKUP(TA[[#This Row],[Date]],Raw_Data[[Date]:[Sunset Time (POA&lt;20 W/m2)]],4,0),"")</f>
        <v>0.73472222222222228</v>
      </c>
      <c r="K681" s="35">
        <f>IFERROR((TA[[#This Row],[Sunset Time (POA&lt;20 W/m2)]]-TA[[#This Row],[Sunrise Time (POA&gt;20 W/m2)]])*24,"")</f>
        <v>11.516666666666669</v>
      </c>
      <c r="L681" s="2" t="s">
        <v>294</v>
      </c>
      <c r="M681" s="42">
        <f>IFERROR(VLOOKUP(TA[[#This Row],[Affected Equipment]],'Basic Data'!$I$2:$K$40,3,0),"")</f>
        <v>1.7241379310344799E-3</v>
      </c>
      <c r="N681">
        <v>-28</v>
      </c>
      <c r="O681" t="s">
        <v>137</v>
      </c>
      <c r="P681" s="127" t="s">
        <v>315</v>
      </c>
      <c r="Q681" s="126" t="s">
        <v>319</v>
      </c>
      <c r="R681">
        <v>166</v>
      </c>
      <c r="S681" s="2">
        <v>91</v>
      </c>
      <c r="T681" t="s">
        <v>295</v>
      </c>
      <c r="U681" t="s">
        <v>300</v>
      </c>
      <c r="V681" t="s">
        <v>298</v>
      </c>
      <c r="W681" s="41"/>
      <c r="X681" s="41"/>
      <c r="Y681" s="34"/>
      <c r="Z681" s="34"/>
      <c r="AA681" s="35">
        <f>IF(TA[[#This Row],[Work Start time on Fault]]="NA","",(TA[[#This Row],[Fault Acknowledgement Time ]]-TA[[#This Row],[Fault Time]])*24)</f>
        <v>0</v>
      </c>
      <c r="AB681" s="35">
        <f>(TA[[#This Row],[Work Start time on Fault]]-TA[[#This Row],[Fault Time]])*24</f>
        <v>0</v>
      </c>
      <c r="AC681" s="34">
        <f>(TA[[#This Row],[Work Completion time on fault]]-TA[[#This Row],[Fault Time]])*24</f>
        <v>0</v>
      </c>
      <c r="AD681" s="35">
        <f>IFERROR((TA[[#This Row],[Work Completion time on fault]]-TA[[#This Row],[Fault Time]])*24,"")</f>
        <v>0</v>
      </c>
      <c r="AE681" t="s">
        <v>328</v>
      </c>
      <c r="AF681" t="s">
        <v>256</v>
      </c>
      <c r="AG681" s="2"/>
      <c r="AH681" s="44">
        <f>1-COS(RADIANS(TA[[#This Row],[Avg. Target Angle during Fault Time (Radians)]]-TA[[#This Row],[Angle of affected equipment ]]))</f>
        <v>0.11705240714107301</v>
      </c>
      <c r="AI681" s="35">
        <f>IFERROR(TA[[#This Row],[Breakdown Time]]*TA[[#This Row],[Plant Equivalent Weightage]],"")</f>
        <v>0</v>
      </c>
    </row>
    <row r="682" spans="1:35">
      <c r="A682" s="2">
        <f t="shared" si="47"/>
        <v>679</v>
      </c>
      <c r="B682" s="156">
        <f t="shared" si="45"/>
        <v>2026</v>
      </c>
      <c r="C682" s="129">
        <f t="shared" si="46"/>
        <v>2025</v>
      </c>
      <c r="D682" s="2" t="s">
        <v>155</v>
      </c>
      <c r="E682" s="2" t="s">
        <v>155</v>
      </c>
      <c r="F682" s="39">
        <v>45778</v>
      </c>
      <c r="G682" s="2">
        <f>DAY(EOMONTH(TA[[#This Row],[Month Year]],0))</f>
        <v>31</v>
      </c>
      <c r="H682" s="21">
        <v>45791</v>
      </c>
      <c r="I682" s="41">
        <f>IFERROR(VLOOKUP(TA[[#This Row],[Date]],Raw_Data[[Date]:[Sunset Time (POA&lt;20 W/m2)]],3,0),"")</f>
        <v>0.25486111111111109</v>
      </c>
      <c r="J682" s="41">
        <f>IFERROR(VLOOKUP(TA[[#This Row],[Date]],Raw_Data[[Date]:[Sunset Time (POA&lt;20 W/m2)]],4,0),"")</f>
        <v>0.73472222222222228</v>
      </c>
      <c r="K682" s="35">
        <f>IFERROR((TA[[#This Row],[Sunset Time (POA&lt;20 W/m2)]]-TA[[#This Row],[Sunrise Time (POA&gt;20 W/m2)]])*24,"")</f>
        <v>11.516666666666669</v>
      </c>
      <c r="L682" s="2" t="s">
        <v>294</v>
      </c>
      <c r="M682" s="42">
        <f>IFERROR(VLOOKUP(TA[[#This Row],[Affected Equipment]],'Basic Data'!$I$2:$K$40,3,0),"")</f>
        <v>1.7241379310344799E-3</v>
      </c>
      <c r="N682">
        <v>-28</v>
      </c>
      <c r="O682" t="s">
        <v>133</v>
      </c>
      <c r="P682" s="127" t="s">
        <v>316</v>
      </c>
      <c r="Q682" s="126" t="s">
        <v>316</v>
      </c>
      <c r="R682">
        <v>117</v>
      </c>
      <c r="S682" s="2">
        <v>20</v>
      </c>
      <c r="T682" t="s">
        <v>295</v>
      </c>
      <c r="U682" t="s">
        <v>300</v>
      </c>
      <c r="V682" t="s">
        <v>298</v>
      </c>
      <c r="W682" s="41"/>
      <c r="X682" s="41"/>
      <c r="Y682" s="34"/>
      <c r="Z682" s="34"/>
      <c r="AA682" s="35">
        <f>IF(TA[[#This Row],[Work Start time on Fault]]="NA","",(TA[[#This Row],[Fault Acknowledgement Time ]]-TA[[#This Row],[Fault Time]])*24)</f>
        <v>0</v>
      </c>
      <c r="AB682" s="35">
        <f>(TA[[#This Row],[Work Start time on Fault]]-TA[[#This Row],[Fault Time]])*24</f>
        <v>0</v>
      </c>
      <c r="AC682" s="34">
        <f>(TA[[#This Row],[Work Completion time on fault]]-TA[[#This Row],[Fault Time]])*24</f>
        <v>0</v>
      </c>
      <c r="AD682" s="35">
        <f>IFERROR((TA[[#This Row],[Work Completion time on fault]]-TA[[#This Row],[Fault Time]])*24,"")</f>
        <v>0</v>
      </c>
      <c r="AE682" t="s">
        <v>328</v>
      </c>
      <c r="AF682" t="s">
        <v>256</v>
      </c>
      <c r="AG682" s="2"/>
      <c r="AH682" s="44">
        <f>1-COS(RADIANS(TA[[#This Row],[Avg. Target Angle during Fault Time (Radians)]]-TA[[#This Row],[Angle of affected equipment ]]))</f>
        <v>0.11705240714107301</v>
      </c>
      <c r="AI682" s="35">
        <f>IFERROR(TA[[#This Row],[Breakdown Time]]*TA[[#This Row],[Plant Equivalent Weightage]],"")</f>
        <v>0</v>
      </c>
    </row>
    <row r="683" spans="1:35">
      <c r="A683" s="2">
        <f t="shared" si="47"/>
        <v>680</v>
      </c>
      <c r="B683" s="156">
        <f t="shared" si="45"/>
        <v>2026</v>
      </c>
      <c r="C683" s="129">
        <f t="shared" si="46"/>
        <v>2025</v>
      </c>
      <c r="D683" s="2" t="s">
        <v>155</v>
      </c>
      <c r="E683" s="2" t="s">
        <v>155</v>
      </c>
      <c r="F683" s="39">
        <v>45778</v>
      </c>
      <c r="G683" s="2">
        <f>DAY(EOMONTH(TA[[#This Row],[Month Year]],0))</f>
        <v>31</v>
      </c>
      <c r="H683" s="21">
        <v>45791</v>
      </c>
      <c r="I683" s="41">
        <f>IFERROR(VLOOKUP(TA[[#This Row],[Date]],Raw_Data[[Date]:[Sunset Time (POA&lt;20 W/m2)]],3,0),"")</f>
        <v>0.25486111111111109</v>
      </c>
      <c r="J683" s="41">
        <f>IFERROR(VLOOKUP(TA[[#This Row],[Date]],Raw_Data[[Date]:[Sunset Time (POA&lt;20 W/m2)]],4,0),"")</f>
        <v>0.73472222222222228</v>
      </c>
      <c r="K683" s="35">
        <f>IFERROR((TA[[#This Row],[Sunset Time (POA&lt;20 W/m2)]]-TA[[#This Row],[Sunrise Time (POA&gt;20 W/m2)]])*24,"")</f>
        <v>11.516666666666669</v>
      </c>
      <c r="L683" s="2" t="s">
        <v>294</v>
      </c>
      <c r="M683" s="42">
        <f>IFERROR(VLOOKUP(TA[[#This Row],[Affected Equipment]],'Basic Data'!$I$2:$K$40,3,0),"")</f>
        <v>1.7241379310344799E-3</v>
      </c>
      <c r="N683">
        <v>-28</v>
      </c>
      <c r="O683" t="s">
        <v>133</v>
      </c>
      <c r="P683" s="127" t="s">
        <v>316</v>
      </c>
      <c r="Q683" s="126" t="s">
        <v>316</v>
      </c>
      <c r="R683">
        <v>118</v>
      </c>
      <c r="S683" s="2">
        <v>22</v>
      </c>
      <c r="T683" t="s">
        <v>295</v>
      </c>
      <c r="U683" t="s">
        <v>300</v>
      </c>
      <c r="V683" t="s">
        <v>298</v>
      </c>
      <c r="W683" s="41"/>
      <c r="X683" s="41"/>
      <c r="Y683" s="34"/>
      <c r="Z683" s="34"/>
      <c r="AA683" s="35">
        <f>IF(TA[[#This Row],[Work Start time on Fault]]="NA","",(TA[[#This Row],[Fault Acknowledgement Time ]]-TA[[#This Row],[Fault Time]])*24)</f>
        <v>0</v>
      </c>
      <c r="AB683" s="35">
        <f>(TA[[#This Row],[Work Start time on Fault]]-TA[[#This Row],[Fault Time]])*24</f>
        <v>0</v>
      </c>
      <c r="AC683" s="34">
        <f>(TA[[#This Row],[Work Completion time on fault]]-TA[[#This Row],[Fault Time]])*24</f>
        <v>0</v>
      </c>
      <c r="AD683" s="35">
        <f>IFERROR((TA[[#This Row],[Work Completion time on fault]]-TA[[#This Row],[Fault Time]])*24,"")</f>
        <v>0</v>
      </c>
      <c r="AE683" t="s">
        <v>328</v>
      </c>
      <c r="AF683" t="s">
        <v>256</v>
      </c>
      <c r="AG683" s="2"/>
      <c r="AH683" s="44">
        <f>1-COS(RADIANS(TA[[#This Row],[Avg. Target Angle during Fault Time (Radians)]]-TA[[#This Row],[Angle of affected equipment ]]))</f>
        <v>0.11705240714107301</v>
      </c>
      <c r="AI683" s="35">
        <f>IFERROR(TA[[#This Row],[Breakdown Time]]*TA[[#This Row],[Plant Equivalent Weightage]],"")</f>
        <v>0</v>
      </c>
    </row>
    <row r="684" spans="1:35">
      <c r="A684" s="2">
        <f t="shared" si="47"/>
        <v>681</v>
      </c>
      <c r="B684" s="156">
        <f t="shared" si="45"/>
        <v>2026</v>
      </c>
      <c r="C684" s="129">
        <f t="shared" si="46"/>
        <v>2025</v>
      </c>
      <c r="D684" s="2" t="s">
        <v>155</v>
      </c>
      <c r="E684" s="2" t="s">
        <v>155</v>
      </c>
      <c r="F684" s="39">
        <v>45778</v>
      </c>
      <c r="G684" s="2">
        <f>DAY(EOMONTH(TA[[#This Row],[Month Year]],0))</f>
        <v>31</v>
      </c>
      <c r="H684" s="21">
        <v>45791</v>
      </c>
      <c r="I684" s="41">
        <f>IFERROR(VLOOKUP(TA[[#This Row],[Date]],Raw_Data[[Date]:[Sunset Time (POA&lt;20 W/m2)]],3,0),"")</f>
        <v>0.25486111111111109</v>
      </c>
      <c r="J684" s="41">
        <f>IFERROR(VLOOKUP(TA[[#This Row],[Date]],Raw_Data[[Date]:[Sunset Time (POA&lt;20 W/m2)]],4,0),"")</f>
        <v>0.73472222222222228</v>
      </c>
      <c r="K684" s="35">
        <f>IFERROR((TA[[#This Row],[Sunset Time (POA&lt;20 W/m2)]]-TA[[#This Row],[Sunrise Time (POA&gt;20 W/m2)]])*24,"")</f>
        <v>11.516666666666669</v>
      </c>
      <c r="L684" s="2" t="s">
        <v>296</v>
      </c>
      <c r="M684" s="42">
        <f>IFERROR(VLOOKUP(TA[[#This Row],[Affected Equipment]],'Basic Data'!$I$2:$K$40,3,0),"")</f>
        <v>8.6206896551724102E-3</v>
      </c>
      <c r="N684">
        <v>-28</v>
      </c>
      <c r="O684" t="s">
        <v>135</v>
      </c>
      <c r="P684" s="22" t="s">
        <v>323</v>
      </c>
      <c r="Q684" s="2" t="s">
        <v>329</v>
      </c>
      <c r="R684">
        <v>45</v>
      </c>
      <c r="S684" s="2">
        <v>8</v>
      </c>
      <c r="T684" t="s">
        <v>297</v>
      </c>
      <c r="U684" t="s">
        <v>300</v>
      </c>
      <c r="V684" t="s">
        <v>301</v>
      </c>
      <c r="W684" s="41"/>
      <c r="X684" s="41"/>
      <c r="Y684" s="34"/>
      <c r="Z684" s="34"/>
      <c r="AA684" s="35">
        <f>IF(TA[[#This Row],[Work Start time on Fault]]="NA","",(TA[[#This Row],[Fault Acknowledgement Time ]]-TA[[#This Row],[Fault Time]])*24)</f>
        <v>0</v>
      </c>
      <c r="AB684" s="35">
        <f>(TA[[#This Row],[Work Start time on Fault]]-TA[[#This Row],[Fault Time]])*24</f>
        <v>0</v>
      </c>
      <c r="AC684" s="34">
        <f>(TA[[#This Row],[Work Completion time on fault]]-TA[[#This Row],[Fault Time]])*24</f>
        <v>0</v>
      </c>
      <c r="AD684" s="35">
        <f>IFERROR((TA[[#This Row],[Work Completion time on fault]]-TA[[#This Row],[Fault Time]])*24,"")</f>
        <v>0</v>
      </c>
      <c r="AE684" t="s">
        <v>328</v>
      </c>
      <c r="AF684" t="s">
        <v>256</v>
      </c>
      <c r="AG684" s="2"/>
      <c r="AH684" s="44">
        <f>1-COS(RADIANS(TA[[#This Row],[Avg. Target Angle during Fault Time (Radians)]]-TA[[#This Row],[Angle of affected equipment ]]))</f>
        <v>0.11705240714107301</v>
      </c>
      <c r="AI684" s="35">
        <f>IFERROR(TA[[#This Row],[Breakdown Time]]*TA[[#This Row],[Plant Equivalent Weightage]],"")</f>
        <v>0</v>
      </c>
    </row>
    <row r="685" spans="1:35">
      <c r="A685" s="2">
        <f t="shared" si="47"/>
        <v>682</v>
      </c>
      <c r="B685" s="156">
        <f t="shared" si="45"/>
        <v>2026</v>
      </c>
      <c r="C685" s="129">
        <f t="shared" si="46"/>
        <v>2025</v>
      </c>
      <c r="D685" s="2" t="s">
        <v>155</v>
      </c>
      <c r="E685" s="2" t="s">
        <v>155</v>
      </c>
      <c r="F685" s="39">
        <v>45778</v>
      </c>
      <c r="G685" s="2">
        <f>DAY(EOMONTH(TA[[#This Row],[Month Year]],0))</f>
        <v>31</v>
      </c>
      <c r="H685" s="21">
        <v>45791</v>
      </c>
      <c r="I685" s="41">
        <f>IFERROR(VLOOKUP(TA[[#This Row],[Date]],Raw_Data[[Date]:[Sunset Time (POA&lt;20 W/m2)]],3,0),"")</f>
        <v>0.25486111111111109</v>
      </c>
      <c r="J685" s="41">
        <f>IFERROR(VLOOKUP(TA[[#This Row],[Date]],Raw_Data[[Date]:[Sunset Time (POA&lt;20 W/m2)]],4,0),"")</f>
        <v>0.73472222222222228</v>
      </c>
      <c r="K685" s="35">
        <f>IFERROR((TA[[#This Row],[Sunset Time (POA&lt;20 W/m2)]]-TA[[#This Row],[Sunrise Time (POA&gt;20 W/m2)]])*24,"")</f>
        <v>11.516666666666669</v>
      </c>
      <c r="L685" s="2" t="s">
        <v>296</v>
      </c>
      <c r="M685" s="42">
        <f>IFERROR(VLOOKUP(TA[[#This Row],[Affected Equipment]],'Basic Data'!$I$2:$K$40,3,0),"")</f>
        <v>8.6206896551724102E-3</v>
      </c>
      <c r="N685">
        <v>-28</v>
      </c>
      <c r="O685" t="s">
        <v>135</v>
      </c>
      <c r="P685" s="22" t="s">
        <v>323</v>
      </c>
      <c r="Q685" s="2" t="s">
        <v>329</v>
      </c>
      <c r="R685">
        <v>47</v>
      </c>
      <c r="S685" s="2">
        <v>18</v>
      </c>
      <c r="T685" t="s">
        <v>297</v>
      </c>
      <c r="U685" t="s">
        <v>300</v>
      </c>
      <c r="V685" t="s">
        <v>301</v>
      </c>
      <c r="W685" s="41"/>
      <c r="X685" s="41"/>
      <c r="Y685" s="34"/>
      <c r="Z685" s="34"/>
      <c r="AA685" s="35">
        <f>IF(TA[[#This Row],[Work Start time on Fault]]="NA","",(TA[[#This Row],[Fault Acknowledgement Time ]]-TA[[#This Row],[Fault Time]])*24)</f>
        <v>0</v>
      </c>
      <c r="AB685" s="35">
        <f>(TA[[#This Row],[Work Start time on Fault]]-TA[[#This Row],[Fault Time]])*24</f>
        <v>0</v>
      </c>
      <c r="AC685" s="34">
        <f>(TA[[#This Row],[Work Completion time on fault]]-TA[[#This Row],[Fault Time]])*24</f>
        <v>0</v>
      </c>
      <c r="AD685" s="35">
        <f>IFERROR((TA[[#This Row],[Work Completion time on fault]]-TA[[#This Row],[Fault Time]])*24,"")</f>
        <v>0</v>
      </c>
      <c r="AE685" t="s">
        <v>328</v>
      </c>
      <c r="AF685" t="s">
        <v>256</v>
      </c>
      <c r="AG685" s="2"/>
      <c r="AH685" s="44">
        <f>1-COS(RADIANS(TA[[#This Row],[Avg. Target Angle during Fault Time (Radians)]]-TA[[#This Row],[Angle of affected equipment ]]))</f>
        <v>0.11705240714107301</v>
      </c>
      <c r="AI685" s="35">
        <f>IFERROR(TA[[#This Row],[Breakdown Time]]*TA[[#This Row],[Plant Equivalent Weightage]],"")</f>
        <v>0</v>
      </c>
    </row>
    <row r="686" spans="1:35">
      <c r="A686" s="2">
        <f t="shared" si="47"/>
        <v>683</v>
      </c>
      <c r="B686" s="156">
        <f t="shared" si="45"/>
        <v>2026</v>
      </c>
      <c r="C686" s="129">
        <f t="shared" si="46"/>
        <v>2025</v>
      </c>
      <c r="D686" s="2" t="s">
        <v>155</v>
      </c>
      <c r="E686" s="2" t="s">
        <v>155</v>
      </c>
      <c r="F686" s="39">
        <v>45778</v>
      </c>
      <c r="G686" s="2">
        <f>DAY(EOMONTH(TA[[#This Row],[Month Year]],0))</f>
        <v>31</v>
      </c>
      <c r="H686" s="21">
        <v>45791</v>
      </c>
      <c r="I686" s="41">
        <f>IFERROR(VLOOKUP(TA[[#This Row],[Date]],Raw_Data[[Date]:[Sunset Time (POA&lt;20 W/m2)]],3,0),"")</f>
        <v>0.25486111111111109</v>
      </c>
      <c r="J686" s="41">
        <f>IFERROR(VLOOKUP(TA[[#This Row],[Date]],Raw_Data[[Date]:[Sunset Time (POA&lt;20 W/m2)]],4,0),"")</f>
        <v>0.73472222222222228</v>
      </c>
      <c r="K686" s="35">
        <f>IFERROR((TA[[#This Row],[Sunset Time (POA&lt;20 W/m2)]]-TA[[#This Row],[Sunrise Time (POA&gt;20 W/m2)]])*24,"")</f>
        <v>11.516666666666669</v>
      </c>
      <c r="L686" s="2" t="s">
        <v>296</v>
      </c>
      <c r="M686" s="42">
        <f>IFERROR(VLOOKUP(TA[[#This Row],[Affected Equipment]],'Basic Data'!$I$2:$K$40,3,0),"")</f>
        <v>8.6206896551724102E-3</v>
      </c>
      <c r="N686">
        <v>-28</v>
      </c>
      <c r="O686" t="s">
        <v>134</v>
      </c>
      <c r="P686" s="22" t="s">
        <v>330</v>
      </c>
      <c r="Q686" s="2" t="s">
        <v>323</v>
      </c>
      <c r="R686">
        <v>30</v>
      </c>
      <c r="S686" s="2">
        <v>57</v>
      </c>
      <c r="T686" t="s">
        <v>297</v>
      </c>
      <c r="U686" t="s">
        <v>300</v>
      </c>
      <c r="V686" t="s">
        <v>301</v>
      </c>
      <c r="W686" s="41"/>
      <c r="X686" s="41"/>
      <c r="Y686" s="34"/>
      <c r="Z686" s="34"/>
      <c r="AA686" s="35">
        <f>IF(TA[[#This Row],[Work Start time on Fault]]="NA","",(TA[[#This Row],[Fault Acknowledgement Time ]]-TA[[#This Row],[Fault Time]])*24)</f>
        <v>0</v>
      </c>
      <c r="AB686" s="35">
        <f>(TA[[#This Row],[Work Start time on Fault]]-TA[[#This Row],[Fault Time]])*24</f>
        <v>0</v>
      </c>
      <c r="AC686" s="34">
        <f>(TA[[#This Row],[Work Completion time on fault]]-TA[[#This Row],[Fault Time]])*24</f>
        <v>0</v>
      </c>
      <c r="AD686" s="35">
        <f>IFERROR((TA[[#This Row],[Work Completion time on fault]]-TA[[#This Row],[Fault Time]])*24,"")</f>
        <v>0</v>
      </c>
      <c r="AE686" t="s">
        <v>328</v>
      </c>
      <c r="AF686" t="s">
        <v>256</v>
      </c>
      <c r="AG686" s="2"/>
      <c r="AH686" s="44">
        <f>1-COS(RADIANS(TA[[#This Row],[Avg. Target Angle during Fault Time (Radians)]]-TA[[#This Row],[Angle of affected equipment ]]))</f>
        <v>0.11705240714107301</v>
      </c>
      <c r="AI686" s="35">
        <f>IFERROR(TA[[#This Row],[Breakdown Time]]*TA[[#This Row],[Plant Equivalent Weightage]],"")</f>
        <v>0</v>
      </c>
    </row>
    <row r="687" spans="1:35">
      <c r="A687" s="2">
        <f t="shared" si="47"/>
        <v>684</v>
      </c>
      <c r="B687" s="156">
        <f t="shared" si="45"/>
        <v>2026</v>
      </c>
      <c r="C687" s="129">
        <f t="shared" si="46"/>
        <v>2025</v>
      </c>
      <c r="D687" s="2" t="s">
        <v>155</v>
      </c>
      <c r="E687" s="2" t="s">
        <v>155</v>
      </c>
      <c r="F687" s="39">
        <v>45778</v>
      </c>
      <c r="G687" s="2">
        <f>DAY(EOMONTH(TA[[#This Row],[Month Year]],0))</f>
        <v>31</v>
      </c>
      <c r="H687" s="21">
        <v>45791</v>
      </c>
      <c r="I687" s="41">
        <f>IFERROR(VLOOKUP(TA[[#This Row],[Date]],Raw_Data[[Date]:[Sunset Time (POA&lt;20 W/m2)]],3,0),"")</f>
        <v>0.25486111111111109</v>
      </c>
      <c r="J687" s="41">
        <f>IFERROR(VLOOKUP(TA[[#This Row],[Date]],Raw_Data[[Date]:[Sunset Time (POA&lt;20 W/m2)]],4,0),"")</f>
        <v>0.73472222222222228</v>
      </c>
      <c r="K687" s="35">
        <f>IFERROR((TA[[#This Row],[Sunset Time (POA&lt;20 W/m2)]]-TA[[#This Row],[Sunrise Time (POA&gt;20 W/m2)]])*24,"")</f>
        <v>11.516666666666669</v>
      </c>
      <c r="L687" s="2" t="s">
        <v>296</v>
      </c>
      <c r="M687" s="42">
        <f>IFERROR(VLOOKUP(TA[[#This Row],[Affected Equipment]],'Basic Data'!$I$2:$K$40,3,0),"")</f>
        <v>8.6206896551724102E-3</v>
      </c>
      <c r="N687">
        <v>-28</v>
      </c>
      <c r="O687" t="s">
        <v>134</v>
      </c>
      <c r="P687" s="22" t="s">
        <v>330</v>
      </c>
      <c r="Q687" s="2" t="s">
        <v>323</v>
      </c>
      <c r="R687">
        <v>31</v>
      </c>
      <c r="S687" s="2">
        <v>61</v>
      </c>
      <c r="T687" t="s">
        <v>297</v>
      </c>
      <c r="U687" t="s">
        <v>300</v>
      </c>
      <c r="V687" t="s">
        <v>301</v>
      </c>
      <c r="W687" s="41"/>
      <c r="X687" s="41"/>
      <c r="Y687" s="34"/>
      <c r="Z687" s="34"/>
      <c r="AA687" s="35">
        <f>IF(TA[[#This Row],[Work Start time on Fault]]="NA","",(TA[[#This Row],[Fault Acknowledgement Time ]]-TA[[#This Row],[Fault Time]])*24)</f>
        <v>0</v>
      </c>
      <c r="AB687" s="35">
        <f>(TA[[#This Row],[Work Start time on Fault]]-TA[[#This Row],[Fault Time]])*24</f>
        <v>0</v>
      </c>
      <c r="AC687" s="34">
        <f>(TA[[#This Row],[Work Completion time on fault]]-TA[[#This Row],[Fault Time]])*24</f>
        <v>0</v>
      </c>
      <c r="AD687" s="35">
        <f>IFERROR((TA[[#This Row],[Work Completion time on fault]]-TA[[#This Row],[Fault Time]])*24,"")</f>
        <v>0</v>
      </c>
      <c r="AE687" t="s">
        <v>328</v>
      </c>
      <c r="AF687" t="s">
        <v>256</v>
      </c>
      <c r="AG687" s="2"/>
      <c r="AH687" s="44">
        <f>1-COS(RADIANS(TA[[#This Row],[Avg. Target Angle during Fault Time (Radians)]]-TA[[#This Row],[Angle of affected equipment ]]))</f>
        <v>0.11705240714107301</v>
      </c>
      <c r="AI687" s="35">
        <f>IFERROR(TA[[#This Row],[Breakdown Time]]*TA[[#This Row],[Plant Equivalent Weightage]],"")</f>
        <v>0</v>
      </c>
    </row>
    <row r="688" spans="1:35">
      <c r="A688" s="2">
        <f t="shared" si="47"/>
        <v>685</v>
      </c>
      <c r="B688" s="156">
        <f t="shared" si="45"/>
        <v>2026</v>
      </c>
      <c r="C688" s="129">
        <f t="shared" si="46"/>
        <v>2025</v>
      </c>
      <c r="D688" s="2" t="s">
        <v>155</v>
      </c>
      <c r="E688" s="2" t="s">
        <v>155</v>
      </c>
      <c r="F688" s="39">
        <v>45778</v>
      </c>
      <c r="G688" s="2">
        <f>DAY(EOMONTH(TA[[#This Row],[Month Year]],0))</f>
        <v>31</v>
      </c>
      <c r="H688" s="21">
        <v>45791</v>
      </c>
      <c r="I688" s="41">
        <f>IFERROR(VLOOKUP(TA[[#This Row],[Date]],Raw_Data[[Date]:[Sunset Time (POA&lt;20 W/m2)]],3,0),"")</f>
        <v>0.25486111111111109</v>
      </c>
      <c r="J688" s="41">
        <f>IFERROR(VLOOKUP(TA[[#This Row],[Date]],Raw_Data[[Date]:[Sunset Time (POA&lt;20 W/m2)]],4,0),"")</f>
        <v>0.73472222222222228</v>
      </c>
      <c r="K688" s="35">
        <f>IFERROR((TA[[#This Row],[Sunset Time (POA&lt;20 W/m2)]]-TA[[#This Row],[Sunrise Time (POA&gt;20 W/m2)]])*24,"")</f>
        <v>11.516666666666669</v>
      </c>
      <c r="L688" s="2" t="s">
        <v>312</v>
      </c>
      <c r="M688" s="42">
        <f>IFERROR(VLOOKUP(TA[[#This Row],[Affected Equipment]],'Basic Data'!$I$2:$K$40,3,0),"")</f>
        <v>5.74712643678161E-3</v>
      </c>
      <c r="N688">
        <v>-28</v>
      </c>
      <c r="O688" t="s">
        <v>133</v>
      </c>
      <c r="P688" s="22" t="s">
        <v>330</v>
      </c>
      <c r="Q688" s="2" t="s">
        <v>323</v>
      </c>
      <c r="R688">
        <v>26</v>
      </c>
      <c r="S688" s="2">
        <v>37</v>
      </c>
      <c r="T688" t="s">
        <v>297</v>
      </c>
      <c r="U688" t="s">
        <v>300</v>
      </c>
      <c r="V688" t="s">
        <v>301</v>
      </c>
      <c r="W688" s="41"/>
      <c r="X688" s="41"/>
      <c r="Y688" s="34"/>
      <c r="Z688" s="34"/>
      <c r="AA688" s="35">
        <f>IF(TA[[#This Row],[Work Start time on Fault]]="NA","",(TA[[#This Row],[Fault Acknowledgement Time ]]-TA[[#This Row],[Fault Time]])*24)</f>
        <v>0</v>
      </c>
      <c r="AB688" s="35">
        <f>(TA[[#This Row],[Work Start time on Fault]]-TA[[#This Row],[Fault Time]])*24</f>
        <v>0</v>
      </c>
      <c r="AC688" s="34">
        <f>(TA[[#This Row],[Work Completion time on fault]]-TA[[#This Row],[Fault Time]])*24</f>
        <v>0</v>
      </c>
      <c r="AD688" s="35">
        <f>IFERROR((TA[[#This Row],[Work Completion time on fault]]-TA[[#This Row],[Fault Time]])*24,"")</f>
        <v>0</v>
      </c>
      <c r="AE688" t="s">
        <v>328</v>
      </c>
      <c r="AF688" t="s">
        <v>256</v>
      </c>
      <c r="AG688" s="2"/>
      <c r="AH688" s="44">
        <f>1-COS(RADIANS(TA[[#This Row],[Avg. Target Angle during Fault Time (Radians)]]-TA[[#This Row],[Angle of affected equipment ]]))</f>
        <v>0.11705240714107301</v>
      </c>
      <c r="AI688" s="35">
        <f>IFERROR(TA[[#This Row],[Breakdown Time]]*TA[[#This Row],[Plant Equivalent Weightage]],"")</f>
        <v>0</v>
      </c>
    </row>
    <row r="689" spans="1:35">
      <c r="A689" s="2">
        <f t="shared" si="47"/>
        <v>686</v>
      </c>
      <c r="B689" s="156">
        <f t="shared" si="45"/>
        <v>2026</v>
      </c>
      <c r="C689" s="129">
        <f t="shared" si="46"/>
        <v>2025</v>
      </c>
      <c r="D689" s="2" t="s">
        <v>155</v>
      </c>
      <c r="E689" s="2" t="s">
        <v>155</v>
      </c>
      <c r="F689" s="39">
        <v>45778</v>
      </c>
      <c r="G689" s="2">
        <f>DAY(EOMONTH(TA[[#This Row],[Month Year]],0))</f>
        <v>31</v>
      </c>
      <c r="H689" s="21">
        <v>45791</v>
      </c>
      <c r="I689" s="41">
        <f>IFERROR(VLOOKUP(TA[[#This Row],[Date]],Raw_Data[[Date]:[Sunset Time (POA&lt;20 W/m2)]],3,0),"")</f>
        <v>0.25486111111111109</v>
      </c>
      <c r="J689" s="41">
        <f>IFERROR(VLOOKUP(TA[[#This Row],[Date]],Raw_Data[[Date]:[Sunset Time (POA&lt;20 W/m2)]],4,0),"")</f>
        <v>0.73472222222222228</v>
      </c>
      <c r="K689" s="35">
        <f>IFERROR((TA[[#This Row],[Sunset Time (POA&lt;20 W/m2)]]-TA[[#This Row],[Sunrise Time (POA&gt;20 W/m2)]])*24,"")</f>
        <v>11.516666666666669</v>
      </c>
      <c r="L689" s="2" t="s">
        <v>312</v>
      </c>
      <c r="M689" s="42">
        <f>IFERROR(VLOOKUP(TA[[#This Row],[Affected Equipment]],'Basic Data'!$I$2:$K$40,3,0),"")</f>
        <v>5.74712643678161E-3</v>
      </c>
      <c r="N689">
        <v>-28</v>
      </c>
      <c r="O689" t="s">
        <v>133</v>
      </c>
      <c r="P689" s="22" t="s">
        <v>330</v>
      </c>
      <c r="Q689" s="2" t="s">
        <v>323</v>
      </c>
      <c r="R689">
        <v>27</v>
      </c>
      <c r="S689" s="2">
        <v>42</v>
      </c>
      <c r="T689" t="s">
        <v>297</v>
      </c>
      <c r="U689" t="s">
        <v>300</v>
      </c>
      <c r="V689" t="s">
        <v>301</v>
      </c>
      <c r="W689" s="41">
        <f>IFERROR(VLOOKUP(TA[[#This Row],[Date]],Raw_Data[[Date]:[Sunset Time (POA&lt;20 W/m2)]],3,0),"")</f>
        <v>0.25486111111111109</v>
      </c>
      <c r="X689" s="41">
        <f>IFERROR(VLOOKUP(TA[[#This Row],[Date]],Raw_Data[[Date]:[Sunset Time (POA&lt;20 W/m2)]],3,0),"")</f>
        <v>0.25486111111111109</v>
      </c>
      <c r="Y689" s="34"/>
      <c r="Z689" s="34">
        <v>0.76041666666666663</v>
      </c>
      <c r="AA689" s="35">
        <f>IF(TA[[#This Row],[Work Start time on Fault]]="NA","",(TA[[#This Row],[Fault Acknowledgement Time ]]-TA[[#This Row],[Fault Time]])*24)</f>
        <v>0</v>
      </c>
      <c r="AB689" s="35">
        <f>(TA[[#This Row],[Work Start time on Fault]]-TA[[#This Row],[Fault Time]])*24</f>
        <v>-6.1166666666666663</v>
      </c>
      <c r="AC689" s="34">
        <f>(TA[[#This Row],[Work Completion time on fault]]-TA[[#This Row],[Fault Time]])*24</f>
        <v>12.133333333333333</v>
      </c>
      <c r="AD689" s="35">
        <f>IFERROR((TA[[#This Row],[Work Completion time on fault]]-TA[[#This Row],[Fault Time]])*24,"")</f>
        <v>12.133333333333333</v>
      </c>
      <c r="AE689" t="s">
        <v>309</v>
      </c>
      <c r="AF689" t="s">
        <v>256</v>
      </c>
      <c r="AG689" s="2"/>
      <c r="AH689" s="44">
        <f>1-COS(RADIANS(TA[[#This Row],[Avg. Target Angle during Fault Time (Radians)]]-TA[[#This Row],[Angle of affected equipment ]]))</f>
        <v>0.11705240714107301</v>
      </c>
      <c r="AI689" s="35">
        <f>IFERROR(TA[[#This Row],[Breakdown Time]]*TA[[#This Row],[Plant Equivalent Weightage]],"")</f>
        <v>6.9731800766283533E-2</v>
      </c>
    </row>
    <row r="690" spans="1:35">
      <c r="A690" s="2">
        <f t="shared" si="47"/>
        <v>687</v>
      </c>
      <c r="B690" s="156">
        <f t="shared" ref="B690:B703" si="48">YEAR(H690)+IF(MONTH(H690)&gt;=4,1,0)</f>
        <v>2026</v>
      </c>
      <c r="C690" s="129">
        <f t="shared" ref="C690:C703" si="49">YEAR(H690)</f>
        <v>2025</v>
      </c>
      <c r="D690" s="2" t="s">
        <v>155</v>
      </c>
      <c r="E690" s="2" t="s">
        <v>155</v>
      </c>
      <c r="F690" s="39">
        <v>45778</v>
      </c>
      <c r="G690" s="2">
        <f>DAY(EOMONTH(TA[[#This Row],[Month Year]],0))</f>
        <v>31</v>
      </c>
      <c r="H690" s="21">
        <v>45792</v>
      </c>
      <c r="I690" s="41">
        <f>IFERROR(VLOOKUP(TA[[#This Row],[Date]],Raw_Data[[Date]:[Sunset Time (POA&lt;20 W/m2)]],3,0),"")</f>
        <v>0.30625000000000002</v>
      </c>
      <c r="J690" s="41">
        <f>IFERROR(VLOOKUP(TA[[#This Row],[Date]],Raw_Data[[Date]:[Sunset Time (POA&lt;20 W/m2)]],4,0),"")</f>
        <v>0.76944444444444449</v>
      </c>
      <c r="K690" s="35">
        <f>IFERROR((TA[[#This Row],[Sunset Time (POA&lt;20 W/m2)]]-TA[[#This Row],[Sunrise Time (POA&gt;20 W/m2)]])*24,"")</f>
        <v>11.116666666666667</v>
      </c>
      <c r="L690" s="2" t="s">
        <v>294</v>
      </c>
      <c r="M690" s="42">
        <f>IFERROR(VLOOKUP(TA[[#This Row],[Affected Equipment]],'Basic Data'!$I$2:$K$40,3,0),"")</f>
        <v>1.7241379310344799E-3</v>
      </c>
      <c r="N690">
        <v>-28</v>
      </c>
      <c r="O690" t="s">
        <v>135</v>
      </c>
      <c r="P690" s="127" t="s">
        <v>318</v>
      </c>
      <c r="Q690" s="126" t="s">
        <v>318</v>
      </c>
      <c r="R690">
        <v>130</v>
      </c>
      <c r="S690" s="2">
        <v>37</v>
      </c>
      <c r="T690" t="s">
        <v>295</v>
      </c>
      <c r="U690" t="s">
        <v>300</v>
      </c>
      <c r="V690" t="s">
        <v>298</v>
      </c>
      <c r="W690" s="41"/>
      <c r="X690" s="41"/>
      <c r="Y690" s="34"/>
      <c r="Z690" s="34"/>
      <c r="AA690" s="35">
        <f>IF(TA[[#This Row],[Work Start time on Fault]]="NA","",(TA[[#This Row],[Fault Acknowledgement Time ]]-TA[[#This Row],[Fault Time]])*24)</f>
        <v>0</v>
      </c>
      <c r="AB690" s="35">
        <f>(TA[[#This Row],[Work Start time on Fault]]-TA[[#This Row],[Fault Time]])*24</f>
        <v>0</v>
      </c>
      <c r="AC690" s="34">
        <f>(TA[[#This Row],[Work Completion time on fault]]-TA[[#This Row],[Fault Time]])*24</f>
        <v>0</v>
      </c>
      <c r="AD690" s="35">
        <f>IFERROR((TA[[#This Row],[Work Completion time on fault]]-TA[[#This Row],[Fault Time]])*24,"")</f>
        <v>0</v>
      </c>
      <c r="AE690" t="s">
        <v>328</v>
      </c>
      <c r="AF690" t="s">
        <v>256</v>
      </c>
      <c r="AG690" s="2"/>
      <c r="AH690" s="44">
        <f>1-COS(RADIANS(TA[[#This Row],[Avg. Target Angle during Fault Time (Radians)]]-TA[[#This Row],[Angle of affected equipment ]]))</f>
        <v>0.11705240714107301</v>
      </c>
      <c r="AI690" s="35">
        <f>IFERROR(TA[[#This Row],[Breakdown Time]]*TA[[#This Row],[Plant Equivalent Weightage]],"")</f>
        <v>0</v>
      </c>
    </row>
    <row r="691" spans="1:35">
      <c r="A691" s="2">
        <f t="shared" si="47"/>
        <v>688</v>
      </c>
      <c r="B691" s="156">
        <f t="shared" si="48"/>
        <v>2026</v>
      </c>
      <c r="C691" s="129">
        <f t="shared" si="49"/>
        <v>2025</v>
      </c>
      <c r="D691" s="2" t="s">
        <v>155</v>
      </c>
      <c r="E691" s="2" t="s">
        <v>155</v>
      </c>
      <c r="F691" s="39">
        <v>45778</v>
      </c>
      <c r="G691" s="2">
        <f>DAY(EOMONTH(TA[[#This Row],[Month Year]],0))</f>
        <v>31</v>
      </c>
      <c r="H691" s="21">
        <v>45792</v>
      </c>
      <c r="I691" s="41">
        <f>IFERROR(VLOOKUP(TA[[#This Row],[Date]],Raw_Data[[Date]:[Sunset Time (POA&lt;20 W/m2)]],3,0),"")</f>
        <v>0.30625000000000002</v>
      </c>
      <c r="J691" s="41">
        <f>IFERROR(VLOOKUP(TA[[#This Row],[Date]],Raw_Data[[Date]:[Sunset Time (POA&lt;20 W/m2)]],4,0),"")</f>
        <v>0.76944444444444449</v>
      </c>
      <c r="K691" s="35">
        <f>IFERROR((TA[[#This Row],[Sunset Time (POA&lt;20 W/m2)]]-TA[[#This Row],[Sunrise Time (POA&gt;20 W/m2)]])*24,"")</f>
        <v>11.116666666666667</v>
      </c>
      <c r="L691" s="2" t="s">
        <v>294</v>
      </c>
      <c r="M691" s="42">
        <f>IFERROR(VLOOKUP(TA[[#This Row],[Affected Equipment]],'Basic Data'!$I$2:$K$40,3,0),"")</f>
        <v>1.7241379310344799E-3</v>
      </c>
      <c r="N691">
        <v>-28</v>
      </c>
      <c r="O691" t="s">
        <v>135</v>
      </c>
      <c r="P691" s="127" t="s">
        <v>318</v>
      </c>
      <c r="Q691" s="126" t="s">
        <v>318</v>
      </c>
      <c r="R691">
        <v>131</v>
      </c>
      <c r="S691" s="2">
        <v>38</v>
      </c>
      <c r="T691" t="s">
        <v>295</v>
      </c>
      <c r="U691" t="s">
        <v>300</v>
      </c>
      <c r="V691" t="s">
        <v>298</v>
      </c>
      <c r="W691" s="41"/>
      <c r="X691" s="41"/>
      <c r="Y691" s="34"/>
      <c r="Z691" s="34"/>
      <c r="AA691" s="35">
        <f>IF(TA[[#This Row],[Work Start time on Fault]]="NA","",(TA[[#This Row],[Fault Acknowledgement Time ]]-TA[[#This Row],[Fault Time]])*24)</f>
        <v>0</v>
      </c>
      <c r="AB691" s="35">
        <f>(TA[[#This Row],[Work Start time on Fault]]-TA[[#This Row],[Fault Time]])*24</f>
        <v>0</v>
      </c>
      <c r="AC691" s="34">
        <f>(TA[[#This Row],[Work Completion time on fault]]-TA[[#This Row],[Fault Time]])*24</f>
        <v>0</v>
      </c>
      <c r="AD691" s="35">
        <f>IFERROR((TA[[#This Row],[Work Completion time on fault]]-TA[[#This Row],[Fault Time]])*24,"")</f>
        <v>0</v>
      </c>
      <c r="AE691" t="s">
        <v>328</v>
      </c>
      <c r="AF691" t="s">
        <v>256</v>
      </c>
      <c r="AG691" s="2"/>
      <c r="AH691" s="44">
        <f>1-COS(RADIANS(TA[[#This Row],[Avg. Target Angle during Fault Time (Radians)]]-TA[[#This Row],[Angle of affected equipment ]]))</f>
        <v>0.11705240714107301</v>
      </c>
      <c r="AI691" s="35">
        <f>IFERROR(TA[[#This Row],[Breakdown Time]]*TA[[#This Row],[Plant Equivalent Weightage]],"")</f>
        <v>0</v>
      </c>
    </row>
    <row r="692" spans="1:35">
      <c r="A692" s="2">
        <f t="shared" si="47"/>
        <v>689</v>
      </c>
      <c r="B692" s="156">
        <f t="shared" si="48"/>
        <v>2026</v>
      </c>
      <c r="C692" s="129">
        <f t="shared" si="49"/>
        <v>2025</v>
      </c>
      <c r="D692" s="2" t="s">
        <v>155</v>
      </c>
      <c r="E692" s="2" t="s">
        <v>155</v>
      </c>
      <c r="F692" s="39">
        <v>45778</v>
      </c>
      <c r="G692" s="2">
        <f>DAY(EOMONTH(TA[[#This Row],[Month Year]],0))</f>
        <v>31</v>
      </c>
      <c r="H692" s="21">
        <v>45792</v>
      </c>
      <c r="I692" s="41">
        <f>IFERROR(VLOOKUP(TA[[#This Row],[Date]],Raw_Data[[Date]:[Sunset Time (POA&lt;20 W/m2)]],3,0),"")</f>
        <v>0.30625000000000002</v>
      </c>
      <c r="J692" s="41">
        <f>IFERROR(VLOOKUP(TA[[#This Row],[Date]],Raw_Data[[Date]:[Sunset Time (POA&lt;20 W/m2)]],4,0),"")</f>
        <v>0.76944444444444449</v>
      </c>
      <c r="K692" s="35">
        <f>IFERROR((TA[[#This Row],[Sunset Time (POA&lt;20 W/m2)]]-TA[[#This Row],[Sunrise Time (POA&gt;20 W/m2)]])*24,"")</f>
        <v>11.116666666666667</v>
      </c>
      <c r="L692" s="2" t="s">
        <v>294</v>
      </c>
      <c r="M692" s="42">
        <f>IFERROR(VLOOKUP(TA[[#This Row],[Affected Equipment]],'Basic Data'!$I$2:$K$40,3,0),"")</f>
        <v>1.7241379310344799E-3</v>
      </c>
      <c r="N692">
        <v>-28</v>
      </c>
      <c r="O692" t="s">
        <v>135</v>
      </c>
      <c r="P692" s="127" t="s">
        <v>318</v>
      </c>
      <c r="Q692" s="126" t="s">
        <v>318</v>
      </c>
      <c r="R692">
        <v>131</v>
      </c>
      <c r="S692" s="2">
        <v>39</v>
      </c>
      <c r="T692" t="s">
        <v>295</v>
      </c>
      <c r="U692" t="s">
        <v>300</v>
      </c>
      <c r="V692" t="s">
        <v>298</v>
      </c>
      <c r="W692" s="41"/>
      <c r="X692" s="41"/>
      <c r="Y692" s="34"/>
      <c r="Z692" s="34"/>
      <c r="AA692" s="35">
        <f>IF(TA[[#This Row],[Work Start time on Fault]]="NA","",(TA[[#This Row],[Fault Acknowledgement Time ]]-TA[[#This Row],[Fault Time]])*24)</f>
        <v>0</v>
      </c>
      <c r="AB692" s="35">
        <f>(TA[[#This Row],[Work Start time on Fault]]-TA[[#This Row],[Fault Time]])*24</f>
        <v>0</v>
      </c>
      <c r="AC692" s="34">
        <f>(TA[[#This Row],[Work Completion time on fault]]-TA[[#This Row],[Fault Time]])*24</f>
        <v>0</v>
      </c>
      <c r="AD692" s="35">
        <f>IFERROR((TA[[#This Row],[Work Completion time on fault]]-TA[[#This Row],[Fault Time]])*24,"")</f>
        <v>0</v>
      </c>
      <c r="AE692" t="s">
        <v>328</v>
      </c>
      <c r="AF692" t="s">
        <v>256</v>
      </c>
      <c r="AG692" s="2"/>
      <c r="AH692" s="44">
        <f>1-COS(RADIANS(TA[[#This Row],[Avg. Target Angle during Fault Time (Radians)]]-TA[[#This Row],[Angle of affected equipment ]]))</f>
        <v>0.11705240714107301</v>
      </c>
      <c r="AI692" s="35">
        <f>IFERROR(TA[[#This Row],[Breakdown Time]]*TA[[#This Row],[Plant Equivalent Weightage]],"")</f>
        <v>0</v>
      </c>
    </row>
    <row r="693" spans="1:35">
      <c r="A693" s="2">
        <f t="shared" si="47"/>
        <v>690</v>
      </c>
      <c r="B693" s="156">
        <f t="shared" si="48"/>
        <v>2026</v>
      </c>
      <c r="C693" s="129">
        <f t="shared" si="49"/>
        <v>2025</v>
      </c>
      <c r="D693" s="2" t="s">
        <v>155</v>
      </c>
      <c r="E693" s="2" t="s">
        <v>155</v>
      </c>
      <c r="F693" s="39">
        <v>45778</v>
      </c>
      <c r="G693" s="2">
        <f>DAY(EOMONTH(TA[[#This Row],[Month Year]],0))</f>
        <v>31</v>
      </c>
      <c r="H693" s="21">
        <v>45792</v>
      </c>
      <c r="I693" s="41">
        <f>IFERROR(VLOOKUP(TA[[#This Row],[Date]],Raw_Data[[Date]:[Sunset Time (POA&lt;20 W/m2)]],3,0),"")</f>
        <v>0.30625000000000002</v>
      </c>
      <c r="J693" s="41">
        <f>IFERROR(VLOOKUP(TA[[#This Row],[Date]],Raw_Data[[Date]:[Sunset Time (POA&lt;20 W/m2)]],4,0),"")</f>
        <v>0.76944444444444449</v>
      </c>
      <c r="K693" s="35">
        <f>IFERROR((TA[[#This Row],[Sunset Time (POA&lt;20 W/m2)]]-TA[[#This Row],[Sunrise Time (POA&gt;20 W/m2)]])*24,"")</f>
        <v>11.116666666666667</v>
      </c>
      <c r="L693" s="2" t="s">
        <v>296</v>
      </c>
      <c r="M693" s="42">
        <f>IFERROR(VLOOKUP(TA[[#This Row],[Affected Equipment]],'Basic Data'!$I$2:$K$40,3,0),"")</f>
        <v>8.6206896551724102E-3</v>
      </c>
      <c r="N693">
        <v>-28</v>
      </c>
      <c r="O693" t="s">
        <v>135</v>
      </c>
      <c r="P693" s="127" t="s">
        <v>318</v>
      </c>
      <c r="Q693" s="2" t="s">
        <v>321</v>
      </c>
      <c r="R693">
        <v>133</v>
      </c>
      <c r="S693" s="2">
        <v>26</v>
      </c>
      <c r="T693" t="s">
        <v>297</v>
      </c>
      <c r="U693" t="s">
        <v>300</v>
      </c>
      <c r="V693" t="s">
        <v>314</v>
      </c>
      <c r="W693" s="41">
        <f>IFERROR(VLOOKUP(TA[[#This Row],[Date]],Raw_Data[[Date]:[Sunset Time (POA&lt;20 W/m2)]],3,0),"")</f>
        <v>0.30625000000000002</v>
      </c>
      <c r="X693" s="41">
        <f>IFERROR(VLOOKUP(TA[[#This Row],[Date]],Raw_Data[[Date]:[Sunset Time (POA&lt;20 W/m2)]],3,0),"")</f>
        <v>0.30625000000000002</v>
      </c>
      <c r="Y693" s="34"/>
      <c r="Z693" s="34">
        <v>0.76041666666666663</v>
      </c>
      <c r="AA693" s="35">
        <f>IF(TA[[#This Row],[Work Start time on Fault]]="NA","",(TA[[#This Row],[Fault Acknowledgement Time ]]-TA[[#This Row],[Fault Time]])*24)</f>
        <v>0</v>
      </c>
      <c r="AB693" s="35">
        <f>(TA[[#This Row],[Work Start time on Fault]]-TA[[#This Row],[Fault Time]])*24</f>
        <v>-7.3500000000000005</v>
      </c>
      <c r="AC693" s="34">
        <f>(TA[[#This Row],[Work Completion time on fault]]-TA[[#This Row],[Fault Time]])*24</f>
        <v>10.899999999999999</v>
      </c>
      <c r="AD693" s="35">
        <f>IFERROR((TA[[#This Row],[Work Completion time on fault]]-TA[[#This Row],[Fault Time]])*24,"")</f>
        <v>10.899999999999999</v>
      </c>
      <c r="AE693" t="s">
        <v>328</v>
      </c>
      <c r="AF693" t="s">
        <v>256</v>
      </c>
      <c r="AG693" s="2"/>
      <c r="AH693" s="44">
        <f>1-COS(RADIANS(TA[[#This Row],[Avg. Target Angle during Fault Time (Radians)]]-TA[[#This Row],[Angle of affected equipment ]]))</f>
        <v>0.11705240714107301</v>
      </c>
      <c r="AI693" s="35">
        <f>IFERROR(TA[[#This Row],[Breakdown Time]]*TA[[#This Row],[Plant Equivalent Weightage]],"")</f>
        <v>9.3965517241379262E-2</v>
      </c>
    </row>
    <row r="694" spans="1:35">
      <c r="A694" s="2">
        <f t="shared" si="47"/>
        <v>691</v>
      </c>
      <c r="B694" s="156">
        <f t="shared" si="48"/>
        <v>2026</v>
      </c>
      <c r="C694" s="129">
        <f t="shared" si="49"/>
        <v>2025</v>
      </c>
      <c r="D694" s="2" t="s">
        <v>155</v>
      </c>
      <c r="E694" s="2" t="s">
        <v>155</v>
      </c>
      <c r="F694" s="39">
        <v>45778</v>
      </c>
      <c r="G694" s="2">
        <f>DAY(EOMONTH(TA[[#This Row],[Month Year]],0))</f>
        <v>31</v>
      </c>
      <c r="H694" s="21">
        <v>45792</v>
      </c>
      <c r="I694" s="41">
        <f>IFERROR(VLOOKUP(TA[[#This Row],[Date]],Raw_Data[[Date]:[Sunset Time (POA&lt;20 W/m2)]],3,0),"")</f>
        <v>0.30625000000000002</v>
      </c>
      <c r="J694" s="41">
        <f>IFERROR(VLOOKUP(TA[[#This Row],[Date]],Raw_Data[[Date]:[Sunset Time (POA&lt;20 W/m2)]],4,0),"")</f>
        <v>0.76944444444444449</v>
      </c>
      <c r="K694" s="35">
        <f>IFERROR((TA[[#This Row],[Sunset Time (POA&lt;20 W/m2)]]-TA[[#This Row],[Sunrise Time (POA&gt;20 W/m2)]])*24,"")</f>
        <v>11.116666666666667</v>
      </c>
      <c r="L694" s="2" t="s">
        <v>294</v>
      </c>
      <c r="M694" s="42">
        <f>IFERROR(VLOOKUP(TA[[#This Row],[Affected Equipment]],'Basic Data'!$I$2:$K$40,3,0),"")</f>
        <v>1.7241379310344799E-3</v>
      </c>
      <c r="N694">
        <v>-28</v>
      </c>
      <c r="O694" t="s">
        <v>133</v>
      </c>
      <c r="P694" s="127" t="s">
        <v>316</v>
      </c>
      <c r="Q694" s="126" t="s">
        <v>317</v>
      </c>
      <c r="R694">
        <v>7</v>
      </c>
      <c r="S694" s="2">
        <v>32</v>
      </c>
      <c r="T694" t="s">
        <v>295</v>
      </c>
      <c r="U694" t="s">
        <v>300</v>
      </c>
      <c r="V694" t="s">
        <v>298</v>
      </c>
      <c r="W694" s="41"/>
      <c r="X694" s="41"/>
      <c r="Y694" s="34"/>
      <c r="Z694" s="34"/>
      <c r="AA694" s="35">
        <f>IF(TA[[#This Row],[Work Start time on Fault]]="NA","",(TA[[#This Row],[Fault Acknowledgement Time ]]-TA[[#This Row],[Fault Time]])*24)</f>
        <v>0</v>
      </c>
      <c r="AB694" s="35">
        <f>(TA[[#This Row],[Work Start time on Fault]]-TA[[#This Row],[Fault Time]])*24</f>
        <v>0</v>
      </c>
      <c r="AC694" s="34">
        <f>(TA[[#This Row],[Work Completion time on fault]]-TA[[#This Row],[Fault Time]])*24</f>
        <v>0</v>
      </c>
      <c r="AD694" s="35">
        <f>IFERROR((TA[[#This Row],[Work Completion time on fault]]-TA[[#This Row],[Fault Time]])*24,"")</f>
        <v>0</v>
      </c>
      <c r="AE694" t="s">
        <v>328</v>
      </c>
      <c r="AF694" t="s">
        <v>256</v>
      </c>
      <c r="AG694" s="2"/>
      <c r="AH694" s="44">
        <f>1-COS(RADIANS(TA[[#This Row],[Avg. Target Angle during Fault Time (Radians)]]-TA[[#This Row],[Angle of affected equipment ]]))</f>
        <v>0.11705240714107301</v>
      </c>
      <c r="AI694" s="35">
        <f>IFERROR(TA[[#This Row],[Breakdown Time]]*TA[[#This Row],[Plant Equivalent Weightage]],"")</f>
        <v>0</v>
      </c>
    </row>
    <row r="695" spans="1:35">
      <c r="A695" s="2">
        <f t="shared" si="47"/>
        <v>692</v>
      </c>
      <c r="B695" s="156">
        <f t="shared" si="48"/>
        <v>2026</v>
      </c>
      <c r="C695" s="129">
        <f t="shared" si="49"/>
        <v>2025</v>
      </c>
      <c r="D695" s="2" t="s">
        <v>155</v>
      </c>
      <c r="E695" s="2" t="s">
        <v>155</v>
      </c>
      <c r="F695" s="39">
        <v>45778</v>
      </c>
      <c r="G695" s="2">
        <f>DAY(EOMONTH(TA[[#This Row],[Month Year]],0))</f>
        <v>31</v>
      </c>
      <c r="H695" s="21">
        <v>45792</v>
      </c>
      <c r="I695" s="41">
        <f>IFERROR(VLOOKUP(TA[[#This Row],[Date]],Raw_Data[[Date]:[Sunset Time (POA&lt;20 W/m2)]],3,0),"")</f>
        <v>0.30625000000000002</v>
      </c>
      <c r="J695" s="41">
        <f>IFERROR(VLOOKUP(TA[[#This Row],[Date]],Raw_Data[[Date]:[Sunset Time (POA&lt;20 W/m2)]],4,0),"")</f>
        <v>0.76944444444444449</v>
      </c>
      <c r="K695" s="35">
        <f>IFERROR((TA[[#This Row],[Sunset Time (POA&lt;20 W/m2)]]-TA[[#This Row],[Sunrise Time (POA&gt;20 W/m2)]])*24,"")</f>
        <v>11.116666666666667</v>
      </c>
      <c r="L695" s="2" t="s">
        <v>294</v>
      </c>
      <c r="M695" s="42">
        <f>IFERROR(VLOOKUP(TA[[#This Row],[Affected Equipment]],'Basic Data'!$I$2:$K$40,3,0),"")</f>
        <v>1.7241379310344799E-3</v>
      </c>
      <c r="N695">
        <v>-28</v>
      </c>
      <c r="O695" t="s">
        <v>137</v>
      </c>
      <c r="P695" s="127" t="s">
        <v>315</v>
      </c>
      <c r="Q695" s="126" t="s">
        <v>319</v>
      </c>
      <c r="R695">
        <v>166</v>
      </c>
      <c r="S695" s="2">
        <v>91</v>
      </c>
      <c r="T695" t="s">
        <v>295</v>
      </c>
      <c r="U695" t="s">
        <v>300</v>
      </c>
      <c r="V695" t="s">
        <v>298</v>
      </c>
      <c r="W695" s="41"/>
      <c r="X695" s="41"/>
      <c r="Y695" s="34"/>
      <c r="Z695" s="34"/>
      <c r="AA695" s="35">
        <f>IF(TA[[#This Row],[Work Start time on Fault]]="NA","",(TA[[#This Row],[Fault Acknowledgement Time ]]-TA[[#This Row],[Fault Time]])*24)</f>
        <v>0</v>
      </c>
      <c r="AB695" s="35">
        <f>(TA[[#This Row],[Work Start time on Fault]]-TA[[#This Row],[Fault Time]])*24</f>
        <v>0</v>
      </c>
      <c r="AC695" s="34">
        <f>(TA[[#This Row],[Work Completion time on fault]]-TA[[#This Row],[Fault Time]])*24</f>
        <v>0</v>
      </c>
      <c r="AD695" s="35">
        <f>IFERROR((TA[[#This Row],[Work Completion time on fault]]-TA[[#This Row],[Fault Time]])*24,"")</f>
        <v>0</v>
      </c>
      <c r="AE695" t="s">
        <v>328</v>
      </c>
      <c r="AF695" t="s">
        <v>256</v>
      </c>
      <c r="AG695" s="2"/>
      <c r="AH695" s="44">
        <f>1-COS(RADIANS(TA[[#This Row],[Avg. Target Angle during Fault Time (Radians)]]-TA[[#This Row],[Angle of affected equipment ]]))</f>
        <v>0.11705240714107301</v>
      </c>
      <c r="AI695" s="35">
        <f>IFERROR(TA[[#This Row],[Breakdown Time]]*TA[[#This Row],[Plant Equivalent Weightage]],"")</f>
        <v>0</v>
      </c>
    </row>
    <row r="696" spans="1:35">
      <c r="A696" s="2">
        <f t="shared" si="47"/>
        <v>693</v>
      </c>
      <c r="B696" s="156">
        <f t="shared" si="48"/>
        <v>2026</v>
      </c>
      <c r="C696" s="129">
        <f t="shared" si="49"/>
        <v>2025</v>
      </c>
      <c r="D696" s="2" t="s">
        <v>155</v>
      </c>
      <c r="E696" s="2" t="s">
        <v>155</v>
      </c>
      <c r="F696" s="39">
        <v>45778</v>
      </c>
      <c r="G696" s="2">
        <f>DAY(EOMONTH(TA[[#This Row],[Month Year]],0))</f>
        <v>31</v>
      </c>
      <c r="H696" s="21">
        <v>45792</v>
      </c>
      <c r="I696" s="41">
        <f>IFERROR(VLOOKUP(TA[[#This Row],[Date]],Raw_Data[[Date]:[Sunset Time (POA&lt;20 W/m2)]],3,0),"")</f>
        <v>0.30625000000000002</v>
      </c>
      <c r="J696" s="41">
        <f>IFERROR(VLOOKUP(TA[[#This Row],[Date]],Raw_Data[[Date]:[Sunset Time (POA&lt;20 W/m2)]],4,0),"")</f>
        <v>0.76944444444444449</v>
      </c>
      <c r="K696" s="35">
        <f>IFERROR((TA[[#This Row],[Sunset Time (POA&lt;20 W/m2)]]-TA[[#This Row],[Sunrise Time (POA&gt;20 W/m2)]])*24,"")</f>
        <v>11.116666666666667</v>
      </c>
      <c r="L696" s="2" t="s">
        <v>294</v>
      </c>
      <c r="M696" s="42">
        <f>IFERROR(VLOOKUP(TA[[#This Row],[Affected Equipment]],'Basic Data'!$I$2:$K$40,3,0),"")</f>
        <v>1.7241379310344799E-3</v>
      </c>
      <c r="N696">
        <v>-28</v>
      </c>
      <c r="O696" t="s">
        <v>133</v>
      </c>
      <c r="P696" s="127" t="s">
        <v>316</v>
      </c>
      <c r="Q696" s="126" t="s">
        <v>316</v>
      </c>
      <c r="R696">
        <v>117</v>
      </c>
      <c r="S696" s="2">
        <v>20</v>
      </c>
      <c r="T696" t="s">
        <v>295</v>
      </c>
      <c r="U696" t="s">
        <v>300</v>
      </c>
      <c r="V696" t="s">
        <v>298</v>
      </c>
      <c r="W696" s="41"/>
      <c r="X696" s="41"/>
      <c r="Y696" s="34"/>
      <c r="Z696" s="34"/>
      <c r="AA696" s="35">
        <f>IF(TA[[#This Row],[Work Start time on Fault]]="NA","",(TA[[#This Row],[Fault Acknowledgement Time ]]-TA[[#This Row],[Fault Time]])*24)</f>
        <v>0</v>
      </c>
      <c r="AB696" s="35">
        <f>(TA[[#This Row],[Work Start time on Fault]]-TA[[#This Row],[Fault Time]])*24</f>
        <v>0</v>
      </c>
      <c r="AC696" s="34">
        <f>(TA[[#This Row],[Work Completion time on fault]]-TA[[#This Row],[Fault Time]])*24</f>
        <v>0</v>
      </c>
      <c r="AD696" s="35">
        <f>IFERROR((TA[[#This Row],[Work Completion time on fault]]-TA[[#This Row],[Fault Time]])*24,"")</f>
        <v>0</v>
      </c>
      <c r="AE696" t="s">
        <v>328</v>
      </c>
      <c r="AF696" t="s">
        <v>256</v>
      </c>
      <c r="AG696" s="2"/>
      <c r="AH696" s="44">
        <f>1-COS(RADIANS(TA[[#This Row],[Avg. Target Angle during Fault Time (Radians)]]-TA[[#This Row],[Angle of affected equipment ]]))</f>
        <v>0.11705240714107301</v>
      </c>
      <c r="AI696" s="35">
        <f>IFERROR(TA[[#This Row],[Breakdown Time]]*TA[[#This Row],[Plant Equivalent Weightage]],"")</f>
        <v>0</v>
      </c>
    </row>
    <row r="697" spans="1:35">
      <c r="A697" s="2">
        <f t="shared" si="47"/>
        <v>694</v>
      </c>
      <c r="B697" s="156">
        <f t="shared" si="48"/>
        <v>2026</v>
      </c>
      <c r="C697" s="129">
        <f t="shared" si="49"/>
        <v>2025</v>
      </c>
      <c r="D697" s="2" t="s">
        <v>155</v>
      </c>
      <c r="E697" s="2" t="s">
        <v>155</v>
      </c>
      <c r="F697" s="39">
        <v>45778</v>
      </c>
      <c r="G697" s="2">
        <f>DAY(EOMONTH(TA[[#This Row],[Month Year]],0))</f>
        <v>31</v>
      </c>
      <c r="H697" s="21">
        <v>45792</v>
      </c>
      <c r="I697" s="41">
        <f>IFERROR(VLOOKUP(TA[[#This Row],[Date]],Raw_Data[[Date]:[Sunset Time (POA&lt;20 W/m2)]],3,0),"")</f>
        <v>0.30625000000000002</v>
      </c>
      <c r="J697" s="41">
        <f>IFERROR(VLOOKUP(TA[[#This Row],[Date]],Raw_Data[[Date]:[Sunset Time (POA&lt;20 W/m2)]],4,0),"")</f>
        <v>0.76944444444444449</v>
      </c>
      <c r="K697" s="35">
        <f>IFERROR((TA[[#This Row],[Sunset Time (POA&lt;20 W/m2)]]-TA[[#This Row],[Sunrise Time (POA&gt;20 W/m2)]])*24,"")</f>
        <v>11.116666666666667</v>
      </c>
      <c r="L697" s="2" t="s">
        <v>294</v>
      </c>
      <c r="M697" s="42">
        <f>IFERROR(VLOOKUP(TA[[#This Row],[Affected Equipment]],'Basic Data'!$I$2:$K$40,3,0),"")</f>
        <v>1.7241379310344799E-3</v>
      </c>
      <c r="N697">
        <v>-28</v>
      </c>
      <c r="O697" t="s">
        <v>133</v>
      </c>
      <c r="P697" s="127" t="s">
        <v>316</v>
      </c>
      <c r="Q697" s="126" t="s">
        <v>316</v>
      </c>
      <c r="R697">
        <v>118</v>
      </c>
      <c r="S697" s="2">
        <v>22</v>
      </c>
      <c r="T697" t="s">
        <v>295</v>
      </c>
      <c r="U697" t="s">
        <v>300</v>
      </c>
      <c r="V697" t="s">
        <v>298</v>
      </c>
      <c r="W697" s="41"/>
      <c r="X697" s="41"/>
      <c r="Y697" s="34"/>
      <c r="Z697" s="34"/>
      <c r="AA697" s="35">
        <f>IF(TA[[#This Row],[Work Start time on Fault]]="NA","",(TA[[#This Row],[Fault Acknowledgement Time ]]-TA[[#This Row],[Fault Time]])*24)</f>
        <v>0</v>
      </c>
      <c r="AB697" s="35">
        <f>(TA[[#This Row],[Work Start time on Fault]]-TA[[#This Row],[Fault Time]])*24</f>
        <v>0</v>
      </c>
      <c r="AC697" s="34">
        <f>(TA[[#This Row],[Work Completion time on fault]]-TA[[#This Row],[Fault Time]])*24</f>
        <v>0</v>
      </c>
      <c r="AD697" s="35">
        <f>IFERROR((TA[[#This Row],[Work Completion time on fault]]-TA[[#This Row],[Fault Time]])*24,"")</f>
        <v>0</v>
      </c>
      <c r="AE697" t="s">
        <v>328</v>
      </c>
      <c r="AF697" t="s">
        <v>256</v>
      </c>
      <c r="AG697" s="2"/>
      <c r="AH697" s="44">
        <f>1-COS(RADIANS(TA[[#This Row],[Avg. Target Angle during Fault Time (Radians)]]-TA[[#This Row],[Angle of affected equipment ]]))</f>
        <v>0.11705240714107301</v>
      </c>
      <c r="AI697" s="35">
        <f>IFERROR(TA[[#This Row],[Breakdown Time]]*TA[[#This Row],[Plant Equivalent Weightage]],"")</f>
        <v>0</v>
      </c>
    </row>
    <row r="698" spans="1:35">
      <c r="A698" s="2">
        <f t="shared" si="47"/>
        <v>695</v>
      </c>
      <c r="B698" s="156">
        <f t="shared" si="48"/>
        <v>2026</v>
      </c>
      <c r="C698" s="129">
        <f t="shared" si="49"/>
        <v>2025</v>
      </c>
      <c r="D698" s="2" t="s">
        <v>155</v>
      </c>
      <c r="E698" s="2" t="s">
        <v>155</v>
      </c>
      <c r="F698" s="39">
        <v>45778</v>
      </c>
      <c r="G698" s="2">
        <f>DAY(EOMONTH(TA[[#This Row],[Month Year]],0))</f>
        <v>31</v>
      </c>
      <c r="H698" s="21">
        <v>45792</v>
      </c>
      <c r="I698" s="41">
        <f>IFERROR(VLOOKUP(TA[[#This Row],[Date]],Raw_Data[[Date]:[Sunset Time (POA&lt;20 W/m2)]],3,0),"")</f>
        <v>0.30625000000000002</v>
      </c>
      <c r="J698" s="41">
        <f>IFERROR(VLOOKUP(TA[[#This Row],[Date]],Raw_Data[[Date]:[Sunset Time (POA&lt;20 W/m2)]],4,0),"")</f>
        <v>0.76944444444444449</v>
      </c>
      <c r="K698" s="35">
        <f>IFERROR((TA[[#This Row],[Sunset Time (POA&lt;20 W/m2)]]-TA[[#This Row],[Sunrise Time (POA&gt;20 W/m2)]])*24,"")</f>
        <v>11.116666666666667</v>
      </c>
      <c r="L698" s="2" t="s">
        <v>296</v>
      </c>
      <c r="M698" s="42">
        <f>IFERROR(VLOOKUP(TA[[#This Row],[Affected Equipment]],'Basic Data'!$I$2:$K$40,3,0),"")</f>
        <v>8.6206896551724102E-3</v>
      </c>
      <c r="N698">
        <v>-28</v>
      </c>
      <c r="O698" t="s">
        <v>135</v>
      </c>
      <c r="P698" s="22" t="s">
        <v>323</v>
      </c>
      <c r="Q698" s="2" t="s">
        <v>329</v>
      </c>
      <c r="R698">
        <v>45</v>
      </c>
      <c r="S698" s="2">
        <v>8</v>
      </c>
      <c r="T698" t="s">
        <v>297</v>
      </c>
      <c r="U698" t="s">
        <v>300</v>
      </c>
      <c r="V698" t="s">
        <v>301</v>
      </c>
      <c r="W698" s="41"/>
      <c r="X698" s="41"/>
      <c r="Y698" s="34"/>
      <c r="Z698" s="34"/>
      <c r="AA698" s="35">
        <f>IF(TA[[#This Row],[Work Start time on Fault]]="NA","",(TA[[#This Row],[Fault Acknowledgement Time ]]-TA[[#This Row],[Fault Time]])*24)</f>
        <v>0</v>
      </c>
      <c r="AB698" s="35">
        <f>(TA[[#This Row],[Work Start time on Fault]]-TA[[#This Row],[Fault Time]])*24</f>
        <v>0</v>
      </c>
      <c r="AC698" s="34">
        <f>(TA[[#This Row],[Work Completion time on fault]]-TA[[#This Row],[Fault Time]])*24</f>
        <v>0</v>
      </c>
      <c r="AD698" s="35">
        <f>IFERROR((TA[[#This Row],[Work Completion time on fault]]-TA[[#This Row],[Fault Time]])*24,"")</f>
        <v>0</v>
      </c>
      <c r="AE698" t="s">
        <v>328</v>
      </c>
      <c r="AF698" t="s">
        <v>256</v>
      </c>
      <c r="AG698" s="2"/>
      <c r="AH698" s="44">
        <f>1-COS(RADIANS(TA[[#This Row],[Avg. Target Angle during Fault Time (Radians)]]-TA[[#This Row],[Angle of affected equipment ]]))</f>
        <v>0.11705240714107301</v>
      </c>
      <c r="AI698" s="35">
        <f>IFERROR(TA[[#This Row],[Breakdown Time]]*TA[[#This Row],[Plant Equivalent Weightage]],"")</f>
        <v>0</v>
      </c>
    </row>
    <row r="699" spans="1:35">
      <c r="A699" s="2">
        <f t="shared" si="47"/>
        <v>696</v>
      </c>
      <c r="B699" s="156">
        <f t="shared" si="48"/>
        <v>2026</v>
      </c>
      <c r="C699" s="129">
        <f t="shared" si="49"/>
        <v>2025</v>
      </c>
      <c r="D699" s="2" t="s">
        <v>155</v>
      </c>
      <c r="E699" s="2" t="s">
        <v>155</v>
      </c>
      <c r="F699" s="39">
        <v>45778</v>
      </c>
      <c r="G699" s="2">
        <f>DAY(EOMONTH(TA[[#This Row],[Month Year]],0))</f>
        <v>31</v>
      </c>
      <c r="H699" s="21">
        <v>45792</v>
      </c>
      <c r="I699" s="41">
        <f>IFERROR(VLOOKUP(TA[[#This Row],[Date]],Raw_Data[[Date]:[Sunset Time (POA&lt;20 W/m2)]],3,0),"")</f>
        <v>0.30625000000000002</v>
      </c>
      <c r="J699" s="41">
        <f>IFERROR(VLOOKUP(TA[[#This Row],[Date]],Raw_Data[[Date]:[Sunset Time (POA&lt;20 W/m2)]],4,0),"")</f>
        <v>0.76944444444444449</v>
      </c>
      <c r="K699" s="35">
        <f>IFERROR((TA[[#This Row],[Sunset Time (POA&lt;20 W/m2)]]-TA[[#This Row],[Sunrise Time (POA&gt;20 W/m2)]])*24,"")</f>
        <v>11.116666666666667</v>
      </c>
      <c r="L699" s="2" t="s">
        <v>296</v>
      </c>
      <c r="M699" s="42">
        <f>IFERROR(VLOOKUP(TA[[#This Row],[Affected Equipment]],'Basic Data'!$I$2:$K$40,3,0),"")</f>
        <v>8.6206896551724102E-3</v>
      </c>
      <c r="N699">
        <v>-28</v>
      </c>
      <c r="O699" t="s">
        <v>135</v>
      </c>
      <c r="P699" s="22" t="s">
        <v>323</v>
      </c>
      <c r="Q699" s="2" t="s">
        <v>329</v>
      </c>
      <c r="R699">
        <v>47</v>
      </c>
      <c r="S699" s="2">
        <v>18</v>
      </c>
      <c r="T699" t="s">
        <v>297</v>
      </c>
      <c r="U699" t="s">
        <v>300</v>
      </c>
      <c r="V699" t="s">
        <v>301</v>
      </c>
      <c r="W699" s="41"/>
      <c r="X699" s="41"/>
      <c r="Y699" s="34"/>
      <c r="Z699" s="34"/>
      <c r="AA699" s="35">
        <f>IF(TA[[#This Row],[Work Start time on Fault]]="NA","",(TA[[#This Row],[Fault Acknowledgement Time ]]-TA[[#This Row],[Fault Time]])*24)</f>
        <v>0</v>
      </c>
      <c r="AB699" s="35">
        <f>(TA[[#This Row],[Work Start time on Fault]]-TA[[#This Row],[Fault Time]])*24</f>
        <v>0</v>
      </c>
      <c r="AC699" s="34">
        <f>(TA[[#This Row],[Work Completion time on fault]]-TA[[#This Row],[Fault Time]])*24</f>
        <v>0</v>
      </c>
      <c r="AD699" s="35">
        <f>IFERROR((TA[[#This Row],[Work Completion time on fault]]-TA[[#This Row],[Fault Time]])*24,"")</f>
        <v>0</v>
      </c>
      <c r="AE699" t="s">
        <v>328</v>
      </c>
      <c r="AF699" t="s">
        <v>256</v>
      </c>
      <c r="AG699" s="2"/>
      <c r="AH699" s="44">
        <f>1-COS(RADIANS(TA[[#This Row],[Avg. Target Angle during Fault Time (Radians)]]-TA[[#This Row],[Angle of affected equipment ]]))</f>
        <v>0.11705240714107301</v>
      </c>
      <c r="AI699" s="35">
        <f>IFERROR(TA[[#This Row],[Breakdown Time]]*TA[[#This Row],[Plant Equivalent Weightage]],"")</f>
        <v>0</v>
      </c>
    </row>
    <row r="700" spans="1:35">
      <c r="A700" s="2">
        <f t="shared" si="47"/>
        <v>697</v>
      </c>
      <c r="B700" s="156">
        <f t="shared" si="48"/>
        <v>2026</v>
      </c>
      <c r="C700" s="129">
        <f t="shared" si="49"/>
        <v>2025</v>
      </c>
      <c r="D700" s="2" t="s">
        <v>155</v>
      </c>
      <c r="E700" s="2" t="s">
        <v>155</v>
      </c>
      <c r="F700" s="39">
        <v>45778</v>
      </c>
      <c r="G700" s="2">
        <f>DAY(EOMONTH(TA[[#This Row],[Month Year]],0))</f>
        <v>31</v>
      </c>
      <c r="H700" s="21">
        <v>45792</v>
      </c>
      <c r="I700" s="41">
        <f>IFERROR(VLOOKUP(TA[[#This Row],[Date]],Raw_Data[[Date]:[Sunset Time (POA&lt;20 W/m2)]],3,0),"")</f>
        <v>0.30625000000000002</v>
      </c>
      <c r="J700" s="41">
        <f>IFERROR(VLOOKUP(TA[[#This Row],[Date]],Raw_Data[[Date]:[Sunset Time (POA&lt;20 W/m2)]],4,0),"")</f>
        <v>0.76944444444444449</v>
      </c>
      <c r="K700" s="35">
        <f>IFERROR((TA[[#This Row],[Sunset Time (POA&lt;20 W/m2)]]-TA[[#This Row],[Sunrise Time (POA&gt;20 W/m2)]])*24,"")</f>
        <v>11.116666666666667</v>
      </c>
      <c r="L700" s="2" t="s">
        <v>296</v>
      </c>
      <c r="M700" s="42">
        <f>IFERROR(VLOOKUP(TA[[#This Row],[Affected Equipment]],'Basic Data'!$I$2:$K$40,3,0),"")</f>
        <v>8.6206896551724102E-3</v>
      </c>
      <c r="N700">
        <v>-28</v>
      </c>
      <c r="O700" t="s">
        <v>134</v>
      </c>
      <c r="P700" s="22" t="s">
        <v>330</v>
      </c>
      <c r="Q700" s="2" t="s">
        <v>323</v>
      </c>
      <c r="R700">
        <v>30</v>
      </c>
      <c r="S700" s="2">
        <v>57</v>
      </c>
      <c r="T700" t="s">
        <v>297</v>
      </c>
      <c r="U700" t="s">
        <v>300</v>
      </c>
      <c r="V700" t="s">
        <v>301</v>
      </c>
      <c r="W700" s="41"/>
      <c r="X700" s="41"/>
      <c r="Y700" s="34"/>
      <c r="Z700" s="34"/>
      <c r="AA700" s="35">
        <f>IF(TA[[#This Row],[Work Start time on Fault]]="NA","",(TA[[#This Row],[Fault Acknowledgement Time ]]-TA[[#This Row],[Fault Time]])*24)</f>
        <v>0</v>
      </c>
      <c r="AB700" s="35">
        <f>(TA[[#This Row],[Work Start time on Fault]]-TA[[#This Row],[Fault Time]])*24</f>
        <v>0</v>
      </c>
      <c r="AC700" s="34">
        <f>(TA[[#This Row],[Work Completion time on fault]]-TA[[#This Row],[Fault Time]])*24</f>
        <v>0</v>
      </c>
      <c r="AD700" s="35">
        <f>IFERROR((TA[[#This Row],[Work Completion time on fault]]-TA[[#This Row],[Fault Time]])*24,"")</f>
        <v>0</v>
      </c>
      <c r="AE700" t="s">
        <v>328</v>
      </c>
      <c r="AF700" t="s">
        <v>256</v>
      </c>
      <c r="AG700" s="2"/>
      <c r="AH700" s="44">
        <f>1-COS(RADIANS(TA[[#This Row],[Avg. Target Angle during Fault Time (Radians)]]-TA[[#This Row],[Angle of affected equipment ]]))</f>
        <v>0.11705240714107301</v>
      </c>
      <c r="AI700" s="35">
        <f>IFERROR(TA[[#This Row],[Breakdown Time]]*TA[[#This Row],[Plant Equivalent Weightage]],"")</f>
        <v>0</v>
      </c>
    </row>
    <row r="701" spans="1:35">
      <c r="A701" s="2">
        <f t="shared" si="47"/>
        <v>698</v>
      </c>
      <c r="B701" s="156">
        <f t="shared" si="48"/>
        <v>2026</v>
      </c>
      <c r="C701" s="129">
        <f t="shared" si="49"/>
        <v>2025</v>
      </c>
      <c r="D701" s="2" t="s">
        <v>155</v>
      </c>
      <c r="E701" s="2" t="s">
        <v>155</v>
      </c>
      <c r="F701" s="39">
        <v>45778</v>
      </c>
      <c r="G701" s="2">
        <f>DAY(EOMONTH(TA[[#This Row],[Month Year]],0))</f>
        <v>31</v>
      </c>
      <c r="H701" s="21">
        <v>45792</v>
      </c>
      <c r="I701" s="41">
        <f>IFERROR(VLOOKUP(TA[[#This Row],[Date]],Raw_Data[[Date]:[Sunset Time (POA&lt;20 W/m2)]],3,0),"")</f>
        <v>0.30625000000000002</v>
      </c>
      <c r="J701" s="41">
        <f>IFERROR(VLOOKUP(TA[[#This Row],[Date]],Raw_Data[[Date]:[Sunset Time (POA&lt;20 W/m2)]],4,0),"")</f>
        <v>0.76944444444444449</v>
      </c>
      <c r="K701" s="35">
        <f>IFERROR((TA[[#This Row],[Sunset Time (POA&lt;20 W/m2)]]-TA[[#This Row],[Sunrise Time (POA&gt;20 W/m2)]])*24,"")</f>
        <v>11.116666666666667</v>
      </c>
      <c r="L701" s="2" t="s">
        <v>296</v>
      </c>
      <c r="M701" s="42">
        <f>IFERROR(VLOOKUP(TA[[#This Row],[Affected Equipment]],'Basic Data'!$I$2:$K$40,3,0),"")</f>
        <v>8.6206896551724102E-3</v>
      </c>
      <c r="N701">
        <v>-28</v>
      </c>
      <c r="O701" t="s">
        <v>134</v>
      </c>
      <c r="P701" s="22" t="s">
        <v>330</v>
      </c>
      <c r="Q701" s="2" t="s">
        <v>323</v>
      </c>
      <c r="R701">
        <v>31</v>
      </c>
      <c r="S701" s="2">
        <v>61</v>
      </c>
      <c r="T701" t="s">
        <v>297</v>
      </c>
      <c r="U701" t="s">
        <v>300</v>
      </c>
      <c r="V701" t="s">
        <v>301</v>
      </c>
      <c r="W701" s="41"/>
      <c r="X701" s="41"/>
      <c r="Y701" s="34"/>
      <c r="Z701" s="34"/>
      <c r="AA701" s="35">
        <f>IF(TA[[#This Row],[Work Start time on Fault]]="NA","",(TA[[#This Row],[Fault Acknowledgement Time ]]-TA[[#This Row],[Fault Time]])*24)</f>
        <v>0</v>
      </c>
      <c r="AB701" s="35">
        <f>(TA[[#This Row],[Work Start time on Fault]]-TA[[#This Row],[Fault Time]])*24</f>
        <v>0</v>
      </c>
      <c r="AC701" s="34">
        <f>(TA[[#This Row],[Work Completion time on fault]]-TA[[#This Row],[Fault Time]])*24</f>
        <v>0</v>
      </c>
      <c r="AD701" s="35">
        <f>IFERROR((TA[[#This Row],[Work Completion time on fault]]-TA[[#This Row],[Fault Time]])*24,"")</f>
        <v>0</v>
      </c>
      <c r="AE701" t="s">
        <v>328</v>
      </c>
      <c r="AF701" t="s">
        <v>256</v>
      </c>
      <c r="AG701" s="2"/>
      <c r="AH701" s="44">
        <f>1-COS(RADIANS(TA[[#This Row],[Avg. Target Angle during Fault Time (Radians)]]-TA[[#This Row],[Angle of affected equipment ]]))</f>
        <v>0.11705240714107301</v>
      </c>
      <c r="AI701" s="35">
        <f>IFERROR(TA[[#This Row],[Breakdown Time]]*TA[[#This Row],[Plant Equivalent Weightage]],"")</f>
        <v>0</v>
      </c>
    </row>
    <row r="702" spans="1:35">
      <c r="A702" s="2">
        <f t="shared" si="47"/>
        <v>699</v>
      </c>
      <c r="B702" s="156">
        <f t="shared" si="48"/>
        <v>2026</v>
      </c>
      <c r="C702" s="129">
        <f t="shared" si="49"/>
        <v>2025</v>
      </c>
      <c r="D702" s="2" t="s">
        <v>155</v>
      </c>
      <c r="E702" s="2" t="s">
        <v>155</v>
      </c>
      <c r="F702" s="39">
        <v>45778</v>
      </c>
      <c r="G702" s="2">
        <f>DAY(EOMONTH(TA[[#This Row],[Month Year]],0))</f>
        <v>31</v>
      </c>
      <c r="H702" s="21">
        <v>45792</v>
      </c>
      <c r="I702" s="41">
        <f>IFERROR(VLOOKUP(TA[[#This Row],[Date]],Raw_Data[[Date]:[Sunset Time (POA&lt;20 W/m2)]],3,0),"")</f>
        <v>0.30625000000000002</v>
      </c>
      <c r="J702" s="41">
        <f>IFERROR(VLOOKUP(TA[[#This Row],[Date]],Raw_Data[[Date]:[Sunset Time (POA&lt;20 W/m2)]],4,0),"")</f>
        <v>0.76944444444444449</v>
      </c>
      <c r="K702" s="35">
        <f>IFERROR((TA[[#This Row],[Sunset Time (POA&lt;20 W/m2)]]-TA[[#This Row],[Sunrise Time (POA&gt;20 W/m2)]])*24,"")</f>
        <v>11.116666666666667</v>
      </c>
      <c r="L702" s="2" t="s">
        <v>312</v>
      </c>
      <c r="M702" s="42">
        <f>IFERROR(VLOOKUP(TA[[#This Row],[Affected Equipment]],'Basic Data'!$I$2:$K$40,3,0),"")</f>
        <v>5.74712643678161E-3</v>
      </c>
      <c r="N702">
        <v>-28</v>
      </c>
      <c r="O702" t="s">
        <v>133</v>
      </c>
      <c r="P702" s="22" t="s">
        <v>330</v>
      </c>
      <c r="Q702" s="2" t="s">
        <v>323</v>
      </c>
      <c r="R702">
        <v>26</v>
      </c>
      <c r="S702" s="2">
        <v>37</v>
      </c>
      <c r="T702" t="s">
        <v>297</v>
      </c>
      <c r="U702" t="s">
        <v>300</v>
      </c>
      <c r="V702" t="s">
        <v>301</v>
      </c>
      <c r="W702" s="41"/>
      <c r="X702" s="41"/>
      <c r="Y702" s="34"/>
      <c r="Z702" s="34"/>
      <c r="AA702" s="35">
        <f>IF(TA[[#This Row],[Work Start time on Fault]]="NA","",(TA[[#This Row],[Fault Acknowledgement Time ]]-TA[[#This Row],[Fault Time]])*24)</f>
        <v>0</v>
      </c>
      <c r="AB702" s="35">
        <f>(TA[[#This Row],[Work Start time on Fault]]-TA[[#This Row],[Fault Time]])*24</f>
        <v>0</v>
      </c>
      <c r="AC702" s="34">
        <f>(TA[[#This Row],[Work Completion time on fault]]-TA[[#This Row],[Fault Time]])*24</f>
        <v>0</v>
      </c>
      <c r="AD702" s="35">
        <f>IFERROR((TA[[#This Row],[Work Completion time on fault]]-TA[[#This Row],[Fault Time]])*24,"")</f>
        <v>0</v>
      </c>
      <c r="AE702" t="s">
        <v>328</v>
      </c>
      <c r="AF702" t="s">
        <v>256</v>
      </c>
      <c r="AG702" s="2"/>
      <c r="AH702" s="44">
        <f>1-COS(RADIANS(TA[[#This Row],[Avg. Target Angle during Fault Time (Radians)]]-TA[[#This Row],[Angle of affected equipment ]]))</f>
        <v>0.11705240714107301</v>
      </c>
      <c r="AI702" s="35">
        <f>IFERROR(TA[[#This Row],[Breakdown Time]]*TA[[#This Row],[Plant Equivalent Weightage]],"")</f>
        <v>0</v>
      </c>
    </row>
    <row r="703" spans="1:35">
      <c r="A703" s="2">
        <f t="shared" si="47"/>
        <v>700</v>
      </c>
      <c r="B703" s="156">
        <f t="shared" si="48"/>
        <v>2026</v>
      </c>
      <c r="C703" s="129">
        <f t="shared" si="49"/>
        <v>2025</v>
      </c>
      <c r="D703" s="2" t="s">
        <v>155</v>
      </c>
      <c r="E703" s="2" t="s">
        <v>155</v>
      </c>
      <c r="F703" s="39">
        <v>45778</v>
      </c>
      <c r="G703" s="2">
        <f>DAY(EOMONTH(TA[[#This Row],[Month Year]],0))</f>
        <v>31</v>
      </c>
      <c r="H703" s="21">
        <v>45792</v>
      </c>
      <c r="I703" s="41">
        <f>IFERROR(VLOOKUP(TA[[#This Row],[Date]],Raw_Data[[Date]:[Sunset Time (POA&lt;20 W/m2)]],3,0),"")</f>
        <v>0.30625000000000002</v>
      </c>
      <c r="J703" s="41">
        <f>IFERROR(VLOOKUP(TA[[#This Row],[Date]],Raw_Data[[Date]:[Sunset Time (POA&lt;20 W/m2)]],4,0),"")</f>
        <v>0.76944444444444449</v>
      </c>
      <c r="K703" s="35">
        <f>IFERROR((TA[[#This Row],[Sunset Time (POA&lt;20 W/m2)]]-TA[[#This Row],[Sunrise Time (POA&gt;20 W/m2)]])*24,"")</f>
        <v>11.116666666666667</v>
      </c>
      <c r="L703" s="2" t="s">
        <v>312</v>
      </c>
      <c r="M703" s="42">
        <f>IFERROR(VLOOKUP(TA[[#This Row],[Affected Equipment]],'Basic Data'!$I$2:$K$40,3,0),"")</f>
        <v>5.74712643678161E-3</v>
      </c>
      <c r="N703">
        <v>-28</v>
      </c>
      <c r="O703" t="s">
        <v>133</v>
      </c>
      <c r="P703" s="22" t="s">
        <v>330</v>
      </c>
      <c r="Q703" s="2" t="s">
        <v>323</v>
      </c>
      <c r="R703">
        <v>27</v>
      </c>
      <c r="S703" s="2">
        <v>42</v>
      </c>
      <c r="T703" t="s">
        <v>297</v>
      </c>
      <c r="U703" t="s">
        <v>300</v>
      </c>
      <c r="V703" t="s">
        <v>301</v>
      </c>
      <c r="W703" s="41">
        <f>IFERROR(VLOOKUP(TA[[#This Row],[Date]],Raw_Data[[Date]:[Sunset Time (POA&lt;20 W/m2)]],3,0),"")</f>
        <v>0.30625000000000002</v>
      </c>
      <c r="X703" s="41">
        <f>IFERROR(VLOOKUP(TA[[#This Row],[Date]],Raw_Data[[Date]:[Sunset Time (POA&lt;20 W/m2)]],3,0),"")</f>
        <v>0.30625000000000002</v>
      </c>
      <c r="Y703" s="34"/>
      <c r="Z703" s="34">
        <v>0.76041666666666663</v>
      </c>
      <c r="AA703" s="35">
        <f>IF(TA[[#This Row],[Work Start time on Fault]]="NA","",(TA[[#This Row],[Fault Acknowledgement Time ]]-TA[[#This Row],[Fault Time]])*24)</f>
        <v>0</v>
      </c>
      <c r="AB703" s="35">
        <f>(TA[[#This Row],[Work Start time on Fault]]-TA[[#This Row],[Fault Time]])*24</f>
        <v>-7.3500000000000005</v>
      </c>
      <c r="AC703" s="34">
        <f>(TA[[#This Row],[Work Completion time on fault]]-TA[[#This Row],[Fault Time]])*24</f>
        <v>10.899999999999999</v>
      </c>
      <c r="AD703" s="35">
        <f>IFERROR((TA[[#This Row],[Work Completion time on fault]]-TA[[#This Row],[Fault Time]])*24,"")</f>
        <v>10.899999999999999</v>
      </c>
      <c r="AE703" t="s">
        <v>309</v>
      </c>
      <c r="AF703" t="s">
        <v>256</v>
      </c>
      <c r="AG703" s="2"/>
      <c r="AH703" s="44">
        <f>1-COS(RADIANS(TA[[#This Row],[Avg. Target Angle during Fault Time (Radians)]]-TA[[#This Row],[Angle of affected equipment ]]))</f>
        <v>0.11705240714107301</v>
      </c>
      <c r="AI703" s="35">
        <f>IFERROR(TA[[#This Row],[Breakdown Time]]*TA[[#This Row],[Plant Equivalent Weightage]],"")</f>
        <v>6.2643678160919536E-2</v>
      </c>
    </row>
    <row r="704" spans="1:35">
      <c r="A704" s="2">
        <f t="shared" si="47"/>
        <v>701</v>
      </c>
      <c r="B704" s="156">
        <f t="shared" ref="B704:B717" si="50">YEAR(H704)+IF(MONTH(H704)&gt;=4,1,0)</f>
        <v>2026</v>
      </c>
      <c r="C704" s="129">
        <f t="shared" ref="C704:C717" si="51">YEAR(H704)</f>
        <v>2025</v>
      </c>
      <c r="D704" s="2" t="s">
        <v>155</v>
      </c>
      <c r="E704" s="2" t="s">
        <v>155</v>
      </c>
      <c r="F704" s="39">
        <v>45778</v>
      </c>
      <c r="G704" s="2">
        <f>DAY(EOMONTH(TA[[#This Row],[Month Year]],0))</f>
        <v>31</v>
      </c>
      <c r="H704" s="21">
        <v>45793</v>
      </c>
      <c r="I704" s="41">
        <f>IFERROR(VLOOKUP(TA[[#This Row],[Date]],Raw_Data[[Date]:[Sunset Time (POA&lt;20 W/m2)]],3,0),"")</f>
        <v>0.25138888888888888</v>
      </c>
      <c r="J704" s="41">
        <f>IFERROR(VLOOKUP(TA[[#This Row],[Date]],Raw_Data[[Date]:[Sunset Time (POA&lt;20 W/m2)]],4,0),"")</f>
        <v>0.77222222222222225</v>
      </c>
      <c r="K704" s="35">
        <f>IFERROR((TA[[#This Row],[Sunset Time (POA&lt;20 W/m2)]]-TA[[#This Row],[Sunrise Time (POA&gt;20 W/m2)]])*24,"")</f>
        <v>12.5</v>
      </c>
      <c r="L704" s="2" t="s">
        <v>294</v>
      </c>
      <c r="M704" s="42">
        <f>IFERROR(VLOOKUP(TA[[#This Row],[Affected Equipment]],'Basic Data'!$I$2:$K$40,3,0),"")</f>
        <v>1.7241379310344799E-3</v>
      </c>
      <c r="N704">
        <v>-28</v>
      </c>
      <c r="O704" t="s">
        <v>135</v>
      </c>
      <c r="P704" s="127" t="s">
        <v>318</v>
      </c>
      <c r="Q704" s="126" t="s">
        <v>318</v>
      </c>
      <c r="R704">
        <v>130</v>
      </c>
      <c r="S704" s="2">
        <v>37</v>
      </c>
      <c r="T704" t="s">
        <v>295</v>
      </c>
      <c r="U704" t="s">
        <v>300</v>
      </c>
      <c r="V704" t="s">
        <v>298</v>
      </c>
      <c r="W704" s="41"/>
      <c r="X704" s="41"/>
      <c r="Y704" s="34"/>
      <c r="Z704" s="34"/>
      <c r="AA704" s="35">
        <f>IF(TA[[#This Row],[Work Start time on Fault]]="NA","",(TA[[#This Row],[Fault Acknowledgement Time ]]-TA[[#This Row],[Fault Time]])*24)</f>
        <v>0</v>
      </c>
      <c r="AB704" s="35">
        <f>(TA[[#This Row],[Work Start time on Fault]]-TA[[#This Row],[Fault Time]])*24</f>
        <v>0</v>
      </c>
      <c r="AC704" s="34">
        <f>(TA[[#This Row],[Work Completion time on fault]]-TA[[#This Row],[Fault Time]])*24</f>
        <v>0</v>
      </c>
      <c r="AD704" s="35">
        <f>IFERROR((TA[[#This Row],[Work Completion time on fault]]-TA[[#This Row],[Fault Time]])*24,"")</f>
        <v>0</v>
      </c>
      <c r="AE704" t="s">
        <v>328</v>
      </c>
      <c r="AF704" t="s">
        <v>256</v>
      </c>
      <c r="AG704" s="2"/>
      <c r="AH704" s="44">
        <f>1-COS(RADIANS(TA[[#This Row],[Avg. Target Angle during Fault Time (Radians)]]-TA[[#This Row],[Angle of affected equipment ]]))</f>
        <v>0.11705240714107301</v>
      </c>
      <c r="AI704" s="35">
        <f>IFERROR(TA[[#This Row],[Breakdown Time]]*TA[[#This Row],[Plant Equivalent Weightage]],"")</f>
        <v>0</v>
      </c>
    </row>
    <row r="705" spans="1:35">
      <c r="A705" s="2">
        <f t="shared" si="47"/>
        <v>702</v>
      </c>
      <c r="B705" s="156">
        <f t="shared" si="50"/>
        <v>2026</v>
      </c>
      <c r="C705" s="129">
        <f t="shared" si="51"/>
        <v>2025</v>
      </c>
      <c r="D705" s="2" t="s">
        <v>155</v>
      </c>
      <c r="E705" s="2" t="s">
        <v>155</v>
      </c>
      <c r="F705" s="39">
        <v>45778</v>
      </c>
      <c r="G705" s="2">
        <f>DAY(EOMONTH(TA[[#This Row],[Month Year]],0))</f>
        <v>31</v>
      </c>
      <c r="H705" s="21">
        <v>45793</v>
      </c>
      <c r="I705" s="41">
        <f>IFERROR(VLOOKUP(TA[[#This Row],[Date]],Raw_Data[[Date]:[Sunset Time (POA&lt;20 W/m2)]],3,0),"")</f>
        <v>0.25138888888888888</v>
      </c>
      <c r="J705" s="41">
        <f>IFERROR(VLOOKUP(TA[[#This Row],[Date]],Raw_Data[[Date]:[Sunset Time (POA&lt;20 W/m2)]],4,0),"")</f>
        <v>0.77222222222222225</v>
      </c>
      <c r="K705" s="35">
        <f>IFERROR((TA[[#This Row],[Sunset Time (POA&lt;20 W/m2)]]-TA[[#This Row],[Sunrise Time (POA&gt;20 W/m2)]])*24,"")</f>
        <v>12.5</v>
      </c>
      <c r="L705" s="2" t="s">
        <v>294</v>
      </c>
      <c r="M705" s="42">
        <f>IFERROR(VLOOKUP(TA[[#This Row],[Affected Equipment]],'Basic Data'!$I$2:$K$40,3,0),"")</f>
        <v>1.7241379310344799E-3</v>
      </c>
      <c r="N705">
        <v>-28</v>
      </c>
      <c r="O705" t="s">
        <v>135</v>
      </c>
      <c r="P705" s="127" t="s">
        <v>318</v>
      </c>
      <c r="Q705" s="126" t="s">
        <v>318</v>
      </c>
      <c r="R705">
        <v>131</v>
      </c>
      <c r="S705" s="2">
        <v>38</v>
      </c>
      <c r="T705" t="s">
        <v>295</v>
      </c>
      <c r="U705" t="s">
        <v>300</v>
      </c>
      <c r="V705" t="s">
        <v>298</v>
      </c>
      <c r="W705" s="41"/>
      <c r="X705" s="41"/>
      <c r="Y705" s="34"/>
      <c r="Z705" s="34"/>
      <c r="AA705" s="35">
        <f>IF(TA[[#This Row],[Work Start time on Fault]]="NA","",(TA[[#This Row],[Fault Acknowledgement Time ]]-TA[[#This Row],[Fault Time]])*24)</f>
        <v>0</v>
      </c>
      <c r="AB705" s="35">
        <f>(TA[[#This Row],[Work Start time on Fault]]-TA[[#This Row],[Fault Time]])*24</f>
        <v>0</v>
      </c>
      <c r="AC705" s="34">
        <f>(TA[[#This Row],[Work Completion time on fault]]-TA[[#This Row],[Fault Time]])*24</f>
        <v>0</v>
      </c>
      <c r="AD705" s="35">
        <f>IFERROR((TA[[#This Row],[Work Completion time on fault]]-TA[[#This Row],[Fault Time]])*24,"")</f>
        <v>0</v>
      </c>
      <c r="AE705" t="s">
        <v>328</v>
      </c>
      <c r="AF705" t="s">
        <v>256</v>
      </c>
      <c r="AG705" s="2"/>
      <c r="AH705" s="44">
        <f>1-COS(RADIANS(TA[[#This Row],[Avg. Target Angle during Fault Time (Radians)]]-TA[[#This Row],[Angle of affected equipment ]]))</f>
        <v>0.11705240714107301</v>
      </c>
      <c r="AI705" s="35">
        <f>IFERROR(TA[[#This Row],[Breakdown Time]]*TA[[#This Row],[Plant Equivalent Weightage]],"")</f>
        <v>0</v>
      </c>
    </row>
    <row r="706" spans="1:35">
      <c r="A706" s="2">
        <f t="shared" si="47"/>
        <v>703</v>
      </c>
      <c r="B706" s="156">
        <f t="shared" si="50"/>
        <v>2026</v>
      </c>
      <c r="C706" s="129">
        <f t="shared" si="51"/>
        <v>2025</v>
      </c>
      <c r="D706" s="2" t="s">
        <v>155</v>
      </c>
      <c r="E706" s="2" t="s">
        <v>155</v>
      </c>
      <c r="F706" s="39">
        <v>45778</v>
      </c>
      <c r="G706" s="2">
        <f>DAY(EOMONTH(TA[[#This Row],[Month Year]],0))</f>
        <v>31</v>
      </c>
      <c r="H706" s="21">
        <v>45793</v>
      </c>
      <c r="I706" s="41">
        <f>IFERROR(VLOOKUP(TA[[#This Row],[Date]],Raw_Data[[Date]:[Sunset Time (POA&lt;20 W/m2)]],3,0),"")</f>
        <v>0.25138888888888888</v>
      </c>
      <c r="J706" s="41">
        <f>IFERROR(VLOOKUP(TA[[#This Row],[Date]],Raw_Data[[Date]:[Sunset Time (POA&lt;20 W/m2)]],4,0),"")</f>
        <v>0.77222222222222225</v>
      </c>
      <c r="K706" s="35">
        <f>IFERROR((TA[[#This Row],[Sunset Time (POA&lt;20 W/m2)]]-TA[[#This Row],[Sunrise Time (POA&gt;20 W/m2)]])*24,"")</f>
        <v>12.5</v>
      </c>
      <c r="L706" s="2" t="s">
        <v>294</v>
      </c>
      <c r="M706" s="42">
        <f>IFERROR(VLOOKUP(TA[[#This Row],[Affected Equipment]],'Basic Data'!$I$2:$K$40,3,0),"")</f>
        <v>1.7241379310344799E-3</v>
      </c>
      <c r="N706">
        <v>-28</v>
      </c>
      <c r="O706" t="s">
        <v>135</v>
      </c>
      <c r="P706" s="127" t="s">
        <v>318</v>
      </c>
      <c r="Q706" s="126" t="s">
        <v>318</v>
      </c>
      <c r="R706">
        <v>131</v>
      </c>
      <c r="S706" s="2">
        <v>39</v>
      </c>
      <c r="T706" t="s">
        <v>295</v>
      </c>
      <c r="U706" t="s">
        <v>300</v>
      </c>
      <c r="V706" t="s">
        <v>298</v>
      </c>
      <c r="W706" s="41"/>
      <c r="X706" s="41"/>
      <c r="Y706" s="34"/>
      <c r="Z706" s="34"/>
      <c r="AA706" s="35">
        <f>IF(TA[[#This Row],[Work Start time on Fault]]="NA","",(TA[[#This Row],[Fault Acknowledgement Time ]]-TA[[#This Row],[Fault Time]])*24)</f>
        <v>0</v>
      </c>
      <c r="AB706" s="35">
        <f>(TA[[#This Row],[Work Start time on Fault]]-TA[[#This Row],[Fault Time]])*24</f>
        <v>0</v>
      </c>
      <c r="AC706" s="34">
        <f>(TA[[#This Row],[Work Completion time on fault]]-TA[[#This Row],[Fault Time]])*24</f>
        <v>0</v>
      </c>
      <c r="AD706" s="35">
        <f>IFERROR((TA[[#This Row],[Work Completion time on fault]]-TA[[#This Row],[Fault Time]])*24,"")</f>
        <v>0</v>
      </c>
      <c r="AE706" t="s">
        <v>328</v>
      </c>
      <c r="AF706" t="s">
        <v>256</v>
      </c>
      <c r="AG706" s="2"/>
      <c r="AH706" s="44">
        <f>1-COS(RADIANS(TA[[#This Row],[Avg. Target Angle during Fault Time (Radians)]]-TA[[#This Row],[Angle of affected equipment ]]))</f>
        <v>0.11705240714107301</v>
      </c>
      <c r="AI706" s="35">
        <f>IFERROR(TA[[#This Row],[Breakdown Time]]*TA[[#This Row],[Plant Equivalent Weightage]],"")</f>
        <v>0</v>
      </c>
    </row>
    <row r="707" spans="1:35">
      <c r="A707" s="2">
        <f t="shared" si="47"/>
        <v>704</v>
      </c>
      <c r="B707" s="156">
        <f t="shared" si="50"/>
        <v>2026</v>
      </c>
      <c r="C707" s="129">
        <f t="shared" si="51"/>
        <v>2025</v>
      </c>
      <c r="D707" s="2" t="s">
        <v>155</v>
      </c>
      <c r="E707" s="2" t="s">
        <v>155</v>
      </c>
      <c r="F707" s="39">
        <v>45778</v>
      </c>
      <c r="G707" s="2">
        <f>DAY(EOMONTH(TA[[#This Row],[Month Year]],0))</f>
        <v>31</v>
      </c>
      <c r="H707" s="21">
        <v>45793</v>
      </c>
      <c r="I707" s="41">
        <f>IFERROR(VLOOKUP(TA[[#This Row],[Date]],Raw_Data[[Date]:[Sunset Time (POA&lt;20 W/m2)]],3,0),"")</f>
        <v>0.25138888888888888</v>
      </c>
      <c r="J707" s="41">
        <f>IFERROR(VLOOKUP(TA[[#This Row],[Date]],Raw_Data[[Date]:[Sunset Time (POA&lt;20 W/m2)]],4,0),"")</f>
        <v>0.77222222222222225</v>
      </c>
      <c r="K707" s="35">
        <f>IFERROR((TA[[#This Row],[Sunset Time (POA&lt;20 W/m2)]]-TA[[#This Row],[Sunrise Time (POA&gt;20 W/m2)]])*24,"")</f>
        <v>12.5</v>
      </c>
      <c r="L707" s="2" t="s">
        <v>296</v>
      </c>
      <c r="M707" s="42">
        <f>IFERROR(VLOOKUP(TA[[#This Row],[Affected Equipment]],'Basic Data'!$I$2:$K$40,3,0),"")</f>
        <v>8.6206896551724102E-3</v>
      </c>
      <c r="N707">
        <v>-28</v>
      </c>
      <c r="O707" t="s">
        <v>135</v>
      </c>
      <c r="P707" s="127" t="s">
        <v>318</v>
      </c>
      <c r="Q707" s="2" t="s">
        <v>321</v>
      </c>
      <c r="R707">
        <v>133</v>
      </c>
      <c r="S707" s="2">
        <v>26</v>
      </c>
      <c r="T707" t="s">
        <v>297</v>
      </c>
      <c r="U707" t="s">
        <v>300</v>
      </c>
      <c r="V707" t="s">
        <v>314</v>
      </c>
      <c r="W707" s="41">
        <f>IFERROR(VLOOKUP(TA[[#This Row],[Date]],Raw_Data[[Date]:[Sunset Time (POA&lt;20 W/m2)]],3,0),"")</f>
        <v>0.25138888888888888</v>
      </c>
      <c r="X707" s="41">
        <f>IFERROR(VLOOKUP(TA[[#This Row],[Date]],Raw_Data[[Date]:[Sunset Time (POA&lt;20 W/m2)]],3,0),"")</f>
        <v>0.25138888888888888</v>
      </c>
      <c r="Y707" s="34"/>
      <c r="Z707" s="34">
        <v>0.76041666666666663</v>
      </c>
      <c r="AA707" s="35">
        <f>IF(TA[[#This Row],[Work Start time on Fault]]="NA","",(TA[[#This Row],[Fault Acknowledgement Time ]]-TA[[#This Row],[Fault Time]])*24)</f>
        <v>0</v>
      </c>
      <c r="AB707" s="35">
        <f>(TA[[#This Row],[Work Start time on Fault]]-TA[[#This Row],[Fault Time]])*24</f>
        <v>-6.0333333333333332</v>
      </c>
      <c r="AC707" s="34">
        <f>(TA[[#This Row],[Work Completion time on fault]]-TA[[#This Row],[Fault Time]])*24</f>
        <v>12.216666666666665</v>
      </c>
      <c r="AD707" s="35">
        <f>IFERROR((TA[[#This Row],[Work Completion time on fault]]-TA[[#This Row],[Fault Time]])*24,"")</f>
        <v>12.216666666666665</v>
      </c>
      <c r="AE707" t="s">
        <v>328</v>
      </c>
      <c r="AF707" t="s">
        <v>256</v>
      </c>
      <c r="AG707" s="2"/>
      <c r="AH707" s="44">
        <f>1-COS(RADIANS(TA[[#This Row],[Avg. Target Angle during Fault Time (Radians)]]-TA[[#This Row],[Angle of affected equipment ]]))</f>
        <v>0.11705240714107301</v>
      </c>
      <c r="AI707" s="35">
        <f>IFERROR(TA[[#This Row],[Breakdown Time]]*TA[[#This Row],[Plant Equivalent Weightage]],"")</f>
        <v>0.10531609195402293</v>
      </c>
    </row>
    <row r="708" spans="1:35">
      <c r="A708" s="2">
        <f t="shared" si="47"/>
        <v>705</v>
      </c>
      <c r="B708" s="156">
        <f t="shared" si="50"/>
        <v>2026</v>
      </c>
      <c r="C708" s="129">
        <f t="shared" si="51"/>
        <v>2025</v>
      </c>
      <c r="D708" s="2" t="s">
        <v>155</v>
      </c>
      <c r="E708" s="2" t="s">
        <v>155</v>
      </c>
      <c r="F708" s="39">
        <v>45778</v>
      </c>
      <c r="G708" s="2">
        <f>DAY(EOMONTH(TA[[#This Row],[Month Year]],0))</f>
        <v>31</v>
      </c>
      <c r="H708" s="21">
        <v>45793</v>
      </c>
      <c r="I708" s="41">
        <f>IFERROR(VLOOKUP(TA[[#This Row],[Date]],Raw_Data[[Date]:[Sunset Time (POA&lt;20 W/m2)]],3,0),"")</f>
        <v>0.25138888888888888</v>
      </c>
      <c r="J708" s="41">
        <f>IFERROR(VLOOKUP(TA[[#This Row],[Date]],Raw_Data[[Date]:[Sunset Time (POA&lt;20 W/m2)]],4,0),"")</f>
        <v>0.77222222222222225</v>
      </c>
      <c r="K708" s="35">
        <f>IFERROR((TA[[#This Row],[Sunset Time (POA&lt;20 W/m2)]]-TA[[#This Row],[Sunrise Time (POA&gt;20 W/m2)]])*24,"")</f>
        <v>12.5</v>
      </c>
      <c r="L708" s="2" t="s">
        <v>294</v>
      </c>
      <c r="M708" s="42">
        <f>IFERROR(VLOOKUP(TA[[#This Row],[Affected Equipment]],'Basic Data'!$I$2:$K$40,3,0),"")</f>
        <v>1.7241379310344799E-3</v>
      </c>
      <c r="N708">
        <v>-28</v>
      </c>
      <c r="O708" t="s">
        <v>133</v>
      </c>
      <c r="P708" s="127" t="s">
        <v>316</v>
      </c>
      <c r="Q708" s="126" t="s">
        <v>317</v>
      </c>
      <c r="R708">
        <v>7</v>
      </c>
      <c r="S708" s="2">
        <v>32</v>
      </c>
      <c r="T708" t="s">
        <v>295</v>
      </c>
      <c r="U708" t="s">
        <v>300</v>
      </c>
      <c r="V708" t="s">
        <v>298</v>
      </c>
      <c r="W708" s="41"/>
      <c r="X708" s="41"/>
      <c r="Y708" s="34"/>
      <c r="Z708" s="34"/>
      <c r="AA708" s="35">
        <f>IF(TA[[#This Row],[Work Start time on Fault]]="NA","",(TA[[#This Row],[Fault Acknowledgement Time ]]-TA[[#This Row],[Fault Time]])*24)</f>
        <v>0</v>
      </c>
      <c r="AB708" s="35">
        <f>(TA[[#This Row],[Work Start time on Fault]]-TA[[#This Row],[Fault Time]])*24</f>
        <v>0</v>
      </c>
      <c r="AC708" s="34">
        <f>(TA[[#This Row],[Work Completion time on fault]]-TA[[#This Row],[Fault Time]])*24</f>
        <v>0</v>
      </c>
      <c r="AD708" s="35">
        <f>IFERROR((TA[[#This Row],[Work Completion time on fault]]-TA[[#This Row],[Fault Time]])*24,"")</f>
        <v>0</v>
      </c>
      <c r="AE708" t="s">
        <v>328</v>
      </c>
      <c r="AF708" t="s">
        <v>256</v>
      </c>
      <c r="AG708" s="2"/>
      <c r="AH708" s="44">
        <f>1-COS(RADIANS(TA[[#This Row],[Avg. Target Angle during Fault Time (Radians)]]-TA[[#This Row],[Angle of affected equipment ]]))</f>
        <v>0.11705240714107301</v>
      </c>
      <c r="AI708" s="35">
        <f>IFERROR(TA[[#This Row],[Breakdown Time]]*TA[[#This Row],[Plant Equivalent Weightage]],"")</f>
        <v>0</v>
      </c>
    </row>
    <row r="709" spans="1:35">
      <c r="A709" s="2">
        <f t="shared" si="47"/>
        <v>706</v>
      </c>
      <c r="B709" s="156">
        <f t="shared" si="50"/>
        <v>2026</v>
      </c>
      <c r="C709" s="129">
        <f t="shared" si="51"/>
        <v>2025</v>
      </c>
      <c r="D709" s="2" t="s">
        <v>155</v>
      </c>
      <c r="E709" s="2" t="s">
        <v>155</v>
      </c>
      <c r="F709" s="39">
        <v>45778</v>
      </c>
      <c r="G709" s="2">
        <f>DAY(EOMONTH(TA[[#This Row],[Month Year]],0))</f>
        <v>31</v>
      </c>
      <c r="H709" s="21">
        <v>45793</v>
      </c>
      <c r="I709" s="41">
        <f>IFERROR(VLOOKUP(TA[[#This Row],[Date]],Raw_Data[[Date]:[Sunset Time (POA&lt;20 W/m2)]],3,0),"")</f>
        <v>0.25138888888888888</v>
      </c>
      <c r="J709" s="41">
        <f>IFERROR(VLOOKUP(TA[[#This Row],[Date]],Raw_Data[[Date]:[Sunset Time (POA&lt;20 W/m2)]],4,0),"")</f>
        <v>0.77222222222222225</v>
      </c>
      <c r="K709" s="35">
        <f>IFERROR((TA[[#This Row],[Sunset Time (POA&lt;20 W/m2)]]-TA[[#This Row],[Sunrise Time (POA&gt;20 W/m2)]])*24,"")</f>
        <v>12.5</v>
      </c>
      <c r="L709" s="2" t="s">
        <v>294</v>
      </c>
      <c r="M709" s="42">
        <f>IFERROR(VLOOKUP(TA[[#This Row],[Affected Equipment]],'Basic Data'!$I$2:$K$40,3,0),"")</f>
        <v>1.7241379310344799E-3</v>
      </c>
      <c r="N709">
        <v>-28</v>
      </c>
      <c r="O709" t="s">
        <v>137</v>
      </c>
      <c r="P709" s="127" t="s">
        <v>315</v>
      </c>
      <c r="Q709" s="126" t="s">
        <v>319</v>
      </c>
      <c r="R709">
        <v>166</v>
      </c>
      <c r="S709" s="2">
        <v>91</v>
      </c>
      <c r="T709" t="s">
        <v>295</v>
      </c>
      <c r="U709" t="s">
        <v>300</v>
      </c>
      <c r="V709" t="s">
        <v>298</v>
      </c>
      <c r="W709" s="41"/>
      <c r="X709" s="41"/>
      <c r="Y709" s="34"/>
      <c r="Z709" s="34"/>
      <c r="AA709" s="35">
        <f>IF(TA[[#This Row],[Work Start time on Fault]]="NA","",(TA[[#This Row],[Fault Acknowledgement Time ]]-TA[[#This Row],[Fault Time]])*24)</f>
        <v>0</v>
      </c>
      <c r="AB709" s="35">
        <f>(TA[[#This Row],[Work Start time on Fault]]-TA[[#This Row],[Fault Time]])*24</f>
        <v>0</v>
      </c>
      <c r="AC709" s="34">
        <f>(TA[[#This Row],[Work Completion time on fault]]-TA[[#This Row],[Fault Time]])*24</f>
        <v>0</v>
      </c>
      <c r="AD709" s="35">
        <f>IFERROR((TA[[#This Row],[Work Completion time on fault]]-TA[[#This Row],[Fault Time]])*24,"")</f>
        <v>0</v>
      </c>
      <c r="AE709" t="s">
        <v>328</v>
      </c>
      <c r="AF709" t="s">
        <v>256</v>
      </c>
      <c r="AG709" s="2"/>
      <c r="AH709" s="44">
        <f>1-COS(RADIANS(TA[[#This Row],[Avg. Target Angle during Fault Time (Radians)]]-TA[[#This Row],[Angle of affected equipment ]]))</f>
        <v>0.11705240714107301</v>
      </c>
      <c r="AI709" s="35">
        <f>IFERROR(TA[[#This Row],[Breakdown Time]]*TA[[#This Row],[Plant Equivalent Weightage]],"")</f>
        <v>0</v>
      </c>
    </row>
    <row r="710" spans="1:35">
      <c r="A710" s="2">
        <f t="shared" si="47"/>
        <v>707</v>
      </c>
      <c r="B710" s="156">
        <f t="shared" si="50"/>
        <v>2026</v>
      </c>
      <c r="C710" s="129">
        <f t="shared" si="51"/>
        <v>2025</v>
      </c>
      <c r="D710" s="2" t="s">
        <v>155</v>
      </c>
      <c r="E710" s="2" t="s">
        <v>155</v>
      </c>
      <c r="F710" s="39">
        <v>45778</v>
      </c>
      <c r="G710" s="2">
        <f>DAY(EOMONTH(TA[[#This Row],[Month Year]],0))</f>
        <v>31</v>
      </c>
      <c r="H710" s="21">
        <v>45793</v>
      </c>
      <c r="I710" s="41">
        <f>IFERROR(VLOOKUP(TA[[#This Row],[Date]],Raw_Data[[Date]:[Sunset Time (POA&lt;20 W/m2)]],3,0),"")</f>
        <v>0.25138888888888888</v>
      </c>
      <c r="J710" s="41">
        <f>IFERROR(VLOOKUP(TA[[#This Row],[Date]],Raw_Data[[Date]:[Sunset Time (POA&lt;20 W/m2)]],4,0),"")</f>
        <v>0.77222222222222225</v>
      </c>
      <c r="K710" s="35">
        <f>IFERROR((TA[[#This Row],[Sunset Time (POA&lt;20 W/m2)]]-TA[[#This Row],[Sunrise Time (POA&gt;20 W/m2)]])*24,"")</f>
        <v>12.5</v>
      </c>
      <c r="L710" s="2" t="s">
        <v>294</v>
      </c>
      <c r="M710" s="42">
        <f>IFERROR(VLOOKUP(TA[[#This Row],[Affected Equipment]],'Basic Data'!$I$2:$K$40,3,0),"")</f>
        <v>1.7241379310344799E-3</v>
      </c>
      <c r="N710">
        <v>-28</v>
      </c>
      <c r="O710" t="s">
        <v>133</v>
      </c>
      <c r="P710" s="127" t="s">
        <v>316</v>
      </c>
      <c r="Q710" s="126" t="s">
        <v>316</v>
      </c>
      <c r="R710">
        <v>117</v>
      </c>
      <c r="S710" s="2">
        <v>20</v>
      </c>
      <c r="T710" t="s">
        <v>295</v>
      </c>
      <c r="U710" t="s">
        <v>300</v>
      </c>
      <c r="V710" t="s">
        <v>298</v>
      </c>
      <c r="W710" s="41"/>
      <c r="X710" s="41"/>
      <c r="Y710" s="34"/>
      <c r="Z710" s="34"/>
      <c r="AA710" s="35">
        <f>IF(TA[[#This Row],[Work Start time on Fault]]="NA","",(TA[[#This Row],[Fault Acknowledgement Time ]]-TA[[#This Row],[Fault Time]])*24)</f>
        <v>0</v>
      </c>
      <c r="AB710" s="35">
        <f>(TA[[#This Row],[Work Start time on Fault]]-TA[[#This Row],[Fault Time]])*24</f>
        <v>0</v>
      </c>
      <c r="AC710" s="34">
        <f>(TA[[#This Row],[Work Completion time on fault]]-TA[[#This Row],[Fault Time]])*24</f>
        <v>0</v>
      </c>
      <c r="AD710" s="35">
        <f>IFERROR((TA[[#This Row],[Work Completion time on fault]]-TA[[#This Row],[Fault Time]])*24,"")</f>
        <v>0</v>
      </c>
      <c r="AE710" t="s">
        <v>328</v>
      </c>
      <c r="AF710" t="s">
        <v>256</v>
      </c>
      <c r="AG710" s="2"/>
      <c r="AH710" s="44">
        <f>1-COS(RADIANS(TA[[#This Row],[Avg. Target Angle during Fault Time (Radians)]]-TA[[#This Row],[Angle of affected equipment ]]))</f>
        <v>0.11705240714107301</v>
      </c>
      <c r="AI710" s="35">
        <f>IFERROR(TA[[#This Row],[Breakdown Time]]*TA[[#This Row],[Plant Equivalent Weightage]],"")</f>
        <v>0</v>
      </c>
    </row>
    <row r="711" spans="1:35">
      <c r="A711" s="2">
        <f t="shared" si="47"/>
        <v>708</v>
      </c>
      <c r="B711" s="156">
        <f t="shared" si="50"/>
        <v>2026</v>
      </c>
      <c r="C711" s="129">
        <f t="shared" si="51"/>
        <v>2025</v>
      </c>
      <c r="D711" s="2" t="s">
        <v>155</v>
      </c>
      <c r="E711" s="2" t="s">
        <v>155</v>
      </c>
      <c r="F711" s="39">
        <v>45778</v>
      </c>
      <c r="G711" s="2">
        <f>DAY(EOMONTH(TA[[#This Row],[Month Year]],0))</f>
        <v>31</v>
      </c>
      <c r="H711" s="21">
        <v>45793</v>
      </c>
      <c r="I711" s="41">
        <f>IFERROR(VLOOKUP(TA[[#This Row],[Date]],Raw_Data[[Date]:[Sunset Time (POA&lt;20 W/m2)]],3,0),"")</f>
        <v>0.25138888888888888</v>
      </c>
      <c r="J711" s="41">
        <f>IFERROR(VLOOKUP(TA[[#This Row],[Date]],Raw_Data[[Date]:[Sunset Time (POA&lt;20 W/m2)]],4,0),"")</f>
        <v>0.77222222222222225</v>
      </c>
      <c r="K711" s="35">
        <f>IFERROR((TA[[#This Row],[Sunset Time (POA&lt;20 W/m2)]]-TA[[#This Row],[Sunrise Time (POA&gt;20 W/m2)]])*24,"")</f>
        <v>12.5</v>
      </c>
      <c r="L711" s="2" t="s">
        <v>294</v>
      </c>
      <c r="M711" s="42">
        <f>IFERROR(VLOOKUP(TA[[#This Row],[Affected Equipment]],'Basic Data'!$I$2:$K$40,3,0),"")</f>
        <v>1.7241379310344799E-3</v>
      </c>
      <c r="N711">
        <v>-28</v>
      </c>
      <c r="O711" t="s">
        <v>133</v>
      </c>
      <c r="P711" s="127" t="s">
        <v>316</v>
      </c>
      <c r="Q711" s="126" t="s">
        <v>316</v>
      </c>
      <c r="R711">
        <v>118</v>
      </c>
      <c r="S711" s="2">
        <v>22</v>
      </c>
      <c r="T711" t="s">
        <v>295</v>
      </c>
      <c r="U711" t="s">
        <v>300</v>
      </c>
      <c r="V711" t="s">
        <v>298</v>
      </c>
      <c r="W711" s="41"/>
      <c r="X711" s="41"/>
      <c r="Y711" s="34"/>
      <c r="Z711" s="34"/>
      <c r="AA711" s="35">
        <f>IF(TA[[#This Row],[Work Start time on Fault]]="NA","",(TA[[#This Row],[Fault Acknowledgement Time ]]-TA[[#This Row],[Fault Time]])*24)</f>
        <v>0</v>
      </c>
      <c r="AB711" s="35">
        <f>(TA[[#This Row],[Work Start time on Fault]]-TA[[#This Row],[Fault Time]])*24</f>
        <v>0</v>
      </c>
      <c r="AC711" s="34">
        <f>(TA[[#This Row],[Work Completion time on fault]]-TA[[#This Row],[Fault Time]])*24</f>
        <v>0</v>
      </c>
      <c r="AD711" s="35">
        <f>IFERROR((TA[[#This Row],[Work Completion time on fault]]-TA[[#This Row],[Fault Time]])*24,"")</f>
        <v>0</v>
      </c>
      <c r="AE711" t="s">
        <v>328</v>
      </c>
      <c r="AF711" t="s">
        <v>256</v>
      </c>
      <c r="AG711" s="2"/>
      <c r="AH711" s="44">
        <f>1-COS(RADIANS(TA[[#This Row],[Avg. Target Angle during Fault Time (Radians)]]-TA[[#This Row],[Angle of affected equipment ]]))</f>
        <v>0.11705240714107301</v>
      </c>
      <c r="AI711" s="35">
        <f>IFERROR(TA[[#This Row],[Breakdown Time]]*TA[[#This Row],[Plant Equivalent Weightage]],"")</f>
        <v>0</v>
      </c>
    </row>
    <row r="712" spans="1:35">
      <c r="A712" s="2">
        <f t="shared" si="47"/>
        <v>709</v>
      </c>
      <c r="B712" s="156">
        <f t="shared" si="50"/>
        <v>2026</v>
      </c>
      <c r="C712" s="129">
        <f t="shared" si="51"/>
        <v>2025</v>
      </c>
      <c r="D712" s="2" t="s">
        <v>155</v>
      </c>
      <c r="E712" s="2" t="s">
        <v>155</v>
      </c>
      <c r="F712" s="39">
        <v>45778</v>
      </c>
      <c r="G712" s="2">
        <f>DAY(EOMONTH(TA[[#This Row],[Month Year]],0))</f>
        <v>31</v>
      </c>
      <c r="H712" s="21">
        <v>45793</v>
      </c>
      <c r="I712" s="41">
        <f>IFERROR(VLOOKUP(TA[[#This Row],[Date]],Raw_Data[[Date]:[Sunset Time (POA&lt;20 W/m2)]],3,0),"")</f>
        <v>0.25138888888888888</v>
      </c>
      <c r="J712" s="41">
        <f>IFERROR(VLOOKUP(TA[[#This Row],[Date]],Raw_Data[[Date]:[Sunset Time (POA&lt;20 W/m2)]],4,0),"")</f>
        <v>0.77222222222222225</v>
      </c>
      <c r="K712" s="35">
        <f>IFERROR((TA[[#This Row],[Sunset Time (POA&lt;20 W/m2)]]-TA[[#This Row],[Sunrise Time (POA&gt;20 W/m2)]])*24,"")</f>
        <v>12.5</v>
      </c>
      <c r="L712" s="2" t="s">
        <v>296</v>
      </c>
      <c r="M712" s="42">
        <f>IFERROR(VLOOKUP(TA[[#This Row],[Affected Equipment]],'Basic Data'!$I$2:$K$40,3,0),"")</f>
        <v>8.6206896551724102E-3</v>
      </c>
      <c r="N712">
        <v>-28</v>
      </c>
      <c r="O712" t="s">
        <v>135</v>
      </c>
      <c r="P712" s="22" t="s">
        <v>323</v>
      </c>
      <c r="Q712" s="2" t="s">
        <v>329</v>
      </c>
      <c r="R712">
        <v>45</v>
      </c>
      <c r="S712" s="2">
        <v>8</v>
      </c>
      <c r="T712" t="s">
        <v>297</v>
      </c>
      <c r="U712" t="s">
        <v>300</v>
      </c>
      <c r="V712" t="s">
        <v>301</v>
      </c>
      <c r="W712" s="41"/>
      <c r="X712" s="41"/>
      <c r="Y712" s="34"/>
      <c r="Z712" s="34"/>
      <c r="AA712" s="35">
        <f>IF(TA[[#This Row],[Work Start time on Fault]]="NA","",(TA[[#This Row],[Fault Acknowledgement Time ]]-TA[[#This Row],[Fault Time]])*24)</f>
        <v>0</v>
      </c>
      <c r="AB712" s="35">
        <f>(TA[[#This Row],[Work Start time on Fault]]-TA[[#This Row],[Fault Time]])*24</f>
        <v>0</v>
      </c>
      <c r="AC712" s="34">
        <f>(TA[[#This Row],[Work Completion time on fault]]-TA[[#This Row],[Fault Time]])*24</f>
        <v>0</v>
      </c>
      <c r="AD712" s="35">
        <f>IFERROR((TA[[#This Row],[Work Completion time on fault]]-TA[[#This Row],[Fault Time]])*24,"")</f>
        <v>0</v>
      </c>
      <c r="AE712" t="s">
        <v>328</v>
      </c>
      <c r="AF712" t="s">
        <v>256</v>
      </c>
      <c r="AG712" s="2"/>
      <c r="AH712" s="44">
        <f>1-COS(RADIANS(TA[[#This Row],[Avg. Target Angle during Fault Time (Radians)]]-TA[[#This Row],[Angle of affected equipment ]]))</f>
        <v>0.11705240714107301</v>
      </c>
      <c r="AI712" s="35">
        <f>IFERROR(TA[[#This Row],[Breakdown Time]]*TA[[#This Row],[Plant Equivalent Weightage]],"")</f>
        <v>0</v>
      </c>
    </row>
    <row r="713" spans="1:35">
      <c r="A713" s="2">
        <f t="shared" si="47"/>
        <v>710</v>
      </c>
      <c r="B713" s="156">
        <f t="shared" si="50"/>
        <v>2026</v>
      </c>
      <c r="C713" s="129">
        <f t="shared" si="51"/>
        <v>2025</v>
      </c>
      <c r="D713" s="2" t="s">
        <v>155</v>
      </c>
      <c r="E713" s="2" t="s">
        <v>155</v>
      </c>
      <c r="F713" s="39">
        <v>45778</v>
      </c>
      <c r="G713" s="2">
        <f>DAY(EOMONTH(TA[[#This Row],[Month Year]],0))</f>
        <v>31</v>
      </c>
      <c r="H713" s="21">
        <v>45793</v>
      </c>
      <c r="I713" s="41">
        <f>IFERROR(VLOOKUP(TA[[#This Row],[Date]],Raw_Data[[Date]:[Sunset Time (POA&lt;20 W/m2)]],3,0),"")</f>
        <v>0.25138888888888888</v>
      </c>
      <c r="J713" s="41">
        <f>IFERROR(VLOOKUP(TA[[#This Row],[Date]],Raw_Data[[Date]:[Sunset Time (POA&lt;20 W/m2)]],4,0),"")</f>
        <v>0.77222222222222225</v>
      </c>
      <c r="K713" s="35">
        <f>IFERROR((TA[[#This Row],[Sunset Time (POA&lt;20 W/m2)]]-TA[[#This Row],[Sunrise Time (POA&gt;20 W/m2)]])*24,"")</f>
        <v>12.5</v>
      </c>
      <c r="L713" s="2" t="s">
        <v>296</v>
      </c>
      <c r="M713" s="42">
        <f>IFERROR(VLOOKUP(TA[[#This Row],[Affected Equipment]],'Basic Data'!$I$2:$K$40,3,0),"")</f>
        <v>8.6206896551724102E-3</v>
      </c>
      <c r="N713">
        <v>-28</v>
      </c>
      <c r="O713" t="s">
        <v>135</v>
      </c>
      <c r="P713" s="22" t="s">
        <v>323</v>
      </c>
      <c r="Q713" s="2" t="s">
        <v>329</v>
      </c>
      <c r="R713">
        <v>47</v>
      </c>
      <c r="S713" s="2">
        <v>18</v>
      </c>
      <c r="T713" t="s">
        <v>297</v>
      </c>
      <c r="U713" t="s">
        <v>300</v>
      </c>
      <c r="V713" t="s">
        <v>301</v>
      </c>
      <c r="W713" s="41"/>
      <c r="X713" s="41"/>
      <c r="Y713" s="34"/>
      <c r="Z713" s="34"/>
      <c r="AA713" s="35">
        <f>IF(TA[[#This Row],[Work Start time on Fault]]="NA","",(TA[[#This Row],[Fault Acknowledgement Time ]]-TA[[#This Row],[Fault Time]])*24)</f>
        <v>0</v>
      </c>
      <c r="AB713" s="35">
        <f>(TA[[#This Row],[Work Start time on Fault]]-TA[[#This Row],[Fault Time]])*24</f>
        <v>0</v>
      </c>
      <c r="AC713" s="34">
        <f>(TA[[#This Row],[Work Completion time on fault]]-TA[[#This Row],[Fault Time]])*24</f>
        <v>0</v>
      </c>
      <c r="AD713" s="35">
        <f>IFERROR((TA[[#This Row],[Work Completion time on fault]]-TA[[#This Row],[Fault Time]])*24,"")</f>
        <v>0</v>
      </c>
      <c r="AE713" t="s">
        <v>328</v>
      </c>
      <c r="AF713" t="s">
        <v>256</v>
      </c>
      <c r="AG713" s="2"/>
      <c r="AH713" s="44">
        <f>1-COS(RADIANS(TA[[#This Row],[Avg. Target Angle during Fault Time (Radians)]]-TA[[#This Row],[Angle of affected equipment ]]))</f>
        <v>0.11705240714107301</v>
      </c>
      <c r="AI713" s="35">
        <f>IFERROR(TA[[#This Row],[Breakdown Time]]*TA[[#This Row],[Plant Equivalent Weightage]],"")</f>
        <v>0</v>
      </c>
    </row>
    <row r="714" spans="1:35">
      <c r="A714" s="2">
        <f t="shared" si="47"/>
        <v>711</v>
      </c>
      <c r="B714" s="156">
        <f t="shared" si="50"/>
        <v>2026</v>
      </c>
      <c r="C714" s="129">
        <f t="shared" si="51"/>
        <v>2025</v>
      </c>
      <c r="D714" s="2" t="s">
        <v>155</v>
      </c>
      <c r="E714" s="2" t="s">
        <v>155</v>
      </c>
      <c r="F714" s="39">
        <v>45778</v>
      </c>
      <c r="G714" s="2">
        <f>DAY(EOMONTH(TA[[#This Row],[Month Year]],0))</f>
        <v>31</v>
      </c>
      <c r="H714" s="21">
        <v>45793</v>
      </c>
      <c r="I714" s="41">
        <f>IFERROR(VLOOKUP(TA[[#This Row],[Date]],Raw_Data[[Date]:[Sunset Time (POA&lt;20 W/m2)]],3,0),"")</f>
        <v>0.25138888888888888</v>
      </c>
      <c r="J714" s="41">
        <f>IFERROR(VLOOKUP(TA[[#This Row],[Date]],Raw_Data[[Date]:[Sunset Time (POA&lt;20 W/m2)]],4,0),"")</f>
        <v>0.77222222222222225</v>
      </c>
      <c r="K714" s="35">
        <f>IFERROR((TA[[#This Row],[Sunset Time (POA&lt;20 W/m2)]]-TA[[#This Row],[Sunrise Time (POA&gt;20 W/m2)]])*24,"")</f>
        <v>12.5</v>
      </c>
      <c r="L714" s="2" t="s">
        <v>296</v>
      </c>
      <c r="M714" s="42">
        <f>IFERROR(VLOOKUP(TA[[#This Row],[Affected Equipment]],'Basic Data'!$I$2:$K$40,3,0),"")</f>
        <v>8.6206896551724102E-3</v>
      </c>
      <c r="N714">
        <v>-28</v>
      </c>
      <c r="O714" t="s">
        <v>134</v>
      </c>
      <c r="P714" s="22" t="s">
        <v>330</v>
      </c>
      <c r="Q714" s="2" t="s">
        <v>323</v>
      </c>
      <c r="R714">
        <v>30</v>
      </c>
      <c r="S714" s="2">
        <v>57</v>
      </c>
      <c r="T714" t="s">
        <v>297</v>
      </c>
      <c r="U714" t="s">
        <v>300</v>
      </c>
      <c r="V714" t="s">
        <v>301</v>
      </c>
      <c r="W714" s="41"/>
      <c r="X714" s="41"/>
      <c r="Y714" s="34"/>
      <c r="Z714" s="34"/>
      <c r="AA714" s="35">
        <f>IF(TA[[#This Row],[Work Start time on Fault]]="NA","",(TA[[#This Row],[Fault Acknowledgement Time ]]-TA[[#This Row],[Fault Time]])*24)</f>
        <v>0</v>
      </c>
      <c r="AB714" s="35">
        <f>(TA[[#This Row],[Work Start time on Fault]]-TA[[#This Row],[Fault Time]])*24</f>
        <v>0</v>
      </c>
      <c r="AC714" s="34">
        <f>(TA[[#This Row],[Work Completion time on fault]]-TA[[#This Row],[Fault Time]])*24</f>
        <v>0</v>
      </c>
      <c r="AD714" s="35">
        <f>IFERROR((TA[[#This Row],[Work Completion time on fault]]-TA[[#This Row],[Fault Time]])*24,"")</f>
        <v>0</v>
      </c>
      <c r="AE714" t="s">
        <v>328</v>
      </c>
      <c r="AF714" t="s">
        <v>256</v>
      </c>
      <c r="AG714" s="2"/>
      <c r="AH714" s="44">
        <f>1-COS(RADIANS(TA[[#This Row],[Avg. Target Angle during Fault Time (Radians)]]-TA[[#This Row],[Angle of affected equipment ]]))</f>
        <v>0.11705240714107301</v>
      </c>
      <c r="AI714" s="35">
        <f>IFERROR(TA[[#This Row],[Breakdown Time]]*TA[[#This Row],[Plant Equivalent Weightage]],"")</f>
        <v>0</v>
      </c>
    </row>
    <row r="715" spans="1:35">
      <c r="A715" s="2">
        <f t="shared" si="47"/>
        <v>712</v>
      </c>
      <c r="B715" s="156">
        <f t="shared" si="50"/>
        <v>2026</v>
      </c>
      <c r="C715" s="129">
        <f t="shared" si="51"/>
        <v>2025</v>
      </c>
      <c r="D715" s="2" t="s">
        <v>155</v>
      </c>
      <c r="E715" s="2" t="s">
        <v>155</v>
      </c>
      <c r="F715" s="39">
        <v>45778</v>
      </c>
      <c r="G715" s="2">
        <f>DAY(EOMONTH(TA[[#This Row],[Month Year]],0))</f>
        <v>31</v>
      </c>
      <c r="H715" s="21">
        <v>45793</v>
      </c>
      <c r="I715" s="41">
        <f>IFERROR(VLOOKUP(TA[[#This Row],[Date]],Raw_Data[[Date]:[Sunset Time (POA&lt;20 W/m2)]],3,0),"")</f>
        <v>0.25138888888888888</v>
      </c>
      <c r="J715" s="41">
        <f>IFERROR(VLOOKUP(TA[[#This Row],[Date]],Raw_Data[[Date]:[Sunset Time (POA&lt;20 W/m2)]],4,0),"")</f>
        <v>0.77222222222222225</v>
      </c>
      <c r="K715" s="35">
        <f>IFERROR((TA[[#This Row],[Sunset Time (POA&lt;20 W/m2)]]-TA[[#This Row],[Sunrise Time (POA&gt;20 W/m2)]])*24,"")</f>
        <v>12.5</v>
      </c>
      <c r="L715" s="2" t="s">
        <v>296</v>
      </c>
      <c r="M715" s="42">
        <f>IFERROR(VLOOKUP(TA[[#This Row],[Affected Equipment]],'Basic Data'!$I$2:$K$40,3,0),"")</f>
        <v>8.6206896551724102E-3</v>
      </c>
      <c r="N715">
        <v>-28</v>
      </c>
      <c r="O715" t="s">
        <v>134</v>
      </c>
      <c r="P715" s="22" t="s">
        <v>330</v>
      </c>
      <c r="Q715" s="2" t="s">
        <v>323</v>
      </c>
      <c r="R715">
        <v>31</v>
      </c>
      <c r="S715" s="2">
        <v>61</v>
      </c>
      <c r="T715" t="s">
        <v>297</v>
      </c>
      <c r="U715" t="s">
        <v>300</v>
      </c>
      <c r="V715" t="s">
        <v>301</v>
      </c>
      <c r="W715" s="41"/>
      <c r="X715" s="41"/>
      <c r="Y715" s="34"/>
      <c r="Z715" s="34"/>
      <c r="AA715" s="35">
        <f>IF(TA[[#This Row],[Work Start time on Fault]]="NA","",(TA[[#This Row],[Fault Acknowledgement Time ]]-TA[[#This Row],[Fault Time]])*24)</f>
        <v>0</v>
      </c>
      <c r="AB715" s="35">
        <f>(TA[[#This Row],[Work Start time on Fault]]-TA[[#This Row],[Fault Time]])*24</f>
        <v>0</v>
      </c>
      <c r="AC715" s="34">
        <f>(TA[[#This Row],[Work Completion time on fault]]-TA[[#This Row],[Fault Time]])*24</f>
        <v>0</v>
      </c>
      <c r="AD715" s="35">
        <f>IFERROR((TA[[#This Row],[Work Completion time on fault]]-TA[[#This Row],[Fault Time]])*24,"")</f>
        <v>0</v>
      </c>
      <c r="AE715" t="s">
        <v>328</v>
      </c>
      <c r="AF715" t="s">
        <v>256</v>
      </c>
      <c r="AG715" s="2"/>
      <c r="AH715" s="44">
        <f>1-COS(RADIANS(TA[[#This Row],[Avg. Target Angle during Fault Time (Radians)]]-TA[[#This Row],[Angle of affected equipment ]]))</f>
        <v>0.11705240714107301</v>
      </c>
      <c r="AI715" s="35">
        <f>IFERROR(TA[[#This Row],[Breakdown Time]]*TA[[#This Row],[Plant Equivalent Weightage]],"")</f>
        <v>0</v>
      </c>
    </row>
    <row r="716" spans="1:35">
      <c r="A716" s="2">
        <f t="shared" si="47"/>
        <v>713</v>
      </c>
      <c r="B716" s="156">
        <f t="shared" si="50"/>
        <v>2026</v>
      </c>
      <c r="C716" s="129">
        <f t="shared" si="51"/>
        <v>2025</v>
      </c>
      <c r="D716" s="2" t="s">
        <v>155</v>
      </c>
      <c r="E716" s="2" t="s">
        <v>155</v>
      </c>
      <c r="F716" s="39">
        <v>45778</v>
      </c>
      <c r="G716" s="2">
        <f>DAY(EOMONTH(TA[[#This Row],[Month Year]],0))</f>
        <v>31</v>
      </c>
      <c r="H716" s="21">
        <v>45793</v>
      </c>
      <c r="I716" s="41">
        <f>IFERROR(VLOOKUP(TA[[#This Row],[Date]],Raw_Data[[Date]:[Sunset Time (POA&lt;20 W/m2)]],3,0),"")</f>
        <v>0.25138888888888888</v>
      </c>
      <c r="J716" s="41">
        <f>IFERROR(VLOOKUP(TA[[#This Row],[Date]],Raw_Data[[Date]:[Sunset Time (POA&lt;20 W/m2)]],4,0),"")</f>
        <v>0.77222222222222225</v>
      </c>
      <c r="K716" s="35">
        <f>IFERROR((TA[[#This Row],[Sunset Time (POA&lt;20 W/m2)]]-TA[[#This Row],[Sunrise Time (POA&gt;20 W/m2)]])*24,"")</f>
        <v>12.5</v>
      </c>
      <c r="L716" s="2" t="s">
        <v>312</v>
      </c>
      <c r="M716" s="42">
        <f>IFERROR(VLOOKUP(TA[[#This Row],[Affected Equipment]],'Basic Data'!$I$2:$K$40,3,0),"")</f>
        <v>5.74712643678161E-3</v>
      </c>
      <c r="N716">
        <v>-28</v>
      </c>
      <c r="O716" t="s">
        <v>133</v>
      </c>
      <c r="P716" s="22" t="s">
        <v>330</v>
      </c>
      <c r="Q716" s="2" t="s">
        <v>323</v>
      </c>
      <c r="R716">
        <v>26</v>
      </c>
      <c r="S716" s="2">
        <v>37</v>
      </c>
      <c r="T716" t="s">
        <v>297</v>
      </c>
      <c r="U716" t="s">
        <v>300</v>
      </c>
      <c r="V716" t="s">
        <v>301</v>
      </c>
      <c r="W716" s="41"/>
      <c r="X716" s="41"/>
      <c r="Y716" s="34"/>
      <c r="Z716" s="34"/>
      <c r="AA716" s="35">
        <f>IF(TA[[#This Row],[Work Start time on Fault]]="NA","",(TA[[#This Row],[Fault Acknowledgement Time ]]-TA[[#This Row],[Fault Time]])*24)</f>
        <v>0</v>
      </c>
      <c r="AB716" s="35">
        <f>(TA[[#This Row],[Work Start time on Fault]]-TA[[#This Row],[Fault Time]])*24</f>
        <v>0</v>
      </c>
      <c r="AC716" s="34">
        <f>(TA[[#This Row],[Work Completion time on fault]]-TA[[#This Row],[Fault Time]])*24</f>
        <v>0</v>
      </c>
      <c r="AD716" s="35">
        <f>IFERROR((TA[[#This Row],[Work Completion time on fault]]-TA[[#This Row],[Fault Time]])*24,"")</f>
        <v>0</v>
      </c>
      <c r="AE716" t="s">
        <v>328</v>
      </c>
      <c r="AF716" t="s">
        <v>256</v>
      </c>
      <c r="AG716" s="2"/>
      <c r="AH716" s="44">
        <f>1-COS(RADIANS(TA[[#This Row],[Avg. Target Angle during Fault Time (Radians)]]-TA[[#This Row],[Angle of affected equipment ]]))</f>
        <v>0.11705240714107301</v>
      </c>
      <c r="AI716" s="35">
        <f>IFERROR(TA[[#This Row],[Breakdown Time]]*TA[[#This Row],[Plant Equivalent Weightage]],"")</f>
        <v>0</v>
      </c>
    </row>
    <row r="717" spans="1:35">
      <c r="A717" s="2">
        <f t="shared" si="47"/>
        <v>714</v>
      </c>
      <c r="B717" s="156">
        <f t="shared" si="50"/>
        <v>2026</v>
      </c>
      <c r="C717" s="129">
        <f t="shared" si="51"/>
        <v>2025</v>
      </c>
      <c r="D717" s="2" t="s">
        <v>155</v>
      </c>
      <c r="E717" s="2" t="s">
        <v>155</v>
      </c>
      <c r="F717" s="39">
        <v>45778</v>
      </c>
      <c r="G717" s="2">
        <f>DAY(EOMONTH(TA[[#This Row],[Month Year]],0))</f>
        <v>31</v>
      </c>
      <c r="H717" s="21">
        <v>45793</v>
      </c>
      <c r="I717" s="41">
        <f>IFERROR(VLOOKUP(TA[[#This Row],[Date]],Raw_Data[[Date]:[Sunset Time (POA&lt;20 W/m2)]],3,0),"")</f>
        <v>0.25138888888888888</v>
      </c>
      <c r="J717" s="41">
        <f>IFERROR(VLOOKUP(TA[[#This Row],[Date]],Raw_Data[[Date]:[Sunset Time (POA&lt;20 W/m2)]],4,0),"")</f>
        <v>0.77222222222222225</v>
      </c>
      <c r="K717" s="35">
        <f>IFERROR((TA[[#This Row],[Sunset Time (POA&lt;20 W/m2)]]-TA[[#This Row],[Sunrise Time (POA&gt;20 W/m2)]])*24,"")</f>
        <v>12.5</v>
      </c>
      <c r="L717" s="2" t="s">
        <v>312</v>
      </c>
      <c r="M717" s="42">
        <f>IFERROR(VLOOKUP(TA[[#This Row],[Affected Equipment]],'Basic Data'!$I$2:$K$40,3,0),"")</f>
        <v>5.74712643678161E-3</v>
      </c>
      <c r="N717">
        <v>-28</v>
      </c>
      <c r="O717" t="s">
        <v>133</v>
      </c>
      <c r="P717" s="22" t="s">
        <v>330</v>
      </c>
      <c r="Q717" s="2" t="s">
        <v>323</v>
      </c>
      <c r="R717">
        <v>27</v>
      </c>
      <c r="S717" s="2">
        <v>42</v>
      </c>
      <c r="T717" t="s">
        <v>297</v>
      </c>
      <c r="U717" t="s">
        <v>300</v>
      </c>
      <c r="V717" t="s">
        <v>301</v>
      </c>
      <c r="W717" s="41">
        <f>IFERROR(VLOOKUP(TA[[#This Row],[Date]],Raw_Data[[Date]:[Sunset Time (POA&lt;20 W/m2)]],3,0),"")</f>
        <v>0.25138888888888888</v>
      </c>
      <c r="X717" s="41">
        <f>IFERROR(VLOOKUP(TA[[#This Row],[Date]],Raw_Data[[Date]:[Sunset Time (POA&lt;20 W/m2)]],3,0),"")</f>
        <v>0.25138888888888888</v>
      </c>
      <c r="Y717" s="34"/>
      <c r="Z717" s="34">
        <v>0.76041666666666663</v>
      </c>
      <c r="AA717" s="35">
        <f>IF(TA[[#This Row],[Work Start time on Fault]]="NA","",(TA[[#This Row],[Fault Acknowledgement Time ]]-TA[[#This Row],[Fault Time]])*24)</f>
        <v>0</v>
      </c>
      <c r="AB717" s="35">
        <f>(TA[[#This Row],[Work Start time on Fault]]-TA[[#This Row],[Fault Time]])*24</f>
        <v>-6.0333333333333332</v>
      </c>
      <c r="AC717" s="34">
        <f>(TA[[#This Row],[Work Completion time on fault]]-TA[[#This Row],[Fault Time]])*24</f>
        <v>12.216666666666665</v>
      </c>
      <c r="AD717" s="35">
        <f>IFERROR((TA[[#This Row],[Work Completion time on fault]]-TA[[#This Row],[Fault Time]])*24,"")</f>
        <v>12.216666666666665</v>
      </c>
      <c r="AE717" t="s">
        <v>309</v>
      </c>
      <c r="AF717" t="s">
        <v>256</v>
      </c>
      <c r="AG717" s="2"/>
      <c r="AH717" s="44">
        <f>1-COS(RADIANS(TA[[#This Row],[Avg. Target Angle during Fault Time (Radians)]]-TA[[#This Row],[Angle of affected equipment ]]))</f>
        <v>0.11705240714107301</v>
      </c>
      <c r="AI717" s="35">
        <f>IFERROR(TA[[#This Row],[Breakdown Time]]*TA[[#This Row],[Plant Equivalent Weightage]],"")</f>
        <v>7.0210727969348657E-2</v>
      </c>
    </row>
    <row r="718" spans="1:35">
      <c r="A718" s="2">
        <f t="shared" si="47"/>
        <v>715</v>
      </c>
      <c r="B718" s="156">
        <f t="shared" ref="B718:B731" si="52">YEAR(H718)+IF(MONTH(H718)&gt;=4,1,0)</f>
        <v>2026</v>
      </c>
      <c r="C718" s="129">
        <f t="shared" ref="C718:C731" si="53">YEAR(H718)</f>
        <v>2025</v>
      </c>
      <c r="D718" s="2" t="s">
        <v>155</v>
      </c>
      <c r="E718" s="2" t="s">
        <v>155</v>
      </c>
      <c r="F718" s="39">
        <v>45778</v>
      </c>
      <c r="G718" s="2">
        <f>DAY(EOMONTH(TA[[#This Row],[Month Year]],0))</f>
        <v>31</v>
      </c>
      <c r="H718" s="21">
        <v>45794</v>
      </c>
      <c r="I718" s="41">
        <f>IFERROR(VLOOKUP(TA[[#This Row],[Date]],Raw_Data[[Date]:[Sunset Time (POA&lt;20 W/m2)]],3,0),"")</f>
        <v>0.25138888888888888</v>
      </c>
      <c r="J718" s="41">
        <f>IFERROR(VLOOKUP(TA[[#This Row],[Date]],Raw_Data[[Date]:[Sunset Time (POA&lt;20 W/m2)]],4,0),"")</f>
        <v>0.76041666666666663</v>
      </c>
      <c r="K718" s="35">
        <f>IFERROR((TA[[#This Row],[Sunset Time (POA&lt;20 W/m2)]]-TA[[#This Row],[Sunrise Time (POA&gt;20 W/m2)]])*24,"")</f>
        <v>12.216666666666665</v>
      </c>
      <c r="L718" s="2" t="s">
        <v>294</v>
      </c>
      <c r="M718" s="42">
        <f>IFERROR(VLOOKUP(TA[[#This Row],[Affected Equipment]],'Basic Data'!$I$2:$K$40,3,0),"")</f>
        <v>1.7241379310344799E-3</v>
      </c>
      <c r="N718">
        <v>-28</v>
      </c>
      <c r="O718" t="s">
        <v>135</v>
      </c>
      <c r="P718" s="127" t="s">
        <v>318</v>
      </c>
      <c r="Q718" s="126" t="s">
        <v>318</v>
      </c>
      <c r="R718">
        <v>130</v>
      </c>
      <c r="S718" s="2">
        <v>37</v>
      </c>
      <c r="T718" t="s">
        <v>295</v>
      </c>
      <c r="U718" t="s">
        <v>300</v>
      </c>
      <c r="V718" t="s">
        <v>298</v>
      </c>
      <c r="W718" s="41"/>
      <c r="X718" s="41"/>
      <c r="Y718" s="34"/>
      <c r="Z718" s="34"/>
      <c r="AA718" s="35">
        <f>IF(TA[[#This Row],[Work Start time on Fault]]="NA","",(TA[[#This Row],[Fault Acknowledgement Time ]]-TA[[#This Row],[Fault Time]])*24)</f>
        <v>0</v>
      </c>
      <c r="AB718" s="35">
        <f>(TA[[#This Row],[Work Start time on Fault]]-TA[[#This Row],[Fault Time]])*24</f>
        <v>0</v>
      </c>
      <c r="AC718" s="34">
        <f>(TA[[#This Row],[Work Completion time on fault]]-TA[[#This Row],[Fault Time]])*24</f>
        <v>0</v>
      </c>
      <c r="AD718" s="35">
        <f>IFERROR((TA[[#This Row],[Work Completion time on fault]]-TA[[#This Row],[Fault Time]])*24,"")</f>
        <v>0</v>
      </c>
      <c r="AE718" t="s">
        <v>328</v>
      </c>
      <c r="AF718" t="s">
        <v>256</v>
      </c>
      <c r="AG718" s="2"/>
      <c r="AH718" s="44">
        <f>1-COS(RADIANS(TA[[#This Row],[Avg. Target Angle during Fault Time (Radians)]]-TA[[#This Row],[Angle of affected equipment ]]))</f>
        <v>0.11705240714107301</v>
      </c>
      <c r="AI718" s="35">
        <f>IFERROR(TA[[#This Row],[Breakdown Time]]*TA[[#This Row],[Plant Equivalent Weightage]],"")</f>
        <v>0</v>
      </c>
    </row>
    <row r="719" spans="1:35">
      <c r="A719" s="2">
        <f t="shared" si="47"/>
        <v>716</v>
      </c>
      <c r="B719" s="156">
        <f t="shared" si="52"/>
        <v>2026</v>
      </c>
      <c r="C719" s="129">
        <f t="shared" si="53"/>
        <v>2025</v>
      </c>
      <c r="D719" s="2" t="s">
        <v>155</v>
      </c>
      <c r="E719" s="2" t="s">
        <v>155</v>
      </c>
      <c r="F719" s="39">
        <v>45778</v>
      </c>
      <c r="G719" s="2">
        <f>DAY(EOMONTH(TA[[#This Row],[Month Year]],0))</f>
        <v>31</v>
      </c>
      <c r="H719" s="21">
        <v>45794</v>
      </c>
      <c r="I719" s="41">
        <f>IFERROR(VLOOKUP(TA[[#This Row],[Date]],Raw_Data[[Date]:[Sunset Time (POA&lt;20 W/m2)]],3,0),"")</f>
        <v>0.25138888888888888</v>
      </c>
      <c r="J719" s="41">
        <f>IFERROR(VLOOKUP(TA[[#This Row],[Date]],Raw_Data[[Date]:[Sunset Time (POA&lt;20 W/m2)]],4,0),"")</f>
        <v>0.76041666666666663</v>
      </c>
      <c r="K719" s="35">
        <f>IFERROR((TA[[#This Row],[Sunset Time (POA&lt;20 W/m2)]]-TA[[#This Row],[Sunrise Time (POA&gt;20 W/m2)]])*24,"")</f>
        <v>12.216666666666665</v>
      </c>
      <c r="L719" s="2" t="s">
        <v>294</v>
      </c>
      <c r="M719" s="42">
        <f>IFERROR(VLOOKUP(TA[[#This Row],[Affected Equipment]],'Basic Data'!$I$2:$K$40,3,0),"")</f>
        <v>1.7241379310344799E-3</v>
      </c>
      <c r="N719">
        <v>-28</v>
      </c>
      <c r="O719" t="s">
        <v>135</v>
      </c>
      <c r="P719" s="127" t="s">
        <v>318</v>
      </c>
      <c r="Q719" s="126" t="s">
        <v>318</v>
      </c>
      <c r="R719">
        <v>131</v>
      </c>
      <c r="S719" s="2">
        <v>38</v>
      </c>
      <c r="T719" t="s">
        <v>295</v>
      </c>
      <c r="U719" t="s">
        <v>300</v>
      </c>
      <c r="V719" t="s">
        <v>298</v>
      </c>
      <c r="W719" s="41"/>
      <c r="X719" s="41"/>
      <c r="Y719" s="34"/>
      <c r="Z719" s="34"/>
      <c r="AA719" s="35">
        <f>IF(TA[[#This Row],[Work Start time on Fault]]="NA","",(TA[[#This Row],[Fault Acknowledgement Time ]]-TA[[#This Row],[Fault Time]])*24)</f>
        <v>0</v>
      </c>
      <c r="AB719" s="35">
        <f>(TA[[#This Row],[Work Start time on Fault]]-TA[[#This Row],[Fault Time]])*24</f>
        <v>0</v>
      </c>
      <c r="AC719" s="34">
        <f>(TA[[#This Row],[Work Completion time on fault]]-TA[[#This Row],[Fault Time]])*24</f>
        <v>0</v>
      </c>
      <c r="AD719" s="35">
        <f>IFERROR((TA[[#This Row],[Work Completion time on fault]]-TA[[#This Row],[Fault Time]])*24,"")</f>
        <v>0</v>
      </c>
      <c r="AE719" t="s">
        <v>328</v>
      </c>
      <c r="AF719" t="s">
        <v>256</v>
      </c>
      <c r="AG719" s="2"/>
      <c r="AH719" s="44">
        <f>1-COS(RADIANS(TA[[#This Row],[Avg. Target Angle during Fault Time (Radians)]]-TA[[#This Row],[Angle of affected equipment ]]))</f>
        <v>0.11705240714107301</v>
      </c>
      <c r="AI719" s="35">
        <f>IFERROR(TA[[#This Row],[Breakdown Time]]*TA[[#This Row],[Plant Equivalent Weightage]],"")</f>
        <v>0</v>
      </c>
    </row>
    <row r="720" spans="1:35">
      <c r="A720" s="2">
        <f t="shared" si="47"/>
        <v>717</v>
      </c>
      <c r="B720" s="156">
        <f t="shared" si="52"/>
        <v>2026</v>
      </c>
      <c r="C720" s="129">
        <f t="shared" si="53"/>
        <v>2025</v>
      </c>
      <c r="D720" s="2" t="s">
        <v>155</v>
      </c>
      <c r="E720" s="2" t="s">
        <v>155</v>
      </c>
      <c r="F720" s="39">
        <v>45778</v>
      </c>
      <c r="G720" s="2">
        <f>DAY(EOMONTH(TA[[#This Row],[Month Year]],0))</f>
        <v>31</v>
      </c>
      <c r="H720" s="21">
        <v>45794</v>
      </c>
      <c r="I720" s="41">
        <f>IFERROR(VLOOKUP(TA[[#This Row],[Date]],Raw_Data[[Date]:[Sunset Time (POA&lt;20 W/m2)]],3,0),"")</f>
        <v>0.25138888888888888</v>
      </c>
      <c r="J720" s="41">
        <f>IFERROR(VLOOKUP(TA[[#This Row],[Date]],Raw_Data[[Date]:[Sunset Time (POA&lt;20 W/m2)]],4,0),"")</f>
        <v>0.76041666666666663</v>
      </c>
      <c r="K720" s="35">
        <f>IFERROR((TA[[#This Row],[Sunset Time (POA&lt;20 W/m2)]]-TA[[#This Row],[Sunrise Time (POA&gt;20 W/m2)]])*24,"")</f>
        <v>12.216666666666665</v>
      </c>
      <c r="L720" s="2" t="s">
        <v>294</v>
      </c>
      <c r="M720" s="42">
        <f>IFERROR(VLOOKUP(TA[[#This Row],[Affected Equipment]],'Basic Data'!$I$2:$K$40,3,0),"")</f>
        <v>1.7241379310344799E-3</v>
      </c>
      <c r="N720">
        <v>-28</v>
      </c>
      <c r="O720" t="s">
        <v>135</v>
      </c>
      <c r="P720" s="127" t="s">
        <v>318</v>
      </c>
      <c r="Q720" s="126" t="s">
        <v>318</v>
      </c>
      <c r="R720">
        <v>131</v>
      </c>
      <c r="S720" s="2">
        <v>39</v>
      </c>
      <c r="T720" t="s">
        <v>295</v>
      </c>
      <c r="U720" t="s">
        <v>300</v>
      </c>
      <c r="V720" t="s">
        <v>298</v>
      </c>
      <c r="W720" s="41"/>
      <c r="X720" s="41"/>
      <c r="Y720" s="34"/>
      <c r="Z720" s="34"/>
      <c r="AA720" s="35">
        <f>IF(TA[[#This Row],[Work Start time on Fault]]="NA","",(TA[[#This Row],[Fault Acknowledgement Time ]]-TA[[#This Row],[Fault Time]])*24)</f>
        <v>0</v>
      </c>
      <c r="AB720" s="35">
        <f>(TA[[#This Row],[Work Start time on Fault]]-TA[[#This Row],[Fault Time]])*24</f>
        <v>0</v>
      </c>
      <c r="AC720" s="34">
        <f>(TA[[#This Row],[Work Completion time on fault]]-TA[[#This Row],[Fault Time]])*24</f>
        <v>0</v>
      </c>
      <c r="AD720" s="35">
        <f>IFERROR((TA[[#This Row],[Work Completion time on fault]]-TA[[#This Row],[Fault Time]])*24,"")</f>
        <v>0</v>
      </c>
      <c r="AE720" t="s">
        <v>328</v>
      </c>
      <c r="AF720" t="s">
        <v>256</v>
      </c>
      <c r="AG720" s="2"/>
      <c r="AH720" s="44">
        <f>1-COS(RADIANS(TA[[#This Row],[Avg. Target Angle during Fault Time (Radians)]]-TA[[#This Row],[Angle of affected equipment ]]))</f>
        <v>0.11705240714107301</v>
      </c>
      <c r="AI720" s="35">
        <f>IFERROR(TA[[#This Row],[Breakdown Time]]*TA[[#This Row],[Plant Equivalent Weightage]],"")</f>
        <v>0</v>
      </c>
    </row>
    <row r="721" spans="1:35">
      <c r="A721" s="2">
        <f t="shared" si="47"/>
        <v>718</v>
      </c>
      <c r="B721" s="156">
        <f t="shared" si="52"/>
        <v>2026</v>
      </c>
      <c r="C721" s="129">
        <f t="shared" si="53"/>
        <v>2025</v>
      </c>
      <c r="D721" s="2" t="s">
        <v>155</v>
      </c>
      <c r="E721" s="2" t="s">
        <v>155</v>
      </c>
      <c r="F721" s="39">
        <v>45778</v>
      </c>
      <c r="G721" s="2">
        <f>DAY(EOMONTH(TA[[#This Row],[Month Year]],0))</f>
        <v>31</v>
      </c>
      <c r="H721" s="21">
        <v>45794</v>
      </c>
      <c r="I721" s="41">
        <f>IFERROR(VLOOKUP(TA[[#This Row],[Date]],Raw_Data[[Date]:[Sunset Time (POA&lt;20 W/m2)]],3,0),"")</f>
        <v>0.25138888888888888</v>
      </c>
      <c r="J721" s="41">
        <f>IFERROR(VLOOKUP(TA[[#This Row],[Date]],Raw_Data[[Date]:[Sunset Time (POA&lt;20 W/m2)]],4,0),"")</f>
        <v>0.76041666666666663</v>
      </c>
      <c r="K721" s="35">
        <f>IFERROR((TA[[#This Row],[Sunset Time (POA&lt;20 W/m2)]]-TA[[#This Row],[Sunrise Time (POA&gt;20 W/m2)]])*24,"")</f>
        <v>12.216666666666665</v>
      </c>
      <c r="L721" s="2" t="s">
        <v>296</v>
      </c>
      <c r="M721" s="42">
        <f>IFERROR(VLOOKUP(TA[[#This Row],[Affected Equipment]],'Basic Data'!$I$2:$K$40,3,0),"")</f>
        <v>8.6206896551724102E-3</v>
      </c>
      <c r="N721">
        <v>-28</v>
      </c>
      <c r="O721" t="s">
        <v>135</v>
      </c>
      <c r="P721" s="127" t="s">
        <v>318</v>
      </c>
      <c r="Q721" s="2" t="s">
        <v>321</v>
      </c>
      <c r="R721">
        <v>133</v>
      </c>
      <c r="S721" s="2">
        <v>26</v>
      </c>
      <c r="T721" t="s">
        <v>297</v>
      </c>
      <c r="U721" t="s">
        <v>300</v>
      </c>
      <c r="V721" t="s">
        <v>314</v>
      </c>
      <c r="W721" s="41">
        <f>IFERROR(VLOOKUP(TA[[#This Row],[Date]],Raw_Data[[Date]:[Sunset Time (POA&lt;20 W/m2)]],3,0),"")</f>
        <v>0.25138888888888888</v>
      </c>
      <c r="X721" s="41">
        <f>IFERROR(VLOOKUP(TA[[#This Row],[Date]],Raw_Data[[Date]:[Sunset Time (POA&lt;20 W/m2)]],3,0),"")</f>
        <v>0.25138888888888888</v>
      </c>
      <c r="Y721" s="34"/>
      <c r="Z721" s="34">
        <v>0.76041666666666663</v>
      </c>
      <c r="AA721" s="35">
        <f>IF(TA[[#This Row],[Work Start time on Fault]]="NA","",(TA[[#This Row],[Fault Acknowledgement Time ]]-TA[[#This Row],[Fault Time]])*24)</f>
        <v>0</v>
      </c>
      <c r="AB721" s="35">
        <f>(TA[[#This Row],[Work Start time on Fault]]-TA[[#This Row],[Fault Time]])*24</f>
        <v>-6.0333333333333332</v>
      </c>
      <c r="AC721" s="34">
        <f>(TA[[#This Row],[Work Completion time on fault]]-TA[[#This Row],[Fault Time]])*24</f>
        <v>12.216666666666665</v>
      </c>
      <c r="AD721" s="35">
        <f>IFERROR((TA[[#This Row],[Work Completion time on fault]]-TA[[#This Row],[Fault Time]])*24,"")</f>
        <v>12.216666666666665</v>
      </c>
      <c r="AE721" t="s">
        <v>328</v>
      </c>
      <c r="AF721" t="s">
        <v>256</v>
      </c>
      <c r="AG721" s="2"/>
      <c r="AH721" s="44">
        <f>1-COS(RADIANS(TA[[#This Row],[Avg. Target Angle during Fault Time (Radians)]]-TA[[#This Row],[Angle of affected equipment ]]))</f>
        <v>0.11705240714107301</v>
      </c>
      <c r="AI721" s="35">
        <f>IFERROR(TA[[#This Row],[Breakdown Time]]*TA[[#This Row],[Plant Equivalent Weightage]],"")</f>
        <v>0.10531609195402293</v>
      </c>
    </row>
    <row r="722" spans="1:35">
      <c r="A722" s="2">
        <f t="shared" si="47"/>
        <v>719</v>
      </c>
      <c r="B722" s="156">
        <f t="shared" si="52"/>
        <v>2026</v>
      </c>
      <c r="C722" s="129">
        <f t="shared" si="53"/>
        <v>2025</v>
      </c>
      <c r="D722" s="2" t="s">
        <v>155</v>
      </c>
      <c r="E722" s="2" t="s">
        <v>155</v>
      </c>
      <c r="F722" s="39">
        <v>45778</v>
      </c>
      <c r="G722" s="2">
        <f>DAY(EOMONTH(TA[[#This Row],[Month Year]],0))</f>
        <v>31</v>
      </c>
      <c r="H722" s="21">
        <v>45794</v>
      </c>
      <c r="I722" s="41">
        <f>IFERROR(VLOOKUP(TA[[#This Row],[Date]],Raw_Data[[Date]:[Sunset Time (POA&lt;20 W/m2)]],3,0),"")</f>
        <v>0.25138888888888888</v>
      </c>
      <c r="J722" s="41">
        <f>IFERROR(VLOOKUP(TA[[#This Row],[Date]],Raw_Data[[Date]:[Sunset Time (POA&lt;20 W/m2)]],4,0),"")</f>
        <v>0.76041666666666663</v>
      </c>
      <c r="K722" s="35">
        <f>IFERROR((TA[[#This Row],[Sunset Time (POA&lt;20 W/m2)]]-TA[[#This Row],[Sunrise Time (POA&gt;20 W/m2)]])*24,"")</f>
        <v>12.216666666666665</v>
      </c>
      <c r="L722" s="2" t="s">
        <v>294</v>
      </c>
      <c r="M722" s="42">
        <f>IFERROR(VLOOKUP(TA[[#This Row],[Affected Equipment]],'Basic Data'!$I$2:$K$40,3,0),"")</f>
        <v>1.7241379310344799E-3</v>
      </c>
      <c r="N722">
        <v>-28</v>
      </c>
      <c r="O722" t="s">
        <v>133</v>
      </c>
      <c r="P722" s="127" t="s">
        <v>316</v>
      </c>
      <c r="Q722" s="126" t="s">
        <v>317</v>
      </c>
      <c r="R722">
        <v>7</v>
      </c>
      <c r="S722" s="2">
        <v>32</v>
      </c>
      <c r="T722" t="s">
        <v>295</v>
      </c>
      <c r="U722" t="s">
        <v>300</v>
      </c>
      <c r="V722" t="s">
        <v>298</v>
      </c>
      <c r="W722" s="41"/>
      <c r="X722" s="41"/>
      <c r="Y722" s="34"/>
      <c r="Z722" s="34"/>
      <c r="AA722" s="35">
        <f>IF(TA[[#This Row],[Work Start time on Fault]]="NA","",(TA[[#This Row],[Fault Acknowledgement Time ]]-TA[[#This Row],[Fault Time]])*24)</f>
        <v>0</v>
      </c>
      <c r="AB722" s="35">
        <f>(TA[[#This Row],[Work Start time on Fault]]-TA[[#This Row],[Fault Time]])*24</f>
        <v>0</v>
      </c>
      <c r="AC722" s="34">
        <f>(TA[[#This Row],[Work Completion time on fault]]-TA[[#This Row],[Fault Time]])*24</f>
        <v>0</v>
      </c>
      <c r="AD722" s="35">
        <f>IFERROR((TA[[#This Row],[Work Completion time on fault]]-TA[[#This Row],[Fault Time]])*24,"")</f>
        <v>0</v>
      </c>
      <c r="AE722" t="s">
        <v>328</v>
      </c>
      <c r="AF722" t="s">
        <v>256</v>
      </c>
      <c r="AG722" s="2"/>
      <c r="AH722" s="44">
        <f>1-COS(RADIANS(TA[[#This Row],[Avg. Target Angle during Fault Time (Radians)]]-TA[[#This Row],[Angle of affected equipment ]]))</f>
        <v>0.11705240714107301</v>
      </c>
      <c r="AI722" s="35">
        <f>IFERROR(TA[[#This Row],[Breakdown Time]]*TA[[#This Row],[Plant Equivalent Weightage]],"")</f>
        <v>0</v>
      </c>
    </row>
    <row r="723" spans="1:35">
      <c r="A723" s="2">
        <f t="shared" si="47"/>
        <v>720</v>
      </c>
      <c r="B723" s="156">
        <f t="shared" si="52"/>
        <v>2026</v>
      </c>
      <c r="C723" s="129">
        <f t="shared" si="53"/>
        <v>2025</v>
      </c>
      <c r="D723" s="2" t="s">
        <v>155</v>
      </c>
      <c r="E723" s="2" t="s">
        <v>155</v>
      </c>
      <c r="F723" s="39">
        <v>45778</v>
      </c>
      <c r="G723" s="2">
        <f>DAY(EOMONTH(TA[[#This Row],[Month Year]],0))</f>
        <v>31</v>
      </c>
      <c r="H723" s="21">
        <v>45794</v>
      </c>
      <c r="I723" s="41">
        <f>IFERROR(VLOOKUP(TA[[#This Row],[Date]],Raw_Data[[Date]:[Sunset Time (POA&lt;20 W/m2)]],3,0),"")</f>
        <v>0.25138888888888888</v>
      </c>
      <c r="J723" s="41">
        <f>IFERROR(VLOOKUP(TA[[#This Row],[Date]],Raw_Data[[Date]:[Sunset Time (POA&lt;20 W/m2)]],4,0),"")</f>
        <v>0.76041666666666663</v>
      </c>
      <c r="K723" s="35">
        <f>IFERROR((TA[[#This Row],[Sunset Time (POA&lt;20 W/m2)]]-TA[[#This Row],[Sunrise Time (POA&gt;20 W/m2)]])*24,"")</f>
        <v>12.216666666666665</v>
      </c>
      <c r="L723" s="2" t="s">
        <v>294</v>
      </c>
      <c r="M723" s="42">
        <f>IFERROR(VLOOKUP(TA[[#This Row],[Affected Equipment]],'Basic Data'!$I$2:$K$40,3,0),"")</f>
        <v>1.7241379310344799E-3</v>
      </c>
      <c r="N723">
        <v>-28</v>
      </c>
      <c r="O723" t="s">
        <v>137</v>
      </c>
      <c r="P723" s="127" t="s">
        <v>315</v>
      </c>
      <c r="Q723" s="126" t="s">
        <v>319</v>
      </c>
      <c r="R723">
        <v>166</v>
      </c>
      <c r="S723" s="2">
        <v>91</v>
      </c>
      <c r="T723" t="s">
        <v>295</v>
      </c>
      <c r="U723" t="s">
        <v>300</v>
      </c>
      <c r="V723" t="s">
        <v>298</v>
      </c>
      <c r="W723" s="41"/>
      <c r="X723" s="41"/>
      <c r="Y723" s="34"/>
      <c r="Z723" s="34"/>
      <c r="AA723" s="35">
        <f>IF(TA[[#This Row],[Work Start time on Fault]]="NA","",(TA[[#This Row],[Fault Acknowledgement Time ]]-TA[[#This Row],[Fault Time]])*24)</f>
        <v>0</v>
      </c>
      <c r="AB723" s="35">
        <f>(TA[[#This Row],[Work Start time on Fault]]-TA[[#This Row],[Fault Time]])*24</f>
        <v>0</v>
      </c>
      <c r="AC723" s="34">
        <f>(TA[[#This Row],[Work Completion time on fault]]-TA[[#This Row],[Fault Time]])*24</f>
        <v>0</v>
      </c>
      <c r="AD723" s="35">
        <f>IFERROR((TA[[#This Row],[Work Completion time on fault]]-TA[[#This Row],[Fault Time]])*24,"")</f>
        <v>0</v>
      </c>
      <c r="AE723" t="s">
        <v>328</v>
      </c>
      <c r="AF723" t="s">
        <v>256</v>
      </c>
      <c r="AG723" s="2"/>
      <c r="AH723" s="44">
        <f>1-COS(RADIANS(TA[[#This Row],[Avg. Target Angle during Fault Time (Radians)]]-TA[[#This Row],[Angle of affected equipment ]]))</f>
        <v>0.11705240714107301</v>
      </c>
      <c r="AI723" s="35">
        <f>IFERROR(TA[[#This Row],[Breakdown Time]]*TA[[#This Row],[Plant Equivalent Weightage]],"")</f>
        <v>0</v>
      </c>
    </row>
    <row r="724" spans="1:35">
      <c r="A724" s="2">
        <f t="shared" si="47"/>
        <v>721</v>
      </c>
      <c r="B724" s="156">
        <f t="shared" si="52"/>
        <v>2026</v>
      </c>
      <c r="C724" s="129">
        <f t="shared" si="53"/>
        <v>2025</v>
      </c>
      <c r="D724" s="2" t="s">
        <v>155</v>
      </c>
      <c r="E724" s="2" t="s">
        <v>155</v>
      </c>
      <c r="F724" s="39">
        <v>45778</v>
      </c>
      <c r="G724" s="2">
        <f>DAY(EOMONTH(TA[[#This Row],[Month Year]],0))</f>
        <v>31</v>
      </c>
      <c r="H724" s="21">
        <v>45794</v>
      </c>
      <c r="I724" s="41">
        <f>IFERROR(VLOOKUP(TA[[#This Row],[Date]],Raw_Data[[Date]:[Sunset Time (POA&lt;20 W/m2)]],3,0),"")</f>
        <v>0.25138888888888888</v>
      </c>
      <c r="J724" s="41">
        <f>IFERROR(VLOOKUP(TA[[#This Row],[Date]],Raw_Data[[Date]:[Sunset Time (POA&lt;20 W/m2)]],4,0),"")</f>
        <v>0.76041666666666663</v>
      </c>
      <c r="K724" s="35">
        <f>IFERROR((TA[[#This Row],[Sunset Time (POA&lt;20 W/m2)]]-TA[[#This Row],[Sunrise Time (POA&gt;20 W/m2)]])*24,"")</f>
        <v>12.216666666666665</v>
      </c>
      <c r="L724" s="2" t="s">
        <v>294</v>
      </c>
      <c r="M724" s="42">
        <f>IFERROR(VLOOKUP(TA[[#This Row],[Affected Equipment]],'Basic Data'!$I$2:$K$40,3,0),"")</f>
        <v>1.7241379310344799E-3</v>
      </c>
      <c r="N724">
        <v>-28</v>
      </c>
      <c r="O724" t="s">
        <v>133</v>
      </c>
      <c r="P724" s="127" t="s">
        <v>316</v>
      </c>
      <c r="Q724" s="126" t="s">
        <v>316</v>
      </c>
      <c r="R724">
        <v>117</v>
      </c>
      <c r="S724" s="2">
        <v>20</v>
      </c>
      <c r="T724" t="s">
        <v>295</v>
      </c>
      <c r="U724" t="s">
        <v>300</v>
      </c>
      <c r="V724" t="s">
        <v>298</v>
      </c>
      <c r="W724" s="41"/>
      <c r="X724" s="41"/>
      <c r="Y724" s="34"/>
      <c r="Z724" s="34"/>
      <c r="AA724" s="35">
        <f>IF(TA[[#This Row],[Work Start time on Fault]]="NA","",(TA[[#This Row],[Fault Acknowledgement Time ]]-TA[[#This Row],[Fault Time]])*24)</f>
        <v>0</v>
      </c>
      <c r="AB724" s="35">
        <f>(TA[[#This Row],[Work Start time on Fault]]-TA[[#This Row],[Fault Time]])*24</f>
        <v>0</v>
      </c>
      <c r="AC724" s="34">
        <f>(TA[[#This Row],[Work Completion time on fault]]-TA[[#This Row],[Fault Time]])*24</f>
        <v>0</v>
      </c>
      <c r="AD724" s="35">
        <f>IFERROR((TA[[#This Row],[Work Completion time on fault]]-TA[[#This Row],[Fault Time]])*24,"")</f>
        <v>0</v>
      </c>
      <c r="AE724" t="s">
        <v>328</v>
      </c>
      <c r="AF724" t="s">
        <v>256</v>
      </c>
      <c r="AG724" s="2"/>
      <c r="AH724" s="44">
        <f>1-COS(RADIANS(TA[[#This Row],[Avg. Target Angle during Fault Time (Radians)]]-TA[[#This Row],[Angle of affected equipment ]]))</f>
        <v>0.11705240714107301</v>
      </c>
      <c r="AI724" s="35">
        <f>IFERROR(TA[[#This Row],[Breakdown Time]]*TA[[#This Row],[Plant Equivalent Weightage]],"")</f>
        <v>0</v>
      </c>
    </row>
    <row r="725" spans="1:35">
      <c r="A725" s="2">
        <f t="shared" si="47"/>
        <v>722</v>
      </c>
      <c r="B725" s="156">
        <f t="shared" si="52"/>
        <v>2026</v>
      </c>
      <c r="C725" s="129">
        <f t="shared" si="53"/>
        <v>2025</v>
      </c>
      <c r="D725" s="2" t="s">
        <v>155</v>
      </c>
      <c r="E725" s="2" t="s">
        <v>155</v>
      </c>
      <c r="F725" s="39">
        <v>45778</v>
      </c>
      <c r="G725" s="2">
        <f>DAY(EOMONTH(TA[[#This Row],[Month Year]],0))</f>
        <v>31</v>
      </c>
      <c r="H725" s="21">
        <v>45794</v>
      </c>
      <c r="I725" s="41">
        <f>IFERROR(VLOOKUP(TA[[#This Row],[Date]],Raw_Data[[Date]:[Sunset Time (POA&lt;20 W/m2)]],3,0),"")</f>
        <v>0.25138888888888888</v>
      </c>
      <c r="J725" s="41">
        <f>IFERROR(VLOOKUP(TA[[#This Row],[Date]],Raw_Data[[Date]:[Sunset Time (POA&lt;20 W/m2)]],4,0),"")</f>
        <v>0.76041666666666663</v>
      </c>
      <c r="K725" s="35">
        <f>IFERROR((TA[[#This Row],[Sunset Time (POA&lt;20 W/m2)]]-TA[[#This Row],[Sunrise Time (POA&gt;20 W/m2)]])*24,"")</f>
        <v>12.216666666666665</v>
      </c>
      <c r="L725" s="2" t="s">
        <v>294</v>
      </c>
      <c r="M725" s="42">
        <f>IFERROR(VLOOKUP(TA[[#This Row],[Affected Equipment]],'Basic Data'!$I$2:$K$40,3,0),"")</f>
        <v>1.7241379310344799E-3</v>
      </c>
      <c r="N725">
        <v>-28</v>
      </c>
      <c r="O725" t="s">
        <v>133</v>
      </c>
      <c r="P725" s="127" t="s">
        <v>316</v>
      </c>
      <c r="Q725" s="126" t="s">
        <v>316</v>
      </c>
      <c r="R725">
        <v>118</v>
      </c>
      <c r="S725" s="2">
        <v>22</v>
      </c>
      <c r="T725" t="s">
        <v>295</v>
      </c>
      <c r="U725" t="s">
        <v>300</v>
      </c>
      <c r="V725" t="s">
        <v>298</v>
      </c>
      <c r="W725" s="41"/>
      <c r="X725" s="41"/>
      <c r="Y725" s="34"/>
      <c r="Z725" s="34"/>
      <c r="AA725" s="35">
        <f>IF(TA[[#This Row],[Work Start time on Fault]]="NA","",(TA[[#This Row],[Fault Acknowledgement Time ]]-TA[[#This Row],[Fault Time]])*24)</f>
        <v>0</v>
      </c>
      <c r="AB725" s="35">
        <f>(TA[[#This Row],[Work Start time on Fault]]-TA[[#This Row],[Fault Time]])*24</f>
        <v>0</v>
      </c>
      <c r="AC725" s="34">
        <f>(TA[[#This Row],[Work Completion time on fault]]-TA[[#This Row],[Fault Time]])*24</f>
        <v>0</v>
      </c>
      <c r="AD725" s="35">
        <f>IFERROR((TA[[#This Row],[Work Completion time on fault]]-TA[[#This Row],[Fault Time]])*24,"")</f>
        <v>0</v>
      </c>
      <c r="AE725" t="s">
        <v>328</v>
      </c>
      <c r="AF725" t="s">
        <v>256</v>
      </c>
      <c r="AG725" s="2"/>
      <c r="AH725" s="44">
        <f>1-COS(RADIANS(TA[[#This Row],[Avg. Target Angle during Fault Time (Radians)]]-TA[[#This Row],[Angle of affected equipment ]]))</f>
        <v>0.11705240714107301</v>
      </c>
      <c r="AI725" s="35">
        <f>IFERROR(TA[[#This Row],[Breakdown Time]]*TA[[#This Row],[Plant Equivalent Weightage]],"")</f>
        <v>0</v>
      </c>
    </row>
    <row r="726" spans="1:35">
      <c r="A726" s="2">
        <f t="shared" si="47"/>
        <v>723</v>
      </c>
      <c r="B726" s="156">
        <f t="shared" si="52"/>
        <v>2026</v>
      </c>
      <c r="C726" s="129">
        <f t="shared" si="53"/>
        <v>2025</v>
      </c>
      <c r="D726" s="2" t="s">
        <v>155</v>
      </c>
      <c r="E726" s="2" t="s">
        <v>155</v>
      </c>
      <c r="F726" s="39">
        <v>45778</v>
      </c>
      <c r="G726" s="2">
        <f>DAY(EOMONTH(TA[[#This Row],[Month Year]],0))</f>
        <v>31</v>
      </c>
      <c r="H726" s="21">
        <v>45794</v>
      </c>
      <c r="I726" s="41">
        <f>IFERROR(VLOOKUP(TA[[#This Row],[Date]],Raw_Data[[Date]:[Sunset Time (POA&lt;20 W/m2)]],3,0),"")</f>
        <v>0.25138888888888888</v>
      </c>
      <c r="J726" s="41">
        <f>IFERROR(VLOOKUP(TA[[#This Row],[Date]],Raw_Data[[Date]:[Sunset Time (POA&lt;20 W/m2)]],4,0),"")</f>
        <v>0.76041666666666663</v>
      </c>
      <c r="K726" s="35">
        <f>IFERROR((TA[[#This Row],[Sunset Time (POA&lt;20 W/m2)]]-TA[[#This Row],[Sunrise Time (POA&gt;20 W/m2)]])*24,"")</f>
        <v>12.216666666666665</v>
      </c>
      <c r="L726" s="2" t="s">
        <v>296</v>
      </c>
      <c r="M726" s="42">
        <f>IFERROR(VLOOKUP(TA[[#This Row],[Affected Equipment]],'Basic Data'!$I$2:$K$40,3,0),"")</f>
        <v>8.6206896551724102E-3</v>
      </c>
      <c r="N726">
        <v>-28</v>
      </c>
      <c r="O726" t="s">
        <v>135</v>
      </c>
      <c r="P726" s="22" t="s">
        <v>323</v>
      </c>
      <c r="Q726" s="2" t="s">
        <v>329</v>
      </c>
      <c r="R726">
        <v>45</v>
      </c>
      <c r="S726" s="2">
        <v>8</v>
      </c>
      <c r="T726" t="s">
        <v>297</v>
      </c>
      <c r="U726" t="s">
        <v>300</v>
      </c>
      <c r="V726" t="s">
        <v>301</v>
      </c>
      <c r="W726" s="41"/>
      <c r="X726" s="41"/>
      <c r="Y726" s="34"/>
      <c r="Z726" s="34"/>
      <c r="AA726" s="35">
        <f>IF(TA[[#This Row],[Work Start time on Fault]]="NA","",(TA[[#This Row],[Fault Acknowledgement Time ]]-TA[[#This Row],[Fault Time]])*24)</f>
        <v>0</v>
      </c>
      <c r="AB726" s="35">
        <f>(TA[[#This Row],[Work Start time on Fault]]-TA[[#This Row],[Fault Time]])*24</f>
        <v>0</v>
      </c>
      <c r="AC726" s="34">
        <f>(TA[[#This Row],[Work Completion time on fault]]-TA[[#This Row],[Fault Time]])*24</f>
        <v>0</v>
      </c>
      <c r="AD726" s="35">
        <f>IFERROR((TA[[#This Row],[Work Completion time on fault]]-TA[[#This Row],[Fault Time]])*24,"")</f>
        <v>0</v>
      </c>
      <c r="AE726" t="s">
        <v>328</v>
      </c>
      <c r="AF726" t="s">
        <v>256</v>
      </c>
      <c r="AG726" s="2"/>
      <c r="AH726" s="44">
        <f>1-COS(RADIANS(TA[[#This Row],[Avg. Target Angle during Fault Time (Radians)]]-TA[[#This Row],[Angle of affected equipment ]]))</f>
        <v>0.11705240714107301</v>
      </c>
      <c r="AI726" s="35">
        <f>IFERROR(TA[[#This Row],[Breakdown Time]]*TA[[#This Row],[Plant Equivalent Weightage]],"")</f>
        <v>0</v>
      </c>
    </row>
    <row r="727" spans="1:35">
      <c r="A727" s="2">
        <f t="shared" si="47"/>
        <v>724</v>
      </c>
      <c r="B727" s="156">
        <f t="shared" si="52"/>
        <v>2026</v>
      </c>
      <c r="C727" s="129">
        <f t="shared" si="53"/>
        <v>2025</v>
      </c>
      <c r="D727" s="2" t="s">
        <v>155</v>
      </c>
      <c r="E727" s="2" t="s">
        <v>155</v>
      </c>
      <c r="F727" s="39">
        <v>45778</v>
      </c>
      <c r="G727" s="2">
        <f>DAY(EOMONTH(TA[[#This Row],[Month Year]],0))</f>
        <v>31</v>
      </c>
      <c r="H727" s="21">
        <v>45794</v>
      </c>
      <c r="I727" s="41">
        <f>IFERROR(VLOOKUP(TA[[#This Row],[Date]],Raw_Data[[Date]:[Sunset Time (POA&lt;20 W/m2)]],3,0),"")</f>
        <v>0.25138888888888888</v>
      </c>
      <c r="J727" s="41">
        <f>IFERROR(VLOOKUP(TA[[#This Row],[Date]],Raw_Data[[Date]:[Sunset Time (POA&lt;20 W/m2)]],4,0),"")</f>
        <v>0.76041666666666663</v>
      </c>
      <c r="K727" s="35">
        <f>IFERROR((TA[[#This Row],[Sunset Time (POA&lt;20 W/m2)]]-TA[[#This Row],[Sunrise Time (POA&gt;20 W/m2)]])*24,"")</f>
        <v>12.216666666666665</v>
      </c>
      <c r="L727" s="2" t="s">
        <v>296</v>
      </c>
      <c r="M727" s="42">
        <f>IFERROR(VLOOKUP(TA[[#This Row],[Affected Equipment]],'Basic Data'!$I$2:$K$40,3,0),"")</f>
        <v>8.6206896551724102E-3</v>
      </c>
      <c r="N727">
        <v>-28</v>
      </c>
      <c r="O727" t="s">
        <v>135</v>
      </c>
      <c r="P727" s="22" t="s">
        <v>323</v>
      </c>
      <c r="Q727" s="2" t="s">
        <v>329</v>
      </c>
      <c r="R727">
        <v>47</v>
      </c>
      <c r="S727" s="2">
        <v>18</v>
      </c>
      <c r="T727" t="s">
        <v>297</v>
      </c>
      <c r="U727" t="s">
        <v>300</v>
      </c>
      <c r="V727" t="s">
        <v>301</v>
      </c>
      <c r="W727" s="41"/>
      <c r="X727" s="41"/>
      <c r="Y727" s="34"/>
      <c r="Z727" s="34"/>
      <c r="AA727" s="35">
        <f>IF(TA[[#This Row],[Work Start time on Fault]]="NA","",(TA[[#This Row],[Fault Acknowledgement Time ]]-TA[[#This Row],[Fault Time]])*24)</f>
        <v>0</v>
      </c>
      <c r="AB727" s="35">
        <f>(TA[[#This Row],[Work Start time on Fault]]-TA[[#This Row],[Fault Time]])*24</f>
        <v>0</v>
      </c>
      <c r="AC727" s="34">
        <f>(TA[[#This Row],[Work Completion time on fault]]-TA[[#This Row],[Fault Time]])*24</f>
        <v>0</v>
      </c>
      <c r="AD727" s="35">
        <f>IFERROR((TA[[#This Row],[Work Completion time on fault]]-TA[[#This Row],[Fault Time]])*24,"")</f>
        <v>0</v>
      </c>
      <c r="AE727" t="s">
        <v>328</v>
      </c>
      <c r="AF727" t="s">
        <v>256</v>
      </c>
      <c r="AG727" s="2"/>
      <c r="AH727" s="44">
        <f>1-COS(RADIANS(TA[[#This Row],[Avg. Target Angle during Fault Time (Radians)]]-TA[[#This Row],[Angle of affected equipment ]]))</f>
        <v>0.11705240714107301</v>
      </c>
      <c r="AI727" s="35">
        <f>IFERROR(TA[[#This Row],[Breakdown Time]]*TA[[#This Row],[Plant Equivalent Weightage]],"")</f>
        <v>0</v>
      </c>
    </row>
    <row r="728" spans="1:35">
      <c r="A728" s="2">
        <f t="shared" si="47"/>
        <v>725</v>
      </c>
      <c r="B728" s="156">
        <f t="shared" si="52"/>
        <v>2026</v>
      </c>
      <c r="C728" s="129">
        <f t="shared" si="53"/>
        <v>2025</v>
      </c>
      <c r="D728" s="2" t="s">
        <v>155</v>
      </c>
      <c r="E728" s="2" t="s">
        <v>155</v>
      </c>
      <c r="F728" s="39">
        <v>45778</v>
      </c>
      <c r="G728" s="2">
        <f>DAY(EOMONTH(TA[[#This Row],[Month Year]],0))</f>
        <v>31</v>
      </c>
      <c r="H728" s="21">
        <v>45794</v>
      </c>
      <c r="I728" s="41">
        <f>IFERROR(VLOOKUP(TA[[#This Row],[Date]],Raw_Data[[Date]:[Sunset Time (POA&lt;20 W/m2)]],3,0),"")</f>
        <v>0.25138888888888888</v>
      </c>
      <c r="J728" s="41">
        <f>IFERROR(VLOOKUP(TA[[#This Row],[Date]],Raw_Data[[Date]:[Sunset Time (POA&lt;20 W/m2)]],4,0),"")</f>
        <v>0.76041666666666663</v>
      </c>
      <c r="K728" s="35">
        <f>IFERROR((TA[[#This Row],[Sunset Time (POA&lt;20 W/m2)]]-TA[[#This Row],[Sunrise Time (POA&gt;20 W/m2)]])*24,"")</f>
        <v>12.216666666666665</v>
      </c>
      <c r="L728" s="2" t="s">
        <v>296</v>
      </c>
      <c r="M728" s="42">
        <f>IFERROR(VLOOKUP(TA[[#This Row],[Affected Equipment]],'Basic Data'!$I$2:$K$40,3,0),"")</f>
        <v>8.6206896551724102E-3</v>
      </c>
      <c r="N728">
        <v>-28</v>
      </c>
      <c r="O728" t="s">
        <v>134</v>
      </c>
      <c r="P728" s="22" t="s">
        <v>330</v>
      </c>
      <c r="Q728" s="2" t="s">
        <v>323</v>
      </c>
      <c r="R728">
        <v>30</v>
      </c>
      <c r="S728" s="2">
        <v>57</v>
      </c>
      <c r="T728" t="s">
        <v>297</v>
      </c>
      <c r="U728" t="s">
        <v>300</v>
      </c>
      <c r="V728" t="s">
        <v>301</v>
      </c>
      <c r="W728" s="41"/>
      <c r="X728" s="41"/>
      <c r="Y728" s="34"/>
      <c r="Z728" s="34"/>
      <c r="AA728" s="35">
        <f>IF(TA[[#This Row],[Work Start time on Fault]]="NA","",(TA[[#This Row],[Fault Acknowledgement Time ]]-TA[[#This Row],[Fault Time]])*24)</f>
        <v>0</v>
      </c>
      <c r="AB728" s="35">
        <f>(TA[[#This Row],[Work Start time on Fault]]-TA[[#This Row],[Fault Time]])*24</f>
        <v>0</v>
      </c>
      <c r="AC728" s="34">
        <f>(TA[[#This Row],[Work Completion time on fault]]-TA[[#This Row],[Fault Time]])*24</f>
        <v>0</v>
      </c>
      <c r="AD728" s="35">
        <f>IFERROR((TA[[#This Row],[Work Completion time on fault]]-TA[[#This Row],[Fault Time]])*24,"")</f>
        <v>0</v>
      </c>
      <c r="AE728" t="s">
        <v>328</v>
      </c>
      <c r="AF728" t="s">
        <v>256</v>
      </c>
      <c r="AG728" s="2"/>
      <c r="AH728" s="44">
        <f>1-COS(RADIANS(TA[[#This Row],[Avg. Target Angle during Fault Time (Radians)]]-TA[[#This Row],[Angle of affected equipment ]]))</f>
        <v>0.11705240714107301</v>
      </c>
      <c r="AI728" s="35">
        <f>IFERROR(TA[[#This Row],[Breakdown Time]]*TA[[#This Row],[Plant Equivalent Weightage]],"")</f>
        <v>0</v>
      </c>
    </row>
    <row r="729" spans="1:35">
      <c r="A729" s="2">
        <f t="shared" si="47"/>
        <v>726</v>
      </c>
      <c r="B729" s="156">
        <f t="shared" si="52"/>
        <v>2026</v>
      </c>
      <c r="C729" s="129">
        <f t="shared" si="53"/>
        <v>2025</v>
      </c>
      <c r="D729" s="2" t="s">
        <v>155</v>
      </c>
      <c r="E729" s="2" t="s">
        <v>155</v>
      </c>
      <c r="F729" s="39">
        <v>45778</v>
      </c>
      <c r="G729" s="2">
        <f>DAY(EOMONTH(TA[[#This Row],[Month Year]],0))</f>
        <v>31</v>
      </c>
      <c r="H729" s="21">
        <v>45794</v>
      </c>
      <c r="I729" s="41">
        <f>IFERROR(VLOOKUP(TA[[#This Row],[Date]],Raw_Data[[Date]:[Sunset Time (POA&lt;20 W/m2)]],3,0),"")</f>
        <v>0.25138888888888888</v>
      </c>
      <c r="J729" s="41">
        <f>IFERROR(VLOOKUP(TA[[#This Row],[Date]],Raw_Data[[Date]:[Sunset Time (POA&lt;20 W/m2)]],4,0),"")</f>
        <v>0.76041666666666663</v>
      </c>
      <c r="K729" s="35">
        <f>IFERROR((TA[[#This Row],[Sunset Time (POA&lt;20 W/m2)]]-TA[[#This Row],[Sunrise Time (POA&gt;20 W/m2)]])*24,"")</f>
        <v>12.216666666666665</v>
      </c>
      <c r="L729" s="2" t="s">
        <v>296</v>
      </c>
      <c r="M729" s="42">
        <f>IFERROR(VLOOKUP(TA[[#This Row],[Affected Equipment]],'Basic Data'!$I$2:$K$40,3,0),"")</f>
        <v>8.6206896551724102E-3</v>
      </c>
      <c r="N729">
        <v>-28</v>
      </c>
      <c r="O729" t="s">
        <v>134</v>
      </c>
      <c r="P729" s="22" t="s">
        <v>330</v>
      </c>
      <c r="Q729" s="2" t="s">
        <v>323</v>
      </c>
      <c r="R729">
        <v>31</v>
      </c>
      <c r="S729" s="2">
        <v>61</v>
      </c>
      <c r="T729" t="s">
        <v>297</v>
      </c>
      <c r="U729" t="s">
        <v>300</v>
      </c>
      <c r="V729" t="s">
        <v>301</v>
      </c>
      <c r="W729" s="41"/>
      <c r="X729" s="41"/>
      <c r="Y729" s="34"/>
      <c r="Z729" s="34"/>
      <c r="AA729" s="35">
        <f>IF(TA[[#This Row],[Work Start time on Fault]]="NA","",(TA[[#This Row],[Fault Acknowledgement Time ]]-TA[[#This Row],[Fault Time]])*24)</f>
        <v>0</v>
      </c>
      <c r="AB729" s="35">
        <f>(TA[[#This Row],[Work Start time on Fault]]-TA[[#This Row],[Fault Time]])*24</f>
        <v>0</v>
      </c>
      <c r="AC729" s="34">
        <f>(TA[[#This Row],[Work Completion time on fault]]-TA[[#This Row],[Fault Time]])*24</f>
        <v>0</v>
      </c>
      <c r="AD729" s="35">
        <f>IFERROR((TA[[#This Row],[Work Completion time on fault]]-TA[[#This Row],[Fault Time]])*24,"")</f>
        <v>0</v>
      </c>
      <c r="AE729" t="s">
        <v>328</v>
      </c>
      <c r="AF729" t="s">
        <v>256</v>
      </c>
      <c r="AG729" s="2"/>
      <c r="AH729" s="44">
        <f>1-COS(RADIANS(TA[[#This Row],[Avg. Target Angle during Fault Time (Radians)]]-TA[[#This Row],[Angle of affected equipment ]]))</f>
        <v>0.11705240714107301</v>
      </c>
      <c r="AI729" s="35">
        <f>IFERROR(TA[[#This Row],[Breakdown Time]]*TA[[#This Row],[Plant Equivalent Weightage]],"")</f>
        <v>0</v>
      </c>
    </row>
    <row r="730" spans="1:35">
      <c r="A730" s="2">
        <f t="shared" si="47"/>
        <v>727</v>
      </c>
      <c r="B730" s="156">
        <f t="shared" si="52"/>
        <v>2026</v>
      </c>
      <c r="C730" s="129">
        <f t="shared" si="53"/>
        <v>2025</v>
      </c>
      <c r="D730" s="2" t="s">
        <v>155</v>
      </c>
      <c r="E730" s="2" t="s">
        <v>155</v>
      </c>
      <c r="F730" s="39">
        <v>45778</v>
      </c>
      <c r="G730" s="2">
        <f>DAY(EOMONTH(TA[[#This Row],[Month Year]],0))</f>
        <v>31</v>
      </c>
      <c r="H730" s="21">
        <v>45794</v>
      </c>
      <c r="I730" s="41">
        <f>IFERROR(VLOOKUP(TA[[#This Row],[Date]],Raw_Data[[Date]:[Sunset Time (POA&lt;20 W/m2)]],3,0),"")</f>
        <v>0.25138888888888888</v>
      </c>
      <c r="J730" s="41">
        <f>IFERROR(VLOOKUP(TA[[#This Row],[Date]],Raw_Data[[Date]:[Sunset Time (POA&lt;20 W/m2)]],4,0),"")</f>
        <v>0.76041666666666663</v>
      </c>
      <c r="K730" s="35">
        <f>IFERROR((TA[[#This Row],[Sunset Time (POA&lt;20 W/m2)]]-TA[[#This Row],[Sunrise Time (POA&gt;20 W/m2)]])*24,"")</f>
        <v>12.216666666666665</v>
      </c>
      <c r="L730" s="2" t="s">
        <v>312</v>
      </c>
      <c r="M730" s="42">
        <f>IFERROR(VLOOKUP(TA[[#This Row],[Affected Equipment]],'Basic Data'!$I$2:$K$40,3,0),"")</f>
        <v>5.74712643678161E-3</v>
      </c>
      <c r="N730">
        <v>-28</v>
      </c>
      <c r="O730" t="s">
        <v>133</v>
      </c>
      <c r="P730" s="22" t="s">
        <v>330</v>
      </c>
      <c r="Q730" s="2" t="s">
        <v>323</v>
      </c>
      <c r="R730">
        <v>26</v>
      </c>
      <c r="S730" s="2">
        <v>37</v>
      </c>
      <c r="T730" t="s">
        <v>297</v>
      </c>
      <c r="U730" t="s">
        <v>300</v>
      </c>
      <c r="V730" t="s">
        <v>301</v>
      </c>
      <c r="W730" s="41"/>
      <c r="X730" s="41"/>
      <c r="Y730" s="34"/>
      <c r="Z730" s="34"/>
      <c r="AA730" s="35">
        <f>IF(TA[[#This Row],[Work Start time on Fault]]="NA","",(TA[[#This Row],[Fault Acknowledgement Time ]]-TA[[#This Row],[Fault Time]])*24)</f>
        <v>0</v>
      </c>
      <c r="AB730" s="35">
        <f>(TA[[#This Row],[Work Start time on Fault]]-TA[[#This Row],[Fault Time]])*24</f>
        <v>0</v>
      </c>
      <c r="AC730" s="34">
        <f>(TA[[#This Row],[Work Completion time on fault]]-TA[[#This Row],[Fault Time]])*24</f>
        <v>0</v>
      </c>
      <c r="AD730" s="35">
        <f>IFERROR((TA[[#This Row],[Work Completion time on fault]]-TA[[#This Row],[Fault Time]])*24,"")</f>
        <v>0</v>
      </c>
      <c r="AE730" t="s">
        <v>328</v>
      </c>
      <c r="AF730" t="s">
        <v>256</v>
      </c>
      <c r="AG730" s="2"/>
      <c r="AH730" s="44">
        <f>1-COS(RADIANS(TA[[#This Row],[Avg. Target Angle during Fault Time (Radians)]]-TA[[#This Row],[Angle of affected equipment ]]))</f>
        <v>0.11705240714107301</v>
      </c>
      <c r="AI730" s="35">
        <f>IFERROR(TA[[#This Row],[Breakdown Time]]*TA[[#This Row],[Plant Equivalent Weightage]],"")</f>
        <v>0</v>
      </c>
    </row>
    <row r="731" spans="1:35">
      <c r="A731" s="2">
        <f t="shared" si="47"/>
        <v>728</v>
      </c>
      <c r="B731" s="156">
        <f t="shared" si="52"/>
        <v>2026</v>
      </c>
      <c r="C731" s="129">
        <f t="shared" si="53"/>
        <v>2025</v>
      </c>
      <c r="D731" s="2" t="s">
        <v>155</v>
      </c>
      <c r="E731" s="2" t="s">
        <v>155</v>
      </c>
      <c r="F731" s="39">
        <v>45778</v>
      </c>
      <c r="G731" s="2">
        <f>DAY(EOMONTH(TA[[#This Row],[Month Year]],0))</f>
        <v>31</v>
      </c>
      <c r="H731" s="21">
        <v>45794</v>
      </c>
      <c r="I731" s="41">
        <f>IFERROR(VLOOKUP(TA[[#This Row],[Date]],Raw_Data[[Date]:[Sunset Time (POA&lt;20 W/m2)]],3,0),"")</f>
        <v>0.25138888888888888</v>
      </c>
      <c r="J731" s="41">
        <f>IFERROR(VLOOKUP(TA[[#This Row],[Date]],Raw_Data[[Date]:[Sunset Time (POA&lt;20 W/m2)]],4,0),"")</f>
        <v>0.76041666666666663</v>
      </c>
      <c r="K731" s="35">
        <f>IFERROR((TA[[#This Row],[Sunset Time (POA&lt;20 W/m2)]]-TA[[#This Row],[Sunrise Time (POA&gt;20 W/m2)]])*24,"")</f>
        <v>12.216666666666665</v>
      </c>
      <c r="L731" s="2" t="s">
        <v>312</v>
      </c>
      <c r="M731" s="42">
        <f>IFERROR(VLOOKUP(TA[[#This Row],[Affected Equipment]],'Basic Data'!$I$2:$K$40,3,0),"")</f>
        <v>5.74712643678161E-3</v>
      </c>
      <c r="N731">
        <v>-28</v>
      </c>
      <c r="O731" t="s">
        <v>133</v>
      </c>
      <c r="P731" s="22" t="s">
        <v>330</v>
      </c>
      <c r="Q731" s="2" t="s">
        <v>323</v>
      </c>
      <c r="R731">
        <v>27</v>
      </c>
      <c r="S731" s="2">
        <v>42</v>
      </c>
      <c r="T731" t="s">
        <v>297</v>
      </c>
      <c r="U731" t="s">
        <v>300</v>
      </c>
      <c r="V731" t="s">
        <v>301</v>
      </c>
      <c r="W731" s="41">
        <f>IFERROR(VLOOKUP(TA[[#This Row],[Date]],Raw_Data[[Date]:[Sunset Time (POA&lt;20 W/m2)]],3,0),"")</f>
        <v>0.25138888888888888</v>
      </c>
      <c r="X731" s="41">
        <f>IFERROR(VLOOKUP(TA[[#This Row],[Date]],Raw_Data[[Date]:[Sunset Time (POA&lt;20 W/m2)]],3,0),"")</f>
        <v>0.25138888888888888</v>
      </c>
      <c r="Y731" s="34"/>
      <c r="Z731" s="34">
        <v>0.76041666666666663</v>
      </c>
      <c r="AA731" s="35">
        <f>IF(TA[[#This Row],[Work Start time on Fault]]="NA","",(TA[[#This Row],[Fault Acknowledgement Time ]]-TA[[#This Row],[Fault Time]])*24)</f>
        <v>0</v>
      </c>
      <c r="AB731" s="35">
        <f>(TA[[#This Row],[Work Start time on Fault]]-TA[[#This Row],[Fault Time]])*24</f>
        <v>-6.0333333333333332</v>
      </c>
      <c r="AC731" s="34">
        <f>(TA[[#This Row],[Work Completion time on fault]]-TA[[#This Row],[Fault Time]])*24</f>
        <v>12.216666666666665</v>
      </c>
      <c r="AD731" s="35">
        <f>IFERROR((TA[[#This Row],[Work Completion time on fault]]-TA[[#This Row],[Fault Time]])*24,"")</f>
        <v>12.216666666666665</v>
      </c>
      <c r="AE731" t="s">
        <v>309</v>
      </c>
      <c r="AF731" t="s">
        <v>256</v>
      </c>
      <c r="AG731" s="2"/>
      <c r="AH731" s="44">
        <f>1-COS(RADIANS(TA[[#This Row],[Avg. Target Angle during Fault Time (Radians)]]-TA[[#This Row],[Angle of affected equipment ]]))</f>
        <v>0.11705240714107301</v>
      </c>
      <c r="AI731" s="35">
        <f>IFERROR(TA[[#This Row],[Breakdown Time]]*TA[[#This Row],[Plant Equivalent Weightage]],"")</f>
        <v>7.0210727969348657E-2</v>
      </c>
    </row>
    <row r="732" spans="1:35">
      <c r="A732" s="2">
        <f t="shared" si="47"/>
        <v>729</v>
      </c>
      <c r="B732" s="156">
        <f t="shared" ref="B732:B745" si="54">YEAR(H732)+IF(MONTH(H732)&gt;=4,1,0)</f>
        <v>2026</v>
      </c>
      <c r="C732" s="129">
        <f t="shared" ref="C732:C745" si="55">YEAR(H732)</f>
        <v>2025</v>
      </c>
      <c r="D732" s="2" t="s">
        <v>155</v>
      </c>
      <c r="E732" s="2" t="s">
        <v>155</v>
      </c>
      <c r="F732" s="39">
        <v>45778</v>
      </c>
      <c r="G732" s="2">
        <f>DAY(EOMONTH(TA[[#This Row],[Month Year]],0))</f>
        <v>31</v>
      </c>
      <c r="H732" s="21">
        <v>45795</v>
      </c>
      <c r="I732" s="41">
        <f>IFERROR(VLOOKUP(TA[[#This Row],[Date]],Raw_Data[[Date]:[Sunset Time (POA&lt;20 W/m2)]],3,0),"")</f>
        <v>0.25208333333333333</v>
      </c>
      <c r="J732" s="41">
        <f>IFERROR(VLOOKUP(TA[[#This Row],[Date]],Raw_Data[[Date]:[Sunset Time (POA&lt;20 W/m2)]],4,0),"")</f>
        <v>0.7729166666666667</v>
      </c>
      <c r="K732" s="35">
        <f>IFERROR((TA[[#This Row],[Sunset Time (POA&lt;20 W/m2)]]-TA[[#This Row],[Sunrise Time (POA&gt;20 W/m2)]])*24,"")</f>
        <v>12.5</v>
      </c>
      <c r="L732" s="2" t="s">
        <v>294</v>
      </c>
      <c r="M732" s="42">
        <f>IFERROR(VLOOKUP(TA[[#This Row],[Affected Equipment]],'Basic Data'!$I$2:$K$40,3,0),"")</f>
        <v>1.7241379310344799E-3</v>
      </c>
      <c r="N732">
        <v>-28</v>
      </c>
      <c r="O732" t="s">
        <v>135</v>
      </c>
      <c r="P732" s="127" t="s">
        <v>318</v>
      </c>
      <c r="Q732" s="126" t="s">
        <v>318</v>
      </c>
      <c r="R732">
        <v>130</v>
      </c>
      <c r="S732" s="2">
        <v>37</v>
      </c>
      <c r="T732" t="s">
        <v>295</v>
      </c>
      <c r="U732" t="s">
        <v>300</v>
      </c>
      <c r="V732" t="s">
        <v>298</v>
      </c>
      <c r="W732" s="41"/>
      <c r="X732" s="41"/>
      <c r="Y732" s="34"/>
      <c r="Z732" s="34"/>
      <c r="AA732" s="35">
        <f>IF(TA[[#This Row],[Work Start time on Fault]]="NA","",(TA[[#This Row],[Fault Acknowledgement Time ]]-TA[[#This Row],[Fault Time]])*24)</f>
        <v>0</v>
      </c>
      <c r="AB732" s="35">
        <f>(TA[[#This Row],[Work Start time on Fault]]-TA[[#This Row],[Fault Time]])*24</f>
        <v>0</v>
      </c>
      <c r="AC732" s="34">
        <f>(TA[[#This Row],[Work Completion time on fault]]-TA[[#This Row],[Fault Time]])*24</f>
        <v>0</v>
      </c>
      <c r="AD732" s="35">
        <f>IFERROR((TA[[#This Row],[Work Completion time on fault]]-TA[[#This Row],[Fault Time]])*24,"")</f>
        <v>0</v>
      </c>
      <c r="AE732" t="s">
        <v>328</v>
      </c>
      <c r="AF732" t="s">
        <v>256</v>
      </c>
      <c r="AG732" s="2"/>
      <c r="AH732" s="44">
        <f>1-COS(RADIANS(TA[[#This Row],[Avg. Target Angle during Fault Time (Radians)]]-TA[[#This Row],[Angle of affected equipment ]]))</f>
        <v>0.11705240714107301</v>
      </c>
      <c r="AI732" s="35">
        <f>IFERROR(TA[[#This Row],[Breakdown Time]]*TA[[#This Row],[Plant Equivalent Weightage]],"")</f>
        <v>0</v>
      </c>
    </row>
    <row r="733" spans="1:35">
      <c r="A733" s="2">
        <f t="shared" si="47"/>
        <v>730</v>
      </c>
      <c r="B733" s="156">
        <f t="shared" si="54"/>
        <v>2026</v>
      </c>
      <c r="C733" s="129">
        <f t="shared" si="55"/>
        <v>2025</v>
      </c>
      <c r="D733" s="2" t="s">
        <v>155</v>
      </c>
      <c r="E733" s="2" t="s">
        <v>155</v>
      </c>
      <c r="F733" s="39">
        <v>45778</v>
      </c>
      <c r="G733" s="2">
        <f>DAY(EOMONTH(TA[[#This Row],[Month Year]],0))</f>
        <v>31</v>
      </c>
      <c r="H733" s="21">
        <v>45795</v>
      </c>
      <c r="I733" s="41">
        <f>IFERROR(VLOOKUP(TA[[#This Row],[Date]],Raw_Data[[Date]:[Sunset Time (POA&lt;20 W/m2)]],3,0),"")</f>
        <v>0.25208333333333333</v>
      </c>
      <c r="J733" s="41">
        <f>IFERROR(VLOOKUP(TA[[#This Row],[Date]],Raw_Data[[Date]:[Sunset Time (POA&lt;20 W/m2)]],4,0),"")</f>
        <v>0.7729166666666667</v>
      </c>
      <c r="K733" s="35">
        <f>IFERROR((TA[[#This Row],[Sunset Time (POA&lt;20 W/m2)]]-TA[[#This Row],[Sunrise Time (POA&gt;20 W/m2)]])*24,"")</f>
        <v>12.5</v>
      </c>
      <c r="L733" s="2" t="s">
        <v>294</v>
      </c>
      <c r="M733" s="42">
        <f>IFERROR(VLOOKUP(TA[[#This Row],[Affected Equipment]],'Basic Data'!$I$2:$K$40,3,0),"")</f>
        <v>1.7241379310344799E-3</v>
      </c>
      <c r="N733">
        <v>-28</v>
      </c>
      <c r="O733" t="s">
        <v>135</v>
      </c>
      <c r="P733" s="127" t="s">
        <v>318</v>
      </c>
      <c r="Q733" s="126" t="s">
        <v>318</v>
      </c>
      <c r="R733">
        <v>131</v>
      </c>
      <c r="S733" s="2">
        <v>38</v>
      </c>
      <c r="T733" t="s">
        <v>295</v>
      </c>
      <c r="U733" t="s">
        <v>300</v>
      </c>
      <c r="V733" t="s">
        <v>298</v>
      </c>
      <c r="W733" s="41"/>
      <c r="X733" s="41"/>
      <c r="Y733" s="34"/>
      <c r="Z733" s="34"/>
      <c r="AA733" s="35">
        <f>IF(TA[[#This Row],[Work Start time on Fault]]="NA","",(TA[[#This Row],[Fault Acknowledgement Time ]]-TA[[#This Row],[Fault Time]])*24)</f>
        <v>0</v>
      </c>
      <c r="AB733" s="35">
        <f>(TA[[#This Row],[Work Start time on Fault]]-TA[[#This Row],[Fault Time]])*24</f>
        <v>0</v>
      </c>
      <c r="AC733" s="34">
        <f>(TA[[#This Row],[Work Completion time on fault]]-TA[[#This Row],[Fault Time]])*24</f>
        <v>0</v>
      </c>
      <c r="AD733" s="35">
        <f>IFERROR((TA[[#This Row],[Work Completion time on fault]]-TA[[#This Row],[Fault Time]])*24,"")</f>
        <v>0</v>
      </c>
      <c r="AE733" t="s">
        <v>328</v>
      </c>
      <c r="AF733" t="s">
        <v>256</v>
      </c>
      <c r="AG733" s="2"/>
      <c r="AH733" s="44">
        <f>1-COS(RADIANS(TA[[#This Row],[Avg. Target Angle during Fault Time (Radians)]]-TA[[#This Row],[Angle of affected equipment ]]))</f>
        <v>0.11705240714107301</v>
      </c>
      <c r="AI733" s="35">
        <f>IFERROR(TA[[#This Row],[Breakdown Time]]*TA[[#This Row],[Plant Equivalent Weightage]],"")</f>
        <v>0</v>
      </c>
    </row>
    <row r="734" spans="1:35">
      <c r="A734" s="2">
        <f t="shared" si="47"/>
        <v>731</v>
      </c>
      <c r="B734" s="156">
        <f t="shared" si="54"/>
        <v>2026</v>
      </c>
      <c r="C734" s="129">
        <f t="shared" si="55"/>
        <v>2025</v>
      </c>
      <c r="D734" s="2" t="s">
        <v>155</v>
      </c>
      <c r="E734" s="2" t="s">
        <v>155</v>
      </c>
      <c r="F734" s="39">
        <v>45778</v>
      </c>
      <c r="G734" s="2">
        <f>DAY(EOMONTH(TA[[#This Row],[Month Year]],0))</f>
        <v>31</v>
      </c>
      <c r="H734" s="21">
        <v>45795</v>
      </c>
      <c r="I734" s="41">
        <f>IFERROR(VLOOKUP(TA[[#This Row],[Date]],Raw_Data[[Date]:[Sunset Time (POA&lt;20 W/m2)]],3,0),"")</f>
        <v>0.25208333333333333</v>
      </c>
      <c r="J734" s="41">
        <f>IFERROR(VLOOKUP(TA[[#This Row],[Date]],Raw_Data[[Date]:[Sunset Time (POA&lt;20 W/m2)]],4,0),"")</f>
        <v>0.7729166666666667</v>
      </c>
      <c r="K734" s="35">
        <f>IFERROR((TA[[#This Row],[Sunset Time (POA&lt;20 W/m2)]]-TA[[#This Row],[Sunrise Time (POA&gt;20 W/m2)]])*24,"")</f>
        <v>12.5</v>
      </c>
      <c r="L734" s="2" t="s">
        <v>294</v>
      </c>
      <c r="M734" s="42">
        <f>IFERROR(VLOOKUP(TA[[#This Row],[Affected Equipment]],'Basic Data'!$I$2:$K$40,3,0),"")</f>
        <v>1.7241379310344799E-3</v>
      </c>
      <c r="N734">
        <v>-28</v>
      </c>
      <c r="O734" t="s">
        <v>135</v>
      </c>
      <c r="P734" s="127" t="s">
        <v>318</v>
      </c>
      <c r="Q734" s="126" t="s">
        <v>318</v>
      </c>
      <c r="R734">
        <v>131</v>
      </c>
      <c r="S734" s="2">
        <v>39</v>
      </c>
      <c r="T734" t="s">
        <v>295</v>
      </c>
      <c r="U734" t="s">
        <v>300</v>
      </c>
      <c r="V734" t="s">
        <v>298</v>
      </c>
      <c r="W734" s="41"/>
      <c r="X734" s="41"/>
      <c r="Y734" s="34"/>
      <c r="Z734" s="34"/>
      <c r="AA734" s="35">
        <f>IF(TA[[#This Row],[Work Start time on Fault]]="NA","",(TA[[#This Row],[Fault Acknowledgement Time ]]-TA[[#This Row],[Fault Time]])*24)</f>
        <v>0</v>
      </c>
      <c r="AB734" s="35">
        <f>(TA[[#This Row],[Work Start time on Fault]]-TA[[#This Row],[Fault Time]])*24</f>
        <v>0</v>
      </c>
      <c r="AC734" s="34">
        <f>(TA[[#This Row],[Work Completion time on fault]]-TA[[#This Row],[Fault Time]])*24</f>
        <v>0</v>
      </c>
      <c r="AD734" s="35">
        <f>IFERROR((TA[[#This Row],[Work Completion time on fault]]-TA[[#This Row],[Fault Time]])*24,"")</f>
        <v>0</v>
      </c>
      <c r="AE734" t="s">
        <v>328</v>
      </c>
      <c r="AF734" t="s">
        <v>256</v>
      </c>
      <c r="AG734" s="2"/>
      <c r="AH734" s="44">
        <f>1-COS(RADIANS(TA[[#This Row],[Avg. Target Angle during Fault Time (Radians)]]-TA[[#This Row],[Angle of affected equipment ]]))</f>
        <v>0.11705240714107301</v>
      </c>
      <c r="AI734" s="35">
        <f>IFERROR(TA[[#This Row],[Breakdown Time]]*TA[[#This Row],[Plant Equivalent Weightage]],"")</f>
        <v>0</v>
      </c>
    </row>
    <row r="735" spans="1:35">
      <c r="A735" s="2">
        <f t="shared" si="47"/>
        <v>732</v>
      </c>
      <c r="B735" s="156">
        <f t="shared" si="54"/>
        <v>2026</v>
      </c>
      <c r="C735" s="129">
        <f t="shared" si="55"/>
        <v>2025</v>
      </c>
      <c r="D735" s="2" t="s">
        <v>155</v>
      </c>
      <c r="E735" s="2" t="s">
        <v>155</v>
      </c>
      <c r="F735" s="39">
        <v>45778</v>
      </c>
      <c r="G735" s="2">
        <f>DAY(EOMONTH(TA[[#This Row],[Month Year]],0))</f>
        <v>31</v>
      </c>
      <c r="H735" s="21">
        <v>45795</v>
      </c>
      <c r="I735" s="41">
        <f>IFERROR(VLOOKUP(TA[[#This Row],[Date]],Raw_Data[[Date]:[Sunset Time (POA&lt;20 W/m2)]],3,0),"")</f>
        <v>0.25208333333333333</v>
      </c>
      <c r="J735" s="41">
        <f>IFERROR(VLOOKUP(TA[[#This Row],[Date]],Raw_Data[[Date]:[Sunset Time (POA&lt;20 W/m2)]],4,0),"")</f>
        <v>0.7729166666666667</v>
      </c>
      <c r="K735" s="35">
        <f>IFERROR((TA[[#This Row],[Sunset Time (POA&lt;20 W/m2)]]-TA[[#This Row],[Sunrise Time (POA&gt;20 W/m2)]])*24,"")</f>
        <v>12.5</v>
      </c>
      <c r="L735" s="2" t="s">
        <v>296</v>
      </c>
      <c r="M735" s="42">
        <f>IFERROR(VLOOKUP(TA[[#This Row],[Affected Equipment]],'Basic Data'!$I$2:$K$40,3,0),"")</f>
        <v>8.6206896551724102E-3</v>
      </c>
      <c r="N735">
        <v>-28</v>
      </c>
      <c r="O735" t="s">
        <v>135</v>
      </c>
      <c r="P735" s="127" t="s">
        <v>318</v>
      </c>
      <c r="Q735" s="2" t="s">
        <v>321</v>
      </c>
      <c r="R735">
        <v>133</v>
      </c>
      <c r="S735" s="2">
        <v>26</v>
      </c>
      <c r="T735" t="s">
        <v>297</v>
      </c>
      <c r="U735" t="s">
        <v>300</v>
      </c>
      <c r="V735" t="s">
        <v>314</v>
      </c>
      <c r="W735" s="41">
        <f>IFERROR(VLOOKUP(TA[[#This Row],[Date]],Raw_Data[[Date]:[Sunset Time (POA&lt;20 W/m2)]],3,0),"")</f>
        <v>0.25208333333333333</v>
      </c>
      <c r="X735" s="41">
        <f>IFERROR(VLOOKUP(TA[[#This Row],[Date]],Raw_Data[[Date]:[Sunset Time (POA&lt;20 W/m2)]],3,0),"")</f>
        <v>0.25208333333333333</v>
      </c>
      <c r="Y735" s="34"/>
      <c r="Z735" s="34">
        <v>0.76041666666666663</v>
      </c>
      <c r="AA735" s="35">
        <f>IF(TA[[#This Row],[Work Start time on Fault]]="NA","",(TA[[#This Row],[Fault Acknowledgement Time ]]-TA[[#This Row],[Fault Time]])*24)</f>
        <v>0</v>
      </c>
      <c r="AB735" s="35">
        <f>(TA[[#This Row],[Work Start time on Fault]]-TA[[#This Row],[Fault Time]])*24</f>
        <v>-6.05</v>
      </c>
      <c r="AC735" s="34">
        <f>(TA[[#This Row],[Work Completion time on fault]]-TA[[#This Row],[Fault Time]])*24</f>
        <v>12.2</v>
      </c>
      <c r="AD735" s="35">
        <f>IFERROR((TA[[#This Row],[Work Completion time on fault]]-TA[[#This Row],[Fault Time]])*24,"")</f>
        <v>12.2</v>
      </c>
      <c r="AE735" t="s">
        <v>328</v>
      </c>
      <c r="AF735" t="s">
        <v>256</v>
      </c>
      <c r="AG735" s="2"/>
      <c r="AH735" s="44">
        <f>1-COS(RADIANS(TA[[#This Row],[Avg. Target Angle during Fault Time (Radians)]]-TA[[#This Row],[Angle of affected equipment ]]))</f>
        <v>0.11705240714107301</v>
      </c>
      <c r="AI735" s="35">
        <f>IFERROR(TA[[#This Row],[Breakdown Time]]*TA[[#This Row],[Plant Equivalent Weightage]],"")</f>
        <v>0.10517241379310339</v>
      </c>
    </row>
    <row r="736" spans="1:35">
      <c r="A736" s="2">
        <f t="shared" si="47"/>
        <v>733</v>
      </c>
      <c r="B736" s="156">
        <f t="shared" si="54"/>
        <v>2026</v>
      </c>
      <c r="C736" s="129">
        <f t="shared" si="55"/>
        <v>2025</v>
      </c>
      <c r="D736" s="2" t="s">
        <v>155</v>
      </c>
      <c r="E736" s="2" t="s">
        <v>155</v>
      </c>
      <c r="F736" s="39">
        <v>45778</v>
      </c>
      <c r="G736" s="2">
        <f>DAY(EOMONTH(TA[[#This Row],[Month Year]],0))</f>
        <v>31</v>
      </c>
      <c r="H736" s="21">
        <v>45795</v>
      </c>
      <c r="I736" s="41">
        <f>IFERROR(VLOOKUP(TA[[#This Row],[Date]],Raw_Data[[Date]:[Sunset Time (POA&lt;20 W/m2)]],3,0),"")</f>
        <v>0.25208333333333333</v>
      </c>
      <c r="J736" s="41">
        <f>IFERROR(VLOOKUP(TA[[#This Row],[Date]],Raw_Data[[Date]:[Sunset Time (POA&lt;20 W/m2)]],4,0),"")</f>
        <v>0.7729166666666667</v>
      </c>
      <c r="K736" s="35">
        <f>IFERROR((TA[[#This Row],[Sunset Time (POA&lt;20 W/m2)]]-TA[[#This Row],[Sunrise Time (POA&gt;20 W/m2)]])*24,"")</f>
        <v>12.5</v>
      </c>
      <c r="L736" s="2" t="s">
        <v>294</v>
      </c>
      <c r="M736" s="42">
        <f>IFERROR(VLOOKUP(TA[[#This Row],[Affected Equipment]],'Basic Data'!$I$2:$K$40,3,0),"")</f>
        <v>1.7241379310344799E-3</v>
      </c>
      <c r="N736">
        <v>-28</v>
      </c>
      <c r="O736" t="s">
        <v>133</v>
      </c>
      <c r="P736" s="127" t="s">
        <v>316</v>
      </c>
      <c r="Q736" s="126" t="s">
        <v>317</v>
      </c>
      <c r="R736">
        <v>7</v>
      </c>
      <c r="S736" s="2">
        <v>32</v>
      </c>
      <c r="T736" t="s">
        <v>295</v>
      </c>
      <c r="U736" t="s">
        <v>300</v>
      </c>
      <c r="V736" t="s">
        <v>298</v>
      </c>
      <c r="W736" s="41"/>
      <c r="X736" s="41"/>
      <c r="Y736" s="34"/>
      <c r="Z736" s="34"/>
      <c r="AA736" s="35">
        <f>IF(TA[[#This Row],[Work Start time on Fault]]="NA","",(TA[[#This Row],[Fault Acknowledgement Time ]]-TA[[#This Row],[Fault Time]])*24)</f>
        <v>0</v>
      </c>
      <c r="AB736" s="35">
        <f>(TA[[#This Row],[Work Start time on Fault]]-TA[[#This Row],[Fault Time]])*24</f>
        <v>0</v>
      </c>
      <c r="AC736" s="34">
        <f>(TA[[#This Row],[Work Completion time on fault]]-TA[[#This Row],[Fault Time]])*24</f>
        <v>0</v>
      </c>
      <c r="AD736" s="35">
        <f>IFERROR((TA[[#This Row],[Work Completion time on fault]]-TA[[#This Row],[Fault Time]])*24,"")</f>
        <v>0</v>
      </c>
      <c r="AE736" t="s">
        <v>328</v>
      </c>
      <c r="AF736" t="s">
        <v>256</v>
      </c>
      <c r="AG736" s="2"/>
      <c r="AH736" s="44">
        <f>1-COS(RADIANS(TA[[#This Row],[Avg. Target Angle during Fault Time (Radians)]]-TA[[#This Row],[Angle of affected equipment ]]))</f>
        <v>0.11705240714107301</v>
      </c>
      <c r="AI736" s="35">
        <f>IFERROR(TA[[#This Row],[Breakdown Time]]*TA[[#This Row],[Plant Equivalent Weightage]],"")</f>
        <v>0</v>
      </c>
    </row>
    <row r="737" spans="1:35">
      <c r="A737" s="2">
        <f t="shared" si="47"/>
        <v>734</v>
      </c>
      <c r="B737" s="156">
        <f t="shared" si="54"/>
        <v>2026</v>
      </c>
      <c r="C737" s="129">
        <f t="shared" si="55"/>
        <v>2025</v>
      </c>
      <c r="D737" s="2" t="s">
        <v>155</v>
      </c>
      <c r="E737" s="2" t="s">
        <v>155</v>
      </c>
      <c r="F737" s="39">
        <v>45778</v>
      </c>
      <c r="G737" s="2">
        <f>DAY(EOMONTH(TA[[#This Row],[Month Year]],0))</f>
        <v>31</v>
      </c>
      <c r="H737" s="21">
        <v>45795</v>
      </c>
      <c r="I737" s="41">
        <f>IFERROR(VLOOKUP(TA[[#This Row],[Date]],Raw_Data[[Date]:[Sunset Time (POA&lt;20 W/m2)]],3,0),"")</f>
        <v>0.25208333333333333</v>
      </c>
      <c r="J737" s="41">
        <f>IFERROR(VLOOKUP(TA[[#This Row],[Date]],Raw_Data[[Date]:[Sunset Time (POA&lt;20 W/m2)]],4,0),"")</f>
        <v>0.7729166666666667</v>
      </c>
      <c r="K737" s="35">
        <f>IFERROR((TA[[#This Row],[Sunset Time (POA&lt;20 W/m2)]]-TA[[#This Row],[Sunrise Time (POA&gt;20 W/m2)]])*24,"")</f>
        <v>12.5</v>
      </c>
      <c r="L737" s="2" t="s">
        <v>294</v>
      </c>
      <c r="M737" s="42">
        <f>IFERROR(VLOOKUP(TA[[#This Row],[Affected Equipment]],'Basic Data'!$I$2:$K$40,3,0),"")</f>
        <v>1.7241379310344799E-3</v>
      </c>
      <c r="N737">
        <v>-28</v>
      </c>
      <c r="O737" t="s">
        <v>137</v>
      </c>
      <c r="P737" s="127" t="s">
        <v>315</v>
      </c>
      <c r="Q737" s="126" t="s">
        <v>319</v>
      </c>
      <c r="R737">
        <v>166</v>
      </c>
      <c r="S737" s="2">
        <v>91</v>
      </c>
      <c r="T737" t="s">
        <v>295</v>
      </c>
      <c r="U737" t="s">
        <v>300</v>
      </c>
      <c r="V737" t="s">
        <v>298</v>
      </c>
      <c r="W737" s="41"/>
      <c r="X737" s="41"/>
      <c r="Y737" s="34"/>
      <c r="Z737" s="34"/>
      <c r="AA737" s="35">
        <f>IF(TA[[#This Row],[Work Start time on Fault]]="NA","",(TA[[#This Row],[Fault Acknowledgement Time ]]-TA[[#This Row],[Fault Time]])*24)</f>
        <v>0</v>
      </c>
      <c r="AB737" s="35">
        <f>(TA[[#This Row],[Work Start time on Fault]]-TA[[#This Row],[Fault Time]])*24</f>
        <v>0</v>
      </c>
      <c r="AC737" s="34">
        <f>(TA[[#This Row],[Work Completion time on fault]]-TA[[#This Row],[Fault Time]])*24</f>
        <v>0</v>
      </c>
      <c r="AD737" s="35">
        <f>IFERROR((TA[[#This Row],[Work Completion time on fault]]-TA[[#This Row],[Fault Time]])*24,"")</f>
        <v>0</v>
      </c>
      <c r="AE737" t="s">
        <v>328</v>
      </c>
      <c r="AF737" t="s">
        <v>256</v>
      </c>
      <c r="AG737" s="2"/>
      <c r="AH737" s="44">
        <f>1-COS(RADIANS(TA[[#This Row],[Avg. Target Angle during Fault Time (Radians)]]-TA[[#This Row],[Angle of affected equipment ]]))</f>
        <v>0.11705240714107301</v>
      </c>
      <c r="AI737" s="35">
        <f>IFERROR(TA[[#This Row],[Breakdown Time]]*TA[[#This Row],[Plant Equivalent Weightage]],"")</f>
        <v>0</v>
      </c>
    </row>
    <row r="738" spans="1:35">
      <c r="A738" s="2">
        <f t="shared" si="47"/>
        <v>735</v>
      </c>
      <c r="B738" s="156">
        <f t="shared" si="54"/>
        <v>2026</v>
      </c>
      <c r="C738" s="129">
        <f t="shared" si="55"/>
        <v>2025</v>
      </c>
      <c r="D738" s="2" t="s">
        <v>155</v>
      </c>
      <c r="E738" s="2" t="s">
        <v>155</v>
      </c>
      <c r="F738" s="39">
        <v>45778</v>
      </c>
      <c r="G738" s="2">
        <f>DAY(EOMONTH(TA[[#This Row],[Month Year]],0))</f>
        <v>31</v>
      </c>
      <c r="H738" s="21">
        <v>45795</v>
      </c>
      <c r="I738" s="41">
        <f>IFERROR(VLOOKUP(TA[[#This Row],[Date]],Raw_Data[[Date]:[Sunset Time (POA&lt;20 W/m2)]],3,0),"")</f>
        <v>0.25208333333333333</v>
      </c>
      <c r="J738" s="41">
        <f>IFERROR(VLOOKUP(TA[[#This Row],[Date]],Raw_Data[[Date]:[Sunset Time (POA&lt;20 W/m2)]],4,0),"")</f>
        <v>0.7729166666666667</v>
      </c>
      <c r="K738" s="35">
        <f>IFERROR((TA[[#This Row],[Sunset Time (POA&lt;20 W/m2)]]-TA[[#This Row],[Sunrise Time (POA&gt;20 W/m2)]])*24,"")</f>
        <v>12.5</v>
      </c>
      <c r="L738" s="2" t="s">
        <v>294</v>
      </c>
      <c r="M738" s="42">
        <f>IFERROR(VLOOKUP(TA[[#This Row],[Affected Equipment]],'Basic Data'!$I$2:$K$40,3,0),"")</f>
        <v>1.7241379310344799E-3</v>
      </c>
      <c r="N738">
        <v>-28</v>
      </c>
      <c r="O738" t="s">
        <v>133</v>
      </c>
      <c r="P738" s="127" t="s">
        <v>316</v>
      </c>
      <c r="Q738" s="126" t="s">
        <v>316</v>
      </c>
      <c r="R738">
        <v>117</v>
      </c>
      <c r="S738" s="2">
        <v>20</v>
      </c>
      <c r="T738" t="s">
        <v>295</v>
      </c>
      <c r="U738" t="s">
        <v>300</v>
      </c>
      <c r="V738" t="s">
        <v>298</v>
      </c>
      <c r="W738" s="41"/>
      <c r="X738" s="41"/>
      <c r="Y738" s="34"/>
      <c r="Z738" s="34"/>
      <c r="AA738" s="35">
        <f>IF(TA[[#This Row],[Work Start time on Fault]]="NA","",(TA[[#This Row],[Fault Acknowledgement Time ]]-TA[[#This Row],[Fault Time]])*24)</f>
        <v>0</v>
      </c>
      <c r="AB738" s="35">
        <f>(TA[[#This Row],[Work Start time on Fault]]-TA[[#This Row],[Fault Time]])*24</f>
        <v>0</v>
      </c>
      <c r="AC738" s="34">
        <f>(TA[[#This Row],[Work Completion time on fault]]-TA[[#This Row],[Fault Time]])*24</f>
        <v>0</v>
      </c>
      <c r="AD738" s="35">
        <f>IFERROR((TA[[#This Row],[Work Completion time on fault]]-TA[[#This Row],[Fault Time]])*24,"")</f>
        <v>0</v>
      </c>
      <c r="AE738" t="s">
        <v>328</v>
      </c>
      <c r="AF738" t="s">
        <v>256</v>
      </c>
      <c r="AG738" s="2"/>
      <c r="AH738" s="44">
        <f>1-COS(RADIANS(TA[[#This Row],[Avg. Target Angle during Fault Time (Radians)]]-TA[[#This Row],[Angle of affected equipment ]]))</f>
        <v>0.11705240714107301</v>
      </c>
      <c r="AI738" s="35">
        <f>IFERROR(TA[[#This Row],[Breakdown Time]]*TA[[#This Row],[Plant Equivalent Weightage]],"")</f>
        <v>0</v>
      </c>
    </row>
    <row r="739" spans="1:35">
      <c r="A739" s="2">
        <f t="shared" si="47"/>
        <v>736</v>
      </c>
      <c r="B739" s="156">
        <f t="shared" si="54"/>
        <v>2026</v>
      </c>
      <c r="C739" s="129">
        <f t="shared" si="55"/>
        <v>2025</v>
      </c>
      <c r="D739" s="2" t="s">
        <v>155</v>
      </c>
      <c r="E739" s="2" t="s">
        <v>155</v>
      </c>
      <c r="F739" s="39">
        <v>45778</v>
      </c>
      <c r="G739" s="2">
        <f>DAY(EOMONTH(TA[[#This Row],[Month Year]],0))</f>
        <v>31</v>
      </c>
      <c r="H739" s="21">
        <v>45795</v>
      </c>
      <c r="I739" s="41">
        <f>IFERROR(VLOOKUP(TA[[#This Row],[Date]],Raw_Data[[Date]:[Sunset Time (POA&lt;20 W/m2)]],3,0),"")</f>
        <v>0.25208333333333333</v>
      </c>
      <c r="J739" s="41">
        <f>IFERROR(VLOOKUP(TA[[#This Row],[Date]],Raw_Data[[Date]:[Sunset Time (POA&lt;20 W/m2)]],4,0),"")</f>
        <v>0.7729166666666667</v>
      </c>
      <c r="K739" s="35">
        <f>IFERROR((TA[[#This Row],[Sunset Time (POA&lt;20 W/m2)]]-TA[[#This Row],[Sunrise Time (POA&gt;20 W/m2)]])*24,"")</f>
        <v>12.5</v>
      </c>
      <c r="L739" s="2" t="s">
        <v>294</v>
      </c>
      <c r="M739" s="42">
        <f>IFERROR(VLOOKUP(TA[[#This Row],[Affected Equipment]],'Basic Data'!$I$2:$K$40,3,0),"")</f>
        <v>1.7241379310344799E-3</v>
      </c>
      <c r="N739">
        <v>-28</v>
      </c>
      <c r="O739" t="s">
        <v>133</v>
      </c>
      <c r="P739" s="127" t="s">
        <v>316</v>
      </c>
      <c r="Q739" s="126" t="s">
        <v>316</v>
      </c>
      <c r="R739">
        <v>118</v>
      </c>
      <c r="S739" s="2">
        <v>22</v>
      </c>
      <c r="T739" t="s">
        <v>295</v>
      </c>
      <c r="U739" t="s">
        <v>300</v>
      </c>
      <c r="V739" t="s">
        <v>298</v>
      </c>
      <c r="W739" s="41"/>
      <c r="X739" s="41"/>
      <c r="Y739" s="34"/>
      <c r="Z739" s="34"/>
      <c r="AA739" s="35">
        <f>IF(TA[[#This Row],[Work Start time on Fault]]="NA","",(TA[[#This Row],[Fault Acknowledgement Time ]]-TA[[#This Row],[Fault Time]])*24)</f>
        <v>0</v>
      </c>
      <c r="AB739" s="35">
        <f>(TA[[#This Row],[Work Start time on Fault]]-TA[[#This Row],[Fault Time]])*24</f>
        <v>0</v>
      </c>
      <c r="AC739" s="34">
        <f>(TA[[#This Row],[Work Completion time on fault]]-TA[[#This Row],[Fault Time]])*24</f>
        <v>0</v>
      </c>
      <c r="AD739" s="35">
        <f>IFERROR((TA[[#This Row],[Work Completion time on fault]]-TA[[#This Row],[Fault Time]])*24,"")</f>
        <v>0</v>
      </c>
      <c r="AE739" t="s">
        <v>328</v>
      </c>
      <c r="AF739" t="s">
        <v>256</v>
      </c>
      <c r="AG739" s="2"/>
      <c r="AH739" s="44">
        <f>1-COS(RADIANS(TA[[#This Row],[Avg. Target Angle during Fault Time (Radians)]]-TA[[#This Row],[Angle of affected equipment ]]))</f>
        <v>0.11705240714107301</v>
      </c>
      <c r="AI739" s="35">
        <f>IFERROR(TA[[#This Row],[Breakdown Time]]*TA[[#This Row],[Plant Equivalent Weightage]],"")</f>
        <v>0</v>
      </c>
    </row>
    <row r="740" spans="1:35">
      <c r="A740" s="2">
        <f t="shared" si="47"/>
        <v>737</v>
      </c>
      <c r="B740" s="156">
        <f t="shared" si="54"/>
        <v>2026</v>
      </c>
      <c r="C740" s="129">
        <f t="shared" si="55"/>
        <v>2025</v>
      </c>
      <c r="D740" s="2" t="s">
        <v>155</v>
      </c>
      <c r="E740" s="2" t="s">
        <v>155</v>
      </c>
      <c r="F740" s="39">
        <v>45778</v>
      </c>
      <c r="G740" s="2">
        <f>DAY(EOMONTH(TA[[#This Row],[Month Year]],0))</f>
        <v>31</v>
      </c>
      <c r="H740" s="21">
        <v>45795</v>
      </c>
      <c r="I740" s="41">
        <f>IFERROR(VLOOKUP(TA[[#This Row],[Date]],Raw_Data[[Date]:[Sunset Time (POA&lt;20 W/m2)]],3,0),"")</f>
        <v>0.25208333333333333</v>
      </c>
      <c r="J740" s="41">
        <f>IFERROR(VLOOKUP(TA[[#This Row],[Date]],Raw_Data[[Date]:[Sunset Time (POA&lt;20 W/m2)]],4,0),"")</f>
        <v>0.7729166666666667</v>
      </c>
      <c r="K740" s="35">
        <f>IFERROR((TA[[#This Row],[Sunset Time (POA&lt;20 W/m2)]]-TA[[#This Row],[Sunrise Time (POA&gt;20 W/m2)]])*24,"")</f>
        <v>12.5</v>
      </c>
      <c r="L740" s="2" t="s">
        <v>296</v>
      </c>
      <c r="M740" s="42">
        <f>IFERROR(VLOOKUP(TA[[#This Row],[Affected Equipment]],'Basic Data'!$I$2:$K$40,3,0),"")</f>
        <v>8.6206896551724102E-3</v>
      </c>
      <c r="N740">
        <v>-28</v>
      </c>
      <c r="O740" t="s">
        <v>135</v>
      </c>
      <c r="P740" s="22" t="s">
        <v>323</v>
      </c>
      <c r="Q740" s="2" t="s">
        <v>329</v>
      </c>
      <c r="R740">
        <v>45</v>
      </c>
      <c r="S740" s="2">
        <v>8</v>
      </c>
      <c r="T740" t="s">
        <v>297</v>
      </c>
      <c r="U740" t="s">
        <v>300</v>
      </c>
      <c r="V740" t="s">
        <v>301</v>
      </c>
      <c r="W740" s="41"/>
      <c r="X740" s="41"/>
      <c r="Y740" s="34"/>
      <c r="Z740" s="34"/>
      <c r="AA740" s="35">
        <f>IF(TA[[#This Row],[Work Start time on Fault]]="NA","",(TA[[#This Row],[Fault Acknowledgement Time ]]-TA[[#This Row],[Fault Time]])*24)</f>
        <v>0</v>
      </c>
      <c r="AB740" s="35">
        <f>(TA[[#This Row],[Work Start time on Fault]]-TA[[#This Row],[Fault Time]])*24</f>
        <v>0</v>
      </c>
      <c r="AC740" s="34">
        <f>(TA[[#This Row],[Work Completion time on fault]]-TA[[#This Row],[Fault Time]])*24</f>
        <v>0</v>
      </c>
      <c r="AD740" s="35">
        <f>IFERROR((TA[[#This Row],[Work Completion time on fault]]-TA[[#This Row],[Fault Time]])*24,"")</f>
        <v>0</v>
      </c>
      <c r="AE740" t="s">
        <v>328</v>
      </c>
      <c r="AF740" t="s">
        <v>256</v>
      </c>
      <c r="AG740" s="2"/>
      <c r="AH740" s="44">
        <f>1-COS(RADIANS(TA[[#This Row],[Avg. Target Angle during Fault Time (Radians)]]-TA[[#This Row],[Angle of affected equipment ]]))</f>
        <v>0.11705240714107301</v>
      </c>
      <c r="AI740" s="35">
        <f>IFERROR(TA[[#This Row],[Breakdown Time]]*TA[[#This Row],[Plant Equivalent Weightage]],"")</f>
        <v>0</v>
      </c>
    </row>
    <row r="741" spans="1:35">
      <c r="A741" s="2">
        <f t="shared" si="47"/>
        <v>738</v>
      </c>
      <c r="B741" s="156">
        <f t="shared" si="54"/>
        <v>2026</v>
      </c>
      <c r="C741" s="129">
        <f t="shared" si="55"/>
        <v>2025</v>
      </c>
      <c r="D741" s="2" t="s">
        <v>155</v>
      </c>
      <c r="E741" s="2" t="s">
        <v>155</v>
      </c>
      <c r="F741" s="39">
        <v>45778</v>
      </c>
      <c r="G741" s="2">
        <f>DAY(EOMONTH(TA[[#This Row],[Month Year]],0))</f>
        <v>31</v>
      </c>
      <c r="H741" s="21">
        <v>45795</v>
      </c>
      <c r="I741" s="41">
        <f>IFERROR(VLOOKUP(TA[[#This Row],[Date]],Raw_Data[[Date]:[Sunset Time (POA&lt;20 W/m2)]],3,0),"")</f>
        <v>0.25208333333333333</v>
      </c>
      <c r="J741" s="41">
        <f>IFERROR(VLOOKUP(TA[[#This Row],[Date]],Raw_Data[[Date]:[Sunset Time (POA&lt;20 W/m2)]],4,0),"")</f>
        <v>0.7729166666666667</v>
      </c>
      <c r="K741" s="35">
        <f>IFERROR((TA[[#This Row],[Sunset Time (POA&lt;20 W/m2)]]-TA[[#This Row],[Sunrise Time (POA&gt;20 W/m2)]])*24,"")</f>
        <v>12.5</v>
      </c>
      <c r="L741" s="2" t="s">
        <v>296</v>
      </c>
      <c r="M741" s="42">
        <f>IFERROR(VLOOKUP(TA[[#This Row],[Affected Equipment]],'Basic Data'!$I$2:$K$40,3,0),"")</f>
        <v>8.6206896551724102E-3</v>
      </c>
      <c r="N741">
        <v>-28</v>
      </c>
      <c r="O741" t="s">
        <v>135</v>
      </c>
      <c r="P741" s="22" t="s">
        <v>323</v>
      </c>
      <c r="Q741" s="2" t="s">
        <v>329</v>
      </c>
      <c r="R741">
        <v>47</v>
      </c>
      <c r="S741" s="2">
        <v>18</v>
      </c>
      <c r="T741" t="s">
        <v>297</v>
      </c>
      <c r="U741" t="s">
        <v>300</v>
      </c>
      <c r="V741" t="s">
        <v>301</v>
      </c>
      <c r="W741" s="41"/>
      <c r="X741" s="41"/>
      <c r="Y741" s="34"/>
      <c r="Z741" s="34"/>
      <c r="AA741" s="35">
        <f>IF(TA[[#This Row],[Work Start time on Fault]]="NA","",(TA[[#This Row],[Fault Acknowledgement Time ]]-TA[[#This Row],[Fault Time]])*24)</f>
        <v>0</v>
      </c>
      <c r="AB741" s="35">
        <f>(TA[[#This Row],[Work Start time on Fault]]-TA[[#This Row],[Fault Time]])*24</f>
        <v>0</v>
      </c>
      <c r="AC741" s="34">
        <f>(TA[[#This Row],[Work Completion time on fault]]-TA[[#This Row],[Fault Time]])*24</f>
        <v>0</v>
      </c>
      <c r="AD741" s="35">
        <f>IFERROR((TA[[#This Row],[Work Completion time on fault]]-TA[[#This Row],[Fault Time]])*24,"")</f>
        <v>0</v>
      </c>
      <c r="AE741" t="s">
        <v>328</v>
      </c>
      <c r="AF741" t="s">
        <v>256</v>
      </c>
      <c r="AG741" s="2"/>
      <c r="AH741" s="44">
        <f>1-COS(RADIANS(TA[[#This Row],[Avg. Target Angle during Fault Time (Radians)]]-TA[[#This Row],[Angle of affected equipment ]]))</f>
        <v>0.11705240714107301</v>
      </c>
      <c r="AI741" s="35">
        <f>IFERROR(TA[[#This Row],[Breakdown Time]]*TA[[#This Row],[Plant Equivalent Weightage]],"")</f>
        <v>0</v>
      </c>
    </row>
    <row r="742" spans="1:35">
      <c r="A742" s="2">
        <f t="shared" si="47"/>
        <v>739</v>
      </c>
      <c r="B742" s="156">
        <f t="shared" si="54"/>
        <v>2026</v>
      </c>
      <c r="C742" s="129">
        <f t="shared" si="55"/>
        <v>2025</v>
      </c>
      <c r="D742" s="2" t="s">
        <v>155</v>
      </c>
      <c r="E742" s="2" t="s">
        <v>155</v>
      </c>
      <c r="F742" s="39">
        <v>45778</v>
      </c>
      <c r="G742" s="2">
        <f>DAY(EOMONTH(TA[[#This Row],[Month Year]],0))</f>
        <v>31</v>
      </c>
      <c r="H742" s="21">
        <v>45795</v>
      </c>
      <c r="I742" s="41">
        <f>IFERROR(VLOOKUP(TA[[#This Row],[Date]],Raw_Data[[Date]:[Sunset Time (POA&lt;20 W/m2)]],3,0),"")</f>
        <v>0.25208333333333333</v>
      </c>
      <c r="J742" s="41">
        <f>IFERROR(VLOOKUP(TA[[#This Row],[Date]],Raw_Data[[Date]:[Sunset Time (POA&lt;20 W/m2)]],4,0),"")</f>
        <v>0.7729166666666667</v>
      </c>
      <c r="K742" s="35">
        <f>IFERROR((TA[[#This Row],[Sunset Time (POA&lt;20 W/m2)]]-TA[[#This Row],[Sunrise Time (POA&gt;20 W/m2)]])*24,"")</f>
        <v>12.5</v>
      </c>
      <c r="L742" s="2" t="s">
        <v>296</v>
      </c>
      <c r="M742" s="42">
        <f>IFERROR(VLOOKUP(TA[[#This Row],[Affected Equipment]],'Basic Data'!$I$2:$K$40,3,0),"")</f>
        <v>8.6206896551724102E-3</v>
      </c>
      <c r="N742">
        <v>-28</v>
      </c>
      <c r="O742" t="s">
        <v>134</v>
      </c>
      <c r="P742" s="22" t="s">
        <v>330</v>
      </c>
      <c r="Q742" s="2" t="s">
        <v>323</v>
      </c>
      <c r="R742">
        <v>30</v>
      </c>
      <c r="S742" s="2">
        <v>57</v>
      </c>
      <c r="T742" t="s">
        <v>297</v>
      </c>
      <c r="U742" t="s">
        <v>300</v>
      </c>
      <c r="V742" t="s">
        <v>301</v>
      </c>
      <c r="W742" s="41"/>
      <c r="X742" s="41"/>
      <c r="Y742" s="34"/>
      <c r="Z742" s="34"/>
      <c r="AA742" s="35">
        <f>IF(TA[[#This Row],[Work Start time on Fault]]="NA","",(TA[[#This Row],[Fault Acknowledgement Time ]]-TA[[#This Row],[Fault Time]])*24)</f>
        <v>0</v>
      </c>
      <c r="AB742" s="35">
        <f>(TA[[#This Row],[Work Start time on Fault]]-TA[[#This Row],[Fault Time]])*24</f>
        <v>0</v>
      </c>
      <c r="AC742" s="34">
        <f>(TA[[#This Row],[Work Completion time on fault]]-TA[[#This Row],[Fault Time]])*24</f>
        <v>0</v>
      </c>
      <c r="AD742" s="35">
        <f>IFERROR((TA[[#This Row],[Work Completion time on fault]]-TA[[#This Row],[Fault Time]])*24,"")</f>
        <v>0</v>
      </c>
      <c r="AE742" t="s">
        <v>328</v>
      </c>
      <c r="AF742" t="s">
        <v>256</v>
      </c>
      <c r="AG742" s="2"/>
      <c r="AH742" s="44">
        <f>1-COS(RADIANS(TA[[#This Row],[Avg. Target Angle during Fault Time (Radians)]]-TA[[#This Row],[Angle of affected equipment ]]))</f>
        <v>0.11705240714107301</v>
      </c>
      <c r="AI742" s="35">
        <f>IFERROR(TA[[#This Row],[Breakdown Time]]*TA[[#This Row],[Plant Equivalent Weightage]],"")</f>
        <v>0</v>
      </c>
    </row>
    <row r="743" spans="1:35">
      <c r="A743" s="2">
        <f t="shared" ref="A743:A806" si="56">A742+1</f>
        <v>740</v>
      </c>
      <c r="B743" s="156">
        <f t="shared" si="54"/>
        <v>2026</v>
      </c>
      <c r="C743" s="129">
        <f t="shared" si="55"/>
        <v>2025</v>
      </c>
      <c r="D743" s="2" t="s">
        <v>155</v>
      </c>
      <c r="E743" s="2" t="s">
        <v>155</v>
      </c>
      <c r="F743" s="39">
        <v>45778</v>
      </c>
      <c r="G743" s="2">
        <f>DAY(EOMONTH(TA[[#This Row],[Month Year]],0))</f>
        <v>31</v>
      </c>
      <c r="H743" s="21">
        <v>45795</v>
      </c>
      <c r="I743" s="41">
        <f>IFERROR(VLOOKUP(TA[[#This Row],[Date]],Raw_Data[[Date]:[Sunset Time (POA&lt;20 W/m2)]],3,0),"")</f>
        <v>0.25208333333333333</v>
      </c>
      <c r="J743" s="41">
        <f>IFERROR(VLOOKUP(TA[[#This Row],[Date]],Raw_Data[[Date]:[Sunset Time (POA&lt;20 W/m2)]],4,0),"")</f>
        <v>0.7729166666666667</v>
      </c>
      <c r="K743" s="35">
        <f>IFERROR((TA[[#This Row],[Sunset Time (POA&lt;20 W/m2)]]-TA[[#This Row],[Sunrise Time (POA&gt;20 W/m2)]])*24,"")</f>
        <v>12.5</v>
      </c>
      <c r="L743" s="2" t="s">
        <v>296</v>
      </c>
      <c r="M743" s="42">
        <f>IFERROR(VLOOKUP(TA[[#This Row],[Affected Equipment]],'Basic Data'!$I$2:$K$40,3,0),"")</f>
        <v>8.6206896551724102E-3</v>
      </c>
      <c r="N743">
        <v>-28</v>
      </c>
      <c r="O743" t="s">
        <v>134</v>
      </c>
      <c r="P743" s="22" t="s">
        <v>330</v>
      </c>
      <c r="Q743" s="2" t="s">
        <v>323</v>
      </c>
      <c r="R743">
        <v>31</v>
      </c>
      <c r="S743" s="2">
        <v>61</v>
      </c>
      <c r="T743" t="s">
        <v>297</v>
      </c>
      <c r="U743" t="s">
        <v>300</v>
      </c>
      <c r="V743" t="s">
        <v>301</v>
      </c>
      <c r="W743" s="41"/>
      <c r="X743" s="41"/>
      <c r="Y743" s="34"/>
      <c r="Z743" s="34"/>
      <c r="AA743" s="35">
        <f>IF(TA[[#This Row],[Work Start time on Fault]]="NA","",(TA[[#This Row],[Fault Acknowledgement Time ]]-TA[[#This Row],[Fault Time]])*24)</f>
        <v>0</v>
      </c>
      <c r="AB743" s="35">
        <f>(TA[[#This Row],[Work Start time on Fault]]-TA[[#This Row],[Fault Time]])*24</f>
        <v>0</v>
      </c>
      <c r="AC743" s="34">
        <f>(TA[[#This Row],[Work Completion time on fault]]-TA[[#This Row],[Fault Time]])*24</f>
        <v>0</v>
      </c>
      <c r="AD743" s="35">
        <f>IFERROR((TA[[#This Row],[Work Completion time on fault]]-TA[[#This Row],[Fault Time]])*24,"")</f>
        <v>0</v>
      </c>
      <c r="AE743" t="s">
        <v>328</v>
      </c>
      <c r="AF743" t="s">
        <v>256</v>
      </c>
      <c r="AG743" s="2"/>
      <c r="AH743" s="44">
        <f>1-COS(RADIANS(TA[[#This Row],[Avg. Target Angle during Fault Time (Radians)]]-TA[[#This Row],[Angle of affected equipment ]]))</f>
        <v>0.11705240714107301</v>
      </c>
      <c r="AI743" s="35">
        <f>IFERROR(TA[[#This Row],[Breakdown Time]]*TA[[#This Row],[Plant Equivalent Weightage]],"")</f>
        <v>0</v>
      </c>
    </row>
    <row r="744" spans="1:35">
      <c r="A744" s="2">
        <f t="shared" si="56"/>
        <v>741</v>
      </c>
      <c r="B744" s="156">
        <f t="shared" si="54"/>
        <v>2026</v>
      </c>
      <c r="C744" s="129">
        <f t="shared" si="55"/>
        <v>2025</v>
      </c>
      <c r="D744" s="2" t="s">
        <v>155</v>
      </c>
      <c r="E744" s="2" t="s">
        <v>155</v>
      </c>
      <c r="F744" s="39">
        <v>45778</v>
      </c>
      <c r="G744" s="2">
        <f>DAY(EOMONTH(TA[[#This Row],[Month Year]],0))</f>
        <v>31</v>
      </c>
      <c r="H744" s="21">
        <v>45795</v>
      </c>
      <c r="I744" s="41">
        <f>IFERROR(VLOOKUP(TA[[#This Row],[Date]],Raw_Data[[Date]:[Sunset Time (POA&lt;20 W/m2)]],3,0),"")</f>
        <v>0.25208333333333333</v>
      </c>
      <c r="J744" s="41">
        <f>IFERROR(VLOOKUP(TA[[#This Row],[Date]],Raw_Data[[Date]:[Sunset Time (POA&lt;20 W/m2)]],4,0),"")</f>
        <v>0.7729166666666667</v>
      </c>
      <c r="K744" s="35">
        <f>IFERROR((TA[[#This Row],[Sunset Time (POA&lt;20 W/m2)]]-TA[[#This Row],[Sunrise Time (POA&gt;20 W/m2)]])*24,"")</f>
        <v>12.5</v>
      </c>
      <c r="L744" s="2" t="s">
        <v>312</v>
      </c>
      <c r="M744" s="42">
        <f>IFERROR(VLOOKUP(TA[[#This Row],[Affected Equipment]],'Basic Data'!$I$2:$K$40,3,0),"")</f>
        <v>5.74712643678161E-3</v>
      </c>
      <c r="N744">
        <v>-28</v>
      </c>
      <c r="O744" t="s">
        <v>133</v>
      </c>
      <c r="P744" s="22" t="s">
        <v>330</v>
      </c>
      <c r="Q744" s="2" t="s">
        <v>323</v>
      </c>
      <c r="R744">
        <v>26</v>
      </c>
      <c r="S744" s="2">
        <v>37</v>
      </c>
      <c r="T744" t="s">
        <v>297</v>
      </c>
      <c r="U744" t="s">
        <v>300</v>
      </c>
      <c r="V744" t="s">
        <v>301</v>
      </c>
      <c r="W744" s="41"/>
      <c r="X744" s="41"/>
      <c r="Y744" s="34"/>
      <c r="Z744" s="34"/>
      <c r="AA744" s="35">
        <f>IF(TA[[#This Row],[Work Start time on Fault]]="NA","",(TA[[#This Row],[Fault Acknowledgement Time ]]-TA[[#This Row],[Fault Time]])*24)</f>
        <v>0</v>
      </c>
      <c r="AB744" s="35">
        <f>(TA[[#This Row],[Work Start time on Fault]]-TA[[#This Row],[Fault Time]])*24</f>
        <v>0</v>
      </c>
      <c r="AC744" s="34">
        <f>(TA[[#This Row],[Work Completion time on fault]]-TA[[#This Row],[Fault Time]])*24</f>
        <v>0</v>
      </c>
      <c r="AD744" s="35">
        <f>IFERROR((TA[[#This Row],[Work Completion time on fault]]-TA[[#This Row],[Fault Time]])*24,"")</f>
        <v>0</v>
      </c>
      <c r="AE744" t="s">
        <v>328</v>
      </c>
      <c r="AF744" t="s">
        <v>256</v>
      </c>
      <c r="AG744" s="2"/>
      <c r="AH744" s="44">
        <f>1-COS(RADIANS(TA[[#This Row],[Avg. Target Angle during Fault Time (Radians)]]-TA[[#This Row],[Angle of affected equipment ]]))</f>
        <v>0.11705240714107301</v>
      </c>
      <c r="AI744" s="35">
        <f>IFERROR(TA[[#This Row],[Breakdown Time]]*TA[[#This Row],[Plant Equivalent Weightage]],"")</f>
        <v>0</v>
      </c>
    </row>
    <row r="745" spans="1:35">
      <c r="A745" s="2">
        <f t="shared" si="56"/>
        <v>742</v>
      </c>
      <c r="B745" s="156">
        <f t="shared" si="54"/>
        <v>2026</v>
      </c>
      <c r="C745" s="129">
        <f t="shared" si="55"/>
        <v>2025</v>
      </c>
      <c r="D745" s="2" t="s">
        <v>155</v>
      </c>
      <c r="E745" s="2" t="s">
        <v>155</v>
      </c>
      <c r="F745" s="39">
        <v>45778</v>
      </c>
      <c r="G745" s="2">
        <f>DAY(EOMONTH(TA[[#This Row],[Month Year]],0))</f>
        <v>31</v>
      </c>
      <c r="H745" s="21">
        <v>45795</v>
      </c>
      <c r="I745" s="41">
        <f>IFERROR(VLOOKUP(TA[[#This Row],[Date]],Raw_Data[[Date]:[Sunset Time (POA&lt;20 W/m2)]],3,0),"")</f>
        <v>0.25208333333333333</v>
      </c>
      <c r="J745" s="41">
        <f>IFERROR(VLOOKUP(TA[[#This Row],[Date]],Raw_Data[[Date]:[Sunset Time (POA&lt;20 W/m2)]],4,0),"")</f>
        <v>0.7729166666666667</v>
      </c>
      <c r="K745" s="35">
        <f>IFERROR((TA[[#This Row],[Sunset Time (POA&lt;20 W/m2)]]-TA[[#This Row],[Sunrise Time (POA&gt;20 W/m2)]])*24,"")</f>
        <v>12.5</v>
      </c>
      <c r="L745" s="2" t="s">
        <v>312</v>
      </c>
      <c r="M745" s="42">
        <f>IFERROR(VLOOKUP(TA[[#This Row],[Affected Equipment]],'Basic Data'!$I$2:$K$40,3,0),"")</f>
        <v>5.74712643678161E-3</v>
      </c>
      <c r="N745">
        <v>-28</v>
      </c>
      <c r="O745" t="s">
        <v>133</v>
      </c>
      <c r="P745" s="22" t="s">
        <v>330</v>
      </c>
      <c r="Q745" s="2" t="s">
        <v>323</v>
      </c>
      <c r="R745">
        <v>27</v>
      </c>
      <c r="S745" s="2">
        <v>42</v>
      </c>
      <c r="T745" t="s">
        <v>297</v>
      </c>
      <c r="U745" t="s">
        <v>300</v>
      </c>
      <c r="V745" t="s">
        <v>301</v>
      </c>
      <c r="W745" s="41">
        <f>IFERROR(VLOOKUP(TA[[#This Row],[Date]],Raw_Data[[Date]:[Sunset Time (POA&lt;20 W/m2)]],3,0),"")</f>
        <v>0.25208333333333333</v>
      </c>
      <c r="X745" s="41">
        <f>IFERROR(VLOOKUP(TA[[#This Row],[Date]],Raw_Data[[Date]:[Sunset Time (POA&lt;20 W/m2)]],3,0),"")</f>
        <v>0.25208333333333333</v>
      </c>
      <c r="Y745" s="34"/>
      <c r="Z745" s="34">
        <v>0.76041666666666663</v>
      </c>
      <c r="AA745" s="35">
        <f>IF(TA[[#This Row],[Work Start time on Fault]]="NA","",(TA[[#This Row],[Fault Acknowledgement Time ]]-TA[[#This Row],[Fault Time]])*24)</f>
        <v>0</v>
      </c>
      <c r="AB745" s="35">
        <f>(TA[[#This Row],[Work Start time on Fault]]-TA[[#This Row],[Fault Time]])*24</f>
        <v>-6.05</v>
      </c>
      <c r="AC745" s="34">
        <f>(TA[[#This Row],[Work Completion time on fault]]-TA[[#This Row],[Fault Time]])*24</f>
        <v>12.2</v>
      </c>
      <c r="AD745" s="35">
        <f>IFERROR((TA[[#This Row],[Work Completion time on fault]]-TA[[#This Row],[Fault Time]])*24,"")</f>
        <v>12.2</v>
      </c>
      <c r="AE745" t="s">
        <v>309</v>
      </c>
      <c r="AF745" t="s">
        <v>256</v>
      </c>
      <c r="AG745" s="2"/>
      <c r="AH745" s="44">
        <f>1-COS(RADIANS(TA[[#This Row],[Avg. Target Angle during Fault Time (Radians)]]-TA[[#This Row],[Angle of affected equipment ]]))</f>
        <v>0.11705240714107301</v>
      </c>
      <c r="AI745" s="35">
        <f>IFERROR(TA[[#This Row],[Breakdown Time]]*TA[[#This Row],[Plant Equivalent Weightage]],"")</f>
        <v>7.0114942528735638E-2</v>
      </c>
    </row>
    <row r="746" spans="1:35">
      <c r="A746" s="2">
        <f t="shared" si="56"/>
        <v>743</v>
      </c>
      <c r="B746" s="156">
        <f t="shared" ref="B746:B759" si="57">YEAR(H746)+IF(MONTH(H746)&gt;=4,1,0)</f>
        <v>2026</v>
      </c>
      <c r="C746" s="129">
        <f t="shared" ref="C746:C759" si="58">YEAR(H746)</f>
        <v>2025</v>
      </c>
      <c r="D746" s="2" t="s">
        <v>155</v>
      </c>
      <c r="E746" s="2" t="s">
        <v>155</v>
      </c>
      <c r="F746" s="39">
        <v>45778</v>
      </c>
      <c r="G746" s="2">
        <f>DAY(EOMONTH(TA[[#This Row],[Month Year]],0))</f>
        <v>31</v>
      </c>
      <c r="H746" s="21">
        <v>45796</v>
      </c>
      <c r="I746" s="41">
        <f>IFERROR(VLOOKUP(TA[[#This Row],[Date]],Raw_Data[[Date]:[Sunset Time (POA&lt;20 W/m2)]],3,0),"")</f>
        <v>0.25208333333333333</v>
      </c>
      <c r="J746" s="41">
        <f>IFERROR(VLOOKUP(TA[[#This Row],[Date]],Raw_Data[[Date]:[Sunset Time (POA&lt;20 W/m2)]],4,0),"")</f>
        <v>0.77083333333333337</v>
      </c>
      <c r="K746" s="35">
        <f>IFERROR((TA[[#This Row],[Sunset Time (POA&lt;20 W/m2)]]-TA[[#This Row],[Sunrise Time (POA&gt;20 W/m2)]])*24,"")</f>
        <v>12.450000000000001</v>
      </c>
      <c r="L746" s="2" t="s">
        <v>294</v>
      </c>
      <c r="M746" s="42">
        <f>IFERROR(VLOOKUP(TA[[#This Row],[Affected Equipment]],'Basic Data'!$I$2:$K$40,3,0),"")</f>
        <v>1.7241379310344799E-3</v>
      </c>
      <c r="N746">
        <v>-28</v>
      </c>
      <c r="O746" t="s">
        <v>135</v>
      </c>
      <c r="P746" s="127" t="s">
        <v>318</v>
      </c>
      <c r="Q746" s="126" t="s">
        <v>318</v>
      </c>
      <c r="R746">
        <v>130</v>
      </c>
      <c r="S746" s="2">
        <v>37</v>
      </c>
      <c r="T746" t="s">
        <v>295</v>
      </c>
      <c r="U746" t="s">
        <v>300</v>
      </c>
      <c r="V746" t="s">
        <v>298</v>
      </c>
      <c r="W746" s="41"/>
      <c r="X746" s="41"/>
      <c r="Y746" s="34"/>
      <c r="Z746" s="34"/>
      <c r="AA746" s="35">
        <f>IF(TA[[#This Row],[Work Start time on Fault]]="NA","",(TA[[#This Row],[Fault Acknowledgement Time ]]-TA[[#This Row],[Fault Time]])*24)</f>
        <v>0</v>
      </c>
      <c r="AB746" s="35">
        <f>(TA[[#This Row],[Work Start time on Fault]]-TA[[#This Row],[Fault Time]])*24</f>
        <v>0</v>
      </c>
      <c r="AC746" s="34">
        <f>(TA[[#This Row],[Work Completion time on fault]]-TA[[#This Row],[Fault Time]])*24</f>
        <v>0</v>
      </c>
      <c r="AD746" s="35">
        <f>IFERROR((TA[[#This Row],[Work Completion time on fault]]-TA[[#This Row],[Fault Time]])*24,"")</f>
        <v>0</v>
      </c>
      <c r="AE746" t="s">
        <v>328</v>
      </c>
      <c r="AF746" t="s">
        <v>256</v>
      </c>
      <c r="AG746" s="2"/>
      <c r="AH746" s="44">
        <f>1-COS(RADIANS(TA[[#This Row],[Avg. Target Angle during Fault Time (Radians)]]-TA[[#This Row],[Angle of affected equipment ]]))</f>
        <v>0.11705240714107301</v>
      </c>
      <c r="AI746" s="35">
        <f>IFERROR(TA[[#This Row],[Breakdown Time]]*TA[[#This Row],[Plant Equivalent Weightage]],"")</f>
        <v>0</v>
      </c>
    </row>
    <row r="747" spans="1:35">
      <c r="A747" s="2">
        <f t="shared" si="56"/>
        <v>744</v>
      </c>
      <c r="B747" s="156">
        <f t="shared" si="57"/>
        <v>2026</v>
      </c>
      <c r="C747" s="129">
        <f t="shared" si="58"/>
        <v>2025</v>
      </c>
      <c r="D747" s="2" t="s">
        <v>155</v>
      </c>
      <c r="E747" s="2" t="s">
        <v>155</v>
      </c>
      <c r="F747" s="39">
        <v>45778</v>
      </c>
      <c r="G747" s="2">
        <f>DAY(EOMONTH(TA[[#This Row],[Month Year]],0))</f>
        <v>31</v>
      </c>
      <c r="H747" s="21">
        <v>45796</v>
      </c>
      <c r="I747" s="41">
        <f>IFERROR(VLOOKUP(TA[[#This Row],[Date]],Raw_Data[[Date]:[Sunset Time (POA&lt;20 W/m2)]],3,0),"")</f>
        <v>0.25208333333333333</v>
      </c>
      <c r="J747" s="41">
        <f>IFERROR(VLOOKUP(TA[[#This Row],[Date]],Raw_Data[[Date]:[Sunset Time (POA&lt;20 W/m2)]],4,0),"")</f>
        <v>0.77083333333333337</v>
      </c>
      <c r="K747" s="35">
        <f>IFERROR((TA[[#This Row],[Sunset Time (POA&lt;20 W/m2)]]-TA[[#This Row],[Sunrise Time (POA&gt;20 W/m2)]])*24,"")</f>
        <v>12.450000000000001</v>
      </c>
      <c r="L747" s="2" t="s">
        <v>294</v>
      </c>
      <c r="M747" s="42">
        <f>IFERROR(VLOOKUP(TA[[#This Row],[Affected Equipment]],'Basic Data'!$I$2:$K$40,3,0),"")</f>
        <v>1.7241379310344799E-3</v>
      </c>
      <c r="N747">
        <v>-28</v>
      </c>
      <c r="O747" t="s">
        <v>135</v>
      </c>
      <c r="P747" s="127" t="s">
        <v>318</v>
      </c>
      <c r="Q747" s="126" t="s">
        <v>318</v>
      </c>
      <c r="R747">
        <v>131</v>
      </c>
      <c r="S747" s="2">
        <v>38</v>
      </c>
      <c r="T747" t="s">
        <v>295</v>
      </c>
      <c r="U747" t="s">
        <v>300</v>
      </c>
      <c r="V747" t="s">
        <v>298</v>
      </c>
      <c r="W747" s="41"/>
      <c r="X747" s="41"/>
      <c r="Y747" s="34"/>
      <c r="Z747" s="34"/>
      <c r="AA747" s="35">
        <f>IF(TA[[#This Row],[Work Start time on Fault]]="NA","",(TA[[#This Row],[Fault Acknowledgement Time ]]-TA[[#This Row],[Fault Time]])*24)</f>
        <v>0</v>
      </c>
      <c r="AB747" s="35">
        <f>(TA[[#This Row],[Work Start time on Fault]]-TA[[#This Row],[Fault Time]])*24</f>
        <v>0</v>
      </c>
      <c r="AC747" s="34">
        <f>(TA[[#This Row],[Work Completion time on fault]]-TA[[#This Row],[Fault Time]])*24</f>
        <v>0</v>
      </c>
      <c r="AD747" s="35">
        <f>IFERROR((TA[[#This Row],[Work Completion time on fault]]-TA[[#This Row],[Fault Time]])*24,"")</f>
        <v>0</v>
      </c>
      <c r="AE747" t="s">
        <v>328</v>
      </c>
      <c r="AF747" t="s">
        <v>256</v>
      </c>
      <c r="AG747" s="2"/>
      <c r="AH747" s="44">
        <f>1-COS(RADIANS(TA[[#This Row],[Avg. Target Angle during Fault Time (Radians)]]-TA[[#This Row],[Angle of affected equipment ]]))</f>
        <v>0.11705240714107301</v>
      </c>
      <c r="AI747" s="35">
        <f>IFERROR(TA[[#This Row],[Breakdown Time]]*TA[[#This Row],[Plant Equivalent Weightage]],"")</f>
        <v>0</v>
      </c>
    </row>
    <row r="748" spans="1:35">
      <c r="A748" s="2">
        <f t="shared" si="56"/>
        <v>745</v>
      </c>
      <c r="B748" s="156">
        <f t="shared" si="57"/>
        <v>2026</v>
      </c>
      <c r="C748" s="129">
        <f t="shared" si="58"/>
        <v>2025</v>
      </c>
      <c r="D748" s="2" t="s">
        <v>155</v>
      </c>
      <c r="E748" s="2" t="s">
        <v>155</v>
      </c>
      <c r="F748" s="39">
        <v>45778</v>
      </c>
      <c r="G748" s="2">
        <f>DAY(EOMONTH(TA[[#This Row],[Month Year]],0))</f>
        <v>31</v>
      </c>
      <c r="H748" s="21">
        <v>45796</v>
      </c>
      <c r="I748" s="41">
        <f>IFERROR(VLOOKUP(TA[[#This Row],[Date]],Raw_Data[[Date]:[Sunset Time (POA&lt;20 W/m2)]],3,0),"")</f>
        <v>0.25208333333333333</v>
      </c>
      <c r="J748" s="41">
        <f>IFERROR(VLOOKUP(TA[[#This Row],[Date]],Raw_Data[[Date]:[Sunset Time (POA&lt;20 W/m2)]],4,0),"")</f>
        <v>0.77083333333333337</v>
      </c>
      <c r="K748" s="35">
        <f>IFERROR((TA[[#This Row],[Sunset Time (POA&lt;20 W/m2)]]-TA[[#This Row],[Sunrise Time (POA&gt;20 W/m2)]])*24,"")</f>
        <v>12.450000000000001</v>
      </c>
      <c r="L748" s="2" t="s">
        <v>294</v>
      </c>
      <c r="M748" s="42">
        <f>IFERROR(VLOOKUP(TA[[#This Row],[Affected Equipment]],'Basic Data'!$I$2:$K$40,3,0),"")</f>
        <v>1.7241379310344799E-3</v>
      </c>
      <c r="N748">
        <v>-28</v>
      </c>
      <c r="O748" t="s">
        <v>135</v>
      </c>
      <c r="P748" s="127" t="s">
        <v>318</v>
      </c>
      <c r="Q748" s="126" t="s">
        <v>318</v>
      </c>
      <c r="R748">
        <v>131</v>
      </c>
      <c r="S748" s="2">
        <v>39</v>
      </c>
      <c r="T748" t="s">
        <v>295</v>
      </c>
      <c r="U748" t="s">
        <v>300</v>
      </c>
      <c r="V748" t="s">
        <v>298</v>
      </c>
      <c r="W748" s="41"/>
      <c r="X748" s="41"/>
      <c r="Y748" s="34"/>
      <c r="Z748" s="34"/>
      <c r="AA748" s="35">
        <f>IF(TA[[#This Row],[Work Start time on Fault]]="NA","",(TA[[#This Row],[Fault Acknowledgement Time ]]-TA[[#This Row],[Fault Time]])*24)</f>
        <v>0</v>
      </c>
      <c r="AB748" s="35">
        <f>(TA[[#This Row],[Work Start time on Fault]]-TA[[#This Row],[Fault Time]])*24</f>
        <v>0</v>
      </c>
      <c r="AC748" s="34">
        <f>(TA[[#This Row],[Work Completion time on fault]]-TA[[#This Row],[Fault Time]])*24</f>
        <v>0</v>
      </c>
      <c r="AD748" s="35">
        <f>IFERROR((TA[[#This Row],[Work Completion time on fault]]-TA[[#This Row],[Fault Time]])*24,"")</f>
        <v>0</v>
      </c>
      <c r="AE748" t="s">
        <v>328</v>
      </c>
      <c r="AF748" t="s">
        <v>256</v>
      </c>
      <c r="AG748" s="2"/>
      <c r="AH748" s="44">
        <f>1-COS(RADIANS(TA[[#This Row],[Avg. Target Angle during Fault Time (Radians)]]-TA[[#This Row],[Angle of affected equipment ]]))</f>
        <v>0.11705240714107301</v>
      </c>
      <c r="AI748" s="35">
        <f>IFERROR(TA[[#This Row],[Breakdown Time]]*TA[[#This Row],[Plant Equivalent Weightage]],"")</f>
        <v>0</v>
      </c>
    </row>
    <row r="749" spans="1:35">
      <c r="A749" s="2">
        <f t="shared" si="56"/>
        <v>746</v>
      </c>
      <c r="B749" s="156">
        <f t="shared" si="57"/>
        <v>2026</v>
      </c>
      <c r="C749" s="129">
        <f t="shared" si="58"/>
        <v>2025</v>
      </c>
      <c r="D749" s="2" t="s">
        <v>155</v>
      </c>
      <c r="E749" s="2" t="s">
        <v>155</v>
      </c>
      <c r="F749" s="39">
        <v>45778</v>
      </c>
      <c r="G749" s="2">
        <f>DAY(EOMONTH(TA[[#This Row],[Month Year]],0))</f>
        <v>31</v>
      </c>
      <c r="H749" s="21">
        <v>45796</v>
      </c>
      <c r="I749" s="41">
        <f>IFERROR(VLOOKUP(TA[[#This Row],[Date]],Raw_Data[[Date]:[Sunset Time (POA&lt;20 W/m2)]],3,0),"")</f>
        <v>0.25208333333333333</v>
      </c>
      <c r="J749" s="41">
        <f>IFERROR(VLOOKUP(TA[[#This Row],[Date]],Raw_Data[[Date]:[Sunset Time (POA&lt;20 W/m2)]],4,0),"")</f>
        <v>0.77083333333333337</v>
      </c>
      <c r="K749" s="35">
        <f>IFERROR((TA[[#This Row],[Sunset Time (POA&lt;20 W/m2)]]-TA[[#This Row],[Sunrise Time (POA&gt;20 W/m2)]])*24,"")</f>
        <v>12.450000000000001</v>
      </c>
      <c r="L749" s="2" t="s">
        <v>296</v>
      </c>
      <c r="M749" s="42">
        <f>IFERROR(VLOOKUP(TA[[#This Row],[Affected Equipment]],'Basic Data'!$I$2:$K$40,3,0),"")</f>
        <v>8.6206896551724102E-3</v>
      </c>
      <c r="N749">
        <v>-28</v>
      </c>
      <c r="O749" t="s">
        <v>135</v>
      </c>
      <c r="P749" s="127" t="s">
        <v>318</v>
      </c>
      <c r="Q749" s="2" t="s">
        <v>321</v>
      </c>
      <c r="R749">
        <v>133</v>
      </c>
      <c r="S749" s="2">
        <v>26</v>
      </c>
      <c r="T749" t="s">
        <v>297</v>
      </c>
      <c r="U749" t="s">
        <v>300</v>
      </c>
      <c r="V749" t="s">
        <v>314</v>
      </c>
      <c r="W749" s="41">
        <f>IFERROR(VLOOKUP(TA[[#This Row],[Date]],Raw_Data[[Date]:[Sunset Time (POA&lt;20 W/m2)]],3,0),"")</f>
        <v>0.25208333333333333</v>
      </c>
      <c r="X749" s="41">
        <f>IFERROR(VLOOKUP(TA[[#This Row],[Date]],Raw_Data[[Date]:[Sunset Time (POA&lt;20 W/m2)]],3,0),"")</f>
        <v>0.25208333333333333</v>
      </c>
      <c r="Y749" s="34"/>
      <c r="Z749" s="34">
        <v>0.76041666666666663</v>
      </c>
      <c r="AA749" s="35">
        <f>IF(TA[[#This Row],[Work Start time on Fault]]="NA","",(TA[[#This Row],[Fault Acknowledgement Time ]]-TA[[#This Row],[Fault Time]])*24)</f>
        <v>0</v>
      </c>
      <c r="AB749" s="35">
        <f>(TA[[#This Row],[Work Start time on Fault]]-TA[[#This Row],[Fault Time]])*24</f>
        <v>-6.05</v>
      </c>
      <c r="AC749" s="34">
        <f>(TA[[#This Row],[Work Completion time on fault]]-TA[[#This Row],[Fault Time]])*24</f>
        <v>12.2</v>
      </c>
      <c r="AD749" s="35">
        <f>IFERROR((TA[[#This Row],[Work Completion time on fault]]-TA[[#This Row],[Fault Time]])*24,"")</f>
        <v>12.2</v>
      </c>
      <c r="AE749" t="s">
        <v>328</v>
      </c>
      <c r="AF749" t="s">
        <v>256</v>
      </c>
      <c r="AG749" s="2"/>
      <c r="AH749" s="44">
        <f>1-COS(RADIANS(TA[[#This Row],[Avg. Target Angle during Fault Time (Radians)]]-TA[[#This Row],[Angle of affected equipment ]]))</f>
        <v>0.11705240714107301</v>
      </c>
      <c r="AI749" s="35">
        <f>IFERROR(TA[[#This Row],[Breakdown Time]]*TA[[#This Row],[Plant Equivalent Weightage]],"")</f>
        <v>0.10517241379310339</v>
      </c>
    </row>
    <row r="750" spans="1:35">
      <c r="A750" s="2">
        <f t="shared" si="56"/>
        <v>747</v>
      </c>
      <c r="B750" s="156">
        <f t="shared" si="57"/>
        <v>2026</v>
      </c>
      <c r="C750" s="129">
        <f t="shared" si="58"/>
        <v>2025</v>
      </c>
      <c r="D750" s="2" t="s">
        <v>155</v>
      </c>
      <c r="E750" s="2" t="s">
        <v>155</v>
      </c>
      <c r="F750" s="39">
        <v>45778</v>
      </c>
      <c r="G750" s="2">
        <f>DAY(EOMONTH(TA[[#This Row],[Month Year]],0))</f>
        <v>31</v>
      </c>
      <c r="H750" s="21">
        <v>45796</v>
      </c>
      <c r="I750" s="41">
        <f>IFERROR(VLOOKUP(TA[[#This Row],[Date]],Raw_Data[[Date]:[Sunset Time (POA&lt;20 W/m2)]],3,0),"")</f>
        <v>0.25208333333333333</v>
      </c>
      <c r="J750" s="41">
        <f>IFERROR(VLOOKUP(TA[[#This Row],[Date]],Raw_Data[[Date]:[Sunset Time (POA&lt;20 W/m2)]],4,0),"")</f>
        <v>0.77083333333333337</v>
      </c>
      <c r="K750" s="35">
        <f>IFERROR((TA[[#This Row],[Sunset Time (POA&lt;20 W/m2)]]-TA[[#This Row],[Sunrise Time (POA&gt;20 W/m2)]])*24,"")</f>
        <v>12.450000000000001</v>
      </c>
      <c r="L750" s="2" t="s">
        <v>294</v>
      </c>
      <c r="M750" s="42">
        <f>IFERROR(VLOOKUP(TA[[#This Row],[Affected Equipment]],'Basic Data'!$I$2:$K$40,3,0),"")</f>
        <v>1.7241379310344799E-3</v>
      </c>
      <c r="N750">
        <v>-28</v>
      </c>
      <c r="O750" t="s">
        <v>133</v>
      </c>
      <c r="P750" s="127" t="s">
        <v>316</v>
      </c>
      <c r="Q750" s="126" t="s">
        <v>317</v>
      </c>
      <c r="R750">
        <v>7</v>
      </c>
      <c r="S750" s="2">
        <v>32</v>
      </c>
      <c r="T750" t="s">
        <v>295</v>
      </c>
      <c r="U750" t="s">
        <v>300</v>
      </c>
      <c r="V750" t="s">
        <v>298</v>
      </c>
      <c r="W750" s="41"/>
      <c r="X750" s="41"/>
      <c r="Y750" s="34"/>
      <c r="Z750" s="34"/>
      <c r="AA750" s="35">
        <f>IF(TA[[#This Row],[Work Start time on Fault]]="NA","",(TA[[#This Row],[Fault Acknowledgement Time ]]-TA[[#This Row],[Fault Time]])*24)</f>
        <v>0</v>
      </c>
      <c r="AB750" s="35">
        <f>(TA[[#This Row],[Work Start time on Fault]]-TA[[#This Row],[Fault Time]])*24</f>
        <v>0</v>
      </c>
      <c r="AC750" s="34">
        <f>(TA[[#This Row],[Work Completion time on fault]]-TA[[#This Row],[Fault Time]])*24</f>
        <v>0</v>
      </c>
      <c r="AD750" s="35">
        <f>IFERROR((TA[[#This Row],[Work Completion time on fault]]-TA[[#This Row],[Fault Time]])*24,"")</f>
        <v>0</v>
      </c>
      <c r="AE750" t="s">
        <v>328</v>
      </c>
      <c r="AF750" t="s">
        <v>256</v>
      </c>
      <c r="AG750" s="2"/>
      <c r="AH750" s="44">
        <f>1-COS(RADIANS(TA[[#This Row],[Avg. Target Angle during Fault Time (Radians)]]-TA[[#This Row],[Angle of affected equipment ]]))</f>
        <v>0.11705240714107301</v>
      </c>
      <c r="AI750" s="35">
        <f>IFERROR(TA[[#This Row],[Breakdown Time]]*TA[[#This Row],[Plant Equivalent Weightage]],"")</f>
        <v>0</v>
      </c>
    </row>
    <row r="751" spans="1:35">
      <c r="A751" s="2">
        <f t="shared" si="56"/>
        <v>748</v>
      </c>
      <c r="B751" s="156">
        <f t="shared" si="57"/>
        <v>2026</v>
      </c>
      <c r="C751" s="129">
        <f t="shared" si="58"/>
        <v>2025</v>
      </c>
      <c r="D751" s="2" t="s">
        <v>155</v>
      </c>
      <c r="E751" s="2" t="s">
        <v>155</v>
      </c>
      <c r="F751" s="39">
        <v>45778</v>
      </c>
      <c r="G751" s="2">
        <f>DAY(EOMONTH(TA[[#This Row],[Month Year]],0))</f>
        <v>31</v>
      </c>
      <c r="H751" s="21">
        <v>45796</v>
      </c>
      <c r="I751" s="41">
        <f>IFERROR(VLOOKUP(TA[[#This Row],[Date]],Raw_Data[[Date]:[Sunset Time (POA&lt;20 W/m2)]],3,0),"")</f>
        <v>0.25208333333333333</v>
      </c>
      <c r="J751" s="41">
        <f>IFERROR(VLOOKUP(TA[[#This Row],[Date]],Raw_Data[[Date]:[Sunset Time (POA&lt;20 W/m2)]],4,0),"")</f>
        <v>0.77083333333333337</v>
      </c>
      <c r="K751" s="35">
        <f>IFERROR((TA[[#This Row],[Sunset Time (POA&lt;20 W/m2)]]-TA[[#This Row],[Sunrise Time (POA&gt;20 W/m2)]])*24,"")</f>
        <v>12.450000000000001</v>
      </c>
      <c r="L751" s="2" t="s">
        <v>294</v>
      </c>
      <c r="M751" s="42">
        <f>IFERROR(VLOOKUP(TA[[#This Row],[Affected Equipment]],'Basic Data'!$I$2:$K$40,3,0),"")</f>
        <v>1.7241379310344799E-3</v>
      </c>
      <c r="N751">
        <v>-28</v>
      </c>
      <c r="O751" t="s">
        <v>137</v>
      </c>
      <c r="P751" s="127" t="s">
        <v>315</v>
      </c>
      <c r="Q751" s="126" t="s">
        <v>319</v>
      </c>
      <c r="R751">
        <v>166</v>
      </c>
      <c r="S751" s="2">
        <v>91</v>
      </c>
      <c r="T751" t="s">
        <v>295</v>
      </c>
      <c r="U751" t="s">
        <v>300</v>
      </c>
      <c r="V751" t="s">
        <v>298</v>
      </c>
      <c r="W751" s="41"/>
      <c r="X751" s="41"/>
      <c r="Y751" s="34"/>
      <c r="Z751" s="34"/>
      <c r="AA751" s="35">
        <f>IF(TA[[#This Row],[Work Start time on Fault]]="NA","",(TA[[#This Row],[Fault Acknowledgement Time ]]-TA[[#This Row],[Fault Time]])*24)</f>
        <v>0</v>
      </c>
      <c r="AB751" s="35">
        <f>(TA[[#This Row],[Work Start time on Fault]]-TA[[#This Row],[Fault Time]])*24</f>
        <v>0</v>
      </c>
      <c r="AC751" s="34">
        <f>(TA[[#This Row],[Work Completion time on fault]]-TA[[#This Row],[Fault Time]])*24</f>
        <v>0</v>
      </c>
      <c r="AD751" s="35">
        <f>IFERROR((TA[[#This Row],[Work Completion time on fault]]-TA[[#This Row],[Fault Time]])*24,"")</f>
        <v>0</v>
      </c>
      <c r="AE751" t="s">
        <v>328</v>
      </c>
      <c r="AF751" t="s">
        <v>256</v>
      </c>
      <c r="AG751" s="2"/>
      <c r="AH751" s="44">
        <f>1-COS(RADIANS(TA[[#This Row],[Avg. Target Angle during Fault Time (Radians)]]-TA[[#This Row],[Angle of affected equipment ]]))</f>
        <v>0.11705240714107301</v>
      </c>
      <c r="AI751" s="35">
        <f>IFERROR(TA[[#This Row],[Breakdown Time]]*TA[[#This Row],[Plant Equivalent Weightage]],"")</f>
        <v>0</v>
      </c>
    </row>
    <row r="752" spans="1:35">
      <c r="A752" s="2">
        <f t="shared" si="56"/>
        <v>749</v>
      </c>
      <c r="B752" s="156">
        <f t="shared" si="57"/>
        <v>2026</v>
      </c>
      <c r="C752" s="129">
        <f t="shared" si="58"/>
        <v>2025</v>
      </c>
      <c r="D752" s="2" t="s">
        <v>155</v>
      </c>
      <c r="E752" s="2" t="s">
        <v>155</v>
      </c>
      <c r="F752" s="39">
        <v>45778</v>
      </c>
      <c r="G752" s="2">
        <f>DAY(EOMONTH(TA[[#This Row],[Month Year]],0))</f>
        <v>31</v>
      </c>
      <c r="H752" s="21">
        <v>45796</v>
      </c>
      <c r="I752" s="41">
        <f>IFERROR(VLOOKUP(TA[[#This Row],[Date]],Raw_Data[[Date]:[Sunset Time (POA&lt;20 W/m2)]],3,0),"")</f>
        <v>0.25208333333333333</v>
      </c>
      <c r="J752" s="41">
        <f>IFERROR(VLOOKUP(TA[[#This Row],[Date]],Raw_Data[[Date]:[Sunset Time (POA&lt;20 W/m2)]],4,0),"")</f>
        <v>0.77083333333333337</v>
      </c>
      <c r="K752" s="35">
        <f>IFERROR((TA[[#This Row],[Sunset Time (POA&lt;20 W/m2)]]-TA[[#This Row],[Sunrise Time (POA&gt;20 W/m2)]])*24,"")</f>
        <v>12.450000000000001</v>
      </c>
      <c r="L752" s="2" t="s">
        <v>294</v>
      </c>
      <c r="M752" s="42">
        <f>IFERROR(VLOOKUP(TA[[#This Row],[Affected Equipment]],'Basic Data'!$I$2:$K$40,3,0),"")</f>
        <v>1.7241379310344799E-3</v>
      </c>
      <c r="N752">
        <v>-28</v>
      </c>
      <c r="O752" t="s">
        <v>133</v>
      </c>
      <c r="P752" s="127" t="s">
        <v>316</v>
      </c>
      <c r="Q752" s="126" t="s">
        <v>316</v>
      </c>
      <c r="R752">
        <v>117</v>
      </c>
      <c r="S752" s="2">
        <v>20</v>
      </c>
      <c r="T752" t="s">
        <v>295</v>
      </c>
      <c r="U752" t="s">
        <v>300</v>
      </c>
      <c r="V752" t="s">
        <v>298</v>
      </c>
      <c r="W752" s="41"/>
      <c r="X752" s="41"/>
      <c r="Y752" s="34"/>
      <c r="Z752" s="34"/>
      <c r="AA752" s="35">
        <f>IF(TA[[#This Row],[Work Start time on Fault]]="NA","",(TA[[#This Row],[Fault Acknowledgement Time ]]-TA[[#This Row],[Fault Time]])*24)</f>
        <v>0</v>
      </c>
      <c r="AB752" s="35">
        <f>(TA[[#This Row],[Work Start time on Fault]]-TA[[#This Row],[Fault Time]])*24</f>
        <v>0</v>
      </c>
      <c r="AC752" s="34">
        <f>(TA[[#This Row],[Work Completion time on fault]]-TA[[#This Row],[Fault Time]])*24</f>
        <v>0</v>
      </c>
      <c r="AD752" s="35">
        <f>IFERROR((TA[[#This Row],[Work Completion time on fault]]-TA[[#This Row],[Fault Time]])*24,"")</f>
        <v>0</v>
      </c>
      <c r="AE752" t="s">
        <v>328</v>
      </c>
      <c r="AF752" t="s">
        <v>256</v>
      </c>
      <c r="AG752" s="2"/>
      <c r="AH752" s="44">
        <f>1-COS(RADIANS(TA[[#This Row],[Avg. Target Angle during Fault Time (Radians)]]-TA[[#This Row],[Angle of affected equipment ]]))</f>
        <v>0.11705240714107301</v>
      </c>
      <c r="AI752" s="35">
        <f>IFERROR(TA[[#This Row],[Breakdown Time]]*TA[[#This Row],[Plant Equivalent Weightage]],"")</f>
        <v>0</v>
      </c>
    </row>
    <row r="753" spans="1:35">
      <c r="A753" s="2">
        <f t="shared" si="56"/>
        <v>750</v>
      </c>
      <c r="B753" s="156">
        <f t="shared" si="57"/>
        <v>2026</v>
      </c>
      <c r="C753" s="129">
        <f t="shared" si="58"/>
        <v>2025</v>
      </c>
      <c r="D753" s="2" t="s">
        <v>155</v>
      </c>
      <c r="E753" s="2" t="s">
        <v>155</v>
      </c>
      <c r="F753" s="39">
        <v>45778</v>
      </c>
      <c r="G753" s="2">
        <f>DAY(EOMONTH(TA[[#This Row],[Month Year]],0))</f>
        <v>31</v>
      </c>
      <c r="H753" s="21">
        <v>45796</v>
      </c>
      <c r="I753" s="41">
        <f>IFERROR(VLOOKUP(TA[[#This Row],[Date]],Raw_Data[[Date]:[Sunset Time (POA&lt;20 W/m2)]],3,0),"")</f>
        <v>0.25208333333333333</v>
      </c>
      <c r="J753" s="41">
        <f>IFERROR(VLOOKUP(TA[[#This Row],[Date]],Raw_Data[[Date]:[Sunset Time (POA&lt;20 W/m2)]],4,0),"")</f>
        <v>0.77083333333333337</v>
      </c>
      <c r="K753" s="35">
        <f>IFERROR((TA[[#This Row],[Sunset Time (POA&lt;20 W/m2)]]-TA[[#This Row],[Sunrise Time (POA&gt;20 W/m2)]])*24,"")</f>
        <v>12.450000000000001</v>
      </c>
      <c r="L753" s="2" t="s">
        <v>294</v>
      </c>
      <c r="M753" s="42">
        <f>IFERROR(VLOOKUP(TA[[#This Row],[Affected Equipment]],'Basic Data'!$I$2:$K$40,3,0),"")</f>
        <v>1.7241379310344799E-3</v>
      </c>
      <c r="N753">
        <v>-28</v>
      </c>
      <c r="O753" t="s">
        <v>133</v>
      </c>
      <c r="P753" s="127" t="s">
        <v>316</v>
      </c>
      <c r="Q753" s="126" t="s">
        <v>316</v>
      </c>
      <c r="R753">
        <v>118</v>
      </c>
      <c r="S753" s="2">
        <v>22</v>
      </c>
      <c r="T753" t="s">
        <v>295</v>
      </c>
      <c r="U753" t="s">
        <v>300</v>
      </c>
      <c r="V753" t="s">
        <v>298</v>
      </c>
      <c r="W753" s="41"/>
      <c r="X753" s="41"/>
      <c r="Y753" s="34"/>
      <c r="Z753" s="34"/>
      <c r="AA753" s="35">
        <f>IF(TA[[#This Row],[Work Start time on Fault]]="NA","",(TA[[#This Row],[Fault Acknowledgement Time ]]-TA[[#This Row],[Fault Time]])*24)</f>
        <v>0</v>
      </c>
      <c r="AB753" s="35">
        <f>(TA[[#This Row],[Work Start time on Fault]]-TA[[#This Row],[Fault Time]])*24</f>
        <v>0</v>
      </c>
      <c r="AC753" s="34">
        <f>(TA[[#This Row],[Work Completion time on fault]]-TA[[#This Row],[Fault Time]])*24</f>
        <v>0</v>
      </c>
      <c r="AD753" s="35">
        <f>IFERROR((TA[[#This Row],[Work Completion time on fault]]-TA[[#This Row],[Fault Time]])*24,"")</f>
        <v>0</v>
      </c>
      <c r="AE753" t="s">
        <v>328</v>
      </c>
      <c r="AF753" t="s">
        <v>256</v>
      </c>
      <c r="AG753" s="2"/>
      <c r="AH753" s="44">
        <f>1-COS(RADIANS(TA[[#This Row],[Avg. Target Angle during Fault Time (Radians)]]-TA[[#This Row],[Angle of affected equipment ]]))</f>
        <v>0.11705240714107301</v>
      </c>
      <c r="AI753" s="35">
        <f>IFERROR(TA[[#This Row],[Breakdown Time]]*TA[[#This Row],[Plant Equivalent Weightage]],"")</f>
        <v>0</v>
      </c>
    </row>
    <row r="754" spans="1:35">
      <c r="A754" s="2">
        <f t="shared" si="56"/>
        <v>751</v>
      </c>
      <c r="B754" s="156">
        <f t="shared" si="57"/>
        <v>2026</v>
      </c>
      <c r="C754" s="129">
        <f t="shared" si="58"/>
        <v>2025</v>
      </c>
      <c r="D754" s="2" t="s">
        <v>155</v>
      </c>
      <c r="E754" s="2" t="s">
        <v>155</v>
      </c>
      <c r="F754" s="39">
        <v>45778</v>
      </c>
      <c r="G754" s="2">
        <f>DAY(EOMONTH(TA[[#This Row],[Month Year]],0))</f>
        <v>31</v>
      </c>
      <c r="H754" s="21">
        <v>45796</v>
      </c>
      <c r="I754" s="41">
        <f>IFERROR(VLOOKUP(TA[[#This Row],[Date]],Raw_Data[[Date]:[Sunset Time (POA&lt;20 W/m2)]],3,0),"")</f>
        <v>0.25208333333333333</v>
      </c>
      <c r="J754" s="41">
        <f>IFERROR(VLOOKUP(TA[[#This Row],[Date]],Raw_Data[[Date]:[Sunset Time (POA&lt;20 W/m2)]],4,0),"")</f>
        <v>0.77083333333333337</v>
      </c>
      <c r="K754" s="35">
        <f>IFERROR((TA[[#This Row],[Sunset Time (POA&lt;20 W/m2)]]-TA[[#This Row],[Sunrise Time (POA&gt;20 W/m2)]])*24,"")</f>
        <v>12.450000000000001</v>
      </c>
      <c r="L754" s="2" t="s">
        <v>296</v>
      </c>
      <c r="M754" s="42">
        <f>IFERROR(VLOOKUP(TA[[#This Row],[Affected Equipment]],'Basic Data'!$I$2:$K$40,3,0),"")</f>
        <v>8.6206896551724102E-3</v>
      </c>
      <c r="N754">
        <v>-28</v>
      </c>
      <c r="O754" t="s">
        <v>135</v>
      </c>
      <c r="P754" s="22" t="s">
        <v>323</v>
      </c>
      <c r="Q754" s="2" t="s">
        <v>329</v>
      </c>
      <c r="R754">
        <v>45</v>
      </c>
      <c r="S754" s="2">
        <v>8</v>
      </c>
      <c r="T754" t="s">
        <v>297</v>
      </c>
      <c r="U754" t="s">
        <v>300</v>
      </c>
      <c r="V754" t="s">
        <v>301</v>
      </c>
      <c r="W754" s="41"/>
      <c r="X754" s="41"/>
      <c r="Y754" s="34"/>
      <c r="Z754" s="34"/>
      <c r="AA754" s="35">
        <f>IF(TA[[#This Row],[Work Start time on Fault]]="NA","",(TA[[#This Row],[Fault Acknowledgement Time ]]-TA[[#This Row],[Fault Time]])*24)</f>
        <v>0</v>
      </c>
      <c r="AB754" s="35">
        <f>(TA[[#This Row],[Work Start time on Fault]]-TA[[#This Row],[Fault Time]])*24</f>
        <v>0</v>
      </c>
      <c r="AC754" s="34">
        <f>(TA[[#This Row],[Work Completion time on fault]]-TA[[#This Row],[Fault Time]])*24</f>
        <v>0</v>
      </c>
      <c r="AD754" s="35">
        <f>IFERROR((TA[[#This Row],[Work Completion time on fault]]-TA[[#This Row],[Fault Time]])*24,"")</f>
        <v>0</v>
      </c>
      <c r="AE754" t="s">
        <v>328</v>
      </c>
      <c r="AF754" t="s">
        <v>256</v>
      </c>
      <c r="AG754" s="2"/>
      <c r="AH754" s="44">
        <f>1-COS(RADIANS(TA[[#This Row],[Avg. Target Angle during Fault Time (Radians)]]-TA[[#This Row],[Angle of affected equipment ]]))</f>
        <v>0.11705240714107301</v>
      </c>
      <c r="AI754" s="35">
        <f>IFERROR(TA[[#This Row],[Breakdown Time]]*TA[[#This Row],[Plant Equivalent Weightage]],"")</f>
        <v>0</v>
      </c>
    </row>
    <row r="755" spans="1:35">
      <c r="A755" s="2">
        <f t="shared" si="56"/>
        <v>752</v>
      </c>
      <c r="B755" s="156">
        <f t="shared" si="57"/>
        <v>2026</v>
      </c>
      <c r="C755" s="129">
        <f t="shared" si="58"/>
        <v>2025</v>
      </c>
      <c r="D755" s="2" t="s">
        <v>155</v>
      </c>
      <c r="E755" s="2" t="s">
        <v>155</v>
      </c>
      <c r="F755" s="39">
        <v>45778</v>
      </c>
      <c r="G755" s="2">
        <f>DAY(EOMONTH(TA[[#This Row],[Month Year]],0))</f>
        <v>31</v>
      </c>
      <c r="H755" s="21">
        <v>45796</v>
      </c>
      <c r="I755" s="41">
        <f>IFERROR(VLOOKUP(TA[[#This Row],[Date]],Raw_Data[[Date]:[Sunset Time (POA&lt;20 W/m2)]],3,0),"")</f>
        <v>0.25208333333333333</v>
      </c>
      <c r="J755" s="41">
        <f>IFERROR(VLOOKUP(TA[[#This Row],[Date]],Raw_Data[[Date]:[Sunset Time (POA&lt;20 W/m2)]],4,0),"")</f>
        <v>0.77083333333333337</v>
      </c>
      <c r="K755" s="35">
        <f>IFERROR((TA[[#This Row],[Sunset Time (POA&lt;20 W/m2)]]-TA[[#This Row],[Sunrise Time (POA&gt;20 W/m2)]])*24,"")</f>
        <v>12.450000000000001</v>
      </c>
      <c r="L755" s="2" t="s">
        <v>296</v>
      </c>
      <c r="M755" s="42">
        <f>IFERROR(VLOOKUP(TA[[#This Row],[Affected Equipment]],'Basic Data'!$I$2:$K$40,3,0),"")</f>
        <v>8.6206896551724102E-3</v>
      </c>
      <c r="N755">
        <v>-28</v>
      </c>
      <c r="O755" t="s">
        <v>135</v>
      </c>
      <c r="P755" s="22" t="s">
        <v>323</v>
      </c>
      <c r="Q755" s="2" t="s">
        <v>329</v>
      </c>
      <c r="R755">
        <v>47</v>
      </c>
      <c r="S755" s="2">
        <v>18</v>
      </c>
      <c r="T755" t="s">
        <v>297</v>
      </c>
      <c r="U755" t="s">
        <v>300</v>
      </c>
      <c r="V755" t="s">
        <v>301</v>
      </c>
      <c r="W755" s="41"/>
      <c r="X755" s="41"/>
      <c r="Y755" s="34"/>
      <c r="Z755" s="34"/>
      <c r="AA755" s="35">
        <f>IF(TA[[#This Row],[Work Start time on Fault]]="NA","",(TA[[#This Row],[Fault Acknowledgement Time ]]-TA[[#This Row],[Fault Time]])*24)</f>
        <v>0</v>
      </c>
      <c r="AB755" s="35">
        <f>(TA[[#This Row],[Work Start time on Fault]]-TA[[#This Row],[Fault Time]])*24</f>
        <v>0</v>
      </c>
      <c r="AC755" s="34">
        <f>(TA[[#This Row],[Work Completion time on fault]]-TA[[#This Row],[Fault Time]])*24</f>
        <v>0</v>
      </c>
      <c r="AD755" s="35">
        <f>IFERROR((TA[[#This Row],[Work Completion time on fault]]-TA[[#This Row],[Fault Time]])*24,"")</f>
        <v>0</v>
      </c>
      <c r="AE755" t="s">
        <v>328</v>
      </c>
      <c r="AF755" t="s">
        <v>256</v>
      </c>
      <c r="AG755" s="2"/>
      <c r="AH755" s="44">
        <f>1-COS(RADIANS(TA[[#This Row],[Avg. Target Angle during Fault Time (Radians)]]-TA[[#This Row],[Angle of affected equipment ]]))</f>
        <v>0.11705240714107301</v>
      </c>
      <c r="AI755" s="35">
        <f>IFERROR(TA[[#This Row],[Breakdown Time]]*TA[[#This Row],[Plant Equivalent Weightage]],"")</f>
        <v>0</v>
      </c>
    </row>
    <row r="756" spans="1:35">
      <c r="A756" s="2">
        <f t="shared" si="56"/>
        <v>753</v>
      </c>
      <c r="B756" s="156">
        <f t="shared" si="57"/>
        <v>2026</v>
      </c>
      <c r="C756" s="129">
        <f t="shared" si="58"/>
        <v>2025</v>
      </c>
      <c r="D756" s="2" t="s">
        <v>155</v>
      </c>
      <c r="E756" s="2" t="s">
        <v>155</v>
      </c>
      <c r="F756" s="39">
        <v>45778</v>
      </c>
      <c r="G756" s="2">
        <f>DAY(EOMONTH(TA[[#This Row],[Month Year]],0))</f>
        <v>31</v>
      </c>
      <c r="H756" s="21">
        <v>45796</v>
      </c>
      <c r="I756" s="41">
        <f>IFERROR(VLOOKUP(TA[[#This Row],[Date]],Raw_Data[[Date]:[Sunset Time (POA&lt;20 W/m2)]],3,0),"")</f>
        <v>0.25208333333333333</v>
      </c>
      <c r="J756" s="41">
        <f>IFERROR(VLOOKUP(TA[[#This Row],[Date]],Raw_Data[[Date]:[Sunset Time (POA&lt;20 W/m2)]],4,0),"")</f>
        <v>0.77083333333333337</v>
      </c>
      <c r="K756" s="35">
        <f>IFERROR((TA[[#This Row],[Sunset Time (POA&lt;20 W/m2)]]-TA[[#This Row],[Sunrise Time (POA&gt;20 W/m2)]])*24,"")</f>
        <v>12.450000000000001</v>
      </c>
      <c r="L756" s="2" t="s">
        <v>296</v>
      </c>
      <c r="M756" s="42">
        <f>IFERROR(VLOOKUP(TA[[#This Row],[Affected Equipment]],'Basic Data'!$I$2:$K$40,3,0),"")</f>
        <v>8.6206896551724102E-3</v>
      </c>
      <c r="N756">
        <v>-28</v>
      </c>
      <c r="O756" t="s">
        <v>134</v>
      </c>
      <c r="P756" s="22" t="s">
        <v>330</v>
      </c>
      <c r="Q756" s="2" t="s">
        <v>323</v>
      </c>
      <c r="R756">
        <v>30</v>
      </c>
      <c r="S756" s="2">
        <v>57</v>
      </c>
      <c r="T756" t="s">
        <v>297</v>
      </c>
      <c r="U756" t="s">
        <v>300</v>
      </c>
      <c r="V756" t="s">
        <v>301</v>
      </c>
      <c r="W756" s="41"/>
      <c r="X756" s="41"/>
      <c r="Y756" s="34"/>
      <c r="Z756" s="34"/>
      <c r="AA756" s="35">
        <f>IF(TA[[#This Row],[Work Start time on Fault]]="NA","",(TA[[#This Row],[Fault Acknowledgement Time ]]-TA[[#This Row],[Fault Time]])*24)</f>
        <v>0</v>
      </c>
      <c r="AB756" s="35">
        <f>(TA[[#This Row],[Work Start time on Fault]]-TA[[#This Row],[Fault Time]])*24</f>
        <v>0</v>
      </c>
      <c r="AC756" s="34">
        <f>(TA[[#This Row],[Work Completion time on fault]]-TA[[#This Row],[Fault Time]])*24</f>
        <v>0</v>
      </c>
      <c r="AD756" s="35">
        <f>IFERROR((TA[[#This Row],[Work Completion time on fault]]-TA[[#This Row],[Fault Time]])*24,"")</f>
        <v>0</v>
      </c>
      <c r="AE756" t="s">
        <v>328</v>
      </c>
      <c r="AF756" t="s">
        <v>256</v>
      </c>
      <c r="AG756" s="2"/>
      <c r="AH756" s="44">
        <f>1-COS(RADIANS(TA[[#This Row],[Avg. Target Angle during Fault Time (Radians)]]-TA[[#This Row],[Angle of affected equipment ]]))</f>
        <v>0.11705240714107301</v>
      </c>
      <c r="AI756" s="35">
        <f>IFERROR(TA[[#This Row],[Breakdown Time]]*TA[[#This Row],[Plant Equivalent Weightage]],"")</f>
        <v>0</v>
      </c>
    </row>
    <row r="757" spans="1:35">
      <c r="A757" s="2">
        <f t="shared" si="56"/>
        <v>754</v>
      </c>
      <c r="B757" s="156">
        <f t="shared" si="57"/>
        <v>2026</v>
      </c>
      <c r="C757" s="129">
        <f t="shared" si="58"/>
        <v>2025</v>
      </c>
      <c r="D757" s="2" t="s">
        <v>155</v>
      </c>
      <c r="E757" s="2" t="s">
        <v>155</v>
      </c>
      <c r="F757" s="39">
        <v>45778</v>
      </c>
      <c r="G757" s="2">
        <f>DAY(EOMONTH(TA[[#This Row],[Month Year]],0))</f>
        <v>31</v>
      </c>
      <c r="H757" s="21">
        <v>45796</v>
      </c>
      <c r="I757" s="41">
        <f>IFERROR(VLOOKUP(TA[[#This Row],[Date]],Raw_Data[[Date]:[Sunset Time (POA&lt;20 W/m2)]],3,0),"")</f>
        <v>0.25208333333333333</v>
      </c>
      <c r="J757" s="41">
        <f>IFERROR(VLOOKUP(TA[[#This Row],[Date]],Raw_Data[[Date]:[Sunset Time (POA&lt;20 W/m2)]],4,0),"")</f>
        <v>0.77083333333333337</v>
      </c>
      <c r="K757" s="35">
        <f>IFERROR((TA[[#This Row],[Sunset Time (POA&lt;20 W/m2)]]-TA[[#This Row],[Sunrise Time (POA&gt;20 W/m2)]])*24,"")</f>
        <v>12.450000000000001</v>
      </c>
      <c r="L757" s="2" t="s">
        <v>296</v>
      </c>
      <c r="M757" s="42">
        <f>IFERROR(VLOOKUP(TA[[#This Row],[Affected Equipment]],'Basic Data'!$I$2:$K$40,3,0),"")</f>
        <v>8.6206896551724102E-3</v>
      </c>
      <c r="N757">
        <v>-28</v>
      </c>
      <c r="O757" t="s">
        <v>134</v>
      </c>
      <c r="P757" s="22" t="s">
        <v>330</v>
      </c>
      <c r="Q757" s="2" t="s">
        <v>323</v>
      </c>
      <c r="R757">
        <v>31</v>
      </c>
      <c r="S757" s="2">
        <v>61</v>
      </c>
      <c r="T757" t="s">
        <v>297</v>
      </c>
      <c r="U757" t="s">
        <v>300</v>
      </c>
      <c r="V757" t="s">
        <v>301</v>
      </c>
      <c r="W757" s="41"/>
      <c r="X757" s="41"/>
      <c r="Y757" s="34"/>
      <c r="Z757" s="34"/>
      <c r="AA757" s="35">
        <f>IF(TA[[#This Row],[Work Start time on Fault]]="NA","",(TA[[#This Row],[Fault Acknowledgement Time ]]-TA[[#This Row],[Fault Time]])*24)</f>
        <v>0</v>
      </c>
      <c r="AB757" s="35">
        <f>(TA[[#This Row],[Work Start time on Fault]]-TA[[#This Row],[Fault Time]])*24</f>
        <v>0</v>
      </c>
      <c r="AC757" s="34">
        <f>(TA[[#This Row],[Work Completion time on fault]]-TA[[#This Row],[Fault Time]])*24</f>
        <v>0</v>
      </c>
      <c r="AD757" s="35">
        <f>IFERROR((TA[[#This Row],[Work Completion time on fault]]-TA[[#This Row],[Fault Time]])*24,"")</f>
        <v>0</v>
      </c>
      <c r="AE757" t="s">
        <v>328</v>
      </c>
      <c r="AF757" t="s">
        <v>256</v>
      </c>
      <c r="AG757" s="2"/>
      <c r="AH757" s="44">
        <f>1-COS(RADIANS(TA[[#This Row],[Avg. Target Angle during Fault Time (Radians)]]-TA[[#This Row],[Angle of affected equipment ]]))</f>
        <v>0.11705240714107301</v>
      </c>
      <c r="AI757" s="35">
        <f>IFERROR(TA[[#This Row],[Breakdown Time]]*TA[[#This Row],[Plant Equivalent Weightage]],"")</f>
        <v>0</v>
      </c>
    </row>
    <row r="758" spans="1:35">
      <c r="A758" s="2">
        <f t="shared" si="56"/>
        <v>755</v>
      </c>
      <c r="B758" s="156">
        <f t="shared" si="57"/>
        <v>2026</v>
      </c>
      <c r="C758" s="129">
        <f t="shared" si="58"/>
        <v>2025</v>
      </c>
      <c r="D758" s="2" t="s">
        <v>155</v>
      </c>
      <c r="E758" s="2" t="s">
        <v>155</v>
      </c>
      <c r="F758" s="39">
        <v>45778</v>
      </c>
      <c r="G758" s="2">
        <f>DAY(EOMONTH(TA[[#This Row],[Month Year]],0))</f>
        <v>31</v>
      </c>
      <c r="H758" s="21">
        <v>45796</v>
      </c>
      <c r="I758" s="41">
        <f>IFERROR(VLOOKUP(TA[[#This Row],[Date]],Raw_Data[[Date]:[Sunset Time (POA&lt;20 W/m2)]],3,0),"")</f>
        <v>0.25208333333333333</v>
      </c>
      <c r="J758" s="41">
        <f>IFERROR(VLOOKUP(TA[[#This Row],[Date]],Raw_Data[[Date]:[Sunset Time (POA&lt;20 W/m2)]],4,0),"")</f>
        <v>0.77083333333333337</v>
      </c>
      <c r="K758" s="35">
        <f>IFERROR((TA[[#This Row],[Sunset Time (POA&lt;20 W/m2)]]-TA[[#This Row],[Sunrise Time (POA&gt;20 W/m2)]])*24,"")</f>
        <v>12.450000000000001</v>
      </c>
      <c r="L758" s="2" t="s">
        <v>312</v>
      </c>
      <c r="M758" s="42">
        <f>IFERROR(VLOOKUP(TA[[#This Row],[Affected Equipment]],'Basic Data'!$I$2:$K$40,3,0),"")</f>
        <v>5.74712643678161E-3</v>
      </c>
      <c r="N758">
        <v>-28</v>
      </c>
      <c r="O758" t="s">
        <v>133</v>
      </c>
      <c r="P758" s="22" t="s">
        <v>330</v>
      </c>
      <c r="Q758" s="2" t="s">
        <v>323</v>
      </c>
      <c r="R758">
        <v>26</v>
      </c>
      <c r="S758" s="2">
        <v>37</v>
      </c>
      <c r="T758" t="s">
        <v>297</v>
      </c>
      <c r="U758" t="s">
        <v>300</v>
      </c>
      <c r="V758" t="s">
        <v>301</v>
      </c>
      <c r="W758" s="41"/>
      <c r="X758" s="41"/>
      <c r="Y758" s="34"/>
      <c r="Z758" s="34"/>
      <c r="AA758" s="35">
        <f>IF(TA[[#This Row],[Work Start time on Fault]]="NA","",(TA[[#This Row],[Fault Acknowledgement Time ]]-TA[[#This Row],[Fault Time]])*24)</f>
        <v>0</v>
      </c>
      <c r="AB758" s="35">
        <f>(TA[[#This Row],[Work Start time on Fault]]-TA[[#This Row],[Fault Time]])*24</f>
        <v>0</v>
      </c>
      <c r="AC758" s="34">
        <f>(TA[[#This Row],[Work Completion time on fault]]-TA[[#This Row],[Fault Time]])*24</f>
        <v>0</v>
      </c>
      <c r="AD758" s="35">
        <f>IFERROR((TA[[#This Row],[Work Completion time on fault]]-TA[[#This Row],[Fault Time]])*24,"")</f>
        <v>0</v>
      </c>
      <c r="AE758" t="s">
        <v>328</v>
      </c>
      <c r="AF758" t="s">
        <v>256</v>
      </c>
      <c r="AG758" s="2"/>
      <c r="AH758" s="44">
        <f>1-COS(RADIANS(TA[[#This Row],[Avg. Target Angle during Fault Time (Radians)]]-TA[[#This Row],[Angle of affected equipment ]]))</f>
        <v>0.11705240714107301</v>
      </c>
      <c r="AI758" s="35">
        <f>IFERROR(TA[[#This Row],[Breakdown Time]]*TA[[#This Row],[Plant Equivalent Weightage]],"")</f>
        <v>0</v>
      </c>
    </row>
    <row r="759" spans="1:35">
      <c r="A759" s="2">
        <f t="shared" si="56"/>
        <v>756</v>
      </c>
      <c r="B759" s="156">
        <f t="shared" si="57"/>
        <v>2026</v>
      </c>
      <c r="C759" s="129">
        <f t="shared" si="58"/>
        <v>2025</v>
      </c>
      <c r="D759" s="2" t="s">
        <v>155</v>
      </c>
      <c r="E759" s="2" t="s">
        <v>155</v>
      </c>
      <c r="F759" s="39">
        <v>45778</v>
      </c>
      <c r="G759" s="2">
        <f>DAY(EOMONTH(TA[[#This Row],[Month Year]],0))</f>
        <v>31</v>
      </c>
      <c r="H759" s="21">
        <v>45796</v>
      </c>
      <c r="I759" s="41">
        <f>IFERROR(VLOOKUP(TA[[#This Row],[Date]],Raw_Data[[Date]:[Sunset Time (POA&lt;20 W/m2)]],3,0),"")</f>
        <v>0.25208333333333333</v>
      </c>
      <c r="J759" s="41">
        <f>IFERROR(VLOOKUP(TA[[#This Row],[Date]],Raw_Data[[Date]:[Sunset Time (POA&lt;20 W/m2)]],4,0),"")</f>
        <v>0.77083333333333337</v>
      </c>
      <c r="K759" s="35">
        <f>IFERROR((TA[[#This Row],[Sunset Time (POA&lt;20 W/m2)]]-TA[[#This Row],[Sunrise Time (POA&gt;20 W/m2)]])*24,"")</f>
        <v>12.450000000000001</v>
      </c>
      <c r="L759" s="2" t="s">
        <v>312</v>
      </c>
      <c r="M759" s="42">
        <f>IFERROR(VLOOKUP(TA[[#This Row],[Affected Equipment]],'Basic Data'!$I$2:$K$40,3,0),"")</f>
        <v>5.74712643678161E-3</v>
      </c>
      <c r="N759">
        <v>-28</v>
      </c>
      <c r="O759" t="s">
        <v>133</v>
      </c>
      <c r="P759" s="22" t="s">
        <v>330</v>
      </c>
      <c r="Q759" s="2" t="s">
        <v>323</v>
      </c>
      <c r="R759">
        <v>27</v>
      </c>
      <c r="S759" s="2">
        <v>42</v>
      </c>
      <c r="T759" t="s">
        <v>297</v>
      </c>
      <c r="U759" t="s">
        <v>300</v>
      </c>
      <c r="V759" t="s">
        <v>301</v>
      </c>
      <c r="W759" s="41">
        <f>IFERROR(VLOOKUP(TA[[#This Row],[Date]],Raw_Data[[Date]:[Sunset Time (POA&lt;20 W/m2)]],3,0),"")</f>
        <v>0.25208333333333333</v>
      </c>
      <c r="X759" s="41">
        <f>IFERROR(VLOOKUP(TA[[#This Row],[Date]],Raw_Data[[Date]:[Sunset Time (POA&lt;20 W/m2)]],3,0),"")</f>
        <v>0.25208333333333333</v>
      </c>
      <c r="Y759" s="34"/>
      <c r="Z759" s="34">
        <v>0.76041666666666663</v>
      </c>
      <c r="AA759" s="35">
        <f>IF(TA[[#This Row],[Work Start time on Fault]]="NA","",(TA[[#This Row],[Fault Acknowledgement Time ]]-TA[[#This Row],[Fault Time]])*24)</f>
        <v>0</v>
      </c>
      <c r="AB759" s="35">
        <f>(TA[[#This Row],[Work Start time on Fault]]-TA[[#This Row],[Fault Time]])*24</f>
        <v>-6.05</v>
      </c>
      <c r="AC759" s="34">
        <f>(TA[[#This Row],[Work Completion time on fault]]-TA[[#This Row],[Fault Time]])*24</f>
        <v>12.2</v>
      </c>
      <c r="AD759" s="35">
        <f>IFERROR((TA[[#This Row],[Work Completion time on fault]]-TA[[#This Row],[Fault Time]])*24,"")</f>
        <v>12.2</v>
      </c>
      <c r="AE759" t="s">
        <v>309</v>
      </c>
      <c r="AF759" t="s">
        <v>256</v>
      </c>
      <c r="AG759" s="2"/>
      <c r="AH759" s="44">
        <f>1-COS(RADIANS(TA[[#This Row],[Avg. Target Angle during Fault Time (Radians)]]-TA[[#This Row],[Angle of affected equipment ]]))</f>
        <v>0.11705240714107301</v>
      </c>
      <c r="AI759" s="35">
        <f>IFERROR(TA[[#This Row],[Breakdown Time]]*TA[[#This Row],[Plant Equivalent Weightage]],"")</f>
        <v>7.0114942528735638E-2</v>
      </c>
    </row>
    <row r="760" spans="1:35">
      <c r="A760" s="2">
        <f t="shared" si="56"/>
        <v>757</v>
      </c>
      <c r="B760" s="156">
        <f t="shared" ref="B760:B776" si="59">YEAR(H760)+IF(MONTH(H760)&gt;=4,1,0)</f>
        <v>2026</v>
      </c>
      <c r="C760" s="129">
        <f t="shared" ref="C760:C776" si="60">YEAR(H760)</f>
        <v>2025</v>
      </c>
      <c r="D760" s="2" t="s">
        <v>155</v>
      </c>
      <c r="E760" s="2" t="s">
        <v>155</v>
      </c>
      <c r="F760" s="39">
        <v>45778</v>
      </c>
      <c r="G760" s="2">
        <f>DAY(EOMONTH(TA[[#This Row],[Month Year]],0))</f>
        <v>31</v>
      </c>
      <c r="H760" s="21">
        <v>45796</v>
      </c>
      <c r="I760" s="41">
        <f>IFERROR(VLOOKUP(TA[[#This Row],[Date]],Raw_Data[[Date]:[Sunset Time (POA&lt;20 W/m2)]],3,0),"")</f>
        <v>0.25208333333333333</v>
      </c>
      <c r="J760" s="41">
        <f>IFERROR(VLOOKUP(TA[[#This Row],[Date]],Raw_Data[[Date]:[Sunset Time (POA&lt;20 W/m2)]],4,0),"")</f>
        <v>0.77083333333333337</v>
      </c>
      <c r="K760" s="35">
        <f>IFERROR((TA[[#This Row],[Sunset Time (POA&lt;20 W/m2)]]-TA[[#This Row],[Sunrise Time (POA&gt;20 W/m2)]])*24,"")</f>
        <v>12.450000000000001</v>
      </c>
      <c r="L760" s="2" t="s">
        <v>294</v>
      </c>
      <c r="M760" s="42">
        <f>IFERROR(VLOOKUP(TA[[#This Row],[Affected Equipment]],'Basic Data'!$I$2:$K$40,3,0),"")</f>
        <v>1.7241379310344799E-3</v>
      </c>
      <c r="N760">
        <v>-28</v>
      </c>
      <c r="O760" t="s">
        <v>132</v>
      </c>
      <c r="P760" s="127" t="s">
        <v>316</v>
      </c>
      <c r="Q760" s="126" t="s">
        <v>320</v>
      </c>
      <c r="R760">
        <v>28</v>
      </c>
      <c r="S760" s="2">
        <v>45</v>
      </c>
      <c r="T760" t="s">
        <v>295</v>
      </c>
      <c r="U760" t="s">
        <v>300</v>
      </c>
      <c r="V760" t="s">
        <v>298</v>
      </c>
      <c r="W760" s="41">
        <f>IFERROR(VLOOKUP(TA[[#This Row],[Date]],Raw_Data[[Date]:[Sunset Time (POA&lt;20 W/m2)]],3,0),"")</f>
        <v>0.25208333333333333</v>
      </c>
      <c r="X760" s="41">
        <f>IFERROR(VLOOKUP(TA[[#This Row],[Date]],Raw_Data[[Date]:[Sunset Time (POA&lt;20 W/m2)]],3,0),"")</f>
        <v>0.25208333333333333</v>
      </c>
      <c r="Y760" s="34">
        <v>0.64583333333333337</v>
      </c>
      <c r="Z760" s="34">
        <v>0.66319444444444442</v>
      </c>
      <c r="AA760" s="35">
        <f>IF(TA[[#This Row],[Work Start time on Fault]]="NA","",(TA[[#This Row],[Fault Acknowledgement Time ]]-TA[[#This Row],[Fault Time]])*24)</f>
        <v>0</v>
      </c>
      <c r="AB760" s="35">
        <f>(TA[[#This Row],[Work Start time on Fault]]-TA[[#This Row],[Fault Time]])*24</f>
        <v>9.4500000000000011</v>
      </c>
      <c r="AC760" s="34">
        <f>(TA[[#This Row],[Work Completion time on fault]]-TA[[#This Row],[Fault Time]])*24</f>
        <v>9.8666666666666671</v>
      </c>
      <c r="AD760" s="35">
        <f>IFERROR((TA[[#This Row],[Work Completion time on fault]]-TA[[#This Row],[Fault Time]])*24,"")</f>
        <v>9.8666666666666671</v>
      </c>
      <c r="AE760" t="s">
        <v>328</v>
      </c>
      <c r="AF760" t="s">
        <v>256</v>
      </c>
      <c r="AG760" s="2"/>
      <c r="AH760" s="44">
        <f>1-COS(RADIANS(TA[[#This Row],[Avg. Target Angle during Fault Time (Radians)]]-TA[[#This Row],[Angle of affected equipment ]]))</f>
        <v>0.11705240714107301</v>
      </c>
      <c r="AI760" s="35">
        <f>IFERROR(TA[[#This Row],[Breakdown Time]]*TA[[#This Row],[Plant Equivalent Weightage]],"")</f>
        <v>1.7011494252873537E-2</v>
      </c>
    </row>
    <row r="761" spans="1:35">
      <c r="A761" s="2">
        <f t="shared" si="56"/>
        <v>758</v>
      </c>
      <c r="B761" s="156">
        <f t="shared" si="59"/>
        <v>2026</v>
      </c>
      <c r="C761" s="129">
        <f t="shared" si="60"/>
        <v>2025</v>
      </c>
      <c r="D761" s="2" t="s">
        <v>155</v>
      </c>
      <c r="E761" s="2" t="s">
        <v>155</v>
      </c>
      <c r="F761" s="39">
        <v>45778</v>
      </c>
      <c r="G761" s="2">
        <f>DAY(EOMONTH(TA[[#This Row],[Month Year]],0))</f>
        <v>31</v>
      </c>
      <c r="H761" s="21">
        <v>45796</v>
      </c>
      <c r="I761" s="41">
        <f>IFERROR(VLOOKUP(TA[[#This Row],[Date]],Raw_Data[[Date]:[Sunset Time (POA&lt;20 W/m2)]],3,0),"")</f>
        <v>0.25208333333333333</v>
      </c>
      <c r="J761" s="41">
        <f>IFERROR(VLOOKUP(TA[[#This Row],[Date]],Raw_Data[[Date]:[Sunset Time (POA&lt;20 W/m2)]],4,0),"")</f>
        <v>0.77083333333333337</v>
      </c>
      <c r="K761" s="35">
        <f>IFERROR((TA[[#This Row],[Sunset Time (POA&lt;20 W/m2)]]-TA[[#This Row],[Sunrise Time (POA&gt;20 W/m2)]])*24,"")</f>
        <v>12.450000000000001</v>
      </c>
      <c r="L761" s="2" t="s">
        <v>294</v>
      </c>
      <c r="M761" s="42">
        <f>IFERROR(VLOOKUP(TA[[#This Row],[Affected Equipment]],'Basic Data'!$I$2:$K$40,3,0),"")</f>
        <v>1.7241379310344799E-3</v>
      </c>
      <c r="N761">
        <v>-28</v>
      </c>
      <c r="O761" t="s">
        <v>137</v>
      </c>
      <c r="P761" s="127" t="s">
        <v>315</v>
      </c>
      <c r="Q761" s="126" t="s">
        <v>315</v>
      </c>
      <c r="R761">
        <v>70</v>
      </c>
      <c r="S761" s="2">
        <v>46</v>
      </c>
      <c r="T761" t="s">
        <v>295</v>
      </c>
      <c r="U761" t="s">
        <v>300</v>
      </c>
      <c r="V761" t="s">
        <v>298</v>
      </c>
      <c r="W761" s="41">
        <f>IFERROR(VLOOKUP(TA[[#This Row],[Date]],Raw_Data[[Date]:[Sunset Time (POA&lt;20 W/m2)]],3,0),"")</f>
        <v>0.25208333333333333</v>
      </c>
      <c r="X761" s="41">
        <f>IFERROR(VLOOKUP(TA[[#This Row],[Date]],Raw_Data[[Date]:[Sunset Time (POA&lt;20 W/m2)]],3,0),"")</f>
        <v>0.25208333333333333</v>
      </c>
      <c r="Y761" s="34">
        <v>0.66736111111111107</v>
      </c>
      <c r="Z761" s="34">
        <v>0.67708333333333337</v>
      </c>
      <c r="AA761" s="35">
        <f>IF(TA[[#This Row],[Work Start time on Fault]]="NA","",(TA[[#This Row],[Fault Acknowledgement Time ]]-TA[[#This Row],[Fault Time]])*24)</f>
        <v>0</v>
      </c>
      <c r="AB761" s="35">
        <f>(TA[[#This Row],[Work Start time on Fault]]-TA[[#This Row],[Fault Time]])*24</f>
        <v>9.966666666666665</v>
      </c>
      <c r="AC761" s="34">
        <f>(TA[[#This Row],[Work Completion time on fault]]-TA[[#This Row],[Fault Time]])*24</f>
        <v>10.200000000000001</v>
      </c>
      <c r="AD761" s="35">
        <f>IFERROR((TA[[#This Row],[Work Completion time on fault]]-TA[[#This Row],[Fault Time]])*24,"")</f>
        <v>10.200000000000001</v>
      </c>
      <c r="AE761" t="s">
        <v>328</v>
      </c>
      <c r="AF761" t="s">
        <v>256</v>
      </c>
      <c r="AG761" s="2"/>
      <c r="AH761" s="44">
        <f>1-COS(RADIANS(TA[[#This Row],[Avg. Target Angle during Fault Time (Radians)]]-TA[[#This Row],[Angle of affected equipment ]]))</f>
        <v>0.11705240714107301</v>
      </c>
      <c r="AI761" s="35">
        <f>IFERROR(TA[[#This Row],[Breakdown Time]]*TA[[#This Row],[Plant Equivalent Weightage]],"")</f>
        <v>1.7586206896551698E-2</v>
      </c>
    </row>
    <row r="762" spans="1:35">
      <c r="A762" s="2">
        <f t="shared" si="56"/>
        <v>759</v>
      </c>
      <c r="B762" s="156">
        <f t="shared" si="59"/>
        <v>2026</v>
      </c>
      <c r="C762" s="129">
        <f t="shared" si="60"/>
        <v>2025</v>
      </c>
      <c r="D762" s="2" t="s">
        <v>155</v>
      </c>
      <c r="E762" s="2" t="s">
        <v>155</v>
      </c>
      <c r="F762" s="39">
        <v>45778</v>
      </c>
      <c r="G762" s="2">
        <f>DAY(EOMONTH(TA[[#This Row],[Month Year]],0))</f>
        <v>31</v>
      </c>
      <c r="H762" s="21">
        <v>45796</v>
      </c>
      <c r="I762" s="41">
        <f>IFERROR(VLOOKUP(TA[[#This Row],[Date]],Raw_Data[[Date]:[Sunset Time (POA&lt;20 W/m2)]],3,0),"")</f>
        <v>0.25208333333333333</v>
      </c>
      <c r="J762" s="41">
        <f>IFERROR(VLOOKUP(TA[[#This Row],[Date]],Raw_Data[[Date]:[Sunset Time (POA&lt;20 W/m2)]],4,0),"")</f>
        <v>0.77083333333333337</v>
      </c>
      <c r="K762" s="35">
        <f>IFERROR((TA[[#This Row],[Sunset Time (POA&lt;20 W/m2)]]-TA[[#This Row],[Sunrise Time (POA&gt;20 W/m2)]])*24,"")</f>
        <v>12.450000000000001</v>
      </c>
      <c r="L762" s="2" t="s">
        <v>294</v>
      </c>
      <c r="M762" s="42">
        <f>IFERROR(VLOOKUP(TA[[#This Row],[Affected Equipment]],'Basic Data'!$I$2:$K$40,3,0),"")</f>
        <v>1.7241379310344799E-3</v>
      </c>
      <c r="N762">
        <v>-28</v>
      </c>
      <c r="O762" t="s">
        <v>132</v>
      </c>
      <c r="P762" s="127" t="s">
        <v>316</v>
      </c>
      <c r="Q762" s="126" t="s">
        <v>316</v>
      </c>
      <c r="R762">
        <v>111</v>
      </c>
      <c r="S762" s="2">
        <v>4</v>
      </c>
      <c r="T762" t="s">
        <v>295</v>
      </c>
      <c r="U762" t="s">
        <v>300</v>
      </c>
      <c r="V762" t="s">
        <v>298</v>
      </c>
      <c r="W762" s="41">
        <f>IFERROR(VLOOKUP(TA[[#This Row],[Date]],Raw_Data[[Date]:[Sunset Time (POA&lt;20 W/m2)]],3,0),"")</f>
        <v>0.25208333333333333</v>
      </c>
      <c r="X762" s="41">
        <f>IFERROR(VLOOKUP(TA[[#This Row],[Date]],Raw_Data[[Date]:[Sunset Time (POA&lt;20 W/m2)]],3,0),"")</f>
        <v>0.25208333333333333</v>
      </c>
      <c r="Y762" s="34">
        <v>0.68055555555555558</v>
      </c>
      <c r="Z762" s="34">
        <v>0.69791666666666663</v>
      </c>
      <c r="AA762" s="35">
        <f>IF(TA[[#This Row],[Work Start time on Fault]]="NA","",(TA[[#This Row],[Fault Acknowledgement Time ]]-TA[[#This Row],[Fault Time]])*24)</f>
        <v>0</v>
      </c>
      <c r="AB762" s="35">
        <f>(TA[[#This Row],[Work Start time on Fault]]-TA[[#This Row],[Fault Time]])*24</f>
        <v>10.283333333333335</v>
      </c>
      <c r="AC762" s="34">
        <f>(TA[[#This Row],[Work Completion time on fault]]-TA[[#This Row],[Fault Time]])*24</f>
        <v>10.7</v>
      </c>
      <c r="AD762" s="35">
        <f>IFERROR((TA[[#This Row],[Work Completion time on fault]]-TA[[#This Row],[Fault Time]])*24,"")</f>
        <v>10.7</v>
      </c>
      <c r="AE762" t="s">
        <v>328</v>
      </c>
      <c r="AF762" t="s">
        <v>256</v>
      </c>
      <c r="AG762" s="2"/>
      <c r="AH762" s="44">
        <f>1-COS(RADIANS(TA[[#This Row],[Avg. Target Angle during Fault Time (Radians)]]-TA[[#This Row],[Angle of affected equipment ]]))</f>
        <v>0.11705240714107301</v>
      </c>
      <c r="AI762" s="35">
        <f>IFERROR(TA[[#This Row],[Breakdown Time]]*TA[[#This Row],[Plant Equivalent Weightage]],"")</f>
        <v>1.8448275862068934E-2</v>
      </c>
    </row>
    <row r="763" spans="1:35">
      <c r="A763" s="2">
        <f t="shared" si="56"/>
        <v>760</v>
      </c>
      <c r="B763" s="156">
        <f t="shared" si="59"/>
        <v>2026</v>
      </c>
      <c r="C763" s="129">
        <f t="shared" si="60"/>
        <v>2025</v>
      </c>
      <c r="D763" s="2" t="s">
        <v>155</v>
      </c>
      <c r="E763" s="2" t="s">
        <v>155</v>
      </c>
      <c r="F763" s="39">
        <v>45778</v>
      </c>
      <c r="G763" s="2">
        <f>DAY(EOMONTH(TA[[#This Row],[Month Year]],0))</f>
        <v>31</v>
      </c>
      <c r="H763" s="21">
        <v>45797</v>
      </c>
      <c r="I763" s="41">
        <f>IFERROR(VLOOKUP(TA[[#This Row],[Date]],Raw_Data[[Date]:[Sunset Time (POA&lt;20 W/m2)]],3,0),"")</f>
        <v>0.24791666666666667</v>
      </c>
      <c r="J763" s="41">
        <f>IFERROR(VLOOKUP(TA[[#This Row],[Date]],Raw_Data[[Date]:[Sunset Time (POA&lt;20 W/m2)]],4,0),"")</f>
        <v>0.76527777777777772</v>
      </c>
      <c r="K763" s="35">
        <f>IFERROR((TA[[#This Row],[Sunset Time (POA&lt;20 W/m2)]]-TA[[#This Row],[Sunrise Time (POA&gt;20 W/m2)]])*24,"")</f>
        <v>12.416666666666664</v>
      </c>
      <c r="L763" s="2" t="s">
        <v>294</v>
      </c>
      <c r="M763" s="42">
        <f>IFERROR(VLOOKUP(TA[[#This Row],[Affected Equipment]],'Basic Data'!$I$2:$K$40,3,0),"")</f>
        <v>1.7241379310344799E-3</v>
      </c>
      <c r="N763">
        <v>-28</v>
      </c>
      <c r="O763" t="s">
        <v>135</v>
      </c>
      <c r="P763" s="127" t="s">
        <v>318</v>
      </c>
      <c r="Q763" s="126" t="s">
        <v>318</v>
      </c>
      <c r="R763">
        <v>130</v>
      </c>
      <c r="S763" s="2">
        <v>37</v>
      </c>
      <c r="T763" t="s">
        <v>295</v>
      </c>
      <c r="U763" t="s">
        <v>300</v>
      </c>
      <c r="V763" t="s">
        <v>298</v>
      </c>
      <c r="W763" s="41"/>
      <c r="X763" s="41"/>
      <c r="Y763" s="34"/>
      <c r="Z763" s="34"/>
      <c r="AA763" s="35">
        <f>IF(TA[[#This Row],[Work Start time on Fault]]="NA","",(TA[[#This Row],[Fault Acknowledgement Time ]]-TA[[#This Row],[Fault Time]])*24)</f>
        <v>0</v>
      </c>
      <c r="AB763" s="35">
        <f>(TA[[#This Row],[Work Start time on Fault]]-TA[[#This Row],[Fault Time]])*24</f>
        <v>0</v>
      </c>
      <c r="AC763" s="34">
        <f>(TA[[#This Row],[Work Completion time on fault]]-TA[[#This Row],[Fault Time]])*24</f>
        <v>0</v>
      </c>
      <c r="AD763" s="35">
        <f>IFERROR((TA[[#This Row],[Work Completion time on fault]]-TA[[#This Row],[Fault Time]])*24,"")</f>
        <v>0</v>
      </c>
      <c r="AE763" t="s">
        <v>328</v>
      </c>
      <c r="AF763" t="s">
        <v>256</v>
      </c>
      <c r="AG763" s="2"/>
      <c r="AH763" s="44">
        <f>1-COS(RADIANS(TA[[#This Row],[Avg. Target Angle during Fault Time (Radians)]]-TA[[#This Row],[Angle of affected equipment ]]))</f>
        <v>0.11705240714107301</v>
      </c>
      <c r="AI763" s="35">
        <f>IFERROR(TA[[#This Row],[Breakdown Time]]*TA[[#This Row],[Plant Equivalent Weightage]],"")</f>
        <v>0</v>
      </c>
    </row>
    <row r="764" spans="1:35">
      <c r="A764" s="2">
        <f t="shared" si="56"/>
        <v>761</v>
      </c>
      <c r="B764" s="156">
        <f t="shared" si="59"/>
        <v>2026</v>
      </c>
      <c r="C764" s="129">
        <f t="shared" si="60"/>
        <v>2025</v>
      </c>
      <c r="D764" s="2" t="s">
        <v>155</v>
      </c>
      <c r="E764" s="2" t="s">
        <v>155</v>
      </c>
      <c r="F764" s="39">
        <v>45778</v>
      </c>
      <c r="G764" s="2">
        <f>DAY(EOMONTH(TA[[#This Row],[Month Year]],0))</f>
        <v>31</v>
      </c>
      <c r="H764" s="21">
        <v>45797</v>
      </c>
      <c r="I764" s="41">
        <f>IFERROR(VLOOKUP(TA[[#This Row],[Date]],Raw_Data[[Date]:[Sunset Time (POA&lt;20 W/m2)]],3,0),"")</f>
        <v>0.24791666666666667</v>
      </c>
      <c r="J764" s="41">
        <f>IFERROR(VLOOKUP(TA[[#This Row],[Date]],Raw_Data[[Date]:[Sunset Time (POA&lt;20 W/m2)]],4,0),"")</f>
        <v>0.76527777777777772</v>
      </c>
      <c r="K764" s="35">
        <f>IFERROR((TA[[#This Row],[Sunset Time (POA&lt;20 W/m2)]]-TA[[#This Row],[Sunrise Time (POA&gt;20 W/m2)]])*24,"")</f>
        <v>12.416666666666664</v>
      </c>
      <c r="L764" s="2" t="s">
        <v>294</v>
      </c>
      <c r="M764" s="42">
        <f>IFERROR(VLOOKUP(TA[[#This Row],[Affected Equipment]],'Basic Data'!$I$2:$K$40,3,0),"")</f>
        <v>1.7241379310344799E-3</v>
      </c>
      <c r="N764">
        <v>-28</v>
      </c>
      <c r="O764" t="s">
        <v>135</v>
      </c>
      <c r="P764" s="127" t="s">
        <v>318</v>
      </c>
      <c r="Q764" s="126" t="s">
        <v>318</v>
      </c>
      <c r="R764">
        <v>131</v>
      </c>
      <c r="S764" s="2">
        <v>38</v>
      </c>
      <c r="T764" t="s">
        <v>295</v>
      </c>
      <c r="U764" t="s">
        <v>300</v>
      </c>
      <c r="V764" t="s">
        <v>298</v>
      </c>
      <c r="W764" s="41"/>
      <c r="X764" s="41"/>
      <c r="Y764" s="34"/>
      <c r="Z764" s="34"/>
      <c r="AA764" s="35">
        <f>IF(TA[[#This Row],[Work Start time on Fault]]="NA","",(TA[[#This Row],[Fault Acknowledgement Time ]]-TA[[#This Row],[Fault Time]])*24)</f>
        <v>0</v>
      </c>
      <c r="AB764" s="35">
        <f>(TA[[#This Row],[Work Start time on Fault]]-TA[[#This Row],[Fault Time]])*24</f>
        <v>0</v>
      </c>
      <c r="AC764" s="34">
        <f>(TA[[#This Row],[Work Completion time on fault]]-TA[[#This Row],[Fault Time]])*24</f>
        <v>0</v>
      </c>
      <c r="AD764" s="35">
        <f>IFERROR((TA[[#This Row],[Work Completion time on fault]]-TA[[#This Row],[Fault Time]])*24,"")</f>
        <v>0</v>
      </c>
      <c r="AE764" t="s">
        <v>328</v>
      </c>
      <c r="AF764" t="s">
        <v>256</v>
      </c>
      <c r="AG764" s="2"/>
      <c r="AH764" s="44">
        <f>1-COS(RADIANS(TA[[#This Row],[Avg. Target Angle during Fault Time (Radians)]]-TA[[#This Row],[Angle of affected equipment ]]))</f>
        <v>0.11705240714107301</v>
      </c>
      <c r="AI764" s="35">
        <f>IFERROR(TA[[#This Row],[Breakdown Time]]*TA[[#This Row],[Plant Equivalent Weightage]],"")</f>
        <v>0</v>
      </c>
    </row>
    <row r="765" spans="1:35">
      <c r="A765" s="2">
        <f t="shared" si="56"/>
        <v>762</v>
      </c>
      <c r="B765" s="156">
        <f t="shared" si="59"/>
        <v>2026</v>
      </c>
      <c r="C765" s="129">
        <f t="shared" si="60"/>
        <v>2025</v>
      </c>
      <c r="D765" s="2" t="s">
        <v>155</v>
      </c>
      <c r="E765" s="2" t="s">
        <v>155</v>
      </c>
      <c r="F765" s="39">
        <v>45778</v>
      </c>
      <c r="G765" s="2">
        <f>DAY(EOMONTH(TA[[#This Row],[Month Year]],0))</f>
        <v>31</v>
      </c>
      <c r="H765" s="21">
        <v>45797</v>
      </c>
      <c r="I765" s="41">
        <f>IFERROR(VLOOKUP(TA[[#This Row],[Date]],Raw_Data[[Date]:[Sunset Time (POA&lt;20 W/m2)]],3,0),"")</f>
        <v>0.24791666666666667</v>
      </c>
      <c r="J765" s="41">
        <f>IFERROR(VLOOKUP(TA[[#This Row],[Date]],Raw_Data[[Date]:[Sunset Time (POA&lt;20 W/m2)]],4,0),"")</f>
        <v>0.76527777777777772</v>
      </c>
      <c r="K765" s="35">
        <f>IFERROR((TA[[#This Row],[Sunset Time (POA&lt;20 W/m2)]]-TA[[#This Row],[Sunrise Time (POA&gt;20 W/m2)]])*24,"")</f>
        <v>12.416666666666664</v>
      </c>
      <c r="L765" s="2" t="s">
        <v>294</v>
      </c>
      <c r="M765" s="42">
        <f>IFERROR(VLOOKUP(TA[[#This Row],[Affected Equipment]],'Basic Data'!$I$2:$K$40,3,0),"")</f>
        <v>1.7241379310344799E-3</v>
      </c>
      <c r="N765">
        <v>-28</v>
      </c>
      <c r="O765" t="s">
        <v>135</v>
      </c>
      <c r="P765" s="127" t="s">
        <v>318</v>
      </c>
      <c r="Q765" s="126" t="s">
        <v>318</v>
      </c>
      <c r="R765">
        <v>131</v>
      </c>
      <c r="S765" s="2">
        <v>39</v>
      </c>
      <c r="T765" t="s">
        <v>295</v>
      </c>
      <c r="U765" t="s">
        <v>300</v>
      </c>
      <c r="V765" t="s">
        <v>298</v>
      </c>
      <c r="W765" s="41"/>
      <c r="X765" s="41"/>
      <c r="Y765" s="34"/>
      <c r="Z765" s="34"/>
      <c r="AA765" s="35">
        <f>IF(TA[[#This Row],[Work Start time on Fault]]="NA","",(TA[[#This Row],[Fault Acknowledgement Time ]]-TA[[#This Row],[Fault Time]])*24)</f>
        <v>0</v>
      </c>
      <c r="AB765" s="35">
        <f>(TA[[#This Row],[Work Start time on Fault]]-TA[[#This Row],[Fault Time]])*24</f>
        <v>0</v>
      </c>
      <c r="AC765" s="34">
        <f>(TA[[#This Row],[Work Completion time on fault]]-TA[[#This Row],[Fault Time]])*24</f>
        <v>0</v>
      </c>
      <c r="AD765" s="35">
        <f>IFERROR((TA[[#This Row],[Work Completion time on fault]]-TA[[#This Row],[Fault Time]])*24,"")</f>
        <v>0</v>
      </c>
      <c r="AE765" t="s">
        <v>328</v>
      </c>
      <c r="AF765" t="s">
        <v>256</v>
      </c>
      <c r="AG765" s="2"/>
      <c r="AH765" s="44">
        <f>1-COS(RADIANS(TA[[#This Row],[Avg. Target Angle during Fault Time (Radians)]]-TA[[#This Row],[Angle of affected equipment ]]))</f>
        <v>0.11705240714107301</v>
      </c>
      <c r="AI765" s="35">
        <f>IFERROR(TA[[#This Row],[Breakdown Time]]*TA[[#This Row],[Plant Equivalent Weightage]],"")</f>
        <v>0</v>
      </c>
    </row>
    <row r="766" spans="1:35">
      <c r="A766" s="2">
        <f t="shared" si="56"/>
        <v>763</v>
      </c>
      <c r="B766" s="156">
        <f t="shared" si="59"/>
        <v>2026</v>
      </c>
      <c r="C766" s="129">
        <f t="shared" si="60"/>
        <v>2025</v>
      </c>
      <c r="D766" s="2" t="s">
        <v>155</v>
      </c>
      <c r="E766" s="2" t="s">
        <v>155</v>
      </c>
      <c r="F766" s="39">
        <v>45778</v>
      </c>
      <c r="G766" s="2">
        <f>DAY(EOMONTH(TA[[#This Row],[Month Year]],0))</f>
        <v>31</v>
      </c>
      <c r="H766" s="21">
        <v>45797</v>
      </c>
      <c r="I766" s="41">
        <f>IFERROR(VLOOKUP(TA[[#This Row],[Date]],Raw_Data[[Date]:[Sunset Time (POA&lt;20 W/m2)]],3,0),"")</f>
        <v>0.24791666666666667</v>
      </c>
      <c r="J766" s="41">
        <f>IFERROR(VLOOKUP(TA[[#This Row],[Date]],Raw_Data[[Date]:[Sunset Time (POA&lt;20 W/m2)]],4,0),"")</f>
        <v>0.76527777777777772</v>
      </c>
      <c r="K766" s="35">
        <f>IFERROR((TA[[#This Row],[Sunset Time (POA&lt;20 W/m2)]]-TA[[#This Row],[Sunrise Time (POA&gt;20 W/m2)]])*24,"")</f>
        <v>12.416666666666664</v>
      </c>
      <c r="L766" s="2" t="s">
        <v>296</v>
      </c>
      <c r="M766" s="42">
        <f>IFERROR(VLOOKUP(TA[[#This Row],[Affected Equipment]],'Basic Data'!$I$2:$K$40,3,0),"")</f>
        <v>8.6206896551724102E-3</v>
      </c>
      <c r="N766">
        <v>-28</v>
      </c>
      <c r="O766" t="s">
        <v>135</v>
      </c>
      <c r="P766" s="127" t="s">
        <v>318</v>
      </c>
      <c r="Q766" s="2" t="s">
        <v>321</v>
      </c>
      <c r="R766">
        <v>133</v>
      </c>
      <c r="S766" s="2">
        <v>26</v>
      </c>
      <c r="T766" t="s">
        <v>297</v>
      </c>
      <c r="U766" t="s">
        <v>300</v>
      </c>
      <c r="V766" t="s">
        <v>314</v>
      </c>
      <c r="W766" s="41">
        <f>IFERROR(VLOOKUP(TA[[#This Row],[Date]],Raw_Data[[Date]:[Sunset Time (POA&lt;20 W/m2)]],3,0),"")</f>
        <v>0.24791666666666667</v>
      </c>
      <c r="X766" s="41">
        <f>IFERROR(VLOOKUP(TA[[#This Row],[Date]],Raw_Data[[Date]:[Sunset Time (POA&lt;20 W/m2)]],3,0),"")</f>
        <v>0.24791666666666667</v>
      </c>
      <c r="Y766" s="34"/>
      <c r="Z766" s="34">
        <v>0.76041666666666663</v>
      </c>
      <c r="AA766" s="35">
        <f>IF(TA[[#This Row],[Work Start time on Fault]]="NA","",(TA[[#This Row],[Fault Acknowledgement Time ]]-TA[[#This Row],[Fault Time]])*24)</f>
        <v>0</v>
      </c>
      <c r="AB766" s="35">
        <f>(TA[[#This Row],[Work Start time on Fault]]-TA[[#This Row],[Fault Time]])*24</f>
        <v>-5.95</v>
      </c>
      <c r="AC766" s="34">
        <f>(TA[[#This Row],[Work Completion time on fault]]-TA[[#This Row],[Fault Time]])*24</f>
        <v>12.299999999999999</v>
      </c>
      <c r="AD766" s="35">
        <f>IFERROR((TA[[#This Row],[Work Completion time on fault]]-TA[[#This Row],[Fault Time]])*24,"")</f>
        <v>12.299999999999999</v>
      </c>
      <c r="AE766" t="s">
        <v>328</v>
      </c>
      <c r="AF766" t="s">
        <v>256</v>
      </c>
      <c r="AG766" s="2"/>
      <c r="AH766" s="44">
        <f>1-COS(RADIANS(TA[[#This Row],[Avg. Target Angle during Fault Time (Radians)]]-TA[[#This Row],[Angle of affected equipment ]]))</f>
        <v>0.11705240714107301</v>
      </c>
      <c r="AI766" s="35">
        <f>IFERROR(TA[[#This Row],[Breakdown Time]]*TA[[#This Row],[Plant Equivalent Weightage]],"")</f>
        <v>0.10603448275862064</v>
      </c>
    </row>
    <row r="767" spans="1:35">
      <c r="A767" s="2">
        <f t="shared" si="56"/>
        <v>764</v>
      </c>
      <c r="B767" s="156">
        <f t="shared" si="59"/>
        <v>2026</v>
      </c>
      <c r="C767" s="129">
        <f t="shared" si="60"/>
        <v>2025</v>
      </c>
      <c r="D767" s="2" t="s">
        <v>155</v>
      </c>
      <c r="E767" s="2" t="s">
        <v>155</v>
      </c>
      <c r="F767" s="39">
        <v>45778</v>
      </c>
      <c r="G767" s="2">
        <f>DAY(EOMONTH(TA[[#This Row],[Month Year]],0))</f>
        <v>31</v>
      </c>
      <c r="H767" s="21">
        <v>45797</v>
      </c>
      <c r="I767" s="41">
        <f>IFERROR(VLOOKUP(TA[[#This Row],[Date]],Raw_Data[[Date]:[Sunset Time (POA&lt;20 W/m2)]],3,0),"")</f>
        <v>0.24791666666666667</v>
      </c>
      <c r="J767" s="41">
        <f>IFERROR(VLOOKUP(TA[[#This Row],[Date]],Raw_Data[[Date]:[Sunset Time (POA&lt;20 W/m2)]],4,0),"")</f>
        <v>0.76527777777777772</v>
      </c>
      <c r="K767" s="35">
        <f>IFERROR((TA[[#This Row],[Sunset Time (POA&lt;20 W/m2)]]-TA[[#This Row],[Sunrise Time (POA&gt;20 W/m2)]])*24,"")</f>
        <v>12.416666666666664</v>
      </c>
      <c r="L767" s="2" t="s">
        <v>294</v>
      </c>
      <c r="M767" s="42">
        <f>IFERROR(VLOOKUP(TA[[#This Row],[Affected Equipment]],'Basic Data'!$I$2:$K$40,3,0),"")</f>
        <v>1.7241379310344799E-3</v>
      </c>
      <c r="N767">
        <v>-28</v>
      </c>
      <c r="O767" t="s">
        <v>133</v>
      </c>
      <c r="P767" s="127" t="s">
        <v>316</v>
      </c>
      <c r="Q767" s="126" t="s">
        <v>317</v>
      </c>
      <c r="R767">
        <v>7</v>
      </c>
      <c r="S767" s="2">
        <v>32</v>
      </c>
      <c r="T767" t="s">
        <v>295</v>
      </c>
      <c r="U767" t="s">
        <v>300</v>
      </c>
      <c r="V767" t="s">
        <v>298</v>
      </c>
      <c r="W767" s="41"/>
      <c r="X767" s="41"/>
      <c r="Y767" s="34"/>
      <c r="Z767" s="34"/>
      <c r="AA767" s="35">
        <f>IF(TA[[#This Row],[Work Start time on Fault]]="NA","",(TA[[#This Row],[Fault Acknowledgement Time ]]-TA[[#This Row],[Fault Time]])*24)</f>
        <v>0</v>
      </c>
      <c r="AB767" s="35">
        <f>(TA[[#This Row],[Work Start time on Fault]]-TA[[#This Row],[Fault Time]])*24</f>
        <v>0</v>
      </c>
      <c r="AC767" s="34">
        <f>(TA[[#This Row],[Work Completion time on fault]]-TA[[#This Row],[Fault Time]])*24</f>
        <v>0</v>
      </c>
      <c r="AD767" s="35">
        <f>IFERROR((TA[[#This Row],[Work Completion time on fault]]-TA[[#This Row],[Fault Time]])*24,"")</f>
        <v>0</v>
      </c>
      <c r="AE767" t="s">
        <v>328</v>
      </c>
      <c r="AF767" t="s">
        <v>256</v>
      </c>
      <c r="AG767" s="2"/>
      <c r="AH767" s="44">
        <f>1-COS(RADIANS(TA[[#This Row],[Avg. Target Angle during Fault Time (Radians)]]-TA[[#This Row],[Angle of affected equipment ]]))</f>
        <v>0.11705240714107301</v>
      </c>
      <c r="AI767" s="35">
        <f>IFERROR(TA[[#This Row],[Breakdown Time]]*TA[[#This Row],[Plant Equivalent Weightage]],"")</f>
        <v>0</v>
      </c>
    </row>
    <row r="768" spans="1:35">
      <c r="A768" s="2">
        <f t="shared" si="56"/>
        <v>765</v>
      </c>
      <c r="B768" s="156">
        <f t="shared" si="59"/>
        <v>2026</v>
      </c>
      <c r="C768" s="129">
        <f t="shared" si="60"/>
        <v>2025</v>
      </c>
      <c r="D768" s="2" t="s">
        <v>155</v>
      </c>
      <c r="E768" s="2" t="s">
        <v>155</v>
      </c>
      <c r="F768" s="39">
        <v>45778</v>
      </c>
      <c r="G768" s="2">
        <f>DAY(EOMONTH(TA[[#This Row],[Month Year]],0))</f>
        <v>31</v>
      </c>
      <c r="H768" s="21">
        <v>45797</v>
      </c>
      <c r="I768" s="41">
        <f>IFERROR(VLOOKUP(TA[[#This Row],[Date]],Raw_Data[[Date]:[Sunset Time (POA&lt;20 W/m2)]],3,0),"")</f>
        <v>0.24791666666666667</v>
      </c>
      <c r="J768" s="41">
        <f>IFERROR(VLOOKUP(TA[[#This Row],[Date]],Raw_Data[[Date]:[Sunset Time (POA&lt;20 W/m2)]],4,0),"")</f>
        <v>0.76527777777777772</v>
      </c>
      <c r="K768" s="35">
        <f>IFERROR((TA[[#This Row],[Sunset Time (POA&lt;20 W/m2)]]-TA[[#This Row],[Sunrise Time (POA&gt;20 W/m2)]])*24,"")</f>
        <v>12.416666666666664</v>
      </c>
      <c r="L768" s="2" t="s">
        <v>294</v>
      </c>
      <c r="M768" s="42">
        <f>IFERROR(VLOOKUP(TA[[#This Row],[Affected Equipment]],'Basic Data'!$I$2:$K$40,3,0),"")</f>
        <v>1.7241379310344799E-3</v>
      </c>
      <c r="N768">
        <v>-28</v>
      </c>
      <c r="O768" t="s">
        <v>137</v>
      </c>
      <c r="P768" s="127" t="s">
        <v>315</v>
      </c>
      <c r="Q768" s="126" t="s">
        <v>319</v>
      </c>
      <c r="R768">
        <v>166</v>
      </c>
      <c r="S768" s="2">
        <v>91</v>
      </c>
      <c r="T768" t="s">
        <v>295</v>
      </c>
      <c r="U768" t="s">
        <v>300</v>
      </c>
      <c r="V768" t="s">
        <v>298</v>
      </c>
      <c r="W768" s="41"/>
      <c r="X768" s="41"/>
      <c r="Y768" s="34"/>
      <c r="Z768" s="34"/>
      <c r="AA768" s="35">
        <f>IF(TA[[#This Row],[Work Start time on Fault]]="NA","",(TA[[#This Row],[Fault Acknowledgement Time ]]-TA[[#This Row],[Fault Time]])*24)</f>
        <v>0</v>
      </c>
      <c r="AB768" s="35">
        <f>(TA[[#This Row],[Work Start time on Fault]]-TA[[#This Row],[Fault Time]])*24</f>
        <v>0</v>
      </c>
      <c r="AC768" s="34">
        <f>(TA[[#This Row],[Work Completion time on fault]]-TA[[#This Row],[Fault Time]])*24</f>
        <v>0</v>
      </c>
      <c r="AD768" s="35">
        <f>IFERROR((TA[[#This Row],[Work Completion time on fault]]-TA[[#This Row],[Fault Time]])*24,"")</f>
        <v>0</v>
      </c>
      <c r="AE768" t="s">
        <v>328</v>
      </c>
      <c r="AF768" t="s">
        <v>256</v>
      </c>
      <c r="AG768" s="2"/>
      <c r="AH768" s="44">
        <f>1-COS(RADIANS(TA[[#This Row],[Avg. Target Angle during Fault Time (Radians)]]-TA[[#This Row],[Angle of affected equipment ]]))</f>
        <v>0.11705240714107301</v>
      </c>
      <c r="AI768" s="35">
        <f>IFERROR(TA[[#This Row],[Breakdown Time]]*TA[[#This Row],[Plant Equivalent Weightage]],"")</f>
        <v>0</v>
      </c>
    </row>
    <row r="769" spans="1:35">
      <c r="A769" s="2">
        <f t="shared" si="56"/>
        <v>766</v>
      </c>
      <c r="B769" s="156">
        <f t="shared" si="59"/>
        <v>2026</v>
      </c>
      <c r="C769" s="129">
        <f t="shared" si="60"/>
        <v>2025</v>
      </c>
      <c r="D769" s="2" t="s">
        <v>155</v>
      </c>
      <c r="E769" s="2" t="s">
        <v>155</v>
      </c>
      <c r="F769" s="39">
        <v>45778</v>
      </c>
      <c r="G769" s="2">
        <f>DAY(EOMONTH(TA[[#This Row],[Month Year]],0))</f>
        <v>31</v>
      </c>
      <c r="H769" s="21">
        <v>45797</v>
      </c>
      <c r="I769" s="41">
        <f>IFERROR(VLOOKUP(TA[[#This Row],[Date]],Raw_Data[[Date]:[Sunset Time (POA&lt;20 W/m2)]],3,0),"")</f>
        <v>0.24791666666666667</v>
      </c>
      <c r="J769" s="41">
        <f>IFERROR(VLOOKUP(TA[[#This Row],[Date]],Raw_Data[[Date]:[Sunset Time (POA&lt;20 W/m2)]],4,0),"")</f>
        <v>0.76527777777777772</v>
      </c>
      <c r="K769" s="35">
        <f>IFERROR((TA[[#This Row],[Sunset Time (POA&lt;20 W/m2)]]-TA[[#This Row],[Sunrise Time (POA&gt;20 W/m2)]])*24,"")</f>
        <v>12.416666666666664</v>
      </c>
      <c r="L769" s="2" t="s">
        <v>294</v>
      </c>
      <c r="M769" s="42">
        <f>IFERROR(VLOOKUP(TA[[#This Row],[Affected Equipment]],'Basic Data'!$I$2:$K$40,3,0),"")</f>
        <v>1.7241379310344799E-3</v>
      </c>
      <c r="N769">
        <v>-28</v>
      </c>
      <c r="O769" t="s">
        <v>133</v>
      </c>
      <c r="P769" s="127" t="s">
        <v>316</v>
      </c>
      <c r="Q769" s="126" t="s">
        <v>316</v>
      </c>
      <c r="R769">
        <v>117</v>
      </c>
      <c r="S769" s="2">
        <v>20</v>
      </c>
      <c r="T769" t="s">
        <v>295</v>
      </c>
      <c r="U769" t="s">
        <v>300</v>
      </c>
      <c r="V769" t="s">
        <v>298</v>
      </c>
      <c r="W769" s="41"/>
      <c r="X769" s="41"/>
      <c r="Y769" s="34"/>
      <c r="Z769" s="34"/>
      <c r="AA769" s="35">
        <f>IF(TA[[#This Row],[Work Start time on Fault]]="NA","",(TA[[#This Row],[Fault Acknowledgement Time ]]-TA[[#This Row],[Fault Time]])*24)</f>
        <v>0</v>
      </c>
      <c r="AB769" s="35">
        <f>(TA[[#This Row],[Work Start time on Fault]]-TA[[#This Row],[Fault Time]])*24</f>
        <v>0</v>
      </c>
      <c r="AC769" s="34">
        <f>(TA[[#This Row],[Work Completion time on fault]]-TA[[#This Row],[Fault Time]])*24</f>
        <v>0</v>
      </c>
      <c r="AD769" s="35">
        <f>IFERROR((TA[[#This Row],[Work Completion time on fault]]-TA[[#This Row],[Fault Time]])*24,"")</f>
        <v>0</v>
      </c>
      <c r="AE769" t="s">
        <v>328</v>
      </c>
      <c r="AF769" t="s">
        <v>256</v>
      </c>
      <c r="AG769" s="2"/>
      <c r="AH769" s="44">
        <f>1-COS(RADIANS(TA[[#This Row],[Avg. Target Angle during Fault Time (Radians)]]-TA[[#This Row],[Angle of affected equipment ]]))</f>
        <v>0.11705240714107301</v>
      </c>
      <c r="AI769" s="35">
        <f>IFERROR(TA[[#This Row],[Breakdown Time]]*TA[[#This Row],[Plant Equivalent Weightage]],"")</f>
        <v>0</v>
      </c>
    </row>
    <row r="770" spans="1:35">
      <c r="A770" s="2">
        <f t="shared" si="56"/>
        <v>767</v>
      </c>
      <c r="B770" s="156">
        <f t="shared" si="59"/>
        <v>2026</v>
      </c>
      <c r="C770" s="129">
        <f t="shared" si="60"/>
        <v>2025</v>
      </c>
      <c r="D770" s="2" t="s">
        <v>155</v>
      </c>
      <c r="E770" s="2" t="s">
        <v>155</v>
      </c>
      <c r="F770" s="39">
        <v>45778</v>
      </c>
      <c r="G770" s="2">
        <f>DAY(EOMONTH(TA[[#This Row],[Month Year]],0))</f>
        <v>31</v>
      </c>
      <c r="H770" s="21">
        <v>45797</v>
      </c>
      <c r="I770" s="41">
        <f>IFERROR(VLOOKUP(TA[[#This Row],[Date]],Raw_Data[[Date]:[Sunset Time (POA&lt;20 W/m2)]],3,0),"")</f>
        <v>0.24791666666666667</v>
      </c>
      <c r="J770" s="41">
        <f>IFERROR(VLOOKUP(TA[[#This Row],[Date]],Raw_Data[[Date]:[Sunset Time (POA&lt;20 W/m2)]],4,0),"")</f>
        <v>0.76527777777777772</v>
      </c>
      <c r="K770" s="35">
        <f>IFERROR((TA[[#This Row],[Sunset Time (POA&lt;20 W/m2)]]-TA[[#This Row],[Sunrise Time (POA&gt;20 W/m2)]])*24,"")</f>
        <v>12.416666666666664</v>
      </c>
      <c r="L770" s="2" t="s">
        <v>294</v>
      </c>
      <c r="M770" s="42">
        <f>IFERROR(VLOOKUP(TA[[#This Row],[Affected Equipment]],'Basic Data'!$I$2:$K$40,3,0),"")</f>
        <v>1.7241379310344799E-3</v>
      </c>
      <c r="N770">
        <v>-28</v>
      </c>
      <c r="O770" t="s">
        <v>133</v>
      </c>
      <c r="P770" s="127" t="s">
        <v>316</v>
      </c>
      <c r="Q770" s="126" t="s">
        <v>316</v>
      </c>
      <c r="R770">
        <v>118</v>
      </c>
      <c r="S770" s="2">
        <v>22</v>
      </c>
      <c r="T770" t="s">
        <v>295</v>
      </c>
      <c r="U770" t="s">
        <v>300</v>
      </c>
      <c r="V770" t="s">
        <v>298</v>
      </c>
      <c r="W770" s="41"/>
      <c r="X770" s="41"/>
      <c r="Y770" s="34"/>
      <c r="Z770" s="34"/>
      <c r="AA770" s="35">
        <f>IF(TA[[#This Row],[Work Start time on Fault]]="NA","",(TA[[#This Row],[Fault Acknowledgement Time ]]-TA[[#This Row],[Fault Time]])*24)</f>
        <v>0</v>
      </c>
      <c r="AB770" s="35">
        <f>(TA[[#This Row],[Work Start time on Fault]]-TA[[#This Row],[Fault Time]])*24</f>
        <v>0</v>
      </c>
      <c r="AC770" s="34">
        <f>(TA[[#This Row],[Work Completion time on fault]]-TA[[#This Row],[Fault Time]])*24</f>
        <v>0</v>
      </c>
      <c r="AD770" s="35">
        <f>IFERROR((TA[[#This Row],[Work Completion time on fault]]-TA[[#This Row],[Fault Time]])*24,"")</f>
        <v>0</v>
      </c>
      <c r="AE770" t="s">
        <v>328</v>
      </c>
      <c r="AF770" t="s">
        <v>256</v>
      </c>
      <c r="AG770" s="2"/>
      <c r="AH770" s="44">
        <f>1-COS(RADIANS(TA[[#This Row],[Avg. Target Angle during Fault Time (Radians)]]-TA[[#This Row],[Angle of affected equipment ]]))</f>
        <v>0.11705240714107301</v>
      </c>
      <c r="AI770" s="35">
        <f>IFERROR(TA[[#This Row],[Breakdown Time]]*TA[[#This Row],[Plant Equivalent Weightage]],"")</f>
        <v>0</v>
      </c>
    </row>
    <row r="771" spans="1:35">
      <c r="A771" s="2">
        <f t="shared" si="56"/>
        <v>768</v>
      </c>
      <c r="B771" s="156">
        <f t="shared" si="59"/>
        <v>2026</v>
      </c>
      <c r="C771" s="129">
        <f t="shared" si="60"/>
        <v>2025</v>
      </c>
      <c r="D771" s="2" t="s">
        <v>155</v>
      </c>
      <c r="E771" s="2" t="s">
        <v>155</v>
      </c>
      <c r="F771" s="39">
        <v>45778</v>
      </c>
      <c r="G771" s="2">
        <f>DAY(EOMONTH(TA[[#This Row],[Month Year]],0))</f>
        <v>31</v>
      </c>
      <c r="H771" s="21">
        <v>45797</v>
      </c>
      <c r="I771" s="41">
        <f>IFERROR(VLOOKUP(TA[[#This Row],[Date]],Raw_Data[[Date]:[Sunset Time (POA&lt;20 W/m2)]],3,0),"")</f>
        <v>0.24791666666666667</v>
      </c>
      <c r="J771" s="41">
        <f>IFERROR(VLOOKUP(TA[[#This Row],[Date]],Raw_Data[[Date]:[Sunset Time (POA&lt;20 W/m2)]],4,0),"")</f>
        <v>0.76527777777777772</v>
      </c>
      <c r="K771" s="35">
        <f>IFERROR((TA[[#This Row],[Sunset Time (POA&lt;20 W/m2)]]-TA[[#This Row],[Sunrise Time (POA&gt;20 W/m2)]])*24,"")</f>
        <v>12.416666666666664</v>
      </c>
      <c r="L771" s="2" t="s">
        <v>296</v>
      </c>
      <c r="M771" s="42">
        <f>IFERROR(VLOOKUP(TA[[#This Row],[Affected Equipment]],'Basic Data'!$I$2:$K$40,3,0),"")</f>
        <v>8.6206896551724102E-3</v>
      </c>
      <c r="N771">
        <v>-28</v>
      </c>
      <c r="O771" t="s">
        <v>135</v>
      </c>
      <c r="P771" s="22" t="s">
        <v>323</v>
      </c>
      <c r="Q771" s="2" t="s">
        <v>329</v>
      </c>
      <c r="R771">
        <v>45</v>
      </c>
      <c r="S771" s="2">
        <v>8</v>
      </c>
      <c r="T771" t="s">
        <v>297</v>
      </c>
      <c r="U771" t="s">
        <v>300</v>
      </c>
      <c r="V771" t="s">
        <v>301</v>
      </c>
      <c r="W771" s="41"/>
      <c r="X771" s="41"/>
      <c r="Y771" s="34"/>
      <c r="Z771" s="34"/>
      <c r="AA771" s="35">
        <f>IF(TA[[#This Row],[Work Start time on Fault]]="NA","",(TA[[#This Row],[Fault Acknowledgement Time ]]-TA[[#This Row],[Fault Time]])*24)</f>
        <v>0</v>
      </c>
      <c r="AB771" s="35">
        <f>(TA[[#This Row],[Work Start time on Fault]]-TA[[#This Row],[Fault Time]])*24</f>
        <v>0</v>
      </c>
      <c r="AC771" s="34">
        <f>(TA[[#This Row],[Work Completion time on fault]]-TA[[#This Row],[Fault Time]])*24</f>
        <v>0</v>
      </c>
      <c r="AD771" s="35">
        <f>IFERROR((TA[[#This Row],[Work Completion time on fault]]-TA[[#This Row],[Fault Time]])*24,"")</f>
        <v>0</v>
      </c>
      <c r="AE771" t="s">
        <v>328</v>
      </c>
      <c r="AF771" t="s">
        <v>256</v>
      </c>
      <c r="AG771" s="2"/>
      <c r="AH771" s="44">
        <f>1-COS(RADIANS(TA[[#This Row],[Avg. Target Angle during Fault Time (Radians)]]-TA[[#This Row],[Angle of affected equipment ]]))</f>
        <v>0.11705240714107301</v>
      </c>
      <c r="AI771" s="35">
        <f>IFERROR(TA[[#This Row],[Breakdown Time]]*TA[[#This Row],[Plant Equivalent Weightage]],"")</f>
        <v>0</v>
      </c>
    </row>
    <row r="772" spans="1:35">
      <c r="A772" s="2">
        <f t="shared" si="56"/>
        <v>769</v>
      </c>
      <c r="B772" s="156">
        <f t="shared" si="59"/>
        <v>2026</v>
      </c>
      <c r="C772" s="129">
        <f t="shared" si="60"/>
        <v>2025</v>
      </c>
      <c r="D772" s="2" t="s">
        <v>155</v>
      </c>
      <c r="E772" s="2" t="s">
        <v>155</v>
      </c>
      <c r="F772" s="39">
        <v>45778</v>
      </c>
      <c r="G772" s="2">
        <f>DAY(EOMONTH(TA[[#This Row],[Month Year]],0))</f>
        <v>31</v>
      </c>
      <c r="H772" s="21">
        <v>45797</v>
      </c>
      <c r="I772" s="41">
        <f>IFERROR(VLOOKUP(TA[[#This Row],[Date]],Raw_Data[[Date]:[Sunset Time (POA&lt;20 W/m2)]],3,0),"")</f>
        <v>0.24791666666666667</v>
      </c>
      <c r="J772" s="41">
        <f>IFERROR(VLOOKUP(TA[[#This Row],[Date]],Raw_Data[[Date]:[Sunset Time (POA&lt;20 W/m2)]],4,0),"")</f>
        <v>0.76527777777777772</v>
      </c>
      <c r="K772" s="35">
        <f>IFERROR((TA[[#This Row],[Sunset Time (POA&lt;20 W/m2)]]-TA[[#This Row],[Sunrise Time (POA&gt;20 W/m2)]])*24,"")</f>
        <v>12.416666666666664</v>
      </c>
      <c r="L772" s="2" t="s">
        <v>296</v>
      </c>
      <c r="M772" s="42">
        <f>IFERROR(VLOOKUP(TA[[#This Row],[Affected Equipment]],'Basic Data'!$I$2:$K$40,3,0),"")</f>
        <v>8.6206896551724102E-3</v>
      </c>
      <c r="N772">
        <v>-28</v>
      </c>
      <c r="O772" t="s">
        <v>135</v>
      </c>
      <c r="P772" s="22" t="s">
        <v>323</v>
      </c>
      <c r="Q772" s="2" t="s">
        <v>329</v>
      </c>
      <c r="R772">
        <v>47</v>
      </c>
      <c r="S772" s="2">
        <v>18</v>
      </c>
      <c r="T772" t="s">
        <v>297</v>
      </c>
      <c r="U772" t="s">
        <v>300</v>
      </c>
      <c r="V772" t="s">
        <v>301</v>
      </c>
      <c r="W772" s="41"/>
      <c r="X772" s="41"/>
      <c r="Y772" s="34"/>
      <c r="Z772" s="34"/>
      <c r="AA772" s="35">
        <f>IF(TA[[#This Row],[Work Start time on Fault]]="NA","",(TA[[#This Row],[Fault Acknowledgement Time ]]-TA[[#This Row],[Fault Time]])*24)</f>
        <v>0</v>
      </c>
      <c r="AB772" s="35">
        <f>(TA[[#This Row],[Work Start time on Fault]]-TA[[#This Row],[Fault Time]])*24</f>
        <v>0</v>
      </c>
      <c r="AC772" s="34">
        <f>(TA[[#This Row],[Work Completion time on fault]]-TA[[#This Row],[Fault Time]])*24</f>
        <v>0</v>
      </c>
      <c r="AD772" s="35">
        <f>IFERROR((TA[[#This Row],[Work Completion time on fault]]-TA[[#This Row],[Fault Time]])*24,"")</f>
        <v>0</v>
      </c>
      <c r="AE772" t="s">
        <v>328</v>
      </c>
      <c r="AF772" t="s">
        <v>256</v>
      </c>
      <c r="AG772" s="2"/>
      <c r="AH772" s="44">
        <f>1-COS(RADIANS(TA[[#This Row],[Avg. Target Angle during Fault Time (Radians)]]-TA[[#This Row],[Angle of affected equipment ]]))</f>
        <v>0.11705240714107301</v>
      </c>
      <c r="AI772" s="35">
        <f>IFERROR(TA[[#This Row],[Breakdown Time]]*TA[[#This Row],[Plant Equivalent Weightage]],"")</f>
        <v>0</v>
      </c>
    </row>
    <row r="773" spans="1:35">
      <c r="A773" s="2">
        <f t="shared" si="56"/>
        <v>770</v>
      </c>
      <c r="B773" s="156">
        <f t="shared" si="59"/>
        <v>2026</v>
      </c>
      <c r="C773" s="129">
        <f t="shared" si="60"/>
        <v>2025</v>
      </c>
      <c r="D773" s="2" t="s">
        <v>155</v>
      </c>
      <c r="E773" s="2" t="s">
        <v>155</v>
      </c>
      <c r="F773" s="39">
        <v>45778</v>
      </c>
      <c r="G773" s="2">
        <f>DAY(EOMONTH(TA[[#This Row],[Month Year]],0))</f>
        <v>31</v>
      </c>
      <c r="H773" s="21">
        <v>45797</v>
      </c>
      <c r="I773" s="41">
        <f>IFERROR(VLOOKUP(TA[[#This Row],[Date]],Raw_Data[[Date]:[Sunset Time (POA&lt;20 W/m2)]],3,0),"")</f>
        <v>0.24791666666666667</v>
      </c>
      <c r="J773" s="41">
        <f>IFERROR(VLOOKUP(TA[[#This Row],[Date]],Raw_Data[[Date]:[Sunset Time (POA&lt;20 W/m2)]],4,0),"")</f>
        <v>0.76527777777777772</v>
      </c>
      <c r="K773" s="35">
        <f>IFERROR((TA[[#This Row],[Sunset Time (POA&lt;20 W/m2)]]-TA[[#This Row],[Sunrise Time (POA&gt;20 W/m2)]])*24,"")</f>
        <v>12.416666666666664</v>
      </c>
      <c r="L773" s="2" t="s">
        <v>296</v>
      </c>
      <c r="M773" s="42">
        <f>IFERROR(VLOOKUP(TA[[#This Row],[Affected Equipment]],'Basic Data'!$I$2:$K$40,3,0),"")</f>
        <v>8.6206896551724102E-3</v>
      </c>
      <c r="N773">
        <v>-28</v>
      </c>
      <c r="O773" t="s">
        <v>134</v>
      </c>
      <c r="P773" s="22" t="s">
        <v>330</v>
      </c>
      <c r="Q773" s="2" t="s">
        <v>323</v>
      </c>
      <c r="R773">
        <v>30</v>
      </c>
      <c r="S773" s="2">
        <v>57</v>
      </c>
      <c r="T773" t="s">
        <v>297</v>
      </c>
      <c r="U773" t="s">
        <v>300</v>
      </c>
      <c r="V773" t="s">
        <v>301</v>
      </c>
      <c r="W773" s="41"/>
      <c r="X773" s="41"/>
      <c r="Y773" s="34"/>
      <c r="Z773" s="34"/>
      <c r="AA773" s="35">
        <f>IF(TA[[#This Row],[Work Start time on Fault]]="NA","",(TA[[#This Row],[Fault Acknowledgement Time ]]-TA[[#This Row],[Fault Time]])*24)</f>
        <v>0</v>
      </c>
      <c r="AB773" s="35">
        <f>(TA[[#This Row],[Work Start time on Fault]]-TA[[#This Row],[Fault Time]])*24</f>
        <v>0</v>
      </c>
      <c r="AC773" s="34">
        <f>(TA[[#This Row],[Work Completion time on fault]]-TA[[#This Row],[Fault Time]])*24</f>
        <v>0</v>
      </c>
      <c r="AD773" s="35">
        <f>IFERROR((TA[[#This Row],[Work Completion time on fault]]-TA[[#This Row],[Fault Time]])*24,"")</f>
        <v>0</v>
      </c>
      <c r="AE773" t="s">
        <v>328</v>
      </c>
      <c r="AF773" t="s">
        <v>256</v>
      </c>
      <c r="AG773" s="2"/>
      <c r="AH773" s="44">
        <f>1-COS(RADIANS(TA[[#This Row],[Avg. Target Angle during Fault Time (Radians)]]-TA[[#This Row],[Angle of affected equipment ]]))</f>
        <v>0.11705240714107301</v>
      </c>
      <c r="AI773" s="35">
        <f>IFERROR(TA[[#This Row],[Breakdown Time]]*TA[[#This Row],[Plant Equivalent Weightage]],"")</f>
        <v>0</v>
      </c>
    </row>
    <row r="774" spans="1:35">
      <c r="A774" s="2">
        <f t="shared" si="56"/>
        <v>771</v>
      </c>
      <c r="B774" s="156">
        <f t="shared" si="59"/>
        <v>2026</v>
      </c>
      <c r="C774" s="129">
        <f t="shared" si="60"/>
        <v>2025</v>
      </c>
      <c r="D774" s="2" t="s">
        <v>155</v>
      </c>
      <c r="E774" s="2" t="s">
        <v>155</v>
      </c>
      <c r="F774" s="39">
        <v>45778</v>
      </c>
      <c r="G774" s="2">
        <f>DAY(EOMONTH(TA[[#This Row],[Month Year]],0))</f>
        <v>31</v>
      </c>
      <c r="H774" s="21">
        <v>45797</v>
      </c>
      <c r="I774" s="41">
        <f>IFERROR(VLOOKUP(TA[[#This Row],[Date]],Raw_Data[[Date]:[Sunset Time (POA&lt;20 W/m2)]],3,0),"")</f>
        <v>0.24791666666666667</v>
      </c>
      <c r="J774" s="41">
        <f>IFERROR(VLOOKUP(TA[[#This Row],[Date]],Raw_Data[[Date]:[Sunset Time (POA&lt;20 W/m2)]],4,0),"")</f>
        <v>0.76527777777777772</v>
      </c>
      <c r="K774" s="35">
        <f>IFERROR((TA[[#This Row],[Sunset Time (POA&lt;20 W/m2)]]-TA[[#This Row],[Sunrise Time (POA&gt;20 W/m2)]])*24,"")</f>
        <v>12.416666666666664</v>
      </c>
      <c r="L774" s="2" t="s">
        <v>296</v>
      </c>
      <c r="M774" s="42">
        <f>IFERROR(VLOOKUP(TA[[#This Row],[Affected Equipment]],'Basic Data'!$I$2:$K$40,3,0),"")</f>
        <v>8.6206896551724102E-3</v>
      </c>
      <c r="N774">
        <v>-28</v>
      </c>
      <c r="O774" t="s">
        <v>134</v>
      </c>
      <c r="P774" s="22" t="s">
        <v>330</v>
      </c>
      <c r="Q774" s="2" t="s">
        <v>323</v>
      </c>
      <c r="R774">
        <v>31</v>
      </c>
      <c r="S774" s="2">
        <v>61</v>
      </c>
      <c r="T774" t="s">
        <v>297</v>
      </c>
      <c r="U774" t="s">
        <v>300</v>
      </c>
      <c r="V774" t="s">
        <v>301</v>
      </c>
      <c r="W774" s="41"/>
      <c r="X774" s="41"/>
      <c r="Y774" s="34"/>
      <c r="Z774" s="34"/>
      <c r="AA774" s="35">
        <f>IF(TA[[#This Row],[Work Start time on Fault]]="NA","",(TA[[#This Row],[Fault Acknowledgement Time ]]-TA[[#This Row],[Fault Time]])*24)</f>
        <v>0</v>
      </c>
      <c r="AB774" s="35">
        <f>(TA[[#This Row],[Work Start time on Fault]]-TA[[#This Row],[Fault Time]])*24</f>
        <v>0</v>
      </c>
      <c r="AC774" s="34">
        <f>(TA[[#This Row],[Work Completion time on fault]]-TA[[#This Row],[Fault Time]])*24</f>
        <v>0</v>
      </c>
      <c r="AD774" s="35">
        <f>IFERROR((TA[[#This Row],[Work Completion time on fault]]-TA[[#This Row],[Fault Time]])*24,"")</f>
        <v>0</v>
      </c>
      <c r="AE774" t="s">
        <v>328</v>
      </c>
      <c r="AF774" t="s">
        <v>256</v>
      </c>
      <c r="AG774" s="2"/>
      <c r="AH774" s="44">
        <f>1-COS(RADIANS(TA[[#This Row],[Avg. Target Angle during Fault Time (Radians)]]-TA[[#This Row],[Angle of affected equipment ]]))</f>
        <v>0.11705240714107301</v>
      </c>
      <c r="AI774" s="35">
        <f>IFERROR(TA[[#This Row],[Breakdown Time]]*TA[[#This Row],[Plant Equivalent Weightage]],"")</f>
        <v>0</v>
      </c>
    </row>
    <row r="775" spans="1:35">
      <c r="A775" s="2">
        <f t="shared" si="56"/>
        <v>772</v>
      </c>
      <c r="B775" s="156">
        <f t="shared" si="59"/>
        <v>2026</v>
      </c>
      <c r="C775" s="129">
        <f t="shared" si="60"/>
        <v>2025</v>
      </c>
      <c r="D775" s="2" t="s">
        <v>155</v>
      </c>
      <c r="E775" s="2" t="s">
        <v>155</v>
      </c>
      <c r="F775" s="39">
        <v>45778</v>
      </c>
      <c r="G775" s="2">
        <f>DAY(EOMONTH(TA[[#This Row],[Month Year]],0))</f>
        <v>31</v>
      </c>
      <c r="H775" s="21">
        <v>45797</v>
      </c>
      <c r="I775" s="41">
        <f>IFERROR(VLOOKUP(TA[[#This Row],[Date]],Raw_Data[[Date]:[Sunset Time (POA&lt;20 W/m2)]],3,0),"")</f>
        <v>0.24791666666666667</v>
      </c>
      <c r="J775" s="41">
        <f>IFERROR(VLOOKUP(TA[[#This Row],[Date]],Raw_Data[[Date]:[Sunset Time (POA&lt;20 W/m2)]],4,0),"")</f>
        <v>0.76527777777777772</v>
      </c>
      <c r="K775" s="35">
        <f>IFERROR((TA[[#This Row],[Sunset Time (POA&lt;20 W/m2)]]-TA[[#This Row],[Sunrise Time (POA&gt;20 W/m2)]])*24,"")</f>
        <v>12.416666666666664</v>
      </c>
      <c r="L775" s="2" t="s">
        <v>312</v>
      </c>
      <c r="M775" s="42">
        <f>IFERROR(VLOOKUP(TA[[#This Row],[Affected Equipment]],'Basic Data'!$I$2:$K$40,3,0),"")</f>
        <v>5.74712643678161E-3</v>
      </c>
      <c r="N775">
        <v>-28</v>
      </c>
      <c r="O775" t="s">
        <v>133</v>
      </c>
      <c r="P775" s="22" t="s">
        <v>330</v>
      </c>
      <c r="Q775" s="2" t="s">
        <v>323</v>
      </c>
      <c r="R775">
        <v>26</v>
      </c>
      <c r="S775" s="2">
        <v>37</v>
      </c>
      <c r="T775" t="s">
        <v>297</v>
      </c>
      <c r="U775" t="s">
        <v>300</v>
      </c>
      <c r="V775" t="s">
        <v>301</v>
      </c>
      <c r="W775" s="41"/>
      <c r="X775" s="41"/>
      <c r="Y775" s="34"/>
      <c r="Z775" s="34"/>
      <c r="AA775" s="35">
        <f>IF(TA[[#This Row],[Work Start time on Fault]]="NA","",(TA[[#This Row],[Fault Acknowledgement Time ]]-TA[[#This Row],[Fault Time]])*24)</f>
        <v>0</v>
      </c>
      <c r="AB775" s="35">
        <f>(TA[[#This Row],[Work Start time on Fault]]-TA[[#This Row],[Fault Time]])*24</f>
        <v>0</v>
      </c>
      <c r="AC775" s="34">
        <f>(TA[[#This Row],[Work Completion time on fault]]-TA[[#This Row],[Fault Time]])*24</f>
        <v>0</v>
      </c>
      <c r="AD775" s="35">
        <f>IFERROR((TA[[#This Row],[Work Completion time on fault]]-TA[[#This Row],[Fault Time]])*24,"")</f>
        <v>0</v>
      </c>
      <c r="AE775" t="s">
        <v>328</v>
      </c>
      <c r="AF775" t="s">
        <v>256</v>
      </c>
      <c r="AG775" s="2"/>
      <c r="AH775" s="44">
        <f>1-COS(RADIANS(TA[[#This Row],[Avg. Target Angle during Fault Time (Radians)]]-TA[[#This Row],[Angle of affected equipment ]]))</f>
        <v>0.11705240714107301</v>
      </c>
      <c r="AI775" s="35">
        <f>IFERROR(TA[[#This Row],[Breakdown Time]]*TA[[#This Row],[Plant Equivalent Weightage]],"")</f>
        <v>0</v>
      </c>
    </row>
    <row r="776" spans="1:35">
      <c r="A776" s="2">
        <f t="shared" si="56"/>
        <v>773</v>
      </c>
      <c r="B776" s="156">
        <f t="shared" si="59"/>
        <v>2026</v>
      </c>
      <c r="C776" s="129">
        <f t="shared" si="60"/>
        <v>2025</v>
      </c>
      <c r="D776" s="2" t="s">
        <v>155</v>
      </c>
      <c r="E776" s="2" t="s">
        <v>155</v>
      </c>
      <c r="F776" s="39">
        <v>45778</v>
      </c>
      <c r="G776" s="2">
        <f>DAY(EOMONTH(TA[[#This Row],[Month Year]],0))</f>
        <v>31</v>
      </c>
      <c r="H776" s="21">
        <v>45797</v>
      </c>
      <c r="I776" s="41">
        <f>IFERROR(VLOOKUP(TA[[#This Row],[Date]],Raw_Data[[Date]:[Sunset Time (POA&lt;20 W/m2)]],3,0),"")</f>
        <v>0.24791666666666667</v>
      </c>
      <c r="J776" s="41">
        <f>IFERROR(VLOOKUP(TA[[#This Row],[Date]],Raw_Data[[Date]:[Sunset Time (POA&lt;20 W/m2)]],4,0),"")</f>
        <v>0.76527777777777772</v>
      </c>
      <c r="K776" s="35">
        <f>IFERROR((TA[[#This Row],[Sunset Time (POA&lt;20 W/m2)]]-TA[[#This Row],[Sunrise Time (POA&gt;20 W/m2)]])*24,"")</f>
        <v>12.416666666666664</v>
      </c>
      <c r="L776" s="2" t="s">
        <v>312</v>
      </c>
      <c r="M776" s="42">
        <f>IFERROR(VLOOKUP(TA[[#This Row],[Affected Equipment]],'Basic Data'!$I$2:$K$40,3,0),"")</f>
        <v>5.74712643678161E-3</v>
      </c>
      <c r="N776">
        <v>-28</v>
      </c>
      <c r="O776" t="s">
        <v>133</v>
      </c>
      <c r="P776" s="22" t="s">
        <v>330</v>
      </c>
      <c r="Q776" s="2" t="s">
        <v>323</v>
      </c>
      <c r="R776">
        <v>27</v>
      </c>
      <c r="S776" s="2">
        <v>42</v>
      </c>
      <c r="T776" t="s">
        <v>297</v>
      </c>
      <c r="U776" t="s">
        <v>300</v>
      </c>
      <c r="V776" t="s">
        <v>301</v>
      </c>
      <c r="W776" s="41">
        <f>IFERROR(VLOOKUP(TA[[#This Row],[Date]],Raw_Data[[Date]:[Sunset Time (POA&lt;20 W/m2)]],3,0),"")</f>
        <v>0.24791666666666667</v>
      </c>
      <c r="X776" s="41">
        <f>IFERROR(VLOOKUP(TA[[#This Row],[Date]],Raw_Data[[Date]:[Sunset Time (POA&lt;20 W/m2)]],3,0),"")</f>
        <v>0.24791666666666667</v>
      </c>
      <c r="Y776" s="34"/>
      <c r="Z776" s="34">
        <v>0.76041666666666663</v>
      </c>
      <c r="AA776" s="35">
        <f>IF(TA[[#This Row],[Work Start time on Fault]]="NA","",(TA[[#This Row],[Fault Acknowledgement Time ]]-TA[[#This Row],[Fault Time]])*24)</f>
        <v>0</v>
      </c>
      <c r="AB776" s="35">
        <f>(TA[[#This Row],[Work Start time on Fault]]-TA[[#This Row],[Fault Time]])*24</f>
        <v>-5.95</v>
      </c>
      <c r="AC776" s="34">
        <f>(TA[[#This Row],[Work Completion time on fault]]-TA[[#This Row],[Fault Time]])*24</f>
        <v>12.299999999999999</v>
      </c>
      <c r="AD776" s="35">
        <f>IFERROR((TA[[#This Row],[Work Completion time on fault]]-TA[[#This Row],[Fault Time]])*24,"")</f>
        <v>12.299999999999999</v>
      </c>
      <c r="AE776" t="s">
        <v>309</v>
      </c>
      <c r="AF776" t="s">
        <v>256</v>
      </c>
      <c r="AG776" s="2"/>
      <c r="AH776" s="44">
        <f>1-COS(RADIANS(TA[[#This Row],[Avg. Target Angle during Fault Time (Radians)]]-TA[[#This Row],[Angle of affected equipment ]]))</f>
        <v>0.11705240714107301</v>
      </c>
      <c r="AI776" s="35">
        <f>IFERROR(TA[[#This Row],[Breakdown Time]]*TA[[#This Row],[Plant Equivalent Weightage]],"")</f>
        <v>7.0689655172413796E-2</v>
      </c>
    </row>
    <row r="777" spans="1:35">
      <c r="A777" s="2">
        <f t="shared" si="56"/>
        <v>774</v>
      </c>
      <c r="B777" s="156">
        <f t="shared" ref="B777:B792" si="61">YEAR(H777)+IF(MONTH(H777)&gt;=4,1,0)</f>
        <v>2026</v>
      </c>
      <c r="C777" s="129">
        <f t="shared" ref="C777:C792" si="62">YEAR(H777)</f>
        <v>2025</v>
      </c>
      <c r="D777" s="2" t="s">
        <v>155</v>
      </c>
      <c r="E777" s="2" t="s">
        <v>155</v>
      </c>
      <c r="F777" s="39">
        <v>45778</v>
      </c>
      <c r="G777" s="2">
        <f>DAY(EOMONTH(TA[[#This Row],[Month Year]],0))</f>
        <v>31</v>
      </c>
      <c r="H777" s="21">
        <v>45797</v>
      </c>
      <c r="I777" s="41">
        <f>IFERROR(VLOOKUP(TA[[#This Row],[Date]],Raw_Data[[Date]:[Sunset Time (POA&lt;20 W/m2)]],3,0),"")</f>
        <v>0.24791666666666667</v>
      </c>
      <c r="J777" s="41">
        <f>IFERROR(VLOOKUP(TA[[#This Row],[Date]],Raw_Data[[Date]:[Sunset Time (POA&lt;20 W/m2)]],4,0),"")</f>
        <v>0.76527777777777772</v>
      </c>
      <c r="K777" s="35">
        <f>IFERROR((TA[[#This Row],[Sunset Time (POA&lt;20 W/m2)]]-TA[[#This Row],[Sunrise Time (POA&gt;20 W/m2)]])*24,"")</f>
        <v>12.416666666666664</v>
      </c>
      <c r="L777" s="2" t="s">
        <v>294</v>
      </c>
      <c r="M777" s="42">
        <f>IFERROR(VLOOKUP(TA[[#This Row],[Affected Equipment]],'Basic Data'!$I$2:$K$40,3,0),"")</f>
        <v>1.7241379310344799E-3</v>
      </c>
      <c r="N777">
        <v>-28</v>
      </c>
      <c r="O777" t="s">
        <v>132</v>
      </c>
      <c r="P777" s="127" t="s">
        <v>316</v>
      </c>
      <c r="Q777" s="126" t="s">
        <v>320</v>
      </c>
      <c r="R777">
        <v>28</v>
      </c>
      <c r="S777" s="2">
        <v>45</v>
      </c>
      <c r="T777" t="s">
        <v>295</v>
      </c>
      <c r="U777" t="s">
        <v>300</v>
      </c>
      <c r="V777" t="s">
        <v>298</v>
      </c>
      <c r="W777" s="41">
        <f>IFERROR(VLOOKUP(TA[[#This Row],[Date]],Raw_Data[[Date]:[Sunset Time (POA&lt;20 W/m2)]],3,0),"")</f>
        <v>0.24791666666666667</v>
      </c>
      <c r="X777" s="41">
        <f>IFERROR(VLOOKUP(TA[[#This Row],[Date]],Raw_Data[[Date]:[Sunset Time (POA&lt;20 W/m2)]],3,0),"")</f>
        <v>0.24791666666666667</v>
      </c>
      <c r="Y777" s="34">
        <v>0.64583333333333337</v>
      </c>
      <c r="Z777" s="34">
        <v>0.66319444444444442</v>
      </c>
      <c r="AA777" s="35">
        <f>IF(TA[[#This Row],[Work Start time on Fault]]="NA","",(TA[[#This Row],[Fault Acknowledgement Time ]]-TA[[#This Row],[Fault Time]])*24)</f>
        <v>0</v>
      </c>
      <c r="AB777" s="35">
        <f>(TA[[#This Row],[Work Start time on Fault]]-TA[[#This Row],[Fault Time]])*24</f>
        <v>9.5500000000000007</v>
      </c>
      <c r="AC777" s="34">
        <f>(TA[[#This Row],[Work Completion time on fault]]-TA[[#This Row],[Fault Time]])*24</f>
        <v>9.966666666666665</v>
      </c>
      <c r="AD777" s="35">
        <f>IFERROR((TA[[#This Row],[Work Completion time on fault]]-TA[[#This Row],[Fault Time]])*24,"")</f>
        <v>9.966666666666665</v>
      </c>
      <c r="AE777" t="s">
        <v>328</v>
      </c>
      <c r="AF777" t="s">
        <v>256</v>
      </c>
      <c r="AG777" s="2"/>
      <c r="AH777" s="44">
        <f>1-COS(RADIANS(TA[[#This Row],[Avg. Target Angle during Fault Time (Radians)]]-TA[[#This Row],[Angle of affected equipment ]]))</f>
        <v>0.11705240714107301</v>
      </c>
      <c r="AI777" s="35">
        <f>IFERROR(TA[[#This Row],[Breakdown Time]]*TA[[#This Row],[Plant Equivalent Weightage]],"")</f>
        <v>1.718390804597698E-2</v>
      </c>
    </row>
    <row r="778" spans="1:35">
      <c r="A778" s="2">
        <f t="shared" si="56"/>
        <v>775</v>
      </c>
      <c r="B778" s="156">
        <f t="shared" si="61"/>
        <v>2026</v>
      </c>
      <c r="C778" s="129">
        <f t="shared" si="62"/>
        <v>2025</v>
      </c>
      <c r="D778" s="2" t="s">
        <v>155</v>
      </c>
      <c r="E778" s="2" t="s">
        <v>155</v>
      </c>
      <c r="F778" s="39">
        <v>45778</v>
      </c>
      <c r="G778" s="2">
        <f>DAY(EOMONTH(TA[[#This Row],[Month Year]],0))</f>
        <v>31</v>
      </c>
      <c r="H778" s="21">
        <v>45797</v>
      </c>
      <c r="I778" s="41">
        <f>IFERROR(VLOOKUP(TA[[#This Row],[Date]],Raw_Data[[Date]:[Sunset Time (POA&lt;20 W/m2)]],3,0),"")</f>
        <v>0.24791666666666667</v>
      </c>
      <c r="J778" s="41">
        <f>IFERROR(VLOOKUP(TA[[#This Row],[Date]],Raw_Data[[Date]:[Sunset Time (POA&lt;20 W/m2)]],4,0),"")</f>
        <v>0.76527777777777772</v>
      </c>
      <c r="K778" s="35">
        <f>IFERROR((TA[[#This Row],[Sunset Time (POA&lt;20 W/m2)]]-TA[[#This Row],[Sunrise Time (POA&gt;20 W/m2)]])*24,"")</f>
        <v>12.416666666666664</v>
      </c>
      <c r="L778" s="2" t="s">
        <v>294</v>
      </c>
      <c r="M778" s="42">
        <f>IFERROR(VLOOKUP(TA[[#This Row],[Affected Equipment]],'Basic Data'!$I$2:$K$40,3,0),"")</f>
        <v>1.7241379310344799E-3</v>
      </c>
      <c r="N778">
        <v>-28</v>
      </c>
      <c r="O778" t="s">
        <v>137</v>
      </c>
      <c r="P778" s="127" t="s">
        <v>315</v>
      </c>
      <c r="Q778" s="126" t="s">
        <v>315</v>
      </c>
      <c r="R778">
        <v>70</v>
      </c>
      <c r="S778" s="2">
        <v>46</v>
      </c>
      <c r="T778" t="s">
        <v>295</v>
      </c>
      <c r="U778" t="s">
        <v>300</v>
      </c>
      <c r="V778" t="s">
        <v>298</v>
      </c>
      <c r="W778" s="41">
        <f>IFERROR(VLOOKUP(TA[[#This Row],[Date]],Raw_Data[[Date]:[Sunset Time (POA&lt;20 W/m2)]],3,0),"")</f>
        <v>0.24791666666666667</v>
      </c>
      <c r="X778" s="41">
        <f>IFERROR(VLOOKUP(TA[[#This Row],[Date]],Raw_Data[[Date]:[Sunset Time (POA&lt;20 W/m2)]],3,0),"")</f>
        <v>0.24791666666666667</v>
      </c>
      <c r="Y778" s="34">
        <v>0.66736111111111107</v>
      </c>
      <c r="Z778" s="34">
        <v>0.67708333333333337</v>
      </c>
      <c r="AA778" s="35">
        <f>IF(TA[[#This Row],[Work Start time on Fault]]="NA","",(TA[[#This Row],[Fault Acknowledgement Time ]]-TA[[#This Row],[Fault Time]])*24)</f>
        <v>0</v>
      </c>
      <c r="AB778" s="35">
        <f>(TA[[#This Row],[Work Start time on Fault]]-TA[[#This Row],[Fault Time]])*24</f>
        <v>10.066666666666666</v>
      </c>
      <c r="AC778" s="34">
        <f>(TA[[#This Row],[Work Completion time on fault]]-TA[[#This Row],[Fault Time]])*24</f>
        <v>10.3</v>
      </c>
      <c r="AD778" s="35">
        <f>IFERROR((TA[[#This Row],[Work Completion time on fault]]-TA[[#This Row],[Fault Time]])*24,"")</f>
        <v>10.3</v>
      </c>
      <c r="AE778" t="s">
        <v>328</v>
      </c>
      <c r="AF778" t="s">
        <v>256</v>
      </c>
      <c r="AG778" s="2"/>
      <c r="AH778" s="44">
        <f>1-COS(RADIANS(TA[[#This Row],[Avg. Target Angle during Fault Time (Radians)]]-TA[[#This Row],[Angle of affected equipment ]]))</f>
        <v>0.11705240714107301</v>
      </c>
      <c r="AI778" s="35">
        <f>IFERROR(TA[[#This Row],[Breakdown Time]]*TA[[#This Row],[Plant Equivalent Weightage]],"")</f>
        <v>1.7758620689655145E-2</v>
      </c>
    </row>
    <row r="779" spans="1:35">
      <c r="A779" s="2">
        <f t="shared" si="56"/>
        <v>776</v>
      </c>
      <c r="B779" s="156">
        <f t="shared" si="61"/>
        <v>2026</v>
      </c>
      <c r="C779" s="129">
        <f t="shared" si="62"/>
        <v>2025</v>
      </c>
      <c r="D779" s="2" t="s">
        <v>155</v>
      </c>
      <c r="E779" s="2" t="s">
        <v>155</v>
      </c>
      <c r="F779" s="39">
        <v>45778</v>
      </c>
      <c r="G779" s="2">
        <f>DAY(EOMONTH(TA[[#This Row],[Month Year]],0))</f>
        <v>31</v>
      </c>
      <c r="H779" s="21">
        <v>45798</v>
      </c>
      <c r="I779" s="41">
        <f>IFERROR(VLOOKUP(TA[[#This Row],[Date]],Raw_Data[[Date]:[Sunset Time (POA&lt;20 W/m2)]],3,0),"")</f>
        <v>0.29444444444444445</v>
      </c>
      <c r="J779" s="41">
        <f>IFERROR(VLOOKUP(TA[[#This Row],[Date]],Raw_Data[[Date]:[Sunset Time (POA&lt;20 W/m2)]],4,0),"")</f>
        <v>0.69305555555555554</v>
      </c>
      <c r="K779" s="35">
        <f>IFERROR((TA[[#This Row],[Sunset Time (POA&lt;20 W/m2)]]-TA[[#This Row],[Sunrise Time (POA&gt;20 W/m2)]])*24,"")</f>
        <v>9.5666666666666664</v>
      </c>
      <c r="L779" s="2" t="s">
        <v>294</v>
      </c>
      <c r="M779" s="42">
        <f>IFERROR(VLOOKUP(TA[[#This Row],[Affected Equipment]],'Basic Data'!$I$2:$K$40,3,0),"")</f>
        <v>1.7241379310344799E-3</v>
      </c>
      <c r="N779">
        <v>-28</v>
      </c>
      <c r="O779" t="s">
        <v>135</v>
      </c>
      <c r="P779" s="127" t="s">
        <v>318</v>
      </c>
      <c r="Q779" s="126" t="s">
        <v>318</v>
      </c>
      <c r="R779">
        <v>130</v>
      </c>
      <c r="S779" s="2">
        <v>37</v>
      </c>
      <c r="T779" t="s">
        <v>295</v>
      </c>
      <c r="U779" t="s">
        <v>300</v>
      </c>
      <c r="V779" t="s">
        <v>298</v>
      </c>
      <c r="W779" s="41"/>
      <c r="X779" s="41"/>
      <c r="Y779" s="34"/>
      <c r="Z779" s="34"/>
      <c r="AA779" s="35">
        <f>IF(TA[[#This Row],[Work Start time on Fault]]="NA","",(TA[[#This Row],[Fault Acknowledgement Time ]]-TA[[#This Row],[Fault Time]])*24)</f>
        <v>0</v>
      </c>
      <c r="AB779" s="35">
        <f>(TA[[#This Row],[Work Start time on Fault]]-TA[[#This Row],[Fault Time]])*24</f>
        <v>0</v>
      </c>
      <c r="AC779" s="34">
        <f>(TA[[#This Row],[Work Completion time on fault]]-TA[[#This Row],[Fault Time]])*24</f>
        <v>0</v>
      </c>
      <c r="AD779" s="35">
        <f>IFERROR((TA[[#This Row],[Work Completion time on fault]]-TA[[#This Row],[Fault Time]])*24,"")</f>
        <v>0</v>
      </c>
      <c r="AE779" t="s">
        <v>328</v>
      </c>
      <c r="AF779" t="s">
        <v>256</v>
      </c>
      <c r="AG779" s="2"/>
      <c r="AH779" s="44">
        <f>1-COS(RADIANS(TA[[#This Row],[Avg. Target Angle during Fault Time (Radians)]]-TA[[#This Row],[Angle of affected equipment ]]))</f>
        <v>0.11705240714107301</v>
      </c>
      <c r="AI779" s="35">
        <f>IFERROR(TA[[#This Row],[Breakdown Time]]*TA[[#This Row],[Plant Equivalent Weightage]],"")</f>
        <v>0</v>
      </c>
    </row>
    <row r="780" spans="1:35">
      <c r="A780" s="2">
        <f t="shared" si="56"/>
        <v>777</v>
      </c>
      <c r="B780" s="156">
        <f t="shared" si="61"/>
        <v>2026</v>
      </c>
      <c r="C780" s="129">
        <f t="shared" si="62"/>
        <v>2025</v>
      </c>
      <c r="D780" s="2" t="s">
        <v>155</v>
      </c>
      <c r="E780" s="2" t="s">
        <v>155</v>
      </c>
      <c r="F780" s="39">
        <v>45778</v>
      </c>
      <c r="G780" s="2">
        <f>DAY(EOMONTH(TA[[#This Row],[Month Year]],0))</f>
        <v>31</v>
      </c>
      <c r="H780" s="21">
        <v>45798</v>
      </c>
      <c r="I780" s="41">
        <f>IFERROR(VLOOKUP(TA[[#This Row],[Date]],Raw_Data[[Date]:[Sunset Time (POA&lt;20 W/m2)]],3,0),"")</f>
        <v>0.29444444444444445</v>
      </c>
      <c r="J780" s="41">
        <f>IFERROR(VLOOKUP(TA[[#This Row],[Date]],Raw_Data[[Date]:[Sunset Time (POA&lt;20 W/m2)]],4,0),"")</f>
        <v>0.69305555555555554</v>
      </c>
      <c r="K780" s="35">
        <f>IFERROR((TA[[#This Row],[Sunset Time (POA&lt;20 W/m2)]]-TA[[#This Row],[Sunrise Time (POA&gt;20 W/m2)]])*24,"")</f>
        <v>9.5666666666666664</v>
      </c>
      <c r="L780" s="2" t="s">
        <v>294</v>
      </c>
      <c r="M780" s="42">
        <f>IFERROR(VLOOKUP(TA[[#This Row],[Affected Equipment]],'Basic Data'!$I$2:$K$40,3,0),"")</f>
        <v>1.7241379310344799E-3</v>
      </c>
      <c r="N780">
        <v>-28</v>
      </c>
      <c r="O780" t="s">
        <v>135</v>
      </c>
      <c r="P780" s="127" t="s">
        <v>318</v>
      </c>
      <c r="Q780" s="126" t="s">
        <v>318</v>
      </c>
      <c r="R780">
        <v>131</v>
      </c>
      <c r="S780" s="2">
        <v>38</v>
      </c>
      <c r="T780" t="s">
        <v>295</v>
      </c>
      <c r="U780" t="s">
        <v>300</v>
      </c>
      <c r="V780" t="s">
        <v>298</v>
      </c>
      <c r="W780" s="41"/>
      <c r="X780" s="41"/>
      <c r="Y780" s="34"/>
      <c r="Z780" s="34"/>
      <c r="AA780" s="35">
        <f>IF(TA[[#This Row],[Work Start time on Fault]]="NA","",(TA[[#This Row],[Fault Acknowledgement Time ]]-TA[[#This Row],[Fault Time]])*24)</f>
        <v>0</v>
      </c>
      <c r="AB780" s="35">
        <f>(TA[[#This Row],[Work Start time on Fault]]-TA[[#This Row],[Fault Time]])*24</f>
        <v>0</v>
      </c>
      <c r="AC780" s="34">
        <f>(TA[[#This Row],[Work Completion time on fault]]-TA[[#This Row],[Fault Time]])*24</f>
        <v>0</v>
      </c>
      <c r="AD780" s="35">
        <f>IFERROR((TA[[#This Row],[Work Completion time on fault]]-TA[[#This Row],[Fault Time]])*24,"")</f>
        <v>0</v>
      </c>
      <c r="AE780" t="s">
        <v>328</v>
      </c>
      <c r="AF780" t="s">
        <v>256</v>
      </c>
      <c r="AG780" s="2"/>
      <c r="AH780" s="44">
        <f>1-COS(RADIANS(TA[[#This Row],[Avg. Target Angle during Fault Time (Radians)]]-TA[[#This Row],[Angle of affected equipment ]]))</f>
        <v>0.11705240714107301</v>
      </c>
      <c r="AI780" s="35">
        <f>IFERROR(TA[[#This Row],[Breakdown Time]]*TA[[#This Row],[Plant Equivalent Weightage]],"")</f>
        <v>0</v>
      </c>
    </row>
    <row r="781" spans="1:35">
      <c r="A781" s="2">
        <f t="shared" si="56"/>
        <v>778</v>
      </c>
      <c r="B781" s="156">
        <f t="shared" si="61"/>
        <v>2026</v>
      </c>
      <c r="C781" s="129">
        <f t="shared" si="62"/>
        <v>2025</v>
      </c>
      <c r="D781" s="2" t="s">
        <v>155</v>
      </c>
      <c r="E781" s="2" t="s">
        <v>155</v>
      </c>
      <c r="F781" s="39">
        <v>45778</v>
      </c>
      <c r="G781" s="2">
        <f>DAY(EOMONTH(TA[[#This Row],[Month Year]],0))</f>
        <v>31</v>
      </c>
      <c r="H781" s="21">
        <v>45798</v>
      </c>
      <c r="I781" s="41">
        <f>IFERROR(VLOOKUP(TA[[#This Row],[Date]],Raw_Data[[Date]:[Sunset Time (POA&lt;20 W/m2)]],3,0),"")</f>
        <v>0.29444444444444445</v>
      </c>
      <c r="J781" s="41">
        <f>IFERROR(VLOOKUP(TA[[#This Row],[Date]],Raw_Data[[Date]:[Sunset Time (POA&lt;20 W/m2)]],4,0),"")</f>
        <v>0.69305555555555554</v>
      </c>
      <c r="K781" s="35">
        <f>IFERROR((TA[[#This Row],[Sunset Time (POA&lt;20 W/m2)]]-TA[[#This Row],[Sunrise Time (POA&gt;20 W/m2)]])*24,"")</f>
        <v>9.5666666666666664</v>
      </c>
      <c r="L781" s="2" t="s">
        <v>294</v>
      </c>
      <c r="M781" s="42">
        <f>IFERROR(VLOOKUP(TA[[#This Row],[Affected Equipment]],'Basic Data'!$I$2:$K$40,3,0),"")</f>
        <v>1.7241379310344799E-3</v>
      </c>
      <c r="N781">
        <v>-28</v>
      </c>
      <c r="O781" t="s">
        <v>135</v>
      </c>
      <c r="P781" s="127" t="s">
        <v>318</v>
      </c>
      <c r="Q781" s="126" t="s">
        <v>318</v>
      </c>
      <c r="R781">
        <v>131</v>
      </c>
      <c r="S781" s="2">
        <v>39</v>
      </c>
      <c r="T781" t="s">
        <v>295</v>
      </c>
      <c r="U781" t="s">
        <v>300</v>
      </c>
      <c r="V781" t="s">
        <v>298</v>
      </c>
      <c r="W781" s="41"/>
      <c r="X781" s="41"/>
      <c r="Y781" s="34"/>
      <c r="Z781" s="34"/>
      <c r="AA781" s="35">
        <f>IF(TA[[#This Row],[Work Start time on Fault]]="NA","",(TA[[#This Row],[Fault Acknowledgement Time ]]-TA[[#This Row],[Fault Time]])*24)</f>
        <v>0</v>
      </c>
      <c r="AB781" s="35">
        <f>(TA[[#This Row],[Work Start time on Fault]]-TA[[#This Row],[Fault Time]])*24</f>
        <v>0</v>
      </c>
      <c r="AC781" s="34">
        <f>(TA[[#This Row],[Work Completion time on fault]]-TA[[#This Row],[Fault Time]])*24</f>
        <v>0</v>
      </c>
      <c r="AD781" s="35">
        <f>IFERROR((TA[[#This Row],[Work Completion time on fault]]-TA[[#This Row],[Fault Time]])*24,"")</f>
        <v>0</v>
      </c>
      <c r="AE781" t="s">
        <v>328</v>
      </c>
      <c r="AF781" t="s">
        <v>256</v>
      </c>
      <c r="AG781" s="2"/>
      <c r="AH781" s="44">
        <f>1-COS(RADIANS(TA[[#This Row],[Avg. Target Angle during Fault Time (Radians)]]-TA[[#This Row],[Angle of affected equipment ]]))</f>
        <v>0.11705240714107301</v>
      </c>
      <c r="AI781" s="35">
        <f>IFERROR(TA[[#This Row],[Breakdown Time]]*TA[[#This Row],[Plant Equivalent Weightage]],"")</f>
        <v>0</v>
      </c>
    </row>
    <row r="782" spans="1:35">
      <c r="A782" s="2">
        <f t="shared" si="56"/>
        <v>779</v>
      </c>
      <c r="B782" s="156">
        <f t="shared" si="61"/>
        <v>2026</v>
      </c>
      <c r="C782" s="129">
        <f t="shared" si="62"/>
        <v>2025</v>
      </c>
      <c r="D782" s="2" t="s">
        <v>155</v>
      </c>
      <c r="E782" s="2" t="s">
        <v>155</v>
      </c>
      <c r="F782" s="39">
        <v>45778</v>
      </c>
      <c r="G782" s="2">
        <f>DAY(EOMONTH(TA[[#This Row],[Month Year]],0))</f>
        <v>31</v>
      </c>
      <c r="H782" s="21">
        <v>45798</v>
      </c>
      <c r="I782" s="41">
        <f>IFERROR(VLOOKUP(TA[[#This Row],[Date]],Raw_Data[[Date]:[Sunset Time (POA&lt;20 W/m2)]],3,0),"")</f>
        <v>0.29444444444444445</v>
      </c>
      <c r="J782" s="41">
        <f>IFERROR(VLOOKUP(TA[[#This Row],[Date]],Raw_Data[[Date]:[Sunset Time (POA&lt;20 W/m2)]],4,0),"")</f>
        <v>0.69305555555555554</v>
      </c>
      <c r="K782" s="35">
        <f>IFERROR((TA[[#This Row],[Sunset Time (POA&lt;20 W/m2)]]-TA[[#This Row],[Sunrise Time (POA&gt;20 W/m2)]])*24,"")</f>
        <v>9.5666666666666664</v>
      </c>
      <c r="L782" s="2" t="s">
        <v>296</v>
      </c>
      <c r="M782" s="42">
        <f>IFERROR(VLOOKUP(TA[[#This Row],[Affected Equipment]],'Basic Data'!$I$2:$K$40,3,0),"")</f>
        <v>8.6206896551724102E-3</v>
      </c>
      <c r="N782">
        <v>-28</v>
      </c>
      <c r="O782" t="s">
        <v>135</v>
      </c>
      <c r="P782" s="127" t="s">
        <v>318</v>
      </c>
      <c r="Q782" s="2" t="s">
        <v>321</v>
      </c>
      <c r="R782">
        <v>133</v>
      </c>
      <c r="S782" s="2">
        <v>26</v>
      </c>
      <c r="T782" t="s">
        <v>297</v>
      </c>
      <c r="U782" t="s">
        <v>300</v>
      </c>
      <c r="V782" t="s">
        <v>314</v>
      </c>
      <c r="W782" s="41">
        <f>IFERROR(VLOOKUP(TA[[#This Row],[Date]],Raw_Data[[Date]:[Sunset Time (POA&lt;20 W/m2)]],3,0),"")</f>
        <v>0.29444444444444445</v>
      </c>
      <c r="X782" s="41">
        <f>IFERROR(VLOOKUP(TA[[#This Row],[Date]],Raw_Data[[Date]:[Sunset Time (POA&lt;20 W/m2)]],3,0),"")</f>
        <v>0.29444444444444445</v>
      </c>
      <c r="Y782" s="34"/>
      <c r="Z782" s="34">
        <v>0.76041666666666663</v>
      </c>
      <c r="AA782" s="35">
        <f>IF(TA[[#This Row],[Work Start time on Fault]]="NA","",(TA[[#This Row],[Fault Acknowledgement Time ]]-TA[[#This Row],[Fault Time]])*24)</f>
        <v>0</v>
      </c>
      <c r="AB782" s="35">
        <f>(TA[[#This Row],[Work Start time on Fault]]-TA[[#This Row],[Fault Time]])*24</f>
        <v>-7.0666666666666664</v>
      </c>
      <c r="AC782" s="34">
        <f>(TA[[#This Row],[Work Completion time on fault]]-TA[[#This Row],[Fault Time]])*24</f>
        <v>11.183333333333332</v>
      </c>
      <c r="AD782" s="35">
        <f>IFERROR((TA[[#This Row],[Work Completion time on fault]]-TA[[#This Row],[Fault Time]])*24,"")</f>
        <v>11.183333333333332</v>
      </c>
      <c r="AE782" t="s">
        <v>328</v>
      </c>
      <c r="AF782" t="s">
        <v>256</v>
      </c>
      <c r="AG782" s="2"/>
      <c r="AH782" s="44">
        <f>1-COS(RADIANS(TA[[#This Row],[Avg. Target Angle during Fault Time (Radians)]]-TA[[#This Row],[Angle of affected equipment ]]))</f>
        <v>0.11705240714107301</v>
      </c>
      <c r="AI782" s="35">
        <f>IFERROR(TA[[#This Row],[Breakdown Time]]*TA[[#This Row],[Plant Equivalent Weightage]],"")</f>
        <v>9.6408045977011442E-2</v>
      </c>
    </row>
    <row r="783" spans="1:35">
      <c r="A783" s="2">
        <f t="shared" si="56"/>
        <v>780</v>
      </c>
      <c r="B783" s="156">
        <f t="shared" si="61"/>
        <v>2026</v>
      </c>
      <c r="C783" s="129">
        <f t="shared" si="62"/>
        <v>2025</v>
      </c>
      <c r="D783" s="2" t="s">
        <v>155</v>
      </c>
      <c r="E783" s="2" t="s">
        <v>155</v>
      </c>
      <c r="F783" s="39">
        <v>45778</v>
      </c>
      <c r="G783" s="2">
        <f>DAY(EOMONTH(TA[[#This Row],[Month Year]],0))</f>
        <v>31</v>
      </c>
      <c r="H783" s="21">
        <v>45798</v>
      </c>
      <c r="I783" s="41">
        <f>IFERROR(VLOOKUP(TA[[#This Row],[Date]],Raw_Data[[Date]:[Sunset Time (POA&lt;20 W/m2)]],3,0),"")</f>
        <v>0.29444444444444445</v>
      </c>
      <c r="J783" s="41">
        <f>IFERROR(VLOOKUP(TA[[#This Row],[Date]],Raw_Data[[Date]:[Sunset Time (POA&lt;20 W/m2)]],4,0),"")</f>
        <v>0.69305555555555554</v>
      </c>
      <c r="K783" s="35">
        <f>IFERROR((TA[[#This Row],[Sunset Time (POA&lt;20 W/m2)]]-TA[[#This Row],[Sunrise Time (POA&gt;20 W/m2)]])*24,"")</f>
        <v>9.5666666666666664</v>
      </c>
      <c r="L783" s="2" t="s">
        <v>294</v>
      </c>
      <c r="M783" s="42">
        <f>IFERROR(VLOOKUP(TA[[#This Row],[Affected Equipment]],'Basic Data'!$I$2:$K$40,3,0),"")</f>
        <v>1.7241379310344799E-3</v>
      </c>
      <c r="N783">
        <v>-28</v>
      </c>
      <c r="O783" t="s">
        <v>133</v>
      </c>
      <c r="P783" s="127" t="s">
        <v>316</v>
      </c>
      <c r="Q783" s="126" t="s">
        <v>317</v>
      </c>
      <c r="R783">
        <v>7</v>
      </c>
      <c r="S783" s="2">
        <v>32</v>
      </c>
      <c r="T783" t="s">
        <v>295</v>
      </c>
      <c r="U783" t="s">
        <v>300</v>
      </c>
      <c r="V783" t="s">
        <v>298</v>
      </c>
      <c r="W783" s="41"/>
      <c r="X783" s="41"/>
      <c r="Y783" s="34"/>
      <c r="Z783" s="34"/>
      <c r="AA783" s="35">
        <f>IF(TA[[#This Row],[Work Start time on Fault]]="NA","",(TA[[#This Row],[Fault Acknowledgement Time ]]-TA[[#This Row],[Fault Time]])*24)</f>
        <v>0</v>
      </c>
      <c r="AB783" s="35">
        <f>(TA[[#This Row],[Work Start time on Fault]]-TA[[#This Row],[Fault Time]])*24</f>
        <v>0</v>
      </c>
      <c r="AC783" s="34">
        <f>(TA[[#This Row],[Work Completion time on fault]]-TA[[#This Row],[Fault Time]])*24</f>
        <v>0</v>
      </c>
      <c r="AD783" s="35">
        <f>IFERROR((TA[[#This Row],[Work Completion time on fault]]-TA[[#This Row],[Fault Time]])*24,"")</f>
        <v>0</v>
      </c>
      <c r="AE783" t="s">
        <v>328</v>
      </c>
      <c r="AF783" t="s">
        <v>256</v>
      </c>
      <c r="AG783" s="2"/>
      <c r="AH783" s="44">
        <f>1-COS(RADIANS(TA[[#This Row],[Avg. Target Angle during Fault Time (Radians)]]-TA[[#This Row],[Angle of affected equipment ]]))</f>
        <v>0.11705240714107301</v>
      </c>
      <c r="AI783" s="35">
        <f>IFERROR(TA[[#This Row],[Breakdown Time]]*TA[[#This Row],[Plant Equivalent Weightage]],"")</f>
        <v>0</v>
      </c>
    </row>
    <row r="784" spans="1:35">
      <c r="A784" s="2">
        <f t="shared" si="56"/>
        <v>781</v>
      </c>
      <c r="B784" s="156">
        <f t="shared" si="61"/>
        <v>2026</v>
      </c>
      <c r="C784" s="129">
        <f t="shared" si="62"/>
        <v>2025</v>
      </c>
      <c r="D784" s="2" t="s">
        <v>155</v>
      </c>
      <c r="E784" s="2" t="s">
        <v>155</v>
      </c>
      <c r="F784" s="39">
        <v>45778</v>
      </c>
      <c r="G784" s="2">
        <f>DAY(EOMONTH(TA[[#This Row],[Month Year]],0))</f>
        <v>31</v>
      </c>
      <c r="H784" s="21">
        <v>45798</v>
      </c>
      <c r="I784" s="41">
        <f>IFERROR(VLOOKUP(TA[[#This Row],[Date]],Raw_Data[[Date]:[Sunset Time (POA&lt;20 W/m2)]],3,0),"")</f>
        <v>0.29444444444444445</v>
      </c>
      <c r="J784" s="41">
        <f>IFERROR(VLOOKUP(TA[[#This Row],[Date]],Raw_Data[[Date]:[Sunset Time (POA&lt;20 W/m2)]],4,0),"")</f>
        <v>0.69305555555555554</v>
      </c>
      <c r="K784" s="35">
        <f>IFERROR((TA[[#This Row],[Sunset Time (POA&lt;20 W/m2)]]-TA[[#This Row],[Sunrise Time (POA&gt;20 W/m2)]])*24,"")</f>
        <v>9.5666666666666664</v>
      </c>
      <c r="L784" s="2" t="s">
        <v>294</v>
      </c>
      <c r="M784" s="42">
        <f>IFERROR(VLOOKUP(TA[[#This Row],[Affected Equipment]],'Basic Data'!$I$2:$K$40,3,0),"")</f>
        <v>1.7241379310344799E-3</v>
      </c>
      <c r="N784">
        <v>-28</v>
      </c>
      <c r="O784" t="s">
        <v>137</v>
      </c>
      <c r="P784" s="127" t="s">
        <v>315</v>
      </c>
      <c r="Q784" s="126" t="s">
        <v>319</v>
      </c>
      <c r="R784">
        <v>166</v>
      </c>
      <c r="S784" s="2">
        <v>91</v>
      </c>
      <c r="T784" t="s">
        <v>295</v>
      </c>
      <c r="U784" t="s">
        <v>300</v>
      </c>
      <c r="V784" t="s">
        <v>298</v>
      </c>
      <c r="W784" s="41"/>
      <c r="X784" s="41"/>
      <c r="Y784" s="34"/>
      <c r="Z784" s="34"/>
      <c r="AA784" s="35">
        <f>IF(TA[[#This Row],[Work Start time on Fault]]="NA","",(TA[[#This Row],[Fault Acknowledgement Time ]]-TA[[#This Row],[Fault Time]])*24)</f>
        <v>0</v>
      </c>
      <c r="AB784" s="35">
        <f>(TA[[#This Row],[Work Start time on Fault]]-TA[[#This Row],[Fault Time]])*24</f>
        <v>0</v>
      </c>
      <c r="AC784" s="34">
        <f>(TA[[#This Row],[Work Completion time on fault]]-TA[[#This Row],[Fault Time]])*24</f>
        <v>0</v>
      </c>
      <c r="AD784" s="35">
        <f>IFERROR((TA[[#This Row],[Work Completion time on fault]]-TA[[#This Row],[Fault Time]])*24,"")</f>
        <v>0</v>
      </c>
      <c r="AE784" t="s">
        <v>328</v>
      </c>
      <c r="AF784" t="s">
        <v>256</v>
      </c>
      <c r="AG784" s="2"/>
      <c r="AH784" s="44">
        <f>1-COS(RADIANS(TA[[#This Row],[Avg. Target Angle during Fault Time (Radians)]]-TA[[#This Row],[Angle of affected equipment ]]))</f>
        <v>0.11705240714107301</v>
      </c>
      <c r="AI784" s="35">
        <f>IFERROR(TA[[#This Row],[Breakdown Time]]*TA[[#This Row],[Plant Equivalent Weightage]],"")</f>
        <v>0</v>
      </c>
    </row>
    <row r="785" spans="1:35">
      <c r="A785" s="2">
        <f t="shared" si="56"/>
        <v>782</v>
      </c>
      <c r="B785" s="156">
        <f t="shared" si="61"/>
        <v>2026</v>
      </c>
      <c r="C785" s="129">
        <f t="shared" si="62"/>
        <v>2025</v>
      </c>
      <c r="D785" s="2" t="s">
        <v>155</v>
      </c>
      <c r="E785" s="2" t="s">
        <v>155</v>
      </c>
      <c r="F785" s="39">
        <v>45778</v>
      </c>
      <c r="G785" s="2">
        <f>DAY(EOMONTH(TA[[#This Row],[Month Year]],0))</f>
        <v>31</v>
      </c>
      <c r="H785" s="21">
        <v>45798</v>
      </c>
      <c r="I785" s="41">
        <f>IFERROR(VLOOKUP(TA[[#This Row],[Date]],Raw_Data[[Date]:[Sunset Time (POA&lt;20 W/m2)]],3,0),"")</f>
        <v>0.29444444444444445</v>
      </c>
      <c r="J785" s="41">
        <f>IFERROR(VLOOKUP(TA[[#This Row],[Date]],Raw_Data[[Date]:[Sunset Time (POA&lt;20 W/m2)]],4,0),"")</f>
        <v>0.69305555555555554</v>
      </c>
      <c r="K785" s="35">
        <f>IFERROR((TA[[#This Row],[Sunset Time (POA&lt;20 W/m2)]]-TA[[#This Row],[Sunrise Time (POA&gt;20 W/m2)]])*24,"")</f>
        <v>9.5666666666666664</v>
      </c>
      <c r="L785" s="2" t="s">
        <v>294</v>
      </c>
      <c r="M785" s="42">
        <f>IFERROR(VLOOKUP(TA[[#This Row],[Affected Equipment]],'Basic Data'!$I$2:$K$40,3,0),"")</f>
        <v>1.7241379310344799E-3</v>
      </c>
      <c r="N785">
        <v>-28</v>
      </c>
      <c r="O785" t="s">
        <v>133</v>
      </c>
      <c r="P785" s="127" t="s">
        <v>316</v>
      </c>
      <c r="Q785" s="126" t="s">
        <v>316</v>
      </c>
      <c r="R785">
        <v>117</v>
      </c>
      <c r="S785" s="2">
        <v>20</v>
      </c>
      <c r="T785" t="s">
        <v>295</v>
      </c>
      <c r="U785" t="s">
        <v>300</v>
      </c>
      <c r="V785" t="s">
        <v>298</v>
      </c>
      <c r="W785" s="41"/>
      <c r="X785" s="41"/>
      <c r="Y785" s="34"/>
      <c r="Z785" s="34"/>
      <c r="AA785" s="35">
        <f>IF(TA[[#This Row],[Work Start time on Fault]]="NA","",(TA[[#This Row],[Fault Acknowledgement Time ]]-TA[[#This Row],[Fault Time]])*24)</f>
        <v>0</v>
      </c>
      <c r="AB785" s="35">
        <f>(TA[[#This Row],[Work Start time on Fault]]-TA[[#This Row],[Fault Time]])*24</f>
        <v>0</v>
      </c>
      <c r="AC785" s="34">
        <f>(TA[[#This Row],[Work Completion time on fault]]-TA[[#This Row],[Fault Time]])*24</f>
        <v>0</v>
      </c>
      <c r="AD785" s="35">
        <f>IFERROR((TA[[#This Row],[Work Completion time on fault]]-TA[[#This Row],[Fault Time]])*24,"")</f>
        <v>0</v>
      </c>
      <c r="AE785" t="s">
        <v>328</v>
      </c>
      <c r="AF785" t="s">
        <v>256</v>
      </c>
      <c r="AG785" s="2"/>
      <c r="AH785" s="44">
        <f>1-COS(RADIANS(TA[[#This Row],[Avg. Target Angle during Fault Time (Radians)]]-TA[[#This Row],[Angle of affected equipment ]]))</f>
        <v>0.11705240714107301</v>
      </c>
      <c r="AI785" s="35">
        <f>IFERROR(TA[[#This Row],[Breakdown Time]]*TA[[#This Row],[Plant Equivalent Weightage]],"")</f>
        <v>0</v>
      </c>
    </row>
    <row r="786" spans="1:35">
      <c r="A786" s="2">
        <f t="shared" si="56"/>
        <v>783</v>
      </c>
      <c r="B786" s="156">
        <f t="shared" si="61"/>
        <v>2026</v>
      </c>
      <c r="C786" s="129">
        <f t="shared" si="62"/>
        <v>2025</v>
      </c>
      <c r="D786" s="2" t="s">
        <v>155</v>
      </c>
      <c r="E786" s="2" t="s">
        <v>155</v>
      </c>
      <c r="F786" s="39">
        <v>45778</v>
      </c>
      <c r="G786" s="2">
        <f>DAY(EOMONTH(TA[[#This Row],[Month Year]],0))</f>
        <v>31</v>
      </c>
      <c r="H786" s="21">
        <v>45798</v>
      </c>
      <c r="I786" s="41">
        <f>IFERROR(VLOOKUP(TA[[#This Row],[Date]],Raw_Data[[Date]:[Sunset Time (POA&lt;20 W/m2)]],3,0),"")</f>
        <v>0.29444444444444445</v>
      </c>
      <c r="J786" s="41">
        <f>IFERROR(VLOOKUP(TA[[#This Row],[Date]],Raw_Data[[Date]:[Sunset Time (POA&lt;20 W/m2)]],4,0),"")</f>
        <v>0.69305555555555554</v>
      </c>
      <c r="K786" s="35">
        <f>IFERROR((TA[[#This Row],[Sunset Time (POA&lt;20 W/m2)]]-TA[[#This Row],[Sunrise Time (POA&gt;20 W/m2)]])*24,"")</f>
        <v>9.5666666666666664</v>
      </c>
      <c r="L786" s="2" t="s">
        <v>294</v>
      </c>
      <c r="M786" s="42">
        <f>IFERROR(VLOOKUP(TA[[#This Row],[Affected Equipment]],'Basic Data'!$I$2:$K$40,3,0),"")</f>
        <v>1.7241379310344799E-3</v>
      </c>
      <c r="N786">
        <v>-28</v>
      </c>
      <c r="O786" t="s">
        <v>133</v>
      </c>
      <c r="P786" s="127" t="s">
        <v>316</v>
      </c>
      <c r="Q786" s="126" t="s">
        <v>316</v>
      </c>
      <c r="R786">
        <v>118</v>
      </c>
      <c r="S786" s="2">
        <v>22</v>
      </c>
      <c r="T786" t="s">
        <v>295</v>
      </c>
      <c r="U786" t="s">
        <v>300</v>
      </c>
      <c r="V786" t="s">
        <v>298</v>
      </c>
      <c r="W786" s="41"/>
      <c r="X786" s="41"/>
      <c r="Y786" s="34"/>
      <c r="Z786" s="34"/>
      <c r="AA786" s="35">
        <f>IF(TA[[#This Row],[Work Start time on Fault]]="NA","",(TA[[#This Row],[Fault Acknowledgement Time ]]-TA[[#This Row],[Fault Time]])*24)</f>
        <v>0</v>
      </c>
      <c r="AB786" s="35">
        <f>(TA[[#This Row],[Work Start time on Fault]]-TA[[#This Row],[Fault Time]])*24</f>
        <v>0</v>
      </c>
      <c r="AC786" s="34">
        <f>(TA[[#This Row],[Work Completion time on fault]]-TA[[#This Row],[Fault Time]])*24</f>
        <v>0</v>
      </c>
      <c r="AD786" s="35">
        <f>IFERROR((TA[[#This Row],[Work Completion time on fault]]-TA[[#This Row],[Fault Time]])*24,"")</f>
        <v>0</v>
      </c>
      <c r="AE786" t="s">
        <v>328</v>
      </c>
      <c r="AF786" t="s">
        <v>256</v>
      </c>
      <c r="AG786" s="2"/>
      <c r="AH786" s="44">
        <f>1-COS(RADIANS(TA[[#This Row],[Avg. Target Angle during Fault Time (Radians)]]-TA[[#This Row],[Angle of affected equipment ]]))</f>
        <v>0.11705240714107301</v>
      </c>
      <c r="AI786" s="35">
        <f>IFERROR(TA[[#This Row],[Breakdown Time]]*TA[[#This Row],[Plant Equivalent Weightage]],"")</f>
        <v>0</v>
      </c>
    </row>
    <row r="787" spans="1:35">
      <c r="A787" s="2">
        <f t="shared" si="56"/>
        <v>784</v>
      </c>
      <c r="B787" s="156">
        <f t="shared" si="61"/>
        <v>2026</v>
      </c>
      <c r="C787" s="129">
        <f t="shared" si="62"/>
        <v>2025</v>
      </c>
      <c r="D787" s="2" t="s">
        <v>155</v>
      </c>
      <c r="E787" s="2" t="s">
        <v>155</v>
      </c>
      <c r="F787" s="39">
        <v>45778</v>
      </c>
      <c r="G787" s="2">
        <f>DAY(EOMONTH(TA[[#This Row],[Month Year]],0))</f>
        <v>31</v>
      </c>
      <c r="H787" s="21">
        <v>45798</v>
      </c>
      <c r="I787" s="41">
        <f>IFERROR(VLOOKUP(TA[[#This Row],[Date]],Raw_Data[[Date]:[Sunset Time (POA&lt;20 W/m2)]],3,0),"")</f>
        <v>0.29444444444444445</v>
      </c>
      <c r="J787" s="41">
        <f>IFERROR(VLOOKUP(TA[[#This Row],[Date]],Raw_Data[[Date]:[Sunset Time (POA&lt;20 W/m2)]],4,0),"")</f>
        <v>0.69305555555555554</v>
      </c>
      <c r="K787" s="35">
        <f>IFERROR((TA[[#This Row],[Sunset Time (POA&lt;20 W/m2)]]-TA[[#This Row],[Sunrise Time (POA&gt;20 W/m2)]])*24,"")</f>
        <v>9.5666666666666664</v>
      </c>
      <c r="L787" s="2" t="s">
        <v>296</v>
      </c>
      <c r="M787" s="42">
        <f>IFERROR(VLOOKUP(TA[[#This Row],[Affected Equipment]],'Basic Data'!$I$2:$K$40,3,0),"")</f>
        <v>8.6206896551724102E-3</v>
      </c>
      <c r="N787">
        <v>-28</v>
      </c>
      <c r="O787" t="s">
        <v>135</v>
      </c>
      <c r="P787" s="22" t="s">
        <v>323</v>
      </c>
      <c r="Q787" s="2" t="s">
        <v>329</v>
      </c>
      <c r="R787">
        <v>45</v>
      </c>
      <c r="S787" s="2">
        <v>8</v>
      </c>
      <c r="T787" t="s">
        <v>297</v>
      </c>
      <c r="U787" t="s">
        <v>300</v>
      </c>
      <c r="V787" t="s">
        <v>301</v>
      </c>
      <c r="W787" s="41"/>
      <c r="X787" s="41"/>
      <c r="Y787" s="34"/>
      <c r="Z787" s="34"/>
      <c r="AA787" s="35">
        <f>IF(TA[[#This Row],[Work Start time on Fault]]="NA","",(TA[[#This Row],[Fault Acknowledgement Time ]]-TA[[#This Row],[Fault Time]])*24)</f>
        <v>0</v>
      </c>
      <c r="AB787" s="35">
        <f>(TA[[#This Row],[Work Start time on Fault]]-TA[[#This Row],[Fault Time]])*24</f>
        <v>0</v>
      </c>
      <c r="AC787" s="34">
        <f>(TA[[#This Row],[Work Completion time on fault]]-TA[[#This Row],[Fault Time]])*24</f>
        <v>0</v>
      </c>
      <c r="AD787" s="35">
        <f>IFERROR((TA[[#This Row],[Work Completion time on fault]]-TA[[#This Row],[Fault Time]])*24,"")</f>
        <v>0</v>
      </c>
      <c r="AE787" t="s">
        <v>328</v>
      </c>
      <c r="AF787" t="s">
        <v>256</v>
      </c>
      <c r="AG787" s="2"/>
      <c r="AH787" s="44">
        <f>1-COS(RADIANS(TA[[#This Row],[Avg. Target Angle during Fault Time (Radians)]]-TA[[#This Row],[Angle of affected equipment ]]))</f>
        <v>0.11705240714107301</v>
      </c>
      <c r="AI787" s="35">
        <f>IFERROR(TA[[#This Row],[Breakdown Time]]*TA[[#This Row],[Plant Equivalent Weightage]],"")</f>
        <v>0</v>
      </c>
    </row>
    <row r="788" spans="1:35">
      <c r="A788" s="2">
        <f t="shared" si="56"/>
        <v>785</v>
      </c>
      <c r="B788" s="156">
        <f t="shared" si="61"/>
        <v>2026</v>
      </c>
      <c r="C788" s="129">
        <f t="shared" si="62"/>
        <v>2025</v>
      </c>
      <c r="D788" s="2" t="s">
        <v>155</v>
      </c>
      <c r="E788" s="2" t="s">
        <v>155</v>
      </c>
      <c r="F788" s="39">
        <v>45778</v>
      </c>
      <c r="G788" s="2">
        <f>DAY(EOMONTH(TA[[#This Row],[Month Year]],0))</f>
        <v>31</v>
      </c>
      <c r="H788" s="21">
        <v>45798</v>
      </c>
      <c r="I788" s="41">
        <f>IFERROR(VLOOKUP(TA[[#This Row],[Date]],Raw_Data[[Date]:[Sunset Time (POA&lt;20 W/m2)]],3,0),"")</f>
        <v>0.29444444444444445</v>
      </c>
      <c r="J788" s="41">
        <f>IFERROR(VLOOKUP(TA[[#This Row],[Date]],Raw_Data[[Date]:[Sunset Time (POA&lt;20 W/m2)]],4,0),"")</f>
        <v>0.69305555555555554</v>
      </c>
      <c r="K788" s="35">
        <f>IFERROR((TA[[#This Row],[Sunset Time (POA&lt;20 W/m2)]]-TA[[#This Row],[Sunrise Time (POA&gt;20 W/m2)]])*24,"")</f>
        <v>9.5666666666666664</v>
      </c>
      <c r="L788" s="2" t="s">
        <v>296</v>
      </c>
      <c r="M788" s="42">
        <f>IFERROR(VLOOKUP(TA[[#This Row],[Affected Equipment]],'Basic Data'!$I$2:$K$40,3,0),"")</f>
        <v>8.6206896551724102E-3</v>
      </c>
      <c r="N788">
        <v>-28</v>
      </c>
      <c r="O788" t="s">
        <v>135</v>
      </c>
      <c r="P788" s="22" t="s">
        <v>323</v>
      </c>
      <c r="Q788" s="2" t="s">
        <v>329</v>
      </c>
      <c r="R788">
        <v>47</v>
      </c>
      <c r="S788" s="2">
        <v>18</v>
      </c>
      <c r="T788" t="s">
        <v>297</v>
      </c>
      <c r="U788" t="s">
        <v>300</v>
      </c>
      <c r="V788" t="s">
        <v>301</v>
      </c>
      <c r="W788" s="41"/>
      <c r="X788" s="41"/>
      <c r="Y788" s="34"/>
      <c r="Z788" s="34"/>
      <c r="AA788" s="35">
        <f>IF(TA[[#This Row],[Work Start time on Fault]]="NA","",(TA[[#This Row],[Fault Acknowledgement Time ]]-TA[[#This Row],[Fault Time]])*24)</f>
        <v>0</v>
      </c>
      <c r="AB788" s="35">
        <f>(TA[[#This Row],[Work Start time on Fault]]-TA[[#This Row],[Fault Time]])*24</f>
        <v>0</v>
      </c>
      <c r="AC788" s="34">
        <f>(TA[[#This Row],[Work Completion time on fault]]-TA[[#This Row],[Fault Time]])*24</f>
        <v>0</v>
      </c>
      <c r="AD788" s="35">
        <f>IFERROR((TA[[#This Row],[Work Completion time on fault]]-TA[[#This Row],[Fault Time]])*24,"")</f>
        <v>0</v>
      </c>
      <c r="AE788" t="s">
        <v>328</v>
      </c>
      <c r="AF788" t="s">
        <v>256</v>
      </c>
      <c r="AG788" s="2"/>
      <c r="AH788" s="44">
        <f>1-COS(RADIANS(TA[[#This Row],[Avg. Target Angle during Fault Time (Radians)]]-TA[[#This Row],[Angle of affected equipment ]]))</f>
        <v>0.11705240714107301</v>
      </c>
      <c r="AI788" s="35">
        <f>IFERROR(TA[[#This Row],[Breakdown Time]]*TA[[#This Row],[Plant Equivalent Weightage]],"")</f>
        <v>0</v>
      </c>
    </row>
    <row r="789" spans="1:35">
      <c r="A789" s="2">
        <f t="shared" si="56"/>
        <v>786</v>
      </c>
      <c r="B789" s="156">
        <f t="shared" si="61"/>
        <v>2026</v>
      </c>
      <c r="C789" s="129">
        <f t="shared" si="62"/>
        <v>2025</v>
      </c>
      <c r="D789" s="2" t="s">
        <v>155</v>
      </c>
      <c r="E789" s="2" t="s">
        <v>155</v>
      </c>
      <c r="F789" s="39">
        <v>45778</v>
      </c>
      <c r="G789" s="2">
        <f>DAY(EOMONTH(TA[[#This Row],[Month Year]],0))</f>
        <v>31</v>
      </c>
      <c r="H789" s="21">
        <v>45798</v>
      </c>
      <c r="I789" s="41">
        <f>IFERROR(VLOOKUP(TA[[#This Row],[Date]],Raw_Data[[Date]:[Sunset Time (POA&lt;20 W/m2)]],3,0),"")</f>
        <v>0.29444444444444445</v>
      </c>
      <c r="J789" s="41">
        <f>IFERROR(VLOOKUP(TA[[#This Row],[Date]],Raw_Data[[Date]:[Sunset Time (POA&lt;20 W/m2)]],4,0),"")</f>
        <v>0.69305555555555554</v>
      </c>
      <c r="K789" s="35">
        <f>IFERROR((TA[[#This Row],[Sunset Time (POA&lt;20 W/m2)]]-TA[[#This Row],[Sunrise Time (POA&gt;20 W/m2)]])*24,"")</f>
        <v>9.5666666666666664</v>
      </c>
      <c r="L789" s="2" t="s">
        <v>296</v>
      </c>
      <c r="M789" s="42">
        <f>IFERROR(VLOOKUP(TA[[#This Row],[Affected Equipment]],'Basic Data'!$I$2:$K$40,3,0),"")</f>
        <v>8.6206896551724102E-3</v>
      </c>
      <c r="N789">
        <v>-28</v>
      </c>
      <c r="O789" t="s">
        <v>134</v>
      </c>
      <c r="P789" s="22" t="s">
        <v>330</v>
      </c>
      <c r="Q789" s="2" t="s">
        <v>323</v>
      </c>
      <c r="R789">
        <v>30</v>
      </c>
      <c r="S789" s="2">
        <v>57</v>
      </c>
      <c r="T789" t="s">
        <v>297</v>
      </c>
      <c r="U789" t="s">
        <v>300</v>
      </c>
      <c r="V789" t="s">
        <v>301</v>
      </c>
      <c r="W789" s="41"/>
      <c r="X789" s="41"/>
      <c r="Y789" s="34"/>
      <c r="Z789" s="34"/>
      <c r="AA789" s="35">
        <f>IF(TA[[#This Row],[Work Start time on Fault]]="NA","",(TA[[#This Row],[Fault Acknowledgement Time ]]-TA[[#This Row],[Fault Time]])*24)</f>
        <v>0</v>
      </c>
      <c r="AB789" s="35">
        <f>(TA[[#This Row],[Work Start time on Fault]]-TA[[#This Row],[Fault Time]])*24</f>
        <v>0</v>
      </c>
      <c r="AC789" s="34">
        <f>(TA[[#This Row],[Work Completion time on fault]]-TA[[#This Row],[Fault Time]])*24</f>
        <v>0</v>
      </c>
      <c r="AD789" s="35">
        <f>IFERROR((TA[[#This Row],[Work Completion time on fault]]-TA[[#This Row],[Fault Time]])*24,"")</f>
        <v>0</v>
      </c>
      <c r="AE789" t="s">
        <v>328</v>
      </c>
      <c r="AF789" t="s">
        <v>256</v>
      </c>
      <c r="AG789" s="2"/>
      <c r="AH789" s="44">
        <f>1-COS(RADIANS(TA[[#This Row],[Avg. Target Angle during Fault Time (Radians)]]-TA[[#This Row],[Angle of affected equipment ]]))</f>
        <v>0.11705240714107301</v>
      </c>
      <c r="AI789" s="35">
        <f>IFERROR(TA[[#This Row],[Breakdown Time]]*TA[[#This Row],[Plant Equivalent Weightage]],"")</f>
        <v>0</v>
      </c>
    </row>
    <row r="790" spans="1:35">
      <c r="A790" s="2">
        <f t="shared" si="56"/>
        <v>787</v>
      </c>
      <c r="B790" s="156">
        <f t="shared" si="61"/>
        <v>2026</v>
      </c>
      <c r="C790" s="129">
        <f t="shared" si="62"/>
        <v>2025</v>
      </c>
      <c r="D790" s="2" t="s">
        <v>155</v>
      </c>
      <c r="E790" s="2" t="s">
        <v>155</v>
      </c>
      <c r="F790" s="39">
        <v>45778</v>
      </c>
      <c r="G790" s="2">
        <f>DAY(EOMONTH(TA[[#This Row],[Month Year]],0))</f>
        <v>31</v>
      </c>
      <c r="H790" s="21">
        <v>45798</v>
      </c>
      <c r="I790" s="41">
        <f>IFERROR(VLOOKUP(TA[[#This Row],[Date]],Raw_Data[[Date]:[Sunset Time (POA&lt;20 W/m2)]],3,0),"")</f>
        <v>0.29444444444444445</v>
      </c>
      <c r="J790" s="41">
        <f>IFERROR(VLOOKUP(TA[[#This Row],[Date]],Raw_Data[[Date]:[Sunset Time (POA&lt;20 W/m2)]],4,0),"")</f>
        <v>0.69305555555555554</v>
      </c>
      <c r="K790" s="35">
        <f>IFERROR((TA[[#This Row],[Sunset Time (POA&lt;20 W/m2)]]-TA[[#This Row],[Sunrise Time (POA&gt;20 W/m2)]])*24,"")</f>
        <v>9.5666666666666664</v>
      </c>
      <c r="L790" s="2" t="s">
        <v>296</v>
      </c>
      <c r="M790" s="42">
        <f>IFERROR(VLOOKUP(TA[[#This Row],[Affected Equipment]],'Basic Data'!$I$2:$K$40,3,0),"")</f>
        <v>8.6206896551724102E-3</v>
      </c>
      <c r="N790">
        <v>-28</v>
      </c>
      <c r="O790" t="s">
        <v>134</v>
      </c>
      <c r="P790" s="22" t="s">
        <v>330</v>
      </c>
      <c r="Q790" s="2" t="s">
        <v>323</v>
      </c>
      <c r="R790">
        <v>31</v>
      </c>
      <c r="S790" s="2">
        <v>61</v>
      </c>
      <c r="T790" t="s">
        <v>297</v>
      </c>
      <c r="U790" t="s">
        <v>300</v>
      </c>
      <c r="V790" t="s">
        <v>301</v>
      </c>
      <c r="W790" s="41"/>
      <c r="X790" s="41"/>
      <c r="Y790" s="34"/>
      <c r="Z790" s="34"/>
      <c r="AA790" s="35">
        <f>IF(TA[[#This Row],[Work Start time on Fault]]="NA","",(TA[[#This Row],[Fault Acknowledgement Time ]]-TA[[#This Row],[Fault Time]])*24)</f>
        <v>0</v>
      </c>
      <c r="AB790" s="35">
        <f>(TA[[#This Row],[Work Start time on Fault]]-TA[[#This Row],[Fault Time]])*24</f>
        <v>0</v>
      </c>
      <c r="AC790" s="34">
        <f>(TA[[#This Row],[Work Completion time on fault]]-TA[[#This Row],[Fault Time]])*24</f>
        <v>0</v>
      </c>
      <c r="AD790" s="35">
        <f>IFERROR((TA[[#This Row],[Work Completion time on fault]]-TA[[#This Row],[Fault Time]])*24,"")</f>
        <v>0</v>
      </c>
      <c r="AE790" t="s">
        <v>328</v>
      </c>
      <c r="AF790" t="s">
        <v>256</v>
      </c>
      <c r="AG790" s="2"/>
      <c r="AH790" s="44">
        <f>1-COS(RADIANS(TA[[#This Row],[Avg. Target Angle during Fault Time (Radians)]]-TA[[#This Row],[Angle of affected equipment ]]))</f>
        <v>0.11705240714107301</v>
      </c>
      <c r="AI790" s="35">
        <f>IFERROR(TA[[#This Row],[Breakdown Time]]*TA[[#This Row],[Plant Equivalent Weightage]],"")</f>
        <v>0</v>
      </c>
    </row>
    <row r="791" spans="1:35">
      <c r="A791" s="2">
        <f t="shared" si="56"/>
        <v>788</v>
      </c>
      <c r="B791" s="156">
        <f t="shared" si="61"/>
        <v>2026</v>
      </c>
      <c r="C791" s="129">
        <f t="shared" si="62"/>
        <v>2025</v>
      </c>
      <c r="D791" s="2" t="s">
        <v>155</v>
      </c>
      <c r="E791" s="2" t="s">
        <v>155</v>
      </c>
      <c r="F791" s="39">
        <v>45778</v>
      </c>
      <c r="G791" s="2">
        <f>DAY(EOMONTH(TA[[#This Row],[Month Year]],0))</f>
        <v>31</v>
      </c>
      <c r="H791" s="21">
        <v>45798</v>
      </c>
      <c r="I791" s="41">
        <f>IFERROR(VLOOKUP(TA[[#This Row],[Date]],Raw_Data[[Date]:[Sunset Time (POA&lt;20 W/m2)]],3,0),"")</f>
        <v>0.29444444444444445</v>
      </c>
      <c r="J791" s="41">
        <f>IFERROR(VLOOKUP(TA[[#This Row],[Date]],Raw_Data[[Date]:[Sunset Time (POA&lt;20 W/m2)]],4,0),"")</f>
        <v>0.69305555555555554</v>
      </c>
      <c r="K791" s="35">
        <f>IFERROR((TA[[#This Row],[Sunset Time (POA&lt;20 W/m2)]]-TA[[#This Row],[Sunrise Time (POA&gt;20 W/m2)]])*24,"")</f>
        <v>9.5666666666666664</v>
      </c>
      <c r="L791" s="2" t="s">
        <v>312</v>
      </c>
      <c r="M791" s="42">
        <f>IFERROR(VLOOKUP(TA[[#This Row],[Affected Equipment]],'Basic Data'!$I$2:$K$40,3,0),"")</f>
        <v>5.74712643678161E-3</v>
      </c>
      <c r="N791">
        <v>-28</v>
      </c>
      <c r="O791" t="s">
        <v>133</v>
      </c>
      <c r="P791" s="22" t="s">
        <v>330</v>
      </c>
      <c r="Q791" s="2" t="s">
        <v>323</v>
      </c>
      <c r="R791">
        <v>26</v>
      </c>
      <c r="S791" s="2">
        <v>37</v>
      </c>
      <c r="T791" t="s">
        <v>297</v>
      </c>
      <c r="U791" t="s">
        <v>300</v>
      </c>
      <c r="V791" t="s">
        <v>301</v>
      </c>
      <c r="W791" s="41"/>
      <c r="X791" s="41"/>
      <c r="Y791" s="34"/>
      <c r="Z791" s="34"/>
      <c r="AA791" s="35">
        <f>IF(TA[[#This Row],[Work Start time on Fault]]="NA","",(TA[[#This Row],[Fault Acknowledgement Time ]]-TA[[#This Row],[Fault Time]])*24)</f>
        <v>0</v>
      </c>
      <c r="AB791" s="35">
        <f>(TA[[#This Row],[Work Start time on Fault]]-TA[[#This Row],[Fault Time]])*24</f>
        <v>0</v>
      </c>
      <c r="AC791" s="34">
        <f>(TA[[#This Row],[Work Completion time on fault]]-TA[[#This Row],[Fault Time]])*24</f>
        <v>0</v>
      </c>
      <c r="AD791" s="35">
        <f>IFERROR((TA[[#This Row],[Work Completion time on fault]]-TA[[#This Row],[Fault Time]])*24,"")</f>
        <v>0</v>
      </c>
      <c r="AE791" t="s">
        <v>328</v>
      </c>
      <c r="AF791" t="s">
        <v>256</v>
      </c>
      <c r="AG791" s="2"/>
      <c r="AH791" s="44">
        <f>1-COS(RADIANS(TA[[#This Row],[Avg. Target Angle during Fault Time (Radians)]]-TA[[#This Row],[Angle of affected equipment ]]))</f>
        <v>0.11705240714107301</v>
      </c>
      <c r="AI791" s="35">
        <f>IFERROR(TA[[#This Row],[Breakdown Time]]*TA[[#This Row],[Plant Equivalent Weightage]],"")</f>
        <v>0</v>
      </c>
    </row>
    <row r="792" spans="1:35">
      <c r="A792" s="2">
        <f t="shared" si="56"/>
        <v>789</v>
      </c>
      <c r="B792" s="156">
        <f t="shared" si="61"/>
        <v>2026</v>
      </c>
      <c r="C792" s="129">
        <f t="shared" si="62"/>
        <v>2025</v>
      </c>
      <c r="D792" s="2" t="s">
        <v>155</v>
      </c>
      <c r="E792" s="2" t="s">
        <v>155</v>
      </c>
      <c r="F792" s="39">
        <v>45778</v>
      </c>
      <c r="G792" s="2">
        <f>DAY(EOMONTH(TA[[#This Row],[Month Year]],0))</f>
        <v>31</v>
      </c>
      <c r="H792" s="21">
        <v>45798</v>
      </c>
      <c r="I792" s="41">
        <f>IFERROR(VLOOKUP(TA[[#This Row],[Date]],Raw_Data[[Date]:[Sunset Time (POA&lt;20 W/m2)]],3,0),"")</f>
        <v>0.29444444444444445</v>
      </c>
      <c r="J792" s="41">
        <f>IFERROR(VLOOKUP(TA[[#This Row],[Date]],Raw_Data[[Date]:[Sunset Time (POA&lt;20 W/m2)]],4,0),"")</f>
        <v>0.69305555555555554</v>
      </c>
      <c r="K792" s="35">
        <f>IFERROR((TA[[#This Row],[Sunset Time (POA&lt;20 W/m2)]]-TA[[#This Row],[Sunrise Time (POA&gt;20 W/m2)]])*24,"")</f>
        <v>9.5666666666666664</v>
      </c>
      <c r="L792" s="2" t="s">
        <v>312</v>
      </c>
      <c r="M792" s="42">
        <f>IFERROR(VLOOKUP(TA[[#This Row],[Affected Equipment]],'Basic Data'!$I$2:$K$40,3,0),"")</f>
        <v>5.74712643678161E-3</v>
      </c>
      <c r="N792">
        <v>-28</v>
      </c>
      <c r="O792" t="s">
        <v>133</v>
      </c>
      <c r="P792" s="22" t="s">
        <v>330</v>
      </c>
      <c r="Q792" s="2" t="s">
        <v>323</v>
      </c>
      <c r="R792">
        <v>27</v>
      </c>
      <c r="S792" s="2">
        <v>42</v>
      </c>
      <c r="T792" t="s">
        <v>297</v>
      </c>
      <c r="U792" t="s">
        <v>300</v>
      </c>
      <c r="V792" t="s">
        <v>301</v>
      </c>
      <c r="W792" s="41"/>
      <c r="X792" s="41"/>
      <c r="Y792" s="34"/>
      <c r="Z792" s="34">
        <v>0.76041666666666663</v>
      </c>
      <c r="AA792" s="35">
        <f>IF(TA[[#This Row],[Work Start time on Fault]]="NA","",(TA[[#This Row],[Fault Acknowledgement Time ]]-TA[[#This Row],[Fault Time]])*24)</f>
        <v>0</v>
      </c>
      <c r="AB792" s="35">
        <f>(TA[[#This Row],[Work Start time on Fault]]-TA[[#This Row],[Fault Time]])*24</f>
        <v>0</v>
      </c>
      <c r="AC792" s="34">
        <f>(TA[[#This Row],[Work Completion time on fault]]-TA[[#This Row],[Fault Time]])*24</f>
        <v>18.25</v>
      </c>
      <c r="AD792" s="35">
        <f>IFERROR((TA[[#This Row],[Work Completion time on fault]]-TA[[#This Row],[Fault Time]])*24,"")</f>
        <v>18.25</v>
      </c>
      <c r="AE792" t="s">
        <v>309</v>
      </c>
      <c r="AF792" t="s">
        <v>256</v>
      </c>
      <c r="AG792" s="2"/>
      <c r="AH792" s="44">
        <f>1-COS(RADIANS(TA[[#This Row],[Avg. Target Angle during Fault Time (Radians)]]-TA[[#This Row],[Angle of affected equipment ]]))</f>
        <v>0.11705240714107301</v>
      </c>
      <c r="AI792" s="35">
        <f>IFERROR(TA[[#This Row],[Breakdown Time]]*TA[[#This Row],[Plant Equivalent Weightage]],"")</f>
        <v>0.10488505747126438</v>
      </c>
    </row>
    <row r="793" spans="1:35">
      <c r="A793" s="2">
        <f t="shared" si="56"/>
        <v>790</v>
      </c>
      <c r="B793" s="156">
        <f t="shared" ref="B793:B808" si="63">YEAR(H793)+IF(MONTH(H793)&gt;=4,1,0)</f>
        <v>2026</v>
      </c>
      <c r="C793" s="129">
        <f t="shared" ref="C793:C808" si="64">YEAR(H793)</f>
        <v>2025</v>
      </c>
      <c r="D793" s="2" t="s">
        <v>155</v>
      </c>
      <c r="E793" s="2" t="s">
        <v>155</v>
      </c>
      <c r="F793" s="39">
        <v>45778</v>
      </c>
      <c r="G793" s="2">
        <f>DAY(EOMONTH(TA[[#This Row],[Month Year]],0))</f>
        <v>31</v>
      </c>
      <c r="H793" s="21">
        <v>45798</v>
      </c>
      <c r="I793" s="41">
        <f>IFERROR(VLOOKUP(TA[[#This Row],[Date]],Raw_Data[[Date]:[Sunset Time (POA&lt;20 W/m2)]],3,0),"")</f>
        <v>0.29444444444444445</v>
      </c>
      <c r="J793" s="41">
        <f>IFERROR(VLOOKUP(TA[[#This Row],[Date]],Raw_Data[[Date]:[Sunset Time (POA&lt;20 W/m2)]],4,0),"")</f>
        <v>0.69305555555555554</v>
      </c>
      <c r="K793" s="35">
        <f>IFERROR((TA[[#This Row],[Sunset Time (POA&lt;20 W/m2)]]-TA[[#This Row],[Sunrise Time (POA&gt;20 W/m2)]])*24,"")</f>
        <v>9.5666666666666664</v>
      </c>
      <c r="L793" s="2" t="s">
        <v>294</v>
      </c>
      <c r="M793" s="42">
        <f>IFERROR(VLOOKUP(TA[[#This Row],[Affected Equipment]],'Basic Data'!$I$2:$K$40,3,0),"")</f>
        <v>1.7241379310344799E-3</v>
      </c>
      <c r="N793">
        <v>-28</v>
      </c>
      <c r="O793" t="s">
        <v>132</v>
      </c>
      <c r="P793" s="127" t="s">
        <v>316</v>
      </c>
      <c r="Q793" s="126" t="s">
        <v>320</v>
      </c>
      <c r="R793">
        <v>28</v>
      </c>
      <c r="S793" s="2">
        <v>45</v>
      </c>
      <c r="T793" t="s">
        <v>295</v>
      </c>
      <c r="U793" t="s">
        <v>300</v>
      </c>
      <c r="V793" t="s">
        <v>298</v>
      </c>
      <c r="W793" s="41">
        <f>IFERROR(VLOOKUP(TA[[#This Row],[Date]],Raw_Data[[Date]:[Sunset Time (POA&lt;20 W/m2)]],3,0),"")</f>
        <v>0.29444444444444445</v>
      </c>
      <c r="X793" s="41">
        <f>IFERROR(VLOOKUP(TA[[#This Row],[Date]],Raw_Data[[Date]:[Sunset Time (POA&lt;20 W/m2)]],3,0),"")</f>
        <v>0.29444444444444445</v>
      </c>
      <c r="Y793" s="34">
        <v>0.64583333333333337</v>
      </c>
      <c r="Z793" s="34">
        <v>0.66319444444444442</v>
      </c>
      <c r="AA793" s="35">
        <f>IF(TA[[#This Row],[Work Start time on Fault]]="NA","",(TA[[#This Row],[Fault Acknowledgement Time ]]-TA[[#This Row],[Fault Time]])*24)</f>
        <v>0</v>
      </c>
      <c r="AB793" s="35">
        <f>(TA[[#This Row],[Work Start time on Fault]]-TA[[#This Row],[Fault Time]])*24</f>
        <v>8.4333333333333336</v>
      </c>
      <c r="AC793" s="34">
        <f>(TA[[#This Row],[Work Completion time on fault]]-TA[[#This Row],[Fault Time]])*24</f>
        <v>8.85</v>
      </c>
      <c r="AD793" s="35">
        <f>IFERROR((TA[[#This Row],[Work Completion time on fault]]-TA[[#This Row],[Fault Time]])*24,"")</f>
        <v>8.85</v>
      </c>
      <c r="AE793" t="s">
        <v>328</v>
      </c>
      <c r="AF793" t="s">
        <v>256</v>
      </c>
      <c r="AG793" s="2"/>
      <c r="AH793" s="44">
        <f>1-COS(RADIANS(TA[[#This Row],[Avg. Target Angle during Fault Time (Radians)]]-TA[[#This Row],[Angle of affected equipment ]]))</f>
        <v>0.11705240714107301</v>
      </c>
      <c r="AI793" s="35">
        <f>IFERROR(TA[[#This Row],[Breakdown Time]]*TA[[#This Row],[Plant Equivalent Weightage]],"")</f>
        <v>1.5258620689655146E-2</v>
      </c>
    </row>
    <row r="794" spans="1:35">
      <c r="A794" s="2">
        <f t="shared" si="56"/>
        <v>791</v>
      </c>
      <c r="B794" s="156">
        <f t="shared" si="63"/>
        <v>2026</v>
      </c>
      <c r="C794" s="129">
        <f t="shared" si="64"/>
        <v>2025</v>
      </c>
      <c r="D794" s="2" t="s">
        <v>155</v>
      </c>
      <c r="E794" s="2" t="s">
        <v>155</v>
      </c>
      <c r="F794" s="39">
        <v>45778</v>
      </c>
      <c r="G794" s="2">
        <f>DAY(EOMONTH(TA[[#This Row],[Month Year]],0))</f>
        <v>31</v>
      </c>
      <c r="H794" s="21">
        <v>45798</v>
      </c>
      <c r="I794" s="41">
        <f>IFERROR(VLOOKUP(TA[[#This Row],[Date]],Raw_Data[[Date]:[Sunset Time (POA&lt;20 W/m2)]],3,0),"")</f>
        <v>0.29444444444444445</v>
      </c>
      <c r="J794" s="41">
        <f>IFERROR(VLOOKUP(TA[[#This Row],[Date]],Raw_Data[[Date]:[Sunset Time (POA&lt;20 W/m2)]],4,0),"")</f>
        <v>0.69305555555555554</v>
      </c>
      <c r="K794" s="35">
        <f>IFERROR((TA[[#This Row],[Sunset Time (POA&lt;20 W/m2)]]-TA[[#This Row],[Sunrise Time (POA&gt;20 W/m2)]])*24,"")</f>
        <v>9.5666666666666664</v>
      </c>
      <c r="L794" s="2" t="s">
        <v>294</v>
      </c>
      <c r="M794" s="42">
        <f>IFERROR(VLOOKUP(TA[[#This Row],[Affected Equipment]],'Basic Data'!$I$2:$K$40,3,0),"")</f>
        <v>1.7241379310344799E-3</v>
      </c>
      <c r="N794">
        <v>-28</v>
      </c>
      <c r="O794" t="s">
        <v>137</v>
      </c>
      <c r="P794" s="127" t="s">
        <v>315</v>
      </c>
      <c r="Q794" s="126" t="s">
        <v>315</v>
      </c>
      <c r="R794">
        <v>70</v>
      </c>
      <c r="S794" s="2">
        <v>46</v>
      </c>
      <c r="T794" t="s">
        <v>295</v>
      </c>
      <c r="U794" t="s">
        <v>300</v>
      </c>
      <c r="V794" t="s">
        <v>298</v>
      </c>
      <c r="W794" s="41">
        <f>IFERROR(VLOOKUP(TA[[#This Row],[Date]],Raw_Data[[Date]:[Sunset Time (POA&lt;20 W/m2)]],3,0),"")</f>
        <v>0.29444444444444445</v>
      </c>
      <c r="X794" s="41">
        <f>IFERROR(VLOOKUP(TA[[#This Row],[Date]],Raw_Data[[Date]:[Sunset Time (POA&lt;20 W/m2)]],3,0),"")</f>
        <v>0.29444444444444445</v>
      </c>
      <c r="Y794" s="34">
        <v>0.66736111111111107</v>
      </c>
      <c r="Z794" s="34">
        <v>0.67708333333333337</v>
      </c>
      <c r="AA794" s="35">
        <f>IF(TA[[#This Row],[Work Start time on Fault]]="NA","",(TA[[#This Row],[Fault Acknowledgement Time ]]-TA[[#This Row],[Fault Time]])*24)</f>
        <v>0</v>
      </c>
      <c r="AB794" s="35">
        <f>(TA[[#This Row],[Work Start time on Fault]]-TA[[#This Row],[Fault Time]])*24</f>
        <v>8.9499999999999993</v>
      </c>
      <c r="AC794" s="34">
        <f>(TA[[#This Row],[Work Completion time on fault]]-TA[[#This Row],[Fault Time]])*24</f>
        <v>9.1833333333333336</v>
      </c>
      <c r="AD794" s="35">
        <f>IFERROR((TA[[#This Row],[Work Completion time on fault]]-TA[[#This Row],[Fault Time]])*24,"")</f>
        <v>9.1833333333333336</v>
      </c>
      <c r="AE794" t="s">
        <v>328</v>
      </c>
      <c r="AF794" t="s">
        <v>256</v>
      </c>
      <c r="AG794" s="2"/>
      <c r="AH794" s="44">
        <f>1-COS(RADIANS(TA[[#This Row],[Avg. Target Angle during Fault Time (Radians)]]-TA[[#This Row],[Angle of affected equipment ]]))</f>
        <v>0.11705240714107301</v>
      </c>
      <c r="AI794" s="35">
        <f>IFERROR(TA[[#This Row],[Breakdown Time]]*TA[[#This Row],[Plant Equivalent Weightage]],"")</f>
        <v>1.5833333333333307E-2</v>
      </c>
    </row>
    <row r="795" spans="1:35">
      <c r="A795" s="2">
        <f t="shared" si="56"/>
        <v>792</v>
      </c>
      <c r="B795" s="156">
        <f t="shared" si="63"/>
        <v>2026</v>
      </c>
      <c r="C795" s="129">
        <f t="shared" si="64"/>
        <v>2025</v>
      </c>
      <c r="D795" s="2" t="s">
        <v>155</v>
      </c>
      <c r="E795" s="2" t="s">
        <v>155</v>
      </c>
      <c r="F795" s="39">
        <v>45778</v>
      </c>
      <c r="G795" s="2">
        <f>DAY(EOMONTH(TA[[#This Row],[Month Year]],0))</f>
        <v>31</v>
      </c>
      <c r="H795" s="21">
        <v>45799</v>
      </c>
      <c r="I795" s="41">
        <f>IFERROR(VLOOKUP(TA[[#This Row],[Date]],Raw_Data[[Date]:[Sunset Time (POA&lt;20 W/m2)]],3,0),"")</f>
        <v>0.27986111111111112</v>
      </c>
      <c r="J795" s="41">
        <f>IFERROR(VLOOKUP(TA[[#This Row],[Date]],Raw_Data[[Date]:[Sunset Time (POA&lt;20 W/m2)]],4,0),"")</f>
        <v>0.72569444444444442</v>
      </c>
      <c r="K795" s="35">
        <f>IFERROR((TA[[#This Row],[Sunset Time (POA&lt;20 W/m2)]]-TA[[#This Row],[Sunrise Time (POA&gt;20 W/m2)]])*24,"")</f>
        <v>10.7</v>
      </c>
      <c r="L795" s="2" t="s">
        <v>294</v>
      </c>
      <c r="M795" s="42">
        <f>IFERROR(VLOOKUP(TA[[#This Row],[Affected Equipment]],'Basic Data'!$I$2:$K$40,3,0),"")</f>
        <v>1.7241379310344799E-3</v>
      </c>
      <c r="N795">
        <v>-28</v>
      </c>
      <c r="O795" t="s">
        <v>135</v>
      </c>
      <c r="P795" s="127" t="s">
        <v>318</v>
      </c>
      <c r="Q795" s="126" t="s">
        <v>318</v>
      </c>
      <c r="R795">
        <v>130</v>
      </c>
      <c r="S795" s="2">
        <v>37</v>
      </c>
      <c r="T795" t="s">
        <v>295</v>
      </c>
      <c r="U795" t="s">
        <v>300</v>
      </c>
      <c r="V795" t="s">
        <v>298</v>
      </c>
      <c r="W795" s="41"/>
      <c r="X795" s="41"/>
      <c r="Y795" s="34"/>
      <c r="Z795" s="34"/>
      <c r="AA795" s="35">
        <f>IF(TA[[#This Row],[Work Start time on Fault]]="NA","",(TA[[#This Row],[Fault Acknowledgement Time ]]-TA[[#This Row],[Fault Time]])*24)</f>
        <v>0</v>
      </c>
      <c r="AB795" s="35">
        <f>(TA[[#This Row],[Work Start time on Fault]]-TA[[#This Row],[Fault Time]])*24</f>
        <v>0</v>
      </c>
      <c r="AC795" s="34">
        <f>(TA[[#This Row],[Work Completion time on fault]]-TA[[#This Row],[Fault Time]])*24</f>
        <v>0</v>
      </c>
      <c r="AD795" s="35">
        <f>IFERROR((TA[[#This Row],[Work Completion time on fault]]-TA[[#This Row],[Fault Time]])*24,"")</f>
        <v>0</v>
      </c>
      <c r="AE795" t="s">
        <v>328</v>
      </c>
      <c r="AF795" t="s">
        <v>256</v>
      </c>
      <c r="AG795" s="2"/>
      <c r="AH795" s="44">
        <f>1-COS(RADIANS(TA[[#This Row],[Avg. Target Angle during Fault Time (Radians)]]-TA[[#This Row],[Angle of affected equipment ]]))</f>
        <v>0.11705240714107301</v>
      </c>
      <c r="AI795" s="35">
        <f>IFERROR(TA[[#This Row],[Breakdown Time]]*TA[[#This Row],[Plant Equivalent Weightage]],"")</f>
        <v>0</v>
      </c>
    </row>
    <row r="796" spans="1:35">
      <c r="A796" s="2">
        <f t="shared" si="56"/>
        <v>793</v>
      </c>
      <c r="B796" s="156">
        <f t="shared" si="63"/>
        <v>2026</v>
      </c>
      <c r="C796" s="129">
        <f t="shared" si="64"/>
        <v>2025</v>
      </c>
      <c r="D796" s="2" t="s">
        <v>155</v>
      </c>
      <c r="E796" s="2" t="s">
        <v>155</v>
      </c>
      <c r="F796" s="39">
        <v>45778</v>
      </c>
      <c r="G796" s="2">
        <f>DAY(EOMONTH(TA[[#This Row],[Month Year]],0))</f>
        <v>31</v>
      </c>
      <c r="H796" s="21">
        <v>45799</v>
      </c>
      <c r="I796" s="41">
        <f>IFERROR(VLOOKUP(TA[[#This Row],[Date]],Raw_Data[[Date]:[Sunset Time (POA&lt;20 W/m2)]],3,0),"")</f>
        <v>0.27986111111111112</v>
      </c>
      <c r="J796" s="41">
        <f>IFERROR(VLOOKUP(TA[[#This Row],[Date]],Raw_Data[[Date]:[Sunset Time (POA&lt;20 W/m2)]],4,0),"")</f>
        <v>0.72569444444444442</v>
      </c>
      <c r="K796" s="35">
        <f>IFERROR((TA[[#This Row],[Sunset Time (POA&lt;20 W/m2)]]-TA[[#This Row],[Sunrise Time (POA&gt;20 W/m2)]])*24,"")</f>
        <v>10.7</v>
      </c>
      <c r="L796" s="2" t="s">
        <v>294</v>
      </c>
      <c r="M796" s="42">
        <f>IFERROR(VLOOKUP(TA[[#This Row],[Affected Equipment]],'Basic Data'!$I$2:$K$40,3,0),"")</f>
        <v>1.7241379310344799E-3</v>
      </c>
      <c r="N796">
        <v>-28</v>
      </c>
      <c r="O796" t="s">
        <v>135</v>
      </c>
      <c r="P796" s="127" t="s">
        <v>318</v>
      </c>
      <c r="Q796" s="126" t="s">
        <v>318</v>
      </c>
      <c r="R796">
        <v>131</v>
      </c>
      <c r="S796" s="2">
        <v>38</v>
      </c>
      <c r="T796" t="s">
        <v>295</v>
      </c>
      <c r="U796" t="s">
        <v>300</v>
      </c>
      <c r="V796" t="s">
        <v>298</v>
      </c>
      <c r="W796" s="41"/>
      <c r="X796" s="41"/>
      <c r="Y796" s="34"/>
      <c r="Z796" s="34"/>
      <c r="AA796" s="35">
        <f>IF(TA[[#This Row],[Work Start time on Fault]]="NA","",(TA[[#This Row],[Fault Acknowledgement Time ]]-TA[[#This Row],[Fault Time]])*24)</f>
        <v>0</v>
      </c>
      <c r="AB796" s="35">
        <f>(TA[[#This Row],[Work Start time on Fault]]-TA[[#This Row],[Fault Time]])*24</f>
        <v>0</v>
      </c>
      <c r="AC796" s="34">
        <f>(TA[[#This Row],[Work Completion time on fault]]-TA[[#This Row],[Fault Time]])*24</f>
        <v>0</v>
      </c>
      <c r="AD796" s="35">
        <f>IFERROR((TA[[#This Row],[Work Completion time on fault]]-TA[[#This Row],[Fault Time]])*24,"")</f>
        <v>0</v>
      </c>
      <c r="AE796" t="s">
        <v>328</v>
      </c>
      <c r="AF796" t="s">
        <v>256</v>
      </c>
      <c r="AG796" s="2"/>
      <c r="AH796" s="44">
        <f>1-COS(RADIANS(TA[[#This Row],[Avg. Target Angle during Fault Time (Radians)]]-TA[[#This Row],[Angle of affected equipment ]]))</f>
        <v>0.11705240714107301</v>
      </c>
      <c r="AI796" s="35">
        <f>IFERROR(TA[[#This Row],[Breakdown Time]]*TA[[#This Row],[Plant Equivalent Weightage]],"")</f>
        <v>0</v>
      </c>
    </row>
    <row r="797" spans="1:35">
      <c r="A797" s="2">
        <f t="shared" si="56"/>
        <v>794</v>
      </c>
      <c r="B797" s="156">
        <f t="shared" si="63"/>
        <v>2026</v>
      </c>
      <c r="C797" s="129">
        <f t="shared" si="64"/>
        <v>2025</v>
      </c>
      <c r="D797" s="2" t="s">
        <v>155</v>
      </c>
      <c r="E797" s="2" t="s">
        <v>155</v>
      </c>
      <c r="F797" s="39">
        <v>45778</v>
      </c>
      <c r="G797" s="2">
        <f>DAY(EOMONTH(TA[[#This Row],[Month Year]],0))</f>
        <v>31</v>
      </c>
      <c r="H797" s="21">
        <v>45799</v>
      </c>
      <c r="I797" s="41">
        <f>IFERROR(VLOOKUP(TA[[#This Row],[Date]],Raw_Data[[Date]:[Sunset Time (POA&lt;20 W/m2)]],3,0),"")</f>
        <v>0.27986111111111112</v>
      </c>
      <c r="J797" s="41">
        <f>IFERROR(VLOOKUP(TA[[#This Row],[Date]],Raw_Data[[Date]:[Sunset Time (POA&lt;20 W/m2)]],4,0),"")</f>
        <v>0.72569444444444442</v>
      </c>
      <c r="K797" s="35">
        <f>IFERROR((TA[[#This Row],[Sunset Time (POA&lt;20 W/m2)]]-TA[[#This Row],[Sunrise Time (POA&gt;20 W/m2)]])*24,"")</f>
        <v>10.7</v>
      </c>
      <c r="L797" s="2" t="s">
        <v>294</v>
      </c>
      <c r="M797" s="42">
        <f>IFERROR(VLOOKUP(TA[[#This Row],[Affected Equipment]],'Basic Data'!$I$2:$K$40,3,0),"")</f>
        <v>1.7241379310344799E-3</v>
      </c>
      <c r="N797">
        <v>-28</v>
      </c>
      <c r="O797" t="s">
        <v>135</v>
      </c>
      <c r="P797" s="127" t="s">
        <v>318</v>
      </c>
      <c r="Q797" s="126" t="s">
        <v>318</v>
      </c>
      <c r="R797">
        <v>131</v>
      </c>
      <c r="S797" s="2">
        <v>39</v>
      </c>
      <c r="T797" t="s">
        <v>295</v>
      </c>
      <c r="U797" t="s">
        <v>300</v>
      </c>
      <c r="V797" t="s">
        <v>298</v>
      </c>
      <c r="W797" s="41"/>
      <c r="X797" s="41"/>
      <c r="Y797" s="34"/>
      <c r="Z797" s="34"/>
      <c r="AA797" s="35">
        <f>IF(TA[[#This Row],[Work Start time on Fault]]="NA","",(TA[[#This Row],[Fault Acknowledgement Time ]]-TA[[#This Row],[Fault Time]])*24)</f>
        <v>0</v>
      </c>
      <c r="AB797" s="35">
        <f>(TA[[#This Row],[Work Start time on Fault]]-TA[[#This Row],[Fault Time]])*24</f>
        <v>0</v>
      </c>
      <c r="AC797" s="34">
        <f>(TA[[#This Row],[Work Completion time on fault]]-TA[[#This Row],[Fault Time]])*24</f>
        <v>0</v>
      </c>
      <c r="AD797" s="35">
        <f>IFERROR((TA[[#This Row],[Work Completion time on fault]]-TA[[#This Row],[Fault Time]])*24,"")</f>
        <v>0</v>
      </c>
      <c r="AE797" t="s">
        <v>328</v>
      </c>
      <c r="AF797" t="s">
        <v>256</v>
      </c>
      <c r="AG797" s="2"/>
      <c r="AH797" s="44">
        <f>1-COS(RADIANS(TA[[#This Row],[Avg. Target Angle during Fault Time (Radians)]]-TA[[#This Row],[Angle of affected equipment ]]))</f>
        <v>0.11705240714107301</v>
      </c>
      <c r="AI797" s="35">
        <f>IFERROR(TA[[#This Row],[Breakdown Time]]*TA[[#This Row],[Plant Equivalent Weightage]],"")</f>
        <v>0</v>
      </c>
    </row>
    <row r="798" spans="1:35">
      <c r="A798" s="2">
        <f t="shared" si="56"/>
        <v>795</v>
      </c>
      <c r="B798" s="156">
        <f t="shared" si="63"/>
        <v>2026</v>
      </c>
      <c r="C798" s="129">
        <f t="shared" si="64"/>
        <v>2025</v>
      </c>
      <c r="D798" s="2" t="s">
        <v>155</v>
      </c>
      <c r="E798" s="2" t="s">
        <v>155</v>
      </c>
      <c r="F798" s="39">
        <v>45778</v>
      </c>
      <c r="G798" s="2">
        <f>DAY(EOMONTH(TA[[#This Row],[Month Year]],0))</f>
        <v>31</v>
      </c>
      <c r="H798" s="21">
        <v>45799</v>
      </c>
      <c r="I798" s="41">
        <f>IFERROR(VLOOKUP(TA[[#This Row],[Date]],Raw_Data[[Date]:[Sunset Time (POA&lt;20 W/m2)]],3,0),"")</f>
        <v>0.27986111111111112</v>
      </c>
      <c r="J798" s="41">
        <f>IFERROR(VLOOKUP(TA[[#This Row],[Date]],Raw_Data[[Date]:[Sunset Time (POA&lt;20 W/m2)]],4,0),"")</f>
        <v>0.72569444444444442</v>
      </c>
      <c r="K798" s="35">
        <f>IFERROR((TA[[#This Row],[Sunset Time (POA&lt;20 W/m2)]]-TA[[#This Row],[Sunrise Time (POA&gt;20 W/m2)]])*24,"")</f>
        <v>10.7</v>
      </c>
      <c r="L798" s="2" t="s">
        <v>296</v>
      </c>
      <c r="M798" s="42">
        <f>IFERROR(VLOOKUP(TA[[#This Row],[Affected Equipment]],'Basic Data'!$I$2:$K$40,3,0),"")</f>
        <v>8.6206896551724102E-3</v>
      </c>
      <c r="N798">
        <v>-28</v>
      </c>
      <c r="O798" t="s">
        <v>135</v>
      </c>
      <c r="P798" s="127" t="s">
        <v>318</v>
      </c>
      <c r="Q798" s="2" t="s">
        <v>321</v>
      </c>
      <c r="R798">
        <v>133</v>
      </c>
      <c r="S798" s="2">
        <v>26</v>
      </c>
      <c r="T798" t="s">
        <v>297</v>
      </c>
      <c r="U798" t="s">
        <v>300</v>
      </c>
      <c r="V798" t="s">
        <v>314</v>
      </c>
      <c r="W798" s="41">
        <f>IFERROR(VLOOKUP(TA[[#This Row],[Date]],Raw_Data[[Date]:[Sunset Time (POA&lt;20 W/m2)]],3,0),"")</f>
        <v>0.27986111111111112</v>
      </c>
      <c r="X798" s="41">
        <f>IFERROR(VLOOKUP(TA[[#This Row],[Date]],Raw_Data[[Date]:[Sunset Time (POA&lt;20 W/m2)]],3,0),"")</f>
        <v>0.27986111111111112</v>
      </c>
      <c r="Y798" s="34"/>
      <c r="Z798" s="34">
        <v>0.76041666666666663</v>
      </c>
      <c r="AA798" s="35">
        <f>IF(TA[[#This Row],[Work Start time on Fault]]="NA","",(TA[[#This Row],[Fault Acknowledgement Time ]]-TA[[#This Row],[Fault Time]])*24)</f>
        <v>0</v>
      </c>
      <c r="AB798" s="35">
        <f>(TA[[#This Row],[Work Start time on Fault]]-TA[[#This Row],[Fault Time]])*24</f>
        <v>-6.7166666666666668</v>
      </c>
      <c r="AC798" s="34">
        <f>(TA[[#This Row],[Work Completion time on fault]]-TA[[#This Row],[Fault Time]])*24</f>
        <v>11.533333333333331</v>
      </c>
      <c r="AD798" s="35">
        <f>IFERROR((TA[[#This Row],[Work Completion time on fault]]-TA[[#This Row],[Fault Time]])*24,"")</f>
        <v>11.533333333333331</v>
      </c>
      <c r="AE798" t="s">
        <v>328</v>
      </c>
      <c r="AF798" t="s">
        <v>256</v>
      </c>
      <c r="AG798" s="2"/>
      <c r="AH798" s="44">
        <f>1-COS(RADIANS(TA[[#This Row],[Avg. Target Angle during Fault Time (Radians)]]-TA[[#This Row],[Angle of affected equipment ]]))</f>
        <v>0.11705240714107301</v>
      </c>
      <c r="AI798" s="35">
        <f>IFERROR(TA[[#This Row],[Breakdown Time]]*TA[[#This Row],[Plant Equivalent Weightage]],"")</f>
        <v>9.9425287356321779E-2</v>
      </c>
    </row>
    <row r="799" spans="1:35">
      <c r="A799" s="2">
        <f t="shared" si="56"/>
        <v>796</v>
      </c>
      <c r="B799" s="156">
        <f t="shared" si="63"/>
        <v>2026</v>
      </c>
      <c r="C799" s="129">
        <f t="shared" si="64"/>
        <v>2025</v>
      </c>
      <c r="D799" s="2" t="s">
        <v>155</v>
      </c>
      <c r="E799" s="2" t="s">
        <v>155</v>
      </c>
      <c r="F799" s="39">
        <v>45778</v>
      </c>
      <c r="G799" s="2">
        <f>DAY(EOMONTH(TA[[#This Row],[Month Year]],0))</f>
        <v>31</v>
      </c>
      <c r="H799" s="21">
        <v>45799</v>
      </c>
      <c r="I799" s="41">
        <f>IFERROR(VLOOKUP(TA[[#This Row],[Date]],Raw_Data[[Date]:[Sunset Time (POA&lt;20 W/m2)]],3,0),"")</f>
        <v>0.27986111111111112</v>
      </c>
      <c r="J799" s="41">
        <f>IFERROR(VLOOKUP(TA[[#This Row],[Date]],Raw_Data[[Date]:[Sunset Time (POA&lt;20 W/m2)]],4,0),"")</f>
        <v>0.72569444444444442</v>
      </c>
      <c r="K799" s="35">
        <f>IFERROR((TA[[#This Row],[Sunset Time (POA&lt;20 W/m2)]]-TA[[#This Row],[Sunrise Time (POA&gt;20 W/m2)]])*24,"")</f>
        <v>10.7</v>
      </c>
      <c r="L799" s="2" t="s">
        <v>294</v>
      </c>
      <c r="M799" s="42">
        <f>IFERROR(VLOOKUP(TA[[#This Row],[Affected Equipment]],'Basic Data'!$I$2:$K$40,3,0),"")</f>
        <v>1.7241379310344799E-3</v>
      </c>
      <c r="N799">
        <v>-28</v>
      </c>
      <c r="O799" t="s">
        <v>133</v>
      </c>
      <c r="P799" s="127" t="s">
        <v>316</v>
      </c>
      <c r="Q799" s="126" t="s">
        <v>317</v>
      </c>
      <c r="R799">
        <v>7</v>
      </c>
      <c r="S799" s="2">
        <v>32</v>
      </c>
      <c r="T799" t="s">
        <v>295</v>
      </c>
      <c r="U799" t="s">
        <v>300</v>
      </c>
      <c r="V799" t="s">
        <v>298</v>
      </c>
      <c r="W799" s="41"/>
      <c r="X799" s="41"/>
      <c r="Y799" s="34"/>
      <c r="Z799" s="34"/>
      <c r="AA799" s="35">
        <f>IF(TA[[#This Row],[Work Start time on Fault]]="NA","",(TA[[#This Row],[Fault Acknowledgement Time ]]-TA[[#This Row],[Fault Time]])*24)</f>
        <v>0</v>
      </c>
      <c r="AB799" s="35">
        <f>(TA[[#This Row],[Work Start time on Fault]]-TA[[#This Row],[Fault Time]])*24</f>
        <v>0</v>
      </c>
      <c r="AC799" s="34">
        <f>(TA[[#This Row],[Work Completion time on fault]]-TA[[#This Row],[Fault Time]])*24</f>
        <v>0</v>
      </c>
      <c r="AD799" s="35">
        <f>IFERROR((TA[[#This Row],[Work Completion time on fault]]-TA[[#This Row],[Fault Time]])*24,"")</f>
        <v>0</v>
      </c>
      <c r="AE799" t="s">
        <v>328</v>
      </c>
      <c r="AF799" t="s">
        <v>256</v>
      </c>
      <c r="AG799" s="2"/>
      <c r="AH799" s="44">
        <f>1-COS(RADIANS(TA[[#This Row],[Avg. Target Angle during Fault Time (Radians)]]-TA[[#This Row],[Angle of affected equipment ]]))</f>
        <v>0.11705240714107301</v>
      </c>
      <c r="AI799" s="35">
        <f>IFERROR(TA[[#This Row],[Breakdown Time]]*TA[[#This Row],[Plant Equivalent Weightage]],"")</f>
        <v>0</v>
      </c>
    </row>
    <row r="800" spans="1:35">
      <c r="A800" s="2">
        <f t="shared" si="56"/>
        <v>797</v>
      </c>
      <c r="B800" s="156">
        <f t="shared" si="63"/>
        <v>2026</v>
      </c>
      <c r="C800" s="129">
        <f t="shared" si="64"/>
        <v>2025</v>
      </c>
      <c r="D800" s="2" t="s">
        <v>155</v>
      </c>
      <c r="E800" s="2" t="s">
        <v>155</v>
      </c>
      <c r="F800" s="39">
        <v>45778</v>
      </c>
      <c r="G800" s="2">
        <f>DAY(EOMONTH(TA[[#This Row],[Month Year]],0))</f>
        <v>31</v>
      </c>
      <c r="H800" s="21">
        <v>45799</v>
      </c>
      <c r="I800" s="41">
        <f>IFERROR(VLOOKUP(TA[[#This Row],[Date]],Raw_Data[[Date]:[Sunset Time (POA&lt;20 W/m2)]],3,0),"")</f>
        <v>0.27986111111111112</v>
      </c>
      <c r="J800" s="41">
        <f>IFERROR(VLOOKUP(TA[[#This Row],[Date]],Raw_Data[[Date]:[Sunset Time (POA&lt;20 W/m2)]],4,0),"")</f>
        <v>0.72569444444444442</v>
      </c>
      <c r="K800" s="35">
        <f>IFERROR((TA[[#This Row],[Sunset Time (POA&lt;20 W/m2)]]-TA[[#This Row],[Sunrise Time (POA&gt;20 W/m2)]])*24,"")</f>
        <v>10.7</v>
      </c>
      <c r="L800" s="2" t="s">
        <v>294</v>
      </c>
      <c r="M800" s="42">
        <f>IFERROR(VLOOKUP(TA[[#This Row],[Affected Equipment]],'Basic Data'!$I$2:$K$40,3,0),"")</f>
        <v>1.7241379310344799E-3</v>
      </c>
      <c r="N800">
        <v>-28</v>
      </c>
      <c r="O800" t="s">
        <v>137</v>
      </c>
      <c r="P800" s="127" t="s">
        <v>315</v>
      </c>
      <c r="Q800" s="126" t="s">
        <v>319</v>
      </c>
      <c r="R800">
        <v>166</v>
      </c>
      <c r="S800" s="2">
        <v>91</v>
      </c>
      <c r="T800" t="s">
        <v>295</v>
      </c>
      <c r="U800" t="s">
        <v>300</v>
      </c>
      <c r="V800" t="s">
        <v>298</v>
      </c>
      <c r="W800" s="41"/>
      <c r="X800" s="41"/>
      <c r="Y800" s="34"/>
      <c r="Z800" s="34"/>
      <c r="AA800" s="35">
        <f>IF(TA[[#This Row],[Work Start time on Fault]]="NA","",(TA[[#This Row],[Fault Acknowledgement Time ]]-TA[[#This Row],[Fault Time]])*24)</f>
        <v>0</v>
      </c>
      <c r="AB800" s="35">
        <f>(TA[[#This Row],[Work Start time on Fault]]-TA[[#This Row],[Fault Time]])*24</f>
        <v>0</v>
      </c>
      <c r="AC800" s="34">
        <f>(TA[[#This Row],[Work Completion time on fault]]-TA[[#This Row],[Fault Time]])*24</f>
        <v>0</v>
      </c>
      <c r="AD800" s="35">
        <f>IFERROR((TA[[#This Row],[Work Completion time on fault]]-TA[[#This Row],[Fault Time]])*24,"")</f>
        <v>0</v>
      </c>
      <c r="AE800" t="s">
        <v>328</v>
      </c>
      <c r="AF800" t="s">
        <v>256</v>
      </c>
      <c r="AG800" s="2"/>
      <c r="AH800" s="44">
        <f>1-COS(RADIANS(TA[[#This Row],[Avg. Target Angle during Fault Time (Radians)]]-TA[[#This Row],[Angle of affected equipment ]]))</f>
        <v>0.11705240714107301</v>
      </c>
      <c r="AI800" s="35">
        <f>IFERROR(TA[[#This Row],[Breakdown Time]]*TA[[#This Row],[Plant Equivalent Weightage]],"")</f>
        <v>0</v>
      </c>
    </row>
    <row r="801" spans="1:35">
      <c r="A801" s="2">
        <f t="shared" si="56"/>
        <v>798</v>
      </c>
      <c r="B801" s="156">
        <f t="shared" si="63"/>
        <v>2026</v>
      </c>
      <c r="C801" s="129">
        <f t="shared" si="64"/>
        <v>2025</v>
      </c>
      <c r="D801" s="2" t="s">
        <v>155</v>
      </c>
      <c r="E801" s="2" t="s">
        <v>155</v>
      </c>
      <c r="F801" s="39">
        <v>45778</v>
      </c>
      <c r="G801" s="2">
        <f>DAY(EOMONTH(TA[[#This Row],[Month Year]],0))</f>
        <v>31</v>
      </c>
      <c r="H801" s="21">
        <v>45799</v>
      </c>
      <c r="I801" s="41">
        <f>IFERROR(VLOOKUP(TA[[#This Row],[Date]],Raw_Data[[Date]:[Sunset Time (POA&lt;20 W/m2)]],3,0),"")</f>
        <v>0.27986111111111112</v>
      </c>
      <c r="J801" s="41">
        <f>IFERROR(VLOOKUP(TA[[#This Row],[Date]],Raw_Data[[Date]:[Sunset Time (POA&lt;20 W/m2)]],4,0),"")</f>
        <v>0.72569444444444442</v>
      </c>
      <c r="K801" s="35">
        <f>IFERROR((TA[[#This Row],[Sunset Time (POA&lt;20 W/m2)]]-TA[[#This Row],[Sunrise Time (POA&gt;20 W/m2)]])*24,"")</f>
        <v>10.7</v>
      </c>
      <c r="L801" s="2" t="s">
        <v>294</v>
      </c>
      <c r="M801" s="42">
        <f>IFERROR(VLOOKUP(TA[[#This Row],[Affected Equipment]],'Basic Data'!$I$2:$K$40,3,0),"")</f>
        <v>1.7241379310344799E-3</v>
      </c>
      <c r="N801">
        <v>-28</v>
      </c>
      <c r="O801" t="s">
        <v>133</v>
      </c>
      <c r="P801" s="127" t="s">
        <v>316</v>
      </c>
      <c r="Q801" s="126" t="s">
        <v>316</v>
      </c>
      <c r="R801">
        <v>117</v>
      </c>
      <c r="S801" s="2">
        <v>20</v>
      </c>
      <c r="T801" t="s">
        <v>295</v>
      </c>
      <c r="U801" t="s">
        <v>300</v>
      </c>
      <c r="V801" t="s">
        <v>298</v>
      </c>
      <c r="W801" s="41"/>
      <c r="X801" s="41"/>
      <c r="Y801" s="34"/>
      <c r="Z801" s="34"/>
      <c r="AA801" s="35">
        <f>IF(TA[[#This Row],[Work Start time on Fault]]="NA","",(TA[[#This Row],[Fault Acknowledgement Time ]]-TA[[#This Row],[Fault Time]])*24)</f>
        <v>0</v>
      </c>
      <c r="AB801" s="35">
        <f>(TA[[#This Row],[Work Start time on Fault]]-TA[[#This Row],[Fault Time]])*24</f>
        <v>0</v>
      </c>
      <c r="AC801" s="34">
        <f>(TA[[#This Row],[Work Completion time on fault]]-TA[[#This Row],[Fault Time]])*24</f>
        <v>0</v>
      </c>
      <c r="AD801" s="35">
        <f>IFERROR((TA[[#This Row],[Work Completion time on fault]]-TA[[#This Row],[Fault Time]])*24,"")</f>
        <v>0</v>
      </c>
      <c r="AE801" t="s">
        <v>328</v>
      </c>
      <c r="AF801" t="s">
        <v>256</v>
      </c>
      <c r="AG801" s="2"/>
      <c r="AH801" s="44">
        <f>1-COS(RADIANS(TA[[#This Row],[Avg. Target Angle during Fault Time (Radians)]]-TA[[#This Row],[Angle of affected equipment ]]))</f>
        <v>0.11705240714107301</v>
      </c>
      <c r="AI801" s="35">
        <f>IFERROR(TA[[#This Row],[Breakdown Time]]*TA[[#This Row],[Plant Equivalent Weightage]],"")</f>
        <v>0</v>
      </c>
    </row>
    <row r="802" spans="1:35">
      <c r="A802" s="2">
        <f t="shared" si="56"/>
        <v>799</v>
      </c>
      <c r="B802" s="156">
        <f t="shared" si="63"/>
        <v>2026</v>
      </c>
      <c r="C802" s="129">
        <f t="shared" si="64"/>
        <v>2025</v>
      </c>
      <c r="D802" s="2" t="s">
        <v>155</v>
      </c>
      <c r="E802" s="2" t="s">
        <v>155</v>
      </c>
      <c r="F802" s="39">
        <v>45778</v>
      </c>
      <c r="G802" s="2">
        <f>DAY(EOMONTH(TA[[#This Row],[Month Year]],0))</f>
        <v>31</v>
      </c>
      <c r="H802" s="21">
        <v>45799</v>
      </c>
      <c r="I802" s="41">
        <f>IFERROR(VLOOKUP(TA[[#This Row],[Date]],Raw_Data[[Date]:[Sunset Time (POA&lt;20 W/m2)]],3,0),"")</f>
        <v>0.27986111111111112</v>
      </c>
      <c r="J802" s="41">
        <f>IFERROR(VLOOKUP(TA[[#This Row],[Date]],Raw_Data[[Date]:[Sunset Time (POA&lt;20 W/m2)]],4,0),"")</f>
        <v>0.72569444444444442</v>
      </c>
      <c r="K802" s="35">
        <f>IFERROR((TA[[#This Row],[Sunset Time (POA&lt;20 W/m2)]]-TA[[#This Row],[Sunrise Time (POA&gt;20 W/m2)]])*24,"")</f>
        <v>10.7</v>
      </c>
      <c r="L802" s="2" t="s">
        <v>294</v>
      </c>
      <c r="M802" s="42">
        <f>IFERROR(VLOOKUP(TA[[#This Row],[Affected Equipment]],'Basic Data'!$I$2:$K$40,3,0),"")</f>
        <v>1.7241379310344799E-3</v>
      </c>
      <c r="N802">
        <v>-28</v>
      </c>
      <c r="O802" t="s">
        <v>133</v>
      </c>
      <c r="P802" s="127" t="s">
        <v>316</v>
      </c>
      <c r="Q802" s="126" t="s">
        <v>316</v>
      </c>
      <c r="R802">
        <v>118</v>
      </c>
      <c r="S802" s="2">
        <v>22</v>
      </c>
      <c r="T802" t="s">
        <v>295</v>
      </c>
      <c r="U802" t="s">
        <v>300</v>
      </c>
      <c r="V802" t="s">
        <v>298</v>
      </c>
      <c r="W802" s="41"/>
      <c r="X802" s="41"/>
      <c r="Y802" s="34"/>
      <c r="Z802" s="34"/>
      <c r="AA802" s="35">
        <f>IF(TA[[#This Row],[Work Start time on Fault]]="NA","",(TA[[#This Row],[Fault Acknowledgement Time ]]-TA[[#This Row],[Fault Time]])*24)</f>
        <v>0</v>
      </c>
      <c r="AB802" s="35">
        <f>(TA[[#This Row],[Work Start time on Fault]]-TA[[#This Row],[Fault Time]])*24</f>
        <v>0</v>
      </c>
      <c r="AC802" s="34">
        <f>(TA[[#This Row],[Work Completion time on fault]]-TA[[#This Row],[Fault Time]])*24</f>
        <v>0</v>
      </c>
      <c r="AD802" s="35">
        <f>IFERROR((TA[[#This Row],[Work Completion time on fault]]-TA[[#This Row],[Fault Time]])*24,"")</f>
        <v>0</v>
      </c>
      <c r="AE802" t="s">
        <v>328</v>
      </c>
      <c r="AF802" t="s">
        <v>256</v>
      </c>
      <c r="AG802" s="2"/>
      <c r="AH802" s="44">
        <f>1-COS(RADIANS(TA[[#This Row],[Avg. Target Angle during Fault Time (Radians)]]-TA[[#This Row],[Angle of affected equipment ]]))</f>
        <v>0.11705240714107301</v>
      </c>
      <c r="AI802" s="35">
        <f>IFERROR(TA[[#This Row],[Breakdown Time]]*TA[[#This Row],[Plant Equivalent Weightage]],"")</f>
        <v>0</v>
      </c>
    </row>
    <row r="803" spans="1:35">
      <c r="A803" s="2">
        <f t="shared" si="56"/>
        <v>800</v>
      </c>
      <c r="B803" s="156">
        <f t="shared" si="63"/>
        <v>2026</v>
      </c>
      <c r="C803" s="129">
        <f t="shared" si="64"/>
        <v>2025</v>
      </c>
      <c r="D803" s="2" t="s">
        <v>155</v>
      </c>
      <c r="E803" s="2" t="s">
        <v>155</v>
      </c>
      <c r="F803" s="39">
        <v>45778</v>
      </c>
      <c r="G803" s="2">
        <f>DAY(EOMONTH(TA[[#This Row],[Month Year]],0))</f>
        <v>31</v>
      </c>
      <c r="H803" s="21">
        <v>45799</v>
      </c>
      <c r="I803" s="41">
        <f>IFERROR(VLOOKUP(TA[[#This Row],[Date]],Raw_Data[[Date]:[Sunset Time (POA&lt;20 W/m2)]],3,0),"")</f>
        <v>0.27986111111111112</v>
      </c>
      <c r="J803" s="41">
        <f>IFERROR(VLOOKUP(TA[[#This Row],[Date]],Raw_Data[[Date]:[Sunset Time (POA&lt;20 W/m2)]],4,0),"")</f>
        <v>0.72569444444444442</v>
      </c>
      <c r="K803" s="35">
        <f>IFERROR((TA[[#This Row],[Sunset Time (POA&lt;20 W/m2)]]-TA[[#This Row],[Sunrise Time (POA&gt;20 W/m2)]])*24,"")</f>
        <v>10.7</v>
      </c>
      <c r="L803" s="2" t="s">
        <v>296</v>
      </c>
      <c r="M803" s="42">
        <f>IFERROR(VLOOKUP(TA[[#This Row],[Affected Equipment]],'Basic Data'!$I$2:$K$40,3,0),"")</f>
        <v>8.6206896551724102E-3</v>
      </c>
      <c r="N803">
        <v>-28</v>
      </c>
      <c r="O803" t="s">
        <v>135</v>
      </c>
      <c r="P803" s="22" t="s">
        <v>323</v>
      </c>
      <c r="Q803" s="2" t="s">
        <v>329</v>
      </c>
      <c r="R803">
        <v>45</v>
      </c>
      <c r="S803" s="2">
        <v>8</v>
      </c>
      <c r="T803" t="s">
        <v>297</v>
      </c>
      <c r="U803" t="s">
        <v>300</v>
      </c>
      <c r="V803" t="s">
        <v>301</v>
      </c>
      <c r="W803" s="41"/>
      <c r="X803" s="41"/>
      <c r="Y803" s="34"/>
      <c r="Z803" s="34"/>
      <c r="AA803" s="35">
        <f>IF(TA[[#This Row],[Work Start time on Fault]]="NA","",(TA[[#This Row],[Fault Acknowledgement Time ]]-TA[[#This Row],[Fault Time]])*24)</f>
        <v>0</v>
      </c>
      <c r="AB803" s="35">
        <f>(TA[[#This Row],[Work Start time on Fault]]-TA[[#This Row],[Fault Time]])*24</f>
        <v>0</v>
      </c>
      <c r="AC803" s="34">
        <f>(TA[[#This Row],[Work Completion time on fault]]-TA[[#This Row],[Fault Time]])*24</f>
        <v>0</v>
      </c>
      <c r="AD803" s="35">
        <f>IFERROR((TA[[#This Row],[Work Completion time on fault]]-TA[[#This Row],[Fault Time]])*24,"")</f>
        <v>0</v>
      </c>
      <c r="AE803" t="s">
        <v>328</v>
      </c>
      <c r="AF803" t="s">
        <v>256</v>
      </c>
      <c r="AG803" s="2"/>
      <c r="AH803" s="44">
        <f>1-COS(RADIANS(TA[[#This Row],[Avg. Target Angle during Fault Time (Radians)]]-TA[[#This Row],[Angle of affected equipment ]]))</f>
        <v>0.11705240714107301</v>
      </c>
      <c r="AI803" s="35">
        <f>IFERROR(TA[[#This Row],[Breakdown Time]]*TA[[#This Row],[Plant Equivalent Weightage]],"")</f>
        <v>0</v>
      </c>
    </row>
    <row r="804" spans="1:35">
      <c r="A804" s="2">
        <f t="shared" si="56"/>
        <v>801</v>
      </c>
      <c r="B804" s="156">
        <f t="shared" si="63"/>
        <v>2026</v>
      </c>
      <c r="C804" s="129">
        <f t="shared" si="64"/>
        <v>2025</v>
      </c>
      <c r="D804" s="2" t="s">
        <v>155</v>
      </c>
      <c r="E804" s="2" t="s">
        <v>155</v>
      </c>
      <c r="F804" s="39">
        <v>45778</v>
      </c>
      <c r="G804" s="2">
        <f>DAY(EOMONTH(TA[[#This Row],[Month Year]],0))</f>
        <v>31</v>
      </c>
      <c r="H804" s="21">
        <v>45799</v>
      </c>
      <c r="I804" s="41">
        <f>IFERROR(VLOOKUP(TA[[#This Row],[Date]],Raw_Data[[Date]:[Sunset Time (POA&lt;20 W/m2)]],3,0),"")</f>
        <v>0.27986111111111112</v>
      </c>
      <c r="J804" s="41">
        <f>IFERROR(VLOOKUP(TA[[#This Row],[Date]],Raw_Data[[Date]:[Sunset Time (POA&lt;20 W/m2)]],4,0),"")</f>
        <v>0.72569444444444442</v>
      </c>
      <c r="K804" s="35">
        <f>IFERROR((TA[[#This Row],[Sunset Time (POA&lt;20 W/m2)]]-TA[[#This Row],[Sunrise Time (POA&gt;20 W/m2)]])*24,"")</f>
        <v>10.7</v>
      </c>
      <c r="L804" s="2" t="s">
        <v>296</v>
      </c>
      <c r="M804" s="42">
        <f>IFERROR(VLOOKUP(TA[[#This Row],[Affected Equipment]],'Basic Data'!$I$2:$K$40,3,0),"")</f>
        <v>8.6206896551724102E-3</v>
      </c>
      <c r="N804">
        <v>-28</v>
      </c>
      <c r="O804" t="s">
        <v>135</v>
      </c>
      <c r="P804" s="22" t="s">
        <v>323</v>
      </c>
      <c r="Q804" s="2" t="s">
        <v>329</v>
      </c>
      <c r="R804">
        <v>47</v>
      </c>
      <c r="S804" s="2">
        <v>18</v>
      </c>
      <c r="T804" t="s">
        <v>297</v>
      </c>
      <c r="U804" t="s">
        <v>300</v>
      </c>
      <c r="V804" t="s">
        <v>301</v>
      </c>
      <c r="W804" s="41"/>
      <c r="X804" s="41"/>
      <c r="Y804" s="34"/>
      <c r="Z804" s="34"/>
      <c r="AA804" s="35">
        <f>IF(TA[[#This Row],[Work Start time on Fault]]="NA","",(TA[[#This Row],[Fault Acknowledgement Time ]]-TA[[#This Row],[Fault Time]])*24)</f>
        <v>0</v>
      </c>
      <c r="AB804" s="35">
        <f>(TA[[#This Row],[Work Start time on Fault]]-TA[[#This Row],[Fault Time]])*24</f>
        <v>0</v>
      </c>
      <c r="AC804" s="34">
        <f>(TA[[#This Row],[Work Completion time on fault]]-TA[[#This Row],[Fault Time]])*24</f>
        <v>0</v>
      </c>
      <c r="AD804" s="35">
        <f>IFERROR((TA[[#This Row],[Work Completion time on fault]]-TA[[#This Row],[Fault Time]])*24,"")</f>
        <v>0</v>
      </c>
      <c r="AE804" t="s">
        <v>328</v>
      </c>
      <c r="AF804" t="s">
        <v>256</v>
      </c>
      <c r="AG804" s="2"/>
      <c r="AH804" s="44">
        <f>1-COS(RADIANS(TA[[#This Row],[Avg. Target Angle during Fault Time (Radians)]]-TA[[#This Row],[Angle of affected equipment ]]))</f>
        <v>0.11705240714107301</v>
      </c>
      <c r="AI804" s="35">
        <f>IFERROR(TA[[#This Row],[Breakdown Time]]*TA[[#This Row],[Plant Equivalent Weightage]],"")</f>
        <v>0</v>
      </c>
    </row>
    <row r="805" spans="1:35">
      <c r="A805" s="2">
        <f t="shared" si="56"/>
        <v>802</v>
      </c>
      <c r="B805" s="156">
        <f t="shared" si="63"/>
        <v>2026</v>
      </c>
      <c r="C805" s="129">
        <f t="shared" si="64"/>
        <v>2025</v>
      </c>
      <c r="D805" s="2" t="s">
        <v>155</v>
      </c>
      <c r="E805" s="2" t="s">
        <v>155</v>
      </c>
      <c r="F805" s="39">
        <v>45778</v>
      </c>
      <c r="G805" s="2">
        <f>DAY(EOMONTH(TA[[#This Row],[Month Year]],0))</f>
        <v>31</v>
      </c>
      <c r="H805" s="21">
        <v>45799</v>
      </c>
      <c r="I805" s="41">
        <f>IFERROR(VLOOKUP(TA[[#This Row],[Date]],Raw_Data[[Date]:[Sunset Time (POA&lt;20 W/m2)]],3,0),"")</f>
        <v>0.27986111111111112</v>
      </c>
      <c r="J805" s="41">
        <f>IFERROR(VLOOKUP(TA[[#This Row],[Date]],Raw_Data[[Date]:[Sunset Time (POA&lt;20 W/m2)]],4,0),"")</f>
        <v>0.72569444444444442</v>
      </c>
      <c r="K805" s="35">
        <f>IFERROR((TA[[#This Row],[Sunset Time (POA&lt;20 W/m2)]]-TA[[#This Row],[Sunrise Time (POA&gt;20 W/m2)]])*24,"")</f>
        <v>10.7</v>
      </c>
      <c r="L805" s="2" t="s">
        <v>296</v>
      </c>
      <c r="M805" s="42">
        <f>IFERROR(VLOOKUP(TA[[#This Row],[Affected Equipment]],'Basic Data'!$I$2:$K$40,3,0),"")</f>
        <v>8.6206896551724102E-3</v>
      </c>
      <c r="N805">
        <v>-28</v>
      </c>
      <c r="O805" t="s">
        <v>134</v>
      </c>
      <c r="P805" s="22" t="s">
        <v>330</v>
      </c>
      <c r="Q805" s="2" t="s">
        <v>323</v>
      </c>
      <c r="R805">
        <v>30</v>
      </c>
      <c r="S805" s="2">
        <v>57</v>
      </c>
      <c r="T805" t="s">
        <v>297</v>
      </c>
      <c r="U805" t="s">
        <v>300</v>
      </c>
      <c r="V805" t="s">
        <v>301</v>
      </c>
      <c r="W805" s="41"/>
      <c r="X805" s="41"/>
      <c r="Y805" s="34"/>
      <c r="Z805" s="34"/>
      <c r="AA805" s="35">
        <f>IF(TA[[#This Row],[Work Start time on Fault]]="NA","",(TA[[#This Row],[Fault Acknowledgement Time ]]-TA[[#This Row],[Fault Time]])*24)</f>
        <v>0</v>
      </c>
      <c r="AB805" s="35">
        <f>(TA[[#This Row],[Work Start time on Fault]]-TA[[#This Row],[Fault Time]])*24</f>
        <v>0</v>
      </c>
      <c r="AC805" s="34">
        <f>(TA[[#This Row],[Work Completion time on fault]]-TA[[#This Row],[Fault Time]])*24</f>
        <v>0</v>
      </c>
      <c r="AD805" s="35">
        <f>IFERROR((TA[[#This Row],[Work Completion time on fault]]-TA[[#This Row],[Fault Time]])*24,"")</f>
        <v>0</v>
      </c>
      <c r="AE805" t="s">
        <v>328</v>
      </c>
      <c r="AF805" t="s">
        <v>256</v>
      </c>
      <c r="AG805" s="2"/>
      <c r="AH805" s="44">
        <f>1-COS(RADIANS(TA[[#This Row],[Avg. Target Angle during Fault Time (Radians)]]-TA[[#This Row],[Angle of affected equipment ]]))</f>
        <v>0.11705240714107301</v>
      </c>
      <c r="AI805" s="35">
        <f>IFERROR(TA[[#This Row],[Breakdown Time]]*TA[[#This Row],[Plant Equivalent Weightage]],"")</f>
        <v>0</v>
      </c>
    </row>
    <row r="806" spans="1:35">
      <c r="A806" s="2">
        <f t="shared" si="56"/>
        <v>803</v>
      </c>
      <c r="B806" s="156">
        <f t="shared" si="63"/>
        <v>2026</v>
      </c>
      <c r="C806" s="129">
        <f t="shared" si="64"/>
        <v>2025</v>
      </c>
      <c r="D806" s="2" t="s">
        <v>155</v>
      </c>
      <c r="E806" s="2" t="s">
        <v>155</v>
      </c>
      <c r="F806" s="39">
        <v>45778</v>
      </c>
      <c r="G806" s="2">
        <f>DAY(EOMONTH(TA[[#This Row],[Month Year]],0))</f>
        <v>31</v>
      </c>
      <c r="H806" s="21">
        <v>45799</v>
      </c>
      <c r="I806" s="41">
        <f>IFERROR(VLOOKUP(TA[[#This Row],[Date]],Raw_Data[[Date]:[Sunset Time (POA&lt;20 W/m2)]],3,0),"")</f>
        <v>0.27986111111111112</v>
      </c>
      <c r="J806" s="41">
        <f>IFERROR(VLOOKUP(TA[[#This Row],[Date]],Raw_Data[[Date]:[Sunset Time (POA&lt;20 W/m2)]],4,0),"")</f>
        <v>0.72569444444444442</v>
      </c>
      <c r="K806" s="35">
        <f>IFERROR((TA[[#This Row],[Sunset Time (POA&lt;20 W/m2)]]-TA[[#This Row],[Sunrise Time (POA&gt;20 W/m2)]])*24,"")</f>
        <v>10.7</v>
      </c>
      <c r="L806" s="2" t="s">
        <v>296</v>
      </c>
      <c r="M806" s="42">
        <f>IFERROR(VLOOKUP(TA[[#This Row],[Affected Equipment]],'Basic Data'!$I$2:$K$40,3,0),"")</f>
        <v>8.6206896551724102E-3</v>
      </c>
      <c r="N806">
        <v>-28</v>
      </c>
      <c r="O806" t="s">
        <v>134</v>
      </c>
      <c r="P806" s="22" t="s">
        <v>330</v>
      </c>
      <c r="Q806" s="2" t="s">
        <v>323</v>
      </c>
      <c r="R806">
        <v>31</v>
      </c>
      <c r="S806" s="2">
        <v>61</v>
      </c>
      <c r="T806" t="s">
        <v>297</v>
      </c>
      <c r="U806" t="s">
        <v>300</v>
      </c>
      <c r="V806" t="s">
        <v>301</v>
      </c>
      <c r="W806" s="41"/>
      <c r="X806" s="41"/>
      <c r="Y806" s="34"/>
      <c r="Z806" s="34"/>
      <c r="AA806" s="35">
        <f>IF(TA[[#This Row],[Work Start time on Fault]]="NA","",(TA[[#This Row],[Fault Acknowledgement Time ]]-TA[[#This Row],[Fault Time]])*24)</f>
        <v>0</v>
      </c>
      <c r="AB806" s="35">
        <f>(TA[[#This Row],[Work Start time on Fault]]-TA[[#This Row],[Fault Time]])*24</f>
        <v>0</v>
      </c>
      <c r="AC806" s="34">
        <f>(TA[[#This Row],[Work Completion time on fault]]-TA[[#This Row],[Fault Time]])*24</f>
        <v>0</v>
      </c>
      <c r="AD806" s="35">
        <f>IFERROR((TA[[#This Row],[Work Completion time on fault]]-TA[[#This Row],[Fault Time]])*24,"")</f>
        <v>0</v>
      </c>
      <c r="AE806" t="s">
        <v>328</v>
      </c>
      <c r="AF806" t="s">
        <v>256</v>
      </c>
      <c r="AG806" s="2"/>
      <c r="AH806" s="44">
        <f>1-COS(RADIANS(TA[[#This Row],[Avg. Target Angle during Fault Time (Radians)]]-TA[[#This Row],[Angle of affected equipment ]]))</f>
        <v>0.11705240714107301</v>
      </c>
      <c r="AI806" s="35">
        <f>IFERROR(TA[[#This Row],[Breakdown Time]]*TA[[#This Row],[Plant Equivalent Weightage]],"")</f>
        <v>0</v>
      </c>
    </row>
    <row r="807" spans="1:35">
      <c r="A807" s="2">
        <f t="shared" ref="A807:A870" si="65">A806+1</f>
        <v>804</v>
      </c>
      <c r="B807" s="156">
        <f t="shared" si="63"/>
        <v>2026</v>
      </c>
      <c r="C807" s="129">
        <f t="shared" si="64"/>
        <v>2025</v>
      </c>
      <c r="D807" s="2" t="s">
        <v>155</v>
      </c>
      <c r="E807" s="2" t="s">
        <v>155</v>
      </c>
      <c r="F807" s="39">
        <v>45778</v>
      </c>
      <c r="G807" s="2">
        <f>DAY(EOMONTH(TA[[#This Row],[Month Year]],0))</f>
        <v>31</v>
      </c>
      <c r="H807" s="21">
        <v>45799</v>
      </c>
      <c r="I807" s="41">
        <f>IFERROR(VLOOKUP(TA[[#This Row],[Date]],Raw_Data[[Date]:[Sunset Time (POA&lt;20 W/m2)]],3,0),"")</f>
        <v>0.27986111111111112</v>
      </c>
      <c r="J807" s="41">
        <f>IFERROR(VLOOKUP(TA[[#This Row],[Date]],Raw_Data[[Date]:[Sunset Time (POA&lt;20 W/m2)]],4,0),"")</f>
        <v>0.72569444444444442</v>
      </c>
      <c r="K807" s="35">
        <f>IFERROR((TA[[#This Row],[Sunset Time (POA&lt;20 W/m2)]]-TA[[#This Row],[Sunrise Time (POA&gt;20 W/m2)]])*24,"")</f>
        <v>10.7</v>
      </c>
      <c r="L807" s="2" t="s">
        <v>312</v>
      </c>
      <c r="M807" s="42">
        <f>IFERROR(VLOOKUP(TA[[#This Row],[Affected Equipment]],'Basic Data'!$I$2:$K$40,3,0),"")</f>
        <v>5.74712643678161E-3</v>
      </c>
      <c r="N807">
        <v>-28</v>
      </c>
      <c r="O807" t="s">
        <v>133</v>
      </c>
      <c r="P807" s="22" t="s">
        <v>330</v>
      </c>
      <c r="Q807" s="2" t="s">
        <v>323</v>
      </c>
      <c r="R807">
        <v>26</v>
      </c>
      <c r="S807" s="2">
        <v>37</v>
      </c>
      <c r="T807" t="s">
        <v>297</v>
      </c>
      <c r="U807" t="s">
        <v>300</v>
      </c>
      <c r="V807" t="s">
        <v>301</v>
      </c>
      <c r="W807" s="41"/>
      <c r="X807" s="41"/>
      <c r="Y807" s="34"/>
      <c r="Z807" s="34"/>
      <c r="AA807" s="35">
        <f>IF(TA[[#This Row],[Work Start time on Fault]]="NA","",(TA[[#This Row],[Fault Acknowledgement Time ]]-TA[[#This Row],[Fault Time]])*24)</f>
        <v>0</v>
      </c>
      <c r="AB807" s="35">
        <f>(TA[[#This Row],[Work Start time on Fault]]-TA[[#This Row],[Fault Time]])*24</f>
        <v>0</v>
      </c>
      <c r="AC807" s="34">
        <f>(TA[[#This Row],[Work Completion time on fault]]-TA[[#This Row],[Fault Time]])*24</f>
        <v>0</v>
      </c>
      <c r="AD807" s="35">
        <f>IFERROR((TA[[#This Row],[Work Completion time on fault]]-TA[[#This Row],[Fault Time]])*24,"")</f>
        <v>0</v>
      </c>
      <c r="AE807" t="s">
        <v>328</v>
      </c>
      <c r="AF807" t="s">
        <v>256</v>
      </c>
      <c r="AG807" s="2"/>
      <c r="AH807" s="44">
        <f>1-COS(RADIANS(TA[[#This Row],[Avg. Target Angle during Fault Time (Radians)]]-TA[[#This Row],[Angle of affected equipment ]]))</f>
        <v>0.11705240714107301</v>
      </c>
      <c r="AI807" s="35">
        <f>IFERROR(TA[[#This Row],[Breakdown Time]]*TA[[#This Row],[Plant Equivalent Weightage]],"")</f>
        <v>0</v>
      </c>
    </row>
    <row r="808" spans="1:35">
      <c r="A808" s="2">
        <f t="shared" si="65"/>
        <v>805</v>
      </c>
      <c r="B808" s="156">
        <f t="shared" si="63"/>
        <v>2026</v>
      </c>
      <c r="C808" s="129">
        <f t="shared" si="64"/>
        <v>2025</v>
      </c>
      <c r="D808" s="2" t="s">
        <v>155</v>
      </c>
      <c r="E808" s="2" t="s">
        <v>155</v>
      </c>
      <c r="F808" s="39">
        <v>45778</v>
      </c>
      <c r="G808" s="2">
        <f>DAY(EOMONTH(TA[[#This Row],[Month Year]],0))</f>
        <v>31</v>
      </c>
      <c r="H808" s="21">
        <v>45799</v>
      </c>
      <c r="I808" s="41">
        <f>IFERROR(VLOOKUP(TA[[#This Row],[Date]],Raw_Data[[Date]:[Sunset Time (POA&lt;20 W/m2)]],3,0),"")</f>
        <v>0.27986111111111112</v>
      </c>
      <c r="J808" s="41">
        <f>IFERROR(VLOOKUP(TA[[#This Row],[Date]],Raw_Data[[Date]:[Sunset Time (POA&lt;20 W/m2)]],4,0),"")</f>
        <v>0.72569444444444442</v>
      </c>
      <c r="K808" s="35">
        <f>IFERROR((TA[[#This Row],[Sunset Time (POA&lt;20 W/m2)]]-TA[[#This Row],[Sunrise Time (POA&gt;20 W/m2)]])*24,"")</f>
        <v>10.7</v>
      </c>
      <c r="L808" s="2" t="s">
        <v>312</v>
      </c>
      <c r="M808" s="42">
        <f>IFERROR(VLOOKUP(TA[[#This Row],[Affected Equipment]],'Basic Data'!$I$2:$K$40,3,0),"")</f>
        <v>5.74712643678161E-3</v>
      </c>
      <c r="N808">
        <v>-28</v>
      </c>
      <c r="O808" t="s">
        <v>133</v>
      </c>
      <c r="P808" s="22" t="s">
        <v>330</v>
      </c>
      <c r="Q808" s="2" t="s">
        <v>323</v>
      </c>
      <c r="R808">
        <v>27</v>
      </c>
      <c r="S808" s="2">
        <v>42</v>
      </c>
      <c r="T808" t="s">
        <v>297</v>
      </c>
      <c r="U808" t="s">
        <v>300</v>
      </c>
      <c r="V808" t="s">
        <v>301</v>
      </c>
      <c r="W808" s="41">
        <f>IFERROR(VLOOKUP(TA[[#This Row],[Date]],Raw_Data[[Date]:[Sunset Time (POA&lt;20 W/m2)]],3,0),"")</f>
        <v>0.27986111111111112</v>
      </c>
      <c r="X808" s="41">
        <f>IFERROR(VLOOKUP(TA[[#This Row],[Date]],Raw_Data[[Date]:[Sunset Time (POA&lt;20 W/m2)]],3,0),"")</f>
        <v>0.27986111111111112</v>
      </c>
      <c r="Y808" s="34"/>
      <c r="Z808" s="34">
        <v>0.76041666666666663</v>
      </c>
      <c r="AA808" s="35">
        <f>IF(TA[[#This Row],[Work Start time on Fault]]="NA","",(TA[[#This Row],[Fault Acknowledgement Time ]]-TA[[#This Row],[Fault Time]])*24)</f>
        <v>0</v>
      </c>
      <c r="AB808" s="35">
        <f>(TA[[#This Row],[Work Start time on Fault]]-TA[[#This Row],[Fault Time]])*24</f>
        <v>-6.7166666666666668</v>
      </c>
      <c r="AC808" s="34">
        <f>(TA[[#This Row],[Work Completion time on fault]]-TA[[#This Row],[Fault Time]])*24</f>
        <v>11.533333333333331</v>
      </c>
      <c r="AD808" s="35">
        <f>IFERROR((TA[[#This Row],[Work Completion time on fault]]-TA[[#This Row],[Fault Time]])*24,"")</f>
        <v>11.533333333333331</v>
      </c>
      <c r="AE808" t="s">
        <v>309</v>
      </c>
      <c r="AF808" t="s">
        <v>256</v>
      </c>
      <c r="AG808" s="2"/>
      <c r="AH808" s="44">
        <f>1-COS(RADIANS(TA[[#This Row],[Avg. Target Angle during Fault Time (Radians)]]-TA[[#This Row],[Angle of affected equipment ]]))</f>
        <v>0.11705240714107301</v>
      </c>
      <c r="AI808" s="35">
        <f>IFERROR(TA[[#This Row],[Breakdown Time]]*TA[[#This Row],[Plant Equivalent Weightage]],"")</f>
        <v>6.6283524904214561E-2</v>
      </c>
    </row>
    <row r="809" spans="1:35">
      <c r="A809" s="2">
        <f t="shared" si="65"/>
        <v>806</v>
      </c>
      <c r="B809" s="156">
        <f t="shared" ref="B809:B823" si="66">YEAR(H809)+IF(MONTH(H809)&gt;=4,1,0)</f>
        <v>2026</v>
      </c>
      <c r="C809" s="129">
        <f t="shared" ref="C809:C823" si="67">YEAR(H809)</f>
        <v>2025</v>
      </c>
      <c r="D809" s="2" t="s">
        <v>155</v>
      </c>
      <c r="E809" s="2" t="s">
        <v>155</v>
      </c>
      <c r="F809" s="39">
        <v>45778</v>
      </c>
      <c r="G809" s="2">
        <f>DAY(EOMONTH(TA[[#This Row],[Month Year]],0))</f>
        <v>31</v>
      </c>
      <c r="H809" s="21">
        <v>45799</v>
      </c>
      <c r="I809" s="41">
        <f>IFERROR(VLOOKUP(TA[[#This Row],[Date]],Raw_Data[[Date]:[Sunset Time (POA&lt;20 W/m2)]],3,0),"")</f>
        <v>0.27986111111111112</v>
      </c>
      <c r="J809" s="41">
        <f>IFERROR(VLOOKUP(TA[[#This Row],[Date]],Raw_Data[[Date]:[Sunset Time (POA&lt;20 W/m2)]],4,0),"")</f>
        <v>0.72569444444444442</v>
      </c>
      <c r="K809" s="35">
        <f>IFERROR((TA[[#This Row],[Sunset Time (POA&lt;20 W/m2)]]-TA[[#This Row],[Sunrise Time (POA&gt;20 W/m2)]])*24,"")</f>
        <v>10.7</v>
      </c>
      <c r="L809" s="2" t="s">
        <v>294</v>
      </c>
      <c r="M809" s="42">
        <f>IFERROR(VLOOKUP(TA[[#This Row],[Affected Equipment]],'Basic Data'!$I$2:$K$40,3,0),"")</f>
        <v>1.7241379310344799E-3</v>
      </c>
      <c r="N809">
        <v>-28</v>
      </c>
      <c r="O809" t="s">
        <v>134</v>
      </c>
      <c r="P809" s="127" t="s">
        <v>316</v>
      </c>
      <c r="Q809" s="126" t="s">
        <v>317</v>
      </c>
      <c r="R809">
        <v>12</v>
      </c>
      <c r="S809" s="2">
        <v>69</v>
      </c>
      <c r="T809" t="s">
        <v>295</v>
      </c>
      <c r="U809" t="s">
        <v>300</v>
      </c>
      <c r="V809" t="s">
        <v>298</v>
      </c>
      <c r="W809" s="41">
        <f>IFERROR(VLOOKUP(TA[[#This Row],[Date]],Raw_Data[[Date]:[Sunset Time (POA&lt;20 W/m2)]],3,0),"")</f>
        <v>0.27986111111111112</v>
      </c>
      <c r="X809" s="41">
        <f>IFERROR(VLOOKUP(TA[[#This Row],[Date]],Raw_Data[[Date]:[Sunset Time (POA&lt;20 W/m2)]],3,0),"")</f>
        <v>0.27986111111111112</v>
      </c>
      <c r="Y809" s="34">
        <v>0.64583333333333337</v>
      </c>
      <c r="Z809" s="34">
        <v>0.66319444444444442</v>
      </c>
      <c r="AA809" s="35">
        <f>IF(TA[[#This Row],[Work Start time on Fault]]="NA","",(TA[[#This Row],[Fault Acknowledgement Time ]]-TA[[#This Row],[Fault Time]])*24)</f>
        <v>0</v>
      </c>
      <c r="AB809" s="35">
        <f>(TA[[#This Row],[Work Start time on Fault]]-TA[[#This Row],[Fault Time]])*24</f>
        <v>8.783333333333335</v>
      </c>
      <c r="AC809" s="34">
        <f>(TA[[#This Row],[Work Completion time on fault]]-TA[[#This Row],[Fault Time]])*24</f>
        <v>9.1999999999999993</v>
      </c>
      <c r="AD809" s="35">
        <f>IFERROR((TA[[#This Row],[Work Completion time on fault]]-TA[[#This Row],[Fault Time]])*24,"")</f>
        <v>9.1999999999999993</v>
      </c>
      <c r="AE809" t="s">
        <v>328</v>
      </c>
      <c r="AF809" t="s">
        <v>256</v>
      </c>
      <c r="AG809" s="2"/>
      <c r="AH809" s="44">
        <f>1-COS(RADIANS(TA[[#This Row],[Avg. Target Angle during Fault Time (Radians)]]-TA[[#This Row],[Angle of affected equipment ]]))</f>
        <v>0.11705240714107301</v>
      </c>
      <c r="AI809" s="35">
        <f>IFERROR(TA[[#This Row],[Breakdown Time]]*TA[[#This Row],[Plant Equivalent Weightage]],"")</f>
        <v>1.5862068965517215E-2</v>
      </c>
    </row>
    <row r="810" spans="1:35">
      <c r="A810" s="2">
        <f t="shared" si="65"/>
        <v>807</v>
      </c>
      <c r="B810" s="156">
        <f t="shared" si="66"/>
        <v>2026</v>
      </c>
      <c r="C810" s="129">
        <f t="shared" si="67"/>
        <v>2025</v>
      </c>
      <c r="D810" s="2" t="s">
        <v>155</v>
      </c>
      <c r="E810" s="2" t="s">
        <v>155</v>
      </c>
      <c r="F810" s="39">
        <v>45778</v>
      </c>
      <c r="G810" s="2">
        <f>DAY(EOMONTH(TA[[#This Row],[Month Year]],0))</f>
        <v>31</v>
      </c>
      <c r="H810" s="21">
        <v>45800</v>
      </c>
      <c r="I810" s="41">
        <f>IFERROR(VLOOKUP(TA[[#This Row],[Date]],Raw_Data[[Date]:[Sunset Time (POA&lt;20 W/m2)]],3,0),"")</f>
        <v>0.25208333333333333</v>
      </c>
      <c r="J810" s="41">
        <f>IFERROR(VLOOKUP(TA[[#This Row],[Date]],Raw_Data[[Date]:[Sunset Time (POA&lt;20 W/m2)]],4,0),"")</f>
        <v>0.77777777777777779</v>
      </c>
      <c r="K810" s="35">
        <f>IFERROR((TA[[#This Row],[Sunset Time (POA&lt;20 W/m2)]]-TA[[#This Row],[Sunrise Time (POA&gt;20 W/m2)]])*24,"")</f>
        <v>12.616666666666667</v>
      </c>
      <c r="L810" s="2" t="s">
        <v>294</v>
      </c>
      <c r="M810" s="42">
        <f>IFERROR(VLOOKUP(TA[[#This Row],[Affected Equipment]],'Basic Data'!$I$2:$K$40,3,0),"")</f>
        <v>1.7241379310344799E-3</v>
      </c>
      <c r="N810">
        <v>-28</v>
      </c>
      <c r="O810" t="s">
        <v>135</v>
      </c>
      <c r="P810" s="127" t="s">
        <v>318</v>
      </c>
      <c r="Q810" s="126" t="s">
        <v>318</v>
      </c>
      <c r="R810">
        <v>130</v>
      </c>
      <c r="S810" s="2">
        <v>37</v>
      </c>
      <c r="T810" t="s">
        <v>295</v>
      </c>
      <c r="U810" t="s">
        <v>300</v>
      </c>
      <c r="V810" t="s">
        <v>298</v>
      </c>
      <c r="W810" s="41"/>
      <c r="X810" s="41"/>
      <c r="Y810" s="34"/>
      <c r="Z810" s="34"/>
      <c r="AA810" s="35">
        <f>IF(TA[[#This Row],[Work Start time on Fault]]="NA","",(TA[[#This Row],[Fault Acknowledgement Time ]]-TA[[#This Row],[Fault Time]])*24)</f>
        <v>0</v>
      </c>
      <c r="AB810" s="35">
        <f>(TA[[#This Row],[Work Start time on Fault]]-TA[[#This Row],[Fault Time]])*24</f>
        <v>0</v>
      </c>
      <c r="AC810" s="34">
        <f>(TA[[#This Row],[Work Completion time on fault]]-TA[[#This Row],[Fault Time]])*24</f>
        <v>0</v>
      </c>
      <c r="AD810" s="35">
        <f>IFERROR((TA[[#This Row],[Work Completion time on fault]]-TA[[#This Row],[Fault Time]])*24,"")</f>
        <v>0</v>
      </c>
      <c r="AE810" t="s">
        <v>328</v>
      </c>
      <c r="AF810" t="s">
        <v>256</v>
      </c>
      <c r="AG810" s="2"/>
      <c r="AH810" s="44">
        <f>1-COS(RADIANS(TA[[#This Row],[Avg. Target Angle during Fault Time (Radians)]]-TA[[#This Row],[Angle of affected equipment ]]))</f>
        <v>0.11705240714107301</v>
      </c>
      <c r="AI810" s="35">
        <f>IFERROR(TA[[#This Row],[Breakdown Time]]*TA[[#This Row],[Plant Equivalent Weightage]],"")</f>
        <v>0</v>
      </c>
    </row>
    <row r="811" spans="1:35">
      <c r="A811" s="2">
        <f t="shared" si="65"/>
        <v>808</v>
      </c>
      <c r="B811" s="156">
        <f t="shared" si="66"/>
        <v>2026</v>
      </c>
      <c r="C811" s="129">
        <f t="shared" si="67"/>
        <v>2025</v>
      </c>
      <c r="D811" s="2" t="s">
        <v>155</v>
      </c>
      <c r="E811" s="2" t="s">
        <v>155</v>
      </c>
      <c r="F811" s="39">
        <v>45778</v>
      </c>
      <c r="G811" s="2">
        <f>DAY(EOMONTH(TA[[#This Row],[Month Year]],0))</f>
        <v>31</v>
      </c>
      <c r="H811" s="21">
        <v>45800</v>
      </c>
      <c r="I811" s="41">
        <f>IFERROR(VLOOKUP(TA[[#This Row],[Date]],Raw_Data[[Date]:[Sunset Time (POA&lt;20 W/m2)]],3,0),"")</f>
        <v>0.25208333333333333</v>
      </c>
      <c r="J811" s="41">
        <f>IFERROR(VLOOKUP(TA[[#This Row],[Date]],Raw_Data[[Date]:[Sunset Time (POA&lt;20 W/m2)]],4,0),"")</f>
        <v>0.77777777777777779</v>
      </c>
      <c r="K811" s="35">
        <f>IFERROR((TA[[#This Row],[Sunset Time (POA&lt;20 W/m2)]]-TA[[#This Row],[Sunrise Time (POA&gt;20 W/m2)]])*24,"")</f>
        <v>12.616666666666667</v>
      </c>
      <c r="L811" s="2" t="s">
        <v>294</v>
      </c>
      <c r="M811" s="42">
        <f>IFERROR(VLOOKUP(TA[[#This Row],[Affected Equipment]],'Basic Data'!$I$2:$K$40,3,0),"")</f>
        <v>1.7241379310344799E-3</v>
      </c>
      <c r="N811">
        <v>-28</v>
      </c>
      <c r="O811" t="s">
        <v>135</v>
      </c>
      <c r="P811" s="127" t="s">
        <v>318</v>
      </c>
      <c r="Q811" s="126" t="s">
        <v>318</v>
      </c>
      <c r="R811">
        <v>131</v>
      </c>
      <c r="S811" s="2">
        <v>38</v>
      </c>
      <c r="T811" t="s">
        <v>295</v>
      </c>
      <c r="U811" t="s">
        <v>300</v>
      </c>
      <c r="V811" t="s">
        <v>298</v>
      </c>
      <c r="W811" s="41"/>
      <c r="X811" s="41"/>
      <c r="Y811" s="34"/>
      <c r="Z811" s="34"/>
      <c r="AA811" s="35">
        <f>IF(TA[[#This Row],[Work Start time on Fault]]="NA","",(TA[[#This Row],[Fault Acknowledgement Time ]]-TA[[#This Row],[Fault Time]])*24)</f>
        <v>0</v>
      </c>
      <c r="AB811" s="35">
        <f>(TA[[#This Row],[Work Start time on Fault]]-TA[[#This Row],[Fault Time]])*24</f>
        <v>0</v>
      </c>
      <c r="AC811" s="34">
        <f>(TA[[#This Row],[Work Completion time on fault]]-TA[[#This Row],[Fault Time]])*24</f>
        <v>0</v>
      </c>
      <c r="AD811" s="35">
        <f>IFERROR((TA[[#This Row],[Work Completion time on fault]]-TA[[#This Row],[Fault Time]])*24,"")</f>
        <v>0</v>
      </c>
      <c r="AE811" t="s">
        <v>328</v>
      </c>
      <c r="AF811" t="s">
        <v>256</v>
      </c>
      <c r="AG811" s="2"/>
      <c r="AH811" s="44">
        <f>1-COS(RADIANS(TA[[#This Row],[Avg. Target Angle during Fault Time (Radians)]]-TA[[#This Row],[Angle of affected equipment ]]))</f>
        <v>0.11705240714107301</v>
      </c>
      <c r="AI811" s="35">
        <f>IFERROR(TA[[#This Row],[Breakdown Time]]*TA[[#This Row],[Plant Equivalent Weightage]],"")</f>
        <v>0</v>
      </c>
    </row>
    <row r="812" spans="1:35">
      <c r="A812" s="2">
        <f t="shared" si="65"/>
        <v>809</v>
      </c>
      <c r="B812" s="156">
        <f t="shared" si="66"/>
        <v>2026</v>
      </c>
      <c r="C812" s="129">
        <f t="shared" si="67"/>
        <v>2025</v>
      </c>
      <c r="D812" s="2" t="s">
        <v>155</v>
      </c>
      <c r="E812" s="2" t="s">
        <v>155</v>
      </c>
      <c r="F812" s="39">
        <v>45778</v>
      </c>
      <c r="G812" s="2">
        <f>DAY(EOMONTH(TA[[#This Row],[Month Year]],0))</f>
        <v>31</v>
      </c>
      <c r="H812" s="21">
        <v>45800</v>
      </c>
      <c r="I812" s="41">
        <f>IFERROR(VLOOKUP(TA[[#This Row],[Date]],Raw_Data[[Date]:[Sunset Time (POA&lt;20 W/m2)]],3,0),"")</f>
        <v>0.25208333333333333</v>
      </c>
      <c r="J812" s="41">
        <f>IFERROR(VLOOKUP(TA[[#This Row],[Date]],Raw_Data[[Date]:[Sunset Time (POA&lt;20 W/m2)]],4,0),"")</f>
        <v>0.77777777777777779</v>
      </c>
      <c r="K812" s="35">
        <f>IFERROR((TA[[#This Row],[Sunset Time (POA&lt;20 W/m2)]]-TA[[#This Row],[Sunrise Time (POA&gt;20 W/m2)]])*24,"")</f>
        <v>12.616666666666667</v>
      </c>
      <c r="L812" s="2" t="s">
        <v>294</v>
      </c>
      <c r="M812" s="42">
        <f>IFERROR(VLOOKUP(TA[[#This Row],[Affected Equipment]],'Basic Data'!$I$2:$K$40,3,0),"")</f>
        <v>1.7241379310344799E-3</v>
      </c>
      <c r="N812">
        <v>-28</v>
      </c>
      <c r="O812" t="s">
        <v>135</v>
      </c>
      <c r="P812" s="127" t="s">
        <v>318</v>
      </c>
      <c r="Q812" s="126" t="s">
        <v>318</v>
      </c>
      <c r="R812">
        <v>131</v>
      </c>
      <c r="S812" s="2">
        <v>39</v>
      </c>
      <c r="T812" t="s">
        <v>295</v>
      </c>
      <c r="U812" t="s">
        <v>300</v>
      </c>
      <c r="V812" t="s">
        <v>298</v>
      </c>
      <c r="W812" s="41"/>
      <c r="X812" s="41"/>
      <c r="Y812" s="34"/>
      <c r="Z812" s="34"/>
      <c r="AA812" s="35">
        <f>IF(TA[[#This Row],[Work Start time on Fault]]="NA","",(TA[[#This Row],[Fault Acknowledgement Time ]]-TA[[#This Row],[Fault Time]])*24)</f>
        <v>0</v>
      </c>
      <c r="AB812" s="35">
        <f>(TA[[#This Row],[Work Start time on Fault]]-TA[[#This Row],[Fault Time]])*24</f>
        <v>0</v>
      </c>
      <c r="AC812" s="34">
        <f>(TA[[#This Row],[Work Completion time on fault]]-TA[[#This Row],[Fault Time]])*24</f>
        <v>0</v>
      </c>
      <c r="AD812" s="35">
        <f>IFERROR((TA[[#This Row],[Work Completion time on fault]]-TA[[#This Row],[Fault Time]])*24,"")</f>
        <v>0</v>
      </c>
      <c r="AE812" t="s">
        <v>328</v>
      </c>
      <c r="AF812" t="s">
        <v>256</v>
      </c>
      <c r="AG812" s="2"/>
      <c r="AH812" s="44">
        <f>1-COS(RADIANS(TA[[#This Row],[Avg. Target Angle during Fault Time (Radians)]]-TA[[#This Row],[Angle of affected equipment ]]))</f>
        <v>0.11705240714107301</v>
      </c>
      <c r="AI812" s="35">
        <f>IFERROR(TA[[#This Row],[Breakdown Time]]*TA[[#This Row],[Plant Equivalent Weightage]],"")</f>
        <v>0</v>
      </c>
    </row>
    <row r="813" spans="1:35">
      <c r="A813" s="2">
        <f t="shared" si="65"/>
        <v>810</v>
      </c>
      <c r="B813" s="156">
        <f t="shared" si="66"/>
        <v>2026</v>
      </c>
      <c r="C813" s="129">
        <f t="shared" si="67"/>
        <v>2025</v>
      </c>
      <c r="D813" s="2" t="s">
        <v>155</v>
      </c>
      <c r="E813" s="2" t="s">
        <v>155</v>
      </c>
      <c r="F813" s="39">
        <v>45778</v>
      </c>
      <c r="G813" s="2">
        <f>DAY(EOMONTH(TA[[#This Row],[Month Year]],0))</f>
        <v>31</v>
      </c>
      <c r="H813" s="21">
        <v>45800</v>
      </c>
      <c r="I813" s="41">
        <f>IFERROR(VLOOKUP(TA[[#This Row],[Date]],Raw_Data[[Date]:[Sunset Time (POA&lt;20 W/m2)]],3,0),"")</f>
        <v>0.25208333333333333</v>
      </c>
      <c r="J813" s="41">
        <f>IFERROR(VLOOKUP(TA[[#This Row],[Date]],Raw_Data[[Date]:[Sunset Time (POA&lt;20 W/m2)]],4,0),"")</f>
        <v>0.77777777777777779</v>
      </c>
      <c r="K813" s="35">
        <f>IFERROR((TA[[#This Row],[Sunset Time (POA&lt;20 W/m2)]]-TA[[#This Row],[Sunrise Time (POA&gt;20 W/m2)]])*24,"")</f>
        <v>12.616666666666667</v>
      </c>
      <c r="L813" s="2" t="s">
        <v>296</v>
      </c>
      <c r="M813" s="42">
        <f>IFERROR(VLOOKUP(TA[[#This Row],[Affected Equipment]],'Basic Data'!$I$2:$K$40,3,0),"")</f>
        <v>8.6206896551724102E-3</v>
      </c>
      <c r="N813">
        <v>-28</v>
      </c>
      <c r="O813" t="s">
        <v>135</v>
      </c>
      <c r="P813" s="127" t="s">
        <v>318</v>
      </c>
      <c r="Q813" s="2" t="s">
        <v>321</v>
      </c>
      <c r="R813">
        <v>133</v>
      </c>
      <c r="S813" s="2">
        <v>26</v>
      </c>
      <c r="T813" t="s">
        <v>297</v>
      </c>
      <c r="U813" t="s">
        <v>300</v>
      </c>
      <c r="V813" t="s">
        <v>314</v>
      </c>
      <c r="W813" s="41">
        <f>IFERROR(VLOOKUP(TA[[#This Row],[Date]],Raw_Data[[Date]:[Sunset Time (POA&lt;20 W/m2)]],3,0),"")</f>
        <v>0.25208333333333333</v>
      </c>
      <c r="X813" s="41">
        <f>IFERROR(VLOOKUP(TA[[#This Row],[Date]],Raw_Data[[Date]:[Sunset Time (POA&lt;20 W/m2)]],3,0),"")</f>
        <v>0.25208333333333333</v>
      </c>
      <c r="Y813" s="34"/>
      <c r="Z813" s="34">
        <v>0.76041666666666663</v>
      </c>
      <c r="AA813" s="35">
        <f>IF(TA[[#This Row],[Work Start time on Fault]]="NA","",(TA[[#This Row],[Fault Acknowledgement Time ]]-TA[[#This Row],[Fault Time]])*24)</f>
        <v>0</v>
      </c>
      <c r="AB813" s="35">
        <f>(TA[[#This Row],[Work Start time on Fault]]-TA[[#This Row],[Fault Time]])*24</f>
        <v>-6.05</v>
      </c>
      <c r="AC813" s="34">
        <f>(TA[[#This Row],[Work Completion time on fault]]-TA[[#This Row],[Fault Time]])*24</f>
        <v>12.2</v>
      </c>
      <c r="AD813" s="35">
        <f>IFERROR((TA[[#This Row],[Work Completion time on fault]]-TA[[#This Row],[Fault Time]])*24,"")</f>
        <v>12.2</v>
      </c>
      <c r="AE813" t="s">
        <v>328</v>
      </c>
      <c r="AF813" t="s">
        <v>256</v>
      </c>
      <c r="AG813" s="2"/>
      <c r="AH813" s="44">
        <f>1-COS(RADIANS(TA[[#This Row],[Avg. Target Angle during Fault Time (Radians)]]-TA[[#This Row],[Angle of affected equipment ]]))</f>
        <v>0.11705240714107301</v>
      </c>
      <c r="AI813" s="35">
        <f>IFERROR(TA[[#This Row],[Breakdown Time]]*TA[[#This Row],[Plant Equivalent Weightage]],"")</f>
        <v>0.10517241379310339</v>
      </c>
    </row>
    <row r="814" spans="1:35">
      <c r="A814" s="2">
        <f t="shared" si="65"/>
        <v>811</v>
      </c>
      <c r="B814" s="156">
        <f t="shared" si="66"/>
        <v>2026</v>
      </c>
      <c r="C814" s="129">
        <f t="shared" si="67"/>
        <v>2025</v>
      </c>
      <c r="D814" s="2" t="s">
        <v>155</v>
      </c>
      <c r="E814" s="2" t="s">
        <v>155</v>
      </c>
      <c r="F814" s="39">
        <v>45778</v>
      </c>
      <c r="G814" s="2">
        <f>DAY(EOMONTH(TA[[#This Row],[Month Year]],0))</f>
        <v>31</v>
      </c>
      <c r="H814" s="21">
        <v>45800</v>
      </c>
      <c r="I814" s="41">
        <f>IFERROR(VLOOKUP(TA[[#This Row],[Date]],Raw_Data[[Date]:[Sunset Time (POA&lt;20 W/m2)]],3,0),"")</f>
        <v>0.25208333333333333</v>
      </c>
      <c r="J814" s="41">
        <f>IFERROR(VLOOKUP(TA[[#This Row],[Date]],Raw_Data[[Date]:[Sunset Time (POA&lt;20 W/m2)]],4,0),"")</f>
        <v>0.77777777777777779</v>
      </c>
      <c r="K814" s="35">
        <f>IFERROR((TA[[#This Row],[Sunset Time (POA&lt;20 W/m2)]]-TA[[#This Row],[Sunrise Time (POA&gt;20 W/m2)]])*24,"")</f>
        <v>12.616666666666667</v>
      </c>
      <c r="L814" s="2" t="s">
        <v>294</v>
      </c>
      <c r="M814" s="42">
        <f>IFERROR(VLOOKUP(TA[[#This Row],[Affected Equipment]],'Basic Data'!$I$2:$K$40,3,0),"")</f>
        <v>1.7241379310344799E-3</v>
      </c>
      <c r="N814">
        <v>-28</v>
      </c>
      <c r="O814" t="s">
        <v>133</v>
      </c>
      <c r="P814" s="127" t="s">
        <v>316</v>
      </c>
      <c r="Q814" s="126" t="s">
        <v>317</v>
      </c>
      <c r="R814">
        <v>7</v>
      </c>
      <c r="S814" s="2">
        <v>32</v>
      </c>
      <c r="T814" t="s">
        <v>295</v>
      </c>
      <c r="U814" t="s">
        <v>300</v>
      </c>
      <c r="V814" t="s">
        <v>298</v>
      </c>
      <c r="W814" s="41"/>
      <c r="X814" s="41"/>
      <c r="Y814" s="34"/>
      <c r="Z814" s="34"/>
      <c r="AA814" s="35">
        <f>IF(TA[[#This Row],[Work Start time on Fault]]="NA","",(TA[[#This Row],[Fault Acknowledgement Time ]]-TA[[#This Row],[Fault Time]])*24)</f>
        <v>0</v>
      </c>
      <c r="AB814" s="35">
        <f>(TA[[#This Row],[Work Start time on Fault]]-TA[[#This Row],[Fault Time]])*24</f>
        <v>0</v>
      </c>
      <c r="AC814" s="34">
        <f>(TA[[#This Row],[Work Completion time on fault]]-TA[[#This Row],[Fault Time]])*24</f>
        <v>0</v>
      </c>
      <c r="AD814" s="35">
        <f>IFERROR((TA[[#This Row],[Work Completion time on fault]]-TA[[#This Row],[Fault Time]])*24,"")</f>
        <v>0</v>
      </c>
      <c r="AE814" t="s">
        <v>328</v>
      </c>
      <c r="AF814" t="s">
        <v>256</v>
      </c>
      <c r="AG814" s="2"/>
      <c r="AH814" s="44">
        <f>1-COS(RADIANS(TA[[#This Row],[Avg. Target Angle during Fault Time (Radians)]]-TA[[#This Row],[Angle of affected equipment ]]))</f>
        <v>0.11705240714107301</v>
      </c>
      <c r="AI814" s="35">
        <f>IFERROR(TA[[#This Row],[Breakdown Time]]*TA[[#This Row],[Plant Equivalent Weightage]],"")</f>
        <v>0</v>
      </c>
    </row>
    <row r="815" spans="1:35">
      <c r="A815" s="2">
        <f t="shared" si="65"/>
        <v>812</v>
      </c>
      <c r="B815" s="156">
        <f t="shared" si="66"/>
        <v>2026</v>
      </c>
      <c r="C815" s="129">
        <f t="shared" si="67"/>
        <v>2025</v>
      </c>
      <c r="D815" s="2" t="s">
        <v>155</v>
      </c>
      <c r="E815" s="2" t="s">
        <v>155</v>
      </c>
      <c r="F815" s="39">
        <v>45778</v>
      </c>
      <c r="G815" s="2">
        <f>DAY(EOMONTH(TA[[#This Row],[Month Year]],0))</f>
        <v>31</v>
      </c>
      <c r="H815" s="21">
        <v>45800</v>
      </c>
      <c r="I815" s="41">
        <f>IFERROR(VLOOKUP(TA[[#This Row],[Date]],Raw_Data[[Date]:[Sunset Time (POA&lt;20 W/m2)]],3,0),"")</f>
        <v>0.25208333333333333</v>
      </c>
      <c r="J815" s="41">
        <f>IFERROR(VLOOKUP(TA[[#This Row],[Date]],Raw_Data[[Date]:[Sunset Time (POA&lt;20 W/m2)]],4,0),"")</f>
        <v>0.77777777777777779</v>
      </c>
      <c r="K815" s="35">
        <f>IFERROR((TA[[#This Row],[Sunset Time (POA&lt;20 W/m2)]]-TA[[#This Row],[Sunrise Time (POA&gt;20 W/m2)]])*24,"")</f>
        <v>12.616666666666667</v>
      </c>
      <c r="L815" s="2" t="s">
        <v>294</v>
      </c>
      <c r="M815" s="42">
        <f>IFERROR(VLOOKUP(TA[[#This Row],[Affected Equipment]],'Basic Data'!$I$2:$K$40,3,0),"")</f>
        <v>1.7241379310344799E-3</v>
      </c>
      <c r="N815">
        <v>-28</v>
      </c>
      <c r="O815" t="s">
        <v>137</v>
      </c>
      <c r="P815" s="127" t="s">
        <v>315</v>
      </c>
      <c r="Q815" s="126" t="s">
        <v>319</v>
      </c>
      <c r="R815">
        <v>166</v>
      </c>
      <c r="S815" s="2">
        <v>91</v>
      </c>
      <c r="T815" t="s">
        <v>295</v>
      </c>
      <c r="U815" t="s">
        <v>300</v>
      </c>
      <c r="V815" t="s">
        <v>298</v>
      </c>
      <c r="W815" s="41"/>
      <c r="X815" s="41"/>
      <c r="Y815" s="34"/>
      <c r="Z815" s="34"/>
      <c r="AA815" s="35">
        <f>IF(TA[[#This Row],[Work Start time on Fault]]="NA","",(TA[[#This Row],[Fault Acknowledgement Time ]]-TA[[#This Row],[Fault Time]])*24)</f>
        <v>0</v>
      </c>
      <c r="AB815" s="35">
        <f>(TA[[#This Row],[Work Start time on Fault]]-TA[[#This Row],[Fault Time]])*24</f>
        <v>0</v>
      </c>
      <c r="AC815" s="34">
        <f>(TA[[#This Row],[Work Completion time on fault]]-TA[[#This Row],[Fault Time]])*24</f>
        <v>0</v>
      </c>
      <c r="AD815" s="35">
        <f>IFERROR((TA[[#This Row],[Work Completion time on fault]]-TA[[#This Row],[Fault Time]])*24,"")</f>
        <v>0</v>
      </c>
      <c r="AE815" t="s">
        <v>328</v>
      </c>
      <c r="AF815" t="s">
        <v>256</v>
      </c>
      <c r="AG815" s="2"/>
      <c r="AH815" s="44">
        <f>1-COS(RADIANS(TA[[#This Row],[Avg. Target Angle during Fault Time (Radians)]]-TA[[#This Row],[Angle of affected equipment ]]))</f>
        <v>0.11705240714107301</v>
      </c>
      <c r="AI815" s="35">
        <f>IFERROR(TA[[#This Row],[Breakdown Time]]*TA[[#This Row],[Plant Equivalent Weightage]],"")</f>
        <v>0</v>
      </c>
    </row>
    <row r="816" spans="1:35">
      <c r="A816" s="2">
        <f t="shared" si="65"/>
        <v>813</v>
      </c>
      <c r="B816" s="156">
        <f t="shared" si="66"/>
        <v>2026</v>
      </c>
      <c r="C816" s="129">
        <f t="shared" si="67"/>
        <v>2025</v>
      </c>
      <c r="D816" s="2" t="s">
        <v>155</v>
      </c>
      <c r="E816" s="2" t="s">
        <v>155</v>
      </c>
      <c r="F816" s="39">
        <v>45778</v>
      </c>
      <c r="G816" s="2">
        <f>DAY(EOMONTH(TA[[#This Row],[Month Year]],0))</f>
        <v>31</v>
      </c>
      <c r="H816" s="21">
        <v>45800</v>
      </c>
      <c r="I816" s="41">
        <f>IFERROR(VLOOKUP(TA[[#This Row],[Date]],Raw_Data[[Date]:[Sunset Time (POA&lt;20 W/m2)]],3,0),"")</f>
        <v>0.25208333333333333</v>
      </c>
      <c r="J816" s="41">
        <f>IFERROR(VLOOKUP(TA[[#This Row],[Date]],Raw_Data[[Date]:[Sunset Time (POA&lt;20 W/m2)]],4,0),"")</f>
        <v>0.77777777777777779</v>
      </c>
      <c r="K816" s="35">
        <f>IFERROR((TA[[#This Row],[Sunset Time (POA&lt;20 W/m2)]]-TA[[#This Row],[Sunrise Time (POA&gt;20 W/m2)]])*24,"")</f>
        <v>12.616666666666667</v>
      </c>
      <c r="L816" s="2" t="s">
        <v>294</v>
      </c>
      <c r="M816" s="42">
        <f>IFERROR(VLOOKUP(TA[[#This Row],[Affected Equipment]],'Basic Data'!$I$2:$K$40,3,0),"")</f>
        <v>1.7241379310344799E-3</v>
      </c>
      <c r="N816">
        <v>-28</v>
      </c>
      <c r="O816" t="s">
        <v>133</v>
      </c>
      <c r="P816" s="127" t="s">
        <v>316</v>
      </c>
      <c r="Q816" s="126" t="s">
        <v>316</v>
      </c>
      <c r="R816">
        <v>117</v>
      </c>
      <c r="S816" s="2">
        <v>20</v>
      </c>
      <c r="T816" t="s">
        <v>295</v>
      </c>
      <c r="U816" t="s">
        <v>300</v>
      </c>
      <c r="V816" t="s">
        <v>298</v>
      </c>
      <c r="W816" s="41"/>
      <c r="X816" s="41"/>
      <c r="Y816" s="34"/>
      <c r="Z816" s="34"/>
      <c r="AA816" s="35">
        <f>IF(TA[[#This Row],[Work Start time on Fault]]="NA","",(TA[[#This Row],[Fault Acknowledgement Time ]]-TA[[#This Row],[Fault Time]])*24)</f>
        <v>0</v>
      </c>
      <c r="AB816" s="35">
        <f>(TA[[#This Row],[Work Start time on Fault]]-TA[[#This Row],[Fault Time]])*24</f>
        <v>0</v>
      </c>
      <c r="AC816" s="34">
        <f>(TA[[#This Row],[Work Completion time on fault]]-TA[[#This Row],[Fault Time]])*24</f>
        <v>0</v>
      </c>
      <c r="AD816" s="35">
        <f>IFERROR((TA[[#This Row],[Work Completion time on fault]]-TA[[#This Row],[Fault Time]])*24,"")</f>
        <v>0</v>
      </c>
      <c r="AE816" t="s">
        <v>328</v>
      </c>
      <c r="AF816" t="s">
        <v>256</v>
      </c>
      <c r="AG816" s="2"/>
      <c r="AH816" s="44">
        <f>1-COS(RADIANS(TA[[#This Row],[Avg. Target Angle during Fault Time (Radians)]]-TA[[#This Row],[Angle of affected equipment ]]))</f>
        <v>0.11705240714107301</v>
      </c>
      <c r="AI816" s="35">
        <f>IFERROR(TA[[#This Row],[Breakdown Time]]*TA[[#This Row],[Plant Equivalent Weightage]],"")</f>
        <v>0</v>
      </c>
    </row>
    <row r="817" spans="1:35">
      <c r="A817" s="2">
        <f t="shared" si="65"/>
        <v>814</v>
      </c>
      <c r="B817" s="156">
        <f t="shared" si="66"/>
        <v>2026</v>
      </c>
      <c r="C817" s="129">
        <f t="shared" si="67"/>
        <v>2025</v>
      </c>
      <c r="D817" s="2" t="s">
        <v>155</v>
      </c>
      <c r="E817" s="2" t="s">
        <v>155</v>
      </c>
      <c r="F817" s="39">
        <v>45778</v>
      </c>
      <c r="G817" s="2">
        <f>DAY(EOMONTH(TA[[#This Row],[Month Year]],0))</f>
        <v>31</v>
      </c>
      <c r="H817" s="21">
        <v>45800</v>
      </c>
      <c r="I817" s="41">
        <f>IFERROR(VLOOKUP(TA[[#This Row],[Date]],Raw_Data[[Date]:[Sunset Time (POA&lt;20 W/m2)]],3,0),"")</f>
        <v>0.25208333333333333</v>
      </c>
      <c r="J817" s="41">
        <f>IFERROR(VLOOKUP(TA[[#This Row],[Date]],Raw_Data[[Date]:[Sunset Time (POA&lt;20 W/m2)]],4,0),"")</f>
        <v>0.77777777777777779</v>
      </c>
      <c r="K817" s="35">
        <f>IFERROR((TA[[#This Row],[Sunset Time (POA&lt;20 W/m2)]]-TA[[#This Row],[Sunrise Time (POA&gt;20 W/m2)]])*24,"")</f>
        <v>12.616666666666667</v>
      </c>
      <c r="L817" s="2" t="s">
        <v>294</v>
      </c>
      <c r="M817" s="42">
        <f>IFERROR(VLOOKUP(TA[[#This Row],[Affected Equipment]],'Basic Data'!$I$2:$K$40,3,0),"")</f>
        <v>1.7241379310344799E-3</v>
      </c>
      <c r="N817">
        <v>-28</v>
      </c>
      <c r="O817" t="s">
        <v>133</v>
      </c>
      <c r="P817" s="127" t="s">
        <v>316</v>
      </c>
      <c r="Q817" s="126" t="s">
        <v>316</v>
      </c>
      <c r="R817">
        <v>118</v>
      </c>
      <c r="S817" s="2">
        <v>22</v>
      </c>
      <c r="T817" t="s">
        <v>295</v>
      </c>
      <c r="U817" t="s">
        <v>300</v>
      </c>
      <c r="V817" t="s">
        <v>298</v>
      </c>
      <c r="W817" s="41"/>
      <c r="X817" s="41"/>
      <c r="Y817" s="34"/>
      <c r="Z817" s="34"/>
      <c r="AA817" s="35">
        <f>IF(TA[[#This Row],[Work Start time on Fault]]="NA","",(TA[[#This Row],[Fault Acknowledgement Time ]]-TA[[#This Row],[Fault Time]])*24)</f>
        <v>0</v>
      </c>
      <c r="AB817" s="35">
        <f>(TA[[#This Row],[Work Start time on Fault]]-TA[[#This Row],[Fault Time]])*24</f>
        <v>0</v>
      </c>
      <c r="AC817" s="34">
        <f>(TA[[#This Row],[Work Completion time on fault]]-TA[[#This Row],[Fault Time]])*24</f>
        <v>0</v>
      </c>
      <c r="AD817" s="35">
        <f>IFERROR((TA[[#This Row],[Work Completion time on fault]]-TA[[#This Row],[Fault Time]])*24,"")</f>
        <v>0</v>
      </c>
      <c r="AE817" t="s">
        <v>328</v>
      </c>
      <c r="AF817" t="s">
        <v>256</v>
      </c>
      <c r="AG817" s="2"/>
      <c r="AH817" s="44">
        <f>1-COS(RADIANS(TA[[#This Row],[Avg. Target Angle during Fault Time (Radians)]]-TA[[#This Row],[Angle of affected equipment ]]))</f>
        <v>0.11705240714107301</v>
      </c>
      <c r="AI817" s="35">
        <f>IFERROR(TA[[#This Row],[Breakdown Time]]*TA[[#This Row],[Plant Equivalent Weightage]],"")</f>
        <v>0</v>
      </c>
    </row>
    <row r="818" spans="1:35">
      <c r="A818" s="2">
        <f t="shared" si="65"/>
        <v>815</v>
      </c>
      <c r="B818" s="156">
        <f t="shared" si="66"/>
        <v>2026</v>
      </c>
      <c r="C818" s="129">
        <f t="shared" si="67"/>
        <v>2025</v>
      </c>
      <c r="D818" s="2" t="s">
        <v>155</v>
      </c>
      <c r="E818" s="2" t="s">
        <v>155</v>
      </c>
      <c r="F818" s="39">
        <v>45778</v>
      </c>
      <c r="G818" s="2">
        <f>DAY(EOMONTH(TA[[#This Row],[Month Year]],0))</f>
        <v>31</v>
      </c>
      <c r="H818" s="21">
        <v>45800</v>
      </c>
      <c r="I818" s="41">
        <f>IFERROR(VLOOKUP(TA[[#This Row],[Date]],Raw_Data[[Date]:[Sunset Time (POA&lt;20 W/m2)]],3,0),"")</f>
        <v>0.25208333333333333</v>
      </c>
      <c r="J818" s="41">
        <f>IFERROR(VLOOKUP(TA[[#This Row],[Date]],Raw_Data[[Date]:[Sunset Time (POA&lt;20 W/m2)]],4,0),"")</f>
        <v>0.77777777777777779</v>
      </c>
      <c r="K818" s="35">
        <f>IFERROR((TA[[#This Row],[Sunset Time (POA&lt;20 W/m2)]]-TA[[#This Row],[Sunrise Time (POA&gt;20 W/m2)]])*24,"")</f>
        <v>12.616666666666667</v>
      </c>
      <c r="L818" s="2" t="s">
        <v>296</v>
      </c>
      <c r="M818" s="42">
        <f>IFERROR(VLOOKUP(TA[[#This Row],[Affected Equipment]],'Basic Data'!$I$2:$K$40,3,0),"")</f>
        <v>8.6206896551724102E-3</v>
      </c>
      <c r="N818">
        <v>-28</v>
      </c>
      <c r="O818" t="s">
        <v>135</v>
      </c>
      <c r="P818" s="22" t="s">
        <v>323</v>
      </c>
      <c r="Q818" s="2" t="s">
        <v>329</v>
      </c>
      <c r="R818">
        <v>45</v>
      </c>
      <c r="S818" s="2">
        <v>8</v>
      </c>
      <c r="T818" t="s">
        <v>297</v>
      </c>
      <c r="U818" t="s">
        <v>300</v>
      </c>
      <c r="V818" t="s">
        <v>301</v>
      </c>
      <c r="W818" s="41"/>
      <c r="X818" s="41"/>
      <c r="Y818" s="34"/>
      <c r="Z818" s="34"/>
      <c r="AA818" s="35">
        <f>IF(TA[[#This Row],[Work Start time on Fault]]="NA","",(TA[[#This Row],[Fault Acknowledgement Time ]]-TA[[#This Row],[Fault Time]])*24)</f>
        <v>0</v>
      </c>
      <c r="AB818" s="35">
        <f>(TA[[#This Row],[Work Start time on Fault]]-TA[[#This Row],[Fault Time]])*24</f>
        <v>0</v>
      </c>
      <c r="AC818" s="34">
        <f>(TA[[#This Row],[Work Completion time on fault]]-TA[[#This Row],[Fault Time]])*24</f>
        <v>0</v>
      </c>
      <c r="AD818" s="35">
        <f>IFERROR((TA[[#This Row],[Work Completion time on fault]]-TA[[#This Row],[Fault Time]])*24,"")</f>
        <v>0</v>
      </c>
      <c r="AE818" t="s">
        <v>328</v>
      </c>
      <c r="AF818" t="s">
        <v>256</v>
      </c>
      <c r="AG818" s="2"/>
      <c r="AH818" s="44">
        <f>1-COS(RADIANS(TA[[#This Row],[Avg. Target Angle during Fault Time (Radians)]]-TA[[#This Row],[Angle of affected equipment ]]))</f>
        <v>0.11705240714107301</v>
      </c>
      <c r="AI818" s="35">
        <f>IFERROR(TA[[#This Row],[Breakdown Time]]*TA[[#This Row],[Plant Equivalent Weightage]],"")</f>
        <v>0</v>
      </c>
    </row>
    <row r="819" spans="1:35">
      <c r="A819" s="2">
        <f t="shared" si="65"/>
        <v>816</v>
      </c>
      <c r="B819" s="156">
        <f t="shared" si="66"/>
        <v>2026</v>
      </c>
      <c r="C819" s="129">
        <f t="shared" si="67"/>
        <v>2025</v>
      </c>
      <c r="D819" s="2" t="s">
        <v>155</v>
      </c>
      <c r="E819" s="2" t="s">
        <v>155</v>
      </c>
      <c r="F819" s="39">
        <v>45778</v>
      </c>
      <c r="G819" s="2">
        <f>DAY(EOMONTH(TA[[#This Row],[Month Year]],0))</f>
        <v>31</v>
      </c>
      <c r="H819" s="21">
        <v>45800</v>
      </c>
      <c r="I819" s="41">
        <f>IFERROR(VLOOKUP(TA[[#This Row],[Date]],Raw_Data[[Date]:[Sunset Time (POA&lt;20 W/m2)]],3,0),"")</f>
        <v>0.25208333333333333</v>
      </c>
      <c r="J819" s="41">
        <f>IFERROR(VLOOKUP(TA[[#This Row],[Date]],Raw_Data[[Date]:[Sunset Time (POA&lt;20 W/m2)]],4,0),"")</f>
        <v>0.77777777777777779</v>
      </c>
      <c r="K819" s="35">
        <f>IFERROR((TA[[#This Row],[Sunset Time (POA&lt;20 W/m2)]]-TA[[#This Row],[Sunrise Time (POA&gt;20 W/m2)]])*24,"")</f>
        <v>12.616666666666667</v>
      </c>
      <c r="L819" s="2" t="s">
        <v>296</v>
      </c>
      <c r="M819" s="42">
        <f>IFERROR(VLOOKUP(TA[[#This Row],[Affected Equipment]],'Basic Data'!$I$2:$K$40,3,0),"")</f>
        <v>8.6206896551724102E-3</v>
      </c>
      <c r="N819">
        <v>-28</v>
      </c>
      <c r="O819" t="s">
        <v>135</v>
      </c>
      <c r="P819" s="22" t="s">
        <v>323</v>
      </c>
      <c r="Q819" s="2" t="s">
        <v>329</v>
      </c>
      <c r="R819">
        <v>47</v>
      </c>
      <c r="S819" s="2">
        <v>18</v>
      </c>
      <c r="T819" t="s">
        <v>297</v>
      </c>
      <c r="U819" t="s">
        <v>300</v>
      </c>
      <c r="V819" t="s">
        <v>301</v>
      </c>
      <c r="W819" s="41"/>
      <c r="X819" s="41"/>
      <c r="Y819" s="34"/>
      <c r="Z819" s="34"/>
      <c r="AA819" s="35">
        <f>IF(TA[[#This Row],[Work Start time on Fault]]="NA","",(TA[[#This Row],[Fault Acknowledgement Time ]]-TA[[#This Row],[Fault Time]])*24)</f>
        <v>0</v>
      </c>
      <c r="AB819" s="35">
        <f>(TA[[#This Row],[Work Start time on Fault]]-TA[[#This Row],[Fault Time]])*24</f>
        <v>0</v>
      </c>
      <c r="AC819" s="34">
        <f>(TA[[#This Row],[Work Completion time on fault]]-TA[[#This Row],[Fault Time]])*24</f>
        <v>0</v>
      </c>
      <c r="AD819" s="35">
        <f>IFERROR((TA[[#This Row],[Work Completion time on fault]]-TA[[#This Row],[Fault Time]])*24,"")</f>
        <v>0</v>
      </c>
      <c r="AE819" t="s">
        <v>328</v>
      </c>
      <c r="AF819" t="s">
        <v>256</v>
      </c>
      <c r="AG819" s="2"/>
      <c r="AH819" s="44">
        <f>1-COS(RADIANS(TA[[#This Row],[Avg. Target Angle during Fault Time (Radians)]]-TA[[#This Row],[Angle of affected equipment ]]))</f>
        <v>0.11705240714107301</v>
      </c>
      <c r="AI819" s="35">
        <f>IFERROR(TA[[#This Row],[Breakdown Time]]*TA[[#This Row],[Plant Equivalent Weightage]],"")</f>
        <v>0</v>
      </c>
    </row>
    <row r="820" spans="1:35">
      <c r="A820" s="2">
        <f t="shared" si="65"/>
        <v>817</v>
      </c>
      <c r="B820" s="156">
        <f t="shared" si="66"/>
        <v>2026</v>
      </c>
      <c r="C820" s="129">
        <f t="shared" si="67"/>
        <v>2025</v>
      </c>
      <c r="D820" s="2" t="s">
        <v>155</v>
      </c>
      <c r="E820" s="2" t="s">
        <v>155</v>
      </c>
      <c r="F820" s="39">
        <v>45778</v>
      </c>
      <c r="G820" s="2">
        <f>DAY(EOMONTH(TA[[#This Row],[Month Year]],0))</f>
        <v>31</v>
      </c>
      <c r="H820" s="21">
        <v>45800</v>
      </c>
      <c r="I820" s="41">
        <f>IFERROR(VLOOKUP(TA[[#This Row],[Date]],Raw_Data[[Date]:[Sunset Time (POA&lt;20 W/m2)]],3,0),"")</f>
        <v>0.25208333333333333</v>
      </c>
      <c r="J820" s="41">
        <f>IFERROR(VLOOKUP(TA[[#This Row],[Date]],Raw_Data[[Date]:[Sunset Time (POA&lt;20 W/m2)]],4,0),"")</f>
        <v>0.77777777777777779</v>
      </c>
      <c r="K820" s="35">
        <f>IFERROR((TA[[#This Row],[Sunset Time (POA&lt;20 W/m2)]]-TA[[#This Row],[Sunrise Time (POA&gt;20 W/m2)]])*24,"")</f>
        <v>12.616666666666667</v>
      </c>
      <c r="L820" s="2" t="s">
        <v>296</v>
      </c>
      <c r="M820" s="42">
        <f>IFERROR(VLOOKUP(TA[[#This Row],[Affected Equipment]],'Basic Data'!$I$2:$K$40,3,0),"")</f>
        <v>8.6206896551724102E-3</v>
      </c>
      <c r="N820">
        <v>-28</v>
      </c>
      <c r="O820" t="s">
        <v>134</v>
      </c>
      <c r="P820" s="22" t="s">
        <v>330</v>
      </c>
      <c r="Q820" s="2" t="s">
        <v>323</v>
      </c>
      <c r="R820">
        <v>30</v>
      </c>
      <c r="S820" s="2">
        <v>57</v>
      </c>
      <c r="T820" t="s">
        <v>297</v>
      </c>
      <c r="U820" t="s">
        <v>300</v>
      </c>
      <c r="V820" t="s">
        <v>301</v>
      </c>
      <c r="W820" s="41"/>
      <c r="X820" s="41"/>
      <c r="Y820" s="34"/>
      <c r="Z820" s="34"/>
      <c r="AA820" s="35">
        <f>IF(TA[[#This Row],[Work Start time on Fault]]="NA","",(TA[[#This Row],[Fault Acknowledgement Time ]]-TA[[#This Row],[Fault Time]])*24)</f>
        <v>0</v>
      </c>
      <c r="AB820" s="35">
        <f>(TA[[#This Row],[Work Start time on Fault]]-TA[[#This Row],[Fault Time]])*24</f>
        <v>0</v>
      </c>
      <c r="AC820" s="34">
        <f>(TA[[#This Row],[Work Completion time on fault]]-TA[[#This Row],[Fault Time]])*24</f>
        <v>0</v>
      </c>
      <c r="AD820" s="35">
        <f>IFERROR((TA[[#This Row],[Work Completion time on fault]]-TA[[#This Row],[Fault Time]])*24,"")</f>
        <v>0</v>
      </c>
      <c r="AE820" t="s">
        <v>328</v>
      </c>
      <c r="AF820" t="s">
        <v>256</v>
      </c>
      <c r="AG820" s="2"/>
      <c r="AH820" s="44">
        <f>1-COS(RADIANS(TA[[#This Row],[Avg. Target Angle during Fault Time (Radians)]]-TA[[#This Row],[Angle of affected equipment ]]))</f>
        <v>0.11705240714107301</v>
      </c>
      <c r="AI820" s="35">
        <f>IFERROR(TA[[#This Row],[Breakdown Time]]*TA[[#This Row],[Plant Equivalent Weightage]],"")</f>
        <v>0</v>
      </c>
    </row>
    <row r="821" spans="1:35">
      <c r="A821" s="2">
        <f t="shared" si="65"/>
        <v>818</v>
      </c>
      <c r="B821" s="156">
        <f t="shared" si="66"/>
        <v>2026</v>
      </c>
      <c r="C821" s="129">
        <f t="shared" si="67"/>
        <v>2025</v>
      </c>
      <c r="D821" s="2" t="s">
        <v>155</v>
      </c>
      <c r="E821" s="2" t="s">
        <v>155</v>
      </c>
      <c r="F821" s="39">
        <v>45778</v>
      </c>
      <c r="G821" s="2">
        <f>DAY(EOMONTH(TA[[#This Row],[Month Year]],0))</f>
        <v>31</v>
      </c>
      <c r="H821" s="21">
        <v>45800</v>
      </c>
      <c r="I821" s="41">
        <f>IFERROR(VLOOKUP(TA[[#This Row],[Date]],Raw_Data[[Date]:[Sunset Time (POA&lt;20 W/m2)]],3,0),"")</f>
        <v>0.25208333333333333</v>
      </c>
      <c r="J821" s="41">
        <f>IFERROR(VLOOKUP(TA[[#This Row],[Date]],Raw_Data[[Date]:[Sunset Time (POA&lt;20 W/m2)]],4,0),"")</f>
        <v>0.77777777777777779</v>
      </c>
      <c r="K821" s="35">
        <f>IFERROR((TA[[#This Row],[Sunset Time (POA&lt;20 W/m2)]]-TA[[#This Row],[Sunrise Time (POA&gt;20 W/m2)]])*24,"")</f>
        <v>12.616666666666667</v>
      </c>
      <c r="L821" s="2" t="s">
        <v>296</v>
      </c>
      <c r="M821" s="42">
        <f>IFERROR(VLOOKUP(TA[[#This Row],[Affected Equipment]],'Basic Data'!$I$2:$K$40,3,0),"")</f>
        <v>8.6206896551724102E-3</v>
      </c>
      <c r="N821">
        <v>-28</v>
      </c>
      <c r="O821" t="s">
        <v>134</v>
      </c>
      <c r="P821" s="22" t="s">
        <v>330</v>
      </c>
      <c r="Q821" s="2" t="s">
        <v>323</v>
      </c>
      <c r="R821">
        <v>31</v>
      </c>
      <c r="S821" s="2">
        <v>61</v>
      </c>
      <c r="T821" t="s">
        <v>297</v>
      </c>
      <c r="U821" t="s">
        <v>300</v>
      </c>
      <c r="V821" t="s">
        <v>301</v>
      </c>
      <c r="W821" s="41"/>
      <c r="X821" s="41"/>
      <c r="Y821" s="34"/>
      <c r="Z821" s="34"/>
      <c r="AA821" s="35">
        <f>IF(TA[[#This Row],[Work Start time on Fault]]="NA","",(TA[[#This Row],[Fault Acknowledgement Time ]]-TA[[#This Row],[Fault Time]])*24)</f>
        <v>0</v>
      </c>
      <c r="AB821" s="35">
        <f>(TA[[#This Row],[Work Start time on Fault]]-TA[[#This Row],[Fault Time]])*24</f>
        <v>0</v>
      </c>
      <c r="AC821" s="34">
        <f>(TA[[#This Row],[Work Completion time on fault]]-TA[[#This Row],[Fault Time]])*24</f>
        <v>0</v>
      </c>
      <c r="AD821" s="35">
        <f>IFERROR((TA[[#This Row],[Work Completion time on fault]]-TA[[#This Row],[Fault Time]])*24,"")</f>
        <v>0</v>
      </c>
      <c r="AE821" t="s">
        <v>328</v>
      </c>
      <c r="AF821" t="s">
        <v>256</v>
      </c>
      <c r="AG821" s="2"/>
      <c r="AH821" s="44">
        <f>1-COS(RADIANS(TA[[#This Row],[Avg. Target Angle during Fault Time (Radians)]]-TA[[#This Row],[Angle of affected equipment ]]))</f>
        <v>0.11705240714107301</v>
      </c>
      <c r="AI821" s="35">
        <f>IFERROR(TA[[#This Row],[Breakdown Time]]*TA[[#This Row],[Plant Equivalent Weightage]],"")</f>
        <v>0</v>
      </c>
    </row>
    <row r="822" spans="1:35">
      <c r="A822" s="2">
        <f t="shared" si="65"/>
        <v>819</v>
      </c>
      <c r="B822" s="156">
        <f t="shared" si="66"/>
        <v>2026</v>
      </c>
      <c r="C822" s="129">
        <f t="shared" si="67"/>
        <v>2025</v>
      </c>
      <c r="D822" s="2" t="s">
        <v>155</v>
      </c>
      <c r="E822" s="2" t="s">
        <v>155</v>
      </c>
      <c r="F822" s="39">
        <v>45778</v>
      </c>
      <c r="G822" s="2">
        <f>DAY(EOMONTH(TA[[#This Row],[Month Year]],0))</f>
        <v>31</v>
      </c>
      <c r="H822" s="21">
        <v>45800</v>
      </c>
      <c r="I822" s="41">
        <f>IFERROR(VLOOKUP(TA[[#This Row],[Date]],Raw_Data[[Date]:[Sunset Time (POA&lt;20 W/m2)]],3,0),"")</f>
        <v>0.25208333333333333</v>
      </c>
      <c r="J822" s="41">
        <f>IFERROR(VLOOKUP(TA[[#This Row],[Date]],Raw_Data[[Date]:[Sunset Time (POA&lt;20 W/m2)]],4,0),"")</f>
        <v>0.77777777777777779</v>
      </c>
      <c r="K822" s="35">
        <f>IFERROR((TA[[#This Row],[Sunset Time (POA&lt;20 W/m2)]]-TA[[#This Row],[Sunrise Time (POA&gt;20 W/m2)]])*24,"")</f>
        <v>12.616666666666667</v>
      </c>
      <c r="L822" s="2" t="s">
        <v>312</v>
      </c>
      <c r="M822" s="42">
        <f>IFERROR(VLOOKUP(TA[[#This Row],[Affected Equipment]],'Basic Data'!$I$2:$K$40,3,0),"")</f>
        <v>5.74712643678161E-3</v>
      </c>
      <c r="N822">
        <v>-28</v>
      </c>
      <c r="O822" t="s">
        <v>133</v>
      </c>
      <c r="P822" s="22" t="s">
        <v>330</v>
      </c>
      <c r="Q822" s="2" t="s">
        <v>323</v>
      </c>
      <c r="R822">
        <v>26</v>
      </c>
      <c r="S822" s="2">
        <v>37</v>
      </c>
      <c r="T822" t="s">
        <v>297</v>
      </c>
      <c r="U822" t="s">
        <v>300</v>
      </c>
      <c r="V822" t="s">
        <v>301</v>
      </c>
      <c r="W822" s="41"/>
      <c r="X822" s="41"/>
      <c r="Y822" s="34"/>
      <c r="Z822" s="34"/>
      <c r="AA822" s="35">
        <f>IF(TA[[#This Row],[Work Start time on Fault]]="NA","",(TA[[#This Row],[Fault Acknowledgement Time ]]-TA[[#This Row],[Fault Time]])*24)</f>
        <v>0</v>
      </c>
      <c r="AB822" s="35">
        <f>(TA[[#This Row],[Work Start time on Fault]]-TA[[#This Row],[Fault Time]])*24</f>
        <v>0</v>
      </c>
      <c r="AC822" s="34">
        <f>(TA[[#This Row],[Work Completion time on fault]]-TA[[#This Row],[Fault Time]])*24</f>
        <v>0</v>
      </c>
      <c r="AD822" s="35">
        <f>IFERROR((TA[[#This Row],[Work Completion time on fault]]-TA[[#This Row],[Fault Time]])*24,"")</f>
        <v>0</v>
      </c>
      <c r="AE822" t="s">
        <v>328</v>
      </c>
      <c r="AF822" t="s">
        <v>256</v>
      </c>
      <c r="AG822" s="2"/>
      <c r="AH822" s="44">
        <f>1-COS(RADIANS(TA[[#This Row],[Avg. Target Angle during Fault Time (Radians)]]-TA[[#This Row],[Angle of affected equipment ]]))</f>
        <v>0.11705240714107301</v>
      </c>
      <c r="AI822" s="35">
        <f>IFERROR(TA[[#This Row],[Breakdown Time]]*TA[[#This Row],[Plant Equivalent Weightage]],"")</f>
        <v>0</v>
      </c>
    </row>
    <row r="823" spans="1:35">
      <c r="A823" s="2">
        <f t="shared" si="65"/>
        <v>820</v>
      </c>
      <c r="B823" s="156">
        <f t="shared" si="66"/>
        <v>2026</v>
      </c>
      <c r="C823" s="129">
        <f t="shared" si="67"/>
        <v>2025</v>
      </c>
      <c r="D823" s="2" t="s">
        <v>155</v>
      </c>
      <c r="E823" s="2" t="s">
        <v>155</v>
      </c>
      <c r="F823" s="39">
        <v>45778</v>
      </c>
      <c r="G823" s="2">
        <f>DAY(EOMONTH(TA[[#This Row],[Month Year]],0))</f>
        <v>31</v>
      </c>
      <c r="H823" s="21">
        <v>45800</v>
      </c>
      <c r="I823" s="41">
        <f>IFERROR(VLOOKUP(TA[[#This Row],[Date]],Raw_Data[[Date]:[Sunset Time (POA&lt;20 W/m2)]],3,0),"")</f>
        <v>0.25208333333333333</v>
      </c>
      <c r="J823" s="41">
        <f>IFERROR(VLOOKUP(TA[[#This Row],[Date]],Raw_Data[[Date]:[Sunset Time (POA&lt;20 W/m2)]],4,0),"")</f>
        <v>0.77777777777777779</v>
      </c>
      <c r="K823" s="35">
        <f>IFERROR((TA[[#This Row],[Sunset Time (POA&lt;20 W/m2)]]-TA[[#This Row],[Sunrise Time (POA&gt;20 W/m2)]])*24,"")</f>
        <v>12.616666666666667</v>
      </c>
      <c r="L823" s="2" t="s">
        <v>312</v>
      </c>
      <c r="M823" s="42">
        <f>IFERROR(VLOOKUP(TA[[#This Row],[Affected Equipment]],'Basic Data'!$I$2:$K$40,3,0),"")</f>
        <v>5.74712643678161E-3</v>
      </c>
      <c r="N823">
        <v>-28</v>
      </c>
      <c r="O823" t="s">
        <v>133</v>
      </c>
      <c r="P823" s="22" t="s">
        <v>330</v>
      </c>
      <c r="Q823" s="2" t="s">
        <v>323</v>
      </c>
      <c r="R823">
        <v>27</v>
      </c>
      <c r="S823" s="2">
        <v>42</v>
      </c>
      <c r="T823" t="s">
        <v>297</v>
      </c>
      <c r="U823" t="s">
        <v>300</v>
      </c>
      <c r="V823" t="s">
        <v>301</v>
      </c>
      <c r="W823" s="41">
        <f>IFERROR(VLOOKUP(TA[[#This Row],[Date]],Raw_Data[[Date]:[Sunset Time (POA&lt;20 W/m2)]],3,0),"")</f>
        <v>0.25208333333333333</v>
      </c>
      <c r="X823" s="41">
        <f>IFERROR(VLOOKUP(TA[[#This Row],[Date]],Raw_Data[[Date]:[Sunset Time (POA&lt;20 W/m2)]],3,0),"")</f>
        <v>0.25208333333333333</v>
      </c>
      <c r="Y823" s="34"/>
      <c r="Z823" s="34">
        <v>0.76041666666666663</v>
      </c>
      <c r="AA823" s="35">
        <f>IF(TA[[#This Row],[Work Start time on Fault]]="NA","",(TA[[#This Row],[Fault Acknowledgement Time ]]-TA[[#This Row],[Fault Time]])*24)</f>
        <v>0</v>
      </c>
      <c r="AB823" s="35">
        <f>(TA[[#This Row],[Work Start time on Fault]]-TA[[#This Row],[Fault Time]])*24</f>
        <v>-6.05</v>
      </c>
      <c r="AC823" s="34">
        <f>(TA[[#This Row],[Work Completion time on fault]]-TA[[#This Row],[Fault Time]])*24</f>
        <v>12.2</v>
      </c>
      <c r="AD823" s="35">
        <f>IFERROR((TA[[#This Row],[Work Completion time on fault]]-TA[[#This Row],[Fault Time]])*24,"")</f>
        <v>12.2</v>
      </c>
      <c r="AE823" t="s">
        <v>309</v>
      </c>
      <c r="AF823" t="s">
        <v>256</v>
      </c>
      <c r="AG823" s="2"/>
      <c r="AH823" s="44">
        <f>1-COS(RADIANS(TA[[#This Row],[Avg. Target Angle during Fault Time (Radians)]]-TA[[#This Row],[Angle of affected equipment ]]))</f>
        <v>0.11705240714107301</v>
      </c>
      <c r="AI823" s="35">
        <f>IFERROR(TA[[#This Row],[Breakdown Time]]*TA[[#This Row],[Plant Equivalent Weightage]],"")</f>
        <v>7.0114942528735638E-2</v>
      </c>
    </row>
    <row r="824" spans="1:35">
      <c r="A824" s="2">
        <f t="shared" si="65"/>
        <v>821</v>
      </c>
      <c r="B824" s="156">
        <f t="shared" ref="B824:B838" si="68">YEAR(H824)+IF(MONTH(H824)&gt;=4,1,0)</f>
        <v>2026</v>
      </c>
      <c r="C824" s="129">
        <f t="shared" ref="C824:C838" si="69">YEAR(H824)</f>
        <v>2025</v>
      </c>
      <c r="D824" s="2" t="s">
        <v>155</v>
      </c>
      <c r="E824" s="2" t="s">
        <v>155</v>
      </c>
      <c r="F824" s="39">
        <v>45778</v>
      </c>
      <c r="G824" s="2">
        <f>DAY(EOMONTH(TA[[#This Row],[Month Year]],0))</f>
        <v>31</v>
      </c>
      <c r="H824" s="21">
        <v>45800</v>
      </c>
      <c r="I824" s="41">
        <f>IFERROR(VLOOKUP(TA[[#This Row],[Date]],Raw_Data[[Date]:[Sunset Time (POA&lt;20 W/m2)]],3,0),"")</f>
        <v>0.25208333333333333</v>
      </c>
      <c r="J824" s="41">
        <f>IFERROR(VLOOKUP(TA[[#This Row],[Date]],Raw_Data[[Date]:[Sunset Time (POA&lt;20 W/m2)]],4,0),"")</f>
        <v>0.77777777777777779</v>
      </c>
      <c r="K824" s="35">
        <f>IFERROR((TA[[#This Row],[Sunset Time (POA&lt;20 W/m2)]]-TA[[#This Row],[Sunrise Time (POA&gt;20 W/m2)]])*24,"")</f>
        <v>12.616666666666667</v>
      </c>
      <c r="L824" s="2" t="s">
        <v>294</v>
      </c>
      <c r="M824" s="42">
        <f>IFERROR(VLOOKUP(TA[[#This Row],[Affected Equipment]],'Basic Data'!$I$2:$K$40,3,0),"")</f>
        <v>1.7241379310344799E-3</v>
      </c>
      <c r="N824">
        <v>-28</v>
      </c>
      <c r="O824" t="s">
        <v>134</v>
      </c>
      <c r="P824" s="127" t="s">
        <v>316</v>
      </c>
      <c r="Q824" s="126" t="s">
        <v>320</v>
      </c>
      <c r="R824">
        <v>36</v>
      </c>
      <c r="S824" s="2">
        <v>79</v>
      </c>
      <c r="T824" t="s">
        <v>295</v>
      </c>
      <c r="U824" t="s">
        <v>300</v>
      </c>
      <c r="V824" t="s">
        <v>298</v>
      </c>
      <c r="W824" s="41">
        <f>IFERROR(VLOOKUP(TA[[#This Row],[Date]],Raw_Data[[Date]:[Sunset Time (POA&lt;20 W/m2)]],3,0),"")</f>
        <v>0.25208333333333333</v>
      </c>
      <c r="X824" s="41">
        <f>IFERROR(VLOOKUP(TA[[#This Row],[Date]],Raw_Data[[Date]:[Sunset Time (POA&lt;20 W/m2)]],3,0),"")</f>
        <v>0.25208333333333333</v>
      </c>
      <c r="Y824" s="34">
        <v>0.64583333333333337</v>
      </c>
      <c r="Z824" s="34">
        <v>0.66319444444444442</v>
      </c>
      <c r="AA824" s="35">
        <f>IF(TA[[#This Row],[Work Start time on Fault]]="NA","",(TA[[#This Row],[Fault Acknowledgement Time ]]-TA[[#This Row],[Fault Time]])*24)</f>
        <v>0</v>
      </c>
      <c r="AB824" s="35">
        <f>(TA[[#This Row],[Work Start time on Fault]]-TA[[#This Row],[Fault Time]])*24</f>
        <v>9.4500000000000011</v>
      </c>
      <c r="AC824" s="34">
        <f>(TA[[#This Row],[Work Completion time on fault]]-TA[[#This Row],[Fault Time]])*24</f>
        <v>9.8666666666666671</v>
      </c>
      <c r="AD824" s="35">
        <f>IFERROR((TA[[#This Row],[Work Completion time on fault]]-TA[[#This Row],[Fault Time]])*24,"")</f>
        <v>9.8666666666666671</v>
      </c>
      <c r="AE824" t="s">
        <v>328</v>
      </c>
      <c r="AF824" t="s">
        <v>256</v>
      </c>
      <c r="AG824" s="2"/>
      <c r="AH824" s="44">
        <f>1-COS(RADIANS(TA[[#This Row],[Avg. Target Angle during Fault Time (Radians)]]-TA[[#This Row],[Angle of affected equipment ]]))</f>
        <v>0.11705240714107301</v>
      </c>
      <c r="AI824" s="35">
        <f>IFERROR(TA[[#This Row],[Breakdown Time]]*TA[[#This Row],[Plant Equivalent Weightage]],"")</f>
        <v>1.7011494252873537E-2</v>
      </c>
    </row>
    <row r="825" spans="1:35">
      <c r="A825" s="2">
        <f t="shared" si="65"/>
        <v>822</v>
      </c>
      <c r="B825" s="156">
        <f t="shared" si="68"/>
        <v>2026</v>
      </c>
      <c r="C825" s="129">
        <f t="shared" si="69"/>
        <v>2025</v>
      </c>
      <c r="D825" s="2" t="s">
        <v>155</v>
      </c>
      <c r="E825" s="2" t="s">
        <v>155</v>
      </c>
      <c r="F825" s="39">
        <v>45778</v>
      </c>
      <c r="G825" s="2">
        <f>DAY(EOMONTH(TA[[#This Row],[Month Year]],0))</f>
        <v>31</v>
      </c>
      <c r="H825" s="21">
        <v>45801</v>
      </c>
      <c r="I825" s="41">
        <f>IFERROR(VLOOKUP(TA[[#This Row],[Date]],Raw_Data[[Date]:[Sunset Time (POA&lt;20 W/m2)]],3,0),"")</f>
        <v>0.25208333333333333</v>
      </c>
      <c r="J825" s="41">
        <f>IFERROR(VLOOKUP(TA[[#This Row],[Date]],Raw_Data[[Date]:[Sunset Time (POA&lt;20 W/m2)]],4,0),"")</f>
        <v>0.77777777777777779</v>
      </c>
      <c r="K825" s="35">
        <f>IFERROR((TA[[#This Row],[Sunset Time (POA&lt;20 W/m2)]]-TA[[#This Row],[Sunrise Time (POA&gt;20 W/m2)]])*24,"")</f>
        <v>12.616666666666667</v>
      </c>
      <c r="L825" s="2" t="s">
        <v>294</v>
      </c>
      <c r="M825" s="42">
        <f>IFERROR(VLOOKUP(TA[[#This Row],[Affected Equipment]],'Basic Data'!$I$2:$K$40,3,0),"")</f>
        <v>1.7241379310344799E-3</v>
      </c>
      <c r="N825">
        <v>-28</v>
      </c>
      <c r="O825" t="s">
        <v>135</v>
      </c>
      <c r="P825" s="127" t="s">
        <v>318</v>
      </c>
      <c r="Q825" s="126" t="s">
        <v>318</v>
      </c>
      <c r="R825">
        <v>130</v>
      </c>
      <c r="S825" s="2">
        <v>37</v>
      </c>
      <c r="T825" t="s">
        <v>295</v>
      </c>
      <c r="U825" t="s">
        <v>300</v>
      </c>
      <c r="V825" t="s">
        <v>298</v>
      </c>
      <c r="W825" s="41"/>
      <c r="X825" s="41"/>
      <c r="Y825" s="34"/>
      <c r="Z825" s="34"/>
      <c r="AA825" s="35">
        <f>IF(TA[[#This Row],[Work Start time on Fault]]="NA","",(TA[[#This Row],[Fault Acknowledgement Time ]]-TA[[#This Row],[Fault Time]])*24)</f>
        <v>0</v>
      </c>
      <c r="AB825" s="35">
        <f>(TA[[#This Row],[Work Start time on Fault]]-TA[[#This Row],[Fault Time]])*24</f>
        <v>0</v>
      </c>
      <c r="AC825" s="34">
        <f>(TA[[#This Row],[Work Completion time on fault]]-TA[[#This Row],[Fault Time]])*24</f>
        <v>0</v>
      </c>
      <c r="AD825" s="35">
        <f>IFERROR((TA[[#This Row],[Work Completion time on fault]]-TA[[#This Row],[Fault Time]])*24,"")</f>
        <v>0</v>
      </c>
      <c r="AE825" t="s">
        <v>328</v>
      </c>
      <c r="AF825" t="s">
        <v>256</v>
      </c>
      <c r="AG825" s="2"/>
      <c r="AH825" s="44">
        <f>1-COS(RADIANS(TA[[#This Row],[Avg. Target Angle during Fault Time (Radians)]]-TA[[#This Row],[Angle of affected equipment ]]))</f>
        <v>0.11705240714107301</v>
      </c>
      <c r="AI825" s="35">
        <f>IFERROR(TA[[#This Row],[Breakdown Time]]*TA[[#This Row],[Plant Equivalent Weightage]],"")</f>
        <v>0</v>
      </c>
    </row>
    <row r="826" spans="1:35">
      <c r="A826" s="2">
        <f t="shared" si="65"/>
        <v>823</v>
      </c>
      <c r="B826" s="156">
        <f t="shared" si="68"/>
        <v>2026</v>
      </c>
      <c r="C826" s="129">
        <f t="shared" si="69"/>
        <v>2025</v>
      </c>
      <c r="D826" s="2" t="s">
        <v>155</v>
      </c>
      <c r="E826" s="2" t="s">
        <v>155</v>
      </c>
      <c r="F826" s="39">
        <v>45778</v>
      </c>
      <c r="G826" s="2">
        <f>DAY(EOMONTH(TA[[#This Row],[Month Year]],0))</f>
        <v>31</v>
      </c>
      <c r="H826" s="21">
        <v>45801</v>
      </c>
      <c r="I826" s="41">
        <f>IFERROR(VLOOKUP(TA[[#This Row],[Date]],Raw_Data[[Date]:[Sunset Time (POA&lt;20 W/m2)]],3,0),"")</f>
        <v>0.25208333333333333</v>
      </c>
      <c r="J826" s="41">
        <f>IFERROR(VLOOKUP(TA[[#This Row],[Date]],Raw_Data[[Date]:[Sunset Time (POA&lt;20 W/m2)]],4,0),"")</f>
        <v>0.77777777777777779</v>
      </c>
      <c r="K826" s="35">
        <f>IFERROR((TA[[#This Row],[Sunset Time (POA&lt;20 W/m2)]]-TA[[#This Row],[Sunrise Time (POA&gt;20 W/m2)]])*24,"")</f>
        <v>12.616666666666667</v>
      </c>
      <c r="L826" s="2" t="s">
        <v>294</v>
      </c>
      <c r="M826" s="42">
        <f>IFERROR(VLOOKUP(TA[[#This Row],[Affected Equipment]],'Basic Data'!$I$2:$K$40,3,0),"")</f>
        <v>1.7241379310344799E-3</v>
      </c>
      <c r="N826">
        <v>-28</v>
      </c>
      <c r="O826" t="s">
        <v>135</v>
      </c>
      <c r="P826" s="127" t="s">
        <v>318</v>
      </c>
      <c r="Q826" s="126" t="s">
        <v>318</v>
      </c>
      <c r="R826">
        <v>131</v>
      </c>
      <c r="S826" s="2">
        <v>38</v>
      </c>
      <c r="T826" t="s">
        <v>295</v>
      </c>
      <c r="U826" t="s">
        <v>300</v>
      </c>
      <c r="V826" t="s">
        <v>298</v>
      </c>
      <c r="W826" s="41"/>
      <c r="X826" s="41"/>
      <c r="Y826" s="34"/>
      <c r="Z826" s="34"/>
      <c r="AA826" s="35">
        <f>IF(TA[[#This Row],[Work Start time on Fault]]="NA","",(TA[[#This Row],[Fault Acknowledgement Time ]]-TA[[#This Row],[Fault Time]])*24)</f>
        <v>0</v>
      </c>
      <c r="AB826" s="35">
        <f>(TA[[#This Row],[Work Start time on Fault]]-TA[[#This Row],[Fault Time]])*24</f>
        <v>0</v>
      </c>
      <c r="AC826" s="34">
        <f>(TA[[#This Row],[Work Completion time on fault]]-TA[[#This Row],[Fault Time]])*24</f>
        <v>0</v>
      </c>
      <c r="AD826" s="35">
        <f>IFERROR((TA[[#This Row],[Work Completion time on fault]]-TA[[#This Row],[Fault Time]])*24,"")</f>
        <v>0</v>
      </c>
      <c r="AE826" t="s">
        <v>328</v>
      </c>
      <c r="AF826" t="s">
        <v>256</v>
      </c>
      <c r="AG826" s="2"/>
      <c r="AH826" s="44">
        <f>1-COS(RADIANS(TA[[#This Row],[Avg. Target Angle during Fault Time (Radians)]]-TA[[#This Row],[Angle of affected equipment ]]))</f>
        <v>0.11705240714107301</v>
      </c>
      <c r="AI826" s="35">
        <f>IFERROR(TA[[#This Row],[Breakdown Time]]*TA[[#This Row],[Plant Equivalent Weightage]],"")</f>
        <v>0</v>
      </c>
    </row>
    <row r="827" spans="1:35">
      <c r="A827" s="2">
        <f t="shared" si="65"/>
        <v>824</v>
      </c>
      <c r="B827" s="156">
        <f t="shared" si="68"/>
        <v>2026</v>
      </c>
      <c r="C827" s="129">
        <f t="shared" si="69"/>
        <v>2025</v>
      </c>
      <c r="D827" s="2" t="s">
        <v>155</v>
      </c>
      <c r="E827" s="2" t="s">
        <v>155</v>
      </c>
      <c r="F827" s="39">
        <v>45778</v>
      </c>
      <c r="G827" s="2">
        <f>DAY(EOMONTH(TA[[#This Row],[Month Year]],0))</f>
        <v>31</v>
      </c>
      <c r="H827" s="21">
        <v>45801</v>
      </c>
      <c r="I827" s="41">
        <f>IFERROR(VLOOKUP(TA[[#This Row],[Date]],Raw_Data[[Date]:[Sunset Time (POA&lt;20 W/m2)]],3,0),"")</f>
        <v>0.25208333333333333</v>
      </c>
      <c r="J827" s="41">
        <f>IFERROR(VLOOKUP(TA[[#This Row],[Date]],Raw_Data[[Date]:[Sunset Time (POA&lt;20 W/m2)]],4,0),"")</f>
        <v>0.77777777777777779</v>
      </c>
      <c r="K827" s="35">
        <f>IFERROR((TA[[#This Row],[Sunset Time (POA&lt;20 W/m2)]]-TA[[#This Row],[Sunrise Time (POA&gt;20 W/m2)]])*24,"")</f>
        <v>12.616666666666667</v>
      </c>
      <c r="L827" s="2" t="s">
        <v>294</v>
      </c>
      <c r="M827" s="42">
        <f>IFERROR(VLOOKUP(TA[[#This Row],[Affected Equipment]],'Basic Data'!$I$2:$K$40,3,0),"")</f>
        <v>1.7241379310344799E-3</v>
      </c>
      <c r="N827">
        <v>-28</v>
      </c>
      <c r="O827" t="s">
        <v>135</v>
      </c>
      <c r="P827" s="127" t="s">
        <v>318</v>
      </c>
      <c r="Q827" s="126" t="s">
        <v>318</v>
      </c>
      <c r="R827">
        <v>131</v>
      </c>
      <c r="S827" s="2">
        <v>39</v>
      </c>
      <c r="T827" t="s">
        <v>295</v>
      </c>
      <c r="U827" t="s">
        <v>300</v>
      </c>
      <c r="V827" t="s">
        <v>298</v>
      </c>
      <c r="W827" s="41"/>
      <c r="X827" s="41"/>
      <c r="Y827" s="34"/>
      <c r="Z827" s="34"/>
      <c r="AA827" s="35">
        <f>IF(TA[[#This Row],[Work Start time on Fault]]="NA","",(TA[[#This Row],[Fault Acknowledgement Time ]]-TA[[#This Row],[Fault Time]])*24)</f>
        <v>0</v>
      </c>
      <c r="AB827" s="35">
        <f>(TA[[#This Row],[Work Start time on Fault]]-TA[[#This Row],[Fault Time]])*24</f>
        <v>0</v>
      </c>
      <c r="AC827" s="34">
        <f>(TA[[#This Row],[Work Completion time on fault]]-TA[[#This Row],[Fault Time]])*24</f>
        <v>0</v>
      </c>
      <c r="AD827" s="35">
        <f>IFERROR((TA[[#This Row],[Work Completion time on fault]]-TA[[#This Row],[Fault Time]])*24,"")</f>
        <v>0</v>
      </c>
      <c r="AE827" t="s">
        <v>328</v>
      </c>
      <c r="AF827" t="s">
        <v>256</v>
      </c>
      <c r="AG827" s="2"/>
      <c r="AH827" s="44">
        <f>1-COS(RADIANS(TA[[#This Row],[Avg. Target Angle during Fault Time (Radians)]]-TA[[#This Row],[Angle of affected equipment ]]))</f>
        <v>0.11705240714107301</v>
      </c>
      <c r="AI827" s="35">
        <f>IFERROR(TA[[#This Row],[Breakdown Time]]*TA[[#This Row],[Plant Equivalent Weightage]],"")</f>
        <v>0</v>
      </c>
    </row>
    <row r="828" spans="1:35">
      <c r="A828" s="2">
        <f t="shared" si="65"/>
        <v>825</v>
      </c>
      <c r="B828" s="156">
        <f t="shared" si="68"/>
        <v>2026</v>
      </c>
      <c r="C828" s="129">
        <f t="shared" si="69"/>
        <v>2025</v>
      </c>
      <c r="D828" s="2" t="s">
        <v>155</v>
      </c>
      <c r="E828" s="2" t="s">
        <v>155</v>
      </c>
      <c r="F828" s="39">
        <v>45778</v>
      </c>
      <c r="G828" s="2">
        <f>DAY(EOMONTH(TA[[#This Row],[Month Year]],0))</f>
        <v>31</v>
      </c>
      <c r="H828" s="21">
        <v>45801</v>
      </c>
      <c r="I828" s="41">
        <f>IFERROR(VLOOKUP(TA[[#This Row],[Date]],Raw_Data[[Date]:[Sunset Time (POA&lt;20 W/m2)]],3,0),"")</f>
        <v>0.25208333333333333</v>
      </c>
      <c r="J828" s="41">
        <f>IFERROR(VLOOKUP(TA[[#This Row],[Date]],Raw_Data[[Date]:[Sunset Time (POA&lt;20 W/m2)]],4,0),"")</f>
        <v>0.77777777777777779</v>
      </c>
      <c r="K828" s="35">
        <f>IFERROR((TA[[#This Row],[Sunset Time (POA&lt;20 W/m2)]]-TA[[#This Row],[Sunrise Time (POA&gt;20 W/m2)]])*24,"")</f>
        <v>12.616666666666667</v>
      </c>
      <c r="L828" s="2" t="s">
        <v>296</v>
      </c>
      <c r="M828" s="42">
        <f>IFERROR(VLOOKUP(TA[[#This Row],[Affected Equipment]],'Basic Data'!$I$2:$K$40,3,0),"")</f>
        <v>8.6206896551724102E-3</v>
      </c>
      <c r="N828">
        <v>-28</v>
      </c>
      <c r="O828" t="s">
        <v>135</v>
      </c>
      <c r="P828" s="127" t="s">
        <v>318</v>
      </c>
      <c r="Q828" s="2" t="s">
        <v>321</v>
      </c>
      <c r="R828">
        <v>133</v>
      </c>
      <c r="S828" s="2">
        <v>26</v>
      </c>
      <c r="T828" t="s">
        <v>297</v>
      </c>
      <c r="U828" t="s">
        <v>300</v>
      </c>
      <c r="V828" t="s">
        <v>314</v>
      </c>
      <c r="W828" s="41">
        <f>IFERROR(VLOOKUP(TA[[#This Row],[Date]],Raw_Data[[Date]:[Sunset Time (POA&lt;20 W/m2)]],3,0),"")</f>
        <v>0.25208333333333333</v>
      </c>
      <c r="X828" s="41">
        <f>IFERROR(VLOOKUP(TA[[#This Row],[Date]],Raw_Data[[Date]:[Sunset Time (POA&lt;20 W/m2)]],3,0),"")</f>
        <v>0.25208333333333333</v>
      </c>
      <c r="Y828" s="34"/>
      <c r="Z828" s="34">
        <v>0.76041666666666663</v>
      </c>
      <c r="AA828" s="35">
        <f>IF(TA[[#This Row],[Work Start time on Fault]]="NA","",(TA[[#This Row],[Fault Acknowledgement Time ]]-TA[[#This Row],[Fault Time]])*24)</f>
        <v>0</v>
      </c>
      <c r="AB828" s="35">
        <f>(TA[[#This Row],[Work Start time on Fault]]-TA[[#This Row],[Fault Time]])*24</f>
        <v>-6.05</v>
      </c>
      <c r="AC828" s="34">
        <f>(TA[[#This Row],[Work Completion time on fault]]-TA[[#This Row],[Fault Time]])*24</f>
        <v>12.2</v>
      </c>
      <c r="AD828" s="35">
        <f>IFERROR((TA[[#This Row],[Work Completion time on fault]]-TA[[#This Row],[Fault Time]])*24,"")</f>
        <v>12.2</v>
      </c>
      <c r="AE828" t="s">
        <v>328</v>
      </c>
      <c r="AF828" t="s">
        <v>256</v>
      </c>
      <c r="AG828" s="2"/>
      <c r="AH828" s="44">
        <f>1-COS(RADIANS(TA[[#This Row],[Avg. Target Angle during Fault Time (Radians)]]-TA[[#This Row],[Angle of affected equipment ]]))</f>
        <v>0.11705240714107301</v>
      </c>
      <c r="AI828" s="35">
        <f>IFERROR(TA[[#This Row],[Breakdown Time]]*TA[[#This Row],[Plant Equivalent Weightage]],"")</f>
        <v>0.10517241379310339</v>
      </c>
    </row>
    <row r="829" spans="1:35">
      <c r="A829" s="2">
        <f t="shared" si="65"/>
        <v>826</v>
      </c>
      <c r="B829" s="156">
        <f t="shared" si="68"/>
        <v>2026</v>
      </c>
      <c r="C829" s="129">
        <f t="shared" si="69"/>
        <v>2025</v>
      </c>
      <c r="D829" s="2" t="s">
        <v>155</v>
      </c>
      <c r="E829" s="2" t="s">
        <v>155</v>
      </c>
      <c r="F829" s="39">
        <v>45778</v>
      </c>
      <c r="G829" s="2">
        <f>DAY(EOMONTH(TA[[#This Row],[Month Year]],0))</f>
        <v>31</v>
      </c>
      <c r="H829" s="21">
        <v>45801</v>
      </c>
      <c r="I829" s="41">
        <f>IFERROR(VLOOKUP(TA[[#This Row],[Date]],Raw_Data[[Date]:[Sunset Time (POA&lt;20 W/m2)]],3,0),"")</f>
        <v>0.25208333333333333</v>
      </c>
      <c r="J829" s="41">
        <f>IFERROR(VLOOKUP(TA[[#This Row],[Date]],Raw_Data[[Date]:[Sunset Time (POA&lt;20 W/m2)]],4,0),"")</f>
        <v>0.77777777777777779</v>
      </c>
      <c r="K829" s="35">
        <f>IFERROR((TA[[#This Row],[Sunset Time (POA&lt;20 W/m2)]]-TA[[#This Row],[Sunrise Time (POA&gt;20 W/m2)]])*24,"")</f>
        <v>12.616666666666667</v>
      </c>
      <c r="L829" s="2" t="s">
        <v>294</v>
      </c>
      <c r="M829" s="42">
        <f>IFERROR(VLOOKUP(TA[[#This Row],[Affected Equipment]],'Basic Data'!$I$2:$K$40,3,0),"")</f>
        <v>1.7241379310344799E-3</v>
      </c>
      <c r="N829">
        <v>-28</v>
      </c>
      <c r="O829" t="s">
        <v>133</v>
      </c>
      <c r="P829" s="127" t="s">
        <v>316</v>
      </c>
      <c r="Q829" s="126" t="s">
        <v>317</v>
      </c>
      <c r="R829">
        <v>7</v>
      </c>
      <c r="S829" s="2">
        <v>32</v>
      </c>
      <c r="T829" t="s">
        <v>295</v>
      </c>
      <c r="U829" t="s">
        <v>300</v>
      </c>
      <c r="V829" t="s">
        <v>298</v>
      </c>
      <c r="W829" s="41"/>
      <c r="X829" s="41"/>
      <c r="Y829" s="34"/>
      <c r="Z829" s="34"/>
      <c r="AA829" s="35">
        <f>IF(TA[[#This Row],[Work Start time on Fault]]="NA","",(TA[[#This Row],[Fault Acknowledgement Time ]]-TA[[#This Row],[Fault Time]])*24)</f>
        <v>0</v>
      </c>
      <c r="AB829" s="35">
        <f>(TA[[#This Row],[Work Start time on Fault]]-TA[[#This Row],[Fault Time]])*24</f>
        <v>0</v>
      </c>
      <c r="AC829" s="34">
        <f>(TA[[#This Row],[Work Completion time on fault]]-TA[[#This Row],[Fault Time]])*24</f>
        <v>0</v>
      </c>
      <c r="AD829" s="35">
        <f>IFERROR((TA[[#This Row],[Work Completion time on fault]]-TA[[#This Row],[Fault Time]])*24,"")</f>
        <v>0</v>
      </c>
      <c r="AE829" t="s">
        <v>328</v>
      </c>
      <c r="AF829" t="s">
        <v>256</v>
      </c>
      <c r="AG829" s="2"/>
      <c r="AH829" s="44">
        <f>1-COS(RADIANS(TA[[#This Row],[Avg. Target Angle during Fault Time (Radians)]]-TA[[#This Row],[Angle of affected equipment ]]))</f>
        <v>0.11705240714107301</v>
      </c>
      <c r="AI829" s="35">
        <f>IFERROR(TA[[#This Row],[Breakdown Time]]*TA[[#This Row],[Plant Equivalent Weightage]],"")</f>
        <v>0</v>
      </c>
    </row>
    <row r="830" spans="1:35">
      <c r="A830" s="2">
        <f t="shared" si="65"/>
        <v>827</v>
      </c>
      <c r="B830" s="156">
        <f t="shared" si="68"/>
        <v>2026</v>
      </c>
      <c r="C830" s="129">
        <f t="shared" si="69"/>
        <v>2025</v>
      </c>
      <c r="D830" s="2" t="s">
        <v>155</v>
      </c>
      <c r="E830" s="2" t="s">
        <v>155</v>
      </c>
      <c r="F830" s="39">
        <v>45778</v>
      </c>
      <c r="G830" s="2">
        <f>DAY(EOMONTH(TA[[#This Row],[Month Year]],0))</f>
        <v>31</v>
      </c>
      <c r="H830" s="21">
        <v>45801</v>
      </c>
      <c r="I830" s="41">
        <f>IFERROR(VLOOKUP(TA[[#This Row],[Date]],Raw_Data[[Date]:[Sunset Time (POA&lt;20 W/m2)]],3,0),"")</f>
        <v>0.25208333333333333</v>
      </c>
      <c r="J830" s="41">
        <f>IFERROR(VLOOKUP(TA[[#This Row],[Date]],Raw_Data[[Date]:[Sunset Time (POA&lt;20 W/m2)]],4,0),"")</f>
        <v>0.77777777777777779</v>
      </c>
      <c r="K830" s="35">
        <f>IFERROR((TA[[#This Row],[Sunset Time (POA&lt;20 W/m2)]]-TA[[#This Row],[Sunrise Time (POA&gt;20 W/m2)]])*24,"")</f>
        <v>12.616666666666667</v>
      </c>
      <c r="L830" s="2" t="s">
        <v>294</v>
      </c>
      <c r="M830" s="42">
        <f>IFERROR(VLOOKUP(TA[[#This Row],[Affected Equipment]],'Basic Data'!$I$2:$K$40,3,0),"")</f>
        <v>1.7241379310344799E-3</v>
      </c>
      <c r="N830">
        <v>-28</v>
      </c>
      <c r="O830" t="s">
        <v>137</v>
      </c>
      <c r="P830" s="127" t="s">
        <v>315</v>
      </c>
      <c r="Q830" s="126" t="s">
        <v>319</v>
      </c>
      <c r="R830">
        <v>166</v>
      </c>
      <c r="S830" s="2">
        <v>91</v>
      </c>
      <c r="T830" t="s">
        <v>295</v>
      </c>
      <c r="U830" t="s">
        <v>300</v>
      </c>
      <c r="V830" t="s">
        <v>298</v>
      </c>
      <c r="W830" s="41"/>
      <c r="X830" s="41"/>
      <c r="Y830" s="34"/>
      <c r="Z830" s="34"/>
      <c r="AA830" s="35">
        <f>IF(TA[[#This Row],[Work Start time on Fault]]="NA","",(TA[[#This Row],[Fault Acknowledgement Time ]]-TA[[#This Row],[Fault Time]])*24)</f>
        <v>0</v>
      </c>
      <c r="AB830" s="35">
        <f>(TA[[#This Row],[Work Start time on Fault]]-TA[[#This Row],[Fault Time]])*24</f>
        <v>0</v>
      </c>
      <c r="AC830" s="34">
        <f>(TA[[#This Row],[Work Completion time on fault]]-TA[[#This Row],[Fault Time]])*24</f>
        <v>0</v>
      </c>
      <c r="AD830" s="35">
        <f>IFERROR((TA[[#This Row],[Work Completion time on fault]]-TA[[#This Row],[Fault Time]])*24,"")</f>
        <v>0</v>
      </c>
      <c r="AE830" t="s">
        <v>328</v>
      </c>
      <c r="AF830" t="s">
        <v>256</v>
      </c>
      <c r="AG830" s="2"/>
      <c r="AH830" s="44">
        <f>1-COS(RADIANS(TA[[#This Row],[Avg. Target Angle during Fault Time (Radians)]]-TA[[#This Row],[Angle of affected equipment ]]))</f>
        <v>0.11705240714107301</v>
      </c>
      <c r="AI830" s="35">
        <f>IFERROR(TA[[#This Row],[Breakdown Time]]*TA[[#This Row],[Plant Equivalent Weightage]],"")</f>
        <v>0</v>
      </c>
    </row>
    <row r="831" spans="1:35">
      <c r="A831" s="2">
        <f t="shared" si="65"/>
        <v>828</v>
      </c>
      <c r="B831" s="156">
        <f t="shared" si="68"/>
        <v>2026</v>
      </c>
      <c r="C831" s="129">
        <f t="shared" si="69"/>
        <v>2025</v>
      </c>
      <c r="D831" s="2" t="s">
        <v>155</v>
      </c>
      <c r="E831" s="2" t="s">
        <v>155</v>
      </c>
      <c r="F831" s="39">
        <v>45778</v>
      </c>
      <c r="G831" s="2">
        <f>DAY(EOMONTH(TA[[#This Row],[Month Year]],0))</f>
        <v>31</v>
      </c>
      <c r="H831" s="21">
        <v>45801</v>
      </c>
      <c r="I831" s="41">
        <f>IFERROR(VLOOKUP(TA[[#This Row],[Date]],Raw_Data[[Date]:[Sunset Time (POA&lt;20 W/m2)]],3,0),"")</f>
        <v>0.25208333333333333</v>
      </c>
      <c r="J831" s="41">
        <f>IFERROR(VLOOKUP(TA[[#This Row],[Date]],Raw_Data[[Date]:[Sunset Time (POA&lt;20 W/m2)]],4,0),"")</f>
        <v>0.77777777777777779</v>
      </c>
      <c r="K831" s="35">
        <f>IFERROR((TA[[#This Row],[Sunset Time (POA&lt;20 W/m2)]]-TA[[#This Row],[Sunrise Time (POA&gt;20 W/m2)]])*24,"")</f>
        <v>12.616666666666667</v>
      </c>
      <c r="L831" s="2" t="s">
        <v>294</v>
      </c>
      <c r="M831" s="42">
        <f>IFERROR(VLOOKUP(TA[[#This Row],[Affected Equipment]],'Basic Data'!$I$2:$K$40,3,0),"")</f>
        <v>1.7241379310344799E-3</v>
      </c>
      <c r="N831">
        <v>-28</v>
      </c>
      <c r="O831" t="s">
        <v>133</v>
      </c>
      <c r="P831" s="127" t="s">
        <v>316</v>
      </c>
      <c r="Q831" s="126" t="s">
        <v>316</v>
      </c>
      <c r="R831">
        <v>117</v>
      </c>
      <c r="S831" s="2">
        <v>20</v>
      </c>
      <c r="T831" t="s">
        <v>295</v>
      </c>
      <c r="U831" t="s">
        <v>300</v>
      </c>
      <c r="V831" t="s">
        <v>298</v>
      </c>
      <c r="W831" s="41"/>
      <c r="X831" s="41"/>
      <c r="Y831" s="34"/>
      <c r="Z831" s="34"/>
      <c r="AA831" s="35">
        <f>IF(TA[[#This Row],[Work Start time on Fault]]="NA","",(TA[[#This Row],[Fault Acknowledgement Time ]]-TA[[#This Row],[Fault Time]])*24)</f>
        <v>0</v>
      </c>
      <c r="AB831" s="35">
        <f>(TA[[#This Row],[Work Start time on Fault]]-TA[[#This Row],[Fault Time]])*24</f>
        <v>0</v>
      </c>
      <c r="AC831" s="34">
        <f>(TA[[#This Row],[Work Completion time on fault]]-TA[[#This Row],[Fault Time]])*24</f>
        <v>0</v>
      </c>
      <c r="AD831" s="35">
        <f>IFERROR((TA[[#This Row],[Work Completion time on fault]]-TA[[#This Row],[Fault Time]])*24,"")</f>
        <v>0</v>
      </c>
      <c r="AE831" t="s">
        <v>328</v>
      </c>
      <c r="AF831" t="s">
        <v>256</v>
      </c>
      <c r="AG831" s="2"/>
      <c r="AH831" s="44">
        <f>1-COS(RADIANS(TA[[#This Row],[Avg. Target Angle during Fault Time (Radians)]]-TA[[#This Row],[Angle of affected equipment ]]))</f>
        <v>0.11705240714107301</v>
      </c>
      <c r="AI831" s="35">
        <f>IFERROR(TA[[#This Row],[Breakdown Time]]*TA[[#This Row],[Plant Equivalent Weightage]],"")</f>
        <v>0</v>
      </c>
    </row>
    <row r="832" spans="1:35">
      <c r="A832" s="2">
        <f t="shared" si="65"/>
        <v>829</v>
      </c>
      <c r="B832" s="156">
        <f t="shared" si="68"/>
        <v>2026</v>
      </c>
      <c r="C832" s="129">
        <f t="shared" si="69"/>
        <v>2025</v>
      </c>
      <c r="D832" s="2" t="s">
        <v>155</v>
      </c>
      <c r="E832" s="2" t="s">
        <v>155</v>
      </c>
      <c r="F832" s="39">
        <v>45778</v>
      </c>
      <c r="G832" s="2">
        <f>DAY(EOMONTH(TA[[#This Row],[Month Year]],0))</f>
        <v>31</v>
      </c>
      <c r="H832" s="21">
        <v>45801</v>
      </c>
      <c r="I832" s="41">
        <f>IFERROR(VLOOKUP(TA[[#This Row],[Date]],Raw_Data[[Date]:[Sunset Time (POA&lt;20 W/m2)]],3,0),"")</f>
        <v>0.25208333333333333</v>
      </c>
      <c r="J832" s="41">
        <f>IFERROR(VLOOKUP(TA[[#This Row],[Date]],Raw_Data[[Date]:[Sunset Time (POA&lt;20 W/m2)]],4,0),"")</f>
        <v>0.77777777777777779</v>
      </c>
      <c r="K832" s="35">
        <f>IFERROR((TA[[#This Row],[Sunset Time (POA&lt;20 W/m2)]]-TA[[#This Row],[Sunrise Time (POA&gt;20 W/m2)]])*24,"")</f>
        <v>12.616666666666667</v>
      </c>
      <c r="L832" s="2" t="s">
        <v>294</v>
      </c>
      <c r="M832" s="42">
        <f>IFERROR(VLOOKUP(TA[[#This Row],[Affected Equipment]],'Basic Data'!$I$2:$K$40,3,0),"")</f>
        <v>1.7241379310344799E-3</v>
      </c>
      <c r="N832">
        <v>-28</v>
      </c>
      <c r="O832" t="s">
        <v>133</v>
      </c>
      <c r="P832" s="127" t="s">
        <v>316</v>
      </c>
      <c r="Q832" s="126" t="s">
        <v>316</v>
      </c>
      <c r="R832">
        <v>118</v>
      </c>
      <c r="S832" s="2">
        <v>22</v>
      </c>
      <c r="T832" t="s">
        <v>295</v>
      </c>
      <c r="U832" t="s">
        <v>300</v>
      </c>
      <c r="V832" t="s">
        <v>298</v>
      </c>
      <c r="W832" s="41"/>
      <c r="X832" s="41"/>
      <c r="Y832" s="34"/>
      <c r="Z832" s="34"/>
      <c r="AA832" s="35">
        <f>IF(TA[[#This Row],[Work Start time on Fault]]="NA","",(TA[[#This Row],[Fault Acknowledgement Time ]]-TA[[#This Row],[Fault Time]])*24)</f>
        <v>0</v>
      </c>
      <c r="AB832" s="35">
        <f>(TA[[#This Row],[Work Start time on Fault]]-TA[[#This Row],[Fault Time]])*24</f>
        <v>0</v>
      </c>
      <c r="AC832" s="34">
        <f>(TA[[#This Row],[Work Completion time on fault]]-TA[[#This Row],[Fault Time]])*24</f>
        <v>0</v>
      </c>
      <c r="AD832" s="35">
        <f>IFERROR((TA[[#This Row],[Work Completion time on fault]]-TA[[#This Row],[Fault Time]])*24,"")</f>
        <v>0</v>
      </c>
      <c r="AE832" t="s">
        <v>328</v>
      </c>
      <c r="AF832" t="s">
        <v>256</v>
      </c>
      <c r="AG832" s="2"/>
      <c r="AH832" s="44">
        <f>1-COS(RADIANS(TA[[#This Row],[Avg. Target Angle during Fault Time (Radians)]]-TA[[#This Row],[Angle of affected equipment ]]))</f>
        <v>0.11705240714107301</v>
      </c>
      <c r="AI832" s="35">
        <f>IFERROR(TA[[#This Row],[Breakdown Time]]*TA[[#This Row],[Plant Equivalent Weightage]],"")</f>
        <v>0</v>
      </c>
    </row>
    <row r="833" spans="1:35">
      <c r="A833" s="2">
        <f t="shared" si="65"/>
        <v>830</v>
      </c>
      <c r="B833" s="156">
        <f t="shared" si="68"/>
        <v>2026</v>
      </c>
      <c r="C833" s="129">
        <f t="shared" si="69"/>
        <v>2025</v>
      </c>
      <c r="D833" s="2" t="s">
        <v>155</v>
      </c>
      <c r="E833" s="2" t="s">
        <v>155</v>
      </c>
      <c r="F833" s="39">
        <v>45778</v>
      </c>
      <c r="G833" s="2">
        <f>DAY(EOMONTH(TA[[#This Row],[Month Year]],0))</f>
        <v>31</v>
      </c>
      <c r="H833" s="21">
        <v>45801</v>
      </c>
      <c r="I833" s="41">
        <f>IFERROR(VLOOKUP(TA[[#This Row],[Date]],Raw_Data[[Date]:[Sunset Time (POA&lt;20 W/m2)]],3,0),"")</f>
        <v>0.25208333333333333</v>
      </c>
      <c r="J833" s="41">
        <f>IFERROR(VLOOKUP(TA[[#This Row],[Date]],Raw_Data[[Date]:[Sunset Time (POA&lt;20 W/m2)]],4,0),"")</f>
        <v>0.77777777777777779</v>
      </c>
      <c r="K833" s="35">
        <f>IFERROR((TA[[#This Row],[Sunset Time (POA&lt;20 W/m2)]]-TA[[#This Row],[Sunrise Time (POA&gt;20 W/m2)]])*24,"")</f>
        <v>12.616666666666667</v>
      </c>
      <c r="L833" s="2" t="s">
        <v>296</v>
      </c>
      <c r="M833" s="42">
        <f>IFERROR(VLOOKUP(TA[[#This Row],[Affected Equipment]],'Basic Data'!$I$2:$K$40,3,0),"")</f>
        <v>8.6206896551724102E-3</v>
      </c>
      <c r="N833">
        <v>-28</v>
      </c>
      <c r="O833" t="s">
        <v>135</v>
      </c>
      <c r="P833" s="22" t="s">
        <v>323</v>
      </c>
      <c r="Q833" s="2" t="s">
        <v>329</v>
      </c>
      <c r="R833">
        <v>45</v>
      </c>
      <c r="S833" s="2">
        <v>8</v>
      </c>
      <c r="T833" t="s">
        <v>297</v>
      </c>
      <c r="U833" t="s">
        <v>300</v>
      </c>
      <c r="V833" t="s">
        <v>301</v>
      </c>
      <c r="W833" s="41"/>
      <c r="X833" s="41"/>
      <c r="Y833" s="34"/>
      <c r="Z833" s="34"/>
      <c r="AA833" s="35">
        <f>IF(TA[[#This Row],[Work Start time on Fault]]="NA","",(TA[[#This Row],[Fault Acknowledgement Time ]]-TA[[#This Row],[Fault Time]])*24)</f>
        <v>0</v>
      </c>
      <c r="AB833" s="35">
        <f>(TA[[#This Row],[Work Start time on Fault]]-TA[[#This Row],[Fault Time]])*24</f>
        <v>0</v>
      </c>
      <c r="AC833" s="34">
        <f>(TA[[#This Row],[Work Completion time on fault]]-TA[[#This Row],[Fault Time]])*24</f>
        <v>0</v>
      </c>
      <c r="AD833" s="35">
        <f>IFERROR((TA[[#This Row],[Work Completion time on fault]]-TA[[#This Row],[Fault Time]])*24,"")</f>
        <v>0</v>
      </c>
      <c r="AE833" t="s">
        <v>328</v>
      </c>
      <c r="AF833" t="s">
        <v>256</v>
      </c>
      <c r="AG833" s="2"/>
      <c r="AH833" s="44">
        <f>1-COS(RADIANS(TA[[#This Row],[Avg. Target Angle during Fault Time (Radians)]]-TA[[#This Row],[Angle of affected equipment ]]))</f>
        <v>0.11705240714107301</v>
      </c>
      <c r="AI833" s="35">
        <f>IFERROR(TA[[#This Row],[Breakdown Time]]*TA[[#This Row],[Plant Equivalent Weightage]],"")</f>
        <v>0</v>
      </c>
    </row>
    <row r="834" spans="1:35">
      <c r="A834" s="2">
        <f t="shared" si="65"/>
        <v>831</v>
      </c>
      <c r="B834" s="156">
        <f t="shared" si="68"/>
        <v>2026</v>
      </c>
      <c r="C834" s="129">
        <f t="shared" si="69"/>
        <v>2025</v>
      </c>
      <c r="D834" s="2" t="s">
        <v>155</v>
      </c>
      <c r="E834" s="2" t="s">
        <v>155</v>
      </c>
      <c r="F834" s="39">
        <v>45778</v>
      </c>
      <c r="G834" s="2">
        <f>DAY(EOMONTH(TA[[#This Row],[Month Year]],0))</f>
        <v>31</v>
      </c>
      <c r="H834" s="21">
        <v>45801</v>
      </c>
      <c r="I834" s="41">
        <f>IFERROR(VLOOKUP(TA[[#This Row],[Date]],Raw_Data[[Date]:[Sunset Time (POA&lt;20 W/m2)]],3,0),"")</f>
        <v>0.25208333333333333</v>
      </c>
      <c r="J834" s="41">
        <f>IFERROR(VLOOKUP(TA[[#This Row],[Date]],Raw_Data[[Date]:[Sunset Time (POA&lt;20 W/m2)]],4,0),"")</f>
        <v>0.77777777777777779</v>
      </c>
      <c r="K834" s="35">
        <f>IFERROR((TA[[#This Row],[Sunset Time (POA&lt;20 W/m2)]]-TA[[#This Row],[Sunrise Time (POA&gt;20 W/m2)]])*24,"")</f>
        <v>12.616666666666667</v>
      </c>
      <c r="L834" s="2" t="s">
        <v>296</v>
      </c>
      <c r="M834" s="42">
        <f>IFERROR(VLOOKUP(TA[[#This Row],[Affected Equipment]],'Basic Data'!$I$2:$K$40,3,0),"")</f>
        <v>8.6206896551724102E-3</v>
      </c>
      <c r="N834">
        <v>-28</v>
      </c>
      <c r="O834" t="s">
        <v>135</v>
      </c>
      <c r="P834" s="22" t="s">
        <v>323</v>
      </c>
      <c r="Q834" s="2" t="s">
        <v>329</v>
      </c>
      <c r="R834">
        <v>47</v>
      </c>
      <c r="S834" s="2">
        <v>18</v>
      </c>
      <c r="T834" t="s">
        <v>297</v>
      </c>
      <c r="U834" t="s">
        <v>300</v>
      </c>
      <c r="V834" t="s">
        <v>301</v>
      </c>
      <c r="W834" s="41"/>
      <c r="X834" s="41"/>
      <c r="Y834" s="34"/>
      <c r="Z834" s="34"/>
      <c r="AA834" s="35">
        <f>IF(TA[[#This Row],[Work Start time on Fault]]="NA","",(TA[[#This Row],[Fault Acknowledgement Time ]]-TA[[#This Row],[Fault Time]])*24)</f>
        <v>0</v>
      </c>
      <c r="AB834" s="35">
        <f>(TA[[#This Row],[Work Start time on Fault]]-TA[[#This Row],[Fault Time]])*24</f>
        <v>0</v>
      </c>
      <c r="AC834" s="34">
        <f>(TA[[#This Row],[Work Completion time on fault]]-TA[[#This Row],[Fault Time]])*24</f>
        <v>0</v>
      </c>
      <c r="AD834" s="35">
        <f>IFERROR((TA[[#This Row],[Work Completion time on fault]]-TA[[#This Row],[Fault Time]])*24,"")</f>
        <v>0</v>
      </c>
      <c r="AE834" t="s">
        <v>328</v>
      </c>
      <c r="AF834" t="s">
        <v>256</v>
      </c>
      <c r="AG834" s="2"/>
      <c r="AH834" s="44">
        <f>1-COS(RADIANS(TA[[#This Row],[Avg. Target Angle during Fault Time (Radians)]]-TA[[#This Row],[Angle of affected equipment ]]))</f>
        <v>0.11705240714107301</v>
      </c>
      <c r="AI834" s="35">
        <f>IFERROR(TA[[#This Row],[Breakdown Time]]*TA[[#This Row],[Plant Equivalent Weightage]],"")</f>
        <v>0</v>
      </c>
    </row>
    <row r="835" spans="1:35">
      <c r="A835" s="2">
        <f t="shared" si="65"/>
        <v>832</v>
      </c>
      <c r="B835" s="156">
        <f t="shared" si="68"/>
        <v>2026</v>
      </c>
      <c r="C835" s="129">
        <f t="shared" si="69"/>
        <v>2025</v>
      </c>
      <c r="D835" s="2" t="s">
        <v>155</v>
      </c>
      <c r="E835" s="2" t="s">
        <v>155</v>
      </c>
      <c r="F835" s="39">
        <v>45778</v>
      </c>
      <c r="G835" s="2">
        <f>DAY(EOMONTH(TA[[#This Row],[Month Year]],0))</f>
        <v>31</v>
      </c>
      <c r="H835" s="21">
        <v>45801</v>
      </c>
      <c r="I835" s="41">
        <f>IFERROR(VLOOKUP(TA[[#This Row],[Date]],Raw_Data[[Date]:[Sunset Time (POA&lt;20 W/m2)]],3,0),"")</f>
        <v>0.25208333333333333</v>
      </c>
      <c r="J835" s="41">
        <f>IFERROR(VLOOKUP(TA[[#This Row],[Date]],Raw_Data[[Date]:[Sunset Time (POA&lt;20 W/m2)]],4,0),"")</f>
        <v>0.77777777777777779</v>
      </c>
      <c r="K835" s="35">
        <f>IFERROR((TA[[#This Row],[Sunset Time (POA&lt;20 W/m2)]]-TA[[#This Row],[Sunrise Time (POA&gt;20 W/m2)]])*24,"")</f>
        <v>12.616666666666667</v>
      </c>
      <c r="L835" s="2" t="s">
        <v>296</v>
      </c>
      <c r="M835" s="42">
        <f>IFERROR(VLOOKUP(TA[[#This Row],[Affected Equipment]],'Basic Data'!$I$2:$K$40,3,0),"")</f>
        <v>8.6206896551724102E-3</v>
      </c>
      <c r="N835">
        <v>-28</v>
      </c>
      <c r="O835" t="s">
        <v>134</v>
      </c>
      <c r="P835" s="22" t="s">
        <v>330</v>
      </c>
      <c r="Q835" s="2" t="s">
        <v>323</v>
      </c>
      <c r="R835">
        <v>30</v>
      </c>
      <c r="S835" s="2">
        <v>57</v>
      </c>
      <c r="T835" t="s">
        <v>297</v>
      </c>
      <c r="U835" t="s">
        <v>300</v>
      </c>
      <c r="V835" t="s">
        <v>301</v>
      </c>
      <c r="W835" s="41"/>
      <c r="X835" s="41"/>
      <c r="Y835" s="34"/>
      <c r="Z835" s="34"/>
      <c r="AA835" s="35">
        <f>IF(TA[[#This Row],[Work Start time on Fault]]="NA","",(TA[[#This Row],[Fault Acknowledgement Time ]]-TA[[#This Row],[Fault Time]])*24)</f>
        <v>0</v>
      </c>
      <c r="AB835" s="35">
        <f>(TA[[#This Row],[Work Start time on Fault]]-TA[[#This Row],[Fault Time]])*24</f>
        <v>0</v>
      </c>
      <c r="AC835" s="34">
        <f>(TA[[#This Row],[Work Completion time on fault]]-TA[[#This Row],[Fault Time]])*24</f>
        <v>0</v>
      </c>
      <c r="AD835" s="35">
        <f>IFERROR((TA[[#This Row],[Work Completion time on fault]]-TA[[#This Row],[Fault Time]])*24,"")</f>
        <v>0</v>
      </c>
      <c r="AE835" t="s">
        <v>328</v>
      </c>
      <c r="AF835" t="s">
        <v>256</v>
      </c>
      <c r="AG835" s="2"/>
      <c r="AH835" s="44">
        <f>1-COS(RADIANS(TA[[#This Row],[Avg. Target Angle during Fault Time (Radians)]]-TA[[#This Row],[Angle of affected equipment ]]))</f>
        <v>0.11705240714107301</v>
      </c>
      <c r="AI835" s="35">
        <f>IFERROR(TA[[#This Row],[Breakdown Time]]*TA[[#This Row],[Plant Equivalent Weightage]],"")</f>
        <v>0</v>
      </c>
    </row>
    <row r="836" spans="1:35">
      <c r="A836" s="2">
        <f t="shared" si="65"/>
        <v>833</v>
      </c>
      <c r="B836" s="156">
        <f t="shared" si="68"/>
        <v>2026</v>
      </c>
      <c r="C836" s="129">
        <f t="shared" si="69"/>
        <v>2025</v>
      </c>
      <c r="D836" s="2" t="s">
        <v>155</v>
      </c>
      <c r="E836" s="2" t="s">
        <v>155</v>
      </c>
      <c r="F836" s="39">
        <v>45778</v>
      </c>
      <c r="G836" s="2">
        <f>DAY(EOMONTH(TA[[#This Row],[Month Year]],0))</f>
        <v>31</v>
      </c>
      <c r="H836" s="21">
        <v>45801</v>
      </c>
      <c r="I836" s="41">
        <f>IFERROR(VLOOKUP(TA[[#This Row],[Date]],Raw_Data[[Date]:[Sunset Time (POA&lt;20 W/m2)]],3,0),"")</f>
        <v>0.25208333333333333</v>
      </c>
      <c r="J836" s="41">
        <f>IFERROR(VLOOKUP(TA[[#This Row],[Date]],Raw_Data[[Date]:[Sunset Time (POA&lt;20 W/m2)]],4,0),"")</f>
        <v>0.77777777777777779</v>
      </c>
      <c r="K836" s="35">
        <f>IFERROR((TA[[#This Row],[Sunset Time (POA&lt;20 W/m2)]]-TA[[#This Row],[Sunrise Time (POA&gt;20 W/m2)]])*24,"")</f>
        <v>12.616666666666667</v>
      </c>
      <c r="L836" s="2" t="s">
        <v>296</v>
      </c>
      <c r="M836" s="42">
        <f>IFERROR(VLOOKUP(TA[[#This Row],[Affected Equipment]],'Basic Data'!$I$2:$K$40,3,0),"")</f>
        <v>8.6206896551724102E-3</v>
      </c>
      <c r="N836">
        <v>-28</v>
      </c>
      <c r="O836" t="s">
        <v>134</v>
      </c>
      <c r="P836" s="22" t="s">
        <v>330</v>
      </c>
      <c r="Q836" s="2" t="s">
        <v>323</v>
      </c>
      <c r="R836">
        <v>31</v>
      </c>
      <c r="S836" s="2">
        <v>61</v>
      </c>
      <c r="T836" t="s">
        <v>297</v>
      </c>
      <c r="U836" t="s">
        <v>300</v>
      </c>
      <c r="V836" t="s">
        <v>301</v>
      </c>
      <c r="W836" s="41"/>
      <c r="X836" s="41"/>
      <c r="Y836" s="34"/>
      <c r="Z836" s="34"/>
      <c r="AA836" s="35">
        <f>IF(TA[[#This Row],[Work Start time on Fault]]="NA","",(TA[[#This Row],[Fault Acknowledgement Time ]]-TA[[#This Row],[Fault Time]])*24)</f>
        <v>0</v>
      </c>
      <c r="AB836" s="35">
        <f>(TA[[#This Row],[Work Start time on Fault]]-TA[[#This Row],[Fault Time]])*24</f>
        <v>0</v>
      </c>
      <c r="AC836" s="34">
        <f>(TA[[#This Row],[Work Completion time on fault]]-TA[[#This Row],[Fault Time]])*24</f>
        <v>0</v>
      </c>
      <c r="AD836" s="35">
        <f>IFERROR((TA[[#This Row],[Work Completion time on fault]]-TA[[#This Row],[Fault Time]])*24,"")</f>
        <v>0</v>
      </c>
      <c r="AE836" t="s">
        <v>328</v>
      </c>
      <c r="AF836" t="s">
        <v>256</v>
      </c>
      <c r="AG836" s="2"/>
      <c r="AH836" s="44">
        <f>1-COS(RADIANS(TA[[#This Row],[Avg. Target Angle during Fault Time (Radians)]]-TA[[#This Row],[Angle of affected equipment ]]))</f>
        <v>0.11705240714107301</v>
      </c>
      <c r="AI836" s="35">
        <f>IFERROR(TA[[#This Row],[Breakdown Time]]*TA[[#This Row],[Plant Equivalent Weightage]],"")</f>
        <v>0</v>
      </c>
    </row>
    <row r="837" spans="1:35">
      <c r="A837" s="2">
        <f t="shared" si="65"/>
        <v>834</v>
      </c>
      <c r="B837" s="156">
        <f t="shared" si="68"/>
        <v>2026</v>
      </c>
      <c r="C837" s="129">
        <f t="shared" si="69"/>
        <v>2025</v>
      </c>
      <c r="D837" s="2" t="s">
        <v>155</v>
      </c>
      <c r="E837" s="2" t="s">
        <v>155</v>
      </c>
      <c r="F837" s="39">
        <v>45778</v>
      </c>
      <c r="G837" s="2">
        <f>DAY(EOMONTH(TA[[#This Row],[Month Year]],0))</f>
        <v>31</v>
      </c>
      <c r="H837" s="21">
        <v>45801</v>
      </c>
      <c r="I837" s="41">
        <f>IFERROR(VLOOKUP(TA[[#This Row],[Date]],Raw_Data[[Date]:[Sunset Time (POA&lt;20 W/m2)]],3,0),"")</f>
        <v>0.25208333333333333</v>
      </c>
      <c r="J837" s="41">
        <f>IFERROR(VLOOKUP(TA[[#This Row],[Date]],Raw_Data[[Date]:[Sunset Time (POA&lt;20 W/m2)]],4,0),"")</f>
        <v>0.77777777777777779</v>
      </c>
      <c r="K837" s="35">
        <f>IFERROR((TA[[#This Row],[Sunset Time (POA&lt;20 W/m2)]]-TA[[#This Row],[Sunrise Time (POA&gt;20 W/m2)]])*24,"")</f>
        <v>12.616666666666667</v>
      </c>
      <c r="L837" s="2" t="s">
        <v>312</v>
      </c>
      <c r="M837" s="42">
        <f>IFERROR(VLOOKUP(TA[[#This Row],[Affected Equipment]],'Basic Data'!$I$2:$K$40,3,0),"")</f>
        <v>5.74712643678161E-3</v>
      </c>
      <c r="N837">
        <v>-28</v>
      </c>
      <c r="O837" t="s">
        <v>133</v>
      </c>
      <c r="P837" s="22" t="s">
        <v>330</v>
      </c>
      <c r="Q837" s="2" t="s">
        <v>323</v>
      </c>
      <c r="R837">
        <v>26</v>
      </c>
      <c r="S837" s="2">
        <v>37</v>
      </c>
      <c r="T837" t="s">
        <v>297</v>
      </c>
      <c r="U837" t="s">
        <v>300</v>
      </c>
      <c r="V837" t="s">
        <v>301</v>
      </c>
      <c r="W837" s="41"/>
      <c r="X837" s="41"/>
      <c r="Y837" s="34"/>
      <c r="Z837" s="34"/>
      <c r="AA837" s="35">
        <f>IF(TA[[#This Row],[Work Start time on Fault]]="NA","",(TA[[#This Row],[Fault Acknowledgement Time ]]-TA[[#This Row],[Fault Time]])*24)</f>
        <v>0</v>
      </c>
      <c r="AB837" s="35">
        <f>(TA[[#This Row],[Work Start time on Fault]]-TA[[#This Row],[Fault Time]])*24</f>
        <v>0</v>
      </c>
      <c r="AC837" s="34">
        <f>(TA[[#This Row],[Work Completion time on fault]]-TA[[#This Row],[Fault Time]])*24</f>
        <v>0</v>
      </c>
      <c r="AD837" s="35">
        <f>IFERROR((TA[[#This Row],[Work Completion time on fault]]-TA[[#This Row],[Fault Time]])*24,"")</f>
        <v>0</v>
      </c>
      <c r="AE837" t="s">
        <v>328</v>
      </c>
      <c r="AF837" t="s">
        <v>256</v>
      </c>
      <c r="AG837" s="2"/>
      <c r="AH837" s="44">
        <f>1-COS(RADIANS(TA[[#This Row],[Avg. Target Angle during Fault Time (Radians)]]-TA[[#This Row],[Angle of affected equipment ]]))</f>
        <v>0.11705240714107301</v>
      </c>
      <c r="AI837" s="35">
        <f>IFERROR(TA[[#This Row],[Breakdown Time]]*TA[[#This Row],[Plant Equivalent Weightage]],"")</f>
        <v>0</v>
      </c>
    </row>
    <row r="838" spans="1:35">
      <c r="A838" s="2">
        <f t="shared" si="65"/>
        <v>835</v>
      </c>
      <c r="B838" s="156">
        <f t="shared" si="68"/>
        <v>2026</v>
      </c>
      <c r="C838" s="129">
        <f t="shared" si="69"/>
        <v>2025</v>
      </c>
      <c r="D838" s="2" t="s">
        <v>155</v>
      </c>
      <c r="E838" s="2" t="s">
        <v>155</v>
      </c>
      <c r="F838" s="39">
        <v>45778</v>
      </c>
      <c r="G838" s="2">
        <f>DAY(EOMONTH(TA[[#This Row],[Month Year]],0))</f>
        <v>31</v>
      </c>
      <c r="H838" s="21">
        <v>45801</v>
      </c>
      <c r="I838" s="41">
        <f>IFERROR(VLOOKUP(TA[[#This Row],[Date]],Raw_Data[[Date]:[Sunset Time (POA&lt;20 W/m2)]],3,0),"")</f>
        <v>0.25208333333333333</v>
      </c>
      <c r="J838" s="41">
        <f>IFERROR(VLOOKUP(TA[[#This Row],[Date]],Raw_Data[[Date]:[Sunset Time (POA&lt;20 W/m2)]],4,0),"")</f>
        <v>0.77777777777777779</v>
      </c>
      <c r="K838" s="35">
        <f>IFERROR((TA[[#This Row],[Sunset Time (POA&lt;20 W/m2)]]-TA[[#This Row],[Sunrise Time (POA&gt;20 W/m2)]])*24,"")</f>
        <v>12.616666666666667</v>
      </c>
      <c r="L838" s="2" t="s">
        <v>312</v>
      </c>
      <c r="M838" s="42">
        <f>IFERROR(VLOOKUP(TA[[#This Row],[Affected Equipment]],'Basic Data'!$I$2:$K$40,3,0),"")</f>
        <v>5.74712643678161E-3</v>
      </c>
      <c r="N838">
        <v>-28</v>
      </c>
      <c r="O838" t="s">
        <v>133</v>
      </c>
      <c r="P838" s="22" t="s">
        <v>330</v>
      </c>
      <c r="Q838" s="2" t="s">
        <v>323</v>
      </c>
      <c r="R838">
        <v>27</v>
      </c>
      <c r="S838" s="2">
        <v>42</v>
      </c>
      <c r="T838" t="s">
        <v>297</v>
      </c>
      <c r="U838" t="s">
        <v>300</v>
      </c>
      <c r="V838" t="s">
        <v>301</v>
      </c>
      <c r="W838" s="41">
        <f>IFERROR(VLOOKUP(TA[[#This Row],[Date]],Raw_Data[[Date]:[Sunset Time (POA&lt;20 W/m2)]],3,0),"")</f>
        <v>0.25208333333333333</v>
      </c>
      <c r="X838" s="41">
        <f>IFERROR(VLOOKUP(TA[[#This Row],[Date]],Raw_Data[[Date]:[Sunset Time (POA&lt;20 W/m2)]],3,0),"")</f>
        <v>0.25208333333333333</v>
      </c>
      <c r="Y838" s="34"/>
      <c r="Z838" s="34">
        <v>0.76041666666666663</v>
      </c>
      <c r="AA838" s="35">
        <f>IF(TA[[#This Row],[Work Start time on Fault]]="NA","",(TA[[#This Row],[Fault Acknowledgement Time ]]-TA[[#This Row],[Fault Time]])*24)</f>
        <v>0</v>
      </c>
      <c r="AB838" s="35">
        <f>(TA[[#This Row],[Work Start time on Fault]]-TA[[#This Row],[Fault Time]])*24</f>
        <v>-6.05</v>
      </c>
      <c r="AC838" s="34">
        <f>(TA[[#This Row],[Work Completion time on fault]]-TA[[#This Row],[Fault Time]])*24</f>
        <v>12.2</v>
      </c>
      <c r="AD838" s="35">
        <f>IFERROR((TA[[#This Row],[Work Completion time on fault]]-TA[[#This Row],[Fault Time]])*24,"")</f>
        <v>12.2</v>
      </c>
      <c r="AE838" t="s">
        <v>309</v>
      </c>
      <c r="AF838" t="s">
        <v>256</v>
      </c>
      <c r="AG838" s="2"/>
      <c r="AH838" s="44">
        <f>1-COS(RADIANS(TA[[#This Row],[Avg. Target Angle during Fault Time (Radians)]]-TA[[#This Row],[Angle of affected equipment ]]))</f>
        <v>0.11705240714107301</v>
      </c>
      <c r="AI838" s="35">
        <f>IFERROR(TA[[#This Row],[Breakdown Time]]*TA[[#This Row],[Plant Equivalent Weightage]],"")</f>
        <v>7.0114942528735638E-2</v>
      </c>
    </row>
    <row r="839" spans="1:35">
      <c r="A839" s="2">
        <f t="shared" si="65"/>
        <v>836</v>
      </c>
      <c r="B839" s="156">
        <f t="shared" ref="B839:B852" si="70">YEAR(H839)+IF(MONTH(H839)&gt;=4,1,0)</f>
        <v>2026</v>
      </c>
      <c r="C839" s="129">
        <f t="shared" ref="C839:C852" si="71">YEAR(H839)</f>
        <v>2025</v>
      </c>
      <c r="D839" s="2" t="s">
        <v>155</v>
      </c>
      <c r="E839" s="2" t="s">
        <v>155</v>
      </c>
      <c r="F839" s="39">
        <v>45778</v>
      </c>
      <c r="G839" s="2">
        <f>DAY(EOMONTH(TA[[#This Row],[Month Year]],0))</f>
        <v>31</v>
      </c>
      <c r="H839" s="21">
        <v>45802</v>
      </c>
      <c r="I839" s="41">
        <f>IFERROR(VLOOKUP(TA[[#This Row],[Date]],Raw_Data[[Date]:[Sunset Time (POA&lt;20 W/m2)]],3,0),"")</f>
        <v>0.24861111111111112</v>
      </c>
      <c r="J839" s="41">
        <f>IFERROR(VLOOKUP(TA[[#This Row],[Date]],Raw_Data[[Date]:[Sunset Time (POA&lt;20 W/m2)]],4,0),"")</f>
        <v>0.77708333333333335</v>
      </c>
      <c r="K839" s="35">
        <f>IFERROR((TA[[#This Row],[Sunset Time (POA&lt;20 W/m2)]]-TA[[#This Row],[Sunrise Time (POA&gt;20 W/m2)]])*24,"")</f>
        <v>12.683333333333334</v>
      </c>
      <c r="L839" s="2" t="s">
        <v>294</v>
      </c>
      <c r="M839" s="42">
        <f>IFERROR(VLOOKUP(TA[[#This Row],[Affected Equipment]],'Basic Data'!$I$2:$K$40,3,0),"")</f>
        <v>1.7241379310344799E-3</v>
      </c>
      <c r="N839">
        <v>-28</v>
      </c>
      <c r="O839" t="s">
        <v>135</v>
      </c>
      <c r="P839" s="127" t="s">
        <v>318</v>
      </c>
      <c r="Q839" s="126" t="s">
        <v>318</v>
      </c>
      <c r="R839">
        <v>130</v>
      </c>
      <c r="S839" s="2">
        <v>37</v>
      </c>
      <c r="T839" t="s">
        <v>295</v>
      </c>
      <c r="U839" t="s">
        <v>300</v>
      </c>
      <c r="V839" t="s">
        <v>298</v>
      </c>
      <c r="W839" s="41"/>
      <c r="X839" s="41"/>
      <c r="Y839" s="34"/>
      <c r="Z839" s="34"/>
      <c r="AA839" s="35">
        <f>IF(TA[[#This Row],[Work Start time on Fault]]="NA","",(TA[[#This Row],[Fault Acknowledgement Time ]]-TA[[#This Row],[Fault Time]])*24)</f>
        <v>0</v>
      </c>
      <c r="AB839" s="35">
        <f>(TA[[#This Row],[Work Start time on Fault]]-TA[[#This Row],[Fault Time]])*24</f>
        <v>0</v>
      </c>
      <c r="AC839" s="34">
        <f>(TA[[#This Row],[Work Completion time on fault]]-TA[[#This Row],[Fault Time]])*24</f>
        <v>0</v>
      </c>
      <c r="AD839" s="35">
        <f>IFERROR((TA[[#This Row],[Work Completion time on fault]]-TA[[#This Row],[Fault Time]])*24,"")</f>
        <v>0</v>
      </c>
      <c r="AE839" t="s">
        <v>328</v>
      </c>
      <c r="AF839" t="s">
        <v>256</v>
      </c>
      <c r="AG839" s="2"/>
      <c r="AH839" s="44">
        <f>1-COS(RADIANS(TA[[#This Row],[Avg. Target Angle during Fault Time (Radians)]]-TA[[#This Row],[Angle of affected equipment ]]))</f>
        <v>0.11705240714107301</v>
      </c>
      <c r="AI839" s="35">
        <f>IFERROR(TA[[#This Row],[Breakdown Time]]*TA[[#This Row],[Plant Equivalent Weightage]],"")</f>
        <v>0</v>
      </c>
    </row>
    <row r="840" spans="1:35">
      <c r="A840" s="2">
        <f t="shared" si="65"/>
        <v>837</v>
      </c>
      <c r="B840" s="156">
        <f t="shared" si="70"/>
        <v>2026</v>
      </c>
      <c r="C840" s="129">
        <f t="shared" si="71"/>
        <v>2025</v>
      </c>
      <c r="D840" s="2" t="s">
        <v>155</v>
      </c>
      <c r="E840" s="2" t="s">
        <v>155</v>
      </c>
      <c r="F840" s="39">
        <v>45778</v>
      </c>
      <c r="G840" s="2">
        <f>DAY(EOMONTH(TA[[#This Row],[Month Year]],0))</f>
        <v>31</v>
      </c>
      <c r="H840" s="21">
        <v>45802</v>
      </c>
      <c r="I840" s="41">
        <f>IFERROR(VLOOKUP(TA[[#This Row],[Date]],Raw_Data[[Date]:[Sunset Time (POA&lt;20 W/m2)]],3,0),"")</f>
        <v>0.24861111111111112</v>
      </c>
      <c r="J840" s="41">
        <f>IFERROR(VLOOKUP(TA[[#This Row],[Date]],Raw_Data[[Date]:[Sunset Time (POA&lt;20 W/m2)]],4,0),"")</f>
        <v>0.77708333333333335</v>
      </c>
      <c r="K840" s="35">
        <f>IFERROR((TA[[#This Row],[Sunset Time (POA&lt;20 W/m2)]]-TA[[#This Row],[Sunrise Time (POA&gt;20 W/m2)]])*24,"")</f>
        <v>12.683333333333334</v>
      </c>
      <c r="L840" s="2" t="s">
        <v>294</v>
      </c>
      <c r="M840" s="42">
        <f>IFERROR(VLOOKUP(TA[[#This Row],[Affected Equipment]],'Basic Data'!$I$2:$K$40,3,0),"")</f>
        <v>1.7241379310344799E-3</v>
      </c>
      <c r="N840">
        <v>-28</v>
      </c>
      <c r="O840" t="s">
        <v>135</v>
      </c>
      <c r="P840" s="127" t="s">
        <v>318</v>
      </c>
      <c r="Q840" s="126" t="s">
        <v>318</v>
      </c>
      <c r="R840">
        <v>131</v>
      </c>
      <c r="S840" s="2">
        <v>38</v>
      </c>
      <c r="T840" t="s">
        <v>295</v>
      </c>
      <c r="U840" t="s">
        <v>300</v>
      </c>
      <c r="V840" t="s">
        <v>298</v>
      </c>
      <c r="W840" s="41"/>
      <c r="X840" s="41"/>
      <c r="Y840" s="34"/>
      <c r="Z840" s="34"/>
      <c r="AA840" s="35">
        <f>IF(TA[[#This Row],[Work Start time on Fault]]="NA","",(TA[[#This Row],[Fault Acknowledgement Time ]]-TA[[#This Row],[Fault Time]])*24)</f>
        <v>0</v>
      </c>
      <c r="AB840" s="35">
        <f>(TA[[#This Row],[Work Start time on Fault]]-TA[[#This Row],[Fault Time]])*24</f>
        <v>0</v>
      </c>
      <c r="AC840" s="34">
        <f>(TA[[#This Row],[Work Completion time on fault]]-TA[[#This Row],[Fault Time]])*24</f>
        <v>0</v>
      </c>
      <c r="AD840" s="35">
        <f>IFERROR((TA[[#This Row],[Work Completion time on fault]]-TA[[#This Row],[Fault Time]])*24,"")</f>
        <v>0</v>
      </c>
      <c r="AE840" t="s">
        <v>328</v>
      </c>
      <c r="AF840" t="s">
        <v>256</v>
      </c>
      <c r="AG840" s="2"/>
      <c r="AH840" s="44">
        <f>1-COS(RADIANS(TA[[#This Row],[Avg. Target Angle during Fault Time (Radians)]]-TA[[#This Row],[Angle of affected equipment ]]))</f>
        <v>0.11705240714107301</v>
      </c>
      <c r="AI840" s="35">
        <f>IFERROR(TA[[#This Row],[Breakdown Time]]*TA[[#This Row],[Plant Equivalent Weightage]],"")</f>
        <v>0</v>
      </c>
    </row>
    <row r="841" spans="1:35">
      <c r="A841" s="2">
        <f t="shared" si="65"/>
        <v>838</v>
      </c>
      <c r="B841" s="156">
        <f t="shared" si="70"/>
        <v>2026</v>
      </c>
      <c r="C841" s="129">
        <f t="shared" si="71"/>
        <v>2025</v>
      </c>
      <c r="D841" s="2" t="s">
        <v>155</v>
      </c>
      <c r="E841" s="2" t="s">
        <v>155</v>
      </c>
      <c r="F841" s="39">
        <v>45778</v>
      </c>
      <c r="G841" s="2">
        <f>DAY(EOMONTH(TA[[#This Row],[Month Year]],0))</f>
        <v>31</v>
      </c>
      <c r="H841" s="21">
        <v>45802</v>
      </c>
      <c r="I841" s="41">
        <f>IFERROR(VLOOKUP(TA[[#This Row],[Date]],Raw_Data[[Date]:[Sunset Time (POA&lt;20 W/m2)]],3,0),"")</f>
        <v>0.24861111111111112</v>
      </c>
      <c r="J841" s="41">
        <f>IFERROR(VLOOKUP(TA[[#This Row],[Date]],Raw_Data[[Date]:[Sunset Time (POA&lt;20 W/m2)]],4,0),"")</f>
        <v>0.77708333333333335</v>
      </c>
      <c r="K841" s="35">
        <f>IFERROR((TA[[#This Row],[Sunset Time (POA&lt;20 W/m2)]]-TA[[#This Row],[Sunrise Time (POA&gt;20 W/m2)]])*24,"")</f>
        <v>12.683333333333334</v>
      </c>
      <c r="L841" s="2" t="s">
        <v>294</v>
      </c>
      <c r="M841" s="42">
        <f>IFERROR(VLOOKUP(TA[[#This Row],[Affected Equipment]],'Basic Data'!$I$2:$K$40,3,0),"")</f>
        <v>1.7241379310344799E-3</v>
      </c>
      <c r="N841">
        <v>-28</v>
      </c>
      <c r="O841" t="s">
        <v>135</v>
      </c>
      <c r="P841" s="127" t="s">
        <v>318</v>
      </c>
      <c r="Q841" s="126" t="s">
        <v>318</v>
      </c>
      <c r="R841">
        <v>131</v>
      </c>
      <c r="S841" s="2">
        <v>39</v>
      </c>
      <c r="T841" t="s">
        <v>295</v>
      </c>
      <c r="U841" t="s">
        <v>300</v>
      </c>
      <c r="V841" t="s">
        <v>298</v>
      </c>
      <c r="W841" s="41"/>
      <c r="X841" s="41"/>
      <c r="Y841" s="34"/>
      <c r="Z841" s="34"/>
      <c r="AA841" s="35">
        <f>IF(TA[[#This Row],[Work Start time on Fault]]="NA","",(TA[[#This Row],[Fault Acknowledgement Time ]]-TA[[#This Row],[Fault Time]])*24)</f>
        <v>0</v>
      </c>
      <c r="AB841" s="35">
        <f>(TA[[#This Row],[Work Start time on Fault]]-TA[[#This Row],[Fault Time]])*24</f>
        <v>0</v>
      </c>
      <c r="AC841" s="34">
        <f>(TA[[#This Row],[Work Completion time on fault]]-TA[[#This Row],[Fault Time]])*24</f>
        <v>0</v>
      </c>
      <c r="AD841" s="35">
        <f>IFERROR((TA[[#This Row],[Work Completion time on fault]]-TA[[#This Row],[Fault Time]])*24,"")</f>
        <v>0</v>
      </c>
      <c r="AE841" t="s">
        <v>328</v>
      </c>
      <c r="AF841" t="s">
        <v>256</v>
      </c>
      <c r="AG841" s="2"/>
      <c r="AH841" s="44">
        <f>1-COS(RADIANS(TA[[#This Row],[Avg. Target Angle during Fault Time (Radians)]]-TA[[#This Row],[Angle of affected equipment ]]))</f>
        <v>0.11705240714107301</v>
      </c>
      <c r="AI841" s="35">
        <f>IFERROR(TA[[#This Row],[Breakdown Time]]*TA[[#This Row],[Plant Equivalent Weightage]],"")</f>
        <v>0</v>
      </c>
    </row>
    <row r="842" spans="1:35">
      <c r="A842" s="2">
        <f t="shared" si="65"/>
        <v>839</v>
      </c>
      <c r="B842" s="156">
        <f t="shared" si="70"/>
        <v>2026</v>
      </c>
      <c r="C842" s="129">
        <f t="shared" si="71"/>
        <v>2025</v>
      </c>
      <c r="D842" s="2" t="s">
        <v>155</v>
      </c>
      <c r="E842" s="2" t="s">
        <v>155</v>
      </c>
      <c r="F842" s="39">
        <v>45778</v>
      </c>
      <c r="G842" s="2">
        <f>DAY(EOMONTH(TA[[#This Row],[Month Year]],0))</f>
        <v>31</v>
      </c>
      <c r="H842" s="21">
        <v>45802</v>
      </c>
      <c r="I842" s="41">
        <f>IFERROR(VLOOKUP(TA[[#This Row],[Date]],Raw_Data[[Date]:[Sunset Time (POA&lt;20 W/m2)]],3,0),"")</f>
        <v>0.24861111111111112</v>
      </c>
      <c r="J842" s="41">
        <f>IFERROR(VLOOKUP(TA[[#This Row],[Date]],Raw_Data[[Date]:[Sunset Time (POA&lt;20 W/m2)]],4,0),"")</f>
        <v>0.77708333333333335</v>
      </c>
      <c r="K842" s="35">
        <f>IFERROR((TA[[#This Row],[Sunset Time (POA&lt;20 W/m2)]]-TA[[#This Row],[Sunrise Time (POA&gt;20 W/m2)]])*24,"")</f>
        <v>12.683333333333334</v>
      </c>
      <c r="L842" s="2" t="s">
        <v>296</v>
      </c>
      <c r="M842" s="42">
        <f>IFERROR(VLOOKUP(TA[[#This Row],[Affected Equipment]],'Basic Data'!$I$2:$K$40,3,0),"")</f>
        <v>8.6206896551724102E-3</v>
      </c>
      <c r="N842">
        <v>-28</v>
      </c>
      <c r="O842" t="s">
        <v>135</v>
      </c>
      <c r="P842" s="127" t="s">
        <v>318</v>
      </c>
      <c r="Q842" s="2" t="s">
        <v>321</v>
      </c>
      <c r="R842">
        <v>133</v>
      </c>
      <c r="S842" s="2">
        <v>26</v>
      </c>
      <c r="T842" t="s">
        <v>297</v>
      </c>
      <c r="U842" t="s">
        <v>300</v>
      </c>
      <c r="V842" t="s">
        <v>314</v>
      </c>
      <c r="W842" s="41">
        <f>IFERROR(VLOOKUP(TA[[#This Row],[Date]],Raw_Data[[Date]:[Sunset Time (POA&lt;20 W/m2)]],3,0),"")</f>
        <v>0.24861111111111112</v>
      </c>
      <c r="X842" s="41">
        <f>IFERROR(VLOOKUP(TA[[#This Row],[Date]],Raw_Data[[Date]:[Sunset Time (POA&lt;20 W/m2)]],3,0),"")</f>
        <v>0.24861111111111112</v>
      </c>
      <c r="Y842" s="34"/>
      <c r="Z842" s="34">
        <v>0.76041666666666663</v>
      </c>
      <c r="AA842" s="35">
        <f>IF(TA[[#This Row],[Work Start time on Fault]]="NA","",(TA[[#This Row],[Fault Acknowledgement Time ]]-TA[[#This Row],[Fault Time]])*24)</f>
        <v>0</v>
      </c>
      <c r="AB842" s="35">
        <f>(TA[[#This Row],[Work Start time on Fault]]-TA[[#This Row],[Fault Time]])*24</f>
        <v>-5.9666666666666668</v>
      </c>
      <c r="AC842" s="34">
        <f>(TA[[#This Row],[Work Completion time on fault]]-TA[[#This Row],[Fault Time]])*24</f>
        <v>12.283333333333331</v>
      </c>
      <c r="AD842" s="35">
        <f>IFERROR((TA[[#This Row],[Work Completion time on fault]]-TA[[#This Row],[Fault Time]])*24,"")</f>
        <v>12.283333333333331</v>
      </c>
      <c r="AE842" t="s">
        <v>328</v>
      </c>
      <c r="AF842" t="s">
        <v>256</v>
      </c>
      <c r="AG842" s="2"/>
      <c r="AH842" s="44">
        <f>1-COS(RADIANS(TA[[#This Row],[Avg. Target Angle during Fault Time (Radians)]]-TA[[#This Row],[Angle of affected equipment ]]))</f>
        <v>0.11705240714107301</v>
      </c>
      <c r="AI842" s="35">
        <f>IFERROR(TA[[#This Row],[Breakdown Time]]*TA[[#This Row],[Plant Equivalent Weightage]],"")</f>
        <v>0.10589080459770109</v>
      </c>
    </row>
    <row r="843" spans="1:35">
      <c r="A843" s="2">
        <f t="shared" si="65"/>
        <v>840</v>
      </c>
      <c r="B843" s="156">
        <f t="shared" si="70"/>
        <v>2026</v>
      </c>
      <c r="C843" s="129">
        <f t="shared" si="71"/>
        <v>2025</v>
      </c>
      <c r="D843" s="2" t="s">
        <v>155</v>
      </c>
      <c r="E843" s="2" t="s">
        <v>155</v>
      </c>
      <c r="F843" s="39">
        <v>45778</v>
      </c>
      <c r="G843" s="2">
        <f>DAY(EOMONTH(TA[[#This Row],[Month Year]],0))</f>
        <v>31</v>
      </c>
      <c r="H843" s="21">
        <v>45802</v>
      </c>
      <c r="I843" s="41">
        <f>IFERROR(VLOOKUP(TA[[#This Row],[Date]],Raw_Data[[Date]:[Sunset Time (POA&lt;20 W/m2)]],3,0),"")</f>
        <v>0.24861111111111112</v>
      </c>
      <c r="J843" s="41">
        <f>IFERROR(VLOOKUP(TA[[#This Row],[Date]],Raw_Data[[Date]:[Sunset Time (POA&lt;20 W/m2)]],4,0),"")</f>
        <v>0.77708333333333335</v>
      </c>
      <c r="K843" s="35">
        <f>IFERROR((TA[[#This Row],[Sunset Time (POA&lt;20 W/m2)]]-TA[[#This Row],[Sunrise Time (POA&gt;20 W/m2)]])*24,"")</f>
        <v>12.683333333333334</v>
      </c>
      <c r="L843" s="2" t="s">
        <v>294</v>
      </c>
      <c r="M843" s="42">
        <f>IFERROR(VLOOKUP(TA[[#This Row],[Affected Equipment]],'Basic Data'!$I$2:$K$40,3,0),"")</f>
        <v>1.7241379310344799E-3</v>
      </c>
      <c r="N843">
        <v>-28</v>
      </c>
      <c r="O843" t="s">
        <v>133</v>
      </c>
      <c r="P843" s="127" t="s">
        <v>316</v>
      </c>
      <c r="Q843" s="126" t="s">
        <v>317</v>
      </c>
      <c r="R843">
        <v>7</v>
      </c>
      <c r="S843" s="2">
        <v>32</v>
      </c>
      <c r="T843" t="s">
        <v>295</v>
      </c>
      <c r="U843" t="s">
        <v>300</v>
      </c>
      <c r="V843" t="s">
        <v>298</v>
      </c>
      <c r="W843" s="41"/>
      <c r="X843" s="41"/>
      <c r="Y843" s="34"/>
      <c r="Z843" s="34"/>
      <c r="AA843" s="35">
        <f>IF(TA[[#This Row],[Work Start time on Fault]]="NA","",(TA[[#This Row],[Fault Acknowledgement Time ]]-TA[[#This Row],[Fault Time]])*24)</f>
        <v>0</v>
      </c>
      <c r="AB843" s="35">
        <f>(TA[[#This Row],[Work Start time on Fault]]-TA[[#This Row],[Fault Time]])*24</f>
        <v>0</v>
      </c>
      <c r="AC843" s="34">
        <f>(TA[[#This Row],[Work Completion time on fault]]-TA[[#This Row],[Fault Time]])*24</f>
        <v>0</v>
      </c>
      <c r="AD843" s="35">
        <f>IFERROR((TA[[#This Row],[Work Completion time on fault]]-TA[[#This Row],[Fault Time]])*24,"")</f>
        <v>0</v>
      </c>
      <c r="AE843" t="s">
        <v>328</v>
      </c>
      <c r="AF843" t="s">
        <v>256</v>
      </c>
      <c r="AG843" s="2"/>
      <c r="AH843" s="44">
        <f>1-COS(RADIANS(TA[[#This Row],[Avg. Target Angle during Fault Time (Radians)]]-TA[[#This Row],[Angle of affected equipment ]]))</f>
        <v>0.11705240714107301</v>
      </c>
      <c r="AI843" s="35">
        <f>IFERROR(TA[[#This Row],[Breakdown Time]]*TA[[#This Row],[Plant Equivalent Weightage]],"")</f>
        <v>0</v>
      </c>
    </row>
    <row r="844" spans="1:35">
      <c r="A844" s="2">
        <f t="shared" si="65"/>
        <v>841</v>
      </c>
      <c r="B844" s="156">
        <f t="shared" si="70"/>
        <v>2026</v>
      </c>
      <c r="C844" s="129">
        <f t="shared" si="71"/>
        <v>2025</v>
      </c>
      <c r="D844" s="2" t="s">
        <v>155</v>
      </c>
      <c r="E844" s="2" t="s">
        <v>155</v>
      </c>
      <c r="F844" s="39">
        <v>45778</v>
      </c>
      <c r="G844" s="2">
        <f>DAY(EOMONTH(TA[[#This Row],[Month Year]],0))</f>
        <v>31</v>
      </c>
      <c r="H844" s="21">
        <v>45802</v>
      </c>
      <c r="I844" s="41">
        <f>IFERROR(VLOOKUP(TA[[#This Row],[Date]],Raw_Data[[Date]:[Sunset Time (POA&lt;20 W/m2)]],3,0),"")</f>
        <v>0.24861111111111112</v>
      </c>
      <c r="J844" s="41">
        <f>IFERROR(VLOOKUP(TA[[#This Row],[Date]],Raw_Data[[Date]:[Sunset Time (POA&lt;20 W/m2)]],4,0),"")</f>
        <v>0.77708333333333335</v>
      </c>
      <c r="K844" s="35">
        <f>IFERROR((TA[[#This Row],[Sunset Time (POA&lt;20 W/m2)]]-TA[[#This Row],[Sunrise Time (POA&gt;20 W/m2)]])*24,"")</f>
        <v>12.683333333333334</v>
      </c>
      <c r="L844" s="2" t="s">
        <v>294</v>
      </c>
      <c r="M844" s="42">
        <f>IFERROR(VLOOKUP(TA[[#This Row],[Affected Equipment]],'Basic Data'!$I$2:$K$40,3,0),"")</f>
        <v>1.7241379310344799E-3</v>
      </c>
      <c r="N844">
        <v>-28</v>
      </c>
      <c r="O844" t="s">
        <v>137</v>
      </c>
      <c r="P844" s="127" t="s">
        <v>315</v>
      </c>
      <c r="Q844" s="126" t="s">
        <v>319</v>
      </c>
      <c r="R844">
        <v>166</v>
      </c>
      <c r="S844" s="2">
        <v>91</v>
      </c>
      <c r="T844" t="s">
        <v>295</v>
      </c>
      <c r="U844" t="s">
        <v>300</v>
      </c>
      <c r="V844" t="s">
        <v>298</v>
      </c>
      <c r="W844" s="41"/>
      <c r="X844" s="41"/>
      <c r="Y844" s="34"/>
      <c r="Z844" s="34"/>
      <c r="AA844" s="35">
        <f>IF(TA[[#This Row],[Work Start time on Fault]]="NA","",(TA[[#This Row],[Fault Acknowledgement Time ]]-TA[[#This Row],[Fault Time]])*24)</f>
        <v>0</v>
      </c>
      <c r="AB844" s="35">
        <f>(TA[[#This Row],[Work Start time on Fault]]-TA[[#This Row],[Fault Time]])*24</f>
        <v>0</v>
      </c>
      <c r="AC844" s="34">
        <f>(TA[[#This Row],[Work Completion time on fault]]-TA[[#This Row],[Fault Time]])*24</f>
        <v>0</v>
      </c>
      <c r="AD844" s="35">
        <f>IFERROR((TA[[#This Row],[Work Completion time on fault]]-TA[[#This Row],[Fault Time]])*24,"")</f>
        <v>0</v>
      </c>
      <c r="AE844" t="s">
        <v>328</v>
      </c>
      <c r="AF844" t="s">
        <v>256</v>
      </c>
      <c r="AG844" s="2"/>
      <c r="AH844" s="44">
        <f>1-COS(RADIANS(TA[[#This Row],[Avg. Target Angle during Fault Time (Radians)]]-TA[[#This Row],[Angle of affected equipment ]]))</f>
        <v>0.11705240714107301</v>
      </c>
      <c r="AI844" s="35">
        <f>IFERROR(TA[[#This Row],[Breakdown Time]]*TA[[#This Row],[Plant Equivalent Weightage]],"")</f>
        <v>0</v>
      </c>
    </row>
    <row r="845" spans="1:35">
      <c r="A845" s="2">
        <f t="shared" si="65"/>
        <v>842</v>
      </c>
      <c r="B845" s="156">
        <f t="shared" si="70"/>
        <v>2026</v>
      </c>
      <c r="C845" s="129">
        <f t="shared" si="71"/>
        <v>2025</v>
      </c>
      <c r="D845" s="2" t="s">
        <v>155</v>
      </c>
      <c r="E845" s="2" t="s">
        <v>155</v>
      </c>
      <c r="F845" s="39">
        <v>45778</v>
      </c>
      <c r="G845" s="2">
        <f>DAY(EOMONTH(TA[[#This Row],[Month Year]],0))</f>
        <v>31</v>
      </c>
      <c r="H845" s="21">
        <v>45802</v>
      </c>
      <c r="I845" s="41">
        <f>IFERROR(VLOOKUP(TA[[#This Row],[Date]],Raw_Data[[Date]:[Sunset Time (POA&lt;20 W/m2)]],3,0),"")</f>
        <v>0.24861111111111112</v>
      </c>
      <c r="J845" s="41">
        <f>IFERROR(VLOOKUP(TA[[#This Row],[Date]],Raw_Data[[Date]:[Sunset Time (POA&lt;20 W/m2)]],4,0),"")</f>
        <v>0.77708333333333335</v>
      </c>
      <c r="K845" s="35">
        <f>IFERROR((TA[[#This Row],[Sunset Time (POA&lt;20 W/m2)]]-TA[[#This Row],[Sunrise Time (POA&gt;20 W/m2)]])*24,"")</f>
        <v>12.683333333333334</v>
      </c>
      <c r="L845" s="2" t="s">
        <v>294</v>
      </c>
      <c r="M845" s="42">
        <f>IFERROR(VLOOKUP(TA[[#This Row],[Affected Equipment]],'Basic Data'!$I$2:$K$40,3,0),"")</f>
        <v>1.7241379310344799E-3</v>
      </c>
      <c r="N845">
        <v>-28</v>
      </c>
      <c r="O845" t="s">
        <v>133</v>
      </c>
      <c r="P845" s="127" t="s">
        <v>316</v>
      </c>
      <c r="Q845" s="126" t="s">
        <v>316</v>
      </c>
      <c r="R845">
        <v>117</v>
      </c>
      <c r="S845" s="2">
        <v>20</v>
      </c>
      <c r="T845" t="s">
        <v>295</v>
      </c>
      <c r="U845" t="s">
        <v>300</v>
      </c>
      <c r="V845" t="s">
        <v>298</v>
      </c>
      <c r="W845" s="41"/>
      <c r="X845" s="41"/>
      <c r="Y845" s="34"/>
      <c r="Z845" s="34"/>
      <c r="AA845" s="35">
        <f>IF(TA[[#This Row],[Work Start time on Fault]]="NA","",(TA[[#This Row],[Fault Acknowledgement Time ]]-TA[[#This Row],[Fault Time]])*24)</f>
        <v>0</v>
      </c>
      <c r="AB845" s="35">
        <f>(TA[[#This Row],[Work Start time on Fault]]-TA[[#This Row],[Fault Time]])*24</f>
        <v>0</v>
      </c>
      <c r="AC845" s="34">
        <f>(TA[[#This Row],[Work Completion time on fault]]-TA[[#This Row],[Fault Time]])*24</f>
        <v>0</v>
      </c>
      <c r="AD845" s="35">
        <f>IFERROR((TA[[#This Row],[Work Completion time on fault]]-TA[[#This Row],[Fault Time]])*24,"")</f>
        <v>0</v>
      </c>
      <c r="AE845" t="s">
        <v>328</v>
      </c>
      <c r="AF845" t="s">
        <v>256</v>
      </c>
      <c r="AG845" s="2"/>
      <c r="AH845" s="44">
        <f>1-COS(RADIANS(TA[[#This Row],[Avg. Target Angle during Fault Time (Radians)]]-TA[[#This Row],[Angle of affected equipment ]]))</f>
        <v>0.11705240714107301</v>
      </c>
      <c r="AI845" s="35">
        <f>IFERROR(TA[[#This Row],[Breakdown Time]]*TA[[#This Row],[Plant Equivalent Weightage]],"")</f>
        <v>0</v>
      </c>
    </row>
    <row r="846" spans="1:35">
      <c r="A846" s="2">
        <f t="shared" si="65"/>
        <v>843</v>
      </c>
      <c r="B846" s="156">
        <f t="shared" si="70"/>
        <v>2026</v>
      </c>
      <c r="C846" s="129">
        <f t="shared" si="71"/>
        <v>2025</v>
      </c>
      <c r="D846" s="2" t="s">
        <v>155</v>
      </c>
      <c r="E846" s="2" t="s">
        <v>155</v>
      </c>
      <c r="F846" s="39">
        <v>45778</v>
      </c>
      <c r="G846" s="2">
        <f>DAY(EOMONTH(TA[[#This Row],[Month Year]],0))</f>
        <v>31</v>
      </c>
      <c r="H846" s="21">
        <v>45802</v>
      </c>
      <c r="I846" s="41">
        <f>IFERROR(VLOOKUP(TA[[#This Row],[Date]],Raw_Data[[Date]:[Sunset Time (POA&lt;20 W/m2)]],3,0),"")</f>
        <v>0.24861111111111112</v>
      </c>
      <c r="J846" s="41">
        <f>IFERROR(VLOOKUP(TA[[#This Row],[Date]],Raw_Data[[Date]:[Sunset Time (POA&lt;20 W/m2)]],4,0),"")</f>
        <v>0.77708333333333335</v>
      </c>
      <c r="K846" s="35">
        <f>IFERROR((TA[[#This Row],[Sunset Time (POA&lt;20 W/m2)]]-TA[[#This Row],[Sunrise Time (POA&gt;20 W/m2)]])*24,"")</f>
        <v>12.683333333333334</v>
      </c>
      <c r="L846" s="2" t="s">
        <v>294</v>
      </c>
      <c r="M846" s="42">
        <f>IFERROR(VLOOKUP(TA[[#This Row],[Affected Equipment]],'Basic Data'!$I$2:$K$40,3,0),"")</f>
        <v>1.7241379310344799E-3</v>
      </c>
      <c r="N846">
        <v>-28</v>
      </c>
      <c r="O846" t="s">
        <v>133</v>
      </c>
      <c r="P846" s="127" t="s">
        <v>316</v>
      </c>
      <c r="Q846" s="126" t="s">
        <v>316</v>
      </c>
      <c r="R846">
        <v>118</v>
      </c>
      <c r="S846" s="2">
        <v>22</v>
      </c>
      <c r="T846" t="s">
        <v>295</v>
      </c>
      <c r="U846" t="s">
        <v>300</v>
      </c>
      <c r="V846" t="s">
        <v>298</v>
      </c>
      <c r="W846" s="41"/>
      <c r="X846" s="41"/>
      <c r="Y846" s="34"/>
      <c r="Z846" s="34"/>
      <c r="AA846" s="35">
        <f>IF(TA[[#This Row],[Work Start time on Fault]]="NA","",(TA[[#This Row],[Fault Acknowledgement Time ]]-TA[[#This Row],[Fault Time]])*24)</f>
        <v>0</v>
      </c>
      <c r="AB846" s="35">
        <f>(TA[[#This Row],[Work Start time on Fault]]-TA[[#This Row],[Fault Time]])*24</f>
        <v>0</v>
      </c>
      <c r="AC846" s="34">
        <f>(TA[[#This Row],[Work Completion time on fault]]-TA[[#This Row],[Fault Time]])*24</f>
        <v>0</v>
      </c>
      <c r="AD846" s="35">
        <f>IFERROR((TA[[#This Row],[Work Completion time on fault]]-TA[[#This Row],[Fault Time]])*24,"")</f>
        <v>0</v>
      </c>
      <c r="AE846" t="s">
        <v>328</v>
      </c>
      <c r="AF846" t="s">
        <v>256</v>
      </c>
      <c r="AG846" s="2"/>
      <c r="AH846" s="44">
        <f>1-COS(RADIANS(TA[[#This Row],[Avg. Target Angle during Fault Time (Radians)]]-TA[[#This Row],[Angle of affected equipment ]]))</f>
        <v>0.11705240714107301</v>
      </c>
      <c r="AI846" s="35">
        <f>IFERROR(TA[[#This Row],[Breakdown Time]]*TA[[#This Row],[Plant Equivalent Weightage]],"")</f>
        <v>0</v>
      </c>
    </row>
    <row r="847" spans="1:35">
      <c r="A847" s="2">
        <f t="shared" si="65"/>
        <v>844</v>
      </c>
      <c r="B847" s="156">
        <f t="shared" si="70"/>
        <v>2026</v>
      </c>
      <c r="C847" s="129">
        <f t="shared" si="71"/>
        <v>2025</v>
      </c>
      <c r="D847" s="2" t="s">
        <v>155</v>
      </c>
      <c r="E847" s="2" t="s">
        <v>155</v>
      </c>
      <c r="F847" s="39">
        <v>45778</v>
      </c>
      <c r="G847" s="2">
        <f>DAY(EOMONTH(TA[[#This Row],[Month Year]],0))</f>
        <v>31</v>
      </c>
      <c r="H847" s="21">
        <v>45802</v>
      </c>
      <c r="I847" s="41">
        <f>IFERROR(VLOOKUP(TA[[#This Row],[Date]],Raw_Data[[Date]:[Sunset Time (POA&lt;20 W/m2)]],3,0),"")</f>
        <v>0.24861111111111112</v>
      </c>
      <c r="J847" s="41">
        <f>IFERROR(VLOOKUP(TA[[#This Row],[Date]],Raw_Data[[Date]:[Sunset Time (POA&lt;20 W/m2)]],4,0),"")</f>
        <v>0.77708333333333335</v>
      </c>
      <c r="K847" s="35">
        <f>IFERROR((TA[[#This Row],[Sunset Time (POA&lt;20 W/m2)]]-TA[[#This Row],[Sunrise Time (POA&gt;20 W/m2)]])*24,"")</f>
        <v>12.683333333333334</v>
      </c>
      <c r="L847" s="2" t="s">
        <v>296</v>
      </c>
      <c r="M847" s="42">
        <f>IFERROR(VLOOKUP(TA[[#This Row],[Affected Equipment]],'Basic Data'!$I$2:$K$40,3,0),"")</f>
        <v>8.6206896551724102E-3</v>
      </c>
      <c r="N847">
        <v>-28</v>
      </c>
      <c r="O847" t="s">
        <v>135</v>
      </c>
      <c r="P847" s="22" t="s">
        <v>323</v>
      </c>
      <c r="Q847" s="2" t="s">
        <v>329</v>
      </c>
      <c r="R847">
        <v>45</v>
      </c>
      <c r="S847" s="2">
        <v>8</v>
      </c>
      <c r="T847" t="s">
        <v>297</v>
      </c>
      <c r="U847" t="s">
        <v>300</v>
      </c>
      <c r="V847" t="s">
        <v>301</v>
      </c>
      <c r="W847" s="41"/>
      <c r="X847" s="41"/>
      <c r="Y847" s="34"/>
      <c r="Z847" s="34"/>
      <c r="AA847" s="35">
        <f>IF(TA[[#This Row],[Work Start time on Fault]]="NA","",(TA[[#This Row],[Fault Acknowledgement Time ]]-TA[[#This Row],[Fault Time]])*24)</f>
        <v>0</v>
      </c>
      <c r="AB847" s="35">
        <f>(TA[[#This Row],[Work Start time on Fault]]-TA[[#This Row],[Fault Time]])*24</f>
        <v>0</v>
      </c>
      <c r="AC847" s="34">
        <f>(TA[[#This Row],[Work Completion time on fault]]-TA[[#This Row],[Fault Time]])*24</f>
        <v>0</v>
      </c>
      <c r="AD847" s="35">
        <f>IFERROR((TA[[#This Row],[Work Completion time on fault]]-TA[[#This Row],[Fault Time]])*24,"")</f>
        <v>0</v>
      </c>
      <c r="AE847" t="s">
        <v>328</v>
      </c>
      <c r="AF847" t="s">
        <v>256</v>
      </c>
      <c r="AG847" s="2"/>
      <c r="AH847" s="44">
        <f>1-COS(RADIANS(TA[[#This Row],[Avg. Target Angle during Fault Time (Radians)]]-TA[[#This Row],[Angle of affected equipment ]]))</f>
        <v>0.11705240714107301</v>
      </c>
      <c r="AI847" s="35">
        <f>IFERROR(TA[[#This Row],[Breakdown Time]]*TA[[#This Row],[Plant Equivalent Weightage]],"")</f>
        <v>0</v>
      </c>
    </row>
    <row r="848" spans="1:35">
      <c r="A848" s="2">
        <f t="shared" si="65"/>
        <v>845</v>
      </c>
      <c r="B848" s="156">
        <f t="shared" si="70"/>
        <v>2026</v>
      </c>
      <c r="C848" s="129">
        <f t="shared" si="71"/>
        <v>2025</v>
      </c>
      <c r="D848" s="2" t="s">
        <v>155</v>
      </c>
      <c r="E848" s="2" t="s">
        <v>155</v>
      </c>
      <c r="F848" s="39">
        <v>45778</v>
      </c>
      <c r="G848" s="2">
        <f>DAY(EOMONTH(TA[[#This Row],[Month Year]],0))</f>
        <v>31</v>
      </c>
      <c r="H848" s="21">
        <v>45802</v>
      </c>
      <c r="I848" s="41">
        <f>IFERROR(VLOOKUP(TA[[#This Row],[Date]],Raw_Data[[Date]:[Sunset Time (POA&lt;20 W/m2)]],3,0),"")</f>
        <v>0.24861111111111112</v>
      </c>
      <c r="J848" s="41">
        <f>IFERROR(VLOOKUP(TA[[#This Row],[Date]],Raw_Data[[Date]:[Sunset Time (POA&lt;20 W/m2)]],4,0),"")</f>
        <v>0.77708333333333335</v>
      </c>
      <c r="K848" s="35">
        <f>IFERROR((TA[[#This Row],[Sunset Time (POA&lt;20 W/m2)]]-TA[[#This Row],[Sunrise Time (POA&gt;20 W/m2)]])*24,"")</f>
        <v>12.683333333333334</v>
      </c>
      <c r="L848" s="2" t="s">
        <v>296</v>
      </c>
      <c r="M848" s="42">
        <f>IFERROR(VLOOKUP(TA[[#This Row],[Affected Equipment]],'Basic Data'!$I$2:$K$40,3,0),"")</f>
        <v>8.6206896551724102E-3</v>
      </c>
      <c r="N848">
        <v>-28</v>
      </c>
      <c r="O848" t="s">
        <v>135</v>
      </c>
      <c r="P848" s="22" t="s">
        <v>323</v>
      </c>
      <c r="Q848" s="2" t="s">
        <v>329</v>
      </c>
      <c r="R848">
        <v>47</v>
      </c>
      <c r="S848" s="2">
        <v>18</v>
      </c>
      <c r="T848" t="s">
        <v>297</v>
      </c>
      <c r="U848" t="s">
        <v>300</v>
      </c>
      <c r="V848" t="s">
        <v>301</v>
      </c>
      <c r="W848" s="41"/>
      <c r="X848" s="41"/>
      <c r="Y848" s="34"/>
      <c r="Z848" s="34"/>
      <c r="AA848" s="35">
        <f>IF(TA[[#This Row],[Work Start time on Fault]]="NA","",(TA[[#This Row],[Fault Acknowledgement Time ]]-TA[[#This Row],[Fault Time]])*24)</f>
        <v>0</v>
      </c>
      <c r="AB848" s="35">
        <f>(TA[[#This Row],[Work Start time on Fault]]-TA[[#This Row],[Fault Time]])*24</f>
        <v>0</v>
      </c>
      <c r="AC848" s="34">
        <f>(TA[[#This Row],[Work Completion time on fault]]-TA[[#This Row],[Fault Time]])*24</f>
        <v>0</v>
      </c>
      <c r="AD848" s="35">
        <f>IFERROR((TA[[#This Row],[Work Completion time on fault]]-TA[[#This Row],[Fault Time]])*24,"")</f>
        <v>0</v>
      </c>
      <c r="AE848" t="s">
        <v>328</v>
      </c>
      <c r="AF848" t="s">
        <v>256</v>
      </c>
      <c r="AG848" s="2"/>
      <c r="AH848" s="44">
        <f>1-COS(RADIANS(TA[[#This Row],[Avg. Target Angle during Fault Time (Radians)]]-TA[[#This Row],[Angle of affected equipment ]]))</f>
        <v>0.11705240714107301</v>
      </c>
      <c r="AI848" s="35">
        <f>IFERROR(TA[[#This Row],[Breakdown Time]]*TA[[#This Row],[Plant Equivalent Weightage]],"")</f>
        <v>0</v>
      </c>
    </row>
    <row r="849" spans="1:35">
      <c r="A849" s="2">
        <f t="shared" si="65"/>
        <v>846</v>
      </c>
      <c r="B849" s="156">
        <f t="shared" si="70"/>
        <v>2026</v>
      </c>
      <c r="C849" s="129">
        <f t="shared" si="71"/>
        <v>2025</v>
      </c>
      <c r="D849" s="2" t="s">
        <v>155</v>
      </c>
      <c r="E849" s="2" t="s">
        <v>155</v>
      </c>
      <c r="F849" s="39">
        <v>45778</v>
      </c>
      <c r="G849" s="2">
        <f>DAY(EOMONTH(TA[[#This Row],[Month Year]],0))</f>
        <v>31</v>
      </c>
      <c r="H849" s="21">
        <v>45802</v>
      </c>
      <c r="I849" s="41">
        <f>IFERROR(VLOOKUP(TA[[#This Row],[Date]],Raw_Data[[Date]:[Sunset Time (POA&lt;20 W/m2)]],3,0),"")</f>
        <v>0.24861111111111112</v>
      </c>
      <c r="J849" s="41">
        <f>IFERROR(VLOOKUP(TA[[#This Row],[Date]],Raw_Data[[Date]:[Sunset Time (POA&lt;20 W/m2)]],4,0),"")</f>
        <v>0.77708333333333335</v>
      </c>
      <c r="K849" s="35">
        <f>IFERROR((TA[[#This Row],[Sunset Time (POA&lt;20 W/m2)]]-TA[[#This Row],[Sunrise Time (POA&gt;20 W/m2)]])*24,"")</f>
        <v>12.683333333333334</v>
      </c>
      <c r="L849" s="2" t="s">
        <v>296</v>
      </c>
      <c r="M849" s="42">
        <f>IFERROR(VLOOKUP(TA[[#This Row],[Affected Equipment]],'Basic Data'!$I$2:$K$40,3,0),"")</f>
        <v>8.6206896551724102E-3</v>
      </c>
      <c r="N849">
        <v>-28</v>
      </c>
      <c r="O849" t="s">
        <v>134</v>
      </c>
      <c r="P849" s="22" t="s">
        <v>330</v>
      </c>
      <c r="Q849" s="2" t="s">
        <v>323</v>
      </c>
      <c r="R849">
        <v>30</v>
      </c>
      <c r="S849" s="2">
        <v>57</v>
      </c>
      <c r="T849" t="s">
        <v>297</v>
      </c>
      <c r="U849" t="s">
        <v>300</v>
      </c>
      <c r="V849" t="s">
        <v>301</v>
      </c>
      <c r="W849" s="41"/>
      <c r="X849" s="41"/>
      <c r="Y849" s="34"/>
      <c r="Z849" s="34"/>
      <c r="AA849" s="35">
        <f>IF(TA[[#This Row],[Work Start time on Fault]]="NA","",(TA[[#This Row],[Fault Acknowledgement Time ]]-TA[[#This Row],[Fault Time]])*24)</f>
        <v>0</v>
      </c>
      <c r="AB849" s="35">
        <f>(TA[[#This Row],[Work Start time on Fault]]-TA[[#This Row],[Fault Time]])*24</f>
        <v>0</v>
      </c>
      <c r="AC849" s="34">
        <f>(TA[[#This Row],[Work Completion time on fault]]-TA[[#This Row],[Fault Time]])*24</f>
        <v>0</v>
      </c>
      <c r="AD849" s="35">
        <f>IFERROR((TA[[#This Row],[Work Completion time on fault]]-TA[[#This Row],[Fault Time]])*24,"")</f>
        <v>0</v>
      </c>
      <c r="AE849" t="s">
        <v>328</v>
      </c>
      <c r="AF849" t="s">
        <v>256</v>
      </c>
      <c r="AG849" s="2"/>
      <c r="AH849" s="44">
        <f>1-COS(RADIANS(TA[[#This Row],[Avg. Target Angle during Fault Time (Radians)]]-TA[[#This Row],[Angle of affected equipment ]]))</f>
        <v>0.11705240714107301</v>
      </c>
      <c r="AI849" s="35">
        <f>IFERROR(TA[[#This Row],[Breakdown Time]]*TA[[#This Row],[Plant Equivalent Weightage]],"")</f>
        <v>0</v>
      </c>
    </row>
    <row r="850" spans="1:35">
      <c r="A850" s="2">
        <f t="shared" si="65"/>
        <v>847</v>
      </c>
      <c r="B850" s="156">
        <f t="shared" si="70"/>
        <v>2026</v>
      </c>
      <c r="C850" s="129">
        <f t="shared" si="71"/>
        <v>2025</v>
      </c>
      <c r="D850" s="2" t="s">
        <v>155</v>
      </c>
      <c r="E850" s="2" t="s">
        <v>155</v>
      </c>
      <c r="F850" s="39">
        <v>45778</v>
      </c>
      <c r="G850" s="2">
        <f>DAY(EOMONTH(TA[[#This Row],[Month Year]],0))</f>
        <v>31</v>
      </c>
      <c r="H850" s="21">
        <v>45802</v>
      </c>
      <c r="I850" s="41">
        <f>IFERROR(VLOOKUP(TA[[#This Row],[Date]],Raw_Data[[Date]:[Sunset Time (POA&lt;20 W/m2)]],3,0),"")</f>
        <v>0.24861111111111112</v>
      </c>
      <c r="J850" s="41">
        <f>IFERROR(VLOOKUP(TA[[#This Row],[Date]],Raw_Data[[Date]:[Sunset Time (POA&lt;20 W/m2)]],4,0),"")</f>
        <v>0.77708333333333335</v>
      </c>
      <c r="K850" s="35">
        <f>IFERROR((TA[[#This Row],[Sunset Time (POA&lt;20 W/m2)]]-TA[[#This Row],[Sunrise Time (POA&gt;20 W/m2)]])*24,"")</f>
        <v>12.683333333333334</v>
      </c>
      <c r="L850" s="2" t="s">
        <v>296</v>
      </c>
      <c r="M850" s="42">
        <f>IFERROR(VLOOKUP(TA[[#This Row],[Affected Equipment]],'Basic Data'!$I$2:$K$40,3,0),"")</f>
        <v>8.6206896551724102E-3</v>
      </c>
      <c r="N850">
        <v>-28</v>
      </c>
      <c r="O850" t="s">
        <v>134</v>
      </c>
      <c r="P850" s="22" t="s">
        <v>330</v>
      </c>
      <c r="Q850" s="2" t="s">
        <v>323</v>
      </c>
      <c r="R850">
        <v>31</v>
      </c>
      <c r="S850" s="2">
        <v>61</v>
      </c>
      <c r="T850" t="s">
        <v>297</v>
      </c>
      <c r="U850" t="s">
        <v>300</v>
      </c>
      <c r="V850" t="s">
        <v>301</v>
      </c>
      <c r="W850" s="41"/>
      <c r="X850" s="41"/>
      <c r="Y850" s="34"/>
      <c r="Z850" s="34"/>
      <c r="AA850" s="35">
        <f>IF(TA[[#This Row],[Work Start time on Fault]]="NA","",(TA[[#This Row],[Fault Acknowledgement Time ]]-TA[[#This Row],[Fault Time]])*24)</f>
        <v>0</v>
      </c>
      <c r="AB850" s="35">
        <f>(TA[[#This Row],[Work Start time on Fault]]-TA[[#This Row],[Fault Time]])*24</f>
        <v>0</v>
      </c>
      <c r="AC850" s="34">
        <f>(TA[[#This Row],[Work Completion time on fault]]-TA[[#This Row],[Fault Time]])*24</f>
        <v>0</v>
      </c>
      <c r="AD850" s="35">
        <f>IFERROR((TA[[#This Row],[Work Completion time on fault]]-TA[[#This Row],[Fault Time]])*24,"")</f>
        <v>0</v>
      </c>
      <c r="AE850" t="s">
        <v>328</v>
      </c>
      <c r="AF850" t="s">
        <v>256</v>
      </c>
      <c r="AG850" s="2"/>
      <c r="AH850" s="44">
        <f>1-COS(RADIANS(TA[[#This Row],[Avg. Target Angle during Fault Time (Radians)]]-TA[[#This Row],[Angle of affected equipment ]]))</f>
        <v>0.11705240714107301</v>
      </c>
      <c r="AI850" s="35">
        <f>IFERROR(TA[[#This Row],[Breakdown Time]]*TA[[#This Row],[Plant Equivalent Weightage]],"")</f>
        <v>0</v>
      </c>
    </row>
    <row r="851" spans="1:35">
      <c r="A851" s="2">
        <f t="shared" si="65"/>
        <v>848</v>
      </c>
      <c r="B851" s="156">
        <f t="shared" si="70"/>
        <v>2026</v>
      </c>
      <c r="C851" s="129">
        <f t="shared" si="71"/>
        <v>2025</v>
      </c>
      <c r="D851" s="2" t="s">
        <v>155</v>
      </c>
      <c r="E851" s="2" t="s">
        <v>155</v>
      </c>
      <c r="F851" s="39">
        <v>45778</v>
      </c>
      <c r="G851" s="2">
        <f>DAY(EOMONTH(TA[[#This Row],[Month Year]],0))</f>
        <v>31</v>
      </c>
      <c r="H851" s="21">
        <v>45802</v>
      </c>
      <c r="I851" s="41">
        <f>IFERROR(VLOOKUP(TA[[#This Row],[Date]],Raw_Data[[Date]:[Sunset Time (POA&lt;20 W/m2)]],3,0),"")</f>
        <v>0.24861111111111112</v>
      </c>
      <c r="J851" s="41">
        <f>IFERROR(VLOOKUP(TA[[#This Row],[Date]],Raw_Data[[Date]:[Sunset Time (POA&lt;20 W/m2)]],4,0),"")</f>
        <v>0.77708333333333335</v>
      </c>
      <c r="K851" s="35">
        <f>IFERROR((TA[[#This Row],[Sunset Time (POA&lt;20 W/m2)]]-TA[[#This Row],[Sunrise Time (POA&gt;20 W/m2)]])*24,"")</f>
        <v>12.683333333333334</v>
      </c>
      <c r="L851" s="2" t="s">
        <v>312</v>
      </c>
      <c r="M851" s="42">
        <f>IFERROR(VLOOKUP(TA[[#This Row],[Affected Equipment]],'Basic Data'!$I$2:$K$40,3,0),"")</f>
        <v>5.74712643678161E-3</v>
      </c>
      <c r="N851">
        <v>-28</v>
      </c>
      <c r="O851" t="s">
        <v>133</v>
      </c>
      <c r="P851" s="22" t="s">
        <v>330</v>
      </c>
      <c r="Q851" s="2" t="s">
        <v>323</v>
      </c>
      <c r="R851">
        <v>26</v>
      </c>
      <c r="S851" s="2">
        <v>37</v>
      </c>
      <c r="T851" t="s">
        <v>297</v>
      </c>
      <c r="U851" t="s">
        <v>300</v>
      </c>
      <c r="V851" t="s">
        <v>301</v>
      </c>
      <c r="W851" s="41"/>
      <c r="X851" s="41"/>
      <c r="Y851" s="34"/>
      <c r="Z851" s="34"/>
      <c r="AA851" s="35">
        <f>IF(TA[[#This Row],[Work Start time on Fault]]="NA","",(TA[[#This Row],[Fault Acknowledgement Time ]]-TA[[#This Row],[Fault Time]])*24)</f>
        <v>0</v>
      </c>
      <c r="AB851" s="35">
        <f>(TA[[#This Row],[Work Start time on Fault]]-TA[[#This Row],[Fault Time]])*24</f>
        <v>0</v>
      </c>
      <c r="AC851" s="34">
        <f>(TA[[#This Row],[Work Completion time on fault]]-TA[[#This Row],[Fault Time]])*24</f>
        <v>0</v>
      </c>
      <c r="AD851" s="35">
        <f>IFERROR((TA[[#This Row],[Work Completion time on fault]]-TA[[#This Row],[Fault Time]])*24,"")</f>
        <v>0</v>
      </c>
      <c r="AE851" t="s">
        <v>328</v>
      </c>
      <c r="AF851" t="s">
        <v>256</v>
      </c>
      <c r="AG851" s="2"/>
      <c r="AH851" s="44">
        <f>1-COS(RADIANS(TA[[#This Row],[Avg. Target Angle during Fault Time (Radians)]]-TA[[#This Row],[Angle of affected equipment ]]))</f>
        <v>0.11705240714107301</v>
      </c>
      <c r="AI851" s="35">
        <f>IFERROR(TA[[#This Row],[Breakdown Time]]*TA[[#This Row],[Plant Equivalent Weightage]],"")</f>
        <v>0</v>
      </c>
    </row>
    <row r="852" spans="1:35">
      <c r="A852" s="2">
        <f t="shared" si="65"/>
        <v>849</v>
      </c>
      <c r="B852" s="156">
        <f t="shared" si="70"/>
        <v>2026</v>
      </c>
      <c r="C852" s="129">
        <f t="shared" si="71"/>
        <v>2025</v>
      </c>
      <c r="D852" s="2" t="s">
        <v>155</v>
      </c>
      <c r="E852" s="2" t="s">
        <v>155</v>
      </c>
      <c r="F852" s="39">
        <v>45778</v>
      </c>
      <c r="G852" s="2">
        <f>DAY(EOMONTH(TA[[#This Row],[Month Year]],0))</f>
        <v>31</v>
      </c>
      <c r="H852" s="21">
        <v>45802</v>
      </c>
      <c r="I852" s="41">
        <f>IFERROR(VLOOKUP(TA[[#This Row],[Date]],Raw_Data[[Date]:[Sunset Time (POA&lt;20 W/m2)]],3,0),"")</f>
        <v>0.24861111111111112</v>
      </c>
      <c r="J852" s="41">
        <f>IFERROR(VLOOKUP(TA[[#This Row],[Date]],Raw_Data[[Date]:[Sunset Time (POA&lt;20 W/m2)]],4,0),"")</f>
        <v>0.77708333333333335</v>
      </c>
      <c r="K852" s="35">
        <f>IFERROR((TA[[#This Row],[Sunset Time (POA&lt;20 W/m2)]]-TA[[#This Row],[Sunrise Time (POA&gt;20 W/m2)]])*24,"")</f>
        <v>12.683333333333334</v>
      </c>
      <c r="L852" s="2" t="s">
        <v>312</v>
      </c>
      <c r="M852" s="42">
        <f>IFERROR(VLOOKUP(TA[[#This Row],[Affected Equipment]],'Basic Data'!$I$2:$K$40,3,0),"")</f>
        <v>5.74712643678161E-3</v>
      </c>
      <c r="N852">
        <v>-28</v>
      </c>
      <c r="O852" t="s">
        <v>133</v>
      </c>
      <c r="P852" s="22" t="s">
        <v>330</v>
      </c>
      <c r="Q852" s="2" t="s">
        <v>323</v>
      </c>
      <c r="R852">
        <v>27</v>
      </c>
      <c r="S852" s="2">
        <v>42</v>
      </c>
      <c r="T852" t="s">
        <v>297</v>
      </c>
      <c r="U852" t="s">
        <v>300</v>
      </c>
      <c r="V852" t="s">
        <v>301</v>
      </c>
      <c r="W852" s="41">
        <f>IFERROR(VLOOKUP(TA[[#This Row],[Date]],Raw_Data[[Date]:[Sunset Time (POA&lt;20 W/m2)]],3,0),"")</f>
        <v>0.24861111111111112</v>
      </c>
      <c r="X852" s="41">
        <f>IFERROR(VLOOKUP(TA[[#This Row],[Date]],Raw_Data[[Date]:[Sunset Time (POA&lt;20 W/m2)]],3,0),"")</f>
        <v>0.24861111111111112</v>
      </c>
      <c r="Y852" s="34"/>
      <c r="Z852" s="34">
        <v>0.76041666666666663</v>
      </c>
      <c r="AA852" s="35">
        <f>IF(TA[[#This Row],[Work Start time on Fault]]="NA","",(TA[[#This Row],[Fault Acknowledgement Time ]]-TA[[#This Row],[Fault Time]])*24)</f>
        <v>0</v>
      </c>
      <c r="AB852" s="35">
        <f>(TA[[#This Row],[Work Start time on Fault]]-TA[[#This Row],[Fault Time]])*24</f>
        <v>-5.9666666666666668</v>
      </c>
      <c r="AC852" s="34">
        <f>(TA[[#This Row],[Work Completion time on fault]]-TA[[#This Row],[Fault Time]])*24</f>
        <v>12.283333333333331</v>
      </c>
      <c r="AD852" s="35">
        <f>IFERROR((TA[[#This Row],[Work Completion time on fault]]-TA[[#This Row],[Fault Time]])*24,"")</f>
        <v>12.283333333333331</v>
      </c>
      <c r="AE852" t="s">
        <v>309</v>
      </c>
      <c r="AF852" t="s">
        <v>256</v>
      </c>
      <c r="AG852" s="2"/>
      <c r="AH852" s="44">
        <f>1-COS(RADIANS(TA[[#This Row],[Avg. Target Angle during Fault Time (Radians)]]-TA[[#This Row],[Angle of affected equipment ]]))</f>
        <v>0.11705240714107301</v>
      </c>
      <c r="AI852" s="35">
        <f>IFERROR(TA[[#This Row],[Breakdown Time]]*TA[[#This Row],[Plant Equivalent Weightage]],"")</f>
        <v>7.0593869731800762E-2</v>
      </c>
    </row>
    <row r="853" spans="1:35">
      <c r="A853" s="2">
        <f t="shared" si="65"/>
        <v>850</v>
      </c>
      <c r="B853" s="156">
        <f t="shared" ref="B853:B866" si="72">YEAR(H853)+IF(MONTH(H853)&gt;=4,1,0)</f>
        <v>2026</v>
      </c>
      <c r="C853" s="129">
        <f t="shared" ref="C853:C866" si="73">YEAR(H853)</f>
        <v>2025</v>
      </c>
      <c r="D853" s="2" t="s">
        <v>155</v>
      </c>
      <c r="E853" s="2" t="s">
        <v>155</v>
      </c>
      <c r="F853" s="39">
        <v>45778</v>
      </c>
      <c r="G853" s="2">
        <f>DAY(EOMONTH(TA[[#This Row],[Month Year]],0))</f>
        <v>31</v>
      </c>
      <c r="H853" s="21">
        <v>45803</v>
      </c>
      <c r="I853" s="41">
        <f>IFERROR(VLOOKUP(TA[[#This Row],[Date]],Raw_Data[[Date]:[Sunset Time (POA&lt;20 W/m2)]],3,0),"")</f>
        <v>0.25</v>
      </c>
      <c r="J853" s="41">
        <f>IFERROR(VLOOKUP(TA[[#This Row],[Date]],Raw_Data[[Date]:[Sunset Time (POA&lt;20 W/m2)]],4,0),"")</f>
        <v>0.76736111111111116</v>
      </c>
      <c r="K853" s="35">
        <f>IFERROR((TA[[#This Row],[Sunset Time (POA&lt;20 W/m2)]]-TA[[#This Row],[Sunrise Time (POA&gt;20 W/m2)]])*24,"")</f>
        <v>12.416666666666668</v>
      </c>
      <c r="L853" s="2" t="s">
        <v>294</v>
      </c>
      <c r="M853" s="42">
        <f>IFERROR(VLOOKUP(TA[[#This Row],[Affected Equipment]],'Basic Data'!$I$2:$K$40,3,0),"")</f>
        <v>1.7241379310344799E-3</v>
      </c>
      <c r="N853">
        <v>-28</v>
      </c>
      <c r="O853" t="s">
        <v>135</v>
      </c>
      <c r="P853" s="127" t="s">
        <v>318</v>
      </c>
      <c r="Q853" s="126" t="s">
        <v>318</v>
      </c>
      <c r="R853">
        <v>130</v>
      </c>
      <c r="S853" s="2">
        <v>37</v>
      </c>
      <c r="T853" t="s">
        <v>295</v>
      </c>
      <c r="U853" t="s">
        <v>300</v>
      </c>
      <c r="V853" t="s">
        <v>298</v>
      </c>
      <c r="W853" s="41"/>
      <c r="X853" s="41"/>
      <c r="Y853" s="34"/>
      <c r="Z853" s="34"/>
      <c r="AA853" s="35">
        <f>IF(TA[[#This Row],[Work Start time on Fault]]="NA","",(TA[[#This Row],[Fault Acknowledgement Time ]]-TA[[#This Row],[Fault Time]])*24)</f>
        <v>0</v>
      </c>
      <c r="AB853" s="35">
        <f>(TA[[#This Row],[Work Start time on Fault]]-TA[[#This Row],[Fault Time]])*24</f>
        <v>0</v>
      </c>
      <c r="AC853" s="34">
        <f>(TA[[#This Row],[Work Completion time on fault]]-TA[[#This Row],[Fault Time]])*24</f>
        <v>0</v>
      </c>
      <c r="AD853" s="35">
        <f>IFERROR((TA[[#This Row],[Work Completion time on fault]]-TA[[#This Row],[Fault Time]])*24,"")</f>
        <v>0</v>
      </c>
      <c r="AE853" t="s">
        <v>328</v>
      </c>
      <c r="AF853" t="s">
        <v>256</v>
      </c>
      <c r="AG853" s="2"/>
      <c r="AH853" s="44">
        <f>1-COS(RADIANS(TA[[#This Row],[Avg. Target Angle during Fault Time (Radians)]]-TA[[#This Row],[Angle of affected equipment ]]))</f>
        <v>0.11705240714107301</v>
      </c>
      <c r="AI853" s="35">
        <f>IFERROR(TA[[#This Row],[Breakdown Time]]*TA[[#This Row],[Plant Equivalent Weightage]],"")</f>
        <v>0</v>
      </c>
    </row>
    <row r="854" spans="1:35">
      <c r="A854" s="2">
        <f t="shared" si="65"/>
        <v>851</v>
      </c>
      <c r="B854" s="156">
        <f t="shared" si="72"/>
        <v>2026</v>
      </c>
      <c r="C854" s="129">
        <f t="shared" si="73"/>
        <v>2025</v>
      </c>
      <c r="D854" s="2" t="s">
        <v>155</v>
      </c>
      <c r="E854" s="2" t="s">
        <v>155</v>
      </c>
      <c r="F854" s="39">
        <v>45778</v>
      </c>
      <c r="G854" s="2">
        <f>DAY(EOMONTH(TA[[#This Row],[Month Year]],0))</f>
        <v>31</v>
      </c>
      <c r="H854" s="21">
        <v>45803</v>
      </c>
      <c r="I854" s="41">
        <f>IFERROR(VLOOKUP(TA[[#This Row],[Date]],Raw_Data[[Date]:[Sunset Time (POA&lt;20 W/m2)]],3,0),"")</f>
        <v>0.25</v>
      </c>
      <c r="J854" s="41">
        <f>IFERROR(VLOOKUP(TA[[#This Row],[Date]],Raw_Data[[Date]:[Sunset Time (POA&lt;20 W/m2)]],4,0),"")</f>
        <v>0.76736111111111116</v>
      </c>
      <c r="K854" s="35">
        <f>IFERROR((TA[[#This Row],[Sunset Time (POA&lt;20 W/m2)]]-TA[[#This Row],[Sunrise Time (POA&gt;20 W/m2)]])*24,"")</f>
        <v>12.416666666666668</v>
      </c>
      <c r="L854" s="2" t="s">
        <v>294</v>
      </c>
      <c r="M854" s="42">
        <f>IFERROR(VLOOKUP(TA[[#This Row],[Affected Equipment]],'Basic Data'!$I$2:$K$40,3,0),"")</f>
        <v>1.7241379310344799E-3</v>
      </c>
      <c r="N854">
        <v>-28</v>
      </c>
      <c r="O854" t="s">
        <v>135</v>
      </c>
      <c r="P854" s="127" t="s">
        <v>318</v>
      </c>
      <c r="Q854" s="126" t="s">
        <v>318</v>
      </c>
      <c r="R854">
        <v>131</v>
      </c>
      <c r="S854" s="2">
        <v>38</v>
      </c>
      <c r="T854" t="s">
        <v>295</v>
      </c>
      <c r="U854" t="s">
        <v>300</v>
      </c>
      <c r="V854" t="s">
        <v>298</v>
      </c>
      <c r="W854" s="41"/>
      <c r="X854" s="41"/>
      <c r="Y854" s="34"/>
      <c r="Z854" s="34"/>
      <c r="AA854" s="35">
        <f>IF(TA[[#This Row],[Work Start time on Fault]]="NA","",(TA[[#This Row],[Fault Acknowledgement Time ]]-TA[[#This Row],[Fault Time]])*24)</f>
        <v>0</v>
      </c>
      <c r="AB854" s="35">
        <f>(TA[[#This Row],[Work Start time on Fault]]-TA[[#This Row],[Fault Time]])*24</f>
        <v>0</v>
      </c>
      <c r="AC854" s="34">
        <f>(TA[[#This Row],[Work Completion time on fault]]-TA[[#This Row],[Fault Time]])*24</f>
        <v>0</v>
      </c>
      <c r="AD854" s="35">
        <f>IFERROR((TA[[#This Row],[Work Completion time on fault]]-TA[[#This Row],[Fault Time]])*24,"")</f>
        <v>0</v>
      </c>
      <c r="AE854" t="s">
        <v>328</v>
      </c>
      <c r="AF854" t="s">
        <v>256</v>
      </c>
      <c r="AG854" s="2"/>
      <c r="AH854" s="44">
        <f>1-COS(RADIANS(TA[[#This Row],[Avg. Target Angle during Fault Time (Radians)]]-TA[[#This Row],[Angle of affected equipment ]]))</f>
        <v>0.11705240714107301</v>
      </c>
      <c r="AI854" s="35">
        <f>IFERROR(TA[[#This Row],[Breakdown Time]]*TA[[#This Row],[Plant Equivalent Weightage]],"")</f>
        <v>0</v>
      </c>
    </row>
    <row r="855" spans="1:35">
      <c r="A855" s="2">
        <f t="shared" si="65"/>
        <v>852</v>
      </c>
      <c r="B855" s="156">
        <f t="shared" si="72"/>
        <v>2026</v>
      </c>
      <c r="C855" s="129">
        <f t="shared" si="73"/>
        <v>2025</v>
      </c>
      <c r="D855" s="2" t="s">
        <v>155</v>
      </c>
      <c r="E855" s="2" t="s">
        <v>155</v>
      </c>
      <c r="F855" s="39">
        <v>45778</v>
      </c>
      <c r="G855" s="2">
        <f>DAY(EOMONTH(TA[[#This Row],[Month Year]],0))</f>
        <v>31</v>
      </c>
      <c r="H855" s="21">
        <v>45803</v>
      </c>
      <c r="I855" s="41">
        <f>IFERROR(VLOOKUP(TA[[#This Row],[Date]],Raw_Data[[Date]:[Sunset Time (POA&lt;20 W/m2)]],3,0),"")</f>
        <v>0.25</v>
      </c>
      <c r="J855" s="41">
        <f>IFERROR(VLOOKUP(TA[[#This Row],[Date]],Raw_Data[[Date]:[Sunset Time (POA&lt;20 W/m2)]],4,0),"")</f>
        <v>0.76736111111111116</v>
      </c>
      <c r="K855" s="35">
        <f>IFERROR((TA[[#This Row],[Sunset Time (POA&lt;20 W/m2)]]-TA[[#This Row],[Sunrise Time (POA&gt;20 W/m2)]])*24,"")</f>
        <v>12.416666666666668</v>
      </c>
      <c r="L855" s="2" t="s">
        <v>294</v>
      </c>
      <c r="M855" s="42">
        <f>IFERROR(VLOOKUP(TA[[#This Row],[Affected Equipment]],'Basic Data'!$I$2:$K$40,3,0),"")</f>
        <v>1.7241379310344799E-3</v>
      </c>
      <c r="N855">
        <v>-28</v>
      </c>
      <c r="O855" t="s">
        <v>135</v>
      </c>
      <c r="P855" s="127" t="s">
        <v>318</v>
      </c>
      <c r="Q855" s="126" t="s">
        <v>318</v>
      </c>
      <c r="R855">
        <v>131</v>
      </c>
      <c r="S855" s="2">
        <v>39</v>
      </c>
      <c r="T855" t="s">
        <v>295</v>
      </c>
      <c r="U855" t="s">
        <v>300</v>
      </c>
      <c r="V855" t="s">
        <v>298</v>
      </c>
      <c r="W855" s="41"/>
      <c r="X855" s="41"/>
      <c r="Y855" s="34"/>
      <c r="Z855" s="34"/>
      <c r="AA855" s="35">
        <f>IF(TA[[#This Row],[Work Start time on Fault]]="NA","",(TA[[#This Row],[Fault Acknowledgement Time ]]-TA[[#This Row],[Fault Time]])*24)</f>
        <v>0</v>
      </c>
      <c r="AB855" s="35">
        <f>(TA[[#This Row],[Work Start time on Fault]]-TA[[#This Row],[Fault Time]])*24</f>
        <v>0</v>
      </c>
      <c r="AC855" s="34">
        <f>(TA[[#This Row],[Work Completion time on fault]]-TA[[#This Row],[Fault Time]])*24</f>
        <v>0</v>
      </c>
      <c r="AD855" s="35">
        <f>IFERROR((TA[[#This Row],[Work Completion time on fault]]-TA[[#This Row],[Fault Time]])*24,"")</f>
        <v>0</v>
      </c>
      <c r="AE855" t="s">
        <v>328</v>
      </c>
      <c r="AF855" t="s">
        <v>256</v>
      </c>
      <c r="AG855" s="2"/>
      <c r="AH855" s="44">
        <f>1-COS(RADIANS(TA[[#This Row],[Avg. Target Angle during Fault Time (Radians)]]-TA[[#This Row],[Angle of affected equipment ]]))</f>
        <v>0.11705240714107301</v>
      </c>
      <c r="AI855" s="35">
        <f>IFERROR(TA[[#This Row],[Breakdown Time]]*TA[[#This Row],[Plant Equivalent Weightage]],"")</f>
        <v>0</v>
      </c>
    </row>
    <row r="856" spans="1:35">
      <c r="A856" s="2">
        <f t="shared" si="65"/>
        <v>853</v>
      </c>
      <c r="B856" s="156">
        <f t="shared" si="72"/>
        <v>2026</v>
      </c>
      <c r="C856" s="129">
        <f t="shared" si="73"/>
        <v>2025</v>
      </c>
      <c r="D856" s="2" t="s">
        <v>155</v>
      </c>
      <c r="E856" s="2" t="s">
        <v>155</v>
      </c>
      <c r="F856" s="39">
        <v>45778</v>
      </c>
      <c r="G856" s="2">
        <f>DAY(EOMONTH(TA[[#This Row],[Month Year]],0))</f>
        <v>31</v>
      </c>
      <c r="H856" s="21">
        <v>45803</v>
      </c>
      <c r="I856" s="41">
        <f>IFERROR(VLOOKUP(TA[[#This Row],[Date]],Raw_Data[[Date]:[Sunset Time (POA&lt;20 W/m2)]],3,0),"")</f>
        <v>0.25</v>
      </c>
      <c r="J856" s="41">
        <f>IFERROR(VLOOKUP(TA[[#This Row],[Date]],Raw_Data[[Date]:[Sunset Time (POA&lt;20 W/m2)]],4,0),"")</f>
        <v>0.76736111111111116</v>
      </c>
      <c r="K856" s="35">
        <f>IFERROR((TA[[#This Row],[Sunset Time (POA&lt;20 W/m2)]]-TA[[#This Row],[Sunrise Time (POA&gt;20 W/m2)]])*24,"")</f>
        <v>12.416666666666668</v>
      </c>
      <c r="L856" s="2" t="s">
        <v>296</v>
      </c>
      <c r="M856" s="42">
        <f>IFERROR(VLOOKUP(TA[[#This Row],[Affected Equipment]],'Basic Data'!$I$2:$K$40,3,0),"")</f>
        <v>8.6206896551724102E-3</v>
      </c>
      <c r="N856">
        <v>-28</v>
      </c>
      <c r="O856" t="s">
        <v>135</v>
      </c>
      <c r="P856" s="127" t="s">
        <v>318</v>
      </c>
      <c r="Q856" s="2" t="s">
        <v>321</v>
      </c>
      <c r="R856">
        <v>133</v>
      </c>
      <c r="S856" s="2">
        <v>26</v>
      </c>
      <c r="T856" t="s">
        <v>297</v>
      </c>
      <c r="U856" t="s">
        <v>300</v>
      </c>
      <c r="V856" t="s">
        <v>314</v>
      </c>
      <c r="W856" s="41">
        <f>IFERROR(VLOOKUP(TA[[#This Row],[Date]],Raw_Data[[Date]:[Sunset Time (POA&lt;20 W/m2)]],3,0),"")</f>
        <v>0.25</v>
      </c>
      <c r="X856" s="41">
        <f>IFERROR(VLOOKUP(TA[[#This Row],[Date]],Raw_Data[[Date]:[Sunset Time (POA&lt;20 W/m2)]],3,0),"")</f>
        <v>0.25</v>
      </c>
      <c r="Y856" s="34"/>
      <c r="Z856" s="34">
        <v>0.76041666666666663</v>
      </c>
      <c r="AA856" s="35">
        <f>IF(TA[[#This Row],[Work Start time on Fault]]="NA","",(TA[[#This Row],[Fault Acknowledgement Time ]]-TA[[#This Row],[Fault Time]])*24)</f>
        <v>0</v>
      </c>
      <c r="AB856" s="35">
        <f>(TA[[#This Row],[Work Start time on Fault]]-TA[[#This Row],[Fault Time]])*24</f>
        <v>-6</v>
      </c>
      <c r="AC856" s="34">
        <f>(TA[[#This Row],[Work Completion time on fault]]-TA[[#This Row],[Fault Time]])*24</f>
        <v>12.25</v>
      </c>
      <c r="AD856" s="35">
        <f>IFERROR((TA[[#This Row],[Work Completion time on fault]]-TA[[#This Row],[Fault Time]])*24,"")</f>
        <v>12.25</v>
      </c>
      <c r="AE856" t="s">
        <v>328</v>
      </c>
      <c r="AF856" t="s">
        <v>256</v>
      </c>
      <c r="AG856" s="2"/>
      <c r="AH856" s="44">
        <f>1-COS(RADIANS(TA[[#This Row],[Avg. Target Angle during Fault Time (Radians)]]-TA[[#This Row],[Angle of affected equipment ]]))</f>
        <v>0.11705240714107301</v>
      </c>
      <c r="AI856" s="35">
        <f>IFERROR(TA[[#This Row],[Breakdown Time]]*TA[[#This Row],[Plant Equivalent Weightage]],"")</f>
        <v>0.10560344827586203</v>
      </c>
    </row>
    <row r="857" spans="1:35">
      <c r="A857" s="2">
        <f t="shared" si="65"/>
        <v>854</v>
      </c>
      <c r="B857" s="156">
        <f t="shared" si="72"/>
        <v>2026</v>
      </c>
      <c r="C857" s="129">
        <f t="shared" si="73"/>
        <v>2025</v>
      </c>
      <c r="D857" s="2" t="s">
        <v>155</v>
      </c>
      <c r="E857" s="2" t="s">
        <v>155</v>
      </c>
      <c r="F857" s="39">
        <v>45778</v>
      </c>
      <c r="G857" s="2">
        <f>DAY(EOMONTH(TA[[#This Row],[Month Year]],0))</f>
        <v>31</v>
      </c>
      <c r="H857" s="21">
        <v>45803</v>
      </c>
      <c r="I857" s="41">
        <f>IFERROR(VLOOKUP(TA[[#This Row],[Date]],Raw_Data[[Date]:[Sunset Time (POA&lt;20 W/m2)]],3,0),"")</f>
        <v>0.25</v>
      </c>
      <c r="J857" s="41">
        <f>IFERROR(VLOOKUP(TA[[#This Row],[Date]],Raw_Data[[Date]:[Sunset Time (POA&lt;20 W/m2)]],4,0),"")</f>
        <v>0.76736111111111116</v>
      </c>
      <c r="K857" s="35">
        <f>IFERROR((TA[[#This Row],[Sunset Time (POA&lt;20 W/m2)]]-TA[[#This Row],[Sunrise Time (POA&gt;20 W/m2)]])*24,"")</f>
        <v>12.416666666666668</v>
      </c>
      <c r="L857" s="2" t="s">
        <v>294</v>
      </c>
      <c r="M857" s="42">
        <f>IFERROR(VLOOKUP(TA[[#This Row],[Affected Equipment]],'Basic Data'!$I$2:$K$40,3,0),"")</f>
        <v>1.7241379310344799E-3</v>
      </c>
      <c r="N857">
        <v>-28</v>
      </c>
      <c r="O857" t="s">
        <v>133</v>
      </c>
      <c r="P857" s="127" t="s">
        <v>316</v>
      </c>
      <c r="Q857" s="126" t="s">
        <v>317</v>
      </c>
      <c r="R857">
        <v>7</v>
      </c>
      <c r="S857" s="2">
        <v>32</v>
      </c>
      <c r="T857" t="s">
        <v>295</v>
      </c>
      <c r="U857" t="s">
        <v>300</v>
      </c>
      <c r="V857" t="s">
        <v>298</v>
      </c>
      <c r="W857" s="41"/>
      <c r="X857" s="41"/>
      <c r="Y857" s="34"/>
      <c r="Z857" s="34"/>
      <c r="AA857" s="35">
        <f>IF(TA[[#This Row],[Work Start time on Fault]]="NA","",(TA[[#This Row],[Fault Acknowledgement Time ]]-TA[[#This Row],[Fault Time]])*24)</f>
        <v>0</v>
      </c>
      <c r="AB857" s="35">
        <f>(TA[[#This Row],[Work Start time on Fault]]-TA[[#This Row],[Fault Time]])*24</f>
        <v>0</v>
      </c>
      <c r="AC857" s="34">
        <f>(TA[[#This Row],[Work Completion time on fault]]-TA[[#This Row],[Fault Time]])*24</f>
        <v>0</v>
      </c>
      <c r="AD857" s="35">
        <f>IFERROR((TA[[#This Row],[Work Completion time on fault]]-TA[[#This Row],[Fault Time]])*24,"")</f>
        <v>0</v>
      </c>
      <c r="AE857" t="s">
        <v>328</v>
      </c>
      <c r="AF857" t="s">
        <v>256</v>
      </c>
      <c r="AG857" s="2"/>
      <c r="AH857" s="44">
        <f>1-COS(RADIANS(TA[[#This Row],[Avg. Target Angle during Fault Time (Radians)]]-TA[[#This Row],[Angle of affected equipment ]]))</f>
        <v>0.11705240714107301</v>
      </c>
      <c r="AI857" s="35">
        <f>IFERROR(TA[[#This Row],[Breakdown Time]]*TA[[#This Row],[Plant Equivalent Weightage]],"")</f>
        <v>0</v>
      </c>
    </row>
    <row r="858" spans="1:35">
      <c r="A858" s="2">
        <f t="shared" si="65"/>
        <v>855</v>
      </c>
      <c r="B858" s="156">
        <f t="shared" si="72"/>
        <v>2026</v>
      </c>
      <c r="C858" s="129">
        <f t="shared" si="73"/>
        <v>2025</v>
      </c>
      <c r="D858" s="2" t="s">
        <v>155</v>
      </c>
      <c r="E858" s="2" t="s">
        <v>155</v>
      </c>
      <c r="F858" s="39">
        <v>45778</v>
      </c>
      <c r="G858" s="2">
        <f>DAY(EOMONTH(TA[[#This Row],[Month Year]],0))</f>
        <v>31</v>
      </c>
      <c r="H858" s="21">
        <v>45803</v>
      </c>
      <c r="I858" s="41">
        <f>IFERROR(VLOOKUP(TA[[#This Row],[Date]],Raw_Data[[Date]:[Sunset Time (POA&lt;20 W/m2)]],3,0),"")</f>
        <v>0.25</v>
      </c>
      <c r="J858" s="41">
        <f>IFERROR(VLOOKUP(TA[[#This Row],[Date]],Raw_Data[[Date]:[Sunset Time (POA&lt;20 W/m2)]],4,0),"")</f>
        <v>0.76736111111111116</v>
      </c>
      <c r="K858" s="35">
        <f>IFERROR((TA[[#This Row],[Sunset Time (POA&lt;20 W/m2)]]-TA[[#This Row],[Sunrise Time (POA&gt;20 W/m2)]])*24,"")</f>
        <v>12.416666666666668</v>
      </c>
      <c r="L858" s="2" t="s">
        <v>294</v>
      </c>
      <c r="M858" s="42">
        <f>IFERROR(VLOOKUP(TA[[#This Row],[Affected Equipment]],'Basic Data'!$I$2:$K$40,3,0),"")</f>
        <v>1.7241379310344799E-3</v>
      </c>
      <c r="N858">
        <v>-28</v>
      </c>
      <c r="O858" t="s">
        <v>137</v>
      </c>
      <c r="P858" s="127" t="s">
        <v>315</v>
      </c>
      <c r="Q858" s="126" t="s">
        <v>319</v>
      </c>
      <c r="R858">
        <v>166</v>
      </c>
      <c r="S858" s="2">
        <v>91</v>
      </c>
      <c r="T858" t="s">
        <v>295</v>
      </c>
      <c r="U858" t="s">
        <v>300</v>
      </c>
      <c r="V858" t="s">
        <v>298</v>
      </c>
      <c r="W858" s="41"/>
      <c r="X858" s="41"/>
      <c r="Y858" s="34"/>
      <c r="Z858" s="34"/>
      <c r="AA858" s="35">
        <f>IF(TA[[#This Row],[Work Start time on Fault]]="NA","",(TA[[#This Row],[Fault Acknowledgement Time ]]-TA[[#This Row],[Fault Time]])*24)</f>
        <v>0</v>
      </c>
      <c r="AB858" s="35">
        <f>(TA[[#This Row],[Work Start time on Fault]]-TA[[#This Row],[Fault Time]])*24</f>
        <v>0</v>
      </c>
      <c r="AC858" s="34">
        <f>(TA[[#This Row],[Work Completion time on fault]]-TA[[#This Row],[Fault Time]])*24</f>
        <v>0</v>
      </c>
      <c r="AD858" s="35">
        <f>IFERROR((TA[[#This Row],[Work Completion time on fault]]-TA[[#This Row],[Fault Time]])*24,"")</f>
        <v>0</v>
      </c>
      <c r="AE858" t="s">
        <v>328</v>
      </c>
      <c r="AF858" t="s">
        <v>256</v>
      </c>
      <c r="AG858" s="2"/>
      <c r="AH858" s="44">
        <f>1-COS(RADIANS(TA[[#This Row],[Avg. Target Angle during Fault Time (Radians)]]-TA[[#This Row],[Angle of affected equipment ]]))</f>
        <v>0.11705240714107301</v>
      </c>
      <c r="AI858" s="35">
        <f>IFERROR(TA[[#This Row],[Breakdown Time]]*TA[[#This Row],[Plant Equivalent Weightage]],"")</f>
        <v>0</v>
      </c>
    </row>
    <row r="859" spans="1:35">
      <c r="A859" s="2">
        <f t="shared" si="65"/>
        <v>856</v>
      </c>
      <c r="B859" s="156">
        <f t="shared" si="72"/>
        <v>2026</v>
      </c>
      <c r="C859" s="129">
        <f t="shared" si="73"/>
        <v>2025</v>
      </c>
      <c r="D859" s="2" t="s">
        <v>155</v>
      </c>
      <c r="E859" s="2" t="s">
        <v>155</v>
      </c>
      <c r="F859" s="39">
        <v>45778</v>
      </c>
      <c r="G859" s="2">
        <f>DAY(EOMONTH(TA[[#This Row],[Month Year]],0))</f>
        <v>31</v>
      </c>
      <c r="H859" s="21">
        <v>45803</v>
      </c>
      <c r="I859" s="41">
        <f>IFERROR(VLOOKUP(TA[[#This Row],[Date]],Raw_Data[[Date]:[Sunset Time (POA&lt;20 W/m2)]],3,0),"")</f>
        <v>0.25</v>
      </c>
      <c r="J859" s="41">
        <f>IFERROR(VLOOKUP(TA[[#This Row],[Date]],Raw_Data[[Date]:[Sunset Time (POA&lt;20 W/m2)]],4,0),"")</f>
        <v>0.76736111111111116</v>
      </c>
      <c r="K859" s="35">
        <f>IFERROR((TA[[#This Row],[Sunset Time (POA&lt;20 W/m2)]]-TA[[#This Row],[Sunrise Time (POA&gt;20 W/m2)]])*24,"")</f>
        <v>12.416666666666668</v>
      </c>
      <c r="L859" s="2" t="s">
        <v>294</v>
      </c>
      <c r="M859" s="42">
        <f>IFERROR(VLOOKUP(TA[[#This Row],[Affected Equipment]],'Basic Data'!$I$2:$K$40,3,0),"")</f>
        <v>1.7241379310344799E-3</v>
      </c>
      <c r="N859">
        <v>-28</v>
      </c>
      <c r="O859" t="s">
        <v>133</v>
      </c>
      <c r="P859" s="127" t="s">
        <v>316</v>
      </c>
      <c r="Q859" s="126" t="s">
        <v>316</v>
      </c>
      <c r="R859">
        <v>117</v>
      </c>
      <c r="S859" s="2">
        <v>20</v>
      </c>
      <c r="T859" t="s">
        <v>295</v>
      </c>
      <c r="U859" t="s">
        <v>300</v>
      </c>
      <c r="V859" t="s">
        <v>298</v>
      </c>
      <c r="W859" s="41"/>
      <c r="X859" s="41"/>
      <c r="Y859" s="34"/>
      <c r="Z859" s="34"/>
      <c r="AA859" s="35">
        <f>IF(TA[[#This Row],[Work Start time on Fault]]="NA","",(TA[[#This Row],[Fault Acknowledgement Time ]]-TA[[#This Row],[Fault Time]])*24)</f>
        <v>0</v>
      </c>
      <c r="AB859" s="35">
        <f>(TA[[#This Row],[Work Start time on Fault]]-TA[[#This Row],[Fault Time]])*24</f>
        <v>0</v>
      </c>
      <c r="AC859" s="34">
        <f>(TA[[#This Row],[Work Completion time on fault]]-TA[[#This Row],[Fault Time]])*24</f>
        <v>0</v>
      </c>
      <c r="AD859" s="35">
        <f>IFERROR((TA[[#This Row],[Work Completion time on fault]]-TA[[#This Row],[Fault Time]])*24,"")</f>
        <v>0</v>
      </c>
      <c r="AE859" t="s">
        <v>328</v>
      </c>
      <c r="AF859" t="s">
        <v>256</v>
      </c>
      <c r="AG859" s="2"/>
      <c r="AH859" s="44">
        <f>1-COS(RADIANS(TA[[#This Row],[Avg. Target Angle during Fault Time (Radians)]]-TA[[#This Row],[Angle of affected equipment ]]))</f>
        <v>0.11705240714107301</v>
      </c>
      <c r="AI859" s="35">
        <f>IFERROR(TA[[#This Row],[Breakdown Time]]*TA[[#This Row],[Plant Equivalent Weightage]],"")</f>
        <v>0</v>
      </c>
    </row>
    <row r="860" spans="1:35">
      <c r="A860" s="2">
        <f t="shared" si="65"/>
        <v>857</v>
      </c>
      <c r="B860" s="156">
        <f t="shared" si="72"/>
        <v>2026</v>
      </c>
      <c r="C860" s="129">
        <f t="shared" si="73"/>
        <v>2025</v>
      </c>
      <c r="D860" s="2" t="s">
        <v>155</v>
      </c>
      <c r="E860" s="2" t="s">
        <v>155</v>
      </c>
      <c r="F860" s="39">
        <v>45778</v>
      </c>
      <c r="G860" s="2">
        <f>DAY(EOMONTH(TA[[#This Row],[Month Year]],0))</f>
        <v>31</v>
      </c>
      <c r="H860" s="21">
        <v>45803</v>
      </c>
      <c r="I860" s="41">
        <f>IFERROR(VLOOKUP(TA[[#This Row],[Date]],Raw_Data[[Date]:[Sunset Time (POA&lt;20 W/m2)]],3,0),"")</f>
        <v>0.25</v>
      </c>
      <c r="J860" s="41">
        <f>IFERROR(VLOOKUP(TA[[#This Row],[Date]],Raw_Data[[Date]:[Sunset Time (POA&lt;20 W/m2)]],4,0),"")</f>
        <v>0.76736111111111116</v>
      </c>
      <c r="K860" s="35">
        <f>IFERROR((TA[[#This Row],[Sunset Time (POA&lt;20 W/m2)]]-TA[[#This Row],[Sunrise Time (POA&gt;20 W/m2)]])*24,"")</f>
        <v>12.416666666666668</v>
      </c>
      <c r="L860" s="2" t="s">
        <v>294</v>
      </c>
      <c r="M860" s="42">
        <f>IFERROR(VLOOKUP(TA[[#This Row],[Affected Equipment]],'Basic Data'!$I$2:$K$40,3,0),"")</f>
        <v>1.7241379310344799E-3</v>
      </c>
      <c r="N860">
        <v>-28</v>
      </c>
      <c r="O860" t="s">
        <v>133</v>
      </c>
      <c r="P860" s="127" t="s">
        <v>316</v>
      </c>
      <c r="Q860" s="126" t="s">
        <v>316</v>
      </c>
      <c r="R860">
        <v>118</v>
      </c>
      <c r="S860" s="2">
        <v>22</v>
      </c>
      <c r="T860" t="s">
        <v>295</v>
      </c>
      <c r="U860" t="s">
        <v>300</v>
      </c>
      <c r="V860" t="s">
        <v>298</v>
      </c>
      <c r="W860" s="41"/>
      <c r="X860" s="41"/>
      <c r="Y860" s="34"/>
      <c r="Z860" s="34"/>
      <c r="AA860" s="35">
        <f>IF(TA[[#This Row],[Work Start time on Fault]]="NA","",(TA[[#This Row],[Fault Acknowledgement Time ]]-TA[[#This Row],[Fault Time]])*24)</f>
        <v>0</v>
      </c>
      <c r="AB860" s="35">
        <f>(TA[[#This Row],[Work Start time on Fault]]-TA[[#This Row],[Fault Time]])*24</f>
        <v>0</v>
      </c>
      <c r="AC860" s="34">
        <f>(TA[[#This Row],[Work Completion time on fault]]-TA[[#This Row],[Fault Time]])*24</f>
        <v>0</v>
      </c>
      <c r="AD860" s="35">
        <f>IFERROR((TA[[#This Row],[Work Completion time on fault]]-TA[[#This Row],[Fault Time]])*24,"")</f>
        <v>0</v>
      </c>
      <c r="AE860" t="s">
        <v>328</v>
      </c>
      <c r="AF860" t="s">
        <v>256</v>
      </c>
      <c r="AG860" s="2"/>
      <c r="AH860" s="44">
        <f>1-COS(RADIANS(TA[[#This Row],[Avg. Target Angle during Fault Time (Radians)]]-TA[[#This Row],[Angle of affected equipment ]]))</f>
        <v>0.11705240714107301</v>
      </c>
      <c r="AI860" s="35">
        <f>IFERROR(TA[[#This Row],[Breakdown Time]]*TA[[#This Row],[Plant Equivalent Weightage]],"")</f>
        <v>0</v>
      </c>
    </row>
    <row r="861" spans="1:35">
      <c r="A861" s="2">
        <f t="shared" si="65"/>
        <v>858</v>
      </c>
      <c r="B861" s="156">
        <f t="shared" si="72"/>
        <v>2026</v>
      </c>
      <c r="C861" s="129">
        <f t="shared" si="73"/>
        <v>2025</v>
      </c>
      <c r="D861" s="2" t="s">
        <v>155</v>
      </c>
      <c r="E861" s="2" t="s">
        <v>155</v>
      </c>
      <c r="F861" s="39">
        <v>45778</v>
      </c>
      <c r="G861" s="2">
        <f>DAY(EOMONTH(TA[[#This Row],[Month Year]],0))</f>
        <v>31</v>
      </c>
      <c r="H861" s="21">
        <v>45803</v>
      </c>
      <c r="I861" s="41">
        <f>IFERROR(VLOOKUP(TA[[#This Row],[Date]],Raw_Data[[Date]:[Sunset Time (POA&lt;20 W/m2)]],3,0),"")</f>
        <v>0.25</v>
      </c>
      <c r="J861" s="41">
        <f>IFERROR(VLOOKUP(TA[[#This Row],[Date]],Raw_Data[[Date]:[Sunset Time (POA&lt;20 W/m2)]],4,0),"")</f>
        <v>0.76736111111111116</v>
      </c>
      <c r="K861" s="35">
        <f>IFERROR((TA[[#This Row],[Sunset Time (POA&lt;20 W/m2)]]-TA[[#This Row],[Sunrise Time (POA&gt;20 W/m2)]])*24,"")</f>
        <v>12.416666666666668</v>
      </c>
      <c r="L861" s="2" t="s">
        <v>296</v>
      </c>
      <c r="M861" s="42">
        <f>IFERROR(VLOOKUP(TA[[#This Row],[Affected Equipment]],'Basic Data'!$I$2:$K$40,3,0),"")</f>
        <v>8.6206896551724102E-3</v>
      </c>
      <c r="N861">
        <v>-28</v>
      </c>
      <c r="O861" t="s">
        <v>135</v>
      </c>
      <c r="P861" s="22" t="s">
        <v>323</v>
      </c>
      <c r="Q861" s="2" t="s">
        <v>329</v>
      </c>
      <c r="R861">
        <v>45</v>
      </c>
      <c r="S861" s="2">
        <v>8</v>
      </c>
      <c r="T861" t="s">
        <v>297</v>
      </c>
      <c r="U861" t="s">
        <v>300</v>
      </c>
      <c r="V861" t="s">
        <v>301</v>
      </c>
      <c r="W861" s="41"/>
      <c r="X861" s="41"/>
      <c r="Y861" s="34"/>
      <c r="Z861" s="34"/>
      <c r="AA861" s="35">
        <f>IF(TA[[#This Row],[Work Start time on Fault]]="NA","",(TA[[#This Row],[Fault Acknowledgement Time ]]-TA[[#This Row],[Fault Time]])*24)</f>
        <v>0</v>
      </c>
      <c r="AB861" s="35">
        <f>(TA[[#This Row],[Work Start time on Fault]]-TA[[#This Row],[Fault Time]])*24</f>
        <v>0</v>
      </c>
      <c r="AC861" s="34">
        <f>(TA[[#This Row],[Work Completion time on fault]]-TA[[#This Row],[Fault Time]])*24</f>
        <v>0</v>
      </c>
      <c r="AD861" s="35">
        <f>IFERROR((TA[[#This Row],[Work Completion time on fault]]-TA[[#This Row],[Fault Time]])*24,"")</f>
        <v>0</v>
      </c>
      <c r="AE861" t="s">
        <v>328</v>
      </c>
      <c r="AF861" t="s">
        <v>256</v>
      </c>
      <c r="AG861" s="2"/>
      <c r="AH861" s="44">
        <f>1-COS(RADIANS(TA[[#This Row],[Avg. Target Angle during Fault Time (Radians)]]-TA[[#This Row],[Angle of affected equipment ]]))</f>
        <v>0.11705240714107301</v>
      </c>
      <c r="AI861" s="35">
        <f>IFERROR(TA[[#This Row],[Breakdown Time]]*TA[[#This Row],[Plant Equivalent Weightage]],"")</f>
        <v>0</v>
      </c>
    </row>
    <row r="862" spans="1:35">
      <c r="A862" s="2">
        <f t="shared" si="65"/>
        <v>859</v>
      </c>
      <c r="B862" s="156">
        <f t="shared" si="72"/>
        <v>2026</v>
      </c>
      <c r="C862" s="129">
        <f t="shared" si="73"/>
        <v>2025</v>
      </c>
      <c r="D862" s="2" t="s">
        <v>155</v>
      </c>
      <c r="E862" s="2" t="s">
        <v>155</v>
      </c>
      <c r="F862" s="39">
        <v>45778</v>
      </c>
      <c r="G862" s="2">
        <f>DAY(EOMONTH(TA[[#This Row],[Month Year]],0))</f>
        <v>31</v>
      </c>
      <c r="H862" s="21">
        <v>45803</v>
      </c>
      <c r="I862" s="41">
        <f>IFERROR(VLOOKUP(TA[[#This Row],[Date]],Raw_Data[[Date]:[Sunset Time (POA&lt;20 W/m2)]],3,0),"")</f>
        <v>0.25</v>
      </c>
      <c r="J862" s="41">
        <f>IFERROR(VLOOKUP(TA[[#This Row],[Date]],Raw_Data[[Date]:[Sunset Time (POA&lt;20 W/m2)]],4,0),"")</f>
        <v>0.76736111111111116</v>
      </c>
      <c r="K862" s="35">
        <f>IFERROR((TA[[#This Row],[Sunset Time (POA&lt;20 W/m2)]]-TA[[#This Row],[Sunrise Time (POA&gt;20 W/m2)]])*24,"")</f>
        <v>12.416666666666668</v>
      </c>
      <c r="L862" s="2" t="s">
        <v>296</v>
      </c>
      <c r="M862" s="42">
        <f>IFERROR(VLOOKUP(TA[[#This Row],[Affected Equipment]],'Basic Data'!$I$2:$K$40,3,0),"")</f>
        <v>8.6206896551724102E-3</v>
      </c>
      <c r="N862">
        <v>-28</v>
      </c>
      <c r="O862" t="s">
        <v>135</v>
      </c>
      <c r="P862" s="22" t="s">
        <v>323</v>
      </c>
      <c r="Q862" s="2" t="s">
        <v>329</v>
      </c>
      <c r="R862">
        <v>47</v>
      </c>
      <c r="S862" s="2">
        <v>18</v>
      </c>
      <c r="T862" t="s">
        <v>297</v>
      </c>
      <c r="U862" t="s">
        <v>300</v>
      </c>
      <c r="V862" t="s">
        <v>301</v>
      </c>
      <c r="W862" s="41"/>
      <c r="X862" s="41"/>
      <c r="Y862" s="34"/>
      <c r="Z862" s="34"/>
      <c r="AA862" s="35">
        <f>IF(TA[[#This Row],[Work Start time on Fault]]="NA","",(TA[[#This Row],[Fault Acknowledgement Time ]]-TA[[#This Row],[Fault Time]])*24)</f>
        <v>0</v>
      </c>
      <c r="AB862" s="35">
        <f>(TA[[#This Row],[Work Start time on Fault]]-TA[[#This Row],[Fault Time]])*24</f>
        <v>0</v>
      </c>
      <c r="AC862" s="34">
        <f>(TA[[#This Row],[Work Completion time on fault]]-TA[[#This Row],[Fault Time]])*24</f>
        <v>0</v>
      </c>
      <c r="AD862" s="35">
        <f>IFERROR((TA[[#This Row],[Work Completion time on fault]]-TA[[#This Row],[Fault Time]])*24,"")</f>
        <v>0</v>
      </c>
      <c r="AE862" t="s">
        <v>328</v>
      </c>
      <c r="AF862" t="s">
        <v>256</v>
      </c>
      <c r="AG862" s="2"/>
      <c r="AH862" s="44">
        <f>1-COS(RADIANS(TA[[#This Row],[Avg. Target Angle during Fault Time (Radians)]]-TA[[#This Row],[Angle of affected equipment ]]))</f>
        <v>0.11705240714107301</v>
      </c>
      <c r="AI862" s="35">
        <f>IFERROR(TA[[#This Row],[Breakdown Time]]*TA[[#This Row],[Plant Equivalent Weightage]],"")</f>
        <v>0</v>
      </c>
    </row>
    <row r="863" spans="1:35">
      <c r="A863" s="2">
        <f t="shared" si="65"/>
        <v>860</v>
      </c>
      <c r="B863" s="156">
        <f t="shared" si="72"/>
        <v>2026</v>
      </c>
      <c r="C863" s="129">
        <f t="shared" si="73"/>
        <v>2025</v>
      </c>
      <c r="D863" s="2" t="s">
        <v>155</v>
      </c>
      <c r="E863" s="2" t="s">
        <v>155</v>
      </c>
      <c r="F863" s="39">
        <v>45778</v>
      </c>
      <c r="G863" s="2">
        <f>DAY(EOMONTH(TA[[#This Row],[Month Year]],0))</f>
        <v>31</v>
      </c>
      <c r="H863" s="21">
        <v>45803</v>
      </c>
      <c r="I863" s="41">
        <f>IFERROR(VLOOKUP(TA[[#This Row],[Date]],Raw_Data[[Date]:[Sunset Time (POA&lt;20 W/m2)]],3,0),"")</f>
        <v>0.25</v>
      </c>
      <c r="J863" s="41">
        <f>IFERROR(VLOOKUP(TA[[#This Row],[Date]],Raw_Data[[Date]:[Sunset Time (POA&lt;20 W/m2)]],4,0),"")</f>
        <v>0.76736111111111116</v>
      </c>
      <c r="K863" s="35">
        <f>IFERROR((TA[[#This Row],[Sunset Time (POA&lt;20 W/m2)]]-TA[[#This Row],[Sunrise Time (POA&gt;20 W/m2)]])*24,"")</f>
        <v>12.416666666666668</v>
      </c>
      <c r="L863" s="2" t="s">
        <v>296</v>
      </c>
      <c r="M863" s="42">
        <f>IFERROR(VLOOKUP(TA[[#This Row],[Affected Equipment]],'Basic Data'!$I$2:$K$40,3,0),"")</f>
        <v>8.6206896551724102E-3</v>
      </c>
      <c r="N863">
        <v>-28</v>
      </c>
      <c r="O863" t="s">
        <v>134</v>
      </c>
      <c r="P863" s="22" t="s">
        <v>330</v>
      </c>
      <c r="Q863" s="2" t="s">
        <v>323</v>
      </c>
      <c r="R863">
        <v>30</v>
      </c>
      <c r="S863" s="2">
        <v>57</v>
      </c>
      <c r="T863" t="s">
        <v>297</v>
      </c>
      <c r="U863" t="s">
        <v>300</v>
      </c>
      <c r="V863" t="s">
        <v>301</v>
      </c>
      <c r="W863" s="41"/>
      <c r="X863" s="41"/>
      <c r="Y863" s="34"/>
      <c r="Z863" s="34"/>
      <c r="AA863" s="35">
        <f>IF(TA[[#This Row],[Work Start time on Fault]]="NA","",(TA[[#This Row],[Fault Acknowledgement Time ]]-TA[[#This Row],[Fault Time]])*24)</f>
        <v>0</v>
      </c>
      <c r="AB863" s="35">
        <f>(TA[[#This Row],[Work Start time on Fault]]-TA[[#This Row],[Fault Time]])*24</f>
        <v>0</v>
      </c>
      <c r="AC863" s="34">
        <f>(TA[[#This Row],[Work Completion time on fault]]-TA[[#This Row],[Fault Time]])*24</f>
        <v>0</v>
      </c>
      <c r="AD863" s="35">
        <f>IFERROR((TA[[#This Row],[Work Completion time on fault]]-TA[[#This Row],[Fault Time]])*24,"")</f>
        <v>0</v>
      </c>
      <c r="AE863" t="s">
        <v>328</v>
      </c>
      <c r="AF863" t="s">
        <v>256</v>
      </c>
      <c r="AG863" s="2"/>
      <c r="AH863" s="44">
        <f>1-COS(RADIANS(TA[[#This Row],[Avg. Target Angle during Fault Time (Radians)]]-TA[[#This Row],[Angle of affected equipment ]]))</f>
        <v>0.11705240714107301</v>
      </c>
      <c r="AI863" s="35">
        <f>IFERROR(TA[[#This Row],[Breakdown Time]]*TA[[#This Row],[Plant Equivalent Weightage]],"")</f>
        <v>0</v>
      </c>
    </row>
    <row r="864" spans="1:35">
      <c r="A864" s="2">
        <f t="shared" si="65"/>
        <v>861</v>
      </c>
      <c r="B864" s="156">
        <f t="shared" si="72"/>
        <v>2026</v>
      </c>
      <c r="C864" s="129">
        <f t="shared" si="73"/>
        <v>2025</v>
      </c>
      <c r="D864" s="2" t="s">
        <v>155</v>
      </c>
      <c r="E864" s="2" t="s">
        <v>155</v>
      </c>
      <c r="F864" s="39">
        <v>45778</v>
      </c>
      <c r="G864" s="2">
        <f>DAY(EOMONTH(TA[[#This Row],[Month Year]],0))</f>
        <v>31</v>
      </c>
      <c r="H864" s="21">
        <v>45803</v>
      </c>
      <c r="I864" s="41">
        <f>IFERROR(VLOOKUP(TA[[#This Row],[Date]],Raw_Data[[Date]:[Sunset Time (POA&lt;20 W/m2)]],3,0),"")</f>
        <v>0.25</v>
      </c>
      <c r="J864" s="41">
        <f>IFERROR(VLOOKUP(TA[[#This Row],[Date]],Raw_Data[[Date]:[Sunset Time (POA&lt;20 W/m2)]],4,0),"")</f>
        <v>0.76736111111111116</v>
      </c>
      <c r="K864" s="35">
        <f>IFERROR((TA[[#This Row],[Sunset Time (POA&lt;20 W/m2)]]-TA[[#This Row],[Sunrise Time (POA&gt;20 W/m2)]])*24,"")</f>
        <v>12.416666666666668</v>
      </c>
      <c r="L864" s="2" t="s">
        <v>296</v>
      </c>
      <c r="M864" s="42">
        <f>IFERROR(VLOOKUP(TA[[#This Row],[Affected Equipment]],'Basic Data'!$I$2:$K$40,3,0),"")</f>
        <v>8.6206896551724102E-3</v>
      </c>
      <c r="N864">
        <v>-28</v>
      </c>
      <c r="O864" t="s">
        <v>134</v>
      </c>
      <c r="P864" s="22" t="s">
        <v>330</v>
      </c>
      <c r="Q864" s="2" t="s">
        <v>323</v>
      </c>
      <c r="R864">
        <v>31</v>
      </c>
      <c r="S864" s="2">
        <v>61</v>
      </c>
      <c r="T864" t="s">
        <v>297</v>
      </c>
      <c r="U864" t="s">
        <v>300</v>
      </c>
      <c r="V864" t="s">
        <v>301</v>
      </c>
      <c r="W864" s="41"/>
      <c r="X864" s="41"/>
      <c r="Y864" s="34"/>
      <c r="Z864" s="34"/>
      <c r="AA864" s="35">
        <f>IF(TA[[#This Row],[Work Start time on Fault]]="NA","",(TA[[#This Row],[Fault Acknowledgement Time ]]-TA[[#This Row],[Fault Time]])*24)</f>
        <v>0</v>
      </c>
      <c r="AB864" s="35">
        <f>(TA[[#This Row],[Work Start time on Fault]]-TA[[#This Row],[Fault Time]])*24</f>
        <v>0</v>
      </c>
      <c r="AC864" s="34">
        <f>(TA[[#This Row],[Work Completion time on fault]]-TA[[#This Row],[Fault Time]])*24</f>
        <v>0</v>
      </c>
      <c r="AD864" s="35">
        <f>IFERROR((TA[[#This Row],[Work Completion time on fault]]-TA[[#This Row],[Fault Time]])*24,"")</f>
        <v>0</v>
      </c>
      <c r="AE864" t="s">
        <v>328</v>
      </c>
      <c r="AF864" t="s">
        <v>256</v>
      </c>
      <c r="AG864" s="2"/>
      <c r="AH864" s="44">
        <f>1-COS(RADIANS(TA[[#This Row],[Avg. Target Angle during Fault Time (Radians)]]-TA[[#This Row],[Angle of affected equipment ]]))</f>
        <v>0.11705240714107301</v>
      </c>
      <c r="AI864" s="35">
        <f>IFERROR(TA[[#This Row],[Breakdown Time]]*TA[[#This Row],[Plant Equivalent Weightage]],"")</f>
        <v>0</v>
      </c>
    </row>
    <row r="865" spans="1:35">
      <c r="A865" s="2">
        <f t="shared" si="65"/>
        <v>862</v>
      </c>
      <c r="B865" s="156">
        <f t="shared" si="72"/>
        <v>2026</v>
      </c>
      <c r="C865" s="129">
        <f t="shared" si="73"/>
        <v>2025</v>
      </c>
      <c r="D865" s="2" t="s">
        <v>155</v>
      </c>
      <c r="E865" s="2" t="s">
        <v>155</v>
      </c>
      <c r="F865" s="39">
        <v>45778</v>
      </c>
      <c r="G865" s="2">
        <f>DAY(EOMONTH(TA[[#This Row],[Month Year]],0))</f>
        <v>31</v>
      </c>
      <c r="H865" s="21">
        <v>45803</v>
      </c>
      <c r="I865" s="41">
        <f>IFERROR(VLOOKUP(TA[[#This Row],[Date]],Raw_Data[[Date]:[Sunset Time (POA&lt;20 W/m2)]],3,0),"")</f>
        <v>0.25</v>
      </c>
      <c r="J865" s="41">
        <f>IFERROR(VLOOKUP(TA[[#This Row],[Date]],Raw_Data[[Date]:[Sunset Time (POA&lt;20 W/m2)]],4,0),"")</f>
        <v>0.76736111111111116</v>
      </c>
      <c r="K865" s="35">
        <f>IFERROR((TA[[#This Row],[Sunset Time (POA&lt;20 W/m2)]]-TA[[#This Row],[Sunrise Time (POA&gt;20 W/m2)]])*24,"")</f>
        <v>12.416666666666668</v>
      </c>
      <c r="L865" s="2" t="s">
        <v>312</v>
      </c>
      <c r="M865" s="42">
        <f>IFERROR(VLOOKUP(TA[[#This Row],[Affected Equipment]],'Basic Data'!$I$2:$K$40,3,0),"")</f>
        <v>5.74712643678161E-3</v>
      </c>
      <c r="N865">
        <v>-28</v>
      </c>
      <c r="O865" t="s">
        <v>133</v>
      </c>
      <c r="P865" s="22" t="s">
        <v>330</v>
      </c>
      <c r="Q865" s="2" t="s">
        <v>323</v>
      </c>
      <c r="R865">
        <v>26</v>
      </c>
      <c r="S865" s="2">
        <v>37</v>
      </c>
      <c r="T865" t="s">
        <v>297</v>
      </c>
      <c r="U865" t="s">
        <v>300</v>
      </c>
      <c r="V865" t="s">
        <v>301</v>
      </c>
      <c r="W865" s="41"/>
      <c r="X865" s="41"/>
      <c r="Y865" s="34"/>
      <c r="Z865" s="34"/>
      <c r="AA865" s="35">
        <f>IF(TA[[#This Row],[Work Start time on Fault]]="NA","",(TA[[#This Row],[Fault Acknowledgement Time ]]-TA[[#This Row],[Fault Time]])*24)</f>
        <v>0</v>
      </c>
      <c r="AB865" s="35">
        <f>(TA[[#This Row],[Work Start time on Fault]]-TA[[#This Row],[Fault Time]])*24</f>
        <v>0</v>
      </c>
      <c r="AC865" s="34">
        <f>(TA[[#This Row],[Work Completion time on fault]]-TA[[#This Row],[Fault Time]])*24</f>
        <v>0</v>
      </c>
      <c r="AD865" s="35">
        <f>IFERROR((TA[[#This Row],[Work Completion time on fault]]-TA[[#This Row],[Fault Time]])*24,"")</f>
        <v>0</v>
      </c>
      <c r="AE865" t="s">
        <v>328</v>
      </c>
      <c r="AF865" t="s">
        <v>256</v>
      </c>
      <c r="AG865" s="2"/>
      <c r="AH865" s="44">
        <f>1-COS(RADIANS(TA[[#This Row],[Avg. Target Angle during Fault Time (Radians)]]-TA[[#This Row],[Angle of affected equipment ]]))</f>
        <v>0.11705240714107301</v>
      </c>
      <c r="AI865" s="35">
        <f>IFERROR(TA[[#This Row],[Breakdown Time]]*TA[[#This Row],[Plant Equivalent Weightage]],"")</f>
        <v>0</v>
      </c>
    </row>
    <row r="866" spans="1:35">
      <c r="A866" s="2">
        <f t="shared" si="65"/>
        <v>863</v>
      </c>
      <c r="B866" s="156">
        <f t="shared" si="72"/>
        <v>2026</v>
      </c>
      <c r="C866" s="129">
        <f t="shared" si="73"/>
        <v>2025</v>
      </c>
      <c r="D866" s="2" t="s">
        <v>155</v>
      </c>
      <c r="E866" s="2" t="s">
        <v>155</v>
      </c>
      <c r="F866" s="39">
        <v>45778</v>
      </c>
      <c r="G866" s="2">
        <f>DAY(EOMONTH(TA[[#This Row],[Month Year]],0))</f>
        <v>31</v>
      </c>
      <c r="H866" s="21">
        <v>45803</v>
      </c>
      <c r="I866" s="41">
        <f>IFERROR(VLOOKUP(TA[[#This Row],[Date]],Raw_Data[[Date]:[Sunset Time (POA&lt;20 W/m2)]],3,0),"")</f>
        <v>0.25</v>
      </c>
      <c r="J866" s="41">
        <f>IFERROR(VLOOKUP(TA[[#This Row],[Date]],Raw_Data[[Date]:[Sunset Time (POA&lt;20 W/m2)]],4,0),"")</f>
        <v>0.76736111111111116</v>
      </c>
      <c r="K866" s="35">
        <f>IFERROR((TA[[#This Row],[Sunset Time (POA&lt;20 W/m2)]]-TA[[#This Row],[Sunrise Time (POA&gt;20 W/m2)]])*24,"")</f>
        <v>12.416666666666668</v>
      </c>
      <c r="L866" s="2" t="s">
        <v>312</v>
      </c>
      <c r="M866" s="42">
        <f>IFERROR(VLOOKUP(TA[[#This Row],[Affected Equipment]],'Basic Data'!$I$2:$K$40,3,0),"")</f>
        <v>5.74712643678161E-3</v>
      </c>
      <c r="N866">
        <v>-28</v>
      </c>
      <c r="O866" t="s">
        <v>133</v>
      </c>
      <c r="P866" s="22" t="s">
        <v>330</v>
      </c>
      <c r="Q866" s="2" t="s">
        <v>323</v>
      </c>
      <c r="R866">
        <v>27</v>
      </c>
      <c r="S866" s="2">
        <v>42</v>
      </c>
      <c r="T866" t="s">
        <v>297</v>
      </c>
      <c r="U866" t="s">
        <v>300</v>
      </c>
      <c r="V866" t="s">
        <v>301</v>
      </c>
      <c r="W866" s="41">
        <f>IFERROR(VLOOKUP(TA[[#This Row],[Date]],Raw_Data[[Date]:[Sunset Time (POA&lt;20 W/m2)]],3,0),"")</f>
        <v>0.25</v>
      </c>
      <c r="X866" s="41">
        <f>IFERROR(VLOOKUP(TA[[#This Row],[Date]],Raw_Data[[Date]:[Sunset Time (POA&lt;20 W/m2)]],3,0),"")</f>
        <v>0.25</v>
      </c>
      <c r="Y866" s="34"/>
      <c r="Z866" s="34">
        <v>0.76041666666666663</v>
      </c>
      <c r="AA866" s="35">
        <f>IF(TA[[#This Row],[Work Start time on Fault]]="NA","",(TA[[#This Row],[Fault Acknowledgement Time ]]-TA[[#This Row],[Fault Time]])*24)</f>
        <v>0</v>
      </c>
      <c r="AB866" s="35">
        <f>(TA[[#This Row],[Work Start time on Fault]]-TA[[#This Row],[Fault Time]])*24</f>
        <v>-6</v>
      </c>
      <c r="AC866" s="34">
        <f>(TA[[#This Row],[Work Completion time on fault]]-TA[[#This Row],[Fault Time]])*24</f>
        <v>12.25</v>
      </c>
      <c r="AD866" s="35">
        <f>IFERROR((TA[[#This Row],[Work Completion time on fault]]-TA[[#This Row],[Fault Time]])*24,"")</f>
        <v>12.25</v>
      </c>
      <c r="AE866" t="s">
        <v>309</v>
      </c>
      <c r="AF866" t="s">
        <v>256</v>
      </c>
      <c r="AG866" s="2"/>
      <c r="AH866" s="44">
        <f>1-COS(RADIANS(TA[[#This Row],[Avg. Target Angle during Fault Time (Radians)]]-TA[[#This Row],[Angle of affected equipment ]]))</f>
        <v>0.11705240714107301</v>
      </c>
      <c r="AI866" s="35">
        <f>IFERROR(TA[[#This Row],[Breakdown Time]]*TA[[#This Row],[Plant Equivalent Weightage]],"")</f>
        <v>7.0402298850574724E-2</v>
      </c>
    </row>
    <row r="867" spans="1:35">
      <c r="A867" s="2">
        <f t="shared" si="65"/>
        <v>864</v>
      </c>
      <c r="B867" s="156">
        <f t="shared" ref="B867:B879" si="74">YEAR(H867)+IF(MONTH(H867)&gt;=4,1,0)</f>
        <v>2026</v>
      </c>
      <c r="C867" s="129">
        <f t="shared" ref="C867:C879" si="75">YEAR(H867)</f>
        <v>2025</v>
      </c>
      <c r="D867" s="2" t="s">
        <v>155</v>
      </c>
      <c r="E867" s="2" t="s">
        <v>155</v>
      </c>
      <c r="F867" s="39">
        <v>45778</v>
      </c>
      <c r="G867" s="2">
        <f>DAY(EOMONTH(TA[[#This Row],[Month Year]],0))</f>
        <v>31</v>
      </c>
      <c r="H867" s="21">
        <v>45804</v>
      </c>
      <c r="I867" s="41">
        <f>IFERROR(VLOOKUP(TA[[#This Row],[Date]],Raw_Data[[Date]:[Sunset Time (POA&lt;20 W/m2)]],3,0),"")</f>
        <v>0.24513888888888888</v>
      </c>
      <c r="J867" s="41">
        <f>IFERROR(VLOOKUP(TA[[#This Row],[Date]],Raw_Data[[Date]:[Sunset Time (POA&lt;20 W/m2)]],4,0),"")</f>
        <v>0.72986111111111107</v>
      </c>
      <c r="K867" s="35">
        <f>IFERROR((TA[[#This Row],[Sunset Time (POA&lt;20 W/m2)]]-TA[[#This Row],[Sunrise Time (POA&gt;20 W/m2)]])*24,"")</f>
        <v>11.633333333333333</v>
      </c>
      <c r="L867" s="2" t="s">
        <v>294</v>
      </c>
      <c r="M867" s="42">
        <f>IFERROR(VLOOKUP(TA[[#This Row],[Affected Equipment]],'Basic Data'!$I$2:$K$40,3,0),"")</f>
        <v>1.7241379310344799E-3</v>
      </c>
      <c r="N867">
        <v>-28</v>
      </c>
      <c r="O867" t="s">
        <v>135</v>
      </c>
      <c r="P867" s="127" t="s">
        <v>318</v>
      </c>
      <c r="Q867" s="126" t="s">
        <v>318</v>
      </c>
      <c r="R867">
        <v>131</v>
      </c>
      <c r="S867" s="2">
        <v>38</v>
      </c>
      <c r="T867" t="s">
        <v>295</v>
      </c>
      <c r="U867" t="s">
        <v>300</v>
      </c>
      <c r="V867" t="s">
        <v>298</v>
      </c>
      <c r="W867" s="41"/>
      <c r="X867" s="41"/>
      <c r="Y867" s="34"/>
      <c r="Z867" s="34"/>
      <c r="AA867" s="35">
        <f>IF(TA[[#This Row],[Work Start time on Fault]]="NA","",(TA[[#This Row],[Fault Acknowledgement Time ]]-TA[[#This Row],[Fault Time]])*24)</f>
        <v>0</v>
      </c>
      <c r="AB867" s="35">
        <f>(TA[[#This Row],[Work Start time on Fault]]-TA[[#This Row],[Fault Time]])*24</f>
        <v>0</v>
      </c>
      <c r="AC867" s="34">
        <f>(TA[[#This Row],[Work Completion time on fault]]-TA[[#This Row],[Fault Time]])*24</f>
        <v>0</v>
      </c>
      <c r="AD867" s="35">
        <f>IFERROR((TA[[#This Row],[Work Completion time on fault]]-TA[[#This Row],[Fault Time]])*24,"")</f>
        <v>0</v>
      </c>
      <c r="AE867" t="s">
        <v>328</v>
      </c>
      <c r="AF867" t="s">
        <v>256</v>
      </c>
      <c r="AG867" s="2"/>
      <c r="AH867" s="44">
        <f>1-COS(RADIANS(TA[[#This Row],[Avg. Target Angle during Fault Time (Radians)]]-TA[[#This Row],[Angle of affected equipment ]]))</f>
        <v>0.11705240714107301</v>
      </c>
      <c r="AI867" s="35">
        <f>IFERROR(TA[[#This Row],[Breakdown Time]]*TA[[#This Row],[Plant Equivalent Weightage]],"")</f>
        <v>0</v>
      </c>
    </row>
    <row r="868" spans="1:35">
      <c r="A868" s="2">
        <f t="shared" si="65"/>
        <v>865</v>
      </c>
      <c r="B868" s="156">
        <f t="shared" si="74"/>
        <v>2026</v>
      </c>
      <c r="C868" s="129">
        <f t="shared" si="75"/>
        <v>2025</v>
      </c>
      <c r="D868" s="2" t="s">
        <v>155</v>
      </c>
      <c r="E868" s="2" t="s">
        <v>155</v>
      </c>
      <c r="F868" s="39">
        <v>45778</v>
      </c>
      <c r="G868" s="2">
        <f>DAY(EOMONTH(TA[[#This Row],[Month Year]],0))</f>
        <v>31</v>
      </c>
      <c r="H868" s="21">
        <v>45804</v>
      </c>
      <c r="I868" s="41">
        <f>IFERROR(VLOOKUP(TA[[#This Row],[Date]],Raw_Data[[Date]:[Sunset Time (POA&lt;20 W/m2)]],3,0),"")</f>
        <v>0.24513888888888888</v>
      </c>
      <c r="J868" s="41">
        <f>IFERROR(VLOOKUP(TA[[#This Row],[Date]],Raw_Data[[Date]:[Sunset Time (POA&lt;20 W/m2)]],4,0),"")</f>
        <v>0.72986111111111107</v>
      </c>
      <c r="K868" s="35">
        <f>IFERROR((TA[[#This Row],[Sunset Time (POA&lt;20 W/m2)]]-TA[[#This Row],[Sunrise Time (POA&gt;20 W/m2)]])*24,"")</f>
        <v>11.633333333333333</v>
      </c>
      <c r="L868" s="2" t="s">
        <v>294</v>
      </c>
      <c r="M868" s="42">
        <f>IFERROR(VLOOKUP(TA[[#This Row],[Affected Equipment]],'Basic Data'!$I$2:$K$40,3,0),"")</f>
        <v>1.7241379310344799E-3</v>
      </c>
      <c r="N868">
        <v>-28</v>
      </c>
      <c r="O868" t="s">
        <v>135</v>
      </c>
      <c r="P868" s="127" t="s">
        <v>318</v>
      </c>
      <c r="Q868" s="126" t="s">
        <v>318</v>
      </c>
      <c r="R868">
        <v>131</v>
      </c>
      <c r="S868" s="2">
        <v>39</v>
      </c>
      <c r="T868" t="s">
        <v>295</v>
      </c>
      <c r="U868" t="s">
        <v>300</v>
      </c>
      <c r="V868" t="s">
        <v>298</v>
      </c>
      <c r="W868" s="41"/>
      <c r="X868" s="41"/>
      <c r="Y868" s="34"/>
      <c r="Z868" s="34"/>
      <c r="AA868" s="35">
        <f>IF(TA[[#This Row],[Work Start time on Fault]]="NA","",(TA[[#This Row],[Fault Acknowledgement Time ]]-TA[[#This Row],[Fault Time]])*24)</f>
        <v>0</v>
      </c>
      <c r="AB868" s="35">
        <f>(TA[[#This Row],[Work Start time on Fault]]-TA[[#This Row],[Fault Time]])*24</f>
        <v>0</v>
      </c>
      <c r="AC868" s="34">
        <f>(TA[[#This Row],[Work Completion time on fault]]-TA[[#This Row],[Fault Time]])*24</f>
        <v>0</v>
      </c>
      <c r="AD868" s="35">
        <f>IFERROR((TA[[#This Row],[Work Completion time on fault]]-TA[[#This Row],[Fault Time]])*24,"")</f>
        <v>0</v>
      </c>
      <c r="AE868" t="s">
        <v>328</v>
      </c>
      <c r="AF868" t="s">
        <v>256</v>
      </c>
      <c r="AG868" s="2"/>
      <c r="AH868" s="44">
        <f>1-COS(RADIANS(TA[[#This Row],[Avg. Target Angle during Fault Time (Radians)]]-TA[[#This Row],[Angle of affected equipment ]]))</f>
        <v>0.11705240714107301</v>
      </c>
      <c r="AI868" s="35">
        <f>IFERROR(TA[[#This Row],[Breakdown Time]]*TA[[#This Row],[Plant Equivalent Weightage]],"")</f>
        <v>0</v>
      </c>
    </row>
    <row r="869" spans="1:35">
      <c r="A869" s="2">
        <f t="shared" si="65"/>
        <v>866</v>
      </c>
      <c r="B869" s="156">
        <f t="shared" si="74"/>
        <v>2026</v>
      </c>
      <c r="C869" s="129">
        <f t="shared" si="75"/>
        <v>2025</v>
      </c>
      <c r="D869" s="2" t="s">
        <v>155</v>
      </c>
      <c r="E869" s="2" t="s">
        <v>155</v>
      </c>
      <c r="F869" s="39">
        <v>45778</v>
      </c>
      <c r="G869" s="2">
        <f>DAY(EOMONTH(TA[[#This Row],[Month Year]],0))</f>
        <v>31</v>
      </c>
      <c r="H869" s="21">
        <v>45804</v>
      </c>
      <c r="I869" s="41">
        <f>IFERROR(VLOOKUP(TA[[#This Row],[Date]],Raw_Data[[Date]:[Sunset Time (POA&lt;20 W/m2)]],3,0),"")</f>
        <v>0.24513888888888888</v>
      </c>
      <c r="J869" s="41">
        <f>IFERROR(VLOOKUP(TA[[#This Row],[Date]],Raw_Data[[Date]:[Sunset Time (POA&lt;20 W/m2)]],4,0),"")</f>
        <v>0.72986111111111107</v>
      </c>
      <c r="K869" s="35">
        <f>IFERROR((TA[[#This Row],[Sunset Time (POA&lt;20 W/m2)]]-TA[[#This Row],[Sunrise Time (POA&gt;20 W/m2)]])*24,"")</f>
        <v>11.633333333333333</v>
      </c>
      <c r="L869" s="2" t="s">
        <v>296</v>
      </c>
      <c r="M869" s="42">
        <f>IFERROR(VLOOKUP(TA[[#This Row],[Affected Equipment]],'Basic Data'!$I$2:$K$40,3,0),"")</f>
        <v>8.6206896551724102E-3</v>
      </c>
      <c r="N869">
        <v>-28</v>
      </c>
      <c r="O869" t="s">
        <v>135</v>
      </c>
      <c r="P869" s="127" t="s">
        <v>318</v>
      </c>
      <c r="Q869" s="2" t="s">
        <v>321</v>
      </c>
      <c r="R869">
        <v>133</v>
      </c>
      <c r="S869" s="2">
        <v>26</v>
      </c>
      <c r="T869" t="s">
        <v>297</v>
      </c>
      <c r="U869" t="s">
        <v>300</v>
      </c>
      <c r="V869" t="s">
        <v>314</v>
      </c>
      <c r="W869" s="41">
        <f>IFERROR(VLOOKUP(TA[[#This Row],[Date]],Raw_Data[[Date]:[Sunset Time (POA&lt;20 W/m2)]],3,0),"")</f>
        <v>0.24513888888888888</v>
      </c>
      <c r="X869" s="41">
        <f>IFERROR(VLOOKUP(TA[[#This Row],[Date]],Raw_Data[[Date]:[Sunset Time (POA&lt;20 W/m2)]],3,0),"")</f>
        <v>0.24513888888888888</v>
      </c>
      <c r="Y869" s="34"/>
      <c r="Z869" s="34">
        <v>0.76041666666666663</v>
      </c>
      <c r="AA869" s="35">
        <f>IF(TA[[#This Row],[Work Start time on Fault]]="NA","",(TA[[#This Row],[Fault Acknowledgement Time ]]-TA[[#This Row],[Fault Time]])*24)</f>
        <v>0</v>
      </c>
      <c r="AB869" s="35">
        <f>(TA[[#This Row],[Work Start time on Fault]]-TA[[#This Row],[Fault Time]])*24</f>
        <v>-5.8833333333333329</v>
      </c>
      <c r="AC869" s="34">
        <f>(TA[[#This Row],[Work Completion time on fault]]-TA[[#This Row],[Fault Time]])*24</f>
        <v>12.366666666666665</v>
      </c>
      <c r="AD869" s="35">
        <f>IFERROR((TA[[#This Row],[Work Completion time on fault]]-TA[[#This Row],[Fault Time]])*24,"")</f>
        <v>12.366666666666665</v>
      </c>
      <c r="AE869" t="s">
        <v>328</v>
      </c>
      <c r="AF869" t="s">
        <v>256</v>
      </c>
      <c r="AG869" s="2"/>
      <c r="AH869" s="44">
        <f>1-COS(RADIANS(TA[[#This Row],[Avg. Target Angle during Fault Time (Radians)]]-TA[[#This Row],[Angle of affected equipment ]]))</f>
        <v>0.11705240714107301</v>
      </c>
      <c r="AI869" s="35">
        <f>IFERROR(TA[[#This Row],[Breakdown Time]]*TA[[#This Row],[Plant Equivalent Weightage]],"")</f>
        <v>0.1066091954022988</v>
      </c>
    </row>
    <row r="870" spans="1:35">
      <c r="A870" s="2">
        <f t="shared" si="65"/>
        <v>867</v>
      </c>
      <c r="B870" s="156">
        <f t="shared" si="74"/>
        <v>2026</v>
      </c>
      <c r="C870" s="129">
        <f t="shared" si="75"/>
        <v>2025</v>
      </c>
      <c r="D870" s="2" t="s">
        <v>155</v>
      </c>
      <c r="E870" s="2" t="s">
        <v>155</v>
      </c>
      <c r="F870" s="39">
        <v>45778</v>
      </c>
      <c r="G870" s="2">
        <f>DAY(EOMONTH(TA[[#This Row],[Month Year]],0))</f>
        <v>31</v>
      </c>
      <c r="H870" s="21">
        <v>45804</v>
      </c>
      <c r="I870" s="41">
        <f>IFERROR(VLOOKUP(TA[[#This Row],[Date]],Raw_Data[[Date]:[Sunset Time (POA&lt;20 W/m2)]],3,0),"")</f>
        <v>0.24513888888888888</v>
      </c>
      <c r="J870" s="41">
        <f>IFERROR(VLOOKUP(TA[[#This Row],[Date]],Raw_Data[[Date]:[Sunset Time (POA&lt;20 W/m2)]],4,0),"")</f>
        <v>0.72986111111111107</v>
      </c>
      <c r="K870" s="35">
        <f>IFERROR((TA[[#This Row],[Sunset Time (POA&lt;20 W/m2)]]-TA[[#This Row],[Sunrise Time (POA&gt;20 W/m2)]])*24,"")</f>
        <v>11.633333333333333</v>
      </c>
      <c r="L870" s="2" t="s">
        <v>294</v>
      </c>
      <c r="M870" s="42">
        <f>IFERROR(VLOOKUP(TA[[#This Row],[Affected Equipment]],'Basic Data'!$I$2:$K$40,3,0),"")</f>
        <v>1.7241379310344799E-3</v>
      </c>
      <c r="N870">
        <v>-28</v>
      </c>
      <c r="O870" t="s">
        <v>133</v>
      </c>
      <c r="P870" s="127" t="s">
        <v>316</v>
      </c>
      <c r="Q870" s="126" t="s">
        <v>317</v>
      </c>
      <c r="R870">
        <v>7</v>
      </c>
      <c r="S870" s="2">
        <v>32</v>
      </c>
      <c r="T870" t="s">
        <v>295</v>
      </c>
      <c r="U870" t="s">
        <v>300</v>
      </c>
      <c r="V870" t="s">
        <v>298</v>
      </c>
      <c r="W870" s="41"/>
      <c r="X870" s="41"/>
      <c r="Y870" s="34"/>
      <c r="Z870" s="34"/>
      <c r="AA870" s="35">
        <f>IF(TA[[#This Row],[Work Start time on Fault]]="NA","",(TA[[#This Row],[Fault Acknowledgement Time ]]-TA[[#This Row],[Fault Time]])*24)</f>
        <v>0</v>
      </c>
      <c r="AB870" s="35">
        <f>(TA[[#This Row],[Work Start time on Fault]]-TA[[#This Row],[Fault Time]])*24</f>
        <v>0</v>
      </c>
      <c r="AC870" s="34">
        <f>(TA[[#This Row],[Work Completion time on fault]]-TA[[#This Row],[Fault Time]])*24</f>
        <v>0</v>
      </c>
      <c r="AD870" s="35">
        <f>IFERROR((TA[[#This Row],[Work Completion time on fault]]-TA[[#This Row],[Fault Time]])*24,"")</f>
        <v>0</v>
      </c>
      <c r="AE870" t="s">
        <v>328</v>
      </c>
      <c r="AF870" t="s">
        <v>256</v>
      </c>
      <c r="AG870" s="2"/>
      <c r="AH870" s="44">
        <f>1-COS(RADIANS(TA[[#This Row],[Avg. Target Angle during Fault Time (Radians)]]-TA[[#This Row],[Angle of affected equipment ]]))</f>
        <v>0.11705240714107301</v>
      </c>
      <c r="AI870" s="35">
        <f>IFERROR(TA[[#This Row],[Breakdown Time]]*TA[[#This Row],[Plant Equivalent Weightage]],"")</f>
        <v>0</v>
      </c>
    </row>
    <row r="871" spans="1:35">
      <c r="A871" s="2">
        <f t="shared" ref="A871:A934" si="76">A870+1</f>
        <v>868</v>
      </c>
      <c r="B871" s="156">
        <f t="shared" si="74"/>
        <v>2026</v>
      </c>
      <c r="C871" s="129">
        <f t="shared" si="75"/>
        <v>2025</v>
      </c>
      <c r="D871" s="2" t="s">
        <v>155</v>
      </c>
      <c r="E871" s="2" t="s">
        <v>155</v>
      </c>
      <c r="F871" s="39">
        <v>45778</v>
      </c>
      <c r="G871" s="2">
        <f>DAY(EOMONTH(TA[[#This Row],[Month Year]],0))</f>
        <v>31</v>
      </c>
      <c r="H871" s="21">
        <v>45804</v>
      </c>
      <c r="I871" s="41">
        <f>IFERROR(VLOOKUP(TA[[#This Row],[Date]],Raw_Data[[Date]:[Sunset Time (POA&lt;20 W/m2)]],3,0),"")</f>
        <v>0.24513888888888888</v>
      </c>
      <c r="J871" s="41">
        <f>IFERROR(VLOOKUP(TA[[#This Row],[Date]],Raw_Data[[Date]:[Sunset Time (POA&lt;20 W/m2)]],4,0),"")</f>
        <v>0.72986111111111107</v>
      </c>
      <c r="K871" s="35">
        <f>IFERROR((TA[[#This Row],[Sunset Time (POA&lt;20 W/m2)]]-TA[[#This Row],[Sunrise Time (POA&gt;20 W/m2)]])*24,"")</f>
        <v>11.633333333333333</v>
      </c>
      <c r="L871" s="2" t="s">
        <v>294</v>
      </c>
      <c r="M871" s="42">
        <f>IFERROR(VLOOKUP(TA[[#This Row],[Affected Equipment]],'Basic Data'!$I$2:$K$40,3,0),"")</f>
        <v>1.7241379310344799E-3</v>
      </c>
      <c r="N871">
        <v>-28</v>
      </c>
      <c r="O871" t="s">
        <v>137</v>
      </c>
      <c r="P871" s="127" t="s">
        <v>315</v>
      </c>
      <c r="Q871" s="126" t="s">
        <v>319</v>
      </c>
      <c r="R871">
        <v>166</v>
      </c>
      <c r="S871" s="2">
        <v>91</v>
      </c>
      <c r="T871" t="s">
        <v>295</v>
      </c>
      <c r="U871" t="s">
        <v>300</v>
      </c>
      <c r="V871" t="s">
        <v>298</v>
      </c>
      <c r="W871" s="41"/>
      <c r="X871" s="41"/>
      <c r="Y871" s="34"/>
      <c r="Z871" s="34"/>
      <c r="AA871" s="35">
        <f>IF(TA[[#This Row],[Work Start time on Fault]]="NA","",(TA[[#This Row],[Fault Acknowledgement Time ]]-TA[[#This Row],[Fault Time]])*24)</f>
        <v>0</v>
      </c>
      <c r="AB871" s="35">
        <f>(TA[[#This Row],[Work Start time on Fault]]-TA[[#This Row],[Fault Time]])*24</f>
        <v>0</v>
      </c>
      <c r="AC871" s="34">
        <f>(TA[[#This Row],[Work Completion time on fault]]-TA[[#This Row],[Fault Time]])*24</f>
        <v>0</v>
      </c>
      <c r="AD871" s="35">
        <f>IFERROR((TA[[#This Row],[Work Completion time on fault]]-TA[[#This Row],[Fault Time]])*24,"")</f>
        <v>0</v>
      </c>
      <c r="AE871" t="s">
        <v>328</v>
      </c>
      <c r="AF871" t="s">
        <v>256</v>
      </c>
      <c r="AG871" s="2"/>
      <c r="AH871" s="44">
        <f>1-COS(RADIANS(TA[[#This Row],[Avg. Target Angle during Fault Time (Radians)]]-TA[[#This Row],[Angle of affected equipment ]]))</f>
        <v>0.11705240714107301</v>
      </c>
      <c r="AI871" s="35">
        <f>IFERROR(TA[[#This Row],[Breakdown Time]]*TA[[#This Row],[Plant Equivalent Weightage]],"")</f>
        <v>0</v>
      </c>
    </row>
    <row r="872" spans="1:35">
      <c r="A872" s="2">
        <f t="shared" si="76"/>
        <v>869</v>
      </c>
      <c r="B872" s="156">
        <f t="shared" si="74"/>
        <v>2026</v>
      </c>
      <c r="C872" s="129">
        <f t="shared" si="75"/>
        <v>2025</v>
      </c>
      <c r="D872" s="2" t="s">
        <v>155</v>
      </c>
      <c r="E872" s="2" t="s">
        <v>155</v>
      </c>
      <c r="F872" s="39">
        <v>45778</v>
      </c>
      <c r="G872" s="2">
        <f>DAY(EOMONTH(TA[[#This Row],[Month Year]],0))</f>
        <v>31</v>
      </c>
      <c r="H872" s="21">
        <v>45804</v>
      </c>
      <c r="I872" s="41">
        <f>IFERROR(VLOOKUP(TA[[#This Row],[Date]],Raw_Data[[Date]:[Sunset Time (POA&lt;20 W/m2)]],3,0),"")</f>
        <v>0.24513888888888888</v>
      </c>
      <c r="J872" s="41">
        <f>IFERROR(VLOOKUP(TA[[#This Row],[Date]],Raw_Data[[Date]:[Sunset Time (POA&lt;20 W/m2)]],4,0),"")</f>
        <v>0.72986111111111107</v>
      </c>
      <c r="K872" s="35">
        <f>IFERROR((TA[[#This Row],[Sunset Time (POA&lt;20 W/m2)]]-TA[[#This Row],[Sunrise Time (POA&gt;20 W/m2)]])*24,"")</f>
        <v>11.633333333333333</v>
      </c>
      <c r="L872" s="2" t="s">
        <v>294</v>
      </c>
      <c r="M872" s="42">
        <f>IFERROR(VLOOKUP(TA[[#This Row],[Affected Equipment]],'Basic Data'!$I$2:$K$40,3,0),"")</f>
        <v>1.7241379310344799E-3</v>
      </c>
      <c r="N872">
        <v>-28</v>
      </c>
      <c r="O872" t="s">
        <v>133</v>
      </c>
      <c r="P872" s="127" t="s">
        <v>316</v>
      </c>
      <c r="Q872" s="126" t="s">
        <v>316</v>
      </c>
      <c r="R872">
        <v>117</v>
      </c>
      <c r="S872" s="2">
        <v>20</v>
      </c>
      <c r="T872" t="s">
        <v>295</v>
      </c>
      <c r="U872" t="s">
        <v>300</v>
      </c>
      <c r="V872" t="s">
        <v>298</v>
      </c>
      <c r="W872" s="41"/>
      <c r="X872" s="41"/>
      <c r="Y872" s="34"/>
      <c r="Z872" s="34"/>
      <c r="AA872" s="35">
        <f>IF(TA[[#This Row],[Work Start time on Fault]]="NA","",(TA[[#This Row],[Fault Acknowledgement Time ]]-TA[[#This Row],[Fault Time]])*24)</f>
        <v>0</v>
      </c>
      <c r="AB872" s="35">
        <f>(TA[[#This Row],[Work Start time on Fault]]-TA[[#This Row],[Fault Time]])*24</f>
        <v>0</v>
      </c>
      <c r="AC872" s="34">
        <f>(TA[[#This Row],[Work Completion time on fault]]-TA[[#This Row],[Fault Time]])*24</f>
        <v>0</v>
      </c>
      <c r="AD872" s="35">
        <f>IFERROR((TA[[#This Row],[Work Completion time on fault]]-TA[[#This Row],[Fault Time]])*24,"")</f>
        <v>0</v>
      </c>
      <c r="AE872" t="s">
        <v>328</v>
      </c>
      <c r="AF872" t="s">
        <v>256</v>
      </c>
      <c r="AG872" s="2"/>
      <c r="AH872" s="44">
        <f>1-COS(RADIANS(TA[[#This Row],[Avg. Target Angle during Fault Time (Radians)]]-TA[[#This Row],[Angle of affected equipment ]]))</f>
        <v>0.11705240714107301</v>
      </c>
      <c r="AI872" s="35">
        <f>IFERROR(TA[[#This Row],[Breakdown Time]]*TA[[#This Row],[Plant Equivalent Weightage]],"")</f>
        <v>0</v>
      </c>
    </row>
    <row r="873" spans="1:35">
      <c r="A873" s="2">
        <f t="shared" si="76"/>
        <v>870</v>
      </c>
      <c r="B873" s="156">
        <f t="shared" si="74"/>
        <v>2026</v>
      </c>
      <c r="C873" s="129">
        <f t="shared" si="75"/>
        <v>2025</v>
      </c>
      <c r="D873" s="2" t="s">
        <v>155</v>
      </c>
      <c r="E873" s="2" t="s">
        <v>155</v>
      </c>
      <c r="F873" s="39">
        <v>45778</v>
      </c>
      <c r="G873" s="2">
        <f>DAY(EOMONTH(TA[[#This Row],[Month Year]],0))</f>
        <v>31</v>
      </c>
      <c r="H873" s="21">
        <v>45804</v>
      </c>
      <c r="I873" s="41">
        <f>IFERROR(VLOOKUP(TA[[#This Row],[Date]],Raw_Data[[Date]:[Sunset Time (POA&lt;20 W/m2)]],3,0),"")</f>
        <v>0.24513888888888888</v>
      </c>
      <c r="J873" s="41">
        <f>IFERROR(VLOOKUP(TA[[#This Row],[Date]],Raw_Data[[Date]:[Sunset Time (POA&lt;20 W/m2)]],4,0),"")</f>
        <v>0.72986111111111107</v>
      </c>
      <c r="K873" s="35">
        <f>IFERROR((TA[[#This Row],[Sunset Time (POA&lt;20 W/m2)]]-TA[[#This Row],[Sunrise Time (POA&gt;20 W/m2)]])*24,"")</f>
        <v>11.633333333333333</v>
      </c>
      <c r="L873" s="2" t="s">
        <v>294</v>
      </c>
      <c r="M873" s="42">
        <f>IFERROR(VLOOKUP(TA[[#This Row],[Affected Equipment]],'Basic Data'!$I$2:$K$40,3,0),"")</f>
        <v>1.7241379310344799E-3</v>
      </c>
      <c r="N873">
        <v>-28</v>
      </c>
      <c r="O873" t="s">
        <v>133</v>
      </c>
      <c r="P873" s="127" t="s">
        <v>316</v>
      </c>
      <c r="Q873" s="126" t="s">
        <v>316</v>
      </c>
      <c r="R873">
        <v>118</v>
      </c>
      <c r="S873" s="2">
        <v>22</v>
      </c>
      <c r="T873" t="s">
        <v>295</v>
      </c>
      <c r="U873" t="s">
        <v>300</v>
      </c>
      <c r="V873" t="s">
        <v>298</v>
      </c>
      <c r="W873" s="41"/>
      <c r="X873" s="41"/>
      <c r="Y873" s="34"/>
      <c r="Z873" s="34"/>
      <c r="AA873" s="35">
        <f>IF(TA[[#This Row],[Work Start time on Fault]]="NA","",(TA[[#This Row],[Fault Acknowledgement Time ]]-TA[[#This Row],[Fault Time]])*24)</f>
        <v>0</v>
      </c>
      <c r="AB873" s="35">
        <f>(TA[[#This Row],[Work Start time on Fault]]-TA[[#This Row],[Fault Time]])*24</f>
        <v>0</v>
      </c>
      <c r="AC873" s="34">
        <f>(TA[[#This Row],[Work Completion time on fault]]-TA[[#This Row],[Fault Time]])*24</f>
        <v>0</v>
      </c>
      <c r="AD873" s="35">
        <f>IFERROR((TA[[#This Row],[Work Completion time on fault]]-TA[[#This Row],[Fault Time]])*24,"")</f>
        <v>0</v>
      </c>
      <c r="AE873" t="s">
        <v>328</v>
      </c>
      <c r="AF873" t="s">
        <v>256</v>
      </c>
      <c r="AG873" s="2"/>
      <c r="AH873" s="44">
        <f>1-COS(RADIANS(TA[[#This Row],[Avg. Target Angle during Fault Time (Radians)]]-TA[[#This Row],[Angle of affected equipment ]]))</f>
        <v>0.11705240714107301</v>
      </c>
      <c r="AI873" s="35">
        <f>IFERROR(TA[[#This Row],[Breakdown Time]]*TA[[#This Row],[Plant Equivalent Weightage]],"")</f>
        <v>0</v>
      </c>
    </row>
    <row r="874" spans="1:35">
      <c r="A874" s="2">
        <f t="shared" si="76"/>
        <v>871</v>
      </c>
      <c r="B874" s="156">
        <f t="shared" si="74"/>
        <v>2026</v>
      </c>
      <c r="C874" s="129">
        <f t="shared" si="75"/>
        <v>2025</v>
      </c>
      <c r="D874" s="2" t="s">
        <v>155</v>
      </c>
      <c r="E874" s="2" t="s">
        <v>155</v>
      </c>
      <c r="F874" s="39">
        <v>45778</v>
      </c>
      <c r="G874" s="2">
        <f>DAY(EOMONTH(TA[[#This Row],[Month Year]],0))</f>
        <v>31</v>
      </c>
      <c r="H874" s="21">
        <v>45804</v>
      </c>
      <c r="I874" s="41">
        <f>IFERROR(VLOOKUP(TA[[#This Row],[Date]],Raw_Data[[Date]:[Sunset Time (POA&lt;20 W/m2)]],3,0),"")</f>
        <v>0.24513888888888888</v>
      </c>
      <c r="J874" s="41">
        <f>IFERROR(VLOOKUP(TA[[#This Row],[Date]],Raw_Data[[Date]:[Sunset Time (POA&lt;20 W/m2)]],4,0),"")</f>
        <v>0.72986111111111107</v>
      </c>
      <c r="K874" s="35">
        <f>IFERROR((TA[[#This Row],[Sunset Time (POA&lt;20 W/m2)]]-TA[[#This Row],[Sunrise Time (POA&gt;20 W/m2)]])*24,"")</f>
        <v>11.633333333333333</v>
      </c>
      <c r="L874" s="2" t="s">
        <v>296</v>
      </c>
      <c r="M874" s="42">
        <f>IFERROR(VLOOKUP(TA[[#This Row],[Affected Equipment]],'Basic Data'!$I$2:$K$40,3,0),"")</f>
        <v>8.6206896551724102E-3</v>
      </c>
      <c r="N874">
        <v>-28</v>
      </c>
      <c r="O874" t="s">
        <v>135</v>
      </c>
      <c r="P874" s="22" t="s">
        <v>323</v>
      </c>
      <c r="Q874" s="2" t="s">
        <v>329</v>
      </c>
      <c r="R874">
        <v>45</v>
      </c>
      <c r="S874" s="2">
        <v>8</v>
      </c>
      <c r="T874" t="s">
        <v>297</v>
      </c>
      <c r="U874" t="s">
        <v>300</v>
      </c>
      <c r="V874" t="s">
        <v>301</v>
      </c>
      <c r="W874" s="41"/>
      <c r="X874" s="41"/>
      <c r="Y874" s="34"/>
      <c r="Z874" s="34"/>
      <c r="AA874" s="35">
        <f>IF(TA[[#This Row],[Work Start time on Fault]]="NA","",(TA[[#This Row],[Fault Acknowledgement Time ]]-TA[[#This Row],[Fault Time]])*24)</f>
        <v>0</v>
      </c>
      <c r="AB874" s="35">
        <f>(TA[[#This Row],[Work Start time on Fault]]-TA[[#This Row],[Fault Time]])*24</f>
        <v>0</v>
      </c>
      <c r="AC874" s="34">
        <f>(TA[[#This Row],[Work Completion time on fault]]-TA[[#This Row],[Fault Time]])*24</f>
        <v>0</v>
      </c>
      <c r="AD874" s="35">
        <f>IFERROR((TA[[#This Row],[Work Completion time on fault]]-TA[[#This Row],[Fault Time]])*24,"")</f>
        <v>0</v>
      </c>
      <c r="AE874" t="s">
        <v>328</v>
      </c>
      <c r="AF874" t="s">
        <v>256</v>
      </c>
      <c r="AG874" s="2"/>
      <c r="AH874" s="44">
        <f>1-COS(RADIANS(TA[[#This Row],[Avg. Target Angle during Fault Time (Radians)]]-TA[[#This Row],[Angle of affected equipment ]]))</f>
        <v>0.11705240714107301</v>
      </c>
      <c r="AI874" s="35">
        <f>IFERROR(TA[[#This Row],[Breakdown Time]]*TA[[#This Row],[Plant Equivalent Weightage]],"")</f>
        <v>0</v>
      </c>
    </row>
    <row r="875" spans="1:35">
      <c r="A875" s="2">
        <f t="shared" si="76"/>
        <v>872</v>
      </c>
      <c r="B875" s="156">
        <f t="shared" si="74"/>
        <v>2026</v>
      </c>
      <c r="C875" s="129">
        <f t="shared" si="75"/>
        <v>2025</v>
      </c>
      <c r="D875" s="2" t="s">
        <v>155</v>
      </c>
      <c r="E875" s="2" t="s">
        <v>155</v>
      </c>
      <c r="F875" s="39">
        <v>45778</v>
      </c>
      <c r="G875" s="2">
        <f>DAY(EOMONTH(TA[[#This Row],[Month Year]],0))</f>
        <v>31</v>
      </c>
      <c r="H875" s="21">
        <v>45804</v>
      </c>
      <c r="I875" s="41">
        <f>IFERROR(VLOOKUP(TA[[#This Row],[Date]],Raw_Data[[Date]:[Sunset Time (POA&lt;20 W/m2)]],3,0),"")</f>
        <v>0.24513888888888888</v>
      </c>
      <c r="J875" s="41">
        <f>IFERROR(VLOOKUP(TA[[#This Row],[Date]],Raw_Data[[Date]:[Sunset Time (POA&lt;20 W/m2)]],4,0),"")</f>
        <v>0.72986111111111107</v>
      </c>
      <c r="K875" s="35">
        <f>IFERROR((TA[[#This Row],[Sunset Time (POA&lt;20 W/m2)]]-TA[[#This Row],[Sunrise Time (POA&gt;20 W/m2)]])*24,"")</f>
        <v>11.633333333333333</v>
      </c>
      <c r="L875" s="2" t="s">
        <v>296</v>
      </c>
      <c r="M875" s="42">
        <f>IFERROR(VLOOKUP(TA[[#This Row],[Affected Equipment]],'Basic Data'!$I$2:$K$40,3,0),"")</f>
        <v>8.6206896551724102E-3</v>
      </c>
      <c r="N875">
        <v>-28</v>
      </c>
      <c r="O875" t="s">
        <v>135</v>
      </c>
      <c r="P875" s="22" t="s">
        <v>323</v>
      </c>
      <c r="Q875" s="2" t="s">
        <v>329</v>
      </c>
      <c r="R875">
        <v>47</v>
      </c>
      <c r="S875" s="2">
        <v>18</v>
      </c>
      <c r="T875" t="s">
        <v>297</v>
      </c>
      <c r="U875" t="s">
        <v>300</v>
      </c>
      <c r="V875" t="s">
        <v>301</v>
      </c>
      <c r="W875" s="41"/>
      <c r="X875" s="41"/>
      <c r="Y875" s="34"/>
      <c r="Z875" s="34"/>
      <c r="AA875" s="35">
        <f>IF(TA[[#This Row],[Work Start time on Fault]]="NA","",(TA[[#This Row],[Fault Acknowledgement Time ]]-TA[[#This Row],[Fault Time]])*24)</f>
        <v>0</v>
      </c>
      <c r="AB875" s="35">
        <f>(TA[[#This Row],[Work Start time on Fault]]-TA[[#This Row],[Fault Time]])*24</f>
        <v>0</v>
      </c>
      <c r="AC875" s="34">
        <f>(TA[[#This Row],[Work Completion time on fault]]-TA[[#This Row],[Fault Time]])*24</f>
        <v>0</v>
      </c>
      <c r="AD875" s="35">
        <f>IFERROR((TA[[#This Row],[Work Completion time on fault]]-TA[[#This Row],[Fault Time]])*24,"")</f>
        <v>0</v>
      </c>
      <c r="AE875" t="s">
        <v>328</v>
      </c>
      <c r="AF875" t="s">
        <v>256</v>
      </c>
      <c r="AG875" s="2"/>
      <c r="AH875" s="44">
        <f>1-COS(RADIANS(TA[[#This Row],[Avg. Target Angle during Fault Time (Radians)]]-TA[[#This Row],[Angle of affected equipment ]]))</f>
        <v>0.11705240714107301</v>
      </c>
      <c r="AI875" s="35">
        <f>IFERROR(TA[[#This Row],[Breakdown Time]]*TA[[#This Row],[Plant Equivalent Weightage]],"")</f>
        <v>0</v>
      </c>
    </row>
    <row r="876" spans="1:35">
      <c r="A876" s="2">
        <f t="shared" si="76"/>
        <v>873</v>
      </c>
      <c r="B876" s="156">
        <f t="shared" si="74"/>
        <v>2026</v>
      </c>
      <c r="C876" s="129">
        <f t="shared" si="75"/>
        <v>2025</v>
      </c>
      <c r="D876" s="2" t="s">
        <v>155</v>
      </c>
      <c r="E876" s="2" t="s">
        <v>155</v>
      </c>
      <c r="F876" s="39">
        <v>45778</v>
      </c>
      <c r="G876" s="2">
        <f>DAY(EOMONTH(TA[[#This Row],[Month Year]],0))</f>
        <v>31</v>
      </c>
      <c r="H876" s="21">
        <v>45804</v>
      </c>
      <c r="I876" s="41">
        <f>IFERROR(VLOOKUP(TA[[#This Row],[Date]],Raw_Data[[Date]:[Sunset Time (POA&lt;20 W/m2)]],3,0),"")</f>
        <v>0.24513888888888888</v>
      </c>
      <c r="J876" s="41">
        <f>IFERROR(VLOOKUP(TA[[#This Row],[Date]],Raw_Data[[Date]:[Sunset Time (POA&lt;20 W/m2)]],4,0),"")</f>
        <v>0.72986111111111107</v>
      </c>
      <c r="K876" s="35">
        <f>IFERROR((TA[[#This Row],[Sunset Time (POA&lt;20 W/m2)]]-TA[[#This Row],[Sunrise Time (POA&gt;20 W/m2)]])*24,"")</f>
        <v>11.633333333333333</v>
      </c>
      <c r="L876" s="2" t="s">
        <v>296</v>
      </c>
      <c r="M876" s="42">
        <f>IFERROR(VLOOKUP(TA[[#This Row],[Affected Equipment]],'Basic Data'!$I$2:$K$40,3,0),"")</f>
        <v>8.6206896551724102E-3</v>
      </c>
      <c r="N876">
        <v>-28</v>
      </c>
      <c r="O876" t="s">
        <v>134</v>
      </c>
      <c r="P876" s="22" t="s">
        <v>330</v>
      </c>
      <c r="Q876" s="2" t="s">
        <v>323</v>
      </c>
      <c r="R876">
        <v>30</v>
      </c>
      <c r="S876" s="2">
        <v>57</v>
      </c>
      <c r="T876" t="s">
        <v>297</v>
      </c>
      <c r="U876" t="s">
        <v>300</v>
      </c>
      <c r="V876" t="s">
        <v>301</v>
      </c>
      <c r="W876" s="41"/>
      <c r="X876" s="41"/>
      <c r="Y876" s="34"/>
      <c r="Z876" s="34"/>
      <c r="AA876" s="35">
        <f>IF(TA[[#This Row],[Work Start time on Fault]]="NA","",(TA[[#This Row],[Fault Acknowledgement Time ]]-TA[[#This Row],[Fault Time]])*24)</f>
        <v>0</v>
      </c>
      <c r="AB876" s="35">
        <f>(TA[[#This Row],[Work Start time on Fault]]-TA[[#This Row],[Fault Time]])*24</f>
        <v>0</v>
      </c>
      <c r="AC876" s="34">
        <f>(TA[[#This Row],[Work Completion time on fault]]-TA[[#This Row],[Fault Time]])*24</f>
        <v>0</v>
      </c>
      <c r="AD876" s="35">
        <f>IFERROR((TA[[#This Row],[Work Completion time on fault]]-TA[[#This Row],[Fault Time]])*24,"")</f>
        <v>0</v>
      </c>
      <c r="AE876" t="s">
        <v>328</v>
      </c>
      <c r="AF876" t="s">
        <v>256</v>
      </c>
      <c r="AG876" s="2"/>
      <c r="AH876" s="44">
        <f>1-COS(RADIANS(TA[[#This Row],[Avg. Target Angle during Fault Time (Radians)]]-TA[[#This Row],[Angle of affected equipment ]]))</f>
        <v>0.11705240714107301</v>
      </c>
      <c r="AI876" s="35">
        <f>IFERROR(TA[[#This Row],[Breakdown Time]]*TA[[#This Row],[Plant Equivalent Weightage]],"")</f>
        <v>0</v>
      </c>
    </row>
    <row r="877" spans="1:35">
      <c r="A877" s="2">
        <f t="shared" si="76"/>
        <v>874</v>
      </c>
      <c r="B877" s="156">
        <f t="shared" si="74"/>
        <v>2026</v>
      </c>
      <c r="C877" s="129">
        <f t="shared" si="75"/>
        <v>2025</v>
      </c>
      <c r="D877" s="2" t="s">
        <v>155</v>
      </c>
      <c r="E877" s="2" t="s">
        <v>155</v>
      </c>
      <c r="F877" s="39">
        <v>45778</v>
      </c>
      <c r="G877" s="2">
        <f>DAY(EOMONTH(TA[[#This Row],[Month Year]],0))</f>
        <v>31</v>
      </c>
      <c r="H877" s="21">
        <v>45804</v>
      </c>
      <c r="I877" s="41">
        <f>IFERROR(VLOOKUP(TA[[#This Row],[Date]],Raw_Data[[Date]:[Sunset Time (POA&lt;20 W/m2)]],3,0),"")</f>
        <v>0.24513888888888888</v>
      </c>
      <c r="J877" s="41">
        <f>IFERROR(VLOOKUP(TA[[#This Row],[Date]],Raw_Data[[Date]:[Sunset Time (POA&lt;20 W/m2)]],4,0),"")</f>
        <v>0.72986111111111107</v>
      </c>
      <c r="K877" s="35">
        <f>IFERROR((TA[[#This Row],[Sunset Time (POA&lt;20 W/m2)]]-TA[[#This Row],[Sunrise Time (POA&gt;20 W/m2)]])*24,"")</f>
        <v>11.633333333333333</v>
      </c>
      <c r="L877" s="2" t="s">
        <v>296</v>
      </c>
      <c r="M877" s="42">
        <f>IFERROR(VLOOKUP(TA[[#This Row],[Affected Equipment]],'Basic Data'!$I$2:$K$40,3,0),"")</f>
        <v>8.6206896551724102E-3</v>
      </c>
      <c r="N877">
        <v>-28</v>
      </c>
      <c r="O877" t="s">
        <v>134</v>
      </c>
      <c r="P877" s="22" t="s">
        <v>330</v>
      </c>
      <c r="Q877" s="2" t="s">
        <v>323</v>
      </c>
      <c r="R877">
        <v>31</v>
      </c>
      <c r="S877" s="2">
        <v>61</v>
      </c>
      <c r="T877" t="s">
        <v>297</v>
      </c>
      <c r="U877" t="s">
        <v>300</v>
      </c>
      <c r="V877" t="s">
        <v>301</v>
      </c>
      <c r="W877" s="41"/>
      <c r="X877" s="41"/>
      <c r="Y877" s="34"/>
      <c r="Z877" s="34"/>
      <c r="AA877" s="35">
        <f>IF(TA[[#This Row],[Work Start time on Fault]]="NA","",(TA[[#This Row],[Fault Acknowledgement Time ]]-TA[[#This Row],[Fault Time]])*24)</f>
        <v>0</v>
      </c>
      <c r="AB877" s="35">
        <f>(TA[[#This Row],[Work Start time on Fault]]-TA[[#This Row],[Fault Time]])*24</f>
        <v>0</v>
      </c>
      <c r="AC877" s="34">
        <f>(TA[[#This Row],[Work Completion time on fault]]-TA[[#This Row],[Fault Time]])*24</f>
        <v>0</v>
      </c>
      <c r="AD877" s="35">
        <f>IFERROR((TA[[#This Row],[Work Completion time on fault]]-TA[[#This Row],[Fault Time]])*24,"")</f>
        <v>0</v>
      </c>
      <c r="AE877" t="s">
        <v>328</v>
      </c>
      <c r="AF877" t="s">
        <v>256</v>
      </c>
      <c r="AG877" s="2"/>
      <c r="AH877" s="44">
        <f>1-COS(RADIANS(TA[[#This Row],[Avg. Target Angle during Fault Time (Radians)]]-TA[[#This Row],[Angle of affected equipment ]]))</f>
        <v>0.11705240714107301</v>
      </c>
      <c r="AI877" s="35">
        <f>IFERROR(TA[[#This Row],[Breakdown Time]]*TA[[#This Row],[Plant Equivalent Weightage]],"")</f>
        <v>0</v>
      </c>
    </row>
    <row r="878" spans="1:35">
      <c r="A878" s="2">
        <f t="shared" si="76"/>
        <v>875</v>
      </c>
      <c r="B878" s="156">
        <f t="shared" si="74"/>
        <v>2026</v>
      </c>
      <c r="C878" s="129">
        <f t="shared" si="75"/>
        <v>2025</v>
      </c>
      <c r="D878" s="2" t="s">
        <v>155</v>
      </c>
      <c r="E878" s="2" t="s">
        <v>155</v>
      </c>
      <c r="F878" s="39">
        <v>45778</v>
      </c>
      <c r="G878" s="2">
        <f>DAY(EOMONTH(TA[[#This Row],[Month Year]],0))</f>
        <v>31</v>
      </c>
      <c r="H878" s="21">
        <v>45804</v>
      </c>
      <c r="I878" s="41">
        <f>IFERROR(VLOOKUP(TA[[#This Row],[Date]],Raw_Data[[Date]:[Sunset Time (POA&lt;20 W/m2)]],3,0),"")</f>
        <v>0.24513888888888888</v>
      </c>
      <c r="J878" s="41">
        <f>IFERROR(VLOOKUP(TA[[#This Row],[Date]],Raw_Data[[Date]:[Sunset Time (POA&lt;20 W/m2)]],4,0),"")</f>
        <v>0.72986111111111107</v>
      </c>
      <c r="K878" s="35">
        <f>IFERROR((TA[[#This Row],[Sunset Time (POA&lt;20 W/m2)]]-TA[[#This Row],[Sunrise Time (POA&gt;20 W/m2)]])*24,"")</f>
        <v>11.633333333333333</v>
      </c>
      <c r="L878" s="2" t="s">
        <v>312</v>
      </c>
      <c r="M878" s="42">
        <f>IFERROR(VLOOKUP(TA[[#This Row],[Affected Equipment]],'Basic Data'!$I$2:$K$40,3,0),"")</f>
        <v>5.74712643678161E-3</v>
      </c>
      <c r="N878">
        <v>-28</v>
      </c>
      <c r="O878" t="s">
        <v>133</v>
      </c>
      <c r="P878" s="22" t="s">
        <v>330</v>
      </c>
      <c r="Q878" s="2" t="s">
        <v>323</v>
      </c>
      <c r="R878">
        <v>26</v>
      </c>
      <c r="S878" s="2">
        <v>37</v>
      </c>
      <c r="T878" t="s">
        <v>297</v>
      </c>
      <c r="U878" t="s">
        <v>300</v>
      </c>
      <c r="V878" t="s">
        <v>301</v>
      </c>
      <c r="W878" s="41"/>
      <c r="X878" s="41"/>
      <c r="Y878" s="34"/>
      <c r="Z878" s="34"/>
      <c r="AA878" s="35">
        <f>IF(TA[[#This Row],[Work Start time on Fault]]="NA","",(TA[[#This Row],[Fault Acknowledgement Time ]]-TA[[#This Row],[Fault Time]])*24)</f>
        <v>0</v>
      </c>
      <c r="AB878" s="35">
        <f>(TA[[#This Row],[Work Start time on Fault]]-TA[[#This Row],[Fault Time]])*24</f>
        <v>0</v>
      </c>
      <c r="AC878" s="34">
        <f>(TA[[#This Row],[Work Completion time on fault]]-TA[[#This Row],[Fault Time]])*24</f>
        <v>0</v>
      </c>
      <c r="AD878" s="35">
        <f>IFERROR((TA[[#This Row],[Work Completion time on fault]]-TA[[#This Row],[Fault Time]])*24,"")</f>
        <v>0</v>
      </c>
      <c r="AE878" t="s">
        <v>328</v>
      </c>
      <c r="AF878" t="s">
        <v>256</v>
      </c>
      <c r="AG878" s="2"/>
      <c r="AH878" s="44">
        <f>1-COS(RADIANS(TA[[#This Row],[Avg. Target Angle during Fault Time (Radians)]]-TA[[#This Row],[Angle of affected equipment ]]))</f>
        <v>0.11705240714107301</v>
      </c>
      <c r="AI878" s="35">
        <f>IFERROR(TA[[#This Row],[Breakdown Time]]*TA[[#This Row],[Plant Equivalent Weightage]],"")</f>
        <v>0</v>
      </c>
    </row>
    <row r="879" spans="1:35">
      <c r="A879" s="2">
        <f t="shared" si="76"/>
        <v>876</v>
      </c>
      <c r="B879" s="156">
        <f t="shared" si="74"/>
        <v>2026</v>
      </c>
      <c r="C879" s="129">
        <f t="shared" si="75"/>
        <v>2025</v>
      </c>
      <c r="D879" s="2" t="s">
        <v>155</v>
      </c>
      <c r="E879" s="2" t="s">
        <v>155</v>
      </c>
      <c r="F879" s="39">
        <v>45778</v>
      </c>
      <c r="G879" s="2">
        <f>DAY(EOMONTH(TA[[#This Row],[Month Year]],0))</f>
        <v>31</v>
      </c>
      <c r="H879" s="21">
        <v>45804</v>
      </c>
      <c r="I879" s="41">
        <f>IFERROR(VLOOKUP(TA[[#This Row],[Date]],Raw_Data[[Date]:[Sunset Time (POA&lt;20 W/m2)]],3,0),"")</f>
        <v>0.24513888888888888</v>
      </c>
      <c r="J879" s="41">
        <f>IFERROR(VLOOKUP(TA[[#This Row],[Date]],Raw_Data[[Date]:[Sunset Time (POA&lt;20 W/m2)]],4,0),"")</f>
        <v>0.72986111111111107</v>
      </c>
      <c r="K879" s="35">
        <f>IFERROR((TA[[#This Row],[Sunset Time (POA&lt;20 W/m2)]]-TA[[#This Row],[Sunrise Time (POA&gt;20 W/m2)]])*24,"")</f>
        <v>11.633333333333333</v>
      </c>
      <c r="L879" s="2" t="s">
        <v>312</v>
      </c>
      <c r="M879" s="42">
        <f>IFERROR(VLOOKUP(TA[[#This Row],[Affected Equipment]],'Basic Data'!$I$2:$K$40,3,0),"")</f>
        <v>5.74712643678161E-3</v>
      </c>
      <c r="N879">
        <v>-28</v>
      </c>
      <c r="O879" t="s">
        <v>133</v>
      </c>
      <c r="P879" s="22" t="s">
        <v>330</v>
      </c>
      <c r="Q879" s="2" t="s">
        <v>323</v>
      </c>
      <c r="R879">
        <v>27</v>
      </c>
      <c r="S879" s="2">
        <v>42</v>
      </c>
      <c r="T879" t="s">
        <v>297</v>
      </c>
      <c r="U879" t="s">
        <v>300</v>
      </c>
      <c r="V879" t="s">
        <v>301</v>
      </c>
      <c r="W879" s="41">
        <f>IFERROR(VLOOKUP(TA[[#This Row],[Date]],Raw_Data[[Date]:[Sunset Time (POA&lt;20 W/m2)]],3,0),"")</f>
        <v>0.24513888888888888</v>
      </c>
      <c r="X879" s="41">
        <f>IFERROR(VLOOKUP(TA[[#This Row],[Date]],Raw_Data[[Date]:[Sunset Time (POA&lt;20 W/m2)]],3,0),"")</f>
        <v>0.24513888888888888</v>
      </c>
      <c r="Y879" s="34"/>
      <c r="Z879" s="34">
        <v>0.76041666666666663</v>
      </c>
      <c r="AA879" s="35">
        <f>IF(TA[[#This Row],[Work Start time on Fault]]="NA","",(TA[[#This Row],[Fault Acknowledgement Time ]]-TA[[#This Row],[Fault Time]])*24)</f>
        <v>0</v>
      </c>
      <c r="AB879" s="35">
        <f>(TA[[#This Row],[Work Start time on Fault]]-TA[[#This Row],[Fault Time]])*24</f>
        <v>-5.8833333333333329</v>
      </c>
      <c r="AC879" s="34">
        <f>(TA[[#This Row],[Work Completion time on fault]]-TA[[#This Row],[Fault Time]])*24</f>
        <v>12.366666666666665</v>
      </c>
      <c r="AD879" s="35">
        <f>IFERROR((TA[[#This Row],[Work Completion time on fault]]-TA[[#This Row],[Fault Time]])*24,"")</f>
        <v>12.366666666666665</v>
      </c>
      <c r="AE879" t="s">
        <v>309</v>
      </c>
      <c r="AF879" t="s">
        <v>256</v>
      </c>
      <c r="AG879" s="2"/>
      <c r="AH879" s="44">
        <f>1-COS(RADIANS(TA[[#This Row],[Avg. Target Angle during Fault Time (Radians)]]-TA[[#This Row],[Angle of affected equipment ]]))</f>
        <v>0.11705240714107301</v>
      </c>
      <c r="AI879" s="35">
        <f>IFERROR(TA[[#This Row],[Breakdown Time]]*TA[[#This Row],[Plant Equivalent Weightage]],"")</f>
        <v>7.1072796934865901E-2</v>
      </c>
    </row>
    <row r="880" spans="1:35">
      <c r="A880" s="2">
        <f t="shared" si="76"/>
        <v>877</v>
      </c>
      <c r="B880" s="156">
        <f t="shared" ref="B880:B892" si="77">YEAR(H880)+IF(MONTH(H880)&gt;=4,1,0)</f>
        <v>2026</v>
      </c>
      <c r="C880" s="129">
        <f t="shared" ref="C880:C892" si="78">YEAR(H880)</f>
        <v>2025</v>
      </c>
      <c r="D880" s="2" t="s">
        <v>155</v>
      </c>
      <c r="E880" s="2" t="s">
        <v>155</v>
      </c>
      <c r="F880" s="39">
        <v>45778</v>
      </c>
      <c r="G880" s="2">
        <f>DAY(EOMONTH(TA[[#This Row],[Month Year]],0))</f>
        <v>31</v>
      </c>
      <c r="H880" s="21">
        <v>45805</v>
      </c>
      <c r="I880" s="41">
        <f>IFERROR(VLOOKUP(TA[[#This Row],[Date]],Raw_Data[[Date]:[Sunset Time (POA&lt;20 W/m2)]],3,0),"")</f>
        <v>0.25</v>
      </c>
      <c r="J880" s="41">
        <f>IFERROR(VLOOKUP(TA[[#This Row],[Date]],Raw_Data[[Date]:[Sunset Time (POA&lt;20 W/m2)]],4,0),"")</f>
        <v>0.77013888888888893</v>
      </c>
      <c r="K880" s="35">
        <f>IFERROR((TA[[#This Row],[Sunset Time (POA&lt;20 W/m2)]]-TA[[#This Row],[Sunrise Time (POA&gt;20 W/m2)]])*24,"")</f>
        <v>12.483333333333334</v>
      </c>
      <c r="L880" s="2" t="s">
        <v>294</v>
      </c>
      <c r="M880" s="42">
        <f>IFERROR(VLOOKUP(TA[[#This Row],[Affected Equipment]],'Basic Data'!$I$2:$K$40,3,0),"")</f>
        <v>1.7241379310344799E-3</v>
      </c>
      <c r="N880">
        <v>-28</v>
      </c>
      <c r="O880" t="s">
        <v>135</v>
      </c>
      <c r="P880" s="127" t="s">
        <v>318</v>
      </c>
      <c r="Q880" s="126" t="s">
        <v>318</v>
      </c>
      <c r="R880">
        <v>131</v>
      </c>
      <c r="S880" s="2">
        <v>38</v>
      </c>
      <c r="T880" t="s">
        <v>295</v>
      </c>
      <c r="U880" t="s">
        <v>300</v>
      </c>
      <c r="V880" t="s">
        <v>298</v>
      </c>
      <c r="W880" s="41"/>
      <c r="X880" s="41"/>
      <c r="Y880" s="34"/>
      <c r="Z880" s="34"/>
      <c r="AA880" s="35">
        <f>IF(TA[[#This Row],[Work Start time on Fault]]="NA","",(TA[[#This Row],[Fault Acknowledgement Time ]]-TA[[#This Row],[Fault Time]])*24)</f>
        <v>0</v>
      </c>
      <c r="AB880" s="35">
        <f>(TA[[#This Row],[Work Start time on Fault]]-TA[[#This Row],[Fault Time]])*24</f>
        <v>0</v>
      </c>
      <c r="AC880" s="34">
        <f>(TA[[#This Row],[Work Completion time on fault]]-TA[[#This Row],[Fault Time]])*24</f>
        <v>0</v>
      </c>
      <c r="AD880" s="35">
        <f>IFERROR((TA[[#This Row],[Work Completion time on fault]]-TA[[#This Row],[Fault Time]])*24,"")</f>
        <v>0</v>
      </c>
      <c r="AE880" t="s">
        <v>328</v>
      </c>
      <c r="AF880" t="s">
        <v>256</v>
      </c>
      <c r="AG880" s="2"/>
      <c r="AH880" s="44">
        <f>1-COS(RADIANS(TA[[#This Row],[Avg. Target Angle during Fault Time (Radians)]]-TA[[#This Row],[Angle of affected equipment ]]))</f>
        <v>0.11705240714107301</v>
      </c>
      <c r="AI880" s="35">
        <f>IFERROR(TA[[#This Row],[Breakdown Time]]*TA[[#This Row],[Plant Equivalent Weightage]],"")</f>
        <v>0</v>
      </c>
    </row>
    <row r="881" spans="1:35">
      <c r="A881" s="2">
        <f t="shared" si="76"/>
        <v>878</v>
      </c>
      <c r="B881" s="156">
        <f t="shared" si="77"/>
        <v>2026</v>
      </c>
      <c r="C881" s="129">
        <f t="shared" si="78"/>
        <v>2025</v>
      </c>
      <c r="D881" s="2" t="s">
        <v>155</v>
      </c>
      <c r="E881" s="2" t="s">
        <v>155</v>
      </c>
      <c r="F881" s="39">
        <v>45778</v>
      </c>
      <c r="G881" s="2">
        <f>DAY(EOMONTH(TA[[#This Row],[Month Year]],0))</f>
        <v>31</v>
      </c>
      <c r="H881" s="21">
        <v>45805</v>
      </c>
      <c r="I881" s="41">
        <f>IFERROR(VLOOKUP(TA[[#This Row],[Date]],Raw_Data[[Date]:[Sunset Time (POA&lt;20 W/m2)]],3,0),"")</f>
        <v>0.25</v>
      </c>
      <c r="J881" s="41">
        <f>IFERROR(VLOOKUP(TA[[#This Row],[Date]],Raw_Data[[Date]:[Sunset Time (POA&lt;20 W/m2)]],4,0),"")</f>
        <v>0.77013888888888893</v>
      </c>
      <c r="K881" s="35">
        <f>IFERROR((TA[[#This Row],[Sunset Time (POA&lt;20 W/m2)]]-TA[[#This Row],[Sunrise Time (POA&gt;20 W/m2)]])*24,"")</f>
        <v>12.483333333333334</v>
      </c>
      <c r="L881" s="2" t="s">
        <v>294</v>
      </c>
      <c r="M881" s="42">
        <f>IFERROR(VLOOKUP(TA[[#This Row],[Affected Equipment]],'Basic Data'!$I$2:$K$40,3,0),"")</f>
        <v>1.7241379310344799E-3</v>
      </c>
      <c r="N881">
        <v>-28</v>
      </c>
      <c r="O881" t="s">
        <v>135</v>
      </c>
      <c r="P881" s="127" t="s">
        <v>318</v>
      </c>
      <c r="Q881" s="126" t="s">
        <v>318</v>
      </c>
      <c r="R881">
        <v>131</v>
      </c>
      <c r="S881" s="2">
        <v>39</v>
      </c>
      <c r="T881" t="s">
        <v>295</v>
      </c>
      <c r="U881" t="s">
        <v>300</v>
      </c>
      <c r="V881" t="s">
        <v>298</v>
      </c>
      <c r="W881" s="41"/>
      <c r="X881" s="41"/>
      <c r="Y881" s="34"/>
      <c r="Z881" s="34"/>
      <c r="AA881" s="35">
        <f>IF(TA[[#This Row],[Work Start time on Fault]]="NA","",(TA[[#This Row],[Fault Acknowledgement Time ]]-TA[[#This Row],[Fault Time]])*24)</f>
        <v>0</v>
      </c>
      <c r="AB881" s="35">
        <f>(TA[[#This Row],[Work Start time on Fault]]-TA[[#This Row],[Fault Time]])*24</f>
        <v>0</v>
      </c>
      <c r="AC881" s="34">
        <f>(TA[[#This Row],[Work Completion time on fault]]-TA[[#This Row],[Fault Time]])*24</f>
        <v>0</v>
      </c>
      <c r="AD881" s="35">
        <f>IFERROR((TA[[#This Row],[Work Completion time on fault]]-TA[[#This Row],[Fault Time]])*24,"")</f>
        <v>0</v>
      </c>
      <c r="AE881" t="s">
        <v>328</v>
      </c>
      <c r="AF881" t="s">
        <v>256</v>
      </c>
      <c r="AG881" s="2"/>
      <c r="AH881" s="44">
        <f>1-COS(RADIANS(TA[[#This Row],[Avg. Target Angle during Fault Time (Radians)]]-TA[[#This Row],[Angle of affected equipment ]]))</f>
        <v>0.11705240714107301</v>
      </c>
      <c r="AI881" s="35">
        <f>IFERROR(TA[[#This Row],[Breakdown Time]]*TA[[#This Row],[Plant Equivalent Weightage]],"")</f>
        <v>0</v>
      </c>
    </row>
    <row r="882" spans="1:35">
      <c r="A882" s="2">
        <f t="shared" si="76"/>
        <v>879</v>
      </c>
      <c r="B882" s="156">
        <f t="shared" si="77"/>
        <v>2026</v>
      </c>
      <c r="C882" s="129">
        <f t="shared" si="78"/>
        <v>2025</v>
      </c>
      <c r="D882" s="2" t="s">
        <v>155</v>
      </c>
      <c r="E882" s="2" t="s">
        <v>155</v>
      </c>
      <c r="F882" s="39">
        <v>45778</v>
      </c>
      <c r="G882" s="2">
        <f>DAY(EOMONTH(TA[[#This Row],[Month Year]],0))</f>
        <v>31</v>
      </c>
      <c r="H882" s="21">
        <v>45805</v>
      </c>
      <c r="I882" s="41">
        <f>IFERROR(VLOOKUP(TA[[#This Row],[Date]],Raw_Data[[Date]:[Sunset Time (POA&lt;20 W/m2)]],3,0),"")</f>
        <v>0.25</v>
      </c>
      <c r="J882" s="41">
        <f>IFERROR(VLOOKUP(TA[[#This Row],[Date]],Raw_Data[[Date]:[Sunset Time (POA&lt;20 W/m2)]],4,0),"")</f>
        <v>0.77013888888888893</v>
      </c>
      <c r="K882" s="35">
        <f>IFERROR((TA[[#This Row],[Sunset Time (POA&lt;20 W/m2)]]-TA[[#This Row],[Sunrise Time (POA&gt;20 W/m2)]])*24,"")</f>
        <v>12.483333333333334</v>
      </c>
      <c r="L882" s="2" t="s">
        <v>296</v>
      </c>
      <c r="M882" s="42">
        <f>IFERROR(VLOOKUP(TA[[#This Row],[Affected Equipment]],'Basic Data'!$I$2:$K$40,3,0),"")</f>
        <v>8.6206896551724102E-3</v>
      </c>
      <c r="N882">
        <v>-28</v>
      </c>
      <c r="O882" t="s">
        <v>135</v>
      </c>
      <c r="P882" s="127" t="s">
        <v>318</v>
      </c>
      <c r="Q882" s="2" t="s">
        <v>321</v>
      </c>
      <c r="R882">
        <v>133</v>
      </c>
      <c r="S882" s="2">
        <v>26</v>
      </c>
      <c r="T882" t="s">
        <v>297</v>
      </c>
      <c r="U882" t="s">
        <v>300</v>
      </c>
      <c r="V882" t="s">
        <v>314</v>
      </c>
      <c r="W882" s="41">
        <f>IFERROR(VLOOKUP(TA[[#This Row],[Date]],Raw_Data[[Date]:[Sunset Time (POA&lt;20 W/m2)]],3,0),"")</f>
        <v>0.25</v>
      </c>
      <c r="X882" s="41">
        <f>IFERROR(VLOOKUP(TA[[#This Row],[Date]],Raw_Data[[Date]:[Sunset Time (POA&lt;20 W/m2)]],3,0),"")</f>
        <v>0.25</v>
      </c>
      <c r="Y882" s="34"/>
      <c r="Z882" s="34">
        <v>0.76041666666666663</v>
      </c>
      <c r="AA882" s="35">
        <f>IF(TA[[#This Row],[Work Start time on Fault]]="NA","",(TA[[#This Row],[Fault Acknowledgement Time ]]-TA[[#This Row],[Fault Time]])*24)</f>
        <v>0</v>
      </c>
      <c r="AB882" s="35">
        <f>(TA[[#This Row],[Work Start time on Fault]]-TA[[#This Row],[Fault Time]])*24</f>
        <v>-6</v>
      </c>
      <c r="AC882" s="34">
        <f>(TA[[#This Row],[Work Completion time on fault]]-TA[[#This Row],[Fault Time]])*24</f>
        <v>12.25</v>
      </c>
      <c r="AD882" s="35">
        <f>IFERROR((TA[[#This Row],[Work Completion time on fault]]-TA[[#This Row],[Fault Time]])*24,"")</f>
        <v>12.25</v>
      </c>
      <c r="AE882" t="s">
        <v>328</v>
      </c>
      <c r="AF882" t="s">
        <v>256</v>
      </c>
      <c r="AG882" s="2"/>
      <c r="AH882" s="44">
        <f>1-COS(RADIANS(TA[[#This Row],[Avg. Target Angle during Fault Time (Radians)]]-TA[[#This Row],[Angle of affected equipment ]]))</f>
        <v>0.11705240714107301</v>
      </c>
      <c r="AI882" s="35">
        <f>IFERROR(TA[[#This Row],[Breakdown Time]]*TA[[#This Row],[Plant Equivalent Weightage]],"")</f>
        <v>0.10560344827586203</v>
      </c>
    </row>
    <row r="883" spans="1:35">
      <c r="A883" s="2">
        <f t="shared" si="76"/>
        <v>880</v>
      </c>
      <c r="B883" s="156">
        <f t="shared" si="77"/>
        <v>2026</v>
      </c>
      <c r="C883" s="129">
        <f t="shared" si="78"/>
        <v>2025</v>
      </c>
      <c r="D883" s="2" t="s">
        <v>155</v>
      </c>
      <c r="E883" s="2" t="s">
        <v>155</v>
      </c>
      <c r="F883" s="39">
        <v>45778</v>
      </c>
      <c r="G883" s="2">
        <f>DAY(EOMONTH(TA[[#This Row],[Month Year]],0))</f>
        <v>31</v>
      </c>
      <c r="H883" s="21">
        <v>45805</v>
      </c>
      <c r="I883" s="41">
        <f>IFERROR(VLOOKUP(TA[[#This Row],[Date]],Raw_Data[[Date]:[Sunset Time (POA&lt;20 W/m2)]],3,0),"")</f>
        <v>0.25</v>
      </c>
      <c r="J883" s="41">
        <f>IFERROR(VLOOKUP(TA[[#This Row],[Date]],Raw_Data[[Date]:[Sunset Time (POA&lt;20 W/m2)]],4,0),"")</f>
        <v>0.77013888888888893</v>
      </c>
      <c r="K883" s="35">
        <f>IFERROR((TA[[#This Row],[Sunset Time (POA&lt;20 W/m2)]]-TA[[#This Row],[Sunrise Time (POA&gt;20 W/m2)]])*24,"")</f>
        <v>12.483333333333334</v>
      </c>
      <c r="L883" s="2" t="s">
        <v>294</v>
      </c>
      <c r="M883" s="42">
        <f>IFERROR(VLOOKUP(TA[[#This Row],[Affected Equipment]],'Basic Data'!$I$2:$K$40,3,0),"")</f>
        <v>1.7241379310344799E-3</v>
      </c>
      <c r="N883">
        <v>-28</v>
      </c>
      <c r="O883" t="s">
        <v>133</v>
      </c>
      <c r="P883" s="127" t="s">
        <v>316</v>
      </c>
      <c r="Q883" s="126" t="s">
        <v>317</v>
      </c>
      <c r="R883">
        <v>7</v>
      </c>
      <c r="S883" s="2">
        <v>32</v>
      </c>
      <c r="T883" t="s">
        <v>295</v>
      </c>
      <c r="U883" t="s">
        <v>300</v>
      </c>
      <c r="V883" t="s">
        <v>298</v>
      </c>
      <c r="W883" s="41"/>
      <c r="X883" s="41"/>
      <c r="Y883" s="34"/>
      <c r="Z883" s="34"/>
      <c r="AA883" s="35">
        <f>IF(TA[[#This Row],[Work Start time on Fault]]="NA","",(TA[[#This Row],[Fault Acknowledgement Time ]]-TA[[#This Row],[Fault Time]])*24)</f>
        <v>0</v>
      </c>
      <c r="AB883" s="35">
        <f>(TA[[#This Row],[Work Start time on Fault]]-TA[[#This Row],[Fault Time]])*24</f>
        <v>0</v>
      </c>
      <c r="AC883" s="34">
        <f>(TA[[#This Row],[Work Completion time on fault]]-TA[[#This Row],[Fault Time]])*24</f>
        <v>0</v>
      </c>
      <c r="AD883" s="35">
        <f>IFERROR((TA[[#This Row],[Work Completion time on fault]]-TA[[#This Row],[Fault Time]])*24,"")</f>
        <v>0</v>
      </c>
      <c r="AE883" t="s">
        <v>328</v>
      </c>
      <c r="AF883" t="s">
        <v>256</v>
      </c>
      <c r="AG883" s="2"/>
      <c r="AH883" s="44">
        <f>1-COS(RADIANS(TA[[#This Row],[Avg. Target Angle during Fault Time (Radians)]]-TA[[#This Row],[Angle of affected equipment ]]))</f>
        <v>0.11705240714107301</v>
      </c>
      <c r="AI883" s="35">
        <f>IFERROR(TA[[#This Row],[Breakdown Time]]*TA[[#This Row],[Plant Equivalent Weightage]],"")</f>
        <v>0</v>
      </c>
    </row>
    <row r="884" spans="1:35">
      <c r="A884" s="2">
        <f t="shared" si="76"/>
        <v>881</v>
      </c>
      <c r="B884" s="156">
        <f t="shared" si="77"/>
        <v>2026</v>
      </c>
      <c r="C884" s="129">
        <f t="shared" si="78"/>
        <v>2025</v>
      </c>
      <c r="D884" s="2" t="s">
        <v>155</v>
      </c>
      <c r="E884" s="2" t="s">
        <v>155</v>
      </c>
      <c r="F884" s="39">
        <v>45778</v>
      </c>
      <c r="G884" s="2">
        <f>DAY(EOMONTH(TA[[#This Row],[Month Year]],0))</f>
        <v>31</v>
      </c>
      <c r="H884" s="21">
        <v>45805</v>
      </c>
      <c r="I884" s="41">
        <f>IFERROR(VLOOKUP(TA[[#This Row],[Date]],Raw_Data[[Date]:[Sunset Time (POA&lt;20 W/m2)]],3,0),"")</f>
        <v>0.25</v>
      </c>
      <c r="J884" s="41">
        <f>IFERROR(VLOOKUP(TA[[#This Row],[Date]],Raw_Data[[Date]:[Sunset Time (POA&lt;20 W/m2)]],4,0),"")</f>
        <v>0.77013888888888893</v>
      </c>
      <c r="K884" s="35">
        <f>IFERROR((TA[[#This Row],[Sunset Time (POA&lt;20 W/m2)]]-TA[[#This Row],[Sunrise Time (POA&gt;20 W/m2)]])*24,"")</f>
        <v>12.483333333333334</v>
      </c>
      <c r="L884" s="2" t="s">
        <v>294</v>
      </c>
      <c r="M884" s="42">
        <f>IFERROR(VLOOKUP(TA[[#This Row],[Affected Equipment]],'Basic Data'!$I$2:$K$40,3,0),"")</f>
        <v>1.7241379310344799E-3</v>
      </c>
      <c r="N884">
        <v>-28</v>
      </c>
      <c r="O884" t="s">
        <v>137</v>
      </c>
      <c r="P884" s="127" t="s">
        <v>315</v>
      </c>
      <c r="Q884" s="126" t="s">
        <v>319</v>
      </c>
      <c r="R884">
        <v>166</v>
      </c>
      <c r="S884" s="2">
        <v>91</v>
      </c>
      <c r="T884" t="s">
        <v>295</v>
      </c>
      <c r="U884" t="s">
        <v>300</v>
      </c>
      <c r="V884" t="s">
        <v>298</v>
      </c>
      <c r="W884" s="41"/>
      <c r="X884" s="41"/>
      <c r="Y884" s="34"/>
      <c r="Z884" s="34"/>
      <c r="AA884" s="35">
        <f>IF(TA[[#This Row],[Work Start time on Fault]]="NA","",(TA[[#This Row],[Fault Acknowledgement Time ]]-TA[[#This Row],[Fault Time]])*24)</f>
        <v>0</v>
      </c>
      <c r="AB884" s="35">
        <f>(TA[[#This Row],[Work Start time on Fault]]-TA[[#This Row],[Fault Time]])*24</f>
        <v>0</v>
      </c>
      <c r="AC884" s="34">
        <f>(TA[[#This Row],[Work Completion time on fault]]-TA[[#This Row],[Fault Time]])*24</f>
        <v>0</v>
      </c>
      <c r="AD884" s="35">
        <f>IFERROR((TA[[#This Row],[Work Completion time on fault]]-TA[[#This Row],[Fault Time]])*24,"")</f>
        <v>0</v>
      </c>
      <c r="AE884" t="s">
        <v>328</v>
      </c>
      <c r="AF884" t="s">
        <v>256</v>
      </c>
      <c r="AG884" s="2"/>
      <c r="AH884" s="44">
        <f>1-COS(RADIANS(TA[[#This Row],[Avg. Target Angle during Fault Time (Radians)]]-TA[[#This Row],[Angle of affected equipment ]]))</f>
        <v>0.11705240714107301</v>
      </c>
      <c r="AI884" s="35">
        <f>IFERROR(TA[[#This Row],[Breakdown Time]]*TA[[#This Row],[Plant Equivalent Weightage]],"")</f>
        <v>0</v>
      </c>
    </row>
    <row r="885" spans="1:35">
      <c r="A885" s="2">
        <f t="shared" si="76"/>
        <v>882</v>
      </c>
      <c r="B885" s="156">
        <f t="shared" si="77"/>
        <v>2026</v>
      </c>
      <c r="C885" s="129">
        <f t="shared" si="78"/>
        <v>2025</v>
      </c>
      <c r="D885" s="2" t="s">
        <v>155</v>
      </c>
      <c r="E885" s="2" t="s">
        <v>155</v>
      </c>
      <c r="F885" s="39">
        <v>45778</v>
      </c>
      <c r="G885" s="2">
        <f>DAY(EOMONTH(TA[[#This Row],[Month Year]],0))</f>
        <v>31</v>
      </c>
      <c r="H885" s="21">
        <v>45805</v>
      </c>
      <c r="I885" s="41">
        <f>IFERROR(VLOOKUP(TA[[#This Row],[Date]],Raw_Data[[Date]:[Sunset Time (POA&lt;20 W/m2)]],3,0),"")</f>
        <v>0.25</v>
      </c>
      <c r="J885" s="41">
        <f>IFERROR(VLOOKUP(TA[[#This Row],[Date]],Raw_Data[[Date]:[Sunset Time (POA&lt;20 W/m2)]],4,0),"")</f>
        <v>0.77013888888888893</v>
      </c>
      <c r="K885" s="35">
        <f>IFERROR((TA[[#This Row],[Sunset Time (POA&lt;20 W/m2)]]-TA[[#This Row],[Sunrise Time (POA&gt;20 W/m2)]])*24,"")</f>
        <v>12.483333333333334</v>
      </c>
      <c r="L885" s="2" t="s">
        <v>294</v>
      </c>
      <c r="M885" s="42">
        <f>IFERROR(VLOOKUP(TA[[#This Row],[Affected Equipment]],'Basic Data'!$I$2:$K$40,3,0),"")</f>
        <v>1.7241379310344799E-3</v>
      </c>
      <c r="N885">
        <v>-28</v>
      </c>
      <c r="O885" t="s">
        <v>133</v>
      </c>
      <c r="P885" s="127" t="s">
        <v>316</v>
      </c>
      <c r="Q885" s="126" t="s">
        <v>316</v>
      </c>
      <c r="R885">
        <v>117</v>
      </c>
      <c r="S885" s="2">
        <v>20</v>
      </c>
      <c r="T885" t="s">
        <v>295</v>
      </c>
      <c r="U885" t="s">
        <v>300</v>
      </c>
      <c r="V885" t="s">
        <v>298</v>
      </c>
      <c r="W885" s="41"/>
      <c r="X885" s="41"/>
      <c r="Y885" s="34"/>
      <c r="Z885" s="34"/>
      <c r="AA885" s="35">
        <f>IF(TA[[#This Row],[Work Start time on Fault]]="NA","",(TA[[#This Row],[Fault Acknowledgement Time ]]-TA[[#This Row],[Fault Time]])*24)</f>
        <v>0</v>
      </c>
      <c r="AB885" s="35">
        <f>(TA[[#This Row],[Work Start time on Fault]]-TA[[#This Row],[Fault Time]])*24</f>
        <v>0</v>
      </c>
      <c r="AC885" s="34">
        <f>(TA[[#This Row],[Work Completion time on fault]]-TA[[#This Row],[Fault Time]])*24</f>
        <v>0</v>
      </c>
      <c r="AD885" s="35">
        <f>IFERROR((TA[[#This Row],[Work Completion time on fault]]-TA[[#This Row],[Fault Time]])*24,"")</f>
        <v>0</v>
      </c>
      <c r="AE885" t="s">
        <v>328</v>
      </c>
      <c r="AF885" t="s">
        <v>256</v>
      </c>
      <c r="AG885" s="2"/>
      <c r="AH885" s="44">
        <f>1-COS(RADIANS(TA[[#This Row],[Avg. Target Angle during Fault Time (Radians)]]-TA[[#This Row],[Angle of affected equipment ]]))</f>
        <v>0.11705240714107301</v>
      </c>
      <c r="AI885" s="35">
        <f>IFERROR(TA[[#This Row],[Breakdown Time]]*TA[[#This Row],[Plant Equivalent Weightage]],"")</f>
        <v>0</v>
      </c>
    </row>
    <row r="886" spans="1:35">
      <c r="A886" s="2">
        <f t="shared" si="76"/>
        <v>883</v>
      </c>
      <c r="B886" s="156">
        <f t="shared" si="77"/>
        <v>2026</v>
      </c>
      <c r="C886" s="129">
        <f t="shared" si="78"/>
        <v>2025</v>
      </c>
      <c r="D886" s="2" t="s">
        <v>155</v>
      </c>
      <c r="E886" s="2" t="s">
        <v>155</v>
      </c>
      <c r="F886" s="39">
        <v>45778</v>
      </c>
      <c r="G886" s="2">
        <f>DAY(EOMONTH(TA[[#This Row],[Month Year]],0))</f>
        <v>31</v>
      </c>
      <c r="H886" s="21">
        <v>45805</v>
      </c>
      <c r="I886" s="41">
        <f>IFERROR(VLOOKUP(TA[[#This Row],[Date]],Raw_Data[[Date]:[Sunset Time (POA&lt;20 W/m2)]],3,0),"")</f>
        <v>0.25</v>
      </c>
      <c r="J886" s="41">
        <f>IFERROR(VLOOKUP(TA[[#This Row],[Date]],Raw_Data[[Date]:[Sunset Time (POA&lt;20 W/m2)]],4,0),"")</f>
        <v>0.77013888888888893</v>
      </c>
      <c r="K886" s="35">
        <f>IFERROR((TA[[#This Row],[Sunset Time (POA&lt;20 W/m2)]]-TA[[#This Row],[Sunrise Time (POA&gt;20 W/m2)]])*24,"")</f>
        <v>12.483333333333334</v>
      </c>
      <c r="L886" s="2" t="s">
        <v>294</v>
      </c>
      <c r="M886" s="42">
        <f>IFERROR(VLOOKUP(TA[[#This Row],[Affected Equipment]],'Basic Data'!$I$2:$K$40,3,0),"")</f>
        <v>1.7241379310344799E-3</v>
      </c>
      <c r="N886">
        <v>-28</v>
      </c>
      <c r="O886" t="s">
        <v>133</v>
      </c>
      <c r="P886" s="127" t="s">
        <v>316</v>
      </c>
      <c r="Q886" s="126" t="s">
        <v>316</v>
      </c>
      <c r="R886">
        <v>118</v>
      </c>
      <c r="S886" s="2">
        <v>22</v>
      </c>
      <c r="T886" t="s">
        <v>295</v>
      </c>
      <c r="U886" t="s">
        <v>300</v>
      </c>
      <c r="V886" t="s">
        <v>298</v>
      </c>
      <c r="W886" s="41"/>
      <c r="X886" s="41"/>
      <c r="Y886" s="34"/>
      <c r="Z886" s="34"/>
      <c r="AA886" s="35">
        <f>IF(TA[[#This Row],[Work Start time on Fault]]="NA","",(TA[[#This Row],[Fault Acknowledgement Time ]]-TA[[#This Row],[Fault Time]])*24)</f>
        <v>0</v>
      </c>
      <c r="AB886" s="35">
        <f>(TA[[#This Row],[Work Start time on Fault]]-TA[[#This Row],[Fault Time]])*24</f>
        <v>0</v>
      </c>
      <c r="AC886" s="34">
        <f>(TA[[#This Row],[Work Completion time on fault]]-TA[[#This Row],[Fault Time]])*24</f>
        <v>0</v>
      </c>
      <c r="AD886" s="35">
        <f>IFERROR((TA[[#This Row],[Work Completion time on fault]]-TA[[#This Row],[Fault Time]])*24,"")</f>
        <v>0</v>
      </c>
      <c r="AE886" t="s">
        <v>328</v>
      </c>
      <c r="AF886" t="s">
        <v>256</v>
      </c>
      <c r="AG886" s="2"/>
      <c r="AH886" s="44">
        <f>1-COS(RADIANS(TA[[#This Row],[Avg. Target Angle during Fault Time (Radians)]]-TA[[#This Row],[Angle of affected equipment ]]))</f>
        <v>0.11705240714107301</v>
      </c>
      <c r="AI886" s="35">
        <f>IFERROR(TA[[#This Row],[Breakdown Time]]*TA[[#This Row],[Plant Equivalent Weightage]],"")</f>
        <v>0</v>
      </c>
    </row>
    <row r="887" spans="1:35">
      <c r="A887" s="2">
        <f t="shared" si="76"/>
        <v>884</v>
      </c>
      <c r="B887" s="156">
        <f t="shared" si="77"/>
        <v>2026</v>
      </c>
      <c r="C887" s="129">
        <f t="shared" si="78"/>
        <v>2025</v>
      </c>
      <c r="D887" s="2" t="s">
        <v>155</v>
      </c>
      <c r="E887" s="2" t="s">
        <v>155</v>
      </c>
      <c r="F887" s="39">
        <v>45778</v>
      </c>
      <c r="G887" s="2">
        <f>DAY(EOMONTH(TA[[#This Row],[Month Year]],0))</f>
        <v>31</v>
      </c>
      <c r="H887" s="21">
        <v>45805</v>
      </c>
      <c r="I887" s="41">
        <f>IFERROR(VLOOKUP(TA[[#This Row],[Date]],Raw_Data[[Date]:[Sunset Time (POA&lt;20 W/m2)]],3,0),"")</f>
        <v>0.25</v>
      </c>
      <c r="J887" s="41">
        <f>IFERROR(VLOOKUP(TA[[#This Row],[Date]],Raw_Data[[Date]:[Sunset Time (POA&lt;20 W/m2)]],4,0),"")</f>
        <v>0.77013888888888893</v>
      </c>
      <c r="K887" s="35">
        <f>IFERROR((TA[[#This Row],[Sunset Time (POA&lt;20 W/m2)]]-TA[[#This Row],[Sunrise Time (POA&gt;20 W/m2)]])*24,"")</f>
        <v>12.483333333333334</v>
      </c>
      <c r="L887" s="2" t="s">
        <v>296</v>
      </c>
      <c r="M887" s="42">
        <f>IFERROR(VLOOKUP(TA[[#This Row],[Affected Equipment]],'Basic Data'!$I$2:$K$40,3,0),"")</f>
        <v>8.6206896551724102E-3</v>
      </c>
      <c r="N887">
        <v>-28</v>
      </c>
      <c r="O887" t="s">
        <v>135</v>
      </c>
      <c r="P887" s="22" t="s">
        <v>323</v>
      </c>
      <c r="Q887" s="2" t="s">
        <v>329</v>
      </c>
      <c r="R887">
        <v>45</v>
      </c>
      <c r="S887" s="2">
        <v>8</v>
      </c>
      <c r="T887" t="s">
        <v>297</v>
      </c>
      <c r="U887" t="s">
        <v>300</v>
      </c>
      <c r="V887" t="s">
        <v>301</v>
      </c>
      <c r="W887" s="41"/>
      <c r="X887" s="41"/>
      <c r="Y887" s="34"/>
      <c r="Z887" s="34"/>
      <c r="AA887" s="35">
        <f>IF(TA[[#This Row],[Work Start time on Fault]]="NA","",(TA[[#This Row],[Fault Acknowledgement Time ]]-TA[[#This Row],[Fault Time]])*24)</f>
        <v>0</v>
      </c>
      <c r="AB887" s="35">
        <f>(TA[[#This Row],[Work Start time on Fault]]-TA[[#This Row],[Fault Time]])*24</f>
        <v>0</v>
      </c>
      <c r="AC887" s="34">
        <f>(TA[[#This Row],[Work Completion time on fault]]-TA[[#This Row],[Fault Time]])*24</f>
        <v>0</v>
      </c>
      <c r="AD887" s="35">
        <f>IFERROR((TA[[#This Row],[Work Completion time on fault]]-TA[[#This Row],[Fault Time]])*24,"")</f>
        <v>0</v>
      </c>
      <c r="AE887" t="s">
        <v>328</v>
      </c>
      <c r="AF887" t="s">
        <v>256</v>
      </c>
      <c r="AG887" s="2"/>
      <c r="AH887" s="44">
        <f>1-COS(RADIANS(TA[[#This Row],[Avg. Target Angle during Fault Time (Radians)]]-TA[[#This Row],[Angle of affected equipment ]]))</f>
        <v>0.11705240714107301</v>
      </c>
      <c r="AI887" s="35">
        <f>IFERROR(TA[[#This Row],[Breakdown Time]]*TA[[#This Row],[Plant Equivalent Weightage]],"")</f>
        <v>0</v>
      </c>
    </row>
    <row r="888" spans="1:35">
      <c r="A888" s="2">
        <f t="shared" si="76"/>
        <v>885</v>
      </c>
      <c r="B888" s="156">
        <f t="shared" si="77"/>
        <v>2026</v>
      </c>
      <c r="C888" s="129">
        <f t="shared" si="78"/>
        <v>2025</v>
      </c>
      <c r="D888" s="2" t="s">
        <v>155</v>
      </c>
      <c r="E888" s="2" t="s">
        <v>155</v>
      </c>
      <c r="F888" s="39">
        <v>45778</v>
      </c>
      <c r="G888" s="2">
        <f>DAY(EOMONTH(TA[[#This Row],[Month Year]],0))</f>
        <v>31</v>
      </c>
      <c r="H888" s="21">
        <v>45805</v>
      </c>
      <c r="I888" s="41">
        <f>IFERROR(VLOOKUP(TA[[#This Row],[Date]],Raw_Data[[Date]:[Sunset Time (POA&lt;20 W/m2)]],3,0),"")</f>
        <v>0.25</v>
      </c>
      <c r="J888" s="41">
        <f>IFERROR(VLOOKUP(TA[[#This Row],[Date]],Raw_Data[[Date]:[Sunset Time (POA&lt;20 W/m2)]],4,0),"")</f>
        <v>0.77013888888888893</v>
      </c>
      <c r="K888" s="35">
        <f>IFERROR((TA[[#This Row],[Sunset Time (POA&lt;20 W/m2)]]-TA[[#This Row],[Sunrise Time (POA&gt;20 W/m2)]])*24,"")</f>
        <v>12.483333333333334</v>
      </c>
      <c r="L888" s="2" t="s">
        <v>296</v>
      </c>
      <c r="M888" s="42">
        <f>IFERROR(VLOOKUP(TA[[#This Row],[Affected Equipment]],'Basic Data'!$I$2:$K$40,3,0),"")</f>
        <v>8.6206896551724102E-3</v>
      </c>
      <c r="N888">
        <v>-28</v>
      </c>
      <c r="O888" t="s">
        <v>135</v>
      </c>
      <c r="P888" s="22" t="s">
        <v>323</v>
      </c>
      <c r="Q888" s="2" t="s">
        <v>329</v>
      </c>
      <c r="R888">
        <v>47</v>
      </c>
      <c r="S888" s="2">
        <v>18</v>
      </c>
      <c r="T888" t="s">
        <v>297</v>
      </c>
      <c r="U888" t="s">
        <v>300</v>
      </c>
      <c r="V888" t="s">
        <v>301</v>
      </c>
      <c r="W888" s="41"/>
      <c r="X888" s="41"/>
      <c r="Y888" s="34"/>
      <c r="Z888" s="34"/>
      <c r="AA888" s="35">
        <f>IF(TA[[#This Row],[Work Start time on Fault]]="NA","",(TA[[#This Row],[Fault Acknowledgement Time ]]-TA[[#This Row],[Fault Time]])*24)</f>
        <v>0</v>
      </c>
      <c r="AB888" s="35">
        <f>(TA[[#This Row],[Work Start time on Fault]]-TA[[#This Row],[Fault Time]])*24</f>
        <v>0</v>
      </c>
      <c r="AC888" s="34">
        <f>(TA[[#This Row],[Work Completion time on fault]]-TA[[#This Row],[Fault Time]])*24</f>
        <v>0</v>
      </c>
      <c r="AD888" s="35">
        <f>IFERROR((TA[[#This Row],[Work Completion time on fault]]-TA[[#This Row],[Fault Time]])*24,"")</f>
        <v>0</v>
      </c>
      <c r="AE888" t="s">
        <v>328</v>
      </c>
      <c r="AF888" t="s">
        <v>256</v>
      </c>
      <c r="AG888" s="2"/>
      <c r="AH888" s="44">
        <f>1-COS(RADIANS(TA[[#This Row],[Avg. Target Angle during Fault Time (Radians)]]-TA[[#This Row],[Angle of affected equipment ]]))</f>
        <v>0.11705240714107301</v>
      </c>
      <c r="AI888" s="35">
        <f>IFERROR(TA[[#This Row],[Breakdown Time]]*TA[[#This Row],[Plant Equivalent Weightage]],"")</f>
        <v>0</v>
      </c>
    </row>
    <row r="889" spans="1:35">
      <c r="A889" s="2">
        <f t="shared" si="76"/>
        <v>886</v>
      </c>
      <c r="B889" s="156">
        <f t="shared" si="77"/>
        <v>2026</v>
      </c>
      <c r="C889" s="129">
        <f t="shared" si="78"/>
        <v>2025</v>
      </c>
      <c r="D889" s="2" t="s">
        <v>155</v>
      </c>
      <c r="E889" s="2" t="s">
        <v>155</v>
      </c>
      <c r="F889" s="39">
        <v>45778</v>
      </c>
      <c r="G889" s="2">
        <f>DAY(EOMONTH(TA[[#This Row],[Month Year]],0))</f>
        <v>31</v>
      </c>
      <c r="H889" s="21">
        <v>45805</v>
      </c>
      <c r="I889" s="41">
        <f>IFERROR(VLOOKUP(TA[[#This Row],[Date]],Raw_Data[[Date]:[Sunset Time (POA&lt;20 W/m2)]],3,0),"")</f>
        <v>0.25</v>
      </c>
      <c r="J889" s="41">
        <f>IFERROR(VLOOKUP(TA[[#This Row],[Date]],Raw_Data[[Date]:[Sunset Time (POA&lt;20 W/m2)]],4,0),"")</f>
        <v>0.77013888888888893</v>
      </c>
      <c r="K889" s="35">
        <f>IFERROR((TA[[#This Row],[Sunset Time (POA&lt;20 W/m2)]]-TA[[#This Row],[Sunrise Time (POA&gt;20 W/m2)]])*24,"")</f>
        <v>12.483333333333334</v>
      </c>
      <c r="L889" s="2" t="s">
        <v>296</v>
      </c>
      <c r="M889" s="42">
        <f>IFERROR(VLOOKUP(TA[[#This Row],[Affected Equipment]],'Basic Data'!$I$2:$K$40,3,0),"")</f>
        <v>8.6206896551724102E-3</v>
      </c>
      <c r="N889">
        <v>-28</v>
      </c>
      <c r="O889" t="s">
        <v>134</v>
      </c>
      <c r="P889" s="22" t="s">
        <v>330</v>
      </c>
      <c r="Q889" s="2" t="s">
        <v>323</v>
      </c>
      <c r="R889">
        <v>30</v>
      </c>
      <c r="S889" s="2">
        <v>57</v>
      </c>
      <c r="T889" t="s">
        <v>297</v>
      </c>
      <c r="U889" t="s">
        <v>300</v>
      </c>
      <c r="V889" t="s">
        <v>301</v>
      </c>
      <c r="W889" s="41"/>
      <c r="X889" s="41"/>
      <c r="Y889" s="34"/>
      <c r="Z889" s="34"/>
      <c r="AA889" s="35">
        <f>IF(TA[[#This Row],[Work Start time on Fault]]="NA","",(TA[[#This Row],[Fault Acknowledgement Time ]]-TA[[#This Row],[Fault Time]])*24)</f>
        <v>0</v>
      </c>
      <c r="AB889" s="35">
        <f>(TA[[#This Row],[Work Start time on Fault]]-TA[[#This Row],[Fault Time]])*24</f>
        <v>0</v>
      </c>
      <c r="AC889" s="34">
        <f>(TA[[#This Row],[Work Completion time on fault]]-TA[[#This Row],[Fault Time]])*24</f>
        <v>0</v>
      </c>
      <c r="AD889" s="35">
        <f>IFERROR((TA[[#This Row],[Work Completion time on fault]]-TA[[#This Row],[Fault Time]])*24,"")</f>
        <v>0</v>
      </c>
      <c r="AE889" t="s">
        <v>328</v>
      </c>
      <c r="AF889" t="s">
        <v>256</v>
      </c>
      <c r="AG889" s="2"/>
      <c r="AH889" s="44">
        <f>1-COS(RADIANS(TA[[#This Row],[Avg. Target Angle during Fault Time (Radians)]]-TA[[#This Row],[Angle of affected equipment ]]))</f>
        <v>0.11705240714107301</v>
      </c>
      <c r="AI889" s="35">
        <f>IFERROR(TA[[#This Row],[Breakdown Time]]*TA[[#This Row],[Plant Equivalent Weightage]],"")</f>
        <v>0</v>
      </c>
    </row>
    <row r="890" spans="1:35">
      <c r="A890" s="2">
        <f t="shared" si="76"/>
        <v>887</v>
      </c>
      <c r="B890" s="156">
        <f t="shared" si="77"/>
        <v>2026</v>
      </c>
      <c r="C890" s="129">
        <f t="shared" si="78"/>
        <v>2025</v>
      </c>
      <c r="D890" s="2" t="s">
        <v>155</v>
      </c>
      <c r="E890" s="2" t="s">
        <v>155</v>
      </c>
      <c r="F890" s="39">
        <v>45778</v>
      </c>
      <c r="G890" s="2">
        <f>DAY(EOMONTH(TA[[#This Row],[Month Year]],0))</f>
        <v>31</v>
      </c>
      <c r="H890" s="21">
        <v>45805</v>
      </c>
      <c r="I890" s="41">
        <f>IFERROR(VLOOKUP(TA[[#This Row],[Date]],Raw_Data[[Date]:[Sunset Time (POA&lt;20 W/m2)]],3,0),"")</f>
        <v>0.25</v>
      </c>
      <c r="J890" s="41">
        <f>IFERROR(VLOOKUP(TA[[#This Row],[Date]],Raw_Data[[Date]:[Sunset Time (POA&lt;20 W/m2)]],4,0),"")</f>
        <v>0.77013888888888893</v>
      </c>
      <c r="K890" s="35">
        <f>IFERROR((TA[[#This Row],[Sunset Time (POA&lt;20 W/m2)]]-TA[[#This Row],[Sunrise Time (POA&gt;20 W/m2)]])*24,"")</f>
        <v>12.483333333333334</v>
      </c>
      <c r="L890" s="2" t="s">
        <v>296</v>
      </c>
      <c r="M890" s="42">
        <f>IFERROR(VLOOKUP(TA[[#This Row],[Affected Equipment]],'Basic Data'!$I$2:$K$40,3,0),"")</f>
        <v>8.6206896551724102E-3</v>
      </c>
      <c r="N890">
        <v>-28</v>
      </c>
      <c r="O890" t="s">
        <v>134</v>
      </c>
      <c r="P890" s="22" t="s">
        <v>330</v>
      </c>
      <c r="Q890" s="2" t="s">
        <v>323</v>
      </c>
      <c r="R890">
        <v>31</v>
      </c>
      <c r="S890" s="2">
        <v>61</v>
      </c>
      <c r="T890" t="s">
        <v>297</v>
      </c>
      <c r="U890" t="s">
        <v>300</v>
      </c>
      <c r="V890" t="s">
        <v>301</v>
      </c>
      <c r="W890" s="41"/>
      <c r="X890" s="41"/>
      <c r="Y890" s="34"/>
      <c r="Z890" s="34"/>
      <c r="AA890" s="35">
        <f>IF(TA[[#This Row],[Work Start time on Fault]]="NA","",(TA[[#This Row],[Fault Acknowledgement Time ]]-TA[[#This Row],[Fault Time]])*24)</f>
        <v>0</v>
      </c>
      <c r="AB890" s="35">
        <f>(TA[[#This Row],[Work Start time on Fault]]-TA[[#This Row],[Fault Time]])*24</f>
        <v>0</v>
      </c>
      <c r="AC890" s="34">
        <f>(TA[[#This Row],[Work Completion time on fault]]-TA[[#This Row],[Fault Time]])*24</f>
        <v>0</v>
      </c>
      <c r="AD890" s="35">
        <f>IFERROR((TA[[#This Row],[Work Completion time on fault]]-TA[[#This Row],[Fault Time]])*24,"")</f>
        <v>0</v>
      </c>
      <c r="AE890" t="s">
        <v>328</v>
      </c>
      <c r="AF890" t="s">
        <v>256</v>
      </c>
      <c r="AG890" s="2"/>
      <c r="AH890" s="44">
        <f>1-COS(RADIANS(TA[[#This Row],[Avg. Target Angle during Fault Time (Radians)]]-TA[[#This Row],[Angle of affected equipment ]]))</f>
        <v>0.11705240714107301</v>
      </c>
      <c r="AI890" s="35">
        <f>IFERROR(TA[[#This Row],[Breakdown Time]]*TA[[#This Row],[Plant Equivalent Weightage]],"")</f>
        <v>0</v>
      </c>
    </row>
    <row r="891" spans="1:35">
      <c r="A891" s="2">
        <f t="shared" si="76"/>
        <v>888</v>
      </c>
      <c r="B891" s="156">
        <f t="shared" si="77"/>
        <v>2026</v>
      </c>
      <c r="C891" s="129">
        <f t="shared" si="78"/>
        <v>2025</v>
      </c>
      <c r="D891" s="2" t="s">
        <v>155</v>
      </c>
      <c r="E891" s="2" t="s">
        <v>155</v>
      </c>
      <c r="F891" s="39">
        <v>45778</v>
      </c>
      <c r="G891" s="2">
        <f>DAY(EOMONTH(TA[[#This Row],[Month Year]],0))</f>
        <v>31</v>
      </c>
      <c r="H891" s="21">
        <v>45805</v>
      </c>
      <c r="I891" s="41">
        <f>IFERROR(VLOOKUP(TA[[#This Row],[Date]],Raw_Data[[Date]:[Sunset Time (POA&lt;20 W/m2)]],3,0),"")</f>
        <v>0.25</v>
      </c>
      <c r="J891" s="41">
        <f>IFERROR(VLOOKUP(TA[[#This Row],[Date]],Raw_Data[[Date]:[Sunset Time (POA&lt;20 W/m2)]],4,0),"")</f>
        <v>0.77013888888888893</v>
      </c>
      <c r="K891" s="35">
        <f>IFERROR((TA[[#This Row],[Sunset Time (POA&lt;20 W/m2)]]-TA[[#This Row],[Sunrise Time (POA&gt;20 W/m2)]])*24,"")</f>
        <v>12.483333333333334</v>
      </c>
      <c r="L891" s="2" t="s">
        <v>312</v>
      </c>
      <c r="M891" s="42">
        <f>IFERROR(VLOOKUP(TA[[#This Row],[Affected Equipment]],'Basic Data'!$I$2:$K$40,3,0),"")</f>
        <v>5.74712643678161E-3</v>
      </c>
      <c r="N891">
        <v>-28</v>
      </c>
      <c r="O891" t="s">
        <v>133</v>
      </c>
      <c r="P891" s="22" t="s">
        <v>330</v>
      </c>
      <c r="Q891" s="2" t="s">
        <v>323</v>
      </c>
      <c r="R891">
        <v>26</v>
      </c>
      <c r="S891" s="2">
        <v>37</v>
      </c>
      <c r="T891" t="s">
        <v>297</v>
      </c>
      <c r="U891" t="s">
        <v>300</v>
      </c>
      <c r="V891" t="s">
        <v>301</v>
      </c>
      <c r="W891" s="41"/>
      <c r="X891" s="41"/>
      <c r="Y891" s="34"/>
      <c r="Z891" s="34"/>
      <c r="AA891" s="35">
        <f>IF(TA[[#This Row],[Work Start time on Fault]]="NA","",(TA[[#This Row],[Fault Acknowledgement Time ]]-TA[[#This Row],[Fault Time]])*24)</f>
        <v>0</v>
      </c>
      <c r="AB891" s="35">
        <f>(TA[[#This Row],[Work Start time on Fault]]-TA[[#This Row],[Fault Time]])*24</f>
        <v>0</v>
      </c>
      <c r="AC891" s="34">
        <f>(TA[[#This Row],[Work Completion time on fault]]-TA[[#This Row],[Fault Time]])*24</f>
        <v>0</v>
      </c>
      <c r="AD891" s="35">
        <f>IFERROR((TA[[#This Row],[Work Completion time on fault]]-TA[[#This Row],[Fault Time]])*24,"")</f>
        <v>0</v>
      </c>
      <c r="AE891" t="s">
        <v>328</v>
      </c>
      <c r="AF891" t="s">
        <v>256</v>
      </c>
      <c r="AG891" s="2"/>
      <c r="AH891" s="44">
        <f>1-COS(RADIANS(TA[[#This Row],[Avg. Target Angle during Fault Time (Radians)]]-TA[[#This Row],[Angle of affected equipment ]]))</f>
        <v>0.11705240714107301</v>
      </c>
      <c r="AI891" s="35">
        <f>IFERROR(TA[[#This Row],[Breakdown Time]]*TA[[#This Row],[Plant Equivalent Weightage]],"")</f>
        <v>0</v>
      </c>
    </row>
    <row r="892" spans="1:35">
      <c r="A892" s="2">
        <f t="shared" si="76"/>
        <v>889</v>
      </c>
      <c r="B892" s="156">
        <f t="shared" si="77"/>
        <v>2026</v>
      </c>
      <c r="C892" s="129">
        <f t="shared" si="78"/>
        <v>2025</v>
      </c>
      <c r="D892" s="2" t="s">
        <v>155</v>
      </c>
      <c r="E892" s="2" t="s">
        <v>155</v>
      </c>
      <c r="F892" s="39">
        <v>45778</v>
      </c>
      <c r="G892" s="2">
        <f>DAY(EOMONTH(TA[[#This Row],[Month Year]],0))</f>
        <v>31</v>
      </c>
      <c r="H892" s="21">
        <v>45805</v>
      </c>
      <c r="I892" s="41">
        <f>IFERROR(VLOOKUP(TA[[#This Row],[Date]],Raw_Data[[Date]:[Sunset Time (POA&lt;20 W/m2)]],3,0),"")</f>
        <v>0.25</v>
      </c>
      <c r="J892" s="41">
        <f>IFERROR(VLOOKUP(TA[[#This Row],[Date]],Raw_Data[[Date]:[Sunset Time (POA&lt;20 W/m2)]],4,0),"")</f>
        <v>0.77013888888888893</v>
      </c>
      <c r="K892" s="35">
        <f>IFERROR((TA[[#This Row],[Sunset Time (POA&lt;20 W/m2)]]-TA[[#This Row],[Sunrise Time (POA&gt;20 W/m2)]])*24,"")</f>
        <v>12.483333333333334</v>
      </c>
      <c r="L892" s="2" t="s">
        <v>312</v>
      </c>
      <c r="M892" s="42">
        <f>IFERROR(VLOOKUP(TA[[#This Row],[Affected Equipment]],'Basic Data'!$I$2:$K$40,3,0),"")</f>
        <v>5.74712643678161E-3</v>
      </c>
      <c r="N892">
        <v>-28</v>
      </c>
      <c r="O892" t="s">
        <v>133</v>
      </c>
      <c r="P892" s="22" t="s">
        <v>330</v>
      </c>
      <c r="Q892" s="2" t="s">
        <v>323</v>
      </c>
      <c r="R892">
        <v>27</v>
      </c>
      <c r="S892" s="2">
        <v>42</v>
      </c>
      <c r="T892" t="s">
        <v>297</v>
      </c>
      <c r="U892" t="s">
        <v>300</v>
      </c>
      <c r="V892" t="s">
        <v>301</v>
      </c>
      <c r="W892" s="41">
        <f>IFERROR(VLOOKUP(TA[[#This Row],[Date]],Raw_Data[[Date]:[Sunset Time (POA&lt;20 W/m2)]],3,0),"")</f>
        <v>0.25</v>
      </c>
      <c r="X892" s="41">
        <f>IFERROR(VLOOKUP(TA[[#This Row],[Date]],Raw_Data[[Date]:[Sunset Time (POA&lt;20 W/m2)]],3,0),"")</f>
        <v>0.25</v>
      </c>
      <c r="Y892" s="34"/>
      <c r="Z892" s="34">
        <v>0.76041666666666663</v>
      </c>
      <c r="AA892" s="35">
        <f>IF(TA[[#This Row],[Work Start time on Fault]]="NA","",(TA[[#This Row],[Fault Acknowledgement Time ]]-TA[[#This Row],[Fault Time]])*24)</f>
        <v>0</v>
      </c>
      <c r="AB892" s="35">
        <f>(TA[[#This Row],[Work Start time on Fault]]-TA[[#This Row],[Fault Time]])*24</f>
        <v>-6</v>
      </c>
      <c r="AC892" s="34">
        <f>(TA[[#This Row],[Work Completion time on fault]]-TA[[#This Row],[Fault Time]])*24</f>
        <v>12.25</v>
      </c>
      <c r="AD892" s="35">
        <f>IFERROR((TA[[#This Row],[Work Completion time on fault]]-TA[[#This Row],[Fault Time]])*24,"")</f>
        <v>12.25</v>
      </c>
      <c r="AE892" t="s">
        <v>309</v>
      </c>
      <c r="AF892" t="s">
        <v>256</v>
      </c>
      <c r="AG892" s="2"/>
      <c r="AH892" s="44">
        <f>1-COS(RADIANS(TA[[#This Row],[Avg. Target Angle during Fault Time (Radians)]]-TA[[#This Row],[Angle of affected equipment ]]))</f>
        <v>0.11705240714107301</v>
      </c>
      <c r="AI892" s="35">
        <f>IFERROR(TA[[#This Row],[Breakdown Time]]*TA[[#This Row],[Plant Equivalent Weightage]],"")</f>
        <v>7.0402298850574724E-2</v>
      </c>
    </row>
    <row r="893" spans="1:35">
      <c r="A893" s="2">
        <f t="shared" si="76"/>
        <v>890</v>
      </c>
      <c r="B893" s="156">
        <f t="shared" ref="B893:B905" si="79">YEAR(H893)+IF(MONTH(H893)&gt;=4,1,0)</f>
        <v>2026</v>
      </c>
      <c r="C893" s="129">
        <f t="shared" ref="C893:C905" si="80">YEAR(H893)</f>
        <v>2025</v>
      </c>
      <c r="D893" s="2" t="s">
        <v>155</v>
      </c>
      <c r="E893" s="2" t="s">
        <v>155</v>
      </c>
      <c r="F893" s="39">
        <v>45778</v>
      </c>
      <c r="G893" s="2">
        <f>DAY(EOMONTH(TA[[#This Row],[Month Year]],0))</f>
        <v>31</v>
      </c>
      <c r="H893" s="21">
        <v>45806</v>
      </c>
      <c r="I893" s="41">
        <f>IFERROR(VLOOKUP(TA[[#This Row],[Date]],Raw_Data[[Date]:[Sunset Time (POA&lt;20 W/m2)]],3,0),"")</f>
        <v>0.2638888888888889</v>
      </c>
      <c r="J893" s="41">
        <f>IFERROR(VLOOKUP(TA[[#This Row],[Date]],Raw_Data[[Date]:[Sunset Time (POA&lt;20 W/m2)]],4,0),"")</f>
        <v>0.77430555555555558</v>
      </c>
      <c r="K893" s="35">
        <f>IFERROR((TA[[#This Row],[Sunset Time (POA&lt;20 W/m2)]]-TA[[#This Row],[Sunrise Time (POA&gt;20 W/m2)]])*24,"")</f>
        <v>12.250000000000002</v>
      </c>
      <c r="L893" s="2" t="s">
        <v>294</v>
      </c>
      <c r="M893" s="42">
        <f>IFERROR(VLOOKUP(TA[[#This Row],[Affected Equipment]],'Basic Data'!$I$2:$K$40,3,0),"")</f>
        <v>1.7241379310344799E-3</v>
      </c>
      <c r="N893">
        <v>-28</v>
      </c>
      <c r="O893" t="s">
        <v>135</v>
      </c>
      <c r="P893" s="127" t="s">
        <v>318</v>
      </c>
      <c r="Q893" s="126" t="s">
        <v>318</v>
      </c>
      <c r="R893">
        <v>131</v>
      </c>
      <c r="S893" s="2">
        <v>38</v>
      </c>
      <c r="T893" t="s">
        <v>295</v>
      </c>
      <c r="U893" t="s">
        <v>300</v>
      </c>
      <c r="V893" t="s">
        <v>298</v>
      </c>
      <c r="W893" s="41"/>
      <c r="X893" s="41"/>
      <c r="Y893" s="34"/>
      <c r="Z893" s="34"/>
      <c r="AA893" s="35">
        <f>IF(TA[[#This Row],[Work Start time on Fault]]="NA","",(TA[[#This Row],[Fault Acknowledgement Time ]]-TA[[#This Row],[Fault Time]])*24)</f>
        <v>0</v>
      </c>
      <c r="AB893" s="35">
        <f>(TA[[#This Row],[Work Start time on Fault]]-TA[[#This Row],[Fault Time]])*24</f>
        <v>0</v>
      </c>
      <c r="AC893" s="34">
        <f>(TA[[#This Row],[Work Completion time on fault]]-TA[[#This Row],[Fault Time]])*24</f>
        <v>0</v>
      </c>
      <c r="AD893" s="35">
        <f>IFERROR((TA[[#This Row],[Work Completion time on fault]]-TA[[#This Row],[Fault Time]])*24,"")</f>
        <v>0</v>
      </c>
      <c r="AE893" t="s">
        <v>328</v>
      </c>
      <c r="AF893" t="s">
        <v>256</v>
      </c>
      <c r="AG893" s="2"/>
      <c r="AH893" s="44">
        <f>1-COS(RADIANS(TA[[#This Row],[Avg. Target Angle during Fault Time (Radians)]]-TA[[#This Row],[Angle of affected equipment ]]))</f>
        <v>0.11705240714107301</v>
      </c>
      <c r="AI893" s="35">
        <f>IFERROR(TA[[#This Row],[Breakdown Time]]*TA[[#This Row],[Plant Equivalent Weightage]],"")</f>
        <v>0</v>
      </c>
    </row>
    <row r="894" spans="1:35">
      <c r="A894" s="2">
        <f t="shared" si="76"/>
        <v>891</v>
      </c>
      <c r="B894" s="156">
        <f t="shared" si="79"/>
        <v>2026</v>
      </c>
      <c r="C894" s="129">
        <f t="shared" si="80"/>
        <v>2025</v>
      </c>
      <c r="D894" s="2" t="s">
        <v>155</v>
      </c>
      <c r="E894" s="2" t="s">
        <v>155</v>
      </c>
      <c r="F894" s="39">
        <v>45778</v>
      </c>
      <c r="G894" s="2">
        <f>DAY(EOMONTH(TA[[#This Row],[Month Year]],0))</f>
        <v>31</v>
      </c>
      <c r="H894" s="21">
        <v>45806</v>
      </c>
      <c r="I894" s="41">
        <f>IFERROR(VLOOKUP(TA[[#This Row],[Date]],Raw_Data[[Date]:[Sunset Time (POA&lt;20 W/m2)]],3,0),"")</f>
        <v>0.2638888888888889</v>
      </c>
      <c r="J894" s="41">
        <f>IFERROR(VLOOKUP(TA[[#This Row],[Date]],Raw_Data[[Date]:[Sunset Time (POA&lt;20 W/m2)]],4,0),"")</f>
        <v>0.77430555555555558</v>
      </c>
      <c r="K894" s="35">
        <f>IFERROR((TA[[#This Row],[Sunset Time (POA&lt;20 W/m2)]]-TA[[#This Row],[Sunrise Time (POA&gt;20 W/m2)]])*24,"")</f>
        <v>12.250000000000002</v>
      </c>
      <c r="L894" s="2" t="s">
        <v>294</v>
      </c>
      <c r="M894" s="42">
        <f>IFERROR(VLOOKUP(TA[[#This Row],[Affected Equipment]],'Basic Data'!$I$2:$K$40,3,0),"")</f>
        <v>1.7241379310344799E-3</v>
      </c>
      <c r="N894">
        <v>-28</v>
      </c>
      <c r="O894" t="s">
        <v>135</v>
      </c>
      <c r="P894" s="127" t="s">
        <v>318</v>
      </c>
      <c r="Q894" s="126" t="s">
        <v>318</v>
      </c>
      <c r="R894">
        <v>131</v>
      </c>
      <c r="S894" s="2">
        <v>39</v>
      </c>
      <c r="T894" t="s">
        <v>295</v>
      </c>
      <c r="U894" t="s">
        <v>300</v>
      </c>
      <c r="V894" t="s">
        <v>298</v>
      </c>
      <c r="W894" s="41"/>
      <c r="X894" s="41"/>
      <c r="Y894" s="34"/>
      <c r="Z894" s="34"/>
      <c r="AA894" s="35">
        <f>IF(TA[[#This Row],[Work Start time on Fault]]="NA","",(TA[[#This Row],[Fault Acknowledgement Time ]]-TA[[#This Row],[Fault Time]])*24)</f>
        <v>0</v>
      </c>
      <c r="AB894" s="35">
        <f>(TA[[#This Row],[Work Start time on Fault]]-TA[[#This Row],[Fault Time]])*24</f>
        <v>0</v>
      </c>
      <c r="AC894" s="34">
        <f>(TA[[#This Row],[Work Completion time on fault]]-TA[[#This Row],[Fault Time]])*24</f>
        <v>0</v>
      </c>
      <c r="AD894" s="35">
        <f>IFERROR((TA[[#This Row],[Work Completion time on fault]]-TA[[#This Row],[Fault Time]])*24,"")</f>
        <v>0</v>
      </c>
      <c r="AE894" t="s">
        <v>328</v>
      </c>
      <c r="AF894" t="s">
        <v>256</v>
      </c>
      <c r="AG894" s="2"/>
      <c r="AH894" s="44">
        <f>1-COS(RADIANS(TA[[#This Row],[Avg. Target Angle during Fault Time (Radians)]]-TA[[#This Row],[Angle of affected equipment ]]))</f>
        <v>0.11705240714107301</v>
      </c>
      <c r="AI894" s="35">
        <f>IFERROR(TA[[#This Row],[Breakdown Time]]*TA[[#This Row],[Plant Equivalent Weightage]],"")</f>
        <v>0</v>
      </c>
    </row>
    <row r="895" spans="1:35">
      <c r="A895" s="2">
        <f t="shared" si="76"/>
        <v>892</v>
      </c>
      <c r="B895" s="156">
        <f t="shared" si="79"/>
        <v>2026</v>
      </c>
      <c r="C895" s="129">
        <f t="shared" si="80"/>
        <v>2025</v>
      </c>
      <c r="D895" s="2" t="s">
        <v>155</v>
      </c>
      <c r="E895" s="2" t="s">
        <v>155</v>
      </c>
      <c r="F895" s="39">
        <v>45778</v>
      </c>
      <c r="G895" s="2">
        <f>DAY(EOMONTH(TA[[#This Row],[Month Year]],0))</f>
        <v>31</v>
      </c>
      <c r="H895" s="21">
        <v>45806</v>
      </c>
      <c r="I895" s="41">
        <f>IFERROR(VLOOKUP(TA[[#This Row],[Date]],Raw_Data[[Date]:[Sunset Time (POA&lt;20 W/m2)]],3,0),"")</f>
        <v>0.2638888888888889</v>
      </c>
      <c r="J895" s="41">
        <f>IFERROR(VLOOKUP(TA[[#This Row],[Date]],Raw_Data[[Date]:[Sunset Time (POA&lt;20 W/m2)]],4,0),"")</f>
        <v>0.77430555555555558</v>
      </c>
      <c r="K895" s="35">
        <f>IFERROR((TA[[#This Row],[Sunset Time (POA&lt;20 W/m2)]]-TA[[#This Row],[Sunrise Time (POA&gt;20 W/m2)]])*24,"")</f>
        <v>12.250000000000002</v>
      </c>
      <c r="L895" s="2" t="s">
        <v>296</v>
      </c>
      <c r="M895" s="42">
        <f>IFERROR(VLOOKUP(TA[[#This Row],[Affected Equipment]],'Basic Data'!$I$2:$K$40,3,0),"")</f>
        <v>8.6206896551724102E-3</v>
      </c>
      <c r="N895">
        <v>-28</v>
      </c>
      <c r="O895" t="s">
        <v>135</v>
      </c>
      <c r="P895" s="127" t="s">
        <v>318</v>
      </c>
      <c r="Q895" s="2" t="s">
        <v>321</v>
      </c>
      <c r="R895">
        <v>133</v>
      </c>
      <c r="S895" s="2">
        <v>26</v>
      </c>
      <c r="T895" t="s">
        <v>297</v>
      </c>
      <c r="U895" t="s">
        <v>300</v>
      </c>
      <c r="V895" t="s">
        <v>314</v>
      </c>
      <c r="W895" s="41">
        <f>IFERROR(VLOOKUP(TA[[#This Row],[Date]],Raw_Data[[Date]:[Sunset Time (POA&lt;20 W/m2)]],3,0),"")</f>
        <v>0.2638888888888889</v>
      </c>
      <c r="X895" s="41">
        <f>IFERROR(VLOOKUP(TA[[#This Row],[Date]],Raw_Data[[Date]:[Sunset Time (POA&lt;20 W/m2)]],3,0),"")</f>
        <v>0.2638888888888889</v>
      </c>
      <c r="Y895" s="34"/>
      <c r="Z895" s="34">
        <v>0.76041666666666663</v>
      </c>
      <c r="AA895" s="35">
        <f>IF(TA[[#This Row],[Work Start time on Fault]]="NA","",(TA[[#This Row],[Fault Acknowledgement Time ]]-TA[[#This Row],[Fault Time]])*24)</f>
        <v>0</v>
      </c>
      <c r="AB895" s="35">
        <f>(TA[[#This Row],[Work Start time on Fault]]-TA[[#This Row],[Fault Time]])*24</f>
        <v>-6.3333333333333339</v>
      </c>
      <c r="AC895" s="34">
        <f>(TA[[#This Row],[Work Completion time on fault]]-TA[[#This Row],[Fault Time]])*24</f>
        <v>11.916666666666666</v>
      </c>
      <c r="AD895" s="35">
        <f>IFERROR((TA[[#This Row],[Work Completion time on fault]]-TA[[#This Row],[Fault Time]])*24,"")</f>
        <v>11.916666666666666</v>
      </c>
      <c r="AE895" t="s">
        <v>328</v>
      </c>
      <c r="AF895" t="s">
        <v>256</v>
      </c>
      <c r="AG895" s="2"/>
      <c r="AH895" s="44">
        <f>1-COS(RADIANS(TA[[#This Row],[Avg. Target Angle during Fault Time (Radians)]]-TA[[#This Row],[Angle of affected equipment ]]))</f>
        <v>0.11705240714107301</v>
      </c>
      <c r="AI895" s="35">
        <f>IFERROR(TA[[#This Row],[Breakdown Time]]*TA[[#This Row],[Plant Equivalent Weightage]],"")</f>
        <v>0.10272988505747122</v>
      </c>
    </row>
    <row r="896" spans="1:35">
      <c r="A896" s="2">
        <f t="shared" si="76"/>
        <v>893</v>
      </c>
      <c r="B896" s="156">
        <f t="shared" si="79"/>
        <v>2026</v>
      </c>
      <c r="C896" s="129">
        <f t="shared" si="80"/>
        <v>2025</v>
      </c>
      <c r="D896" s="2" t="s">
        <v>155</v>
      </c>
      <c r="E896" s="2" t="s">
        <v>155</v>
      </c>
      <c r="F896" s="39">
        <v>45778</v>
      </c>
      <c r="G896" s="2">
        <f>DAY(EOMONTH(TA[[#This Row],[Month Year]],0))</f>
        <v>31</v>
      </c>
      <c r="H896" s="21">
        <v>45806</v>
      </c>
      <c r="I896" s="41">
        <f>IFERROR(VLOOKUP(TA[[#This Row],[Date]],Raw_Data[[Date]:[Sunset Time (POA&lt;20 W/m2)]],3,0),"")</f>
        <v>0.2638888888888889</v>
      </c>
      <c r="J896" s="41">
        <f>IFERROR(VLOOKUP(TA[[#This Row],[Date]],Raw_Data[[Date]:[Sunset Time (POA&lt;20 W/m2)]],4,0),"")</f>
        <v>0.77430555555555558</v>
      </c>
      <c r="K896" s="35">
        <f>IFERROR((TA[[#This Row],[Sunset Time (POA&lt;20 W/m2)]]-TA[[#This Row],[Sunrise Time (POA&gt;20 W/m2)]])*24,"")</f>
        <v>12.250000000000002</v>
      </c>
      <c r="L896" s="2" t="s">
        <v>294</v>
      </c>
      <c r="M896" s="42">
        <f>IFERROR(VLOOKUP(TA[[#This Row],[Affected Equipment]],'Basic Data'!$I$2:$K$40,3,0),"")</f>
        <v>1.7241379310344799E-3</v>
      </c>
      <c r="N896">
        <v>-28</v>
      </c>
      <c r="O896" t="s">
        <v>133</v>
      </c>
      <c r="P896" s="127" t="s">
        <v>316</v>
      </c>
      <c r="Q896" s="126" t="s">
        <v>317</v>
      </c>
      <c r="R896">
        <v>7</v>
      </c>
      <c r="S896" s="2">
        <v>32</v>
      </c>
      <c r="T896" t="s">
        <v>295</v>
      </c>
      <c r="U896" t="s">
        <v>300</v>
      </c>
      <c r="V896" t="s">
        <v>298</v>
      </c>
      <c r="W896" s="41"/>
      <c r="X896" s="41"/>
      <c r="Y896" s="34"/>
      <c r="Z896" s="34"/>
      <c r="AA896" s="35">
        <f>IF(TA[[#This Row],[Work Start time on Fault]]="NA","",(TA[[#This Row],[Fault Acknowledgement Time ]]-TA[[#This Row],[Fault Time]])*24)</f>
        <v>0</v>
      </c>
      <c r="AB896" s="35">
        <f>(TA[[#This Row],[Work Start time on Fault]]-TA[[#This Row],[Fault Time]])*24</f>
        <v>0</v>
      </c>
      <c r="AC896" s="34">
        <f>(TA[[#This Row],[Work Completion time on fault]]-TA[[#This Row],[Fault Time]])*24</f>
        <v>0</v>
      </c>
      <c r="AD896" s="35">
        <f>IFERROR((TA[[#This Row],[Work Completion time on fault]]-TA[[#This Row],[Fault Time]])*24,"")</f>
        <v>0</v>
      </c>
      <c r="AE896" t="s">
        <v>328</v>
      </c>
      <c r="AF896" t="s">
        <v>256</v>
      </c>
      <c r="AG896" s="2"/>
      <c r="AH896" s="44">
        <f>1-COS(RADIANS(TA[[#This Row],[Avg. Target Angle during Fault Time (Radians)]]-TA[[#This Row],[Angle of affected equipment ]]))</f>
        <v>0.11705240714107301</v>
      </c>
      <c r="AI896" s="35">
        <f>IFERROR(TA[[#This Row],[Breakdown Time]]*TA[[#This Row],[Plant Equivalent Weightage]],"")</f>
        <v>0</v>
      </c>
    </row>
    <row r="897" spans="1:35">
      <c r="A897" s="2">
        <f t="shared" si="76"/>
        <v>894</v>
      </c>
      <c r="B897" s="156">
        <f t="shared" si="79"/>
        <v>2026</v>
      </c>
      <c r="C897" s="129">
        <f t="shared" si="80"/>
        <v>2025</v>
      </c>
      <c r="D897" s="2" t="s">
        <v>155</v>
      </c>
      <c r="E897" s="2" t="s">
        <v>155</v>
      </c>
      <c r="F897" s="39">
        <v>45778</v>
      </c>
      <c r="G897" s="2">
        <f>DAY(EOMONTH(TA[[#This Row],[Month Year]],0))</f>
        <v>31</v>
      </c>
      <c r="H897" s="21">
        <v>45806</v>
      </c>
      <c r="I897" s="41">
        <f>IFERROR(VLOOKUP(TA[[#This Row],[Date]],Raw_Data[[Date]:[Sunset Time (POA&lt;20 W/m2)]],3,0),"")</f>
        <v>0.2638888888888889</v>
      </c>
      <c r="J897" s="41">
        <f>IFERROR(VLOOKUP(TA[[#This Row],[Date]],Raw_Data[[Date]:[Sunset Time (POA&lt;20 W/m2)]],4,0),"")</f>
        <v>0.77430555555555558</v>
      </c>
      <c r="K897" s="35">
        <f>IFERROR((TA[[#This Row],[Sunset Time (POA&lt;20 W/m2)]]-TA[[#This Row],[Sunrise Time (POA&gt;20 W/m2)]])*24,"")</f>
        <v>12.250000000000002</v>
      </c>
      <c r="L897" s="2" t="s">
        <v>294</v>
      </c>
      <c r="M897" s="42">
        <f>IFERROR(VLOOKUP(TA[[#This Row],[Affected Equipment]],'Basic Data'!$I$2:$K$40,3,0),"")</f>
        <v>1.7241379310344799E-3</v>
      </c>
      <c r="N897">
        <v>-28</v>
      </c>
      <c r="O897" t="s">
        <v>137</v>
      </c>
      <c r="P897" s="127" t="s">
        <v>315</v>
      </c>
      <c r="Q897" s="126" t="s">
        <v>319</v>
      </c>
      <c r="R897">
        <v>166</v>
      </c>
      <c r="S897" s="2">
        <v>91</v>
      </c>
      <c r="T897" t="s">
        <v>295</v>
      </c>
      <c r="U897" t="s">
        <v>300</v>
      </c>
      <c r="V897" t="s">
        <v>298</v>
      </c>
      <c r="W897" s="41"/>
      <c r="X897" s="41"/>
      <c r="Y897" s="34"/>
      <c r="Z897" s="34"/>
      <c r="AA897" s="35">
        <f>IF(TA[[#This Row],[Work Start time on Fault]]="NA","",(TA[[#This Row],[Fault Acknowledgement Time ]]-TA[[#This Row],[Fault Time]])*24)</f>
        <v>0</v>
      </c>
      <c r="AB897" s="35">
        <f>(TA[[#This Row],[Work Start time on Fault]]-TA[[#This Row],[Fault Time]])*24</f>
        <v>0</v>
      </c>
      <c r="AC897" s="34">
        <f>(TA[[#This Row],[Work Completion time on fault]]-TA[[#This Row],[Fault Time]])*24</f>
        <v>0</v>
      </c>
      <c r="AD897" s="35">
        <f>IFERROR((TA[[#This Row],[Work Completion time on fault]]-TA[[#This Row],[Fault Time]])*24,"")</f>
        <v>0</v>
      </c>
      <c r="AE897" t="s">
        <v>328</v>
      </c>
      <c r="AF897" t="s">
        <v>256</v>
      </c>
      <c r="AG897" s="2"/>
      <c r="AH897" s="44">
        <f>1-COS(RADIANS(TA[[#This Row],[Avg. Target Angle during Fault Time (Radians)]]-TA[[#This Row],[Angle of affected equipment ]]))</f>
        <v>0.11705240714107301</v>
      </c>
      <c r="AI897" s="35">
        <f>IFERROR(TA[[#This Row],[Breakdown Time]]*TA[[#This Row],[Plant Equivalent Weightage]],"")</f>
        <v>0</v>
      </c>
    </row>
    <row r="898" spans="1:35">
      <c r="A898" s="2">
        <f t="shared" si="76"/>
        <v>895</v>
      </c>
      <c r="B898" s="156">
        <f t="shared" si="79"/>
        <v>2026</v>
      </c>
      <c r="C898" s="129">
        <f t="shared" si="80"/>
        <v>2025</v>
      </c>
      <c r="D898" s="2" t="s">
        <v>155</v>
      </c>
      <c r="E898" s="2" t="s">
        <v>155</v>
      </c>
      <c r="F898" s="39">
        <v>45778</v>
      </c>
      <c r="G898" s="2">
        <f>DAY(EOMONTH(TA[[#This Row],[Month Year]],0))</f>
        <v>31</v>
      </c>
      <c r="H898" s="21">
        <v>45806</v>
      </c>
      <c r="I898" s="41">
        <f>IFERROR(VLOOKUP(TA[[#This Row],[Date]],Raw_Data[[Date]:[Sunset Time (POA&lt;20 W/m2)]],3,0),"")</f>
        <v>0.2638888888888889</v>
      </c>
      <c r="J898" s="41">
        <f>IFERROR(VLOOKUP(TA[[#This Row],[Date]],Raw_Data[[Date]:[Sunset Time (POA&lt;20 W/m2)]],4,0),"")</f>
        <v>0.77430555555555558</v>
      </c>
      <c r="K898" s="35">
        <f>IFERROR((TA[[#This Row],[Sunset Time (POA&lt;20 W/m2)]]-TA[[#This Row],[Sunrise Time (POA&gt;20 W/m2)]])*24,"")</f>
        <v>12.250000000000002</v>
      </c>
      <c r="L898" s="2" t="s">
        <v>294</v>
      </c>
      <c r="M898" s="42">
        <f>IFERROR(VLOOKUP(TA[[#This Row],[Affected Equipment]],'Basic Data'!$I$2:$K$40,3,0),"")</f>
        <v>1.7241379310344799E-3</v>
      </c>
      <c r="N898">
        <v>-28</v>
      </c>
      <c r="O898" t="s">
        <v>133</v>
      </c>
      <c r="P898" s="127" t="s">
        <v>316</v>
      </c>
      <c r="Q898" s="126" t="s">
        <v>316</v>
      </c>
      <c r="R898">
        <v>117</v>
      </c>
      <c r="S898" s="2">
        <v>20</v>
      </c>
      <c r="T898" t="s">
        <v>295</v>
      </c>
      <c r="U898" t="s">
        <v>300</v>
      </c>
      <c r="V898" t="s">
        <v>298</v>
      </c>
      <c r="W898" s="41"/>
      <c r="X898" s="41"/>
      <c r="Y898" s="34"/>
      <c r="Z898" s="34"/>
      <c r="AA898" s="35">
        <f>IF(TA[[#This Row],[Work Start time on Fault]]="NA","",(TA[[#This Row],[Fault Acknowledgement Time ]]-TA[[#This Row],[Fault Time]])*24)</f>
        <v>0</v>
      </c>
      <c r="AB898" s="35">
        <f>(TA[[#This Row],[Work Start time on Fault]]-TA[[#This Row],[Fault Time]])*24</f>
        <v>0</v>
      </c>
      <c r="AC898" s="34">
        <f>(TA[[#This Row],[Work Completion time on fault]]-TA[[#This Row],[Fault Time]])*24</f>
        <v>0</v>
      </c>
      <c r="AD898" s="35">
        <f>IFERROR((TA[[#This Row],[Work Completion time on fault]]-TA[[#This Row],[Fault Time]])*24,"")</f>
        <v>0</v>
      </c>
      <c r="AE898" t="s">
        <v>328</v>
      </c>
      <c r="AF898" t="s">
        <v>256</v>
      </c>
      <c r="AG898" s="2"/>
      <c r="AH898" s="44">
        <f>1-COS(RADIANS(TA[[#This Row],[Avg. Target Angle during Fault Time (Radians)]]-TA[[#This Row],[Angle of affected equipment ]]))</f>
        <v>0.11705240714107301</v>
      </c>
      <c r="AI898" s="35">
        <f>IFERROR(TA[[#This Row],[Breakdown Time]]*TA[[#This Row],[Plant Equivalent Weightage]],"")</f>
        <v>0</v>
      </c>
    </row>
    <row r="899" spans="1:35">
      <c r="A899" s="2">
        <f t="shared" si="76"/>
        <v>896</v>
      </c>
      <c r="B899" s="156">
        <f t="shared" si="79"/>
        <v>2026</v>
      </c>
      <c r="C899" s="129">
        <f t="shared" si="80"/>
        <v>2025</v>
      </c>
      <c r="D899" s="2" t="s">
        <v>155</v>
      </c>
      <c r="E899" s="2" t="s">
        <v>155</v>
      </c>
      <c r="F899" s="39">
        <v>45778</v>
      </c>
      <c r="G899" s="2">
        <f>DAY(EOMONTH(TA[[#This Row],[Month Year]],0))</f>
        <v>31</v>
      </c>
      <c r="H899" s="21">
        <v>45806</v>
      </c>
      <c r="I899" s="41">
        <f>IFERROR(VLOOKUP(TA[[#This Row],[Date]],Raw_Data[[Date]:[Sunset Time (POA&lt;20 W/m2)]],3,0),"")</f>
        <v>0.2638888888888889</v>
      </c>
      <c r="J899" s="41">
        <f>IFERROR(VLOOKUP(TA[[#This Row],[Date]],Raw_Data[[Date]:[Sunset Time (POA&lt;20 W/m2)]],4,0),"")</f>
        <v>0.77430555555555558</v>
      </c>
      <c r="K899" s="35">
        <f>IFERROR((TA[[#This Row],[Sunset Time (POA&lt;20 W/m2)]]-TA[[#This Row],[Sunrise Time (POA&gt;20 W/m2)]])*24,"")</f>
        <v>12.250000000000002</v>
      </c>
      <c r="L899" s="2" t="s">
        <v>294</v>
      </c>
      <c r="M899" s="42">
        <f>IFERROR(VLOOKUP(TA[[#This Row],[Affected Equipment]],'Basic Data'!$I$2:$K$40,3,0),"")</f>
        <v>1.7241379310344799E-3</v>
      </c>
      <c r="N899">
        <v>-28</v>
      </c>
      <c r="O899" t="s">
        <v>133</v>
      </c>
      <c r="P899" s="127" t="s">
        <v>316</v>
      </c>
      <c r="Q899" s="126" t="s">
        <v>316</v>
      </c>
      <c r="R899">
        <v>118</v>
      </c>
      <c r="S899" s="2">
        <v>22</v>
      </c>
      <c r="T899" t="s">
        <v>295</v>
      </c>
      <c r="U899" t="s">
        <v>300</v>
      </c>
      <c r="V899" t="s">
        <v>298</v>
      </c>
      <c r="W899" s="41"/>
      <c r="X899" s="41"/>
      <c r="Y899" s="34"/>
      <c r="Z899" s="34"/>
      <c r="AA899" s="35">
        <f>IF(TA[[#This Row],[Work Start time on Fault]]="NA","",(TA[[#This Row],[Fault Acknowledgement Time ]]-TA[[#This Row],[Fault Time]])*24)</f>
        <v>0</v>
      </c>
      <c r="AB899" s="35">
        <f>(TA[[#This Row],[Work Start time on Fault]]-TA[[#This Row],[Fault Time]])*24</f>
        <v>0</v>
      </c>
      <c r="AC899" s="34">
        <f>(TA[[#This Row],[Work Completion time on fault]]-TA[[#This Row],[Fault Time]])*24</f>
        <v>0</v>
      </c>
      <c r="AD899" s="35">
        <f>IFERROR((TA[[#This Row],[Work Completion time on fault]]-TA[[#This Row],[Fault Time]])*24,"")</f>
        <v>0</v>
      </c>
      <c r="AE899" t="s">
        <v>328</v>
      </c>
      <c r="AF899" t="s">
        <v>256</v>
      </c>
      <c r="AG899" s="2"/>
      <c r="AH899" s="44">
        <f>1-COS(RADIANS(TA[[#This Row],[Avg. Target Angle during Fault Time (Radians)]]-TA[[#This Row],[Angle of affected equipment ]]))</f>
        <v>0.11705240714107301</v>
      </c>
      <c r="AI899" s="35">
        <f>IFERROR(TA[[#This Row],[Breakdown Time]]*TA[[#This Row],[Plant Equivalent Weightage]],"")</f>
        <v>0</v>
      </c>
    </row>
    <row r="900" spans="1:35">
      <c r="A900" s="2">
        <f t="shared" si="76"/>
        <v>897</v>
      </c>
      <c r="B900" s="156">
        <f t="shared" si="79"/>
        <v>2026</v>
      </c>
      <c r="C900" s="129">
        <f t="shared" si="80"/>
        <v>2025</v>
      </c>
      <c r="D900" s="2" t="s">
        <v>155</v>
      </c>
      <c r="E900" s="2" t="s">
        <v>155</v>
      </c>
      <c r="F900" s="39">
        <v>45778</v>
      </c>
      <c r="G900" s="2">
        <f>DAY(EOMONTH(TA[[#This Row],[Month Year]],0))</f>
        <v>31</v>
      </c>
      <c r="H900" s="21">
        <v>45806</v>
      </c>
      <c r="I900" s="41">
        <f>IFERROR(VLOOKUP(TA[[#This Row],[Date]],Raw_Data[[Date]:[Sunset Time (POA&lt;20 W/m2)]],3,0),"")</f>
        <v>0.2638888888888889</v>
      </c>
      <c r="J900" s="41">
        <f>IFERROR(VLOOKUP(TA[[#This Row],[Date]],Raw_Data[[Date]:[Sunset Time (POA&lt;20 W/m2)]],4,0),"")</f>
        <v>0.77430555555555558</v>
      </c>
      <c r="K900" s="35">
        <f>IFERROR((TA[[#This Row],[Sunset Time (POA&lt;20 W/m2)]]-TA[[#This Row],[Sunrise Time (POA&gt;20 W/m2)]])*24,"")</f>
        <v>12.250000000000002</v>
      </c>
      <c r="L900" s="2" t="s">
        <v>296</v>
      </c>
      <c r="M900" s="42">
        <f>IFERROR(VLOOKUP(TA[[#This Row],[Affected Equipment]],'Basic Data'!$I$2:$K$40,3,0),"")</f>
        <v>8.6206896551724102E-3</v>
      </c>
      <c r="N900">
        <v>-28</v>
      </c>
      <c r="O900" t="s">
        <v>135</v>
      </c>
      <c r="P900" s="22" t="s">
        <v>323</v>
      </c>
      <c r="Q900" s="2" t="s">
        <v>329</v>
      </c>
      <c r="R900">
        <v>45</v>
      </c>
      <c r="S900" s="2">
        <v>8</v>
      </c>
      <c r="T900" t="s">
        <v>297</v>
      </c>
      <c r="U900" t="s">
        <v>300</v>
      </c>
      <c r="V900" t="s">
        <v>301</v>
      </c>
      <c r="W900" s="41"/>
      <c r="X900" s="41"/>
      <c r="Y900" s="34"/>
      <c r="Z900" s="34"/>
      <c r="AA900" s="35">
        <f>IF(TA[[#This Row],[Work Start time on Fault]]="NA","",(TA[[#This Row],[Fault Acknowledgement Time ]]-TA[[#This Row],[Fault Time]])*24)</f>
        <v>0</v>
      </c>
      <c r="AB900" s="35">
        <f>(TA[[#This Row],[Work Start time on Fault]]-TA[[#This Row],[Fault Time]])*24</f>
        <v>0</v>
      </c>
      <c r="AC900" s="34">
        <f>(TA[[#This Row],[Work Completion time on fault]]-TA[[#This Row],[Fault Time]])*24</f>
        <v>0</v>
      </c>
      <c r="AD900" s="35">
        <f>IFERROR((TA[[#This Row],[Work Completion time on fault]]-TA[[#This Row],[Fault Time]])*24,"")</f>
        <v>0</v>
      </c>
      <c r="AE900" t="s">
        <v>328</v>
      </c>
      <c r="AF900" t="s">
        <v>256</v>
      </c>
      <c r="AG900" s="2"/>
      <c r="AH900" s="44">
        <f>1-COS(RADIANS(TA[[#This Row],[Avg. Target Angle during Fault Time (Radians)]]-TA[[#This Row],[Angle of affected equipment ]]))</f>
        <v>0.11705240714107301</v>
      </c>
      <c r="AI900" s="35">
        <f>IFERROR(TA[[#This Row],[Breakdown Time]]*TA[[#This Row],[Plant Equivalent Weightage]],"")</f>
        <v>0</v>
      </c>
    </row>
    <row r="901" spans="1:35">
      <c r="A901" s="2">
        <f t="shared" si="76"/>
        <v>898</v>
      </c>
      <c r="B901" s="156">
        <f t="shared" si="79"/>
        <v>2026</v>
      </c>
      <c r="C901" s="129">
        <f t="shared" si="80"/>
        <v>2025</v>
      </c>
      <c r="D901" s="2" t="s">
        <v>155</v>
      </c>
      <c r="E901" s="2" t="s">
        <v>155</v>
      </c>
      <c r="F901" s="39">
        <v>45778</v>
      </c>
      <c r="G901" s="2">
        <f>DAY(EOMONTH(TA[[#This Row],[Month Year]],0))</f>
        <v>31</v>
      </c>
      <c r="H901" s="21">
        <v>45806</v>
      </c>
      <c r="I901" s="41">
        <f>IFERROR(VLOOKUP(TA[[#This Row],[Date]],Raw_Data[[Date]:[Sunset Time (POA&lt;20 W/m2)]],3,0),"")</f>
        <v>0.2638888888888889</v>
      </c>
      <c r="J901" s="41">
        <f>IFERROR(VLOOKUP(TA[[#This Row],[Date]],Raw_Data[[Date]:[Sunset Time (POA&lt;20 W/m2)]],4,0),"")</f>
        <v>0.77430555555555558</v>
      </c>
      <c r="K901" s="35">
        <f>IFERROR((TA[[#This Row],[Sunset Time (POA&lt;20 W/m2)]]-TA[[#This Row],[Sunrise Time (POA&gt;20 W/m2)]])*24,"")</f>
        <v>12.250000000000002</v>
      </c>
      <c r="L901" s="2" t="s">
        <v>296</v>
      </c>
      <c r="M901" s="42">
        <f>IFERROR(VLOOKUP(TA[[#This Row],[Affected Equipment]],'Basic Data'!$I$2:$K$40,3,0),"")</f>
        <v>8.6206896551724102E-3</v>
      </c>
      <c r="N901">
        <v>-28</v>
      </c>
      <c r="O901" t="s">
        <v>135</v>
      </c>
      <c r="P901" s="22" t="s">
        <v>323</v>
      </c>
      <c r="Q901" s="2" t="s">
        <v>329</v>
      </c>
      <c r="R901">
        <v>47</v>
      </c>
      <c r="S901" s="2">
        <v>18</v>
      </c>
      <c r="T901" t="s">
        <v>297</v>
      </c>
      <c r="U901" t="s">
        <v>300</v>
      </c>
      <c r="V901" t="s">
        <v>301</v>
      </c>
      <c r="W901" s="41"/>
      <c r="X901" s="41"/>
      <c r="Y901" s="34"/>
      <c r="Z901" s="34"/>
      <c r="AA901" s="35">
        <f>IF(TA[[#This Row],[Work Start time on Fault]]="NA","",(TA[[#This Row],[Fault Acknowledgement Time ]]-TA[[#This Row],[Fault Time]])*24)</f>
        <v>0</v>
      </c>
      <c r="AB901" s="35">
        <f>(TA[[#This Row],[Work Start time on Fault]]-TA[[#This Row],[Fault Time]])*24</f>
        <v>0</v>
      </c>
      <c r="AC901" s="34">
        <f>(TA[[#This Row],[Work Completion time on fault]]-TA[[#This Row],[Fault Time]])*24</f>
        <v>0</v>
      </c>
      <c r="AD901" s="35">
        <f>IFERROR((TA[[#This Row],[Work Completion time on fault]]-TA[[#This Row],[Fault Time]])*24,"")</f>
        <v>0</v>
      </c>
      <c r="AE901" t="s">
        <v>328</v>
      </c>
      <c r="AF901" t="s">
        <v>256</v>
      </c>
      <c r="AG901" s="2"/>
      <c r="AH901" s="44">
        <f>1-COS(RADIANS(TA[[#This Row],[Avg. Target Angle during Fault Time (Radians)]]-TA[[#This Row],[Angle of affected equipment ]]))</f>
        <v>0.11705240714107301</v>
      </c>
      <c r="AI901" s="35">
        <f>IFERROR(TA[[#This Row],[Breakdown Time]]*TA[[#This Row],[Plant Equivalent Weightage]],"")</f>
        <v>0</v>
      </c>
    </row>
    <row r="902" spans="1:35">
      <c r="A902" s="2">
        <f t="shared" si="76"/>
        <v>899</v>
      </c>
      <c r="B902" s="156">
        <f t="shared" si="79"/>
        <v>2026</v>
      </c>
      <c r="C902" s="129">
        <f t="shared" si="80"/>
        <v>2025</v>
      </c>
      <c r="D902" s="2" t="s">
        <v>155</v>
      </c>
      <c r="E902" s="2" t="s">
        <v>155</v>
      </c>
      <c r="F902" s="39">
        <v>45778</v>
      </c>
      <c r="G902" s="2">
        <f>DAY(EOMONTH(TA[[#This Row],[Month Year]],0))</f>
        <v>31</v>
      </c>
      <c r="H902" s="21">
        <v>45806</v>
      </c>
      <c r="I902" s="41">
        <f>IFERROR(VLOOKUP(TA[[#This Row],[Date]],Raw_Data[[Date]:[Sunset Time (POA&lt;20 W/m2)]],3,0),"")</f>
        <v>0.2638888888888889</v>
      </c>
      <c r="J902" s="41">
        <f>IFERROR(VLOOKUP(TA[[#This Row],[Date]],Raw_Data[[Date]:[Sunset Time (POA&lt;20 W/m2)]],4,0),"")</f>
        <v>0.77430555555555558</v>
      </c>
      <c r="K902" s="35">
        <f>IFERROR((TA[[#This Row],[Sunset Time (POA&lt;20 W/m2)]]-TA[[#This Row],[Sunrise Time (POA&gt;20 W/m2)]])*24,"")</f>
        <v>12.250000000000002</v>
      </c>
      <c r="L902" s="2" t="s">
        <v>296</v>
      </c>
      <c r="M902" s="42">
        <f>IFERROR(VLOOKUP(TA[[#This Row],[Affected Equipment]],'Basic Data'!$I$2:$K$40,3,0),"")</f>
        <v>8.6206896551724102E-3</v>
      </c>
      <c r="N902">
        <v>-28</v>
      </c>
      <c r="O902" t="s">
        <v>134</v>
      </c>
      <c r="P902" s="22" t="s">
        <v>330</v>
      </c>
      <c r="Q902" s="2" t="s">
        <v>323</v>
      </c>
      <c r="R902">
        <v>30</v>
      </c>
      <c r="S902" s="2">
        <v>57</v>
      </c>
      <c r="T902" t="s">
        <v>297</v>
      </c>
      <c r="U902" t="s">
        <v>300</v>
      </c>
      <c r="V902" t="s">
        <v>301</v>
      </c>
      <c r="W902" s="41"/>
      <c r="X902" s="41"/>
      <c r="Y902" s="34"/>
      <c r="Z902" s="34"/>
      <c r="AA902" s="35">
        <f>IF(TA[[#This Row],[Work Start time on Fault]]="NA","",(TA[[#This Row],[Fault Acknowledgement Time ]]-TA[[#This Row],[Fault Time]])*24)</f>
        <v>0</v>
      </c>
      <c r="AB902" s="35">
        <f>(TA[[#This Row],[Work Start time on Fault]]-TA[[#This Row],[Fault Time]])*24</f>
        <v>0</v>
      </c>
      <c r="AC902" s="34">
        <f>(TA[[#This Row],[Work Completion time on fault]]-TA[[#This Row],[Fault Time]])*24</f>
        <v>0</v>
      </c>
      <c r="AD902" s="35">
        <f>IFERROR((TA[[#This Row],[Work Completion time on fault]]-TA[[#This Row],[Fault Time]])*24,"")</f>
        <v>0</v>
      </c>
      <c r="AE902" t="s">
        <v>328</v>
      </c>
      <c r="AF902" t="s">
        <v>256</v>
      </c>
      <c r="AG902" s="2"/>
      <c r="AH902" s="44">
        <f>1-COS(RADIANS(TA[[#This Row],[Avg. Target Angle during Fault Time (Radians)]]-TA[[#This Row],[Angle of affected equipment ]]))</f>
        <v>0.11705240714107301</v>
      </c>
      <c r="AI902" s="35">
        <f>IFERROR(TA[[#This Row],[Breakdown Time]]*TA[[#This Row],[Plant Equivalent Weightage]],"")</f>
        <v>0</v>
      </c>
    </row>
    <row r="903" spans="1:35">
      <c r="A903" s="2">
        <f t="shared" si="76"/>
        <v>900</v>
      </c>
      <c r="B903" s="156">
        <f t="shared" si="79"/>
        <v>2026</v>
      </c>
      <c r="C903" s="129">
        <f t="shared" si="80"/>
        <v>2025</v>
      </c>
      <c r="D903" s="2" t="s">
        <v>155</v>
      </c>
      <c r="E903" s="2" t="s">
        <v>155</v>
      </c>
      <c r="F903" s="39">
        <v>45778</v>
      </c>
      <c r="G903" s="2">
        <f>DAY(EOMONTH(TA[[#This Row],[Month Year]],0))</f>
        <v>31</v>
      </c>
      <c r="H903" s="21">
        <v>45806</v>
      </c>
      <c r="I903" s="41">
        <f>IFERROR(VLOOKUP(TA[[#This Row],[Date]],Raw_Data[[Date]:[Sunset Time (POA&lt;20 W/m2)]],3,0),"")</f>
        <v>0.2638888888888889</v>
      </c>
      <c r="J903" s="41">
        <f>IFERROR(VLOOKUP(TA[[#This Row],[Date]],Raw_Data[[Date]:[Sunset Time (POA&lt;20 W/m2)]],4,0),"")</f>
        <v>0.77430555555555558</v>
      </c>
      <c r="K903" s="35">
        <f>IFERROR((TA[[#This Row],[Sunset Time (POA&lt;20 W/m2)]]-TA[[#This Row],[Sunrise Time (POA&gt;20 W/m2)]])*24,"")</f>
        <v>12.250000000000002</v>
      </c>
      <c r="L903" s="2" t="s">
        <v>296</v>
      </c>
      <c r="M903" s="42">
        <f>IFERROR(VLOOKUP(TA[[#This Row],[Affected Equipment]],'Basic Data'!$I$2:$K$40,3,0),"")</f>
        <v>8.6206896551724102E-3</v>
      </c>
      <c r="N903">
        <v>-28</v>
      </c>
      <c r="O903" t="s">
        <v>134</v>
      </c>
      <c r="P903" s="22" t="s">
        <v>330</v>
      </c>
      <c r="Q903" s="2" t="s">
        <v>323</v>
      </c>
      <c r="R903">
        <v>31</v>
      </c>
      <c r="S903" s="2">
        <v>61</v>
      </c>
      <c r="T903" t="s">
        <v>297</v>
      </c>
      <c r="U903" t="s">
        <v>300</v>
      </c>
      <c r="V903" t="s">
        <v>301</v>
      </c>
      <c r="W903" s="41"/>
      <c r="X903" s="41"/>
      <c r="Y903" s="34"/>
      <c r="Z903" s="34"/>
      <c r="AA903" s="35">
        <f>IF(TA[[#This Row],[Work Start time on Fault]]="NA","",(TA[[#This Row],[Fault Acknowledgement Time ]]-TA[[#This Row],[Fault Time]])*24)</f>
        <v>0</v>
      </c>
      <c r="AB903" s="35">
        <f>(TA[[#This Row],[Work Start time on Fault]]-TA[[#This Row],[Fault Time]])*24</f>
        <v>0</v>
      </c>
      <c r="AC903" s="34">
        <f>(TA[[#This Row],[Work Completion time on fault]]-TA[[#This Row],[Fault Time]])*24</f>
        <v>0</v>
      </c>
      <c r="AD903" s="35">
        <f>IFERROR((TA[[#This Row],[Work Completion time on fault]]-TA[[#This Row],[Fault Time]])*24,"")</f>
        <v>0</v>
      </c>
      <c r="AE903" t="s">
        <v>328</v>
      </c>
      <c r="AF903" t="s">
        <v>256</v>
      </c>
      <c r="AG903" s="2"/>
      <c r="AH903" s="44">
        <f>1-COS(RADIANS(TA[[#This Row],[Avg. Target Angle during Fault Time (Radians)]]-TA[[#This Row],[Angle of affected equipment ]]))</f>
        <v>0.11705240714107301</v>
      </c>
      <c r="AI903" s="35">
        <f>IFERROR(TA[[#This Row],[Breakdown Time]]*TA[[#This Row],[Plant Equivalent Weightage]],"")</f>
        <v>0</v>
      </c>
    </row>
    <row r="904" spans="1:35">
      <c r="A904" s="2">
        <f t="shared" si="76"/>
        <v>901</v>
      </c>
      <c r="B904" s="156">
        <f t="shared" si="79"/>
        <v>2026</v>
      </c>
      <c r="C904" s="129">
        <f t="shared" si="80"/>
        <v>2025</v>
      </c>
      <c r="D904" s="2" t="s">
        <v>155</v>
      </c>
      <c r="E904" s="2" t="s">
        <v>155</v>
      </c>
      <c r="F904" s="39">
        <v>45778</v>
      </c>
      <c r="G904" s="2">
        <f>DAY(EOMONTH(TA[[#This Row],[Month Year]],0))</f>
        <v>31</v>
      </c>
      <c r="H904" s="21">
        <v>45806</v>
      </c>
      <c r="I904" s="41">
        <f>IFERROR(VLOOKUP(TA[[#This Row],[Date]],Raw_Data[[Date]:[Sunset Time (POA&lt;20 W/m2)]],3,0),"")</f>
        <v>0.2638888888888889</v>
      </c>
      <c r="J904" s="41">
        <f>IFERROR(VLOOKUP(TA[[#This Row],[Date]],Raw_Data[[Date]:[Sunset Time (POA&lt;20 W/m2)]],4,0),"")</f>
        <v>0.77430555555555558</v>
      </c>
      <c r="K904" s="35">
        <f>IFERROR((TA[[#This Row],[Sunset Time (POA&lt;20 W/m2)]]-TA[[#This Row],[Sunrise Time (POA&gt;20 W/m2)]])*24,"")</f>
        <v>12.250000000000002</v>
      </c>
      <c r="L904" s="2" t="s">
        <v>312</v>
      </c>
      <c r="M904" s="42">
        <f>IFERROR(VLOOKUP(TA[[#This Row],[Affected Equipment]],'Basic Data'!$I$2:$K$40,3,0),"")</f>
        <v>5.74712643678161E-3</v>
      </c>
      <c r="N904">
        <v>-28</v>
      </c>
      <c r="O904" t="s">
        <v>133</v>
      </c>
      <c r="P904" s="22" t="s">
        <v>330</v>
      </c>
      <c r="Q904" s="2" t="s">
        <v>323</v>
      </c>
      <c r="R904">
        <v>26</v>
      </c>
      <c r="S904" s="2">
        <v>37</v>
      </c>
      <c r="T904" t="s">
        <v>297</v>
      </c>
      <c r="U904" t="s">
        <v>300</v>
      </c>
      <c r="V904" t="s">
        <v>301</v>
      </c>
      <c r="W904" s="41"/>
      <c r="X904" s="41"/>
      <c r="Y904" s="34"/>
      <c r="Z904" s="34"/>
      <c r="AA904" s="35">
        <f>IF(TA[[#This Row],[Work Start time on Fault]]="NA","",(TA[[#This Row],[Fault Acknowledgement Time ]]-TA[[#This Row],[Fault Time]])*24)</f>
        <v>0</v>
      </c>
      <c r="AB904" s="35">
        <f>(TA[[#This Row],[Work Start time on Fault]]-TA[[#This Row],[Fault Time]])*24</f>
        <v>0</v>
      </c>
      <c r="AC904" s="34">
        <f>(TA[[#This Row],[Work Completion time on fault]]-TA[[#This Row],[Fault Time]])*24</f>
        <v>0</v>
      </c>
      <c r="AD904" s="35">
        <f>IFERROR((TA[[#This Row],[Work Completion time on fault]]-TA[[#This Row],[Fault Time]])*24,"")</f>
        <v>0</v>
      </c>
      <c r="AE904" t="s">
        <v>328</v>
      </c>
      <c r="AF904" t="s">
        <v>256</v>
      </c>
      <c r="AG904" s="2"/>
      <c r="AH904" s="44">
        <f>1-COS(RADIANS(TA[[#This Row],[Avg. Target Angle during Fault Time (Radians)]]-TA[[#This Row],[Angle of affected equipment ]]))</f>
        <v>0.11705240714107301</v>
      </c>
      <c r="AI904" s="35">
        <f>IFERROR(TA[[#This Row],[Breakdown Time]]*TA[[#This Row],[Plant Equivalent Weightage]],"")</f>
        <v>0</v>
      </c>
    </row>
    <row r="905" spans="1:35">
      <c r="A905" s="2">
        <f t="shared" si="76"/>
        <v>902</v>
      </c>
      <c r="B905" s="156">
        <f t="shared" si="79"/>
        <v>2026</v>
      </c>
      <c r="C905" s="129">
        <f t="shared" si="80"/>
        <v>2025</v>
      </c>
      <c r="D905" s="2" t="s">
        <v>155</v>
      </c>
      <c r="E905" s="2" t="s">
        <v>155</v>
      </c>
      <c r="F905" s="39">
        <v>45778</v>
      </c>
      <c r="G905" s="2">
        <f>DAY(EOMONTH(TA[[#This Row],[Month Year]],0))</f>
        <v>31</v>
      </c>
      <c r="H905" s="21">
        <v>45806</v>
      </c>
      <c r="I905" s="41">
        <f>IFERROR(VLOOKUP(TA[[#This Row],[Date]],Raw_Data[[Date]:[Sunset Time (POA&lt;20 W/m2)]],3,0),"")</f>
        <v>0.2638888888888889</v>
      </c>
      <c r="J905" s="41">
        <f>IFERROR(VLOOKUP(TA[[#This Row],[Date]],Raw_Data[[Date]:[Sunset Time (POA&lt;20 W/m2)]],4,0),"")</f>
        <v>0.77430555555555558</v>
      </c>
      <c r="K905" s="35">
        <f>IFERROR((TA[[#This Row],[Sunset Time (POA&lt;20 W/m2)]]-TA[[#This Row],[Sunrise Time (POA&gt;20 W/m2)]])*24,"")</f>
        <v>12.250000000000002</v>
      </c>
      <c r="L905" s="2" t="s">
        <v>312</v>
      </c>
      <c r="M905" s="42">
        <f>IFERROR(VLOOKUP(TA[[#This Row],[Affected Equipment]],'Basic Data'!$I$2:$K$40,3,0),"")</f>
        <v>5.74712643678161E-3</v>
      </c>
      <c r="N905">
        <v>-28</v>
      </c>
      <c r="O905" t="s">
        <v>133</v>
      </c>
      <c r="P905" s="22" t="s">
        <v>330</v>
      </c>
      <c r="Q905" s="2" t="s">
        <v>323</v>
      </c>
      <c r="R905">
        <v>27</v>
      </c>
      <c r="S905" s="2">
        <v>42</v>
      </c>
      <c r="T905" t="s">
        <v>297</v>
      </c>
      <c r="U905" t="s">
        <v>300</v>
      </c>
      <c r="V905" t="s">
        <v>301</v>
      </c>
      <c r="W905" s="41">
        <f>IFERROR(VLOOKUP(TA[[#This Row],[Date]],Raw_Data[[Date]:[Sunset Time (POA&lt;20 W/m2)]],3,0),"")</f>
        <v>0.2638888888888889</v>
      </c>
      <c r="X905" s="41">
        <f>IFERROR(VLOOKUP(TA[[#This Row],[Date]],Raw_Data[[Date]:[Sunset Time (POA&lt;20 W/m2)]],3,0),"")</f>
        <v>0.2638888888888889</v>
      </c>
      <c r="Y905" s="34"/>
      <c r="Z905" s="34">
        <v>0.76041666666666663</v>
      </c>
      <c r="AA905" s="35">
        <f>IF(TA[[#This Row],[Work Start time on Fault]]="NA","",(TA[[#This Row],[Fault Acknowledgement Time ]]-TA[[#This Row],[Fault Time]])*24)</f>
        <v>0</v>
      </c>
      <c r="AB905" s="35">
        <f>(TA[[#This Row],[Work Start time on Fault]]-TA[[#This Row],[Fault Time]])*24</f>
        <v>-6.3333333333333339</v>
      </c>
      <c r="AC905" s="34">
        <f>(TA[[#This Row],[Work Completion time on fault]]-TA[[#This Row],[Fault Time]])*24</f>
        <v>11.916666666666666</v>
      </c>
      <c r="AD905" s="35">
        <f>IFERROR((TA[[#This Row],[Work Completion time on fault]]-TA[[#This Row],[Fault Time]])*24,"")</f>
        <v>11.916666666666666</v>
      </c>
      <c r="AE905" t="s">
        <v>309</v>
      </c>
      <c r="AF905" t="s">
        <v>256</v>
      </c>
      <c r="AG905" s="2"/>
      <c r="AH905" s="44">
        <f>1-COS(RADIANS(TA[[#This Row],[Avg. Target Angle during Fault Time (Radians)]]-TA[[#This Row],[Angle of affected equipment ]]))</f>
        <v>0.11705240714107301</v>
      </c>
      <c r="AI905" s="35">
        <f>IFERROR(TA[[#This Row],[Breakdown Time]]*TA[[#This Row],[Plant Equivalent Weightage]],"")</f>
        <v>6.8486590038314185E-2</v>
      </c>
    </row>
    <row r="906" spans="1:35">
      <c r="A906" s="2">
        <f t="shared" si="76"/>
        <v>903</v>
      </c>
      <c r="B906" s="156">
        <f t="shared" ref="B906:B918" si="81">YEAR(H906)+IF(MONTH(H906)&gt;=4,1,0)</f>
        <v>2026</v>
      </c>
      <c r="C906" s="129">
        <f t="shared" ref="C906:C918" si="82">YEAR(H906)</f>
        <v>2025</v>
      </c>
      <c r="D906" s="2" t="s">
        <v>155</v>
      </c>
      <c r="E906" s="2" t="s">
        <v>155</v>
      </c>
      <c r="F906" s="39">
        <v>45778</v>
      </c>
      <c r="G906" s="2">
        <f>DAY(EOMONTH(TA[[#This Row],[Month Year]],0))</f>
        <v>31</v>
      </c>
      <c r="H906" s="21">
        <v>45807</v>
      </c>
      <c r="I906" s="41">
        <f>IFERROR(VLOOKUP(TA[[#This Row],[Date]],Raw_Data[[Date]:[Sunset Time (POA&lt;20 W/m2)]],3,0),"")</f>
        <v>0.25833333333333336</v>
      </c>
      <c r="J906" s="41">
        <f>IFERROR(VLOOKUP(TA[[#This Row],[Date]],Raw_Data[[Date]:[Sunset Time (POA&lt;20 W/m2)]],4,0),"")</f>
        <v>0.77638888888888891</v>
      </c>
      <c r="K906" s="35">
        <f>IFERROR((TA[[#This Row],[Sunset Time (POA&lt;20 W/m2)]]-TA[[#This Row],[Sunrise Time (POA&gt;20 W/m2)]])*24,"")</f>
        <v>12.433333333333332</v>
      </c>
      <c r="L906" s="2" t="s">
        <v>294</v>
      </c>
      <c r="M906" s="42">
        <f>IFERROR(VLOOKUP(TA[[#This Row],[Affected Equipment]],'Basic Data'!$I$2:$K$40,3,0),"")</f>
        <v>1.7241379310344799E-3</v>
      </c>
      <c r="N906">
        <v>-28</v>
      </c>
      <c r="O906" t="s">
        <v>135</v>
      </c>
      <c r="P906" s="127" t="s">
        <v>318</v>
      </c>
      <c r="Q906" s="126" t="s">
        <v>318</v>
      </c>
      <c r="R906">
        <v>131</v>
      </c>
      <c r="S906" s="2">
        <v>38</v>
      </c>
      <c r="T906" t="s">
        <v>295</v>
      </c>
      <c r="U906" t="s">
        <v>300</v>
      </c>
      <c r="V906" t="s">
        <v>298</v>
      </c>
      <c r="W906" s="41"/>
      <c r="X906" s="41"/>
      <c r="Y906" s="34"/>
      <c r="Z906" s="34"/>
      <c r="AA906" s="35">
        <f>IF(TA[[#This Row],[Work Start time on Fault]]="NA","",(TA[[#This Row],[Fault Acknowledgement Time ]]-TA[[#This Row],[Fault Time]])*24)</f>
        <v>0</v>
      </c>
      <c r="AB906" s="35">
        <f>(TA[[#This Row],[Work Start time on Fault]]-TA[[#This Row],[Fault Time]])*24</f>
        <v>0</v>
      </c>
      <c r="AC906" s="34">
        <f>(TA[[#This Row],[Work Completion time on fault]]-TA[[#This Row],[Fault Time]])*24</f>
        <v>0</v>
      </c>
      <c r="AD906" s="35">
        <f>IFERROR((TA[[#This Row],[Work Completion time on fault]]-TA[[#This Row],[Fault Time]])*24,"")</f>
        <v>0</v>
      </c>
      <c r="AE906" t="s">
        <v>328</v>
      </c>
      <c r="AF906" t="s">
        <v>256</v>
      </c>
      <c r="AG906" s="2"/>
      <c r="AH906" s="44">
        <f>1-COS(RADIANS(TA[[#This Row],[Avg. Target Angle during Fault Time (Radians)]]-TA[[#This Row],[Angle of affected equipment ]]))</f>
        <v>0.11705240714107301</v>
      </c>
      <c r="AI906" s="35">
        <f>IFERROR(TA[[#This Row],[Breakdown Time]]*TA[[#This Row],[Plant Equivalent Weightage]],"")</f>
        <v>0</v>
      </c>
    </row>
    <row r="907" spans="1:35">
      <c r="A907" s="2">
        <f t="shared" si="76"/>
        <v>904</v>
      </c>
      <c r="B907" s="156">
        <f t="shared" si="81"/>
        <v>2026</v>
      </c>
      <c r="C907" s="129">
        <f t="shared" si="82"/>
        <v>2025</v>
      </c>
      <c r="D907" s="2" t="s">
        <v>155</v>
      </c>
      <c r="E907" s="2" t="s">
        <v>155</v>
      </c>
      <c r="F907" s="39">
        <v>45778</v>
      </c>
      <c r="G907" s="2">
        <f>DAY(EOMONTH(TA[[#This Row],[Month Year]],0))</f>
        <v>31</v>
      </c>
      <c r="H907" s="21">
        <v>45807</v>
      </c>
      <c r="I907" s="41">
        <f>IFERROR(VLOOKUP(TA[[#This Row],[Date]],Raw_Data[[Date]:[Sunset Time (POA&lt;20 W/m2)]],3,0),"")</f>
        <v>0.25833333333333336</v>
      </c>
      <c r="J907" s="41">
        <f>IFERROR(VLOOKUP(TA[[#This Row],[Date]],Raw_Data[[Date]:[Sunset Time (POA&lt;20 W/m2)]],4,0),"")</f>
        <v>0.77638888888888891</v>
      </c>
      <c r="K907" s="35">
        <f>IFERROR((TA[[#This Row],[Sunset Time (POA&lt;20 W/m2)]]-TA[[#This Row],[Sunrise Time (POA&gt;20 W/m2)]])*24,"")</f>
        <v>12.433333333333332</v>
      </c>
      <c r="L907" s="2" t="s">
        <v>294</v>
      </c>
      <c r="M907" s="42">
        <f>IFERROR(VLOOKUP(TA[[#This Row],[Affected Equipment]],'Basic Data'!$I$2:$K$40,3,0),"")</f>
        <v>1.7241379310344799E-3</v>
      </c>
      <c r="N907">
        <v>-28</v>
      </c>
      <c r="O907" t="s">
        <v>135</v>
      </c>
      <c r="P907" s="127" t="s">
        <v>318</v>
      </c>
      <c r="Q907" s="126" t="s">
        <v>318</v>
      </c>
      <c r="R907">
        <v>131</v>
      </c>
      <c r="S907" s="2">
        <v>39</v>
      </c>
      <c r="T907" t="s">
        <v>295</v>
      </c>
      <c r="U907" t="s">
        <v>300</v>
      </c>
      <c r="V907" t="s">
        <v>298</v>
      </c>
      <c r="W907" s="41"/>
      <c r="X907" s="41"/>
      <c r="Y907" s="34"/>
      <c r="Z907" s="34"/>
      <c r="AA907" s="35">
        <f>IF(TA[[#This Row],[Work Start time on Fault]]="NA","",(TA[[#This Row],[Fault Acknowledgement Time ]]-TA[[#This Row],[Fault Time]])*24)</f>
        <v>0</v>
      </c>
      <c r="AB907" s="35">
        <f>(TA[[#This Row],[Work Start time on Fault]]-TA[[#This Row],[Fault Time]])*24</f>
        <v>0</v>
      </c>
      <c r="AC907" s="34">
        <f>(TA[[#This Row],[Work Completion time on fault]]-TA[[#This Row],[Fault Time]])*24</f>
        <v>0</v>
      </c>
      <c r="AD907" s="35">
        <f>IFERROR((TA[[#This Row],[Work Completion time on fault]]-TA[[#This Row],[Fault Time]])*24,"")</f>
        <v>0</v>
      </c>
      <c r="AE907" t="s">
        <v>328</v>
      </c>
      <c r="AF907" t="s">
        <v>256</v>
      </c>
      <c r="AG907" s="2"/>
      <c r="AH907" s="44">
        <f>1-COS(RADIANS(TA[[#This Row],[Avg. Target Angle during Fault Time (Radians)]]-TA[[#This Row],[Angle of affected equipment ]]))</f>
        <v>0.11705240714107301</v>
      </c>
      <c r="AI907" s="35">
        <f>IFERROR(TA[[#This Row],[Breakdown Time]]*TA[[#This Row],[Plant Equivalent Weightage]],"")</f>
        <v>0</v>
      </c>
    </row>
    <row r="908" spans="1:35">
      <c r="A908" s="2">
        <f t="shared" si="76"/>
        <v>905</v>
      </c>
      <c r="B908" s="156">
        <f t="shared" si="81"/>
        <v>2026</v>
      </c>
      <c r="C908" s="129">
        <f t="shared" si="82"/>
        <v>2025</v>
      </c>
      <c r="D908" s="2" t="s">
        <v>155</v>
      </c>
      <c r="E908" s="2" t="s">
        <v>155</v>
      </c>
      <c r="F908" s="39">
        <v>45778</v>
      </c>
      <c r="G908" s="2">
        <f>DAY(EOMONTH(TA[[#This Row],[Month Year]],0))</f>
        <v>31</v>
      </c>
      <c r="H908" s="21">
        <v>45807</v>
      </c>
      <c r="I908" s="41">
        <f>IFERROR(VLOOKUP(TA[[#This Row],[Date]],Raw_Data[[Date]:[Sunset Time (POA&lt;20 W/m2)]],3,0),"")</f>
        <v>0.25833333333333336</v>
      </c>
      <c r="J908" s="41">
        <f>IFERROR(VLOOKUP(TA[[#This Row],[Date]],Raw_Data[[Date]:[Sunset Time (POA&lt;20 W/m2)]],4,0),"")</f>
        <v>0.77638888888888891</v>
      </c>
      <c r="K908" s="35">
        <f>IFERROR((TA[[#This Row],[Sunset Time (POA&lt;20 W/m2)]]-TA[[#This Row],[Sunrise Time (POA&gt;20 W/m2)]])*24,"")</f>
        <v>12.433333333333332</v>
      </c>
      <c r="L908" s="2" t="s">
        <v>296</v>
      </c>
      <c r="M908" s="42">
        <f>IFERROR(VLOOKUP(TA[[#This Row],[Affected Equipment]],'Basic Data'!$I$2:$K$40,3,0),"")</f>
        <v>8.6206896551724102E-3</v>
      </c>
      <c r="N908">
        <v>-28</v>
      </c>
      <c r="O908" t="s">
        <v>135</v>
      </c>
      <c r="P908" s="127" t="s">
        <v>318</v>
      </c>
      <c r="Q908" s="2" t="s">
        <v>321</v>
      </c>
      <c r="R908">
        <v>133</v>
      </c>
      <c r="S908" s="2">
        <v>26</v>
      </c>
      <c r="T908" t="s">
        <v>297</v>
      </c>
      <c r="U908" t="s">
        <v>300</v>
      </c>
      <c r="V908" t="s">
        <v>314</v>
      </c>
      <c r="W908" s="41">
        <f>IFERROR(VLOOKUP(TA[[#This Row],[Date]],Raw_Data[[Date]:[Sunset Time (POA&lt;20 W/m2)]],3,0),"")</f>
        <v>0.25833333333333336</v>
      </c>
      <c r="X908" s="41">
        <f>IFERROR(VLOOKUP(TA[[#This Row],[Date]],Raw_Data[[Date]:[Sunset Time (POA&lt;20 W/m2)]],3,0),"")</f>
        <v>0.25833333333333336</v>
      </c>
      <c r="Y908" s="34"/>
      <c r="Z908" s="34">
        <v>0.76041666666666663</v>
      </c>
      <c r="AA908" s="35">
        <f>IF(TA[[#This Row],[Work Start time on Fault]]="NA","",(TA[[#This Row],[Fault Acknowledgement Time ]]-TA[[#This Row],[Fault Time]])*24)</f>
        <v>0</v>
      </c>
      <c r="AB908" s="35">
        <f>(TA[[#This Row],[Work Start time on Fault]]-TA[[#This Row],[Fault Time]])*24</f>
        <v>-6.2000000000000011</v>
      </c>
      <c r="AC908" s="34">
        <f>(TA[[#This Row],[Work Completion time on fault]]-TA[[#This Row],[Fault Time]])*24</f>
        <v>12.049999999999997</v>
      </c>
      <c r="AD908" s="35">
        <f>IFERROR((TA[[#This Row],[Work Completion time on fault]]-TA[[#This Row],[Fault Time]])*24,"")</f>
        <v>12.049999999999997</v>
      </c>
      <c r="AE908" t="s">
        <v>328</v>
      </c>
      <c r="AF908" t="s">
        <v>256</v>
      </c>
      <c r="AG908" s="2"/>
      <c r="AH908" s="44">
        <f>1-COS(RADIANS(TA[[#This Row],[Avg. Target Angle during Fault Time (Radians)]]-TA[[#This Row],[Angle of affected equipment ]]))</f>
        <v>0.11705240714107301</v>
      </c>
      <c r="AI908" s="35">
        <f>IFERROR(TA[[#This Row],[Breakdown Time]]*TA[[#This Row],[Plant Equivalent Weightage]],"")</f>
        <v>0.10387931034482752</v>
      </c>
    </row>
    <row r="909" spans="1:35">
      <c r="A909" s="2">
        <f t="shared" si="76"/>
        <v>906</v>
      </c>
      <c r="B909" s="156">
        <f t="shared" si="81"/>
        <v>2026</v>
      </c>
      <c r="C909" s="129">
        <f t="shared" si="82"/>
        <v>2025</v>
      </c>
      <c r="D909" s="2" t="s">
        <v>155</v>
      </c>
      <c r="E909" s="2" t="s">
        <v>155</v>
      </c>
      <c r="F909" s="39">
        <v>45778</v>
      </c>
      <c r="G909" s="2">
        <f>DAY(EOMONTH(TA[[#This Row],[Month Year]],0))</f>
        <v>31</v>
      </c>
      <c r="H909" s="21">
        <v>45807</v>
      </c>
      <c r="I909" s="41">
        <f>IFERROR(VLOOKUP(TA[[#This Row],[Date]],Raw_Data[[Date]:[Sunset Time (POA&lt;20 W/m2)]],3,0),"")</f>
        <v>0.25833333333333336</v>
      </c>
      <c r="J909" s="41">
        <f>IFERROR(VLOOKUP(TA[[#This Row],[Date]],Raw_Data[[Date]:[Sunset Time (POA&lt;20 W/m2)]],4,0),"")</f>
        <v>0.77638888888888891</v>
      </c>
      <c r="K909" s="35">
        <f>IFERROR((TA[[#This Row],[Sunset Time (POA&lt;20 W/m2)]]-TA[[#This Row],[Sunrise Time (POA&gt;20 W/m2)]])*24,"")</f>
        <v>12.433333333333332</v>
      </c>
      <c r="L909" s="2" t="s">
        <v>294</v>
      </c>
      <c r="M909" s="42">
        <f>IFERROR(VLOOKUP(TA[[#This Row],[Affected Equipment]],'Basic Data'!$I$2:$K$40,3,0),"")</f>
        <v>1.7241379310344799E-3</v>
      </c>
      <c r="N909">
        <v>-28</v>
      </c>
      <c r="O909" t="s">
        <v>133</v>
      </c>
      <c r="P909" s="127" t="s">
        <v>316</v>
      </c>
      <c r="Q909" s="126" t="s">
        <v>317</v>
      </c>
      <c r="R909">
        <v>7</v>
      </c>
      <c r="S909" s="2">
        <v>32</v>
      </c>
      <c r="T909" t="s">
        <v>295</v>
      </c>
      <c r="U909" t="s">
        <v>300</v>
      </c>
      <c r="V909" t="s">
        <v>298</v>
      </c>
      <c r="W909" s="41"/>
      <c r="X909" s="41"/>
      <c r="Y909" s="34"/>
      <c r="Z909" s="34"/>
      <c r="AA909" s="35">
        <f>IF(TA[[#This Row],[Work Start time on Fault]]="NA","",(TA[[#This Row],[Fault Acknowledgement Time ]]-TA[[#This Row],[Fault Time]])*24)</f>
        <v>0</v>
      </c>
      <c r="AB909" s="35">
        <f>(TA[[#This Row],[Work Start time on Fault]]-TA[[#This Row],[Fault Time]])*24</f>
        <v>0</v>
      </c>
      <c r="AC909" s="34">
        <f>(TA[[#This Row],[Work Completion time on fault]]-TA[[#This Row],[Fault Time]])*24</f>
        <v>0</v>
      </c>
      <c r="AD909" s="35">
        <f>IFERROR((TA[[#This Row],[Work Completion time on fault]]-TA[[#This Row],[Fault Time]])*24,"")</f>
        <v>0</v>
      </c>
      <c r="AE909" t="s">
        <v>328</v>
      </c>
      <c r="AF909" t="s">
        <v>256</v>
      </c>
      <c r="AG909" s="2"/>
      <c r="AH909" s="44">
        <f>1-COS(RADIANS(TA[[#This Row],[Avg. Target Angle during Fault Time (Radians)]]-TA[[#This Row],[Angle of affected equipment ]]))</f>
        <v>0.11705240714107301</v>
      </c>
      <c r="AI909" s="35">
        <f>IFERROR(TA[[#This Row],[Breakdown Time]]*TA[[#This Row],[Plant Equivalent Weightage]],"")</f>
        <v>0</v>
      </c>
    </row>
    <row r="910" spans="1:35">
      <c r="A910" s="2">
        <f t="shared" si="76"/>
        <v>907</v>
      </c>
      <c r="B910" s="156">
        <f t="shared" si="81"/>
        <v>2026</v>
      </c>
      <c r="C910" s="129">
        <f t="shared" si="82"/>
        <v>2025</v>
      </c>
      <c r="D910" s="2" t="s">
        <v>155</v>
      </c>
      <c r="E910" s="2" t="s">
        <v>155</v>
      </c>
      <c r="F910" s="39">
        <v>45778</v>
      </c>
      <c r="G910" s="2">
        <f>DAY(EOMONTH(TA[[#This Row],[Month Year]],0))</f>
        <v>31</v>
      </c>
      <c r="H910" s="21">
        <v>45807</v>
      </c>
      <c r="I910" s="41">
        <f>IFERROR(VLOOKUP(TA[[#This Row],[Date]],Raw_Data[[Date]:[Sunset Time (POA&lt;20 W/m2)]],3,0),"")</f>
        <v>0.25833333333333336</v>
      </c>
      <c r="J910" s="41">
        <f>IFERROR(VLOOKUP(TA[[#This Row],[Date]],Raw_Data[[Date]:[Sunset Time (POA&lt;20 W/m2)]],4,0),"")</f>
        <v>0.77638888888888891</v>
      </c>
      <c r="K910" s="35">
        <f>IFERROR((TA[[#This Row],[Sunset Time (POA&lt;20 W/m2)]]-TA[[#This Row],[Sunrise Time (POA&gt;20 W/m2)]])*24,"")</f>
        <v>12.433333333333332</v>
      </c>
      <c r="L910" s="2" t="s">
        <v>294</v>
      </c>
      <c r="M910" s="42">
        <f>IFERROR(VLOOKUP(TA[[#This Row],[Affected Equipment]],'Basic Data'!$I$2:$K$40,3,0),"")</f>
        <v>1.7241379310344799E-3</v>
      </c>
      <c r="N910">
        <v>-28</v>
      </c>
      <c r="O910" t="s">
        <v>137</v>
      </c>
      <c r="P910" s="127" t="s">
        <v>315</v>
      </c>
      <c r="Q910" s="126" t="s">
        <v>319</v>
      </c>
      <c r="R910">
        <v>166</v>
      </c>
      <c r="S910" s="2">
        <v>91</v>
      </c>
      <c r="T910" t="s">
        <v>295</v>
      </c>
      <c r="U910" t="s">
        <v>300</v>
      </c>
      <c r="V910" t="s">
        <v>298</v>
      </c>
      <c r="W910" s="41"/>
      <c r="X910" s="41"/>
      <c r="Y910" s="34"/>
      <c r="Z910" s="34"/>
      <c r="AA910" s="35">
        <f>IF(TA[[#This Row],[Work Start time on Fault]]="NA","",(TA[[#This Row],[Fault Acknowledgement Time ]]-TA[[#This Row],[Fault Time]])*24)</f>
        <v>0</v>
      </c>
      <c r="AB910" s="35">
        <f>(TA[[#This Row],[Work Start time on Fault]]-TA[[#This Row],[Fault Time]])*24</f>
        <v>0</v>
      </c>
      <c r="AC910" s="34">
        <f>(TA[[#This Row],[Work Completion time on fault]]-TA[[#This Row],[Fault Time]])*24</f>
        <v>0</v>
      </c>
      <c r="AD910" s="35">
        <f>IFERROR((TA[[#This Row],[Work Completion time on fault]]-TA[[#This Row],[Fault Time]])*24,"")</f>
        <v>0</v>
      </c>
      <c r="AE910" t="s">
        <v>328</v>
      </c>
      <c r="AF910" t="s">
        <v>256</v>
      </c>
      <c r="AG910" s="2"/>
      <c r="AH910" s="44">
        <f>1-COS(RADIANS(TA[[#This Row],[Avg. Target Angle during Fault Time (Radians)]]-TA[[#This Row],[Angle of affected equipment ]]))</f>
        <v>0.11705240714107301</v>
      </c>
      <c r="AI910" s="35">
        <f>IFERROR(TA[[#This Row],[Breakdown Time]]*TA[[#This Row],[Plant Equivalent Weightage]],"")</f>
        <v>0</v>
      </c>
    </row>
    <row r="911" spans="1:35">
      <c r="A911" s="2">
        <f t="shared" si="76"/>
        <v>908</v>
      </c>
      <c r="B911" s="156">
        <f t="shared" si="81"/>
        <v>2026</v>
      </c>
      <c r="C911" s="129">
        <f t="shared" si="82"/>
        <v>2025</v>
      </c>
      <c r="D911" s="2" t="s">
        <v>155</v>
      </c>
      <c r="E911" s="2" t="s">
        <v>155</v>
      </c>
      <c r="F911" s="39">
        <v>45778</v>
      </c>
      <c r="G911" s="2">
        <f>DAY(EOMONTH(TA[[#This Row],[Month Year]],0))</f>
        <v>31</v>
      </c>
      <c r="H911" s="21">
        <v>45807</v>
      </c>
      <c r="I911" s="41">
        <f>IFERROR(VLOOKUP(TA[[#This Row],[Date]],Raw_Data[[Date]:[Sunset Time (POA&lt;20 W/m2)]],3,0),"")</f>
        <v>0.25833333333333336</v>
      </c>
      <c r="J911" s="41">
        <f>IFERROR(VLOOKUP(TA[[#This Row],[Date]],Raw_Data[[Date]:[Sunset Time (POA&lt;20 W/m2)]],4,0),"")</f>
        <v>0.77638888888888891</v>
      </c>
      <c r="K911" s="35">
        <f>IFERROR((TA[[#This Row],[Sunset Time (POA&lt;20 W/m2)]]-TA[[#This Row],[Sunrise Time (POA&gt;20 W/m2)]])*24,"")</f>
        <v>12.433333333333332</v>
      </c>
      <c r="L911" s="2" t="s">
        <v>294</v>
      </c>
      <c r="M911" s="42">
        <f>IFERROR(VLOOKUP(TA[[#This Row],[Affected Equipment]],'Basic Data'!$I$2:$K$40,3,0),"")</f>
        <v>1.7241379310344799E-3</v>
      </c>
      <c r="N911">
        <v>-28</v>
      </c>
      <c r="O911" t="s">
        <v>133</v>
      </c>
      <c r="P911" s="127" t="s">
        <v>316</v>
      </c>
      <c r="Q911" s="126" t="s">
        <v>316</v>
      </c>
      <c r="R911">
        <v>117</v>
      </c>
      <c r="S911" s="2">
        <v>20</v>
      </c>
      <c r="T911" t="s">
        <v>295</v>
      </c>
      <c r="U911" t="s">
        <v>300</v>
      </c>
      <c r="V911" t="s">
        <v>298</v>
      </c>
      <c r="W911" s="41"/>
      <c r="X911" s="41"/>
      <c r="Y911" s="34"/>
      <c r="Z911" s="34"/>
      <c r="AA911" s="35">
        <f>IF(TA[[#This Row],[Work Start time on Fault]]="NA","",(TA[[#This Row],[Fault Acknowledgement Time ]]-TA[[#This Row],[Fault Time]])*24)</f>
        <v>0</v>
      </c>
      <c r="AB911" s="35">
        <f>(TA[[#This Row],[Work Start time on Fault]]-TA[[#This Row],[Fault Time]])*24</f>
        <v>0</v>
      </c>
      <c r="AC911" s="34">
        <f>(TA[[#This Row],[Work Completion time on fault]]-TA[[#This Row],[Fault Time]])*24</f>
        <v>0</v>
      </c>
      <c r="AD911" s="35">
        <f>IFERROR((TA[[#This Row],[Work Completion time on fault]]-TA[[#This Row],[Fault Time]])*24,"")</f>
        <v>0</v>
      </c>
      <c r="AE911" t="s">
        <v>328</v>
      </c>
      <c r="AF911" t="s">
        <v>256</v>
      </c>
      <c r="AG911" s="2"/>
      <c r="AH911" s="44">
        <f>1-COS(RADIANS(TA[[#This Row],[Avg. Target Angle during Fault Time (Radians)]]-TA[[#This Row],[Angle of affected equipment ]]))</f>
        <v>0.11705240714107301</v>
      </c>
      <c r="AI911" s="35">
        <f>IFERROR(TA[[#This Row],[Breakdown Time]]*TA[[#This Row],[Plant Equivalent Weightage]],"")</f>
        <v>0</v>
      </c>
    </row>
    <row r="912" spans="1:35">
      <c r="A912" s="2">
        <f t="shared" si="76"/>
        <v>909</v>
      </c>
      <c r="B912" s="156">
        <f t="shared" si="81"/>
        <v>2026</v>
      </c>
      <c r="C912" s="129">
        <f t="shared" si="82"/>
        <v>2025</v>
      </c>
      <c r="D912" s="2" t="s">
        <v>155</v>
      </c>
      <c r="E912" s="2" t="s">
        <v>155</v>
      </c>
      <c r="F912" s="39">
        <v>45778</v>
      </c>
      <c r="G912" s="2">
        <f>DAY(EOMONTH(TA[[#This Row],[Month Year]],0))</f>
        <v>31</v>
      </c>
      <c r="H912" s="21">
        <v>45807</v>
      </c>
      <c r="I912" s="41">
        <f>IFERROR(VLOOKUP(TA[[#This Row],[Date]],Raw_Data[[Date]:[Sunset Time (POA&lt;20 W/m2)]],3,0),"")</f>
        <v>0.25833333333333336</v>
      </c>
      <c r="J912" s="41">
        <f>IFERROR(VLOOKUP(TA[[#This Row],[Date]],Raw_Data[[Date]:[Sunset Time (POA&lt;20 W/m2)]],4,0),"")</f>
        <v>0.77638888888888891</v>
      </c>
      <c r="K912" s="35">
        <f>IFERROR((TA[[#This Row],[Sunset Time (POA&lt;20 W/m2)]]-TA[[#This Row],[Sunrise Time (POA&gt;20 W/m2)]])*24,"")</f>
        <v>12.433333333333332</v>
      </c>
      <c r="L912" s="2" t="s">
        <v>294</v>
      </c>
      <c r="M912" s="42">
        <f>IFERROR(VLOOKUP(TA[[#This Row],[Affected Equipment]],'Basic Data'!$I$2:$K$40,3,0),"")</f>
        <v>1.7241379310344799E-3</v>
      </c>
      <c r="N912">
        <v>-28</v>
      </c>
      <c r="O912" t="s">
        <v>133</v>
      </c>
      <c r="P912" s="127" t="s">
        <v>316</v>
      </c>
      <c r="Q912" s="126" t="s">
        <v>316</v>
      </c>
      <c r="R912">
        <v>118</v>
      </c>
      <c r="S912" s="2">
        <v>22</v>
      </c>
      <c r="T912" t="s">
        <v>295</v>
      </c>
      <c r="U912" t="s">
        <v>300</v>
      </c>
      <c r="V912" t="s">
        <v>298</v>
      </c>
      <c r="W912" s="41"/>
      <c r="X912" s="41"/>
      <c r="Y912" s="34"/>
      <c r="Z912" s="34"/>
      <c r="AA912" s="35">
        <f>IF(TA[[#This Row],[Work Start time on Fault]]="NA","",(TA[[#This Row],[Fault Acknowledgement Time ]]-TA[[#This Row],[Fault Time]])*24)</f>
        <v>0</v>
      </c>
      <c r="AB912" s="35">
        <f>(TA[[#This Row],[Work Start time on Fault]]-TA[[#This Row],[Fault Time]])*24</f>
        <v>0</v>
      </c>
      <c r="AC912" s="34">
        <f>(TA[[#This Row],[Work Completion time on fault]]-TA[[#This Row],[Fault Time]])*24</f>
        <v>0</v>
      </c>
      <c r="AD912" s="35">
        <f>IFERROR((TA[[#This Row],[Work Completion time on fault]]-TA[[#This Row],[Fault Time]])*24,"")</f>
        <v>0</v>
      </c>
      <c r="AE912" t="s">
        <v>328</v>
      </c>
      <c r="AF912" t="s">
        <v>256</v>
      </c>
      <c r="AG912" s="2"/>
      <c r="AH912" s="44">
        <f>1-COS(RADIANS(TA[[#This Row],[Avg. Target Angle during Fault Time (Radians)]]-TA[[#This Row],[Angle of affected equipment ]]))</f>
        <v>0.11705240714107301</v>
      </c>
      <c r="AI912" s="35">
        <f>IFERROR(TA[[#This Row],[Breakdown Time]]*TA[[#This Row],[Plant Equivalent Weightage]],"")</f>
        <v>0</v>
      </c>
    </row>
    <row r="913" spans="1:35">
      <c r="A913" s="2">
        <f t="shared" si="76"/>
        <v>910</v>
      </c>
      <c r="B913" s="156">
        <f t="shared" si="81"/>
        <v>2026</v>
      </c>
      <c r="C913" s="129">
        <f t="shared" si="82"/>
        <v>2025</v>
      </c>
      <c r="D913" s="2" t="s">
        <v>155</v>
      </c>
      <c r="E913" s="2" t="s">
        <v>155</v>
      </c>
      <c r="F913" s="39">
        <v>45778</v>
      </c>
      <c r="G913" s="2">
        <f>DAY(EOMONTH(TA[[#This Row],[Month Year]],0))</f>
        <v>31</v>
      </c>
      <c r="H913" s="21">
        <v>45807</v>
      </c>
      <c r="I913" s="41">
        <f>IFERROR(VLOOKUP(TA[[#This Row],[Date]],Raw_Data[[Date]:[Sunset Time (POA&lt;20 W/m2)]],3,0),"")</f>
        <v>0.25833333333333336</v>
      </c>
      <c r="J913" s="41">
        <f>IFERROR(VLOOKUP(TA[[#This Row],[Date]],Raw_Data[[Date]:[Sunset Time (POA&lt;20 W/m2)]],4,0),"")</f>
        <v>0.77638888888888891</v>
      </c>
      <c r="K913" s="35">
        <f>IFERROR((TA[[#This Row],[Sunset Time (POA&lt;20 W/m2)]]-TA[[#This Row],[Sunrise Time (POA&gt;20 W/m2)]])*24,"")</f>
        <v>12.433333333333332</v>
      </c>
      <c r="L913" s="2" t="s">
        <v>296</v>
      </c>
      <c r="M913" s="42">
        <f>IFERROR(VLOOKUP(TA[[#This Row],[Affected Equipment]],'Basic Data'!$I$2:$K$40,3,0),"")</f>
        <v>8.6206896551724102E-3</v>
      </c>
      <c r="N913">
        <v>-28</v>
      </c>
      <c r="O913" t="s">
        <v>135</v>
      </c>
      <c r="P913" s="22" t="s">
        <v>323</v>
      </c>
      <c r="Q913" s="2" t="s">
        <v>329</v>
      </c>
      <c r="R913">
        <v>45</v>
      </c>
      <c r="S913" s="2">
        <v>8</v>
      </c>
      <c r="T913" t="s">
        <v>297</v>
      </c>
      <c r="U913" t="s">
        <v>300</v>
      </c>
      <c r="V913" t="s">
        <v>301</v>
      </c>
      <c r="W913" s="41"/>
      <c r="X913" s="41"/>
      <c r="Y913" s="34"/>
      <c r="Z913" s="34"/>
      <c r="AA913" s="35">
        <f>IF(TA[[#This Row],[Work Start time on Fault]]="NA","",(TA[[#This Row],[Fault Acknowledgement Time ]]-TA[[#This Row],[Fault Time]])*24)</f>
        <v>0</v>
      </c>
      <c r="AB913" s="35">
        <f>(TA[[#This Row],[Work Start time on Fault]]-TA[[#This Row],[Fault Time]])*24</f>
        <v>0</v>
      </c>
      <c r="AC913" s="34">
        <f>(TA[[#This Row],[Work Completion time on fault]]-TA[[#This Row],[Fault Time]])*24</f>
        <v>0</v>
      </c>
      <c r="AD913" s="35">
        <f>IFERROR((TA[[#This Row],[Work Completion time on fault]]-TA[[#This Row],[Fault Time]])*24,"")</f>
        <v>0</v>
      </c>
      <c r="AE913" t="s">
        <v>328</v>
      </c>
      <c r="AF913" t="s">
        <v>256</v>
      </c>
      <c r="AG913" s="2"/>
      <c r="AH913" s="44">
        <f>1-COS(RADIANS(TA[[#This Row],[Avg. Target Angle during Fault Time (Radians)]]-TA[[#This Row],[Angle of affected equipment ]]))</f>
        <v>0.11705240714107301</v>
      </c>
      <c r="AI913" s="35">
        <f>IFERROR(TA[[#This Row],[Breakdown Time]]*TA[[#This Row],[Plant Equivalent Weightage]],"")</f>
        <v>0</v>
      </c>
    </row>
    <row r="914" spans="1:35">
      <c r="A914" s="2">
        <f t="shared" si="76"/>
        <v>911</v>
      </c>
      <c r="B914" s="156">
        <f t="shared" si="81"/>
        <v>2026</v>
      </c>
      <c r="C914" s="129">
        <f t="shared" si="82"/>
        <v>2025</v>
      </c>
      <c r="D914" s="2" t="s">
        <v>155</v>
      </c>
      <c r="E914" s="2" t="s">
        <v>155</v>
      </c>
      <c r="F914" s="39">
        <v>45778</v>
      </c>
      <c r="G914" s="2">
        <f>DAY(EOMONTH(TA[[#This Row],[Month Year]],0))</f>
        <v>31</v>
      </c>
      <c r="H914" s="21">
        <v>45807</v>
      </c>
      <c r="I914" s="41">
        <f>IFERROR(VLOOKUP(TA[[#This Row],[Date]],Raw_Data[[Date]:[Sunset Time (POA&lt;20 W/m2)]],3,0),"")</f>
        <v>0.25833333333333336</v>
      </c>
      <c r="J914" s="41">
        <f>IFERROR(VLOOKUP(TA[[#This Row],[Date]],Raw_Data[[Date]:[Sunset Time (POA&lt;20 W/m2)]],4,0),"")</f>
        <v>0.77638888888888891</v>
      </c>
      <c r="K914" s="35">
        <f>IFERROR((TA[[#This Row],[Sunset Time (POA&lt;20 W/m2)]]-TA[[#This Row],[Sunrise Time (POA&gt;20 W/m2)]])*24,"")</f>
        <v>12.433333333333332</v>
      </c>
      <c r="L914" s="2" t="s">
        <v>296</v>
      </c>
      <c r="M914" s="42">
        <f>IFERROR(VLOOKUP(TA[[#This Row],[Affected Equipment]],'Basic Data'!$I$2:$K$40,3,0),"")</f>
        <v>8.6206896551724102E-3</v>
      </c>
      <c r="N914">
        <v>-28</v>
      </c>
      <c r="O914" t="s">
        <v>135</v>
      </c>
      <c r="P914" s="22" t="s">
        <v>323</v>
      </c>
      <c r="Q914" s="2" t="s">
        <v>329</v>
      </c>
      <c r="R914">
        <v>47</v>
      </c>
      <c r="S914" s="2">
        <v>18</v>
      </c>
      <c r="T914" t="s">
        <v>297</v>
      </c>
      <c r="U914" t="s">
        <v>300</v>
      </c>
      <c r="V914" t="s">
        <v>301</v>
      </c>
      <c r="W914" s="41"/>
      <c r="X914" s="41"/>
      <c r="Y914" s="34"/>
      <c r="Z914" s="34"/>
      <c r="AA914" s="35">
        <f>IF(TA[[#This Row],[Work Start time on Fault]]="NA","",(TA[[#This Row],[Fault Acknowledgement Time ]]-TA[[#This Row],[Fault Time]])*24)</f>
        <v>0</v>
      </c>
      <c r="AB914" s="35">
        <f>(TA[[#This Row],[Work Start time on Fault]]-TA[[#This Row],[Fault Time]])*24</f>
        <v>0</v>
      </c>
      <c r="AC914" s="34">
        <f>(TA[[#This Row],[Work Completion time on fault]]-TA[[#This Row],[Fault Time]])*24</f>
        <v>0</v>
      </c>
      <c r="AD914" s="35">
        <f>IFERROR((TA[[#This Row],[Work Completion time on fault]]-TA[[#This Row],[Fault Time]])*24,"")</f>
        <v>0</v>
      </c>
      <c r="AE914" t="s">
        <v>328</v>
      </c>
      <c r="AF914" t="s">
        <v>256</v>
      </c>
      <c r="AG914" s="2"/>
      <c r="AH914" s="44">
        <f>1-COS(RADIANS(TA[[#This Row],[Avg. Target Angle during Fault Time (Radians)]]-TA[[#This Row],[Angle of affected equipment ]]))</f>
        <v>0.11705240714107301</v>
      </c>
      <c r="AI914" s="35">
        <f>IFERROR(TA[[#This Row],[Breakdown Time]]*TA[[#This Row],[Plant Equivalent Weightage]],"")</f>
        <v>0</v>
      </c>
    </row>
    <row r="915" spans="1:35">
      <c r="A915" s="2">
        <f t="shared" si="76"/>
        <v>912</v>
      </c>
      <c r="B915" s="156">
        <f t="shared" si="81"/>
        <v>2026</v>
      </c>
      <c r="C915" s="129">
        <f t="shared" si="82"/>
        <v>2025</v>
      </c>
      <c r="D915" s="2" t="s">
        <v>155</v>
      </c>
      <c r="E915" s="2" t="s">
        <v>155</v>
      </c>
      <c r="F915" s="39">
        <v>45778</v>
      </c>
      <c r="G915" s="2">
        <f>DAY(EOMONTH(TA[[#This Row],[Month Year]],0))</f>
        <v>31</v>
      </c>
      <c r="H915" s="21">
        <v>45807</v>
      </c>
      <c r="I915" s="41">
        <f>IFERROR(VLOOKUP(TA[[#This Row],[Date]],Raw_Data[[Date]:[Sunset Time (POA&lt;20 W/m2)]],3,0),"")</f>
        <v>0.25833333333333336</v>
      </c>
      <c r="J915" s="41">
        <f>IFERROR(VLOOKUP(TA[[#This Row],[Date]],Raw_Data[[Date]:[Sunset Time (POA&lt;20 W/m2)]],4,0),"")</f>
        <v>0.77638888888888891</v>
      </c>
      <c r="K915" s="35">
        <f>IFERROR((TA[[#This Row],[Sunset Time (POA&lt;20 W/m2)]]-TA[[#This Row],[Sunrise Time (POA&gt;20 W/m2)]])*24,"")</f>
        <v>12.433333333333332</v>
      </c>
      <c r="L915" s="2" t="s">
        <v>296</v>
      </c>
      <c r="M915" s="42">
        <f>IFERROR(VLOOKUP(TA[[#This Row],[Affected Equipment]],'Basic Data'!$I$2:$K$40,3,0),"")</f>
        <v>8.6206896551724102E-3</v>
      </c>
      <c r="N915">
        <v>-28</v>
      </c>
      <c r="O915" t="s">
        <v>134</v>
      </c>
      <c r="P915" s="22" t="s">
        <v>330</v>
      </c>
      <c r="Q915" s="2" t="s">
        <v>323</v>
      </c>
      <c r="R915">
        <v>30</v>
      </c>
      <c r="S915" s="2">
        <v>57</v>
      </c>
      <c r="T915" t="s">
        <v>297</v>
      </c>
      <c r="U915" t="s">
        <v>300</v>
      </c>
      <c r="V915" t="s">
        <v>301</v>
      </c>
      <c r="W915" s="41"/>
      <c r="X915" s="41"/>
      <c r="Y915" s="34"/>
      <c r="Z915" s="34"/>
      <c r="AA915" s="35">
        <f>IF(TA[[#This Row],[Work Start time on Fault]]="NA","",(TA[[#This Row],[Fault Acknowledgement Time ]]-TA[[#This Row],[Fault Time]])*24)</f>
        <v>0</v>
      </c>
      <c r="AB915" s="35">
        <f>(TA[[#This Row],[Work Start time on Fault]]-TA[[#This Row],[Fault Time]])*24</f>
        <v>0</v>
      </c>
      <c r="AC915" s="34">
        <f>(TA[[#This Row],[Work Completion time on fault]]-TA[[#This Row],[Fault Time]])*24</f>
        <v>0</v>
      </c>
      <c r="AD915" s="35">
        <f>IFERROR((TA[[#This Row],[Work Completion time on fault]]-TA[[#This Row],[Fault Time]])*24,"")</f>
        <v>0</v>
      </c>
      <c r="AE915" t="s">
        <v>328</v>
      </c>
      <c r="AF915" t="s">
        <v>256</v>
      </c>
      <c r="AG915" s="2"/>
      <c r="AH915" s="44">
        <f>1-COS(RADIANS(TA[[#This Row],[Avg. Target Angle during Fault Time (Radians)]]-TA[[#This Row],[Angle of affected equipment ]]))</f>
        <v>0.11705240714107301</v>
      </c>
      <c r="AI915" s="35">
        <f>IFERROR(TA[[#This Row],[Breakdown Time]]*TA[[#This Row],[Plant Equivalent Weightage]],"")</f>
        <v>0</v>
      </c>
    </row>
    <row r="916" spans="1:35">
      <c r="A916" s="2">
        <f t="shared" si="76"/>
        <v>913</v>
      </c>
      <c r="B916" s="156">
        <f t="shared" si="81"/>
        <v>2026</v>
      </c>
      <c r="C916" s="129">
        <f t="shared" si="82"/>
        <v>2025</v>
      </c>
      <c r="D916" s="2" t="s">
        <v>155</v>
      </c>
      <c r="E916" s="2" t="s">
        <v>155</v>
      </c>
      <c r="F916" s="39">
        <v>45778</v>
      </c>
      <c r="G916" s="2">
        <f>DAY(EOMONTH(TA[[#This Row],[Month Year]],0))</f>
        <v>31</v>
      </c>
      <c r="H916" s="21">
        <v>45807</v>
      </c>
      <c r="I916" s="41">
        <f>IFERROR(VLOOKUP(TA[[#This Row],[Date]],Raw_Data[[Date]:[Sunset Time (POA&lt;20 W/m2)]],3,0),"")</f>
        <v>0.25833333333333336</v>
      </c>
      <c r="J916" s="41">
        <f>IFERROR(VLOOKUP(TA[[#This Row],[Date]],Raw_Data[[Date]:[Sunset Time (POA&lt;20 W/m2)]],4,0),"")</f>
        <v>0.77638888888888891</v>
      </c>
      <c r="K916" s="35">
        <f>IFERROR((TA[[#This Row],[Sunset Time (POA&lt;20 W/m2)]]-TA[[#This Row],[Sunrise Time (POA&gt;20 W/m2)]])*24,"")</f>
        <v>12.433333333333332</v>
      </c>
      <c r="L916" s="2" t="s">
        <v>296</v>
      </c>
      <c r="M916" s="42">
        <f>IFERROR(VLOOKUP(TA[[#This Row],[Affected Equipment]],'Basic Data'!$I$2:$K$40,3,0),"")</f>
        <v>8.6206896551724102E-3</v>
      </c>
      <c r="N916">
        <v>-28</v>
      </c>
      <c r="O916" t="s">
        <v>134</v>
      </c>
      <c r="P916" s="22" t="s">
        <v>330</v>
      </c>
      <c r="Q916" s="2" t="s">
        <v>323</v>
      </c>
      <c r="R916">
        <v>31</v>
      </c>
      <c r="S916" s="2">
        <v>61</v>
      </c>
      <c r="T916" t="s">
        <v>297</v>
      </c>
      <c r="U916" t="s">
        <v>300</v>
      </c>
      <c r="V916" t="s">
        <v>301</v>
      </c>
      <c r="W916" s="41"/>
      <c r="X916" s="41"/>
      <c r="Y916" s="34"/>
      <c r="Z916" s="34"/>
      <c r="AA916" s="35">
        <f>IF(TA[[#This Row],[Work Start time on Fault]]="NA","",(TA[[#This Row],[Fault Acknowledgement Time ]]-TA[[#This Row],[Fault Time]])*24)</f>
        <v>0</v>
      </c>
      <c r="AB916" s="35">
        <f>(TA[[#This Row],[Work Start time on Fault]]-TA[[#This Row],[Fault Time]])*24</f>
        <v>0</v>
      </c>
      <c r="AC916" s="34">
        <f>(TA[[#This Row],[Work Completion time on fault]]-TA[[#This Row],[Fault Time]])*24</f>
        <v>0</v>
      </c>
      <c r="AD916" s="35">
        <f>IFERROR((TA[[#This Row],[Work Completion time on fault]]-TA[[#This Row],[Fault Time]])*24,"")</f>
        <v>0</v>
      </c>
      <c r="AE916" t="s">
        <v>328</v>
      </c>
      <c r="AF916" t="s">
        <v>256</v>
      </c>
      <c r="AG916" s="2"/>
      <c r="AH916" s="44">
        <f>1-COS(RADIANS(TA[[#This Row],[Avg. Target Angle during Fault Time (Radians)]]-TA[[#This Row],[Angle of affected equipment ]]))</f>
        <v>0.11705240714107301</v>
      </c>
      <c r="AI916" s="35">
        <f>IFERROR(TA[[#This Row],[Breakdown Time]]*TA[[#This Row],[Plant Equivalent Weightage]],"")</f>
        <v>0</v>
      </c>
    </row>
    <row r="917" spans="1:35">
      <c r="A917" s="2">
        <f t="shared" si="76"/>
        <v>914</v>
      </c>
      <c r="B917" s="156">
        <f t="shared" si="81"/>
        <v>2026</v>
      </c>
      <c r="C917" s="129">
        <f t="shared" si="82"/>
        <v>2025</v>
      </c>
      <c r="D917" s="2" t="s">
        <v>155</v>
      </c>
      <c r="E917" s="2" t="s">
        <v>155</v>
      </c>
      <c r="F917" s="39">
        <v>45778</v>
      </c>
      <c r="G917" s="2">
        <f>DAY(EOMONTH(TA[[#This Row],[Month Year]],0))</f>
        <v>31</v>
      </c>
      <c r="H917" s="21">
        <v>45807</v>
      </c>
      <c r="I917" s="41">
        <f>IFERROR(VLOOKUP(TA[[#This Row],[Date]],Raw_Data[[Date]:[Sunset Time (POA&lt;20 W/m2)]],3,0),"")</f>
        <v>0.25833333333333336</v>
      </c>
      <c r="J917" s="41">
        <f>IFERROR(VLOOKUP(TA[[#This Row],[Date]],Raw_Data[[Date]:[Sunset Time (POA&lt;20 W/m2)]],4,0),"")</f>
        <v>0.77638888888888891</v>
      </c>
      <c r="K917" s="35">
        <f>IFERROR((TA[[#This Row],[Sunset Time (POA&lt;20 W/m2)]]-TA[[#This Row],[Sunrise Time (POA&gt;20 W/m2)]])*24,"")</f>
        <v>12.433333333333332</v>
      </c>
      <c r="L917" s="2" t="s">
        <v>312</v>
      </c>
      <c r="M917" s="42">
        <f>IFERROR(VLOOKUP(TA[[#This Row],[Affected Equipment]],'Basic Data'!$I$2:$K$40,3,0),"")</f>
        <v>5.74712643678161E-3</v>
      </c>
      <c r="N917">
        <v>-28</v>
      </c>
      <c r="O917" t="s">
        <v>133</v>
      </c>
      <c r="P917" s="22" t="s">
        <v>330</v>
      </c>
      <c r="Q917" s="2" t="s">
        <v>323</v>
      </c>
      <c r="R917">
        <v>26</v>
      </c>
      <c r="S917" s="2">
        <v>37</v>
      </c>
      <c r="T917" t="s">
        <v>297</v>
      </c>
      <c r="U917" t="s">
        <v>300</v>
      </c>
      <c r="V917" t="s">
        <v>301</v>
      </c>
      <c r="W917" s="41"/>
      <c r="X917" s="41"/>
      <c r="Y917" s="34"/>
      <c r="Z917" s="34"/>
      <c r="AA917" s="35">
        <f>IF(TA[[#This Row],[Work Start time on Fault]]="NA","",(TA[[#This Row],[Fault Acknowledgement Time ]]-TA[[#This Row],[Fault Time]])*24)</f>
        <v>0</v>
      </c>
      <c r="AB917" s="35">
        <f>(TA[[#This Row],[Work Start time on Fault]]-TA[[#This Row],[Fault Time]])*24</f>
        <v>0</v>
      </c>
      <c r="AC917" s="34">
        <f>(TA[[#This Row],[Work Completion time on fault]]-TA[[#This Row],[Fault Time]])*24</f>
        <v>0</v>
      </c>
      <c r="AD917" s="35">
        <f>IFERROR((TA[[#This Row],[Work Completion time on fault]]-TA[[#This Row],[Fault Time]])*24,"")</f>
        <v>0</v>
      </c>
      <c r="AE917" t="s">
        <v>328</v>
      </c>
      <c r="AF917" t="s">
        <v>256</v>
      </c>
      <c r="AG917" s="2"/>
      <c r="AH917" s="44">
        <f>1-COS(RADIANS(TA[[#This Row],[Avg. Target Angle during Fault Time (Radians)]]-TA[[#This Row],[Angle of affected equipment ]]))</f>
        <v>0.11705240714107301</v>
      </c>
      <c r="AI917" s="35">
        <f>IFERROR(TA[[#This Row],[Breakdown Time]]*TA[[#This Row],[Plant Equivalent Weightage]],"")</f>
        <v>0</v>
      </c>
    </row>
    <row r="918" spans="1:35">
      <c r="A918" s="2">
        <f t="shared" si="76"/>
        <v>915</v>
      </c>
      <c r="B918" s="156">
        <f t="shared" si="81"/>
        <v>2026</v>
      </c>
      <c r="C918" s="129">
        <f t="shared" si="82"/>
        <v>2025</v>
      </c>
      <c r="D918" s="2" t="s">
        <v>155</v>
      </c>
      <c r="E918" s="2" t="s">
        <v>155</v>
      </c>
      <c r="F918" s="39">
        <v>45778</v>
      </c>
      <c r="G918" s="2">
        <f>DAY(EOMONTH(TA[[#This Row],[Month Year]],0))</f>
        <v>31</v>
      </c>
      <c r="H918" s="21">
        <v>45807</v>
      </c>
      <c r="I918" s="41">
        <f>IFERROR(VLOOKUP(TA[[#This Row],[Date]],Raw_Data[[Date]:[Sunset Time (POA&lt;20 W/m2)]],3,0),"")</f>
        <v>0.25833333333333336</v>
      </c>
      <c r="J918" s="41">
        <f>IFERROR(VLOOKUP(TA[[#This Row],[Date]],Raw_Data[[Date]:[Sunset Time (POA&lt;20 W/m2)]],4,0),"")</f>
        <v>0.77638888888888891</v>
      </c>
      <c r="K918" s="35">
        <f>IFERROR((TA[[#This Row],[Sunset Time (POA&lt;20 W/m2)]]-TA[[#This Row],[Sunrise Time (POA&gt;20 W/m2)]])*24,"")</f>
        <v>12.433333333333332</v>
      </c>
      <c r="L918" s="2" t="s">
        <v>312</v>
      </c>
      <c r="M918" s="42">
        <f>IFERROR(VLOOKUP(TA[[#This Row],[Affected Equipment]],'Basic Data'!$I$2:$K$40,3,0),"")</f>
        <v>5.74712643678161E-3</v>
      </c>
      <c r="N918">
        <v>-28</v>
      </c>
      <c r="O918" t="s">
        <v>133</v>
      </c>
      <c r="P918" s="22" t="s">
        <v>330</v>
      </c>
      <c r="Q918" s="2" t="s">
        <v>323</v>
      </c>
      <c r="R918">
        <v>27</v>
      </c>
      <c r="S918" s="2">
        <v>42</v>
      </c>
      <c r="T918" t="s">
        <v>297</v>
      </c>
      <c r="U918" t="s">
        <v>300</v>
      </c>
      <c r="V918" t="s">
        <v>301</v>
      </c>
      <c r="W918" s="41">
        <f>IFERROR(VLOOKUP(TA[[#This Row],[Date]],Raw_Data[[Date]:[Sunset Time (POA&lt;20 W/m2)]],3,0),"")</f>
        <v>0.25833333333333336</v>
      </c>
      <c r="X918" s="41">
        <f>IFERROR(VLOOKUP(TA[[#This Row],[Date]],Raw_Data[[Date]:[Sunset Time (POA&lt;20 W/m2)]],3,0),"")</f>
        <v>0.25833333333333336</v>
      </c>
      <c r="Y918" s="34"/>
      <c r="Z918" s="34">
        <v>0.76041666666666663</v>
      </c>
      <c r="AA918" s="35">
        <f>IF(TA[[#This Row],[Work Start time on Fault]]="NA","",(TA[[#This Row],[Fault Acknowledgement Time ]]-TA[[#This Row],[Fault Time]])*24)</f>
        <v>0</v>
      </c>
      <c r="AB918" s="35">
        <f>(TA[[#This Row],[Work Start time on Fault]]-TA[[#This Row],[Fault Time]])*24</f>
        <v>-6.2000000000000011</v>
      </c>
      <c r="AC918" s="34">
        <f>(TA[[#This Row],[Work Completion time on fault]]-TA[[#This Row],[Fault Time]])*24</f>
        <v>12.049999999999997</v>
      </c>
      <c r="AD918" s="35">
        <f>IFERROR((TA[[#This Row],[Work Completion time on fault]]-TA[[#This Row],[Fault Time]])*24,"")</f>
        <v>12.049999999999997</v>
      </c>
      <c r="AE918" t="s">
        <v>309</v>
      </c>
      <c r="AF918" t="s">
        <v>256</v>
      </c>
      <c r="AG918" s="2"/>
      <c r="AH918" s="44">
        <f>1-COS(RADIANS(TA[[#This Row],[Avg. Target Angle during Fault Time (Radians)]]-TA[[#This Row],[Angle of affected equipment ]]))</f>
        <v>0.11705240714107301</v>
      </c>
      <c r="AI918" s="35">
        <f>IFERROR(TA[[#This Row],[Breakdown Time]]*TA[[#This Row],[Plant Equivalent Weightage]],"")</f>
        <v>6.9252873563218381E-2</v>
      </c>
    </row>
    <row r="919" spans="1:35">
      <c r="A919" s="2">
        <f t="shared" si="76"/>
        <v>916</v>
      </c>
      <c r="B919" s="156">
        <f t="shared" ref="B919:B931" si="83">YEAR(H919)+IF(MONTH(H919)&gt;=4,1,0)</f>
        <v>2026</v>
      </c>
      <c r="C919" s="129">
        <f t="shared" ref="C919:C931" si="84">YEAR(H919)</f>
        <v>2025</v>
      </c>
      <c r="D919" s="2" t="s">
        <v>155</v>
      </c>
      <c r="E919" s="2" t="s">
        <v>155</v>
      </c>
      <c r="F919" s="39">
        <v>45778</v>
      </c>
      <c r="G919" s="2">
        <f>DAY(EOMONTH(TA[[#This Row],[Month Year]],0))</f>
        <v>31</v>
      </c>
      <c r="H919" s="21">
        <v>45808</v>
      </c>
      <c r="I919" s="41">
        <f>IFERROR(VLOOKUP(TA[[#This Row],[Date]],Raw_Data[[Date]:[Sunset Time (POA&lt;20 W/m2)]],3,0),"")</f>
        <v>0.24444444444444444</v>
      </c>
      <c r="J919" s="41">
        <f>IFERROR(VLOOKUP(TA[[#This Row],[Date]],Raw_Data[[Date]:[Sunset Time (POA&lt;20 W/m2)]],4,0),"")</f>
        <v>0.77569444444444446</v>
      </c>
      <c r="K919" s="35">
        <f>IFERROR((TA[[#This Row],[Sunset Time (POA&lt;20 W/m2)]]-TA[[#This Row],[Sunrise Time (POA&gt;20 W/m2)]])*24,"")</f>
        <v>12.75</v>
      </c>
      <c r="L919" s="2" t="s">
        <v>294</v>
      </c>
      <c r="M919" s="42">
        <f>IFERROR(VLOOKUP(TA[[#This Row],[Affected Equipment]],'Basic Data'!$I$2:$K$40,3,0),"")</f>
        <v>1.7241379310344799E-3</v>
      </c>
      <c r="N919">
        <v>-28</v>
      </c>
      <c r="O919" t="s">
        <v>135</v>
      </c>
      <c r="P919" s="127" t="s">
        <v>318</v>
      </c>
      <c r="Q919" s="126" t="s">
        <v>318</v>
      </c>
      <c r="R919">
        <v>131</v>
      </c>
      <c r="S919" s="2">
        <v>38</v>
      </c>
      <c r="T919" t="s">
        <v>295</v>
      </c>
      <c r="U919" t="s">
        <v>300</v>
      </c>
      <c r="V919" t="s">
        <v>298</v>
      </c>
      <c r="W919" s="41"/>
      <c r="X919" s="41"/>
      <c r="Y919" s="34"/>
      <c r="Z919" s="34"/>
      <c r="AA919" s="35">
        <f>IF(TA[[#This Row],[Work Start time on Fault]]="NA","",(TA[[#This Row],[Fault Acknowledgement Time ]]-TA[[#This Row],[Fault Time]])*24)</f>
        <v>0</v>
      </c>
      <c r="AB919" s="35">
        <f>(TA[[#This Row],[Work Start time on Fault]]-TA[[#This Row],[Fault Time]])*24</f>
        <v>0</v>
      </c>
      <c r="AC919" s="34">
        <f>(TA[[#This Row],[Work Completion time on fault]]-TA[[#This Row],[Fault Time]])*24</f>
        <v>0</v>
      </c>
      <c r="AD919" s="35">
        <f>IFERROR((TA[[#This Row],[Work Completion time on fault]]-TA[[#This Row],[Fault Time]])*24,"")</f>
        <v>0</v>
      </c>
      <c r="AE919" t="s">
        <v>328</v>
      </c>
      <c r="AF919" t="s">
        <v>256</v>
      </c>
      <c r="AG919" s="2"/>
      <c r="AH919" s="44">
        <f>1-COS(RADIANS(TA[[#This Row],[Avg. Target Angle during Fault Time (Radians)]]-TA[[#This Row],[Angle of affected equipment ]]))</f>
        <v>0.11705240714107301</v>
      </c>
      <c r="AI919" s="35">
        <f>IFERROR(TA[[#This Row],[Breakdown Time]]*TA[[#This Row],[Plant Equivalent Weightage]],"")</f>
        <v>0</v>
      </c>
    </row>
    <row r="920" spans="1:35">
      <c r="A920" s="2">
        <f t="shared" si="76"/>
        <v>917</v>
      </c>
      <c r="B920" s="156">
        <f t="shared" si="83"/>
        <v>2026</v>
      </c>
      <c r="C920" s="129">
        <f t="shared" si="84"/>
        <v>2025</v>
      </c>
      <c r="D920" s="2" t="s">
        <v>155</v>
      </c>
      <c r="E920" s="2" t="s">
        <v>155</v>
      </c>
      <c r="F920" s="39">
        <v>45778</v>
      </c>
      <c r="G920" s="2">
        <f>DAY(EOMONTH(TA[[#This Row],[Month Year]],0))</f>
        <v>31</v>
      </c>
      <c r="H920" s="21">
        <v>45808</v>
      </c>
      <c r="I920" s="41">
        <f>IFERROR(VLOOKUP(TA[[#This Row],[Date]],Raw_Data[[Date]:[Sunset Time (POA&lt;20 W/m2)]],3,0),"")</f>
        <v>0.24444444444444444</v>
      </c>
      <c r="J920" s="41">
        <f>IFERROR(VLOOKUP(TA[[#This Row],[Date]],Raw_Data[[Date]:[Sunset Time (POA&lt;20 W/m2)]],4,0),"")</f>
        <v>0.77569444444444446</v>
      </c>
      <c r="K920" s="35">
        <f>IFERROR((TA[[#This Row],[Sunset Time (POA&lt;20 W/m2)]]-TA[[#This Row],[Sunrise Time (POA&gt;20 W/m2)]])*24,"")</f>
        <v>12.75</v>
      </c>
      <c r="L920" s="2" t="s">
        <v>294</v>
      </c>
      <c r="M920" s="42">
        <f>IFERROR(VLOOKUP(TA[[#This Row],[Affected Equipment]],'Basic Data'!$I$2:$K$40,3,0),"")</f>
        <v>1.7241379310344799E-3</v>
      </c>
      <c r="N920">
        <v>-28</v>
      </c>
      <c r="O920" t="s">
        <v>135</v>
      </c>
      <c r="P920" s="127" t="s">
        <v>318</v>
      </c>
      <c r="Q920" s="126" t="s">
        <v>318</v>
      </c>
      <c r="R920">
        <v>131</v>
      </c>
      <c r="S920" s="2">
        <v>39</v>
      </c>
      <c r="T920" t="s">
        <v>295</v>
      </c>
      <c r="U920" t="s">
        <v>300</v>
      </c>
      <c r="V920" t="s">
        <v>298</v>
      </c>
      <c r="W920" s="41"/>
      <c r="X920" s="41"/>
      <c r="Y920" s="34"/>
      <c r="Z920" s="34"/>
      <c r="AA920" s="35">
        <f>IF(TA[[#This Row],[Work Start time on Fault]]="NA","",(TA[[#This Row],[Fault Acknowledgement Time ]]-TA[[#This Row],[Fault Time]])*24)</f>
        <v>0</v>
      </c>
      <c r="AB920" s="35">
        <f>(TA[[#This Row],[Work Start time on Fault]]-TA[[#This Row],[Fault Time]])*24</f>
        <v>0</v>
      </c>
      <c r="AC920" s="34">
        <f>(TA[[#This Row],[Work Completion time on fault]]-TA[[#This Row],[Fault Time]])*24</f>
        <v>0</v>
      </c>
      <c r="AD920" s="35">
        <f>IFERROR((TA[[#This Row],[Work Completion time on fault]]-TA[[#This Row],[Fault Time]])*24,"")</f>
        <v>0</v>
      </c>
      <c r="AE920" t="s">
        <v>328</v>
      </c>
      <c r="AF920" t="s">
        <v>256</v>
      </c>
      <c r="AG920" s="2"/>
      <c r="AH920" s="44">
        <f>1-COS(RADIANS(TA[[#This Row],[Avg. Target Angle during Fault Time (Radians)]]-TA[[#This Row],[Angle of affected equipment ]]))</f>
        <v>0.11705240714107301</v>
      </c>
      <c r="AI920" s="35">
        <f>IFERROR(TA[[#This Row],[Breakdown Time]]*TA[[#This Row],[Plant Equivalent Weightage]],"")</f>
        <v>0</v>
      </c>
    </row>
    <row r="921" spans="1:35">
      <c r="A921" s="2">
        <f t="shared" si="76"/>
        <v>918</v>
      </c>
      <c r="B921" s="156">
        <f t="shared" si="83"/>
        <v>2026</v>
      </c>
      <c r="C921" s="129">
        <f t="shared" si="84"/>
        <v>2025</v>
      </c>
      <c r="D921" s="2" t="s">
        <v>155</v>
      </c>
      <c r="E921" s="2" t="s">
        <v>155</v>
      </c>
      <c r="F921" s="39">
        <v>45778</v>
      </c>
      <c r="G921" s="2">
        <f>DAY(EOMONTH(TA[[#This Row],[Month Year]],0))</f>
        <v>31</v>
      </c>
      <c r="H921" s="21">
        <v>45808</v>
      </c>
      <c r="I921" s="41">
        <f>IFERROR(VLOOKUP(TA[[#This Row],[Date]],Raw_Data[[Date]:[Sunset Time (POA&lt;20 W/m2)]],3,0),"")</f>
        <v>0.24444444444444444</v>
      </c>
      <c r="J921" s="41">
        <f>IFERROR(VLOOKUP(TA[[#This Row],[Date]],Raw_Data[[Date]:[Sunset Time (POA&lt;20 W/m2)]],4,0),"")</f>
        <v>0.77569444444444446</v>
      </c>
      <c r="K921" s="35">
        <f>IFERROR((TA[[#This Row],[Sunset Time (POA&lt;20 W/m2)]]-TA[[#This Row],[Sunrise Time (POA&gt;20 W/m2)]])*24,"")</f>
        <v>12.75</v>
      </c>
      <c r="L921" s="2" t="s">
        <v>296</v>
      </c>
      <c r="M921" s="42">
        <f>IFERROR(VLOOKUP(TA[[#This Row],[Affected Equipment]],'Basic Data'!$I$2:$K$40,3,0),"")</f>
        <v>8.6206896551724102E-3</v>
      </c>
      <c r="N921">
        <v>-28</v>
      </c>
      <c r="O921" t="s">
        <v>135</v>
      </c>
      <c r="P921" s="127" t="s">
        <v>318</v>
      </c>
      <c r="Q921" s="2" t="s">
        <v>321</v>
      </c>
      <c r="R921">
        <v>133</v>
      </c>
      <c r="S921" s="2">
        <v>26</v>
      </c>
      <c r="T921" t="s">
        <v>297</v>
      </c>
      <c r="U921" t="s">
        <v>300</v>
      </c>
      <c r="V921" t="s">
        <v>314</v>
      </c>
      <c r="W921" s="41">
        <f>IFERROR(VLOOKUP(TA[[#This Row],[Date]],Raw_Data[[Date]:[Sunset Time (POA&lt;20 W/m2)]],3,0),"")</f>
        <v>0.24444444444444444</v>
      </c>
      <c r="X921" s="41">
        <f>IFERROR(VLOOKUP(TA[[#This Row],[Date]],Raw_Data[[Date]:[Sunset Time (POA&lt;20 W/m2)]],3,0),"")</f>
        <v>0.24444444444444444</v>
      </c>
      <c r="Y921" s="34"/>
      <c r="Z921" s="34">
        <v>0.76041666666666663</v>
      </c>
      <c r="AA921" s="35">
        <f>IF(TA[[#This Row],[Work Start time on Fault]]="NA","",(TA[[#This Row],[Fault Acknowledgement Time ]]-TA[[#This Row],[Fault Time]])*24)</f>
        <v>0</v>
      </c>
      <c r="AB921" s="35">
        <f>(TA[[#This Row],[Work Start time on Fault]]-TA[[#This Row],[Fault Time]])*24</f>
        <v>-5.8666666666666663</v>
      </c>
      <c r="AC921" s="34">
        <f>(TA[[#This Row],[Work Completion time on fault]]-TA[[#This Row],[Fault Time]])*24</f>
        <v>12.383333333333333</v>
      </c>
      <c r="AD921" s="35">
        <f>IFERROR((TA[[#This Row],[Work Completion time on fault]]-TA[[#This Row],[Fault Time]])*24,"")</f>
        <v>12.383333333333333</v>
      </c>
      <c r="AE921" t="s">
        <v>328</v>
      </c>
      <c r="AF921" t="s">
        <v>256</v>
      </c>
      <c r="AG921" s="2"/>
      <c r="AH921" s="44">
        <f>1-COS(RADIANS(TA[[#This Row],[Avg. Target Angle during Fault Time (Radians)]]-TA[[#This Row],[Angle of affected equipment ]]))</f>
        <v>0.11705240714107301</v>
      </c>
      <c r="AI921" s="35">
        <f>IFERROR(TA[[#This Row],[Breakdown Time]]*TA[[#This Row],[Plant Equivalent Weightage]],"")</f>
        <v>0.10675287356321835</v>
      </c>
    </row>
    <row r="922" spans="1:35">
      <c r="A922" s="2">
        <f t="shared" si="76"/>
        <v>919</v>
      </c>
      <c r="B922" s="156">
        <f t="shared" si="83"/>
        <v>2026</v>
      </c>
      <c r="C922" s="129">
        <f t="shared" si="84"/>
        <v>2025</v>
      </c>
      <c r="D922" s="2" t="s">
        <v>155</v>
      </c>
      <c r="E922" s="2" t="s">
        <v>155</v>
      </c>
      <c r="F922" s="39">
        <v>45778</v>
      </c>
      <c r="G922" s="2">
        <f>DAY(EOMONTH(TA[[#This Row],[Month Year]],0))</f>
        <v>31</v>
      </c>
      <c r="H922" s="21">
        <v>45808</v>
      </c>
      <c r="I922" s="41">
        <f>IFERROR(VLOOKUP(TA[[#This Row],[Date]],Raw_Data[[Date]:[Sunset Time (POA&lt;20 W/m2)]],3,0),"")</f>
        <v>0.24444444444444444</v>
      </c>
      <c r="J922" s="41">
        <f>IFERROR(VLOOKUP(TA[[#This Row],[Date]],Raw_Data[[Date]:[Sunset Time (POA&lt;20 W/m2)]],4,0),"")</f>
        <v>0.77569444444444446</v>
      </c>
      <c r="K922" s="35">
        <f>IFERROR((TA[[#This Row],[Sunset Time (POA&lt;20 W/m2)]]-TA[[#This Row],[Sunrise Time (POA&gt;20 W/m2)]])*24,"")</f>
        <v>12.75</v>
      </c>
      <c r="L922" s="2" t="s">
        <v>294</v>
      </c>
      <c r="M922" s="42">
        <f>IFERROR(VLOOKUP(TA[[#This Row],[Affected Equipment]],'Basic Data'!$I$2:$K$40,3,0),"")</f>
        <v>1.7241379310344799E-3</v>
      </c>
      <c r="N922">
        <v>-28</v>
      </c>
      <c r="O922" t="s">
        <v>133</v>
      </c>
      <c r="P922" s="127" t="s">
        <v>316</v>
      </c>
      <c r="Q922" s="126" t="s">
        <v>317</v>
      </c>
      <c r="R922">
        <v>7</v>
      </c>
      <c r="S922" s="2">
        <v>32</v>
      </c>
      <c r="T922" t="s">
        <v>295</v>
      </c>
      <c r="U922" t="s">
        <v>300</v>
      </c>
      <c r="V922" t="s">
        <v>298</v>
      </c>
      <c r="W922" s="41"/>
      <c r="X922" s="41"/>
      <c r="Y922" s="34"/>
      <c r="Z922" s="34"/>
      <c r="AA922" s="35">
        <f>IF(TA[[#This Row],[Work Start time on Fault]]="NA","",(TA[[#This Row],[Fault Acknowledgement Time ]]-TA[[#This Row],[Fault Time]])*24)</f>
        <v>0</v>
      </c>
      <c r="AB922" s="35">
        <f>(TA[[#This Row],[Work Start time on Fault]]-TA[[#This Row],[Fault Time]])*24</f>
        <v>0</v>
      </c>
      <c r="AC922" s="34">
        <f>(TA[[#This Row],[Work Completion time on fault]]-TA[[#This Row],[Fault Time]])*24</f>
        <v>0</v>
      </c>
      <c r="AD922" s="35">
        <f>IFERROR((TA[[#This Row],[Work Completion time on fault]]-TA[[#This Row],[Fault Time]])*24,"")</f>
        <v>0</v>
      </c>
      <c r="AE922" t="s">
        <v>328</v>
      </c>
      <c r="AF922" t="s">
        <v>256</v>
      </c>
      <c r="AG922" s="2"/>
      <c r="AH922" s="44">
        <f>1-COS(RADIANS(TA[[#This Row],[Avg. Target Angle during Fault Time (Radians)]]-TA[[#This Row],[Angle of affected equipment ]]))</f>
        <v>0.11705240714107301</v>
      </c>
      <c r="AI922" s="35">
        <f>IFERROR(TA[[#This Row],[Breakdown Time]]*TA[[#This Row],[Plant Equivalent Weightage]],"")</f>
        <v>0</v>
      </c>
    </row>
    <row r="923" spans="1:35">
      <c r="A923" s="2">
        <f t="shared" si="76"/>
        <v>920</v>
      </c>
      <c r="B923" s="156">
        <f t="shared" si="83"/>
        <v>2026</v>
      </c>
      <c r="C923" s="129">
        <f t="shared" si="84"/>
        <v>2025</v>
      </c>
      <c r="D923" s="2" t="s">
        <v>155</v>
      </c>
      <c r="E923" s="2" t="s">
        <v>155</v>
      </c>
      <c r="F923" s="39">
        <v>45778</v>
      </c>
      <c r="G923" s="2">
        <f>DAY(EOMONTH(TA[[#This Row],[Month Year]],0))</f>
        <v>31</v>
      </c>
      <c r="H923" s="21">
        <v>45808</v>
      </c>
      <c r="I923" s="41">
        <f>IFERROR(VLOOKUP(TA[[#This Row],[Date]],Raw_Data[[Date]:[Sunset Time (POA&lt;20 W/m2)]],3,0),"")</f>
        <v>0.24444444444444444</v>
      </c>
      <c r="J923" s="41">
        <f>IFERROR(VLOOKUP(TA[[#This Row],[Date]],Raw_Data[[Date]:[Sunset Time (POA&lt;20 W/m2)]],4,0),"")</f>
        <v>0.77569444444444446</v>
      </c>
      <c r="K923" s="35">
        <f>IFERROR((TA[[#This Row],[Sunset Time (POA&lt;20 W/m2)]]-TA[[#This Row],[Sunrise Time (POA&gt;20 W/m2)]])*24,"")</f>
        <v>12.75</v>
      </c>
      <c r="L923" s="2" t="s">
        <v>294</v>
      </c>
      <c r="M923" s="42">
        <f>IFERROR(VLOOKUP(TA[[#This Row],[Affected Equipment]],'Basic Data'!$I$2:$K$40,3,0),"")</f>
        <v>1.7241379310344799E-3</v>
      </c>
      <c r="N923">
        <v>-28</v>
      </c>
      <c r="O923" t="s">
        <v>137</v>
      </c>
      <c r="P923" s="127" t="s">
        <v>315</v>
      </c>
      <c r="Q923" s="126" t="s">
        <v>319</v>
      </c>
      <c r="R923">
        <v>166</v>
      </c>
      <c r="S923" s="2">
        <v>91</v>
      </c>
      <c r="T923" t="s">
        <v>295</v>
      </c>
      <c r="U923" t="s">
        <v>300</v>
      </c>
      <c r="V923" t="s">
        <v>298</v>
      </c>
      <c r="W923" s="41"/>
      <c r="X923" s="41"/>
      <c r="Y923" s="34"/>
      <c r="Z923" s="34"/>
      <c r="AA923" s="35">
        <f>IF(TA[[#This Row],[Work Start time on Fault]]="NA","",(TA[[#This Row],[Fault Acknowledgement Time ]]-TA[[#This Row],[Fault Time]])*24)</f>
        <v>0</v>
      </c>
      <c r="AB923" s="35">
        <f>(TA[[#This Row],[Work Start time on Fault]]-TA[[#This Row],[Fault Time]])*24</f>
        <v>0</v>
      </c>
      <c r="AC923" s="34">
        <f>(TA[[#This Row],[Work Completion time on fault]]-TA[[#This Row],[Fault Time]])*24</f>
        <v>0</v>
      </c>
      <c r="AD923" s="35">
        <f>IFERROR((TA[[#This Row],[Work Completion time on fault]]-TA[[#This Row],[Fault Time]])*24,"")</f>
        <v>0</v>
      </c>
      <c r="AE923" t="s">
        <v>328</v>
      </c>
      <c r="AF923" t="s">
        <v>256</v>
      </c>
      <c r="AG923" s="2"/>
      <c r="AH923" s="44">
        <f>1-COS(RADIANS(TA[[#This Row],[Avg. Target Angle during Fault Time (Radians)]]-TA[[#This Row],[Angle of affected equipment ]]))</f>
        <v>0.11705240714107301</v>
      </c>
      <c r="AI923" s="35">
        <f>IFERROR(TA[[#This Row],[Breakdown Time]]*TA[[#This Row],[Plant Equivalent Weightage]],"")</f>
        <v>0</v>
      </c>
    </row>
    <row r="924" spans="1:35">
      <c r="A924" s="2">
        <f t="shared" si="76"/>
        <v>921</v>
      </c>
      <c r="B924" s="156">
        <f t="shared" si="83"/>
        <v>2026</v>
      </c>
      <c r="C924" s="129">
        <f t="shared" si="84"/>
        <v>2025</v>
      </c>
      <c r="D924" s="2" t="s">
        <v>155</v>
      </c>
      <c r="E924" s="2" t="s">
        <v>155</v>
      </c>
      <c r="F924" s="39">
        <v>45778</v>
      </c>
      <c r="G924" s="2">
        <f>DAY(EOMONTH(TA[[#This Row],[Month Year]],0))</f>
        <v>31</v>
      </c>
      <c r="H924" s="21">
        <v>45808</v>
      </c>
      <c r="I924" s="41">
        <f>IFERROR(VLOOKUP(TA[[#This Row],[Date]],Raw_Data[[Date]:[Sunset Time (POA&lt;20 W/m2)]],3,0),"")</f>
        <v>0.24444444444444444</v>
      </c>
      <c r="J924" s="41">
        <f>IFERROR(VLOOKUP(TA[[#This Row],[Date]],Raw_Data[[Date]:[Sunset Time (POA&lt;20 W/m2)]],4,0),"")</f>
        <v>0.77569444444444446</v>
      </c>
      <c r="K924" s="35">
        <f>IFERROR((TA[[#This Row],[Sunset Time (POA&lt;20 W/m2)]]-TA[[#This Row],[Sunrise Time (POA&gt;20 W/m2)]])*24,"")</f>
        <v>12.75</v>
      </c>
      <c r="L924" s="2" t="s">
        <v>294</v>
      </c>
      <c r="M924" s="42">
        <f>IFERROR(VLOOKUP(TA[[#This Row],[Affected Equipment]],'Basic Data'!$I$2:$K$40,3,0),"")</f>
        <v>1.7241379310344799E-3</v>
      </c>
      <c r="N924">
        <v>-28</v>
      </c>
      <c r="O924" t="s">
        <v>133</v>
      </c>
      <c r="P924" s="127" t="s">
        <v>316</v>
      </c>
      <c r="Q924" s="126" t="s">
        <v>316</v>
      </c>
      <c r="R924">
        <v>117</v>
      </c>
      <c r="S924" s="2">
        <v>20</v>
      </c>
      <c r="T924" t="s">
        <v>295</v>
      </c>
      <c r="U924" t="s">
        <v>300</v>
      </c>
      <c r="V924" t="s">
        <v>298</v>
      </c>
      <c r="W924" s="41"/>
      <c r="X924" s="41"/>
      <c r="Y924" s="34"/>
      <c r="Z924" s="34"/>
      <c r="AA924" s="35">
        <f>IF(TA[[#This Row],[Work Start time on Fault]]="NA","",(TA[[#This Row],[Fault Acknowledgement Time ]]-TA[[#This Row],[Fault Time]])*24)</f>
        <v>0</v>
      </c>
      <c r="AB924" s="35">
        <f>(TA[[#This Row],[Work Start time on Fault]]-TA[[#This Row],[Fault Time]])*24</f>
        <v>0</v>
      </c>
      <c r="AC924" s="34">
        <f>(TA[[#This Row],[Work Completion time on fault]]-TA[[#This Row],[Fault Time]])*24</f>
        <v>0</v>
      </c>
      <c r="AD924" s="35">
        <f>IFERROR((TA[[#This Row],[Work Completion time on fault]]-TA[[#This Row],[Fault Time]])*24,"")</f>
        <v>0</v>
      </c>
      <c r="AE924" t="s">
        <v>328</v>
      </c>
      <c r="AF924" t="s">
        <v>256</v>
      </c>
      <c r="AG924" s="2"/>
      <c r="AH924" s="44">
        <f>1-COS(RADIANS(TA[[#This Row],[Avg. Target Angle during Fault Time (Radians)]]-TA[[#This Row],[Angle of affected equipment ]]))</f>
        <v>0.11705240714107301</v>
      </c>
      <c r="AI924" s="35">
        <f>IFERROR(TA[[#This Row],[Breakdown Time]]*TA[[#This Row],[Plant Equivalent Weightage]],"")</f>
        <v>0</v>
      </c>
    </row>
    <row r="925" spans="1:35">
      <c r="A925" s="2">
        <f t="shared" si="76"/>
        <v>922</v>
      </c>
      <c r="B925" s="156">
        <f t="shared" si="83"/>
        <v>2026</v>
      </c>
      <c r="C925" s="129">
        <f t="shared" si="84"/>
        <v>2025</v>
      </c>
      <c r="D925" s="2" t="s">
        <v>155</v>
      </c>
      <c r="E925" s="2" t="s">
        <v>155</v>
      </c>
      <c r="F925" s="39">
        <v>45778</v>
      </c>
      <c r="G925" s="2">
        <f>DAY(EOMONTH(TA[[#This Row],[Month Year]],0))</f>
        <v>31</v>
      </c>
      <c r="H925" s="21">
        <v>45808</v>
      </c>
      <c r="I925" s="41">
        <f>IFERROR(VLOOKUP(TA[[#This Row],[Date]],Raw_Data[[Date]:[Sunset Time (POA&lt;20 W/m2)]],3,0),"")</f>
        <v>0.24444444444444444</v>
      </c>
      <c r="J925" s="41">
        <f>IFERROR(VLOOKUP(TA[[#This Row],[Date]],Raw_Data[[Date]:[Sunset Time (POA&lt;20 W/m2)]],4,0),"")</f>
        <v>0.77569444444444446</v>
      </c>
      <c r="K925" s="35">
        <f>IFERROR((TA[[#This Row],[Sunset Time (POA&lt;20 W/m2)]]-TA[[#This Row],[Sunrise Time (POA&gt;20 W/m2)]])*24,"")</f>
        <v>12.75</v>
      </c>
      <c r="L925" s="2" t="s">
        <v>294</v>
      </c>
      <c r="M925" s="42">
        <f>IFERROR(VLOOKUP(TA[[#This Row],[Affected Equipment]],'Basic Data'!$I$2:$K$40,3,0),"")</f>
        <v>1.7241379310344799E-3</v>
      </c>
      <c r="N925">
        <v>-28</v>
      </c>
      <c r="O925" t="s">
        <v>133</v>
      </c>
      <c r="P925" s="127" t="s">
        <v>316</v>
      </c>
      <c r="Q925" s="126" t="s">
        <v>316</v>
      </c>
      <c r="R925">
        <v>118</v>
      </c>
      <c r="S925" s="2">
        <v>22</v>
      </c>
      <c r="T925" t="s">
        <v>295</v>
      </c>
      <c r="U925" t="s">
        <v>300</v>
      </c>
      <c r="V925" t="s">
        <v>298</v>
      </c>
      <c r="W925" s="41"/>
      <c r="X925" s="41"/>
      <c r="Y925" s="34"/>
      <c r="Z925" s="34"/>
      <c r="AA925" s="35">
        <f>IF(TA[[#This Row],[Work Start time on Fault]]="NA","",(TA[[#This Row],[Fault Acknowledgement Time ]]-TA[[#This Row],[Fault Time]])*24)</f>
        <v>0</v>
      </c>
      <c r="AB925" s="35">
        <f>(TA[[#This Row],[Work Start time on Fault]]-TA[[#This Row],[Fault Time]])*24</f>
        <v>0</v>
      </c>
      <c r="AC925" s="34">
        <f>(TA[[#This Row],[Work Completion time on fault]]-TA[[#This Row],[Fault Time]])*24</f>
        <v>0</v>
      </c>
      <c r="AD925" s="35">
        <f>IFERROR((TA[[#This Row],[Work Completion time on fault]]-TA[[#This Row],[Fault Time]])*24,"")</f>
        <v>0</v>
      </c>
      <c r="AE925" t="s">
        <v>328</v>
      </c>
      <c r="AF925" t="s">
        <v>256</v>
      </c>
      <c r="AG925" s="2"/>
      <c r="AH925" s="44">
        <f>1-COS(RADIANS(TA[[#This Row],[Avg. Target Angle during Fault Time (Radians)]]-TA[[#This Row],[Angle of affected equipment ]]))</f>
        <v>0.11705240714107301</v>
      </c>
      <c r="AI925" s="35">
        <f>IFERROR(TA[[#This Row],[Breakdown Time]]*TA[[#This Row],[Plant Equivalent Weightage]],"")</f>
        <v>0</v>
      </c>
    </row>
    <row r="926" spans="1:35">
      <c r="A926" s="2">
        <f t="shared" si="76"/>
        <v>923</v>
      </c>
      <c r="B926" s="156">
        <f t="shared" si="83"/>
        <v>2026</v>
      </c>
      <c r="C926" s="129">
        <f t="shared" si="84"/>
        <v>2025</v>
      </c>
      <c r="D926" s="2" t="s">
        <v>155</v>
      </c>
      <c r="E926" s="2" t="s">
        <v>155</v>
      </c>
      <c r="F926" s="39">
        <v>45778</v>
      </c>
      <c r="G926" s="2">
        <f>DAY(EOMONTH(TA[[#This Row],[Month Year]],0))</f>
        <v>31</v>
      </c>
      <c r="H926" s="21">
        <v>45808</v>
      </c>
      <c r="I926" s="41">
        <f>IFERROR(VLOOKUP(TA[[#This Row],[Date]],Raw_Data[[Date]:[Sunset Time (POA&lt;20 W/m2)]],3,0),"")</f>
        <v>0.24444444444444444</v>
      </c>
      <c r="J926" s="41">
        <f>IFERROR(VLOOKUP(TA[[#This Row],[Date]],Raw_Data[[Date]:[Sunset Time (POA&lt;20 W/m2)]],4,0),"")</f>
        <v>0.77569444444444446</v>
      </c>
      <c r="K926" s="35">
        <f>IFERROR((TA[[#This Row],[Sunset Time (POA&lt;20 W/m2)]]-TA[[#This Row],[Sunrise Time (POA&gt;20 W/m2)]])*24,"")</f>
        <v>12.75</v>
      </c>
      <c r="L926" s="2" t="s">
        <v>296</v>
      </c>
      <c r="M926" s="42">
        <f>IFERROR(VLOOKUP(TA[[#This Row],[Affected Equipment]],'Basic Data'!$I$2:$K$40,3,0),"")</f>
        <v>8.6206896551724102E-3</v>
      </c>
      <c r="N926">
        <v>-28</v>
      </c>
      <c r="O926" t="s">
        <v>135</v>
      </c>
      <c r="P926" s="22" t="s">
        <v>323</v>
      </c>
      <c r="Q926" s="2" t="s">
        <v>329</v>
      </c>
      <c r="R926">
        <v>45</v>
      </c>
      <c r="S926" s="2">
        <v>8</v>
      </c>
      <c r="T926" t="s">
        <v>297</v>
      </c>
      <c r="U926" t="s">
        <v>300</v>
      </c>
      <c r="V926" t="s">
        <v>301</v>
      </c>
      <c r="W926" s="41"/>
      <c r="X926" s="41"/>
      <c r="Y926" s="34"/>
      <c r="Z926" s="34"/>
      <c r="AA926" s="35">
        <f>IF(TA[[#This Row],[Work Start time on Fault]]="NA","",(TA[[#This Row],[Fault Acknowledgement Time ]]-TA[[#This Row],[Fault Time]])*24)</f>
        <v>0</v>
      </c>
      <c r="AB926" s="35">
        <f>(TA[[#This Row],[Work Start time on Fault]]-TA[[#This Row],[Fault Time]])*24</f>
        <v>0</v>
      </c>
      <c r="AC926" s="34">
        <f>(TA[[#This Row],[Work Completion time on fault]]-TA[[#This Row],[Fault Time]])*24</f>
        <v>0</v>
      </c>
      <c r="AD926" s="35">
        <f>IFERROR((TA[[#This Row],[Work Completion time on fault]]-TA[[#This Row],[Fault Time]])*24,"")</f>
        <v>0</v>
      </c>
      <c r="AE926" t="s">
        <v>328</v>
      </c>
      <c r="AF926" t="s">
        <v>256</v>
      </c>
      <c r="AG926" s="2"/>
      <c r="AH926" s="44">
        <f>1-COS(RADIANS(TA[[#This Row],[Avg. Target Angle during Fault Time (Radians)]]-TA[[#This Row],[Angle of affected equipment ]]))</f>
        <v>0.11705240714107301</v>
      </c>
      <c r="AI926" s="35">
        <f>IFERROR(TA[[#This Row],[Breakdown Time]]*TA[[#This Row],[Plant Equivalent Weightage]],"")</f>
        <v>0</v>
      </c>
    </row>
    <row r="927" spans="1:35">
      <c r="A927" s="2">
        <f t="shared" si="76"/>
        <v>924</v>
      </c>
      <c r="B927" s="156">
        <f t="shared" si="83"/>
        <v>2026</v>
      </c>
      <c r="C927" s="129">
        <f t="shared" si="84"/>
        <v>2025</v>
      </c>
      <c r="D927" s="2" t="s">
        <v>155</v>
      </c>
      <c r="E927" s="2" t="s">
        <v>155</v>
      </c>
      <c r="F927" s="39">
        <v>45778</v>
      </c>
      <c r="G927" s="2">
        <f>DAY(EOMONTH(TA[[#This Row],[Month Year]],0))</f>
        <v>31</v>
      </c>
      <c r="H927" s="21">
        <v>45808</v>
      </c>
      <c r="I927" s="41">
        <f>IFERROR(VLOOKUP(TA[[#This Row],[Date]],Raw_Data[[Date]:[Sunset Time (POA&lt;20 W/m2)]],3,0),"")</f>
        <v>0.24444444444444444</v>
      </c>
      <c r="J927" s="41">
        <f>IFERROR(VLOOKUP(TA[[#This Row],[Date]],Raw_Data[[Date]:[Sunset Time (POA&lt;20 W/m2)]],4,0),"")</f>
        <v>0.77569444444444446</v>
      </c>
      <c r="K927" s="35">
        <f>IFERROR((TA[[#This Row],[Sunset Time (POA&lt;20 W/m2)]]-TA[[#This Row],[Sunrise Time (POA&gt;20 W/m2)]])*24,"")</f>
        <v>12.75</v>
      </c>
      <c r="L927" s="2" t="s">
        <v>296</v>
      </c>
      <c r="M927" s="42">
        <f>IFERROR(VLOOKUP(TA[[#This Row],[Affected Equipment]],'Basic Data'!$I$2:$K$40,3,0),"")</f>
        <v>8.6206896551724102E-3</v>
      </c>
      <c r="N927">
        <v>-28</v>
      </c>
      <c r="O927" t="s">
        <v>135</v>
      </c>
      <c r="P927" s="22" t="s">
        <v>323</v>
      </c>
      <c r="Q927" s="2" t="s">
        <v>329</v>
      </c>
      <c r="R927">
        <v>47</v>
      </c>
      <c r="S927" s="2">
        <v>18</v>
      </c>
      <c r="T927" t="s">
        <v>297</v>
      </c>
      <c r="U927" t="s">
        <v>300</v>
      </c>
      <c r="V927" t="s">
        <v>301</v>
      </c>
      <c r="W927" s="41"/>
      <c r="X927" s="41"/>
      <c r="Y927" s="34"/>
      <c r="Z927" s="34"/>
      <c r="AA927" s="35">
        <f>IF(TA[[#This Row],[Work Start time on Fault]]="NA","",(TA[[#This Row],[Fault Acknowledgement Time ]]-TA[[#This Row],[Fault Time]])*24)</f>
        <v>0</v>
      </c>
      <c r="AB927" s="35">
        <f>(TA[[#This Row],[Work Start time on Fault]]-TA[[#This Row],[Fault Time]])*24</f>
        <v>0</v>
      </c>
      <c r="AC927" s="34">
        <f>(TA[[#This Row],[Work Completion time on fault]]-TA[[#This Row],[Fault Time]])*24</f>
        <v>0</v>
      </c>
      <c r="AD927" s="35">
        <f>IFERROR((TA[[#This Row],[Work Completion time on fault]]-TA[[#This Row],[Fault Time]])*24,"")</f>
        <v>0</v>
      </c>
      <c r="AE927" t="s">
        <v>328</v>
      </c>
      <c r="AF927" t="s">
        <v>256</v>
      </c>
      <c r="AG927" s="2"/>
      <c r="AH927" s="44">
        <f>1-COS(RADIANS(TA[[#This Row],[Avg. Target Angle during Fault Time (Radians)]]-TA[[#This Row],[Angle of affected equipment ]]))</f>
        <v>0.11705240714107301</v>
      </c>
      <c r="AI927" s="35">
        <f>IFERROR(TA[[#This Row],[Breakdown Time]]*TA[[#This Row],[Plant Equivalent Weightage]],"")</f>
        <v>0</v>
      </c>
    </row>
    <row r="928" spans="1:35">
      <c r="A928" s="2">
        <f t="shared" si="76"/>
        <v>925</v>
      </c>
      <c r="B928" s="156">
        <f t="shared" si="83"/>
        <v>2026</v>
      </c>
      <c r="C928" s="129">
        <f t="shared" si="84"/>
        <v>2025</v>
      </c>
      <c r="D928" s="2" t="s">
        <v>155</v>
      </c>
      <c r="E928" s="2" t="s">
        <v>155</v>
      </c>
      <c r="F928" s="39">
        <v>45778</v>
      </c>
      <c r="G928" s="2">
        <f>DAY(EOMONTH(TA[[#This Row],[Month Year]],0))</f>
        <v>31</v>
      </c>
      <c r="H928" s="21">
        <v>45808</v>
      </c>
      <c r="I928" s="41">
        <f>IFERROR(VLOOKUP(TA[[#This Row],[Date]],Raw_Data[[Date]:[Sunset Time (POA&lt;20 W/m2)]],3,0),"")</f>
        <v>0.24444444444444444</v>
      </c>
      <c r="J928" s="41">
        <f>IFERROR(VLOOKUP(TA[[#This Row],[Date]],Raw_Data[[Date]:[Sunset Time (POA&lt;20 W/m2)]],4,0),"")</f>
        <v>0.77569444444444446</v>
      </c>
      <c r="K928" s="35">
        <f>IFERROR((TA[[#This Row],[Sunset Time (POA&lt;20 W/m2)]]-TA[[#This Row],[Sunrise Time (POA&gt;20 W/m2)]])*24,"")</f>
        <v>12.75</v>
      </c>
      <c r="L928" s="2" t="s">
        <v>296</v>
      </c>
      <c r="M928" s="42">
        <f>IFERROR(VLOOKUP(TA[[#This Row],[Affected Equipment]],'Basic Data'!$I$2:$K$40,3,0),"")</f>
        <v>8.6206896551724102E-3</v>
      </c>
      <c r="N928">
        <v>-28</v>
      </c>
      <c r="O928" t="s">
        <v>134</v>
      </c>
      <c r="P928" s="22" t="s">
        <v>330</v>
      </c>
      <c r="Q928" s="2" t="s">
        <v>323</v>
      </c>
      <c r="R928">
        <v>30</v>
      </c>
      <c r="S928" s="2">
        <v>57</v>
      </c>
      <c r="T928" t="s">
        <v>297</v>
      </c>
      <c r="U928" t="s">
        <v>300</v>
      </c>
      <c r="V928" t="s">
        <v>301</v>
      </c>
      <c r="W928" s="41"/>
      <c r="X928" s="41"/>
      <c r="Y928" s="34"/>
      <c r="Z928" s="34"/>
      <c r="AA928" s="35">
        <f>IF(TA[[#This Row],[Work Start time on Fault]]="NA","",(TA[[#This Row],[Fault Acknowledgement Time ]]-TA[[#This Row],[Fault Time]])*24)</f>
        <v>0</v>
      </c>
      <c r="AB928" s="35">
        <f>(TA[[#This Row],[Work Start time on Fault]]-TA[[#This Row],[Fault Time]])*24</f>
        <v>0</v>
      </c>
      <c r="AC928" s="34">
        <f>(TA[[#This Row],[Work Completion time on fault]]-TA[[#This Row],[Fault Time]])*24</f>
        <v>0</v>
      </c>
      <c r="AD928" s="35">
        <f>IFERROR((TA[[#This Row],[Work Completion time on fault]]-TA[[#This Row],[Fault Time]])*24,"")</f>
        <v>0</v>
      </c>
      <c r="AE928" t="s">
        <v>328</v>
      </c>
      <c r="AF928" t="s">
        <v>256</v>
      </c>
      <c r="AG928" s="2"/>
      <c r="AH928" s="44">
        <f>1-COS(RADIANS(TA[[#This Row],[Avg. Target Angle during Fault Time (Radians)]]-TA[[#This Row],[Angle of affected equipment ]]))</f>
        <v>0.11705240714107301</v>
      </c>
      <c r="AI928" s="35">
        <f>IFERROR(TA[[#This Row],[Breakdown Time]]*TA[[#This Row],[Plant Equivalent Weightage]],"")</f>
        <v>0</v>
      </c>
    </row>
    <row r="929" spans="1:35">
      <c r="A929" s="2">
        <f t="shared" si="76"/>
        <v>926</v>
      </c>
      <c r="B929" s="156">
        <f t="shared" si="83"/>
        <v>2026</v>
      </c>
      <c r="C929" s="129">
        <f t="shared" si="84"/>
        <v>2025</v>
      </c>
      <c r="D929" s="2" t="s">
        <v>155</v>
      </c>
      <c r="E929" s="2" t="s">
        <v>155</v>
      </c>
      <c r="F929" s="39">
        <v>45778</v>
      </c>
      <c r="G929" s="2">
        <f>DAY(EOMONTH(TA[[#This Row],[Month Year]],0))</f>
        <v>31</v>
      </c>
      <c r="H929" s="21">
        <v>45808</v>
      </c>
      <c r="I929" s="41">
        <f>IFERROR(VLOOKUP(TA[[#This Row],[Date]],Raw_Data[[Date]:[Sunset Time (POA&lt;20 W/m2)]],3,0),"")</f>
        <v>0.24444444444444444</v>
      </c>
      <c r="J929" s="41">
        <f>IFERROR(VLOOKUP(TA[[#This Row],[Date]],Raw_Data[[Date]:[Sunset Time (POA&lt;20 W/m2)]],4,0),"")</f>
        <v>0.77569444444444446</v>
      </c>
      <c r="K929" s="35">
        <f>IFERROR((TA[[#This Row],[Sunset Time (POA&lt;20 W/m2)]]-TA[[#This Row],[Sunrise Time (POA&gt;20 W/m2)]])*24,"")</f>
        <v>12.75</v>
      </c>
      <c r="L929" s="2" t="s">
        <v>296</v>
      </c>
      <c r="M929" s="42">
        <f>IFERROR(VLOOKUP(TA[[#This Row],[Affected Equipment]],'Basic Data'!$I$2:$K$40,3,0),"")</f>
        <v>8.6206896551724102E-3</v>
      </c>
      <c r="N929">
        <v>-28</v>
      </c>
      <c r="O929" t="s">
        <v>134</v>
      </c>
      <c r="P929" s="22" t="s">
        <v>330</v>
      </c>
      <c r="Q929" s="2" t="s">
        <v>323</v>
      </c>
      <c r="R929">
        <v>31</v>
      </c>
      <c r="S929" s="2">
        <v>61</v>
      </c>
      <c r="T929" t="s">
        <v>297</v>
      </c>
      <c r="U929" t="s">
        <v>300</v>
      </c>
      <c r="V929" t="s">
        <v>301</v>
      </c>
      <c r="W929" s="41"/>
      <c r="X929" s="41"/>
      <c r="Y929" s="34"/>
      <c r="Z929" s="34"/>
      <c r="AA929" s="35">
        <f>IF(TA[[#This Row],[Work Start time on Fault]]="NA","",(TA[[#This Row],[Fault Acknowledgement Time ]]-TA[[#This Row],[Fault Time]])*24)</f>
        <v>0</v>
      </c>
      <c r="AB929" s="35">
        <f>(TA[[#This Row],[Work Start time on Fault]]-TA[[#This Row],[Fault Time]])*24</f>
        <v>0</v>
      </c>
      <c r="AC929" s="34">
        <f>(TA[[#This Row],[Work Completion time on fault]]-TA[[#This Row],[Fault Time]])*24</f>
        <v>0</v>
      </c>
      <c r="AD929" s="35">
        <f>IFERROR((TA[[#This Row],[Work Completion time on fault]]-TA[[#This Row],[Fault Time]])*24,"")</f>
        <v>0</v>
      </c>
      <c r="AE929" t="s">
        <v>328</v>
      </c>
      <c r="AF929" t="s">
        <v>256</v>
      </c>
      <c r="AG929" s="2"/>
      <c r="AH929" s="44">
        <f>1-COS(RADIANS(TA[[#This Row],[Avg. Target Angle during Fault Time (Radians)]]-TA[[#This Row],[Angle of affected equipment ]]))</f>
        <v>0.11705240714107301</v>
      </c>
      <c r="AI929" s="35">
        <f>IFERROR(TA[[#This Row],[Breakdown Time]]*TA[[#This Row],[Plant Equivalent Weightage]],"")</f>
        <v>0</v>
      </c>
    </row>
    <row r="930" spans="1:35">
      <c r="A930" s="2">
        <f t="shared" si="76"/>
        <v>927</v>
      </c>
      <c r="B930" s="156">
        <f t="shared" si="83"/>
        <v>2026</v>
      </c>
      <c r="C930" s="129">
        <f t="shared" si="84"/>
        <v>2025</v>
      </c>
      <c r="D930" s="2" t="s">
        <v>155</v>
      </c>
      <c r="E930" s="2" t="s">
        <v>155</v>
      </c>
      <c r="F930" s="39">
        <v>45778</v>
      </c>
      <c r="G930" s="2">
        <f>DAY(EOMONTH(TA[[#This Row],[Month Year]],0))</f>
        <v>31</v>
      </c>
      <c r="H930" s="21">
        <v>45808</v>
      </c>
      <c r="I930" s="41">
        <f>IFERROR(VLOOKUP(TA[[#This Row],[Date]],Raw_Data[[Date]:[Sunset Time (POA&lt;20 W/m2)]],3,0),"")</f>
        <v>0.24444444444444444</v>
      </c>
      <c r="J930" s="41">
        <f>IFERROR(VLOOKUP(TA[[#This Row],[Date]],Raw_Data[[Date]:[Sunset Time (POA&lt;20 W/m2)]],4,0),"")</f>
        <v>0.77569444444444446</v>
      </c>
      <c r="K930" s="35">
        <f>IFERROR((TA[[#This Row],[Sunset Time (POA&lt;20 W/m2)]]-TA[[#This Row],[Sunrise Time (POA&gt;20 W/m2)]])*24,"")</f>
        <v>12.75</v>
      </c>
      <c r="L930" s="2" t="s">
        <v>312</v>
      </c>
      <c r="M930" s="42">
        <f>IFERROR(VLOOKUP(TA[[#This Row],[Affected Equipment]],'Basic Data'!$I$2:$K$40,3,0),"")</f>
        <v>5.74712643678161E-3</v>
      </c>
      <c r="N930">
        <v>-28</v>
      </c>
      <c r="O930" t="s">
        <v>133</v>
      </c>
      <c r="P930" s="22" t="s">
        <v>330</v>
      </c>
      <c r="Q930" s="2" t="s">
        <v>323</v>
      </c>
      <c r="R930">
        <v>26</v>
      </c>
      <c r="S930" s="2">
        <v>37</v>
      </c>
      <c r="T930" t="s">
        <v>297</v>
      </c>
      <c r="U930" t="s">
        <v>300</v>
      </c>
      <c r="V930" t="s">
        <v>301</v>
      </c>
      <c r="W930" s="41"/>
      <c r="X930" s="41"/>
      <c r="Y930" s="34"/>
      <c r="Z930" s="34"/>
      <c r="AA930" s="35">
        <f>IF(TA[[#This Row],[Work Start time on Fault]]="NA","",(TA[[#This Row],[Fault Acknowledgement Time ]]-TA[[#This Row],[Fault Time]])*24)</f>
        <v>0</v>
      </c>
      <c r="AB930" s="35">
        <f>(TA[[#This Row],[Work Start time on Fault]]-TA[[#This Row],[Fault Time]])*24</f>
        <v>0</v>
      </c>
      <c r="AC930" s="34">
        <f>(TA[[#This Row],[Work Completion time on fault]]-TA[[#This Row],[Fault Time]])*24</f>
        <v>0</v>
      </c>
      <c r="AD930" s="35">
        <f>IFERROR((TA[[#This Row],[Work Completion time on fault]]-TA[[#This Row],[Fault Time]])*24,"")</f>
        <v>0</v>
      </c>
      <c r="AE930" t="s">
        <v>328</v>
      </c>
      <c r="AF930" t="s">
        <v>256</v>
      </c>
      <c r="AG930" s="2"/>
      <c r="AH930" s="44">
        <f>1-COS(RADIANS(TA[[#This Row],[Avg. Target Angle during Fault Time (Radians)]]-TA[[#This Row],[Angle of affected equipment ]]))</f>
        <v>0.11705240714107301</v>
      </c>
      <c r="AI930" s="35">
        <f>IFERROR(TA[[#This Row],[Breakdown Time]]*TA[[#This Row],[Plant Equivalent Weightage]],"")</f>
        <v>0</v>
      </c>
    </row>
    <row r="931" spans="1:35">
      <c r="A931" s="2">
        <f t="shared" si="76"/>
        <v>928</v>
      </c>
      <c r="B931" s="156">
        <f t="shared" si="83"/>
        <v>2026</v>
      </c>
      <c r="C931" s="129">
        <f t="shared" si="84"/>
        <v>2025</v>
      </c>
      <c r="D931" s="2" t="s">
        <v>155</v>
      </c>
      <c r="E931" s="2" t="s">
        <v>155</v>
      </c>
      <c r="F931" s="39">
        <v>45778</v>
      </c>
      <c r="G931" s="2">
        <f>DAY(EOMONTH(TA[[#This Row],[Month Year]],0))</f>
        <v>31</v>
      </c>
      <c r="H931" s="21">
        <v>45808</v>
      </c>
      <c r="I931" s="41">
        <f>IFERROR(VLOOKUP(TA[[#This Row],[Date]],Raw_Data[[Date]:[Sunset Time (POA&lt;20 W/m2)]],3,0),"")</f>
        <v>0.24444444444444444</v>
      </c>
      <c r="J931" s="41">
        <f>IFERROR(VLOOKUP(TA[[#This Row],[Date]],Raw_Data[[Date]:[Sunset Time (POA&lt;20 W/m2)]],4,0),"")</f>
        <v>0.77569444444444446</v>
      </c>
      <c r="K931" s="35">
        <f>IFERROR((TA[[#This Row],[Sunset Time (POA&lt;20 W/m2)]]-TA[[#This Row],[Sunrise Time (POA&gt;20 W/m2)]])*24,"")</f>
        <v>12.75</v>
      </c>
      <c r="L931" s="2" t="s">
        <v>312</v>
      </c>
      <c r="M931" s="42">
        <f>IFERROR(VLOOKUP(TA[[#This Row],[Affected Equipment]],'Basic Data'!$I$2:$K$40,3,0),"")</f>
        <v>5.74712643678161E-3</v>
      </c>
      <c r="N931">
        <v>-28</v>
      </c>
      <c r="O931" t="s">
        <v>133</v>
      </c>
      <c r="P931" s="22" t="s">
        <v>330</v>
      </c>
      <c r="Q931" s="2" t="s">
        <v>323</v>
      </c>
      <c r="R931">
        <v>27</v>
      </c>
      <c r="S931" s="2">
        <v>42</v>
      </c>
      <c r="T931" t="s">
        <v>297</v>
      </c>
      <c r="U931" t="s">
        <v>300</v>
      </c>
      <c r="V931" t="s">
        <v>301</v>
      </c>
      <c r="W931" s="41">
        <f>IFERROR(VLOOKUP(TA[[#This Row],[Date]],Raw_Data[[Date]:[Sunset Time (POA&lt;20 W/m2)]],3,0),"")</f>
        <v>0.24444444444444444</v>
      </c>
      <c r="X931" s="41">
        <f>IFERROR(VLOOKUP(TA[[#This Row],[Date]],Raw_Data[[Date]:[Sunset Time (POA&lt;20 W/m2)]],3,0),"")</f>
        <v>0.24444444444444444</v>
      </c>
      <c r="Y931" s="34"/>
      <c r="Z931" s="34">
        <v>0.76041666666666663</v>
      </c>
      <c r="AA931" s="35">
        <f>IF(TA[[#This Row],[Work Start time on Fault]]="NA","",(TA[[#This Row],[Fault Acknowledgement Time ]]-TA[[#This Row],[Fault Time]])*24)</f>
        <v>0</v>
      </c>
      <c r="AB931" s="35">
        <f>(TA[[#This Row],[Work Start time on Fault]]-TA[[#This Row],[Fault Time]])*24</f>
        <v>-5.8666666666666663</v>
      </c>
      <c r="AC931" s="34">
        <f>(TA[[#This Row],[Work Completion time on fault]]-TA[[#This Row],[Fault Time]])*24</f>
        <v>12.383333333333333</v>
      </c>
      <c r="AD931" s="35">
        <f>IFERROR((TA[[#This Row],[Work Completion time on fault]]-TA[[#This Row],[Fault Time]])*24,"")</f>
        <v>12.383333333333333</v>
      </c>
      <c r="AE931" t="s">
        <v>309</v>
      </c>
      <c r="AF931" t="s">
        <v>256</v>
      </c>
      <c r="AG931" s="2"/>
      <c r="AH931" s="44">
        <f>1-COS(RADIANS(TA[[#This Row],[Avg. Target Angle during Fault Time (Radians)]]-TA[[#This Row],[Angle of affected equipment ]]))</f>
        <v>0.11705240714107301</v>
      </c>
      <c r="AI931" s="35">
        <f>IFERROR(TA[[#This Row],[Breakdown Time]]*TA[[#This Row],[Plant Equivalent Weightage]],"")</f>
        <v>7.1168582375478934E-2</v>
      </c>
    </row>
    <row r="932" spans="1:35">
      <c r="A932" s="2">
        <f t="shared" si="76"/>
        <v>929</v>
      </c>
      <c r="B932" s="156">
        <f t="shared" ref="B932:B944" si="85">YEAR(H932)+IF(MONTH(H932)&gt;=4,1,0)</f>
        <v>2026</v>
      </c>
      <c r="C932" s="129">
        <f t="shared" ref="C932:C944" si="86">YEAR(H932)</f>
        <v>2025</v>
      </c>
      <c r="D932" s="2" t="s">
        <v>155</v>
      </c>
      <c r="E932" s="2" t="s">
        <v>155</v>
      </c>
      <c r="F932" s="39">
        <v>45809</v>
      </c>
      <c r="G932" s="2">
        <f>DAY(EOMONTH(TA[[#This Row],[Month Year]],0))</f>
        <v>30</v>
      </c>
      <c r="H932" s="21">
        <v>45809</v>
      </c>
      <c r="I932" s="41">
        <f>IFERROR(VLOOKUP(TA[[#This Row],[Date]],Raw_Data[[Date]:[Sunset Time (POA&lt;20 W/m2)]],3,0),"")</f>
        <v>0.24236111111111111</v>
      </c>
      <c r="J932" s="41">
        <f>IFERROR(VLOOKUP(TA[[#This Row],[Date]],Raw_Data[[Date]:[Sunset Time (POA&lt;20 W/m2)]],4,0),"")</f>
        <v>0.77361111111111114</v>
      </c>
      <c r="K932" s="35">
        <f>IFERROR((TA[[#This Row],[Sunset Time (POA&lt;20 W/m2)]]-TA[[#This Row],[Sunrise Time (POA&gt;20 W/m2)]])*24,"")</f>
        <v>12.75</v>
      </c>
      <c r="L932" s="2" t="s">
        <v>294</v>
      </c>
      <c r="M932" s="42">
        <f>IFERROR(VLOOKUP(TA[[#This Row],[Affected Equipment]],'Basic Data'!$I$2:$K$40,3,0),"")</f>
        <v>1.7241379310344799E-3</v>
      </c>
      <c r="N932">
        <v>-28</v>
      </c>
      <c r="O932" t="s">
        <v>135</v>
      </c>
      <c r="P932" s="127" t="s">
        <v>318</v>
      </c>
      <c r="Q932" s="126" t="s">
        <v>318</v>
      </c>
      <c r="R932">
        <v>131</v>
      </c>
      <c r="S932" s="2">
        <v>38</v>
      </c>
      <c r="T932" t="s">
        <v>295</v>
      </c>
      <c r="U932" t="s">
        <v>300</v>
      </c>
      <c r="V932" t="s">
        <v>298</v>
      </c>
      <c r="W932" s="41"/>
      <c r="X932" s="41"/>
      <c r="Y932" s="34"/>
      <c r="Z932" s="34"/>
      <c r="AA932" s="35">
        <f>IF(TA[[#This Row],[Work Start time on Fault]]="NA","",(TA[[#This Row],[Fault Acknowledgement Time ]]-TA[[#This Row],[Fault Time]])*24)</f>
        <v>0</v>
      </c>
      <c r="AB932" s="35">
        <f>(TA[[#This Row],[Work Start time on Fault]]-TA[[#This Row],[Fault Time]])*24</f>
        <v>0</v>
      </c>
      <c r="AC932" s="34">
        <f>(TA[[#This Row],[Work Completion time on fault]]-TA[[#This Row],[Fault Time]])*24</f>
        <v>0</v>
      </c>
      <c r="AD932" s="35">
        <f>IFERROR((TA[[#This Row],[Work Completion time on fault]]-TA[[#This Row],[Fault Time]])*24,"")</f>
        <v>0</v>
      </c>
      <c r="AE932" t="s">
        <v>328</v>
      </c>
      <c r="AF932" t="s">
        <v>256</v>
      </c>
      <c r="AG932" s="2"/>
      <c r="AH932" s="44">
        <f>1-COS(RADIANS(TA[[#This Row],[Avg. Target Angle during Fault Time (Radians)]]-TA[[#This Row],[Angle of affected equipment ]]))</f>
        <v>0.11705240714107301</v>
      </c>
      <c r="AI932" s="35">
        <f>IFERROR(TA[[#This Row],[Breakdown Time]]*TA[[#This Row],[Plant Equivalent Weightage]],"")</f>
        <v>0</v>
      </c>
    </row>
    <row r="933" spans="1:35">
      <c r="A933" s="2">
        <f t="shared" si="76"/>
        <v>930</v>
      </c>
      <c r="B933" s="156">
        <f t="shared" si="85"/>
        <v>2026</v>
      </c>
      <c r="C933" s="129">
        <f t="shared" si="86"/>
        <v>2025</v>
      </c>
      <c r="D933" s="2" t="s">
        <v>155</v>
      </c>
      <c r="E933" s="2" t="s">
        <v>155</v>
      </c>
      <c r="F933" s="39">
        <v>45809</v>
      </c>
      <c r="G933" s="2">
        <f>DAY(EOMONTH(TA[[#This Row],[Month Year]],0))</f>
        <v>30</v>
      </c>
      <c r="H933" s="21">
        <v>45809</v>
      </c>
      <c r="I933" s="41">
        <f>IFERROR(VLOOKUP(TA[[#This Row],[Date]],Raw_Data[[Date]:[Sunset Time (POA&lt;20 W/m2)]],3,0),"")</f>
        <v>0.24236111111111111</v>
      </c>
      <c r="J933" s="41">
        <f>IFERROR(VLOOKUP(TA[[#This Row],[Date]],Raw_Data[[Date]:[Sunset Time (POA&lt;20 W/m2)]],4,0),"")</f>
        <v>0.77361111111111114</v>
      </c>
      <c r="K933" s="35">
        <f>IFERROR((TA[[#This Row],[Sunset Time (POA&lt;20 W/m2)]]-TA[[#This Row],[Sunrise Time (POA&gt;20 W/m2)]])*24,"")</f>
        <v>12.75</v>
      </c>
      <c r="L933" s="2" t="s">
        <v>294</v>
      </c>
      <c r="M933" s="42">
        <f>IFERROR(VLOOKUP(TA[[#This Row],[Affected Equipment]],'Basic Data'!$I$2:$K$40,3,0),"")</f>
        <v>1.7241379310344799E-3</v>
      </c>
      <c r="N933">
        <v>-28</v>
      </c>
      <c r="O933" t="s">
        <v>135</v>
      </c>
      <c r="P933" s="127" t="s">
        <v>318</v>
      </c>
      <c r="Q933" s="126" t="s">
        <v>318</v>
      </c>
      <c r="R933">
        <v>131</v>
      </c>
      <c r="S933" s="2">
        <v>39</v>
      </c>
      <c r="T933" t="s">
        <v>295</v>
      </c>
      <c r="U933" t="s">
        <v>300</v>
      </c>
      <c r="V933" t="s">
        <v>298</v>
      </c>
      <c r="W933" s="41"/>
      <c r="X933" s="41"/>
      <c r="Y933" s="34"/>
      <c r="Z933" s="34"/>
      <c r="AA933" s="35">
        <f>IF(TA[[#This Row],[Work Start time on Fault]]="NA","",(TA[[#This Row],[Fault Acknowledgement Time ]]-TA[[#This Row],[Fault Time]])*24)</f>
        <v>0</v>
      </c>
      <c r="AB933" s="35">
        <f>(TA[[#This Row],[Work Start time on Fault]]-TA[[#This Row],[Fault Time]])*24</f>
        <v>0</v>
      </c>
      <c r="AC933" s="34">
        <f>(TA[[#This Row],[Work Completion time on fault]]-TA[[#This Row],[Fault Time]])*24</f>
        <v>0</v>
      </c>
      <c r="AD933" s="35">
        <f>IFERROR((TA[[#This Row],[Work Completion time on fault]]-TA[[#This Row],[Fault Time]])*24,"")</f>
        <v>0</v>
      </c>
      <c r="AE933" t="s">
        <v>328</v>
      </c>
      <c r="AF933" t="s">
        <v>256</v>
      </c>
      <c r="AG933" s="2"/>
      <c r="AH933" s="44">
        <f>1-COS(RADIANS(TA[[#This Row],[Avg. Target Angle during Fault Time (Radians)]]-TA[[#This Row],[Angle of affected equipment ]]))</f>
        <v>0.11705240714107301</v>
      </c>
      <c r="AI933" s="35">
        <f>IFERROR(TA[[#This Row],[Breakdown Time]]*TA[[#This Row],[Plant Equivalent Weightage]],"")</f>
        <v>0</v>
      </c>
    </row>
    <row r="934" spans="1:35">
      <c r="A934" s="2">
        <f t="shared" si="76"/>
        <v>931</v>
      </c>
      <c r="B934" s="156">
        <f t="shared" si="85"/>
        <v>2026</v>
      </c>
      <c r="C934" s="129">
        <f t="shared" si="86"/>
        <v>2025</v>
      </c>
      <c r="D934" s="2" t="s">
        <v>155</v>
      </c>
      <c r="E934" s="2" t="s">
        <v>155</v>
      </c>
      <c r="F934" s="39">
        <v>45809</v>
      </c>
      <c r="G934" s="2">
        <f>DAY(EOMONTH(TA[[#This Row],[Month Year]],0))</f>
        <v>30</v>
      </c>
      <c r="H934" s="21">
        <v>45809</v>
      </c>
      <c r="I934" s="41">
        <f>IFERROR(VLOOKUP(TA[[#This Row],[Date]],Raw_Data[[Date]:[Sunset Time (POA&lt;20 W/m2)]],3,0),"")</f>
        <v>0.24236111111111111</v>
      </c>
      <c r="J934" s="41">
        <f>IFERROR(VLOOKUP(TA[[#This Row],[Date]],Raw_Data[[Date]:[Sunset Time (POA&lt;20 W/m2)]],4,0),"")</f>
        <v>0.77361111111111114</v>
      </c>
      <c r="K934" s="35">
        <f>IFERROR((TA[[#This Row],[Sunset Time (POA&lt;20 W/m2)]]-TA[[#This Row],[Sunrise Time (POA&gt;20 W/m2)]])*24,"")</f>
        <v>12.75</v>
      </c>
      <c r="L934" s="2" t="s">
        <v>296</v>
      </c>
      <c r="M934" s="42">
        <f>IFERROR(VLOOKUP(TA[[#This Row],[Affected Equipment]],'Basic Data'!$I$2:$K$40,3,0),"")</f>
        <v>8.6206896551724102E-3</v>
      </c>
      <c r="N934">
        <v>-28</v>
      </c>
      <c r="O934" t="s">
        <v>135</v>
      </c>
      <c r="P934" s="127" t="s">
        <v>318</v>
      </c>
      <c r="Q934" s="2" t="s">
        <v>321</v>
      </c>
      <c r="R934">
        <v>133</v>
      </c>
      <c r="S934" s="2">
        <v>26</v>
      </c>
      <c r="T934" t="s">
        <v>297</v>
      </c>
      <c r="U934" t="s">
        <v>300</v>
      </c>
      <c r="V934" t="s">
        <v>314</v>
      </c>
      <c r="W934" s="41">
        <f>IFERROR(VLOOKUP(TA[[#This Row],[Date]],Raw_Data[[Date]:[Sunset Time (POA&lt;20 W/m2)]],3,0),"")</f>
        <v>0.24236111111111111</v>
      </c>
      <c r="X934" s="41">
        <f>IFERROR(VLOOKUP(TA[[#This Row],[Date]],Raw_Data[[Date]:[Sunset Time (POA&lt;20 W/m2)]],3,0),"")</f>
        <v>0.24236111111111111</v>
      </c>
      <c r="Y934" s="34"/>
      <c r="Z934" s="34">
        <v>0.76041666666666663</v>
      </c>
      <c r="AA934" s="35">
        <f>IF(TA[[#This Row],[Work Start time on Fault]]="NA","",(TA[[#This Row],[Fault Acknowledgement Time ]]-TA[[#This Row],[Fault Time]])*24)</f>
        <v>0</v>
      </c>
      <c r="AB934" s="35">
        <f>(TA[[#This Row],[Work Start time on Fault]]-TA[[#This Row],[Fault Time]])*24</f>
        <v>-5.8166666666666664</v>
      </c>
      <c r="AC934" s="34">
        <f>(TA[[#This Row],[Work Completion time on fault]]-TA[[#This Row],[Fault Time]])*24</f>
        <v>12.433333333333332</v>
      </c>
      <c r="AD934" s="35">
        <f>IFERROR((TA[[#This Row],[Work Completion time on fault]]-TA[[#This Row],[Fault Time]])*24,"")</f>
        <v>12.433333333333332</v>
      </c>
      <c r="AE934" t="s">
        <v>328</v>
      </c>
      <c r="AF934" t="s">
        <v>256</v>
      </c>
      <c r="AG934" s="2"/>
      <c r="AH934" s="44">
        <f>1-COS(RADIANS(TA[[#This Row],[Avg. Target Angle during Fault Time (Radians)]]-TA[[#This Row],[Angle of affected equipment ]]))</f>
        <v>0.11705240714107301</v>
      </c>
      <c r="AI934" s="35">
        <f>IFERROR(TA[[#This Row],[Breakdown Time]]*TA[[#This Row],[Plant Equivalent Weightage]],"")</f>
        <v>0.10718390804597695</v>
      </c>
    </row>
    <row r="935" spans="1:35">
      <c r="A935" s="2">
        <f t="shared" ref="A935:A998" si="87">A934+1</f>
        <v>932</v>
      </c>
      <c r="B935" s="156">
        <f t="shared" si="85"/>
        <v>2026</v>
      </c>
      <c r="C935" s="129">
        <f t="shared" si="86"/>
        <v>2025</v>
      </c>
      <c r="D935" s="2" t="s">
        <v>155</v>
      </c>
      <c r="E935" s="2" t="s">
        <v>155</v>
      </c>
      <c r="F935" s="39">
        <v>45809</v>
      </c>
      <c r="G935" s="2">
        <f>DAY(EOMONTH(TA[[#This Row],[Month Year]],0))</f>
        <v>30</v>
      </c>
      <c r="H935" s="21">
        <v>45809</v>
      </c>
      <c r="I935" s="41">
        <f>IFERROR(VLOOKUP(TA[[#This Row],[Date]],Raw_Data[[Date]:[Sunset Time (POA&lt;20 W/m2)]],3,0),"")</f>
        <v>0.24236111111111111</v>
      </c>
      <c r="J935" s="41">
        <f>IFERROR(VLOOKUP(TA[[#This Row],[Date]],Raw_Data[[Date]:[Sunset Time (POA&lt;20 W/m2)]],4,0),"")</f>
        <v>0.77361111111111114</v>
      </c>
      <c r="K935" s="35">
        <f>IFERROR((TA[[#This Row],[Sunset Time (POA&lt;20 W/m2)]]-TA[[#This Row],[Sunrise Time (POA&gt;20 W/m2)]])*24,"")</f>
        <v>12.75</v>
      </c>
      <c r="L935" s="2" t="s">
        <v>294</v>
      </c>
      <c r="M935" s="42">
        <f>IFERROR(VLOOKUP(TA[[#This Row],[Affected Equipment]],'Basic Data'!$I$2:$K$40,3,0),"")</f>
        <v>1.7241379310344799E-3</v>
      </c>
      <c r="N935">
        <v>-28</v>
      </c>
      <c r="O935" t="s">
        <v>133</v>
      </c>
      <c r="P935" s="127" t="s">
        <v>316</v>
      </c>
      <c r="Q935" s="126" t="s">
        <v>317</v>
      </c>
      <c r="R935">
        <v>7</v>
      </c>
      <c r="S935" s="2">
        <v>32</v>
      </c>
      <c r="T935" t="s">
        <v>295</v>
      </c>
      <c r="U935" t="s">
        <v>300</v>
      </c>
      <c r="V935" t="s">
        <v>298</v>
      </c>
      <c r="W935" s="41"/>
      <c r="X935" s="41"/>
      <c r="Y935" s="34"/>
      <c r="Z935" s="34"/>
      <c r="AA935" s="35">
        <f>IF(TA[[#This Row],[Work Start time on Fault]]="NA","",(TA[[#This Row],[Fault Acknowledgement Time ]]-TA[[#This Row],[Fault Time]])*24)</f>
        <v>0</v>
      </c>
      <c r="AB935" s="35">
        <f>(TA[[#This Row],[Work Start time on Fault]]-TA[[#This Row],[Fault Time]])*24</f>
        <v>0</v>
      </c>
      <c r="AC935" s="34">
        <f>(TA[[#This Row],[Work Completion time on fault]]-TA[[#This Row],[Fault Time]])*24</f>
        <v>0</v>
      </c>
      <c r="AD935" s="35">
        <f>IFERROR((TA[[#This Row],[Work Completion time on fault]]-TA[[#This Row],[Fault Time]])*24,"")</f>
        <v>0</v>
      </c>
      <c r="AE935" t="s">
        <v>328</v>
      </c>
      <c r="AF935" t="s">
        <v>256</v>
      </c>
      <c r="AG935" s="2"/>
      <c r="AH935" s="44">
        <f>1-COS(RADIANS(TA[[#This Row],[Avg. Target Angle during Fault Time (Radians)]]-TA[[#This Row],[Angle of affected equipment ]]))</f>
        <v>0.11705240714107301</v>
      </c>
      <c r="AI935" s="35">
        <f>IFERROR(TA[[#This Row],[Breakdown Time]]*TA[[#This Row],[Plant Equivalent Weightage]],"")</f>
        <v>0</v>
      </c>
    </row>
    <row r="936" spans="1:35">
      <c r="A936" s="2">
        <f t="shared" si="87"/>
        <v>933</v>
      </c>
      <c r="B936" s="156">
        <f t="shared" si="85"/>
        <v>2026</v>
      </c>
      <c r="C936" s="129">
        <f t="shared" si="86"/>
        <v>2025</v>
      </c>
      <c r="D936" s="2" t="s">
        <v>155</v>
      </c>
      <c r="E936" s="2" t="s">
        <v>155</v>
      </c>
      <c r="F936" s="39">
        <v>45809</v>
      </c>
      <c r="G936" s="2">
        <f>DAY(EOMONTH(TA[[#This Row],[Month Year]],0))</f>
        <v>30</v>
      </c>
      <c r="H936" s="21">
        <v>45809</v>
      </c>
      <c r="I936" s="41">
        <f>IFERROR(VLOOKUP(TA[[#This Row],[Date]],Raw_Data[[Date]:[Sunset Time (POA&lt;20 W/m2)]],3,0),"")</f>
        <v>0.24236111111111111</v>
      </c>
      <c r="J936" s="41">
        <f>IFERROR(VLOOKUP(TA[[#This Row],[Date]],Raw_Data[[Date]:[Sunset Time (POA&lt;20 W/m2)]],4,0),"")</f>
        <v>0.77361111111111114</v>
      </c>
      <c r="K936" s="35">
        <f>IFERROR((TA[[#This Row],[Sunset Time (POA&lt;20 W/m2)]]-TA[[#This Row],[Sunrise Time (POA&gt;20 W/m2)]])*24,"")</f>
        <v>12.75</v>
      </c>
      <c r="L936" s="2" t="s">
        <v>294</v>
      </c>
      <c r="M936" s="42">
        <f>IFERROR(VLOOKUP(TA[[#This Row],[Affected Equipment]],'Basic Data'!$I$2:$K$40,3,0),"")</f>
        <v>1.7241379310344799E-3</v>
      </c>
      <c r="N936">
        <v>-28</v>
      </c>
      <c r="O936" t="s">
        <v>137</v>
      </c>
      <c r="P936" s="127" t="s">
        <v>315</v>
      </c>
      <c r="Q936" s="126" t="s">
        <v>319</v>
      </c>
      <c r="R936">
        <v>166</v>
      </c>
      <c r="S936" s="2">
        <v>91</v>
      </c>
      <c r="T936" t="s">
        <v>295</v>
      </c>
      <c r="U936" t="s">
        <v>300</v>
      </c>
      <c r="V936" t="s">
        <v>298</v>
      </c>
      <c r="W936" s="41"/>
      <c r="X936" s="41"/>
      <c r="Y936" s="34"/>
      <c r="Z936" s="34"/>
      <c r="AA936" s="35">
        <f>IF(TA[[#This Row],[Work Start time on Fault]]="NA","",(TA[[#This Row],[Fault Acknowledgement Time ]]-TA[[#This Row],[Fault Time]])*24)</f>
        <v>0</v>
      </c>
      <c r="AB936" s="35">
        <f>(TA[[#This Row],[Work Start time on Fault]]-TA[[#This Row],[Fault Time]])*24</f>
        <v>0</v>
      </c>
      <c r="AC936" s="34">
        <f>(TA[[#This Row],[Work Completion time on fault]]-TA[[#This Row],[Fault Time]])*24</f>
        <v>0</v>
      </c>
      <c r="AD936" s="35">
        <f>IFERROR((TA[[#This Row],[Work Completion time on fault]]-TA[[#This Row],[Fault Time]])*24,"")</f>
        <v>0</v>
      </c>
      <c r="AE936" t="s">
        <v>328</v>
      </c>
      <c r="AF936" t="s">
        <v>256</v>
      </c>
      <c r="AG936" s="2"/>
      <c r="AH936" s="44">
        <f>1-COS(RADIANS(TA[[#This Row],[Avg. Target Angle during Fault Time (Radians)]]-TA[[#This Row],[Angle of affected equipment ]]))</f>
        <v>0.11705240714107301</v>
      </c>
      <c r="AI936" s="35">
        <f>IFERROR(TA[[#This Row],[Breakdown Time]]*TA[[#This Row],[Plant Equivalent Weightage]],"")</f>
        <v>0</v>
      </c>
    </row>
    <row r="937" spans="1:35">
      <c r="A937" s="2">
        <f t="shared" si="87"/>
        <v>934</v>
      </c>
      <c r="B937" s="156">
        <f t="shared" si="85"/>
        <v>2026</v>
      </c>
      <c r="C937" s="129">
        <f t="shared" si="86"/>
        <v>2025</v>
      </c>
      <c r="D937" s="2" t="s">
        <v>155</v>
      </c>
      <c r="E937" s="2" t="s">
        <v>155</v>
      </c>
      <c r="F937" s="39">
        <v>45809</v>
      </c>
      <c r="G937" s="2">
        <f>DAY(EOMONTH(TA[[#This Row],[Month Year]],0))</f>
        <v>30</v>
      </c>
      <c r="H937" s="21">
        <v>45809</v>
      </c>
      <c r="I937" s="41">
        <f>IFERROR(VLOOKUP(TA[[#This Row],[Date]],Raw_Data[[Date]:[Sunset Time (POA&lt;20 W/m2)]],3,0),"")</f>
        <v>0.24236111111111111</v>
      </c>
      <c r="J937" s="41">
        <f>IFERROR(VLOOKUP(TA[[#This Row],[Date]],Raw_Data[[Date]:[Sunset Time (POA&lt;20 W/m2)]],4,0),"")</f>
        <v>0.77361111111111114</v>
      </c>
      <c r="K937" s="35">
        <f>IFERROR((TA[[#This Row],[Sunset Time (POA&lt;20 W/m2)]]-TA[[#This Row],[Sunrise Time (POA&gt;20 W/m2)]])*24,"")</f>
        <v>12.75</v>
      </c>
      <c r="L937" s="2" t="s">
        <v>294</v>
      </c>
      <c r="M937" s="42">
        <f>IFERROR(VLOOKUP(TA[[#This Row],[Affected Equipment]],'Basic Data'!$I$2:$K$40,3,0),"")</f>
        <v>1.7241379310344799E-3</v>
      </c>
      <c r="N937">
        <v>-28</v>
      </c>
      <c r="O937" t="s">
        <v>133</v>
      </c>
      <c r="P937" s="127" t="s">
        <v>316</v>
      </c>
      <c r="Q937" s="126" t="s">
        <v>316</v>
      </c>
      <c r="R937">
        <v>117</v>
      </c>
      <c r="S937" s="2">
        <v>20</v>
      </c>
      <c r="T937" t="s">
        <v>295</v>
      </c>
      <c r="U937" t="s">
        <v>300</v>
      </c>
      <c r="V937" t="s">
        <v>298</v>
      </c>
      <c r="W937" s="41"/>
      <c r="X937" s="41"/>
      <c r="Y937" s="34"/>
      <c r="Z937" s="34"/>
      <c r="AA937" s="35">
        <f>IF(TA[[#This Row],[Work Start time on Fault]]="NA","",(TA[[#This Row],[Fault Acknowledgement Time ]]-TA[[#This Row],[Fault Time]])*24)</f>
        <v>0</v>
      </c>
      <c r="AB937" s="35">
        <f>(TA[[#This Row],[Work Start time on Fault]]-TA[[#This Row],[Fault Time]])*24</f>
        <v>0</v>
      </c>
      <c r="AC937" s="34">
        <f>(TA[[#This Row],[Work Completion time on fault]]-TA[[#This Row],[Fault Time]])*24</f>
        <v>0</v>
      </c>
      <c r="AD937" s="35">
        <f>IFERROR((TA[[#This Row],[Work Completion time on fault]]-TA[[#This Row],[Fault Time]])*24,"")</f>
        <v>0</v>
      </c>
      <c r="AE937" t="s">
        <v>328</v>
      </c>
      <c r="AF937" t="s">
        <v>256</v>
      </c>
      <c r="AG937" s="2"/>
      <c r="AH937" s="44">
        <f>1-COS(RADIANS(TA[[#This Row],[Avg. Target Angle during Fault Time (Radians)]]-TA[[#This Row],[Angle of affected equipment ]]))</f>
        <v>0.11705240714107301</v>
      </c>
      <c r="AI937" s="35">
        <f>IFERROR(TA[[#This Row],[Breakdown Time]]*TA[[#This Row],[Plant Equivalent Weightage]],"")</f>
        <v>0</v>
      </c>
    </row>
    <row r="938" spans="1:35">
      <c r="A938" s="2">
        <f t="shared" si="87"/>
        <v>935</v>
      </c>
      <c r="B938" s="156">
        <f t="shared" si="85"/>
        <v>2026</v>
      </c>
      <c r="C938" s="129">
        <f t="shared" si="86"/>
        <v>2025</v>
      </c>
      <c r="D938" s="2" t="s">
        <v>155</v>
      </c>
      <c r="E938" s="2" t="s">
        <v>155</v>
      </c>
      <c r="F938" s="39">
        <v>45809</v>
      </c>
      <c r="G938" s="2">
        <f>DAY(EOMONTH(TA[[#This Row],[Month Year]],0))</f>
        <v>30</v>
      </c>
      <c r="H938" s="21">
        <v>45809</v>
      </c>
      <c r="I938" s="41">
        <f>IFERROR(VLOOKUP(TA[[#This Row],[Date]],Raw_Data[[Date]:[Sunset Time (POA&lt;20 W/m2)]],3,0),"")</f>
        <v>0.24236111111111111</v>
      </c>
      <c r="J938" s="41">
        <f>IFERROR(VLOOKUP(TA[[#This Row],[Date]],Raw_Data[[Date]:[Sunset Time (POA&lt;20 W/m2)]],4,0),"")</f>
        <v>0.77361111111111114</v>
      </c>
      <c r="K938" s="35">
        <f>IFERROR((TA[[#This Row],[Sunset Time (POA&lt;20 W/m2)]]-TA[[#This Row],[Sunrise Time (POA&gt;20 W/m2)]])*24,"")</f>
        <v>12.75</v>
      </c>
      <c r="L938" s="2" t="s">
        <v>294</v>
      </c>
      <c r="M938" s="42">
        <f>IFERROR(VLOOKUP(TA[[#This Row],[Affected Equipment]],'Basic Data'!$I$2:$K$40,3,0),"")</f>
        <v>1.7241379310344799E-3</v>
      </c>
      <c r="N938">
        <v>-28</v>
      </c>
      <c r="O938" t="s">
        <v>133</v>
      </c>
      <c r="P938" s="127" t="s">
        <v>316</v>
      </c>
      <c r="Q938" s="126" t="s">
        <v>316</v>
      </c>
      <c r="R938">
        <v>118</v>
      </c>
      <c r="S938" s="2">
        <v>22</v>
      </c>
      <c r="T938" t="s">
        <v>295</v>
      </c>
      <c r="U938" t="s">
        <v>300</v>
      </c>
      <c r="V938" t="s">
        <v>298</v>
      </c>
      <c r="W938" s="41"/>
      <c r="X938" s="41"/>
      <c r="Y938" s="34"/>
      <c r="Z938" s="34"/>
      <c r="AA938" s="35">
        <f>IF(TA[[#This Row],[Work Start time on Fault]]="NA","",(TA[[#This Row],[Fault Acknowledgement Time ]]-TA[[#This Row],[Fault Time]])*24)</f>
        <v>0</v>
      </c>
      <c r="AB938" s="35">
        <f>(TA[[#This Row],[Work Start time on Fault]]-TA[[#This Row],[Fault Time]])*24</f>
        <v>0</v>
      </c>
      <c r="AC938" s="34">
        <f>(TA[[#This Row],[Work Completion time on fault]]-TA[[#This Row],[Fault Time]])*24</f>
        <v>0</v>
      </c>
      <c r="AD938" s="35">
        <f>IFERROR((TA[[#This Row],[Work Completion time on fault]]-TA[[#This Row],[Fault Time]])*24,"")</f>
        <v>0</v>
      </c>
      <c r="AE938" t="s">
        <v>328</v>
      </c>
      <c r="AF938" t="s">
        <v>256</v>
      </c>
      <c r="AG938" s="2"/>
      <c r="AH938" s="44">
        <f>1-COS(RADIANS(TA[[#This Row],[Avg. Target Angle during Fault Time (Radians)]]-TA[[#This Row],[Angle of affected equipment ]]))</f>
        <v>0.11705240714107301</v>
      </c>
      <c r="AI938" s="35">
        <f>IFERROR(TA[[#This Row],[Breakdown Time]]*TA[[#This Row],[Plant Equivalent Weightage]],"")</f>
        <v>0</v>
      </c>
    </row>
    <row r="939" spans="1:35">
      <c r="A939" s="2">
        <f t="shared" si="87"/>
        <v>936</v>
      </c>
      <c r="B939" s="156">
        <f t="shared" si="85"/>
        <v>2026</v>
      </c>
      <c r="C939" s="129">
        <f t="shared" si="86"/>
        <v>2025</v>
      </c>
      <c r="D939" s="2" t="s">
        <v>155</v>
      </c>
      <c r="E939" s="2" t="s">
        <v>155</v>
      </c>
      <c r="F939" s="39">
        <v>45809</v>
      </c>
      <c r="G939" s="2">
        <f>DAY(EOMONTH(TA[[#This Row],[Month Year]],0))</f>
        <v>30</v>
      </c>
      <c r="H939" s="21">
        <v>45809</v>
      </c>
      <c r="I939" s="41">
        <f>IFERROR(VLOOKUP(TA[[#This Row],[Date]],Raw_Data[[Date]:[Sunset Time (POA&lt;20 W/m2)]],3,0),"")</f>
        <v>0.24236111111111111</v>
      </c>
      <c r="J939" s="41">
        <f>IFERROR(VLOOKUP(TA[[#This Row],[Date]],Raw_Data[[Date]:[Sunset Time (POA&lt;20 W/m2)]],4,0),"")</f>
        <v>0.77361111111111114</v>
      </c>
      <c r="K939" s="35">
        <f>IFERROR((TA[[#This Row],[Sunset Time (POA&lt;20 W/m2)]]-TA[[#This Row],[Sunrise Time (POA&gt;20 W/m2)]])*24,"")</f>
        <v>12.75</v>
      </c>
      <c r="L939" s="2" t="s">
        <v>296</v>
      </c>
      <c r="M939" s="42">
        <f>IFERROR(VLOOKUP(TA[[#This Row],[Affected Equipment]],'Basic Data'!$I$2:$K$40,3,0),"")</f>
        <v>8.6206896551724102E-3</v>
      </c>
      <c r="N939">
        <v>-28</v>
      </c>
      <c r="O939" t="s">
        <v>135</v>
      </c>
      <c r="P939" s="22" t="s">
        <v>323</v>
      </c>
      <c r="Q939" s="2" t="s">
        <v>329</v>
      </c>
      <c r="R939">
        <v>45</v>
      </c>
      <c r="S939" s="2">
        <v>8</v>
      </c>
      <c r="T939" t="s">
        <v>297</v>
      </c>
      <c r="U939" t="s">
        <v>300</v>
      </c>
      <c r="V939" t="s">
        <v>301</v>
      </c>
      <c r="W939" s="41"/>
      <c r="X939" s="41"/>
      <c r="Y939" s="34"/>
      <c r="Z939" s="34"/>
      <c r="AA939" s="35">
        <f>IF(TA[[#This Row],[Work Start time on Fault]]="NA","",(TA[[#This Row],[Fault Acknowledgement Time ]]-TA[[#This Row],[Fault Time]])*24)</f>
        <v>0</v>
      </c>
      <c r="AB939" s="35">
        <f>(TA[[#This Row],[Work Start time on Fault]]-TA[[#This Row],[Fault Time]])*24</f>
        <v>0</v>
      </c>
      <c r="AC939" s="34">
        <f>(TA[[#This Row],[Work Completion time on fault]]-TA[[#This Row],[Fault Time]])*24</f>
        <v>0</v>
      </c>
      <c r="AD939" s="35">
        <f>IFERROR((TA[[#This Row],[Work Completion time on fault]]-TA[[#This Row],[Fault Time]])*24,"")</f>
        <v>0</v>
      </c>
      <c r="AE939" t="s">
        <v>328</v>
      </c>
      <c r="AF939" t="s">
        <v>256</v>
      </c>
      <c r="AG939" s="2"/>
      <c r="AH939" s="44">
        <f>1-COS(RADIANS(TA[[#This Row],[Avg. Target Angle during Fault Time (Radians)]]-TA[[#This Row],[Angle of affected equipment ]]))</f>
        <v>0.11705240714107301</v>
      </c>
      <c r="AI939" s="35">
        <f>IFERROR(TA[[#This Row],[Breakdown Time]]*TA[[#This Row],[Plant Equivalent Weightage]],"")</f>
        <v>0</v>
      </c>
    </row>
    <row r="940" spans="1:35">
      <c r="A940" s="2">
        <f t="shared" si="87"/>
        <v>937</v>
      </c>
      <c r="B940" s="156">
        <f t="shared" si="85"/>
        <v>2026</v>
      </c>
      <c r="C940" s="129">
        <f t="shared" si="86"/>
        <v>2025</v>
      </c>
      <c r="D940" s="2" t="s">
        <v>155</v>
      </c>
      <c r="E940" s="2" t="s">
        <v>155</v>
      </c>
      <c r="F940" s="39">
        <v>45809</v>
      </c>
      <c r="G940" s="2">
        <f>DAY(EOMONTH(TA[[#This Row],[Month Year]],0))</f>
        <v>30</v>
      </c>
      <c r="H940" s="21">
        <v>45809</v>
      </c>
      <c r="I940" s="41">
        <f>IFERROR(VLOOKUP(TA[[#This Row],[Date]],Raw_Data[[Date]:[Sunset Time (POA&lt;20 W/m2)]],3,0),"")</f>
        <v>0.24236111111111111</v>
      </c>
      <c r="J940" s="41">
        <f>IFERROR(VLOOKUP(TA[[#This Row],[Date]],Raw_Data[[Date]:[Sunset Time (POA&lt;20 W/m2)]],4,0),"")</f>
        <v>0.77361111111111114</v>
      </c>
      <c r="K940" s="35">
        <f>IFERROR((TA[[#This Row],[Sunset Time (POA&lt;20 W/m2)]]-TA[[#This Row],[Sunrise Time (POA&gt;20 W/m2)]])*24,"")</f>
        <v>12.75</v>
      </c>
      <c r="L940" s="2" t="s">
        <v>296</v>
      </c>
      <c r="M940" s="42">
        <f>IFERROR(VLOOKUP(TA[[#This Row],[Affected Equipment]],'Basic Data'!$I$2:$K$40,3,0),"")</f>
        <v>8.6206896551724102E-3</v>
      </c>
      <c r="N940">
        <v>-28</v>
      </c>
      <c r="O940" t="s">
        <v>135</v>
      </c>
      <c r="P940" s="22" t="s">
        <v>323</v>
      </c>
      <c r="Q940" s="2" t="s">
        <v>329</v>
      </c>
      <c r="R940">
        <v>47</v>
      </c>
      <c r="S940" s="2">
        <v>18</v>
      </c>
      <c r="T940" t="s">
        <v>297</v>
      </c>
      <c r="U940" t="s">
        <v>300</v>
      </c>
      <c r="V940" t="s">
        <v>301</v>
      </c>
      <c r="W940" s="41"/>
      <c r="X940" s="41"/>
      <c r="Y940" s="34"/>
      <c r="Z940" s="34"/>
      <c r="AA940" s="35">
        <f>IF(TA[[#This Row],[Work Start time on Fault]]="NA","",(TA[[#This Row],[Fault Acknowledgement Time ]]-TA[[#This Row],[Fault Time]])*24)</f>
        <v>0</v>
      </c>
      <c r="AB940" s="35">
        <f>(TA[[#This Row],[Work Start time on Fault]]-TA[[#This Row],[Fault Time]])*24</f>
        <v>0</v>
      </c>
      <c r="AC940" s="34">
        <f>(TA[[#This Row],[Work Completion time on fault]]-TA[[#This Row],[Fault Time]])*24</f>
        <v>0</v>
      </c>
      <c r="AD940" s="35">
        <f>IFERROR((TA[[#This Row],[Work Completion time on fault]]-TA[[#This Row],[Fault Time]])*24,"")</f>
        <v>0</v>
      </c>
      <c r="AE940" t="s">
        <v>328</v>
      </c>
      <c r="AF940" t="s">
        <v>256</v>
      </c>
      <c r="AG940" s="2"/>
      <c r="AH940" s="44">
        <f>1-COS(RADIANS(TA[[#This Row],[Avg. Target Angle during Fault Time (Radians)]]-TA[[#This Row],[Angle of affected equipment ]]))</f>
        <v>0.11705240714107301</v>
      </c>
      <c r="AI940" s="35">
        <f>IFERROR(TA[[#This Row],[Breakdown Time]]*TA[[#This Row],[Plant Equivalent Weightage]],"")</f>
        <v>0</v>
      </c>
    </row>
    <row r="941" spans="1:35">
      <c r="A941" s="2">
        <f t="shared" si="87"/>
        <v>938</v>
      </c>
      <c r="B941" s="156">
        <f t="shared" si="85"/>
        <v>2026</v>
      </c>
      <c r="C941" s="129">
        <f t="shared" si="86"/>
        <v>2025</v>
      </c>
      <c r="D941" s="2" t="s">
        <v>155</v>
      </c>
      <c r="E941" s="2" t="s">
        <v>155</v>
      </c>
      <c r="F941" s="39">
        <v>45809</v>
      </c>
      <c r="G941" s="2">
        <f>DAY(EOMONTH(TA[[#This Row],[Month Year]],0))</f>
        <v>30</v>
      </c>
      <c r="H941" s="21">
        <v>45809</v>
      </c>
      <c r="I941" s="41">
        <f>IFERROR(VLOOKUP(TA[[#This Row],[Date]],Raw_Data[[Date]:[Sunset Time (POA&lt;20 W/m2)]],3,0),"")</f>
        <v>0.24236111111111111</v>
      </c>
      <c r="J941" s="41">
        <f>IFERROR(VLOOKUP(TA[[#This Row],[Date]],Raw_Data[[Date]:[Sunset Time (POA&lt;20 W/m2)]],4,0),"")</f>
        <v>0.77361111111111114</v>
      </c>
      <c r="K941" s="35">
        <f>IFERROR((TA[[#This Row],[Sunset Time (POA&lt;20 W/m2)]]-TA[[#This Row],[Sunrise Time (POA&gt;20 W/m2)]])*24,"")</f>
        <v>12.75</v>
      </c>
      <c r="L941" s="2" t="s">
        <v>296</v>
      </c>
      <c r="M941" s="42">
        <f>IFERROR(VLOOKUP(TA[[#This Row],[Affected Equipment]],'Basic Data'!$I$2:$K$40,3,0),"")</f>
        <v>8.6206896551724102E-3</v>
      </c>
      <c r="N941">
        <v>-28</v>
      </c>
      <c r="O941" t="s">
        <v>134</v>
      </c>
      <c r="P941" s="22" t="s">
        <v>330</v>
      </c>
      <c r="Q941" s="2" t="s">
        <v>323</v>
      </c>
      <c r="R941">
        <v>30</v>
      </c>
      <c r="S941" s="2">
        <v>57</v>
      </c>
      <c r="T941" t="s">
        <v>297</v>
      </c>
      <c r="U941" t="s">
        <v>300</v>
      </c>
      <c r="V941" t="s">
        <v>301</v>
      </c>
      <c r="W941" s="41"/>
      <c r="X941" s="41"/>
      <c r="Y941" s="34"/>
      <c r="Z941" s="34"/>
      <c r="AA941" s="35">
        <f>IF(TA[[#This Row],[Work Start time on Fault]]="NA","",(TA[[#This Row],[Fault Acknowledgement Time ]]-TA[[#This Row],[Fault Time]])*24)</f>
        <v>0</v>
      </c>
      <c r="AB941" s="35">
        <f>(TA[[#This Row],[Work Start time on Fault]]-TA[[#This Row],[Fault Time]])*24</f>
        <v>0</v>
      </c>
      <c r="AC941" s="34">
        <f>(TA[[#This Row],[Work Completion time on fault]]-TA[[#This Row],[Fault Time]])*24</f>
        <v>0</v>
      </c>
      <c r="AD941" s="35">
        <f>IFERROR((TA[[#This Row],[Work Completion time on fault]]-TA[[#This Row],[Fault Time]])*24,"")</f>
        <v>0</v>
      </c>
      <c r="AE941" t="s">
        <v>328</v>
      </c>
      <c r="AF941" t="s">
        <v>256</v>
      </c>
      <c r="AG941" s="2"/>
      <c r="AH941" s="44">
        <f>1-COS(RADIANS(TA[[#This Row],[Avg. Target Angle during Fault Time (Radians)]]-TA[[#This Row],[Angle of affected equipment ]]))</f>
        <v>0.11705240714107301</v>
      </c>
      <c r="AI941" s="35">
        <f>IFERROR(TA[[#This Row],[Breakdown Time]]*TA[[#This Row],[Plant Equivalent Weightage]],"")</f>
        <v>0</v>
      </c>
    </row>
    <row r="942" spans="1:35">
      <c r="A942" s="2">
        <f t="shared" si="87"/>
        <v>939</v>
      </c>
      <c r="B942" s="156">
        <f t="shared" si="85"/>
        <v>2026</v>
      </c>
      <c r="C942" s="129">
        <f t="shared" si="86"/>
        <v>2025</v>
      </c>
      <c r="D942" s="2" t="s">
        <v>155</v>
      </c>
      <c r="E942" s="2" t="s">
        <v>155</v>
      </c>
      <c r="F942" s="39">
        <v>45809</v>
      </c>
      <c r="G942" s="2">
        <f>DAY(EOMONTH(TA[[#This Row],[Month Year]],0))</f>
        <v>30</v>
      </c>
      <c r="H942" s="21">
        <v>45809</v>
      </c>
      <c r="I942" s="41">
        <f>IFERROR(VLOOKUP(TA[[#This Row],[Date]],Raw_Data[[Date]:[Sunset Time (POA&lt;20 W/m2)]],3,0),"")</f>
        <v>0.24236111111111111</v>
      </c>
      <c r="J942" s="41">
        <f>IFERROR(VLOOKUP(TA[[#This Row],[Date]],Raw_Data[[Date]:[Sunset Time (POA&lt;20 W/m2)]],4,0),"")</f>
        <v>0.77361111111111114</v>
      </c>
      <c r="K942" s="35">
        <f>IFERROR((TA[[#This Row],[Sunset Time (POA&lt;20 W/m2)]]-TA[[#This Row],[Sunrise Time (POA&gt;20 W/m2)]])*24,"")</f>
        <v>12.75</v>
      </c>
      <c r="L942" s="2" t="s">
        <v>296</v>
      </c>
      <c r="M942" s="42">
        <f>IFERROR(VLOOKUP(TA[[#This Row],[Affected Equipment]],'Basic Data'!$I$2:$K$40,3,0),"")</f>
        <v>8.6206896551724102E-3</v>
      </c>
      <c r="N942">
        <v>-28</v>
      </c>
      <c r="O942" t="s">
        <v>134</v>
      </c>
      <c r="P942" s="22" t="s">
        <v>330</v>
      </c>
      <c r="Q942" s="2" t="s">
        <v>323</v>
      </c>
      <c r="R942">
        <v>31</v>
      </c>
      <c r="S942" s="2">
        <v>61</v>
      </c>
      <c r="T942" t="s">
        <v>297</v>
      </c>
      <c r="U942" t="s">
        <v>300</v>
      </c>
      <c r="V942" t="s">
        <v>301</v>
      </c>
      <c r="W942" s="41"/>
      <c r="X942" s="41"/>
      <c r="Y942" s="34"/>
      <c r="Z942" s="34"/>
      <c r="AA942" s="35">
        <f>IF(TA[[#This Row],[Work Start time on Fault]]="NA","",(TA[[#This Row],[Fault Acknowledgement Time ]]-TA[[#This Row],[Fault Time]])*24)</f>
        <v>0</v>
      </c>
      <c r="AB942" s="35">
        <f>(TA[[#This Row],[Work Start time on Fault]]-TA[[#This Row],[Fault Time]])*24</f>
        <v>0</v>
      </c>
      <c r="AC942" s="34">
        <f>(TA[[#This Row],[Work Completion time on fault]]-TA[[#This Row],[Fault Time]])*24</f>
        <v>0</v>
      </c>
      <c r="AD942" s="35">
        <f>IFERROR((TA[[#This Row],[Work Completion time on fault]]-TA[[#This Row],[Fault Time]])*24,"")</f>
        <v>0</v>
      </c>
      <c r="AE942" t="s">
        <v>328</v>
      </c>
      <c r="AF942" t="s">
        <v>256</v>
      </c>
      <c r="AG942" s="2"/>
      <c r="AH942" s="44">
        <f>1-COS(RADIANS(TA[[#This Row],[Avg. Target Angle during Fault Time (Radians)]]-TA[[#This Row],[Angle of affected equipment ]]))</f>
        <v>0.11705240714107301</v>
      </c>
      <c r="AI942" s="35">
        <f>IFERROR(TA[[#This Row],[Breakdown Time]]*TA[[#This Row],[Plant Equivalent Weightage]],"")</f>
        <v>0</v>
      </c>
    </row>
    <row r="943" spans="1:35">
      <c r="A943" s="2">
        <f t="shared" si="87"/>
        <v>940</v>
      </c>
      <c r="B943" s="156">
        <f t="shared" si="85"/>
        <v>2026</v>
      </c>
      <c r="C943" s="129">
        <f t="shared" si="86"/>
        <v>2025</v>
      </c>
      <c r="D943" s="2" t="s">
        <v>155</v>
      </c>
      <c r="E943" s="2" t="s">
        <v>155</v>
      </c>
      <c r="F943" s="39">
        <v>45809</v>
      </c>
      <c r="G943" s="2">
        <f>DAY(EOMONTH(TA[[#This Row],[Month Year]],0))</f>
        <v>30</v>
      </c>
      <c r="H943" s="21">
        <v>45809</v>
      </c>
      <c r="I943" s="41">
        <f>IFERROR(VLOOKUP(TA[[#This Row],[Date]],Raw_Data[[Date]:[Sunset Time (POA&lt;20 W/m2)]],3,0),"")</f>
        <v>0.24236111111111111</v>
      </c>
      <c r="J943" s="41">
        <f>IFERROR(VLOOKUP(TA[[#This Row],[Date]],Raw_Data[[Date]:[Sunset Time (POA&lt;20 W/m2)]],4,0),"")</f>
        <v>0.77361111111111114</v>
      </c>
      <c r="K943" s="35">
        <f>IFERROR((TA[[#This Row],[Sunset Time (POA&lt;20 W/m2)]]-TA[[#This Row],[Sunrise Time (POA&gt;20 W/m2)]])*24,"")</f>
        <v>12.75</v>
      </c>
      <c r="L943" s="2" t="s">
        <v>312</v>
      </c>
      <c r="M943" s="42">
        <f>IFERROR(VLOOKUP(TA[[#This Row],[Affected Equipment]],'Basic Data'!$I$2:$K$40,3,0),"")</f>
        <v>5.74712643678161E-3</v>
      </c>
      <c r="N943">
        <v>-28</v>
      </c>
      <c r="O943" t="s">
        <v>133</v>
      </c>
      <c r="P943" s="22" t="s">
        <v>330</v>
      </c>
      <c r="Q943" s="2" t="s">
        <v>323</v>
      </c>
      <c r="R943">
        <v>26</v>
      </c>
      <c r="S943" s="2">
        <v>37</v>
      </c>
      <c r="T943" t="s">
        <v>297</v>
      </c>
      <c r="U943" t="s">
        <v>300</v>
      </c>
      <c r="V943" t="s">
        <v>301</v>
      </c>
      <c r="W943" s="41"/>
      <c r="X943" s="41"/>
      <c r="Y943" s="34"/>
      <c r="Z943" s="34"/>
      <c r="AA943" s="35">
        <f>IF(TA[[#This Row],[Work Start time on Fault]]="NA","",(TA[[#This Row],[Fault Acknowledgement Time ]]-TA[[#This Row],[Fault Time]])*24)</f>
        <v>0</v>
      </c>
      <c r="AB943" s="35">
        <f>(TA[[#This Row],[Work Start time on Fault]]-TA[[#This Row],[Fault Time]])*24</f>
        <v>0</v>
      </c>
      <c r="AC943" s="34">
        <f>(TA[[#This Row],[Work Completion time on fault]]-TA[[#This Row],[Fault Time]])*24</f>
        <v>0</v>
      </c>
      <c r="AD943" s="35">
        <f>IFERROR((TA[[#This Row],[Work Completion time on fault]]-TA[[#This Row],[Fault Time]])*24,"")</f>
        <v>0</v>
      </c>
      <c r="AE943" t="s">
        <v>328</v>
      </c>
      <c r="AF943" t="s">
        <v>256</v>
      </c>
      <c r="AG943" s="2"/>
      <c r="AH943" s="44">
        <f>1-COS(RADIANS(TA[[#This Row],[Avg. Target Angle during Fault Time (Radians)]]-TA[[#This Row],[Angle of affected equipment ]]))</f>
        <v>0.11705240714107301</v>
      </c>
      <c r="AI943" s="35">
        <f>IFERROR(TA[[#This Row],[Breakdown Time]]*TA[[#This Row],[Plant Equivalent Weightage]],"")</f>
        <v>0</v>
      </c>
    </row>
    <row r="944" spans="1:35">
      <c r="A944" s="2">
        <f t="shared" si="87"/>
        <v>941</v>
      </c>
      <c r="B944" s="156">
        <f t="shared" si="85"/>
        <v>2026</v>
      </c>
      <c r="C944" s="129">
        <f t="shared" si="86"/>
        <v>2025</v>
      </c>
      <c r="D944" s="2" t="s">
        <v>155</v>
      </c>
      <c r="E944" s="2" t="s">
        <v>155</v>
      </c>
      <c r="F944" s="39">
        <v>45809</v>
      </c>
      <c r="G944" s="2">
        <f>DAY(EOMONTH(TA[[#This Row],[Month Year]],0))</f>
        <v>30</v>
      </c>
      <c r="H944" s="21">
        <v>45809</v>
      </c>
      <c r="I944" s="41">
        <f>IFERROR(VLOOKUP(TA[[#This Row],[Date]],Raw_Data[[Date]:[Sunset Time (POA&lt;20 W/m2)]],3,0),"")</f>
        <v>0.24236111111111111</v>
      </c>
      <c r="J944" s="41">
        <f>IFERROR(VLOOKUP(TA[[#This Row],[Date]],Raw_Data[[Date]:[Sunset Time (POA&lt;20 W/m2)]],4,0),"")</f>
        <v>0.77361111111111114</v>
      </c>
      <c r="K944" s="35">
        <f>IFERROR((TA[[#This Row],[Sunset Time (POA&lt;20 W/m2)]]-TA[[#This Row],[Sunrise Time (POA&gt;20 W/m2)]])*24,"")</f>
        <v>12.75</v>
      </c>
      <c r="L944" s="2" t="s">
        <v>312</v>
      </c>
      <c r="M944" s="42">
        <f>IFERROR(VLOOKUP(TA[[#This Row],[Affected Equipment]],'Basic Data'!$I$2:$K$40,3,0),"")</f>
        <v>5.74712643678161E-3</v>
      </c>
      <c r="N944">
        <v>-28</v>
      </c>
      <c r="O944" t="s">
        <v>133</v>
      </c>
      <c r="P944" s="22" t="s">
        <v>330</v>
      </c>
      <c r="Q944" s="2" t="s">
        <v>323</v>
      </c>
      <c r="R944">
        <v>27</v>
      </c>
      <c r="S944" s="2">
        <v>42</v>
      </c>
      <c r="T944" t="s">
        <v>297</v>
      </c>
      <c r="U944" t="s">
        <v>300</v>
      </c>
      <c r="V944" t="s">
        <v>301</v>
      </c>
      <c r="W944" s="41">
        <f>IFERROR(VLOOKUP(TA[[#This Row],[Date]],Raw_Data[[Date]:[Sunset Time (POA&lt;20 W/m2)]],3,0),"")</f>
        <v>0.24236111111111111</v>
      </c>
      <c r="X944" s="41">
        <f>IFERROR(VLOOKUP(TA[[#This Row],[Date]],Raw_Data[[Date]:[Sunset Time (POA&lt;20 W/m2)]],3,0),"")</f>
        <v>0.24236111111111111</v>
      </c>
      <c r="Y944" s="34"/>
      <c r="Z944" s="34">
        <v>0.76041666666666663</v>
      </c>
      <c r="AA944" s="35">
        <f>IF(TA[[#This Row],[Work Start time on Fault]]="NA","",(TA[[#This Row],[Fault Acknowledgement Time ]]-TA[[#This Row],[Fault Time]])*24)</f>
        <v>0</v>
      </c>
      <c r="AB944" s="35">
        <f>(TA[[#This Row],[Work Start time on Fault]]-TA[[#This Row],[Fault Time]])*24</f>
        <v>-5.8166666666666664</v>
      </c>
      <c r="AC944" s="34">
        <f>(TA[[#This Row],[Work Completion time on fault]]-TA[[#This Row],[Fault Time]])*24</f>
        <v>12.433333333333332</v>
      </c>
      <c r="AD944" s="35">
        <f>IFERROR((TA[[#This Row],[Work Completion time on fault]]-TA[[#This Row],[Fault Time]])*24,"")</f>
        <v>12.433333333333332</v>
      </c>
      <c r="AE944" t="s">
        <v>309</v>
      </c>
      <c r="AF944" t="s">
        <v>256</v>
      </c>
      <c r="AG944" s="2"/>
      <c r="AH944" s="44">
        <f>1-COS(RADIANS(TA[[#This Row],[Avg. Target Angle during Fault Time (Radians)]]-TA[[#This Row],[Angle of affected equipment ]]))</f>
        <v>0.11705240714107301</v>
      </c>
      <c r="AI944" s="35">
        <f>IFERROR(TA[[#This Row],[Breakdown Time]]*TA[[#This Row],[Plant Equivalent Weightage]],"")</f>
        <v>7.1455938697318006E-2</v>
      </c>
    </row>
    <row r="945" spans="1:35">
      <c r="A945" s="2">
        <f t="shared" si="87"/>
        <v>942</v>
      </c>
      <c r="B945" s="156">
        <f t="shared" ref="B945:B957" si="88">YEAR(H945)+IF(MONTH(H945)&gt;=4,1,0)</f>
        <v>2026</v>
      </c>
      <c r="C945" s="129">
        <f t="shared" ref="C945:C957" si="89">YEAR(H945)</f>
        <v>2025</v>
      </c>
      <c r="D945" s="2" t="s">
        <v>155</v>
      </c>
      <c r="E945" s="2" t="s">
        <v>155</v>
      </c>
      <c r="F945" s="39">
        <v>45809</v>
      </c>
      <c r="G945" s="2">
        <f>DAY(EOMONTH(TA[[#This Row],[Month Year]],0))</f>
        <v>30</v>
      </c>
      <c r="H945" s="21">
        <v>45810</v>
      </c>
      <c r="I945" s="41">
        <f>IFERROR(VLOOKUP(TA[[#This Row],[Date]],Raw_Data[[Date]:[Sunset Time (POA&lt;20 W/m2)]],3,0),"")</f>
        <v>0.24166666666666667</v>
      </c>
      <c r="J945" s="41">
        <f>IFERROR(VLOOKUP(TA[[#This Row],[Date]],Raw_Data[[Date]:[Sunset Time (POA&lt;20 W/m2)]],4,0),"")</f>
        <v>0.77083333333333337</v>
      </c>
      <c r="K945" s="35">
        <f>IFERROR((TA[[#This Row],[Sunset Time (POA&lt;20 W/m2)]]-TA[[#This Row],[Sunrise Time (POA&gt;20 W/m2)]])*24,"")</f>
        <v>12.7</v>
      </c>
      <c r="L945" s="2" t="s">
        <v>294</v>
      </c>
      <c r="M945" s="42">
        <f>IFERROR(VLOOKUP(TA[[#This Row],[Affected Equipment]],'Basic Data'!$I$2:$K$40,3,0),"")</f>
        <v>1.7241379310344799E-3</v>
      </c>
      <c r="N945">
        <v>-28</v>
      </c>
      <c r="O945" t="s">
        <v>135</v>
      </c>
      <c r="P945" s="127" t="s">
        <v>318</v>
      </c>
      <c r="Q945" s="126" t="s">
        <v>318</v>
      </c>
      <c r="R945">
        <v>131</v>
      </c>
      <c r="S945" s="2">
        <v>38</v>
      </c>
      <c r="T945" t="s">
        <v>295</v>
      </c>
      <c r="U945" t="s">
        <v>300</v>
      </c>
      <c r="V945" t="s">
        <v>298</v>
      </c>
      <c r="W945" s="41"/>
      <c r="X945" s="41"/>
      <c r="Y945" s="34"/>
      <c r="Z945" s="34"/>
      <c r="AA945" s="35">
        <f>IF(TA[[#This Row],[Work Start time on Fault]]="NA","",(TA[[#This Row],[Fault Acknowledgement Time ]]-TA[[#This Row],[Fault Time]])*24)</f>
        <v>0</v>
      </c>
      <c r="AB945" s="35">
        <f>(TA[[#This Row],[Work Start time on Fault]]-TA[[#This Row],[Fault Time]])*24</f>
        <v>0</v>
      </c>
      <c r="AC945" s="34">
        <f>(TA[[#This Row],[Work Completion time on fault]]-TA[[#This Row],[Fault Time]])*24</f>
        <v>0</v>
      </c>
      <c r="AD945" s="35">
        <f>IFERROR((TA[[#This Row],[Work Completion time on fault]]-TA[[#This Row],[Fault Time]])*24,"")</f>
        <v>0</v>
      </c>
      <c r="AE945" t="s">
        <v>328</v>
      </c>
      <c r="AF945" t="s">
        <v>256</v>
      </c>
      <c r="AG945" s="2"/>
      <c r="AH945" s="44">
        <f>1-COS(RADIANS(TA[[#This Row],[Avg. Target Angle during Fault Time (Radians)]]-TA[[#This Row],[Angle of affected equipment ]]))</f>
        <v>0.11705240714107301</v>
      </c>
      <c r="AI945" s="35">
        <f>IFERROR(TA[[#This Row],[Breakdown Time]]*TA[[#This Row],[Plant Equivalent Weightage]],"")</f>
        <v>0</v>
      </c>
    </row>
    <row r="946" spans="1:35">
      <c r="A946" s="2">
        <f t="shared" si="87"/>
        <v>943</v>
      </c>
      <c r="B946" s="156">
        <f t="shared" si="88"/>
        <v>2026</v>
      </c>
      <c r="C946" s="129">
        <f t="shared" si="89"/>
        <v>2025</v>
      </c>
      <c r="D946" s="2" t="s">
        <v>155</v>
      </c>
      <c r="E946" s="2" t="s">
        <v>155</v>
      </c>
      <c r="F946" s="39">
        <v>45809</v>
      </c>
      <c r="G946" s="2">
        <f>DAY(EOMONTH(TA[[#This Row],[Month Year]],0))</f>
        <v>30</v>
      </c>
      <c r="H946" s="21">
        <v>45810</v>
      </c>
      <c r="I946" s="41">
        <f>IFERROR(VLOOKUP(TA[[#This Row],[Date]],Raw_Data[[Date]:[Sunset Time (POA&lt;20 W/m2)]],3,0),"")</f>
        <v>0.24166666666666667</v>
      </c>
      <c r="J946" s="41">
        <f>IFERROR(VLOOKUP(TA[[#This Row],[Date]],Raw_Data[[Date]:[Sunset Time (POA&lt;20 W/m2)]],4,0),"")</f>
        <v>0.77083333333333337</v>
      </c>
      <c r="K946" s="35">
        <f>IFERROR((TA[[#This Row],[Sunset Time (POA&lt;20 W/m2)]]-TA[[#This Row],[Sunrise Time (POA&gt;20 W/m2)]])*24,"")</f>
        <v>12.7</v>
      </c>
      <c r="L946" s="2" t="s">
        <v>294</v>
      </c>
      <c r="M946" s="42">
        <f>IFERROR(VLOOKUP(TA[[#This Row],[Affected Equipment]],'Basic Data'!$I$2:$K$40,3,0),"")</f>
        <v>1.7241379310344799E-3</v>
      </c>
      <c r="N946">
        <v>-28</v>
      </c>
      <c r="O946" t="s">
        <v>135</v>
      </c>
      <c r="P946" s="127" t="s">
        <v>318</v>
      </c>
      <c r="Q946" s="126" t="s">
        <v>318</v>
      </c>
      <c r="R946">
        <v>131</v>
      </c>
      <c r="S946" s="2">
        <v>39</v>
      </c>
      <c r="T946" t="s">
        <v>295</v>
      </c>
      <c r="U946" t="s">
        <v>300</v>
      </c>
      <c r="V946" t="s">
        <v>298</v>
      </c>
      <c r="W946" s="41"/>
      <c r="X946" s="41"/>
      <c r="Y946" s="34"/>
      <c r="Z946" s="34"/>
      <c r="AA946" s="35">
        <f>IF(TA[[#This Row],[Work Start time on Fault]]="NA","",(TA[[#This Row],[Fault Acknowledgement Time ]]-TA[[#This Row],[Fault Time]])*24)</f>
        <v>0</v>
      </c>
      <c r="AB946" s="35">
        <f>(TA[[#This Row],[Work Start time on Fault]]-TA[[#This Row],[Fault Time]])*24</f>
        <v>0</v>
      </c>
      <c r="AC946" s="34">
        <f>(TA[[#This Row],[Work Completion time on fault]]-TA[[#This Row],[Fault Time]])*24</f>
        <v>0</v>
      </c>
      <c r="AD946" s="35">
        <f>IFERROR((TA[[#This Row],[Work Completion time on fault]]-TA[[#This Row],[Fault Time]])*24,"")</f>
        <v>0</v>
      </c>
      <c r="AE946" t="s">
        <v>328</v>
      </c>
      <c r="AF946" t="s">
        <v>256</v>
      </c>
      <c r="AG946" s="2"/>
      <c r="AH946" s="44">
        <f>1-COS(RADIANS(TA[[#This Row],[Avg. Target Angle during Fault Time (Radians)]]-TA[[#This Row],[Angle of affected equipment ]]))</f>
        <v>0.11705240714107301</v>
      </c>
      <c r="AI946" s="35">
        <f>IFERROR(TA[[#This Row],[Breakdown Time]]*TA[[#This Row],[Plant Equivalent Weightage]],"")</f>
        <v>0</v>
      </c>
    </row>
    <row r="947" spans="1:35">
      <c r="A947" s="2">
        <f t="shared" si="87"/>
        <v>944</v>
      </c>
      <c r="B947" s="156">
        <f t="shared" si="88"/>
        <v>2026</v>
      </c>
      <c r="C947" s="129">
        <f t="shared" si="89"/>
        <v>2025</v>
      </c>
      <c r="D947" s="2" t="s">
        <v>155</v>
      </c>
      <c r="E947" s="2" t="s">
        <v>155</v>
      </c>
      <c r="F947" s="39">
        <v>45809</v>
      </c>
      <c r="G947" s="2">
        <f>DAY(EOMONTH(TA[[#This Row],[Month Year]],0))</f>
        <v>30</v>
      </c>
      <c r="H947" s="21">
        <v>45810</v>
      </c>
      <c r="I947" s="41">
        <f>IFERROR(VLOOKUP(TA[[#This Row],[Date]],Raw_Data[[Date]:[Sunset Time (POA&lt;20 W/m2)]],3,0),"")</f>
        <v>0.24166666666666667</v>
      </c>
      <c r="J947" s="41">
        <f>IFERROR(VLOOKUP(TA[[#This Row],[Date]],Raw_Data[[Date]:[Sunset Time (POA&lt;20 W/m2)]],4,0),"")</f>
        <v>0.77083333333333337</v>
      </c>
      <c r="K947" s="35">
        <f>IFERROR((TA[[#This Row],[Sunset Time (POA&lt;20 W/m2)]]-TA[[#This Row],[Sunrise Time (POA&gt;20 W/m2)]])*24,"")</f>
        <v>12.7</v>
      </c>
      <c r="L947" s="2" t="s">
        <v>296</v>
      </c>
      <c r="M947" s="42">
        <f>IFERROR(VLOOKUP(TA[[#This Row],[Affected Equipment]],'Basic Data'!$I$2:$K$40,3,0),"")</f>
        <v>8.6206896551724102E-3</v>
      </c>
      <c r="N947">
        <v>-28</v>
      </c>
      <c r="O947" t="s">
        <v>135</v>
      </c>
      <c r="P947" s="127" t="s">
        <v>318</v>
      </c>
      <c r="Q947" s="2" t="s">
        <v>321</v>
      </c>
      <c r="R947">
        <v>133</v>
      </c>
      <c r="S947" s="2">
        <v>26</v>
      </c>
      <c r="T947" t="s">
        <v>297</v>
      </c>
      <c r="U947" t="s">
        <v>300</v>
      </c>
      <c r="V947" t="s">
        <v>314</v>
      </c>
      <c r="W947" s="41">
        <f>IFERROR(VLOOKUP(TA[[#This Row],[Date]],Raw_Data[[Date]:[Sunset Time (POA&lt;20 W/m2)]],3,0),"")</f>
        <v>0.24166666666666667</v>
      </c>
      <c r="X947" s="41">
        <f>IFERROR(VLOOKUP(TA[[#This Row],[Date]],Raw_Data[[Date]:[Sunset Time (POA&lt;20 W/m2)]],3,0),"")</f>
        <v>0.24166666666666667</v>
      </c>
      <c r="Y947" s="34"/>
      <c r="Z947" s="34">
        <v>0.76041666666666663</v>
      </c>
      <c r="AA947" s="35">
        <f>IF(TA[[#This Row],[Work Start time on Fault]]="NA","",(TA[[#This Row],[Fault Acknowledgement Time ]]-TA[[#This Row],[Fault Time]])*24)</f>
        <v>0</v>
      </c>
      <c r="AB947" s="35">
        <f>(TA[[#This Row],[Work Start time on Fault]]-TA[[#This Row],[Fault Time]])*24</f>
        <v>-5.8</v>
      </c>
      <c r="AC947" s="34">
        <f>(TA[[#This Row],[Work Completion time on fault]]-TA[[#This Row],[Fault Time]])*24</f>
        <v>12.45</v>
      </c>
      <c r="AD947" s="35">
        <f>IFERROR((TA[[#This Row],[Work Completion time on fault]]-TA[[#This Row],[Fault Time]])*24,"")</f>
        <v>12.45</v>
      </c>
      <c r="AE947" t="s">
        <v>328</v>
      </c>
      <c r="AF947" t="s">
        <v>256</v>
      </c>
      <c r="AG947" s="2"/>
      <c r="AH947" s="44">
        <f>1-COS(RADIANS(TA[[#This Row],[Avg. Target Angle during Fault Time (Radians)]]-TA[[#This Row],[Angle of affected equipment ]]))</f>
        <v>0.11705240714107301</v>
      </c>
      <c r="AI947" s="35">
        <f>IFERROR(TA[[#This Row],[Breakdown Time]]*TA[[#This Row],[Plant Equivalent Weightage]],"")</f>
        <v>0.1073275862068965</v>
      </c>
    </row>
    <row r="948" spans="1:35">
      <c r="A948" s="2">
        <f t="shared" si="87"/>
        <v>945</v>
      </c>
      <c r="B948" s="156">
        <f t="shared" si="88"/>
        <v>2026</v>
      </c>
      <c r="C948" s="129">
        <f t="shared" si="89"/>
        <v>2025</v>
      </c>
      <c r="D948" s="2" t="s">
        <v>155</v>
      </c>
      <c r="E948" s="2" t="s">
        <v>155</v>
      </c>
      <c r="F948" s="39">
        <v>45809</v>
      </c>
      <c r="G948" s="2">
        <f>DAY(EOMONTH(TA[[#This Row],[Month Year]],0))</f>
        <v>30</v>
      </c>
      <c r="H948" s="21">
        <v>45810</v>
      </c>
      <c r="I948" s="41">
        <f>IFERROR(VLOOKUP(TA[[#This Row],[Date]],Raw_Data[[Date]:[Sunset Time (POA&lt;20 W/m2)]],3,0),"")</f>
        <v>0.24166666666666667</v>
      </c>
      <c r="J948" s="41">
        <f>IFERROR(VLOOKUP(TA[[#This Row],[Date]],Raw_Data[[Date]:[Sunset Time (POA&lt;20 W/m2)]],4,0),"")</f>
        <v>0.77083333333333337</v>
      </c>
      <c r="K948" s="35">
        <f>IFERROR((TA[[#This Row],[Sunset Time (POA&lt;20 W/m2)]]-TA[[#This Row],[Sunrise Time (POA&gt;20 W/m2)]])*24,"")</f>
        <v>12.7</v>
      </c>
      <c r="L948" s="2" t="s">
        <v>294</v>
      </c>
      <c r="M948" s="42">
        <f>IFERROR(VLOOKUP(TA[[#This Row],[Affected Equipment]],'Basic Data'!$I$2:$K$40,3,0),"")</f>
        <v>1.7241379310344799E-3</v>
      </c>
      <c r="N948">
        <v>-28</v>
      </c>
      <c r="O948" t="s">
        <v>133</v>
      </c>
      <c r="P948" s="127" t="s">
        <v>316</v>
      </c>
      <c r="Q948" s="126" t="s">
        <v>317</v>
      </c>
      <c r="R948">
        <v>7</v>
      </c>
      <c r="S948" s="2">
        <v>32</v>
      </c>
      <c r="T948" t="s">
        <v>295</v>
      </c>
      <c r="U948" t="s">
        <v>300</v>
      </c>
      <c r="V948" t="s">
        <v>298</v>
      </c>
      <c r="W948" s="41"/>
      <c r="X948" s="41"/>
      <c r="Y948" s="34"/>
      <c r="Z948" s="34"/>
      <c r="AA948" s="35">
        <f>IF(TA[[#This Row],[Work Start time on Fault]]="NA","",(TA[[#This Row],[Fault Acknowledgement Time ]]-TA[[#This Row],[Fault Time]])*24)</f>
        <v>0</v>
      </c>
      <c r="AB948" s="35">
        <f>(TA[[#This Row],[Work Start time on Fault]]-TA[[#This Row],[Fault Time]])*24</f>
        <v>0</v>
      </c>
      <c r="AC948" s="34">
        <f>(TA[[#This Row],[Work Completion time on fault]]-TA[[#This Row],[Fault Time]])*24</f>
        <v>0</v>
      </c>
      <c r="AD948" s="35">
        <f>IFERROR((TA[[#This Row],[Work Completion time on fault]]-TA[[#This Row],[Fault Time]])*24,"")</f>
        <v>0</v>
      </c>
      <c r="AE948" t="s">
        <v>328</v>
      </c>
      <c r="AF948" t="s">
        <v>256</v>
      </c>
      <c r="AG948" s="2"/>
      <c r="AH948" s="44">
        <f>1-COS(RADIANS(TA[[#This Row],[Avg. Target Angle during Fault Time (Radians)]]-TA[[#This Row],[Angle of affected equipment ]]))</f>
        <v>0.11705240714107301</v>
      </c>
      <c r="AI948" s="35">
        <f>IFERROR(TA[[#This Row],[Breakdown Time]]*TA[[#This Row],[Plant Equivalent Weightage]],"")</f>
        <v>0</v>
      </c>
    </row>
    <row r="949" spans="1:35">
      <c r="A949" s="2">
        <f t="shared" si="87"/>
        <v>946</v>
      </c>
      <c r="B949" s="156">
        <f t="shared" si="88"/>
        <v>2026</v>
      </c>
      <c r="C949" s="129">
        <f t="shared" si="89"/>
        <v>2025</v>
      </c>
      <c r="D949" s="2" t="s">
        <v>155</v>
      </c>
      <c r="E949" s="2" t="s">
        <v>155</v>
      </c>
      <c r="F949" s="39">
        <v>45809</v>
      </c>
      <c r="G949" s="2">
        <f>DAY(EOMONTH(TA[[#This Row],[Month Year]],0))</f>
        <v>30</v>
      </c>
      <c r="H949" s="21">
        <v>45810</v>
      </c>
      <c r="I949" s="41">
        <f>IFERROR(VLOOKUP(TA[[#This Row],[Date]],Raw_Data[[Date]:[Sunset Time (POA&lt;20 W/m2)]],3,0),"")</f>
        <v>0.24166666666666667</v>
      </c>
      <c r="J949" s="41">
        <f>IFERROR(VLOOKUP(TA[[#This Row],[Date]],Raw_Data[[Date]:[Sunset Time (POA&lt;20 W/m2)]],4,0),"")</f>
        <v>0.77083333333333337</v>
      </c>
      <c r="K949" s="35">
        <f>IFERROR((TA[[#This Row],[Sunset Time (POA&lt;20 W/m2)]]-TA[[#This Row],[Sunrise Time (POA&gt;20 W/m2)]])*24,"")</f>
        <v>12.7</v>
      </c>
      <c r="L949" s="2" t="s">
        <v>294</v>
      </c>
      <c r="M949" s="42">
        <f>IFERROR(VLOOKUP(TA[[#This Row],[Affected Equipment]],'Basic Data'!$I$2:$K$40,3,0),"")</f>
        <v>1.7241379310344799E-3</v>
      </c>
      <c r="N949">
        <v>-28</v>
      </c>
      <c r="O949" t="s">
        <v>137</v>
      </c>
      <c r="P949" s="127" t="s">
        <v>315</v>
      </c>
      <c r="Q949" s="126" t="s">
        <v>319</v>
      </c>
      <c r="R949">
        <v>166</v>
      </c>
      <c r="S949" s="2">
        <v>91</v>
      </c>
      <c r="T949" t="s">
        <v>295</v>
      </c>
      <c r="U949" t="s">
        <v>300</v>
      </c>
      <c r="V949" t="s">
        <v>298</v>
      </c>
      <c r="W949" s="41"/>
      <c r="X949" s="41"/>
      <c r="Y949" s="34"/>
      <c r="Z949" s="34"/>
      <c r="AA949" s="35">
        <f>IF(TA[[#This Row],[Work Start time on Fault]]="NA","",(TA[[#This Row],[Fault Acknowledgement Time ]]-TA[[#This Row],[Fault Time]])*24)</f>
        <v>0</v>
      </c>
      <c r="AB949" s="35">
        <f>(TA[[#This Row],[Work Start time on Fault]]-TA[[#This Row],[Fault Time]])*24</f>
        <v>0</v>
      </c>
      <c r="AC949" s="34">
        <f>(TA[[#This Row],[Work Completion time on fault]]-TA[[#This Row],[Fault Time]])*24</f>
        <v>0</v>
      </c>
      <c r="AD949" s="35">
        <f>IFERROR((TA[[#This Row],[Work Completion time on fault]]-TA[[#This Row],[Fault Time]])*24,"")</f>
        <v>0</v>
      </c>
      <c r="AE949" t="s">
        <v>328</v>
      </c>
      <c r="AF949" t="s">
        <v>256</v>
      </c>
      <c r="AG949" s="2"/>
      <c r="AH949" s="44">
        <f>1-COS(RADIANS(TA[[#This Row],[Avg. Target Angle during Fault Time (Radians)]]-TA[[#This Row],[Angle of affected equipment ]]))</f>
        <v>0.11705240714107301</v>
      </c>
      <c r="AI949" s="35">
        <f>IFERROR(TA[[#This Row],[Breakdown Time]]*TA[[#This Row],[Plant Equivalent Weightage]],"")</f>
        <v>0</v>
      </c>
    </row>
    <row r="950" spans="1:35">
      <c r="A950" s="2">
        <f t="shared" si="87"/>
        <v>947</v>
      </c>
      <c r="B950" s="156">
        <f t="shared" si="88"/>
        <v>2026</v>
      </c>
      <c r="C950" s="129">
        <f t="shared" si="89"/>
        <v>2025</v>
      </c>
      <c r="D950" s="2" t="s">
        <v>155</v>
      </c>
      <c r="E950" s="2" t="s">
        <v>155</v>
      </c>
      <c r="F950" s="39">
        <v>45809</v>
      </c>
      <c r="G950" s="2">
        <f>DAY(EOMONTH(TA[[#This Row],[Month Year]],0))</f>
        <v>30</v>
      </c>
      <c r="H950" s="21">
        <v>45810</v>
      </c>
      <c r="I950" s="41">
        <f>IFERROR(VLOOKUP(TA[[#This Row],[Date]],Raw_Data[[Date]:[Sunset Time (POA&lt;20 W/m2)]],3,0),"")</f>
        <v>0.24166666666666667</v>
      </c>
      <c r="J950" s="41">
        <f>IFERROR(VLOOKUP(TA[[#This Row],[Date]],Raw_Data[[Date]:[Sunset Time (POA&lt;20 W/m2)]],4,0),"")</f>
        <v>0.77083333333333337</v>
      </c>
      <c r="K950" s="35">
        <f>IFERROR((TA[[#This Row],[Sunset Time (POA&lt;20 W/m2)]]-TA[[#This Row],[Sunrise Time (POA&gt;20 W/m2)]])*24,"")</f>
        <v>12.7</v>
      </c>
      <c r="L950" s="2" t="s">
        <v>294</v>
      </c>
      <c r="M950" s="42">
        <f>IFERROR(VLOOKUP(TA[[#This Row],[Affected Equipment]],'Basic Data'!$I$2:$K$40,3,0),"")</f>
        <v>1.7241379310344799E-3</v>
      </c>
      <c r="N950">
        <v>-28</v>
      </c>
      <c r="O950" t="s">
        <v>133</v>
      </c>
      <c r="P950" s="127" t="s">
        <v>316</v>
      </c>
      <c r="Q950" s="126" t="s">
        <v>316</v>
      </c>
      <c r="R950">
        <v>117</v>
      </c>
      <c r="S950" s="2">
        <v>20</v>
      </c>
      <c r="T950" t="s">
        <v>295</v>
      </c>
      <c r="U950" t="s">
        <v>300</v>
      </c>
      <c r="V950" t="s">
        <v>298</v>
      </c>
      <c r="W950" s="41"/>
      <c r="X950" s="41"/>
      <c r="Y950" s="34"/>
      <c r="Z950" s="34"/>
      <c r="AA950" s="35">
        <f>IF(TA[[#This Row],[Work Start time on Fault]]="NA","",(TA[[#This Row],[Fault Acknowledgement Time ]]-TA[[#This Row],[Fault Time]])*24)</f>
        <v>0</v>
      </c>
      <c r="AB950" s="35">
        <f>(TA[[#This Row],[Work Start time on Fault]]-TA[[#This Row],[Fault Time]])*24</f>
        <v>0</v>
      </c>
      <c r="AC950" s="34">
        <f>(TA[[#This Row],[Work Completion time on fault]]-TA[[#This Row],[Fault Time]])*24</f>
        <v>0</v>
      </c>
      <c r="AD950" s="35">
        <f>IFERROR((TA[[#This Row],[Work Completion time on fault]]-TA[[#This Row],[Fault Time]])*24,"")</f>
        <v>0</v>
      </c>
      <c r="AE950" t="s">
        <v>328</v>
      </c>
      <c r="AF950" t="s">
        <v>256</v>
      </c>
      <c r="AG950" s="2"/>
      <c r="AH950" s="44">
        <f>1-COS(RADIANS(TA[[#This Row],[Avg. Target Angle during Fault Time (Radians)]]-TA[[#This Row],[Angle of affected equipment ]]))</f>
        <v>0.11705240714107301</v>
      </c>
      <c r="AI950" s="35">
        <f>IFERROR(TA[[#This Row],[Breakdown Time]]*TA[[#This Row],[Plant Equivalent Weightage]],"")</f>
        <v>0</v>
      </c>
    </row>
    <row r="951" spans="1:35">
      <c r="A951" s="2">
        <f t="shared" si="87"/>
        <v>948</v>
      </c>
      <c r="B951" s="156">
        <f t="shared" si="88"/>
        <v>2026</v>
      </c>
      <c r="C951" s="129">
        <f t="shared" si="89"/>
        <v>2025</v>
      </c>
      <c r="D951" s="2" t="s">
        <v>155</v>
      </c>
      <c r="E951" s="2" t="s">
        <v>155</v>
      </c>
      <c r="F951" s="39">
        <v>45809</v>
      </c>
      <c r="G951" s="2">
        <f>DAY(EOMONTH(TA[[#This Row],[Month Year]],0))</f>
        <v>30</v>
      </c>
      <c r="H951" s="21">
        <v>45810</v>
      </c>
      <c r="I951" s="41">
        <f>IFERROR(VLOOKUP(TA[[#This Row],[Date]],Raw_Data[[Date]:[Sunset Time (POA&lt;20 W/m2)]],3,0),"")</f>
        <v>0.24166666666666667</v>
      </c>
      <c r="J951" s="41">
        <f>IFERROR(VLOOKUP(TA[[#This Row],[Date]],Raw_Data[[Date]:[Sunset Time (POA&lt;20 W/m2)]],4,0),"")</f>
        <v>0.77083333333333337</v>
      </c>
      <c r="K951" s="35">
        <f>IFERROR((TA[[#This Row],[Sunset Time (POA&lt;20 W/m2)]]-TA[[#This Row],[Sunrise Time (POA&gt;20 W/m2)]])*24,"")</f>
        <v>12.7</v>
      </c>
      <c r="L951" s="2" t="s">
        <v>294</v>
      </c>
      <c r="M951" s="42">
        <f>IFERROR(VLOOKUP(TA[[#This Row],[Affected Equipment]],'Basic Data'!$I$2:$K$40,3,0),"")</f>
        <v>1.7241379310344799E-3</v>
      </c>
      <c r="N951">
        <v>-28</v>
      </c>
      <c r="O951" t="s">
        <v>133</v>
      </c>
      <c r="P951" s="127" t="s">
        <v>316</v>
      </c>
      <c r="Q951" s="126" t="s">
        <v>316</v>
      </c>
      <c r="R951">
        <v>118</v>
      </c>
      <c r="S951" s="2">
        <v>22</v>
      </c>
      <c r="T951" t="s">
        <v>295</v>
      </c>
      <c r="U951" t="s">
        <v>300</v>
      </c>
      <c r="V951" t="s">
        <v>298</v>
      </c>
      <c r="W951" s="41"/>
      <c r="X951" s="41"/>
      <c r="Y951" s="34"/>
      <c r="Z951" s="34"/>
      <c r="AA951" s="35">
        <f>IF(TA[[#This Row],[Work Start time on Fault]]="NA","",(TA[[#This Row],[Fault Acknowledgement Time ]]-TA[[#This Row],[Fault Time]])*24)</f>
        <v>0</v>
      </c>
      <c r="AB951" s="35">
        <f>(TA[[#This Row],[Work Start time on Fault]]-TA[[#This Row],[Fault Time]])*24</f>
        <v>0</v>
      </c>
      <c r="AC951" s="34">
        <f>(TA[[#This Row],[Work Completion time on fault]]-TA[[#This Row],[Fault Time]])*24</f>
        <v>0</v>
      </c>
      <c r="AD951" s="35">
        <f>IFERROR((TA[[#This Row],[Work Completion time on fault]]-TA[[#This Row],[Fault Time]])*24,"")</f>
        <v>0</v>
      </c>
      <c r="AE951" t="s">
        <v>328</v>
      </c>
      <c r="AF951" t="s">
        <v>256</v>
      </c>
      <c r="AG951" s="2"/>
      <c r="AH951" s="44">
        <f>1-COS(RADIANS(TA[[#This Row],[Avg. Target Angle during Fault Time (Radians)]]-TA[[#This Row],[Angle of affected equipment ]]))</f>
        <v>0.11705240714107301</v>
      </c>
      <c r="AI951" s="35">
        <f>IFERROR(TA[[#This Row],[Breakdown Time]]*TA[[#This Row],[Plant Equivalent Weightage]],"")</f>
        <v>0</v>
      </c>
    </row>
    <row r="952" spans="1:35">
      <c r="A952" s="2">
        <f t="shared" si="87"/>
        <v>949</v>
      </c>
      <c r="B952" s="156">
        <f t="shared" si="88"/>
        <v>2026</v>
      </c>
      <c r="C952" s="129">
        <f t="shared" si="89"/>
        <v>2025</v>
      </c>
      <c r="D952" s="2" t="s">
        <v>155</v>
      </c>
      <c r="E952" s="2" t="s">
        <v>155</v>
      </c>
      <c r="F952" s="39">
        <v>45809</v>
      </c>
      <c r="G952" s="2">
        <f>DAY(EOMONTH(TA[[#This Row],[Month Year]],0))</f>
        <v>30</v>
      </c>
      <c r="H952" s="21">
        <v>45810</v>
      </c>
      <c r="I952" s="41">
        <f>IFERROR(VLOOKUP(TA[[#This Row],[Date]],Raw_Data[[Date]:[Sunset Time (POA&lt;20 W/m2)]],3,0),"")</f>
        <v>0.24166666666666667</v>
      </c>
      <c r="J952" s="41">
        <f>IFERROR(VLOOKUP(TA[[#This Row],[Date]],Raw_Data[[Date]:[Sunset Time (POA&lt;20 W/m2)]],4,0),"")</f>
        <v>0.77083333333333337</v>
      </c>
      <c r="K952" s="35">
        <f>IFERROR((TA[[#This Row],[Sunset Time (POA&lt;20 W/m2)]]-TA[[#This Row],[Sunrise Time (POA&gt;20 W/m2)]])*24,"")</f>
        <v>12.7</v>
      </c>
      <c r="L952" s="2" t="s">
        <v>296</v>
      </c>
      <c r="M952" s="42">
        <f>IFERROR(VLOOKUP(TA[[#This Row],[Affected Equipment]],'Basic Data'!$I$2:$K$40,3,0),"")</f>
        <v>8.6206896551724102E-3</v>
      </c>
      <c r="N952">
        <v>-28</v>
      </c>
      <c r="O952" t="s">
        <v>135</v>
      </c>
      <c r="P952" s="22" t="s">
        <v>323</v>
      </c>
      <c r="Q952" s="2" t="s">
        <v>329</v>
      </c>
      <c r="R952">
        <v>45</v>
      </c>
      <c r="S952" s="2">
        <v>8</v>
      </c>
      <c r="T952" t="s">
        <v>297</v>
      </c>
      <c r="U952" t="s">
        <v>300</v>
      </c>
      <c r="V952" t="s">
        <v>301</v>
      </c>
      <c r="W952" s="41"/>
      <c r="X952" s="41"/>
      <c r="Y952" s="34"/>
      <c r="Z952" s="34"/>
      <c r="AA952" s="35">
        <f>IF(TA[[#This Row],[Work Start time on Fault]]="NA","",(TA[[#This Row],[Fault Acknowledgement Time ]]-TA[[#This Row],[Fault Time]])*24)</f>
        <v>0</v>
      </c>
      <c r="AB952" s="35">
        <f>(TA[[#This Row],[Work Start time on Fault]]-TA[[#This Row],[Fault Time]])*24</f>
        <v>0</v>
      </c>
      <c r="AC952" s="34">
        <f>(TA[[#This Row],[Work Completion time on fault]]-TA[[#This Row],[Fault Time]])*24</f>
        <v>0</v>
      </c>
      <c r="AD952" s="35">
        <f>IFERROR((TA[[#This Row],[Work Completion time on fault]]-TA[[#This Row],[Fault Time]])*24,"")</f>
        <v>0</v>
      </c>
      <c r="AE952" t="s">
        <v>328</v>
      </c>
      <c r="AF952" t="s">
        <v>256</v>
      </c>
      <c r="AG952" s="2"/>
      <c r="AH952" s="44">
        <f>1-COS(RADIANS(TA[[#This Row],[Avg. Target Angle during Fault Time (Radians)]]-TA[[#This Row],[Angle of affected equipment ]]))</f>
        <v>0.11705240714107301</v>
      </c>
      <c r="AI952" s="35">
        <f>IFERROR(TA[[#This Row],[Breakdown Time]]*TA[[#This Row],[Plant Equivalent Weightage]],"")</f>
        <v>0</v>
      </c>
    </row>
    <row r="953" spans="1:35">
      <c r="A953" s="2">
        <f t="shared" si="87"/>
        <v>950</v>
      </c>
      <c r="B953" s="156">
        <f t="shared" si="88"/>
        <v>2026</v>
      </c>
      <c r="C953" s="129">
        <f t="shared" si="89"/>
        <v>2025</v>
      </c>
      <c r="D953" s="2" t="s">
        <v>155</v>
      </c>
      <c r="E953" s="2" t="s">
        <v>155</v>
      </c>
      <c r="F953" s="39">
        <v>45809</v>
      </c>
      <c r="G953" s="2">
        <f>DAY(EOMONTH(TA[[#This Row],[Month Year]],0))</f>
        <v>30</v>
      </c>
      <c r="H953" s="21">
        <v>45810</v>
      </c>
      <c r="I953" s="41">
        <f>IFERROR(VLOOKUP(TA[[#This Row],[Date]],Raw_Data[[Date]:[Sunset Time (POA&lt;20 W/m2)]],3,0),"")</f>
        <v>0.24166666666666667</v>
      </c>
      <c r="J953" s="41">
        <f>IFERROR(VLOOKUP(TA[[#This Row],[Date]],Raw_Data[[Date]:[Sunset Time (POA&lt;20 W/m2)]],4,0),"")</f>
        <v>0.77083333333333337</v>
      </c>
      <c r="K953" s="35">
        <f>IFERROR((TA[[#This Row],[Sunset Time (POA&lt;20 W/m2)]]-TA[[#This Row],[Sunrise Time (POA&gt;20 W/m2)]])*24,"")</f>
        <v>12.7</v>
      </c>
      <c r="L953" s="2" t="s">
        <v>296</v>
      </c>
      <c r="M953" s="42">
        <f>IFERROR(VLOOKUP(TA[[#This Row],[Affected Equipment]],'Basic Data'!$I$2:$K$40,3,0),"")</f>
        <v>8.6206896551724102E-3</v>
      </c>
      <c r="N953">
        <v>-28</v>
      </c>
      <c r="O953" t="s">
        <v>135</v>
      </c>
      <c r="P953" s="22" t="s">
        <v>323</v>
      </c>
      <c r="Q953" s="2" t="s">
        <v>329</v>
      </c>
      <c r="R953">
        <v>47</v>
      </c>
      <c r="S953" s="2">
        <v>18</v>
      </c>
      <c r="T953" t="s">
        <v>297</v>
      </c>
      <c r="U953" t="s">
        <v>300</v>
      </c>
      <c r="V953" t="s">
        <v>301</v>
      </c>
      <c r="W953" s="41"/>
      <c r="X953" s="41"/>
      <c r="Y953" s="34"/>
      <c r="Z953" s="34"/>
      <c r="AA953" s="35">
        <f>IF(TA[[#This Row],[Work Start time on Fault]]="NA","",(TA[[#This Row],[Fault Acknowledgement Time ]]-TA[[#This Row],[Fault Time]])*24)</f>
        <v>0</v>
      </c>
      <c r="AB953" s="35">
        <f>(TA[[#This Row],[Work Start time on Fault]]-TA[[#This Row],[Fault Time]])*24</f>
        <v>0</v>
      </c>
      <c r="AC953" s="34">
        <f>(TA[[#This Row],[Work Completion time on fault]]-TA[[#This Row],[Fault Time]])*24</f>
        <v>0</v>
      </c>
      <c r="AD953" s="35">
        <f>IFERROR((TA[[#This Row],[Work Completion time on fault]]-TA[[#This Row],[Fault Time]])*24,"")</f>
        <v>0</v>
      </c>
      <c r="AE953" t="s">
        <v>328</v>
      </c>
      <c r="AF953" t="s">
        <v>256</v>
      </c>
      <c r="AG953" s="2"/>
      <c r="AH953" s="44">
        <f>1-COS(RADIANS(TA[[#This Row],[Avg. Target Angle during Fault Time (Radians)]]-TA[[#This Row],[Angle of affected equipment ]]))</f>
        <v>0.11705240714107301</v>
      </c>
      <c r="AI953" s="35">
        <f>IFERROR(TA[[#This Row],[Breakdown Time]]*TA[[#This Row],[Plant Equivalent Weightage]],"")</f>
        <v>0</v>
      </c>
    </row>
    <row r="954" spans="1:35">
      <c r="A954" s="2">
        <f t="shared" si="87"/>
        <v>951</v>
      </c>
      <c r="B954" s="156">
        <f t="shared" si="88"/>
        <v>2026</v>
      </c>
      <c r="C954" s="129">
        <f t="shared" si="89"/>
        <v>2025</v>
      </c>
      <c r="D954" s="2" t="s">
        <v>155</v>
      </c>
      <c r="E954" s="2" t="s">
        <v>155</v>
      </c>
      <c r="F954" s="39">
        <v>45809</v>
      </c>
      <c r="G954" s="2">
        <f>DAY(EOMONTH(TA[[#This Row],[Month Year]],0))</f>
        <v>30</v>
      </c>
      <c r="H954" s="21">
        <v>45810</v>
      </c>
      <c r="I954" s="41">
        <f>IFERROR(VLOOKUP(TA[[#This Row],[Date]],Raw_Data[[Date]:[Sunset Time (POA&lt;20 W/m2)]],3,0),"")</f>
        <v>0.24166666666666667</v>
      </c>
      <c r="J954" s="41">
        <f>IFERROR(VLOOKUP(TA[[#This Row],[Date]],Raw_Data[[Date]:[Sunset Time (POA&lt;20 W/m2)]],4,0),"")</f>
        <v>0.77083333333333337</v>
      </c>
      <c r="K954" s="35">
        <f>IFERROR((TA[[#This Row],[Sunset Time (POA&lt;20 W/m2)]]-TA[[#This Row],[Sunrise Time (POA&gt;20 W/m2)]])*24,"")</f>
        <v>12.7</v>
      </c>
      <c r="L954" s="2" t="s">
        <v>296</v>
      </c>
      <c r="M954" s="42">
        <f>IFERROR(VLOOKUP(TA[[#This Row],[Affected Equipment]],'Basic Data'!$I$2:$K$40,3,0),"")</f>
        <v>8.6206896551724102E-3</v>
      </c>
      <c r="N954">
        <v>-28</v>
      </c>
      <c r="O954" t="s">
        <v>134</v>
      </c>
      <c r="P954" s="22" t="s">
        <v>330</v>
      </c>
      <c r="Q954" s="2" t="s">
        <v>323</v>
      </c>
      <c r="R954">
        <v>30</v>
      </c>
      <c r="S954" s="2">
        <v>57</v>
      </c>
      <c r="T954" t="s">
        <v>297</v>
      </c>
      <c r="U954" t="s">
        <v>300</v>
      </c>
      <c r="V954" t="s">
        <v>301</v>
      </c>
      <c r="W954" s="41"/>
      <c r="X954" s="41"/>
      <c r="Y954" s="34"/>
      <c r="Z954" s="34"/>
      <c r="AA954" s="35">
        <f>IF(TA[[#This Row],[Work Start time on Fault]]="NA","",(TA[[#This Row],[Fault Acknowledgement Time ]]-TA[[#This Row],[Fault Time]])*24)</f>
        <v>0</v>
      </c>
      <c r="AB954" s="35">
        <f>(TA[[#This Row],[Work Start time on Fault]]-TA[[#This Row],[Fault Time]])*24</f>
        <v>0</v>
      </c>
      <c r="AC954" s="34">
        <f>(TA[[#This Row],[Work Completion time on fault]]-TA[[#This Row],[Fault Time]])*24</f>
        <v>0</v>
      </c>
      <c r="AD954" s="35">
        <f>IFERROR((TA[[#This Row],[Work Completion time on fault]]-TA[[#This Row],[Fault Time]])*24,"")</f>
        <v>0</v>
      </c>
      <c r="AE954" t="s">
        <v>328</v>
      </c>
      <c r="AF954" t="s">
        <v>256</v>
      </c>
      <c r="AG954" s="2"/>
      <c r="AH954" s="44">
        <f>1-COS(RADIANS(TA[[#This Row],[Avg. Target Angle during Fault Time (Radians)]]-TA[[#This Row],[Angle of affected equipment ]]))</f>
        <v>0.11705240714107301</v>
      </c>
      <c r="AI954" s="35">
        <f>IFERROR(TA[[#This Row],[Breakdown Time]]*TA[[#This Row],[Plant Equivalent Weightage]],"")</f>
        <v>0</v>
      </c>
    </row>
    <row r="955" spans="1:35">
      <c r="A955" s="2">
        <f t="shared" si="87"/>
        <v>952</v>
      </c>
      <c r="B955" s="156">
        <f t="shared" si="88"/>
        <v>2026</v>
      </c>
      <c r="C955" s="129">
        <f t="shared" si="89"/>
        <v>2025</v>
      </c>
      <c r="D955" s="2" t="s">
        <v>155</v>
      </c>
      <c r="E955" s="2" t="s">
        <v>155</v>
      </c>
      <c r="F955" s="39">
        <v>45809</v>
      </c>
      <c r="G955" s="2">
        <f>DAY(EOMONTH(TA[[#This Row],[Month Year]],0))</f>
        <v>30</v>
      </c>
      <c r="H955" s="21">
        <v>45810</v>
      </c>
      <c r="I955" s="41">
        <f>IFERROR(VLOOKUP(TA[[#This Row],[Date]],Raw_Data[[Date]:[Sunset Time (POA&lt;20 W/m2)]],3,0),"")</f>
        <v>0.24166666666666667</v>
      </c>
      <c r="J955" s="41">
        <f>IFERROR(VLOOKUP(TA[[#This Row],[Date]],Raw_Data[[Date]:[Sunset Time (POA&lt;20 W/m2)]],4,0),"")</f>
        <v>0.77083333333333337</v>
      </c>
      <c r="K955" s="35">
        <f>IFERROR((TA[[#This Row],[Sunset Time (POA&lt;20 W/m2)]]-TA[[#This Row],[Sunrise Time (POA&gt;20 W/m2)]])*24,"")</f>
        <v>12.7</v>
      </c>
      <c r="L955" s="2" t="s">
        <v>296</v>
      </c>
      <c r="M955" s="42">
        <f>IFERROR(VLOOKUP(TA[[#This Row],[Affected Equipment]],'Basic Data'!$I$2:$K$40,3,0),"")</f>
        <v>8.6206896551724102E-3</v>
      </c>
      <c r="N955">
        <v>-28</v>
      </c>
      <c r="O955" t="s">
        <v>134</v>
      </c>
      <c r="P955" s="22" t="s">
        <v>330</v>
      </c>
      <c r="Q955" s="2" t="s">
        <v>323</v>
      </c>
      <c r="R955">
        <v>31</v>
      </c>
      <c r="S955" s="2">
        <v>61</v>
      </c>
      <c r="T955" t="s">
        <v>297</v>
      </c>
      <c r="U955" t="s">
        <v>300</v>
      </c>
      <c r="V955" t="s">
        <v>301</v>
      </c>
      <c r="W955" s="41"/>
      <c r="X955" s="41"/>
      <c r="Y955" s="34"/>
      <c r="Z955" s="34"/>
      <c r="AA955" s="35">
        <f>IF(TA[[#This Row],[Work Start time on Fault]]="NA","",(TA[[#This Row],[Fault Acknowledgement Time ]]-TA[[#This Row],[Fault Time]])*24)</f>
        <v>0</v>
      </c>
      <c r="AB955" s="35">
        <f>(TA[[#This Row],[Work Start time on Fault]]-TA[[#This Row],[Fault Time]])*24</f>
        <v>0</v>
      </c>
      <c r="AC955" s="34">
        <f>(TA[[#This Row],[Work Completion time on fault]]-TA[[#This Row],[Fault Time]])*24</f>
        <v>0</v>
      </c>
      <c r="AD955" s="35">
        <f>IFERROR((TA[[#This Row],[Work Completion time on fault]]-TA[[#This Row],[Fault Time]])*24,"")</f>
        <v>0</v>
      </c>
      <c r="AE955" t="s">
        <v>328</v>
      </c>
      <c r="AF955" t="s">
        <v>256</v>
      </c>
      <c r="AG955" s="2"/>
      <c r="AH955" s="44">
        <f>1-COS(RADIANS(TA[[#This Row],[Avg. Target Angle during Fault Time (Radians)]]-TA[[#This Row],[Angle of affected equipment ]]))</f>
        <v>0.11705240714107301</v>
      </c>
      <c r="AI955" s="35">
        <f>IFERROR(TA[[#This Row],[Breakdown Time]]*TA[[#This Row],[Plant Equivalent Weightage]],"")</f>
        <v>0</v>
      </c>
    </row>
    <row r="956" spans="1:35">
      <c r="A956" s="2">
        <f t="shared" si="87"/>
        <v>953</v>
      </c>
      <c r="B956" s="156">
        <f t="shared" si="88"/>
        <v>2026</v>
      </c>
      <c r="C956" s="129">
        <f t="shared" si="89"/>
        <v>2025</v>
      </c>
      <c r="D956" s="2" t="s">
        <v>155</v>
      </c>
      <c r="E956" s="2" t="s">
        <v>155</v>
      </c>
      <c r="F956" s="39">
        <v>45809</v>
      </c>
      <c r="G956" s="2">
        <f>DAY(EOMONTH(TA[[#This Row],[Month Year]],0))</f>
        <v>30</v>
      </c>
      <c r="H956" s="21">
        <v>45810</v>
      </c>
      <c r="I956" s="41">
        <f>IFERROR(VLOOKUP(TA[[#This Row],[Date]],Raw_Data[[Date]:[Sunset Time (POA&lt;20 W/m2)]],3,0),"")</f>
        <v>0.24166666666666667</v>
      </c>
      <c r="J956" s="41">
        <f>IFERROR(VLOOKUP(TA[[#This Row],[Date]],Raw_Data[[Date]:[Sunset Time (POA&lt;20 W/m2)]],4,0),"")</f>
        <v>0.77083333333333337</v>
      </c>
      <c r="K956" s="35">
        <f>IFERROR((TA[[#This Row],[Sunset Time (POA&lt;20 W/m2)]]-TA[[#This Row],[Sunrise Time (POA&gt;20 W/m2)]])*24,"")</f>
        <v>12.7</v>
      </c>
      <c r="L956" s="2" t="s">
        <v>312</v>
      </c>
      <c r="M956" s="42">
        <f>IFERROR(VLOOKUP(TA[[#This Row],[Affected Equipment]],'Basic Data'!$I$2:$K$40,3,0),"")</f>
        <v>5.74712643678161E-3</v>
      </c>
      <c r="N956">
        <v>-28</v>
      </c>
      <c r="O956" t="s">
        <v>133</v>
      </c>
      <c r="P956" s="22" t="s">
        <v>330</v>
      </c>
      <c r="Q956" s="2" t="s">
        <v>323</v>
      </c>
      <c r="R956">
        <v>26</v>
      </c>
      <c r="S956" s="2">
        <v>37</v>
      </c>
      <c r="T956" t="s">
        <v>297</v>
      </c>
      <c r="U956" t="s">
        <v>300</v>
      </c>
      <c r="V956" t="s">
        <v>301</v>
      </c>
      <c r="W956" s="41"/>
      <c r="X956" s="41"/>
      <c r="Y956" s="34"/>
      <c r="Z956" s="34"/>
      <c r="AA956" s="35">
        <f>IF(TA[[#This Row],[Work Start time on Fault]]="NA","",(TA[[#This Row],[Fault Acknowledgement Time ]]-TA[[#This Row],[Fault Time]])*24)</f>
        <v>0</v>
      </c>
      <c r="AB956" s="35">
        <f>(TA[[#This Row],[Work Start time on Fault]]-TA[[#This Row],[Fault Time]])*24</f>
        <v>0</v>
      </c>
      <c r="AC956" s="34">
        <f>(TA[[#This Row],[Work Completion time on fault]]-TA[[#This Row],[Fault Time]])*24</f>
        <v>0</v>
      </c>
      <c r="AD956" s="35">
        <f>IFERROR((TA[[#This Row],[Work Completion time on fault]]-TA[[#This Row],[Fault Time]])*24,"")</f>
        <v>0</v>
      </c>
      <c r="AE956" t="s">
        <v>328</v>
      </c>
      <c r="AF956" t="s">
        <v>256</v>
      </c>
      <c r="AG956" s="2"/>
      <c r="AH956" s="44">
        <f>1-COS(RADIANS(TA[[#This Row],[Avg. Target Angle during Fault Time (Radians)]]-TA[[#This Row],[Angle of affected equipment ]]))</f>
        <v>0.11705240714107301</v>
      </c>
      <c r="AI956" s="35">
        <f>IFERROR(TA[[#This Row],[Breakdown Time]]*TA[[#This Row],[Plant Equivalent Weightage]],"")</f>
        <v>0</v>
      </c>
    </row>
    <row r="957" spans="1:35">
      <c r="A957" s="2">
        <f t="shared" si="87"/>
        <v>954</v>
      </c>
      <c r="B957" s="156">
        <f t="shared" si="88"/>
        <v>2026</v>
      </c>
      <c r="C957" s="129">
        <f t="shared" si="89"/>
        <v>2025</v>
      </c>
      <c r="D957" s="2" t="s">
        <v>155</v>
      </c>
      <c r="E957" s="2" t="s">
        <v>155</v>
      </c>
      <c r="F957" s="39">
        <v>45809</v>
      </c>
      <c r="G957" s="2">
        <f>DAY(EOMONTH(TA[[#This Row],[Month Year]],0))</f>
        <v>30</v>
      </c>
      <c r="H957" s="21">
        <v>45810</v>
      </c>
      <c r="I957" s="41">
        <f>IFERROR(VLOOKUP(TA[[#This Row],[Date]],Raw_Data[[Date]:[Sunset Time (POA&lt;20 W/m2)]],3,0),"")</f>
        <v>0.24166666666666667</v>
      </c>
      <c r="J957" s="41">
        <f>IFERROR(VLOOKUP(TA[[#This Row],[Date]],Raw_Data[[Date]:[Sunset Time (POA&lt;20 W/m2)]],4,0),"")</f>
        <v>0.77083333333333337</v>
      </c>
      <c r="K957" s="35">
        <f>IFERROR((TA[[#This Row],[Sunset Time (POA&lt;20 W/m2)]]-TA[[#This Row],[Sunrise Time (POA&gt;20 W/m2)]])*24,"")</f>
        <v>12.7</v>
      </c>
      <c r="L957" s="2" t="s">
        <v>312</v>
      </c>
      <c r="M957" s="42">
        <f>IFERROR(VLOOKUP(TA[[#This Row],[Affected Equipment]],'Basic Data'!$I$2:$K$40,3,0),"")</f>
        <v>5.74712643678161E-3</v>
      </c>
      <c r="N957">
        <v>-28</v>
      </c>
      <c r="O957" t="s">
        <v>133</v>
      </c>
      <c r="P957" s="22" t="s">
        <v>330</v>
      </c>
      <c r="Q957" s="2" t="s">
        <v>323</v>
      </c>
      <c r="R957">
        <v>27</v>
      </c>
      <c r="S957" s="2">
        <v>42</v>
      </c>
      <c r="T957" t="s">
        <v>297</v>
      </c>
      <c r="U957" t="s">
        <v>300</v>
      </c>
      <c r="V957" t="s">
        <v>301</v>
      </c>
      <c r="W957" s="41">
        <f>IFERROR(VLOOKUP(TA[[#This Row],[Date]],Raw_Data[[Date]:[Sunset Time (POA&lt;20 W/m2)]],3,0),"")</f>
        <v>0.24166666666666667</v>
      </c>
      <c r="X957" s="41">
        <f>IFERROR(VLOOKUP(TA[[#This Row],[Date]],Raw_Data[[Date]:[Sunset Time (POA&lt;20 W/m2)]],3,0),"")</f>
        <v>0.24166666666666667</v>
      </c>
      <c r="Y957" s="34"/>
      <c r="Z957" s="34">
        <v>0.76041666666666663</v>
      </c>
      <c r="AA957" s="35">
        <f>IF(TA[[#This Row],[Work Start time on Fault]]="NA","",(TA[[#This Row],[Fault Acknowledgement Time ]]-TA[[#This Row],[Fault Time]])*24)</f>
        <v>0</v>
      </c>
      <c r="AB957" s="35">
        <f>(TA[[#This Row],[Work Start time on Fault]]-TA[[#This Row],[Fault Time]])*24</f>
        <v>-5.8</v>
      </c>
      <c r="AC957" s="34">
        <f>(TA[[#This Row],[Work Completion time on fault]]-TA[[#This Row],[Fault Time]])*24</f>
        <v>12.45</v>
      </c>
      <c r="AD957" s="35">
        <f>IFERROR((TA[[#This Row],[Work Completion time on fault]]-TA[[#This Row],[Fault Time]])*24,"")</f>
        <v>12.45</v>
      </c>
      <c r="AE957" t="s">
        <v>309</v>
      </c>
      <c r="AF957" t="s">
        <v>256</v>
      </c>
      <c r="AG957" s="2"/>
      <c r="AH957" s="44">
        <f>1-COS(RADIANS(TA[[#This Row],[Avg. Target Angle during Fault Time (Radians)]]-TA[[#This Row],[Angle of affected equipment ]]))</f>
        <v>0.11705240714107301</v>
      </c>
      <c r="AI957" s="35">
        <f>IFERROR(TA[[#This Row],[Breakdown Time]]*TA[[#This Row],[Plant Equivalent Weightage]],"")</f>
        <v>7.1551724137931039E-2</v>
      </c>
    </row>
    <row r="958" spans="1:35">
      <c r="A958" s="2">
        <f t="shared" si="87"/>
        <v>955</v>
      </c>
      <c r="B958" s="156">
        <f t="shared" ref="B958:B970" si="90">YEAR(H958)+IF(MONTH(H958)&gt;=4,1,0)</f>
        <v>2026</v>
      </c>
      <c r="C958" s="129">
        <f t="shared" ref="C958:C970" si="91">YEAR(H958)</f>
        <v>2025</v>
      </c>
      <c r="D958" s="2" t="s">
        <v>155</v>
      </c>
      <c r="E958" s="2" t="s">
        <v>155</v>
      </c>
      <c r="F958" s="39">
        <v>45809</v>
      </c>
      <c r="G958" s="2">
        <f>DAY(EOMONTH(TA[[#This Row],[Month Year]],0))</f>
        <v>30</v>
      </c>
      <c r="H958" s="21">
        <v>45811</v>
      </c>
      <c r="I958" s="41">
        <f>IFERROR(VLOOKUP(TA[[#This Row],[Date]],Raw_Data[[Date]:[Sunset Time (POA&lt;20 W/m2)]],3,0),"")</f>
        <v>0.24374999999999999</v>
      </c>
      <c r="J958" s="41">
        <f>IFERROR(VLOOKUP(TA[[#This Row],[Date]],Raw_Data[[Date]:[Sunset Time (POA&lt;20 W/m2)]],4,0),"")</f>
        <v>0.77361111111111114</v>
      </c>
      <c r="K958" s="35">
        <f>IFERROR((TA[[#This Row],[Sunset Time (POA&lt;20 W/m2)]]-TA[[#This Row],[Sunrise Time (POA&gt;20 W/m2)]])*24,"")</f>
        <v>12.716666666666667</v>
      </c>
      <c r="L958" s="2" t="s">
        <v>294</v>
      </c>
      <c r="M958" s="42">
        <f>IFERROR(VLOOKUP(TA[[#This Row],[Affected Equipment]],'Basic Data'!$I$2:$K$40,3,0),"")</f>
        <v>1.7241379310344799E-3</v>
      </c>
      <c r="N958">
        <v>-28</v>
      </c>
      <c r="O958" t="s">
        <v>135</v>
      </c>
      <c r="P958" s="127" t="s">
        <v>318</v>
      </c>
      <c r="Q958" s="126" t="s">
        <v>318</v>
      </c>
      <c r="R958">
        <v>131</v>
      </c>
      <c r="S958" s="2">
        <v>38</v>
      </c>
      <c r="T958" t="s">
        <v>295</v>
      </c>
      <c r="U958" t="s">
        <v>300</v>
      </c>
      <c r="V958" t="s">
        <v>298</v>
      </c>
      <c r="W958" s="41"/>
      <c r="X958" s="41"/>
      <c r="Y958" s="34"/>
      <c r="Z958" s="34"/>
      <c r="AA958" s="35">
        <f>IF(TA[[#This Row],[Work Start time on Fault]]="NA","",(TA[[#This Row],[Fault Acknowledgement Time ]]-TA[[#This Row],[Fault Time]])*24)</f>
        <v>0</v>
      </c>
      <c r="AB958" s="35">
        <f>(TA[[#This Row],[Work Start time on Fault]]-TA[[#This Row],[Fault Time]])*24</f>
        <v>0</v>
      </c>
      <c r="AC958" s="34">
        <f>(TA[[#This Row],[Work Completion time on fault]]-TA[[#This Row],[Fault Time]])*24</f>
        <v>0</v>
      </c>
      <c r="AD958" s="35">
        <f>IFERROR((TA[[#This Row],[Work Completion time on fault]]-TA[[#This Row],[Fault Time]])*24,"")</f>
        <v>0</v>
      </c>
      <c r="AE958" t="s">
        <v>328</v>
      </c>
      <c r="AF958" t="s">
        <v>256</v>
      </c>
      <c r="AG958" s="2"/>
      <c r="AH958" s="44">
        <f>1-COS(RADIANS(TA[[#This Row],[Avg. Target Angle during Fault Time (Radians)]]-TA[[#This Row],[Angle of affected equipment ]]))</f>
        <v>0.11705240714107301</v>
      </c>
      <c r="AI958" s="35">
        <f>IFERROR(TA[[#This Row],[Breakdown Time]]*TA[[#This Row],[Plant Equivalent Weightage]],"")</f>
        <v>0</v>
      </c>
    </row>
    <row r="959" spans="1:35">
      <c r="A959" s="2">
        <f t="shared" si="87"/>
        <v>956</v>
      </c>
      <c r="B959" s="156">
        <f t="shared" si="90"/>
        <v>2026</v>
      </c>
      <c r="C959" s="129">
        <f t="shared" si="91"/>
        <v>2025</v>
      </c>
      <c r="D959" s="2" t="s">
        <v>155</v>
      </c>
      <c r="E959" s="2" t="s">
        <v>155</v>
      </c>
      <c r="F959" s="39">
        <v>45809</v>
      </c>
      <c r="G959" s="2">
        <f>DAY(EOMONTH(TA[[#This Row],[Month Year]],0))</f>
        <v>30</v>
      </c>
      <c r="H959" s="21">
        <v>45811</v>
      </c>
      <c r="I959" s="41">
        <f>IFERROR(VLOOKUP(TA[[#This Row],[Date]],Raw_Data[[Date]:[Sunset Time (POA&lt;20 W/m2)]],3,0),"")</f>
        <v>0.24374999999999999</v>
      </c>
      <c r="J959" s="41">
        <f>IFERROR(VLOOKUP(TA[[#This Row],[Date]],Raw_Data[[Date]:[Sunset Time (POA&lt;20 W/m2)]],4,0),"")</f>
        <v>0.77361111111111114</v>
      </c>
      <c r="K959" s="35">
        <f>IFERROR((TA[[#This Row],[Sunset Time (POA&lt;20 W/m2)]]-TA[[#This Row],[Sunrise Time (POA&gt;20 W/m2)]])*24,"")</f>
        <v>12.716666666666667</v>
      </c>
      <c r="L959" s="2" t="s">
        <v>294</v>
      </c>
      <c r="M959" s="42">
        <f>IFERROR(VLOOKUP(TA[[#This Row],[Affected Equipment]],'Basic Data'!$I$2:$K$40,3,0),"")</f>
        <v>1.7241379310344799E-3</v>
      </c>
      <c r="N959">
        <v>-28</v>
      </c>
      <c r="O959" t="s">
        <v>135</v>
      </c>
      <c r="P959" s="127" t="s">
        <v>318</v>
      </c>
      <c r="Q959" s="126" t="s">
        <v>318</v>
      </c>
      <c r="R959">
        <v>131</v>
      </c>
      <c r="S959" s="2">
        <v>39</v>
      </c>
      <c r="T959" t="s">
        <v>295</v>
      </c>
      <c r="U959" t="s">
        <v>300</v>
      </c>
      <c r="V959" t="s">
        <v>298</v>
      </c>
      <c r="W959" s="41"/>
      <c r="X959" s="41"/>
      <c r="Y959" s="34"/>
      <c r="Z959" s="34"/>
      <c r="AA959" s="35">
        <f>IF(TA[[#This Row],[Work Start time on Fault]]="NA","",(TA[[#This Row],[Fault Acknowledgement Time ]]-TA[[#This Row],[Fault Time]])*24)</f>
        <v>0</v>
      </c>
      <c r="AB959" s="35">
        <f>(TA[[#This Row],[Work Start time on Fault]]-TA[[#This Row],[Fault Time]])*24</f>
        <v>0</v>
      </c>
      <c r="AC959" s="34">
        <f>(TA[[#This Row],[Work Completion time on fault]]-TA[[#This Row],[Fault Time]])*24</f>
        <v>0</v>
      </c>
      <c r="AD959" s="35">
        <f>IFERROR((TA[[#This Row],[Work Completion time on fault]]-TA[[#This Row],[Fault Time]])*24,"")</f>
        <v>0</v>
      </c>
      <c r="AE959" t="s">
        <v>328</v>
      </c>
      <c r="AF959" t="s">
        <v>256</v>
      </c>
      <c r="AG959" s="2"/>
      <c r="AH959" s="44">
        <f>1-COS(RADIANS(TA[[#This Row],[Avg. Target Angle during Fault Time (Radians)]]-TA[[#This Row],[Angle of affected equipment ]]))</f>
        <v>0.11705240714107301</v>
      </c>
      <c r="AI959" s="35">
        <f>IFERROR(TA[[#This Row],[Breakdown Time]]*TA[[#This Row],[Plant Equivalent Weightage]],"")</f>
        <v>0</v>
      </c>
    </row>
    <row r="960" spans="1:35">
      <c r="A960" s="2">
        <f t="shared" si="87"/>
        <v>957</v>
      </c>
      <c r="B960" s="156">
        <f t="shared" si="90"/>
        <v>2026</v>
      </c>
      <c r="C960" s="129">
        <f t="shared" si="91"/>
        <v>2025</v>
      </c>
      <c r="D960" s="2" t="s">
        <v>155</v>
      </c>
      <c r="E960" s="2" t="s">
        <v>155</v>
      </c>
      <c r="F960" s="39">
        <v>45809</v>
      </c>
      <c r="G960" s="2">
        <f>DAY(EOMONTH(TA[[#This Row],[Month Year]],0))</f>
        <v>30</v>
      </c>
      <c r="H960" s="21">
        <v>45811</v>
      </c>
      <c r="I960" s="41">
        <f>IFERROR(VLOOKUP(TA[[#This Row],[Date]],Raw_Data[[Date]:[Sunset Time (POA&lt;20 W/m2)]],3,0),"")</f>
        <v>0.24374999999999999</v>
      </c>
      <c r="J960" s="41">
        <f>IFERROR(VLOOKUP(TA[[#This Row],[Date]],Raw_Data[[Date]:[Sunset Time (POA&lt;20 W/m2)]],4,0),"")</f>
        <v>0.77361111111111114</v>
      </c>
      <c r="K960" s="35">
        <f>IFERROR((TA[[#This Row],[Sunset Time (POA&lt;20 W/m2)]]-TA[[#This Row],[Sunrise Time (POA&gt;20 W/m2)]])*24,"")</f>
        <v>12.716666666666667</v>
      </c>
      <c r="L960" s="2" t="s">
        <v>296</v>
      </c>
      <c r="M960" s="42">
        <f>IFERROR(VLOOKUP(TA[[#This Row],[Affected Equipment]],'Basic Data'!$I$2:$K$40,3,0),"")</f>
        <v>8.6206896551724102E-3</v>
      </c>
      <c r="N960">
        <v>-28</v>
      </c>
      <c r="O960" t="s">
        <v>135</v>
      </c>
      <c r="P960" s="127" t="s">
        <v>318</v>
      </c>
      <c r="Q960" s="2" t="s">
        <v>321</v>
      </c>
      <c r="R960">
        <v>133</v>
      </c>
      <c r="S960" s="2">
        <v>26</v>
      </c>
      <c r="T960" t="s">
        <v>297</v>
      </c>
      <c r="U960" t="s">
        <v>300</v>
      </c>
      <c r="V960" t="s">
        <v>314</v>
      </c>
      <c r="W960" s="41">
        <f>IFERROR(VLOOKUP(TA[[#This Row],[Date]],Raw_Data[[Date]:[Sunset Time (POA&lt;20 W/m2)]],3,0),"")</f>
        <v>0.24374999999999999</v>
      </c>
      <c r="X960" s="41">
        <f>IFERROR(VLOOKUP(TA[[#This Row],[Date]],Raw_Data[[Date]:[Sunset Time (POA&lt;20 W/m2)]],3,0),"")</f>
        <v>0.24374999999999999</v>
      </c>
      <c r="Y960" s="34"/>
      <c r="Z960" s="34">
        <v>0.76041666666666663</v>
      </c>
      <c r="AA960" s="35">
        <f>IF(TA[[#This Row],[Work Start time on Fault]]="NA","",(TA[[#This Row],[Fault Acknowledgement Time ]]-TA[[#This Row],[Fault Time]])*24)</f>
        <v>0</v>
      </c>
      <c r="AB960" s="35">
        <f>(TA[[#This Row],[Work Start time on Fault]]-TA[[#This Row],[Fault Time]])*24</f>
        <v>-5.85</v>
      </c>
      <c r="AC960" s="34">
        <f>(TA[[#This Row],[Work Completion time on fault]]-TA[[#This Row],[Fault Time]])*24</f>
        <v>12.399999999999999</v>
      </c>
      <c r="AD960" s="35">
        <f>IFERROR((TA[[#This Row],[Work Completion time on fault]]-TA[[#This Row],[Fault Time]])*24,"")</f>
        <v>12.399999999999999</v>
      </c>
      <c r="AE960" t="s">
        <v>328</v>
      </c>
      <c r="AF960" t="s">
        <v>256</v>
      </c>
      <c r="AG960" s="2"/>
      <c r="AH960" s="44">
        <f>1-COS(RADIANS(TA[[#This Row],[Avg. Target Angle during Fault Time (Radians)]]-TA[[#This Row],[Angle of affected equipment ]]))</f>
        <v>0.11705240714107301</v>
      </c>
      <c r="AI960" s="35">
        <f>IFERROR(TA[[#This Row],[Breakdown Time]]*TA[[#This Row],[Plant Equivalent Weightage]],"")</f>
        <v>0.10689655172413788</v>
      </c>
    </row>
    <row r="961" spans="1:35">
      <c r="A961" s="2">
        <f t="shared" si="87"/>
        <v>958</v>
      </c>
      <c r="B961" s="156">
        <f t="shared" si="90"/>
        <v>2026</v>
      </c>
      <c r="C961" s="129">
        <f t="shared" si="91"/>
        <v>2025</v>
      </c>
      <c r="D961" s="2" t="s">
        <v>155</v>
      </c>
      <c r="E961" s="2" t="s">
        <v>155</v>
      </c>
      <c r="F961" s="39">
        <v>45809</v>
      </c>
      <c r="G961" s="2">
        <f>DAY(EOMONTH(TA[[#This Row],[Month Year]],0))</f>
        <v>30</v>
      </c>
      <c r="H961" s="21">
        <v>45811</v>
      </c>
      <c r="I961" s="41">
        <f>IFERROR(VLOOKUP(TA[[#This Row],[Date]],Raw_Data[[Date]:[Sunset Time (POA&lt;20 W/m2)]],3,0),"")</f>
        <v>0.24374999999999999</v>
      </c>
      <c r="J961" s="41">
        <f>IFERROR(VLOOKUP(TA[[#This Row],[Date]],Raw_Data[[Date]:[Sunset Time (POA&lt;20 W/m2)]],4,0),"")</f>
        <v>0.77361111111111114</v>
      </c>
      <c r="K961" s="35">
        <f>IFERROR((TA[[#This Row],[Sunset Time (POA&lt;20 W/m2)]]-TA[[#This Row],[Sunrise Time (POA&gt;20 W/m2)]])*24,"")</f>
        <v>12.716666666666667</v>
      </c>
      <c r="L961" s="2" t="s">
        <v>294</v>
      </c>
      <c r="M961" s="42">
        <f>IFERROR(VLOOKUP(TA[[#This Row],[Affected Equipment]],'Basic Data'!$I$2:$K$40,3,0),"")</f>
        <v>1.7241379310344799E-3</v>
      </c>
      <c r="N961">
        <v>-28</v>
      </c>
      <c r="O961" t="s">
        <v>133</v>
      </c>
      <c r="P961" s="127" t="s">
        <v>316</v>
      </c>
      <c r="Q961" s="126" t="s">
        <v>317</v>
      </c>
      <c r="R961">
        <v>7</v>
      </c>
      <c r="S961" s="2">
        <v>32</v>
      </c>
      <c r="T961" t="s">
        <v>295</v>
      </c>
      <c r="U961" t="s">
        <v>300</v>
      </c>
      <c r="V961" t="s">
        <v>298</v>
      </c>
      <c r="W961" s="41"/>
      <c r="X961" s="41"/>
      <c r="Y961" s="34"/>
      <c r="Z961" s="34"/>
      <c r="AA961" s="35">
        <f>IF(TA[[#This Row],[Work Start time on Fault]]="NA","",(TA[[#This Row],[Fault Acknowledgement Time ]]-TA[[#This Row],[Fault Time]])*24)</f>
        <v>0</v>
      </c>
      <c r="AB961" s="35">
        <f>(TA[[#This Row],[Work Start time on Fault]]-TA[[#This Row],[Fault Time]])*24</f>
        <v>0</v>
      </c>
      <c r="AC961" s="34">
        <f>(TA[[#This Row],[Work Completion time on fault]]-TA[[#This Row],[Fault Time]])*24</f>
        <v>0</v>
      </c>
      <c r="AD961" s="35">
        <f>IFERROR((TA[[#This Row],[Work Completion time on fault]]-TA[[#This Row],[Fault Time]])*24,"")</f>
        <v>0</v>
      </c>
      <c r="AE961" t="s">
        <v>328</v>
      </c>
      <c r="AF961" t="s">
        <v>256</v>
      </c>
      <c r="AG961" s="2"/>
      <c r="AH961" s="44">
        <f>1-COS(RADIANS(TA[[#This Row],[Avg. Target Angle during Fault Time (Radians)]]-TA[[#This Row],[Angle of affected equipment ]]))</f>
        <v>0.11705240714107301</v>
      </c>
      <c r="AI961" s="35">
        <f>IFERROR(TA[[#This Row],[Breakdown Time]]*TA[[#This Row],[Plant Equivalent Weightage]],"")</f>
        <v>0</v>
      </c>
    </row>
    <row r="962" spans="1:35">
      <c r="A962" s="2">
        <f t="shared" si="87"/>
        <v>959</v>
      </c>
      <c r="B962" s="156">
        <f t="shared" si="90"/>
        <v>2026</v>
      </c>
      <c r="C962" s="129">
        <f t="shared" si="91"/>
        <v>2025</v>
      </c>
      <c r="D962" s="2" t="s">
        <v>155</v>
      </c>
      <c r="E962" s="2" t="s">
        <v>155</v>
      </c>
      <c r="F962" s="39">
        <v>45809</v>
      </c>
      <c r="G962" s="2">
        <f>DAY(EOMONTH(TA[[#This Row],[Month Year]],0))</f>
        <v>30</v>
      </c>
      <c r="H962" s="21">
        <v>45811</v>
      </c>
      <c r="I962" s="41">
        <f>IFERROR(VLOOKUP(TA[[#This Row],[Date]],Raw_Data[[Date]:[Sunset Time (POA&lt;20 W/m2)]],3,0),"")</f>
        <v>0.24374999999999999</v>
      </c>
      <c r="J962" s="41">
        <f>IFERROR(VLOOKUP(TA[[#This Row],[Date]],Raw_Data[[Date]:[Sunset Time (POA&lt;20 W/m2)]],4,0),"")</f>
        <v>0.77361111111111114</v>
      </c>
      <c r="K962" s="35">
        <f>IFERROR((TA[[#This Row],[Sunset Time (POA&lt;20 W/m2)]]-TA[[#This Row],[Sunrise Time (POA&gt;20 W/m2)]])*24,"")</f>
        <v>12.716666666666667</v>
      </c>
      <c r="L962" s="2" t="s">
        <v>294</v>
      </c>
      <c r="M962" s="42">
        <f>IFERROR(VLOOKUP(TA[[#This Row],[Affected Equipment]],'Basic Data'!$I$2:$K$40,3,0),"")</f>
        <v>1.7241379310344799E-3</v>
      </c>
      <c r="N962">
        <v>-28</v>
      </c>
      <c r="O962" t="s">
        <v>137</v>
      </c>
      <c r="P962" s="127" t="s">
        <v>315</v>
      </c>
      <c r="Q962" s="126" t="s">
        <v>319</v>
      </c>
      <c r="R962">
        <v>166</v>
      </c>
      <c r="S962" s="2">
        <v>91</v>
      </c>
      <c r="T962" t="s">
        <v>295</v>
      </c>
      <c r="U962" t="s">
        <v>300</v>
      </c>
      <c r="V962" t="s">
        <v>298</v>
      </c>
      <c r="W962" s="41"/>
      <c r="X962" s="41"/>
      <c r="Y962" s="34"/>
      <c r="Z962" s="34"/>
      <c r="AA962" s="35">
        <f>IF(TA[[#This Row],[Work Start time on Fault]]="NA","",(TA[[#This Row],[Fault Acknowledgement Time ]]-TA[[#This Row],[Fault Time]])*24)</f>
        <v>0</v>
      </c>
      <c r="AB962" s="35">
        <f>(TA[[#This Row],[Work Start time on Fault]]-TA[[#This Row],[Fault Time]])*24</f>
        <v>0</v>
      </c>
      <c r="AC962" s="34">
        <f>(TA[[#This Row],[Work Completion time on fault]]-TA[[#This Row],[Fault Time]])*24</f>
        <v>0</v>
      </c>
      <c r="AD962" s="35">
        <f>IFERROR((TA[[#This Row],[Work Completion time on fault]]-TA[[#This Row],[Fault Time]])*24,"")</f>
        <v>0</v>
      </c>
      <c r="AE962" t="s">
        <v>328</v>
      </c>
      <c r="AF962" t="s">
        <v>256</v>
      </c>
      <c r="AG962" s="2"/>
      <c r="AH962" s="44">
        <f>1-COS(RADIANS(TA[[#This Row],[Avg. Target Angle during Fault Time (Radians)]]-TA[[#This Row],[Angle of affected equipment ]]))</f>
        <v>0.11705240714107301</v>
      </c>
      <c r="AI962" s="35">
        <f>IFERROR(TA[[#This Row],[Breakdown Time]]*TA[[#This Row],[Plant Equivalent Weightage]],"")</f>
        <v>0</v>
      </c>
    </row>
    <row r="963" spans="1:35">
      <c r="A963" s="2">
        <f t="shared" si="87"/>
        <v>960</v>
      </c>
      <c r="B963" s="156">
        <f t="shared" si="90"/>
        <v>2026</v>
      </c>
      <c r="C963" s="129">
        <f t="shared" si="91"/>
        <v>2025</v>
      </c>
      <c r="D963" s="2" t="s">
        <v>155</v>
      </c>
      <c r="E963" s="2" t="s">
        <v>155</v>
      </c>
      <c r="F963" s="39">
        <v>45809</v>
      </c>
      <c r="G963" s="2">
        <f>DAY(EOMONTH(TA[[#This Row],[Month Year]],0))</f>
        <v>30</v>
      </c>
      <c r="H963" s="21">
        <v>45811</v>
      </c>
      <c r="I963" s="41">
        <f>IFERROR(VLOOKUP(TA[[#This Row],[Date]],Raw_Data[[Date]:[Sunset Time (POA&lt;20 W/m2)]],3,0),"")</f>
        <v>0.24374999999999999</v>
      </c>
      <c r="J963" s="41">
        <f>IFERROR(VLOOKUP(TA[[#This Row],[Date]],Raw_Data[[Date]:[Sunset Time (POA&lt;20 W/m2)]],4,0),"")</f>
        <v>0.77361111111111114</v>
      </c>
      <c r="K963" s="35">
        <f>IFERROR((TA[[#This Row],[Sunset Time (POA&lt;20 W/m2)]]-TA[[#This Row],[Sunrise Time (POA&gt;20 W/m2)]])*24,"")</f>
        <v>12.716666666666667</v>
      </c>
      <c r="L963" s="2" t="s">
        <v>294</v>
      </c>
      <c r="M963" s="42">
        <f>IFERROR(VLOOKUP(TA[[#This Row],[Affected Equipment]],'Basic Data'!$I$2:$K$40,3,0),"")</f>
        <v>1.7241379310344799E-3</v>
      </c>
      <c r="N963">
        <v>-28</v>
      </c>
      <c r="O963" t="s">
        <v>133</v>
      </c>
      <c r="P963" s="127" t="s">
        <v>316</v>
      </c>
      <c r="Q963" s="126" t="s">
        <v>316</v>
      </c>
      <c r="R963">
        <v>117</v>
      </c>
      <c r="S963" s="2">
        <v>20</v>
      </c>
      <c r="T963" t="s">
        <v>295</v>
      </c>
      <c r="U963" t="s">
        <v>300</v>
      </c>
      <c r="V963" t="s">
        <v>298</v>
      </c>
      <c r="W963" s="41"/>
      <c r="X963" s="41"/>
      <c r="Y963" s="34"/>
      <c r="Z963" s="34"/>
      <c r="AA963" s="35">
        <f>IF(TA[[#This Row],[Work Start time on Fault]]="NA","",(TA[[#This Row],[Fault Acknowledgement Time ]]-TA[[#This Row],[Fault Time]])*24)</f>
        <v>0</v>
      </c>
      <c r="AB963" s="35">
        <f>(TA[[#This Row],[Work Start time on Fault]]-TA[[#This Row],[Fault Time]])*24</f>
        <v>0</v>
      </c>
      <c r="AC963" s="34">
        <f>(TA[[#This Row],[Work Completion time on fault]]-TA[[#This Row],[Fault Time]])*24</f>
        <v>0</v>
      </c>
      <c r="AD963" s="35">
        <f>IFERROR((TA[[#This Row],[Work Completion time on fault]]-TA[[#This Row],[Fault Time]])*24,"")</f>
        <v>0</v>
      </c>
      <c r="AE963" t="s">
        <v>328</v>
      </c>
      <c r="AF963" t="s">
        <v>256</v>
      </c>
      <c r="AG963" s="2"/>
      <c r="AH963" s="44">
        <f>1-COS(RADIANS(TA[[#This Row],[Avg. Target Angle during Fault Time (Radians)]]-TA[[#This Row],[Angle of affected equipment ]]))</f>
        <v>0.11705240714107301</v>
      </c>
      <c r="AI963" s="35">
        <f>IFERROR(TA[[#This Row],[Breakdown Time]]*TA[[#This Row],[Plant Equivalent Weightage]],"")</f>
        <v>0</v>
      </c>
    </row>
    <row r="964" spans="1:35">
      <c r="A964" s="2">
        <f t="shared" si="87"/>
        <v>961</v>
      </c>
      <c r="B964" s="156">
        <f t="shared" si="90"/>
        <v>2026</v>
      </c>
      <c r="C964" s="129">
        <f t="shared" si="91"/>
        <v>2025</v>
      </c>
      <c r="D964" s="2" t="s">
        <v>155</v>
      </c>
      <c r="E964" s="2" t="s">
        <v>155</v>
      </c>
      <c r="F964" s="39">
        <v>45809</v>
      </c>
      <c r="G964" s="2">
        <f>DAY(EOMONTH(TA[[#This Row],[Month Year]],0))</f>
        <v>30</v>
      </c>
      <c r="H964" s="21">
        <v>45811</v>
      </c>
      <c r="I964" s="41">
        <f>IFERROR(VLOOKUP(TA[[#This Row],[Date]],Raw_Data[[Date]:[Sunset Time (POA&lt;20 W/m2)]],3,0),"")</f>
        <v>0.24374999999999999</v>
      </c>
      <c r="J964" s="41">
        <f>IFERROR(VLOOKUP(TA[[#This Row],[Date]],Raw_Data[[Date]:[Sunset Time (POA&lt;20 W/m2)]],4,0),"")</f>
        <v>0.77361111111111114</v>
      </c>
      <c r="K964" s="35">
        <f>IFERROR((TA[[#This Row],[Sunset Time (POA&lt;20 W/m2)]]-TA[[#This Row],[Sunrise Time (POA&gt;20 W/m2)]])*24,"")</f>
        <v>12.716666666666667</v>
      </c>
      <c r="L964" s="2" t="s">
        <v>294</v>
      </c>
      <c r="M964" s="42">
        <f>IFERROR(VLOOKUP(TA[[#This Row],[Affected Equipment]],'Basic Data'!$I$2:$K$40,3,0),"")</f>
        <v>1.7241379310344799E-3</v>
      </c>
      <c r="N964">
        <v>-28</v>
      </c>
      <c r="O964" t="s">
        <v>133</v>
      </c>
      <c r="P964" s="127" t="s">
        <v>316</v>
      </c>
      <c r="Q964" s="126" t="s">
        <v>316</v>
      </c>
      <c r="R964">
        <v>118</v>
      </c>
      <c r="S964" s="2">
        <v>22</v>
      </c>
      <c r="T964" t="s">
        <v>295</v>
      </c>
      <c r="U964" t="s">
        <v>300</v>
      </c>
      <c r="V964" t="s">
        <v>298</v>
      </c>
      <c r="W964" s="41"/>
      <c r="X964" s="41"/>
      <c r="Y964" s="34"/>
      <c r="Z964" s="34"/>
      <c r="AA964" s="35">
        <f>IF(TA[[#This Row],[Work Start time on Fault]]="NA","",(TA[[#This Row],[Fault Acknowledgement Time ]]-TA[[#This Row],[Fault Time]])*24)</f>
        <v>0</v>
      </c>
      <c r="AB964" s="35">
        <f>(TA[[#This Row],[Work Start time on Fault]]-TA[[#This Row],[Fault Time]])*24</f>
        <v>0</v>
      </c>
      <c r="AC964" s="34">
        <f>(TA[[#This Row],[Work Completion time on fault]]-TA[[#This Row],[Fault Time]])*24</f>
        <v>0</v>
      </c>
      <c r="AD964" s="35">
        <f>IFERROR((TA[[#This Row],[Work Completion time on fault]]-TA[[#This Row],[Fault Time]])*24,"")</f>
        <v>0</v>
      </c>
      <c r="AE964" t="s">
        <v>328</v>
      </c>
      <c r="AF964" t="s">
        <v>256</v>
      </c>
      <c r="AG964" s="2"/>
      <c r="AH964" s="44">
        <f>1-COS(RADIANS(TA[[#This Row],[Avg. Target Angle during Fault Time (Radians)]]-TA[[#This Row],[Angle of affected equipment ]]))</f>
        <v>0.11705240714107301</v>
      </c>
      <c r="AI964" s="35">
        <f>IFERROR(TA[[#This Row],[Breakdown Time]]*TA[[#This Row],[Plant Equivalent Weightage]],"")</f>
        <v>0</v>
      </c>
    </row>
    <row r="965" spans="1:35">
      <c r="A965" s="2">
        <f t="shared" si="87"/>
        <v>962</v>
      </c>
      <c r="B965" s="156">
        <f t="shared" si="90"/>
        <v>2026</v>
      </c>
      <c r="C965" s="129">
        <f t="shared" si="91"/>
        <v>2025</v>
      </c>
      <c r="D965" s="2" t="s">
        <v>155</v>
      </c>
      <c r="E965" s="2" t="s">
        <v>155</v>
      </c>
      <c r="F965" s="39">
        <v>45809</v>
      </c>
      <c r="G965" s="2">
        <f>DAY(EOMONTH(TA[[#This Row],[Month Year]],0))</f>
        <v>30</v>
      </c>
      <c r="H965" s="21">
        <v>45811</v>
      </c>
      <c r="I965" s="41">
        <f>IFERROR(VLOOKUP(TA[[#This Row],[Date]],Raw_Data[[Date]:[Sunset Time (POA&lt;20 W/m2)]],3,0),"")</f>
        <v>0.24374999999999999</v>
      </c>
      <c r="J965" s="41">
        <f>IFERROR(VLOOKUP(TA[[#This Row],[Date]],Raw_Data[[Date]:[Sunset Time (POA&lt;20 W/m2)]],4,0),"")</f>
        <v>0.77361111111111114</v>
      </c>
      <c r="K965" s="35">
        <f>IFERROR((TA[[#This Row],[Sunset Time (POA&lt;20 W/m2)]]-TA[[#This Row],[Sunrise Time (POA&gt;20 W/m2)]])*24,"")</f>
        <v>12.716666666666667</v>
      </c>
      <c r="L965" s="2" t="s">
        <v>296</v>
      </c>
      <c r="M965" s="42">
        <f>IFERROR(VLOOKUP(TA[[#This Row],[Affected Equipment]],'Basic Data'!$I$2:$K$40,3,0),"")</f>
        <v>8.6206896551724102E-3</v>
      </c>
      <c r="N965">
        <v>-28</v>
      </c>
      <c r="O965" t="s">
        <v>135</v>
      </c>
      <c r="P965" s="22" t="s">
        <v>323</v>
      </c>
      <c r="Q965" s="2" t="s">
        <v>329</v>
      </c>
      <c r="R965">
        <v>45</v>
      </c>
      <c r="S965" s="2">
        <v>8</v>
      </c>
      <c r="T965" t="s">
        <v>297</v>
      </c>
      <c r="U965" t="s">
        <v>300</v>
      </c>
      <c r="V965" t="s">
        <v>301</v>
      </c>
      <c r="W965" s="41"/>
      <c r="X965" s="41"/>
      <c r="Y965" s="34"/>
      <c r="Z965" s="34"/>
      <c r="AA965" s="35">
        <f>IF(TA[[#This Row],[Work Start time on Fault]]="NA","",(TA[[#This Row],[Fault Acknowledgement Time ]]-TA[[#This Row],[Fault Time]])*24)</f>
        <v>0</v>
      </c>
      <c r="AB965" s="35">
        <f>(TA[[#This Row],[Work Start time on Fault]]-TA[[#This Row],[Fault Time]])*24</f>
        <v>0</v>
      </c>
      <c r="AC965" s="34">
        <f>(TA[[#This Row],[Work Completion time on fault]]-TA[[#This Row],[Fault Time]])*24</f>
        <v>0</v>
      </c>
      <c r="AD965" s="35">
        <f>IFERROR((TA[[#This Row],[Work Completion time on fault]]-TA[[#This Row],[Fault Time]])*24,"")</f>
        <v>0</v>
      </c>
      <c r="AE965" t="s">
        <v>328</v>
      </c>
      <c r="AF965" t="s">
        <v>256</v>
      </c>
      <c r="AG965" s="2"/>
      <c r="AH965" s="44">
        <f>1-COS(RADIANS(TA[[#This Row],[Avg. Target Angle during Fault Time (Radians)]]-TA[[#This Row],[Angle of affected equipment ]]))</f>
        <v>0.11705240714107301</v>
      </c>
      <c r="AI965" s="35">
        <f>IFERROR(TA[[#This Row],[Breakdown Time]]*TA[[#This Row],[Plant Equivalent Weightage]],"")</f>
        <v>0</v>
      </c>
    </row>
    <row r="966" spans="1:35">
      <c r="A966" s="2">
        <f t="shared" si="87"/>
        <v>963</v>
      </c>
      <c r="B966" s="156">
        <f t="shared" si="90"/>
        <v>2026</v>
      </c>
      <c r="C966" s="129">
        <f t="shared" si="91"/>
        <v>2025</v>
      </c>
      <c r="D966" s="2" t="s">
        <v>155</v>
      </c>
      <c r="E966" s="2" t="s">
        <v>155</v>
      </c>
      <c r="F966" s="39">
        <v>45809</v>
      </c>
      <c r="G966" s="2">
        <f>DAY(EOMONTH(TA[[#This Row],[Month Year]],0))</f>
        <v>30</v>
      </c>
      <c r="H966" s="21">
        <v>45811</v>
      </c>
      <c r="I966" s="41">
        <f>IFERROR(VLOOKUP(TA[[#This Row],[Date]],Raw_Data[[Date]:[Sunset Time (POA&lt;20 W/m2)]],3,0),"")</f>
        <v>0.24374999999999999</v>
      </c>
      <c r="J966" s="41">
        <f>IFERROR(VLOOKUP(TA[[#This Row],[Date]],Raw_Data[[Date]:[Sunset Time (POA&lt;20 W/m2)]],4,0),"")</f>
        <v>0.77361111111111114</v>
      </c>
      <c r="K966" s="35">
        <f>IFERROR((TA[[#This Row],[Sunset Time (POA&lt;20 W/m2)]]-TA[[#This Row],[Sunrise Time (POA&gt;20 W/m2)]])*24,"")</f>
        <v>12.716666666666667</v>
      </c>
      <c r="L966" s="2" t="s">
        <v>296</v>
      </c>
      <c r="M966" s="42">
        <f>IFERROR(VLOOKUP(TA[[#This Row],[Affected Equipment]],'Basic Data'!$I$2:$K$40,3,0),"")</f>
        <v>8.6206896551724102E-3</v>
      </c>
      <c r="N966">
        <v>-28</v>
      </c>
      <c r="O966" t="s">
        <v>135</v>
      </c>
      <c r="P966" s="22" t="s">
        <v>323</v>
      </c>
      <c r="Q966" s="2" t="s">
        <v>329</v>
      </c>
      <c r="R966">
        <v>47</v>
      </c>
      <c r="S966" s="2">
        <v>18</v>
      </c>
      <c r="T966" t="s">
        <v>297</v>
      </c>
      <c r="U966" t="s">
        <v>300</v>
      </c>
      <c r="V966" t="s">
        <v>301</v>
      </c>
      <c r="W966" s="41"/>
      <c r="X966" s="41"/>
      <c r="Y966" s="34"/>
      <c r="Z966" s="34"/>
      <c r="AA966" s="35">
        <f>IF(TA[[#This Row],[Work Start time on Fault]]="NA","",(TA[[#This Row],[Fault Acknowledgement Time ]]-TA[[#This Row],[Fault Time]])*24)</f>
        <v>0</v>
      </c>
      <c r="AB966" s="35">
        <f>(TA[[#This Row],[Work Start time on Fault]]-TA[[#This Row],[Fault Time]])*24</f>
        <v>0</v>
      </c>
      <c r="AC966" s="34">
        <f>(TA[[#This Row],[Work Completion time on fault]]-TA[[#This Row],[Fault Time]])*24</f>
        <v>0</v>
      </c>
      <c r="AD966" s="35">
        <f>IFERROR((TA[[#This Row],[Work Completion time on fault]]-TA[[#This Row],[Fault Time]])*24,"")</f>
        <v>0</v>
      </c>
      <c r="AE966" t="s">
        <v>328</v>
      </c>
      <c r="AF966" t="s">
        <v>256</v>
      </c>
      <c r="AG966" s="2"/>
      <c r="AH966" s="44">
        <f>1-COS(RADIANS(TA[[#This Row],[Avg. Target Angle during Fault Time (Radians)]]-TA[[#This Row],[Angle of affected equipment ]]))</f>
        <v>0.11705240714107301</v>
      </c>
      <c r="AI966" s="35">
        <f>IFERROR(TA[[#This Row],[Breakdown Time]]*TA[[#This Row],[Plant Equivalent Weightage]],"")</f>
        <v>0</v>
      </c>
    </row>
    <row r="967" spans="1:35">
      <c r="A967" s="2">
        <f t="shared" si="87"/>
        <v>964</v>
      </c>
      <c r="B967" s="156">
        <f t="shared" si="90"/>
        <v>2026</v>
      </c>
      <c r="C967" s="129">
        <f t="shared" si="91"/>
        <v>2025</v>
      </c>
      <c r="D967" s="2" t="s">
        <v>155</v>
      </c>
      <c r="E967" s="2" t="s">
        <v>155</v>
      </c>
      <c r="F967" s="39">
        <v>45809</v>
      </c>
      <c r="G967" s="2">
        <f>DAY(EOMONTH(TA[[#This Row],[Month Year]],0))</f>
        <v>30</v>
      </c>
      <c r="H967" s="21">
        <v>45811</v>
      </c>
      <c r="I967" s="41">
        <f>IFERROR(VLOOKUP(TA[[#This Row],[Date]],Raw_Data[[Date]:[Sunset Time (POA&lt;20 W/m2)]],3,0),"")</f>
        <v>0.24374999999999999</v>
      </c>
      <c r="J967" s="41">
        <f>IFERROR(VLOOKUP(TA[[#This Row],[Date]],Raw_Data[[Date]:[Sunset Time (POA&lt;20 W/m2)]],4,0),"")</f>
        <v>0.77361111111111114</v>
      </c>
      <c r="K967" s="35">
        <f>IFERROR((TA[[#This Row],[Sunset Time (POA&lt;20 W/m2)]]-TA[[#This Row],[Sunrise Time (POA&gt;20 W/m2)]])*24,"")</f>
        <v>12.716666666666667</v>
      </c>
      <c r="L967" s="2" t="s">
        <v>296</v>
      </c>
      <c r="M967" s="42">
        <f>IFERROR(VLOOKUP(TA[[#This Row],[Affected Equipment]],'Basic Data'!$I$2:$K$40,3,0),"")</f>
        <v>8.6206896551724102E-3</v>
      </c>
      <c r="N967">
        <v>-28</v>
      </c>
      <c r="O967" t="s">
        <v>134</v>
      </c>
      <c r="P967" s="22" t="s">
        <v>330</v>
      </c>
      <c r="Q967" s="2" t="s">
        <v>323</v>
      </c>
      <c r="R967">
        <v>30</v>
      </c>
      <c r="S967" s="2">
        <v>57</v>
      </c>
      <c r="T967" t="s">
        <v>297</v>
      </c>
      <c r="U967" t="s">
        <v>300</v>
      </c>
      <c r="V967" t="s">
        <v>301</v>
      </c>
      <c r="W967" s="41"/>
      <c r="X967" s="41"/>
      <c r="Y967" s="34"/>
      <c r="Z967" s="34"/>
      <c r="AA967" s="35">
        <f>IF(TA[[#This Row],[Work Start time on Fault]]="NA","",(TA[[#This Row],[Fault Acknowledgement Time ]]-TA[[#This Row],[Fault Time]])*24)</f>
        <v>0</v>
      </c>
      <c r="AB967" s="35">
        <f>(TA[[#This Row],[Work Start time on Fault]]-TA[[#This Row],[Fault Time]])*24</f>
        <v>0</v>
      </c>
      <c r="AC967" s="34">
        <f>(TA[[#This Row],[Work Completion time on fault]]-TA[[#This Row],[Fault Time]])*24</f>
        <v>0</v>
      </c>
      <c r="AD967" s="35">
        <f>IFERROR((TA[[#This Row],[Work Completion time on fault]]-TA[[#This Row],[Fault Time]])*24,"")</f>
        <v>0</v>
      </c>
      <c r="AE967" t="s">
        <v>328</v>
      </c>
      <c r="AF967" t="s">
        <v>256</v>
      </c>
      <c r="AG967" s="2"/>
      <c r="AH967" s="44">
        <f>1-COS(RADIANS(TA[[#This Row],[Avg. Target Angle during Fault Time (Radians)]]-TA[[#This Row],[Angle of affected equipment ]]))</f>
        <v>0.11705240714107301</v>
      </c>
      <c r="AI967" s="35">
        <f>IFERROR(TA[[#This Row],[Breakdown Time]]*TA[[#This Row],[Plant Equivalent Weightage]],"")</f>
        <v>0</v>
      </c>
    </row>
    <row r="968" spans="1:35">
      <c r="A968" s="2">
        <f t="shared" si="87"/>
        <v>965</v>
      </c>
      <c r="B968" s="156">
        <f t="shared" si="90"/>
        <v>2026</v>
      </c>
      <c r="C968" s="129">
        <f t="shared" si="91"/>
        <v>2025</v>
      </c>
      <c r="D968" s="2" t="s">
        <v>155</v>
      </c>
      <c r="E968" s="2" t="s">
        <v>155</v>
      </c>
      <c r="F968" s="39">
        <v>45809</v>
      </c>
      <c r="G968" s="2">
        <f>DAY(EOMONTH(TA[[#This Row],[Month Year]],0))</f>
        <v>30</v>
      </c>
      <c r="H968" s="21">
        <v>45811</v>
      </c>
      <c r="I968" s="41">
        <f>IFERROR(VLOOKUP(TA[[#This Row],[Date]],Raw_Data[[Date]:[Sunset Time (POA&lt;20 W/m2)]],3,0),"")</f>
        <v>0.24374999999999999</v>
      </c>
      <c r="J968" s="41">
        <f>IFERROR(VLOOKUP(TA[[#This Row],[Date]],Raw_Data[[Date]:[Sunset Time (POA&lt;20 W/m2)]],4,0),"")</f>
        <v>0.77361111111111114</v>
      </c>
      <c r="K968" s="35">
        <f>IFERROR((TA[[#This Row],[Sunset Time (POA&lt;20 W/m2)]]-TA[[#This Row],[Sunrise Time (POA&gt;20 W/m2)]])*24,"")</f>
        <v>12.716666666666667</v>
      </c>
      <c r="L968" s="2" t="s">
        <v>296</v>
      </c>
      <c r="M968" s="42">
        <f>IFERROR(VLOOKUP(TA[[#This Row],[Affected Equipment]],'Basic Data'!$I$2:$K$40,3,0),"")</f>
        <v>8.6206896551724102E-3</v>
      </c>
      <c r="N968">
        <v>-28</v>
      </c>
      <c r="O968" t="s">
        <v>134</v>
      </c>
      <c r="P968" s="22" t="s">
        <v>330</v>
      </c>
      <c r="Q968" s="2" t="s">
        <v>323</v>
      </c>
      <c r="R968">
        <v>31</v>
      </c>
      <c r="S968" s="2">
        <v>61</v>
      </c>
      <c r="T968" t="s">
        <v>297</v>
      </c>
      <c r="U968" t="s">
        <v>300</v>
      </c>
      <c r="V968" t="s">
        <v>301</v>
      </c>
      <c r="W968" s="41"/>
      <c r="X968" s="41"/>
      <c r="Y968" s="34"/>
      <c r="Z968" s="34"/>
      <c r="AA968" s="35">
        <f>IF(TA[[#This Row],[Work Start time on Fault]]="NA","",(TA[[#This Row],[Fault Acknowledgement Time ]]-TA[[#This Row],[Fault Time]])*24)</f>
        <v>0</v>
      </c>
      <c r="AB968" s="35">
        <f>(TA[[#This Row],[Work Start time on Fault]]-TA[[#This Row],[Fault Time]])*24</f>
        <v>0</v>
      </c>
      <c r="AC968" s="34">
        <f>(TA[[#This Row],[Work Completion time on fault]]-TA[[#This Row],[Fault Time]])*24</f>
        <v>0</v>
      </c>
      <c r="AD968" s="35">
        <f>IFERROR((TA[[#This Row],[Work Completion time on fault]]-TA[[#This Row],[Fault Time]])*24,"")</f>
        <v>0</v>
      </c>
      <c r="AE968" t="s">
        <v>328</v>
      </c>
      <c r="AF968" t="s">
        <v>256</v>
      </c>
      <c r="AG968" s="2"/>
      <c r="AH968" s="44">
        <f>1-COS(RADIANS(TA[[#This Row],[Avg. Target Angle during Fault Time (Radians)]]-TA[[#This Row],[Angle of affected equipment ]]))</f>
        <v>0.11705240714107301</v>
      </c>
      <c r="AI968" s="35">
        <f>IFERROR(TA[[#This Row],[Breakdown Time]]*TA[[#This Row],[Plant Equivalent Weightage]],"")</f>
        <v>0</v>
      </c>
    </row>
    <row r="969" spans="1:35">
      <c r="A969" s="2">
        <f t="shared" si="87"/>
        <v>966</v>
      </c>
      <c r="B969" s="156">
        <f t="shared" si="90"/>
        <v>2026</v>
      </c>
      <c r="C969" s="129">
        <f t="shared" si="91"/>
        <v>2025</v>
      </c>
      <c r="D969" s="2" t="s">
        <v>155</v>
      </c>
      <c r="E969" s="2" t="s">
        <v>155</v>
      </c>
      <c r="F969" s="39">
        <v>45809</v>
      </c>
      <c r="G969" s="2">
        <f>DAY(EOMONTH(TA[[#This Row],[Month Year]],0))</f>
        <v>30</v>
      </c>
      <c r="H969" s="21">
        <v>45811</v>
      </c>
      <c r="I969" s="41">
        <f>IFERROR(VLOOKUP(TA[[#This Row],[Date]],Raw_Data[[Date]:[Sunset Time (POA&lt;20 W/m2)]],3,0),"")</f>
        <v>0.24374999999999999</v>
      </c>
      <c r="J969" s="41">
        <f>IFERROR(VLOOKUP(TA[[#This Row],[Date]],Raw_Data[[Date]:[Sunset Time (POA&lt;20 W/m2)]],4,0),"")</f>
        <v>0.77361111111111114</v>
      </c>
      <c r="K969" s="35">
        <f>IFERROR((TA[[#This Row],[Sunset Time (POA&lt;20 W/m2)]]-TA[[#This Row],[Sunrise Time (POA&gt;20 W/m2)]])*24,"")</f>
        <v>12.716666666666667</v>
      </c>
      <c r="L969" s="2" t="s">
        <v>312</v>
      </c>
      <c r="M969" s="42">
        <f>IFERROR(VLOOKUP(TA[[#This Row],[Affected Equipment]],'Basic Data'!$I$2:$K$40,3,0),"")</f>
        <v>5.74712643678161E-3</v>
      </c>
      <c r="N969">
        <v>-28</v>
      </c>
      <c r="O969" t="s">
        <v>133</v>
      </c>
      <c r="P969" s="22" t="s">
        <v>330</v>
      </c>
      <c r="Q969" s="2" t="s">
        <v>323</v>
      </c>
      <c r="R969">
        <v>26</v>
      </c>
      <c r="S969" s="2">
        <v>37</v>
      </c>
      <c r="T969" t="s">
        <v>297</v>
      </c>
      <c r="U969" t="s">
        <v>300</v>
      </c>
      <c r="V969" t="s">
        <v>301</v>
      </c>
      <c r="W969" s="41"/>
      <c r="X969" s="41"/>
      <c r="Y969" s="34"/>
      <c r="Z969" s="34"/>
      <c r="AA969" s="35">
        <f>IF(TA[[#This Row],[Work Start time on Fault]]="NA","",(TA[[#This Row],[Fault Acknowledgement Time ]]-TA[[#This Row],[Fault Time]])*24)</f>
        <v>0</v>
      </c>
      <c r="AB969" s="35">
        <f>(TA[[#This Row],[Work Start time on Fault]]-TA[[#This Row],[Fault Time]])*24</f>
        <v>0</v>
      </c>
      <c r="AC969" s="34">
        <f>(TA[[#This Row],[Work Completion time on fault]]-TA[[#This Row],[Fault Time]])*24</f>
        <v>0</v>
      </c>
      <c r="AD969" s="35">
        <f>IFERROR((TA[[#This Row],[Work Completion time on fault]]-TA[[#This Row],[Fault Time]])*24,"")</f>
        <v>0</v>
      </c>
      <c r="AE969" t="s">
        <v>328</v>
      </c>
      <c r="AF969" t="s">
        <v>256</v>
      </c>
      <c r="AG969" s="2"/>
      <c r="AH969" s="44">
        <f>1-COS(RADIANS(TA[[#This Row],[Avg. Target Angle during Fault Time (Radians)]]-TA[[#This Row],[Angle of affected equipment ]]))</f>
        <v>0.11705240714107301</v>
      </c>
      <c r="AI969" s="35">
        <f>IFERROR(TA[[#This Row],[Breakdown Time]]*TA[[#This Row],[Plant Equivalent Weightage]],"")</f>
        <v>0</v>
      </c>
    </row>
    <row r="970" spans="1:35">
      <c r="A970" s="2">
        <f t="shared" si="87"/>
        <v>967</v>
      </c>
      <c r="B970" s="156">
        <f t="shared" si="90"/>
        <v>2026</v>
      </c>
      <c r="C970" s="129">
        <f t="shared" si="91"/>
        <v>2025</v>
      </c>
      <c r="D970" s="2" t="s">
        <v>155</v>
      </c>
      <c r="E970" s="2" t="s">
        <v>155</v>
      </c>
      <c r="F970" s="39">
        <v>45809</v>
      </c>
      <c r="G970" s="2">
        <f>DAY(EOMONTH(TA[[#This Row],[Month Year]],0))</f>
        <v>30</v>
      </c>
      <c r="H970" s="21">
        <v>45811</v>
      </c>
      <c r="I970" s="41">
        <f>IFERROR(VLOOKUP(TA[[#This Row],[Date]],Raw_Data[[Date]:[Sunset Time (POA&lt;20 W/m2)]],3,0),"")</f>
        <v>0.24374999999999999</v>
      </c>
      <c r="J970" s="41">
        <f>IFERROR(VLOOKUP(TA[[#This Row],[Date]],Raw_Data[[Date]:[Sunset Time (POA&lt;20 W/m2)]],4,0),"")</f>
        <v>0.77361111111111114</v>
      </c>
      <c r="K970" s="35">
        <f>IFERROR((TA[[#This Row],[Sunset Time (POA&lt;20 W/m2)]]-TA[[#This Row],[Sunrise Time (POA&gt;20 W/m2)]])*24,"")</f>
        <v>12.716666666666667</v>
      </c>
      <c r="L970" s="2" t="s">
        <v>312</v>
      </c>
      <c r="M970" s="42">
        <f>IFERROR(VLOOKUP(TA[[#This Row],[Affected Equipment]],'Basic Data'!$I$2:$K$40,3,0),"")</f>
        <v>5.74712643678161E-3</v>
      </c>
      <c r="N970">
        <v>-28</v>
      </c>
      <c r="O970" t="s">
        <v>133</v>
      </c>
      <c r="P970" s="22" t="s">
        <v>330</v>
      </c>
      <c r="Q970" s="2" t="s">
        <v>323</v>
      </c>
      <c r="R970">
        <v>27</v>
      </c>
      <c r="S970" s="2">
        <v>42</v>
      </c>
      <c r="T970" t="s">
        <v>297</v>
      </c>
      <c r="U970" t="s">
        <v>300</v>
      </c>
      <c r="V970" t="s">
        <v>301</v>
      </c>
      <c r="W970" s="41">
        <f>IFERROR(VLOOKUP(TA[[#This Row],[Date]],Raw_Data[[Date]:[Sunset Time (POA&lt;20 W/m2)]],3,0),"")</f>
        <v>0.24374999999999999</v>
      </c>
      <c r="X970" s="41">
        <f>IFERROR(VLOOKUP(TA[[#This Row],[Date]],Raw_Data[[Date]:[Sunset Time (POA&lt;20 W/m2)]],3,0),"")</f>
        <v>0.24374999999999999</v>
      </c>
      <c r="Y970" s="34"/>
      <c r="Z970" s="34">
        <v>0.76041666666666663</v>
      </c>
      <c r="AA970" s="35">
        <f>IF(TA[[#This Row],[Work Start time on Fault]]="NA","",(TA[[#This Row],[Fault Acknowledgement Time ]]-TA[[#This Row],[Fault Time]])*24)</f>
        <v>0</v>
      </c>
      <c r="AB970" s="35">
        <f>(TA[[#This Row],[Work Start time on Fault]]-TA[[#This Row],[Fault Time]])*24</f>
        <v>-5.85</v>
      </c>
      <c r="AC970" s="34">
        <f>(TA[[#This Row],[Work Completion time on fault]]-TA[[#This Row],[Fault Time]])*24</f>
        <v>12.399999999999999</v>
      </c>
      <c r="AD970" s="35">
        <f>IFERROR((TA[[#This Row],[Work Completion time on fault]]-TA[[#This Row],[Fault Time]])*24,"")</f>
        <v>12.399999999999999</v>
      </c>
      <c r="AE970" t="s">
        <v>309</v>
      </c>
      <c r="AF970" t="s">
        <v>256</v>
      </c>
      <c r="AG970" s="2"/>
      <c r="AH970" s="44">
        <f>1-COS(RADIANS(TA[[#This Row],[Avg. Target Angle during Fault Time (Radians)]]-TA[[#This Row],[Angle of affected equipment ]]))</f>
        <v>0.11705240714107301</v>
      </c>
      <c r="AI970" s="35">
        <f>IFERROR(TA[[#This Row],[Breakdown Time]]*TA[[#This Row],[Plant Equivalent Weightage]],"")</f>
        <v>7.1264367816091953E-2</v>
      </c>
    </row>
    <row r="971" spans="1:35">
      <c r="A971" s="2">
        <f t="shared" si="87"/>
        <v>968</v>
      </c>
      <c r="B971" s="156">
        <f t="shared" ref="B971:B983" si="92">YEAR(H971)+IF(MONTH(H971)&gt;=4,1,0)</f>
        <v>2026</v>
      </c>
      <c r="C971" s="129">
        <f t="shared" ref="C971:C983" si="93">YEAR(H971)</f>
        <v>2025</v>
      </c>
      <c r="D971" s="2" t="s">
        <v>155</v>
      </c>
      <c r="E971" s="2" t="s">
        <v>155</v>
      </c>
      <c r="F971" s="39">
        <v>45809</v>
      </c>
      <c r="G971" s="2">
        <f>DAY(EOMONTH(TA[[#This Row],[Month Year]],0))</f>
        <v>30</v>
      </c>
      <c r="H971" s="21">
        <v>45812</v>
      </c>
      <c r="I971" s="41">
        <f>IFERROR(VLOOKUP(TA[[#This Row],[Date]],Raw_Data[[Date]:[Sunset Time (POA&lt;20 W/m2)]],3,0),"")</f>
        <v>0.24513888888888888</v>
      </c>
      <c r="J971" s="41">
        <f>IFERROR(VLOOKUP(TA[[#This Row],[Date]],Raw_Data[[Date]:[Sunset Time (POA&lt;20 W/m2)]],4,0),"")</f>
        <v>0.7680555555555556</v>
      </c>
      <c r="K971" s="35">
        <f>IFERROR((TA[[#This Row],[Sunset Time (POA&lt;20 W/m2)]]-TA[[#This Row],[Sunrise Time (POA&gt;20 W/m2)]])*24,"")</f>
        <v>12.55</v>
      </c>
      <c r="L971" s="2" t="s">
        <v>294</v>
      </c>
      <c r="M971" s="42">
        <f>IFERROR(VLOOKUP(TA[[#This Row],[Affected Equipment]],'Basic Data'!$I$2:$K$40,3,0),"")</f>
        <v>1.7241379310344799E-3</v>
      </c>
      <c r="N971">
        <v>-28</v>
      </c>
      <c r="O971" t="s">
        <v>135</v>
      </c>
      <c r="P971" s="127" t="s">
        <v>318</v>
      </c>
      <c r="Q971" s="126" t="s">
        <v>318</v>
      </c>
      <c r="R971">
        <v>131</v>
      </c>
      <c r="S971" s="2">
        <v>38</v>
      </c>
      <c r="T971" t="s">
        <v>295</v>
      </c>
      <c r="U971" t="s">
        <v>300</v>
      </c>
      <c r="V971" t="s">
        <v>298</v>
      </c>
      <c r="W971" s="41"/>
      <c r="X971" s="41"/>
      <c r="Y971" s="34"/>
      <c r="Z971" s="34"/>
      <c r="AA971" s="35">
        <f>IF(TA[[#This Row],[Work Start time on Fault]]="NA","",(TA[[#This Row],[Fault Acknowledgement Time ]]-TA[[#This Row],[Fault Time]])*24)</f>
        <v>0</v>
      </c>
      <c r="AB971" s="35">
        <f>(TA[[#This Row],[Work Start time on Fault]]-TA[[#This Row],[Fault Time]])*24</f>
        <v>0</v>
      </c>
      <c r="AC971" s="34">
        <f>(TA[[#This Row],[Work Completion time on fault]]-TA[[#This Row],[Fault Time]])*24</f>
        <v>0</v>
      </c>
      <c r="AD971" s="35">
        <f>IFERROR((TA[[#This Row],[Work Completion time on fault]]-TA[[#This Row],[Fault Time]])*24,"")</f>
        <v>0</v>
      </c>
      <c r="AE971" t="s">
        <v>328</v>
      </c>
      <c r="AF971" t="s">
        <v>256</v>
      </c>
      <c r="AG971" s="2"/>
      <c r="AH971" s="44">
        <f>1-COS(RADIANS(TA[[#This Row],[Avg. Target Angle during Fault Time (Radians)]]-TA[[#This Row],[Angle of affected equipment ]]))</f>
        <v>0.11705240714107301</v>
      </c>
      <c r="AI971" s="35">
        <f>IFERROR(TA[[#This Row],[Breakdown Time]]*TA[[#This Row],[Plant Equivalent Weightage]],"")</f>
        <v>0</v>
      </c>
    </row>
    <row r="972" spans="1:35">
      <c r="A972" s="2">
        <f t="shared" si="87"/>
        <v>969</v>
      </c>
      <c r="B972" s="156">
        <f t="shared" si="92"/>
        <v>2026</v>
      </c>
      <c r="C972" s="129">
        <f t="shared" si="93"/>
        <v>2025</v>
      </c>
      <c r="D972" s="2" t="s">
        <v>155</v>
      </c>
      <c r="E972" s="2" t="s">
        <v>155</v>
      </c>
      <c r="F972" s="39">
        <v>45809</v>
      </c>
      <c r="G972" s="2">
        <f>DAY(EOMONTH(TA[[#This Row],[Month Year]],0))</f>
        <v>30</v>
      </c>
      <c r="H972" s="21">
        <v>45812</v>
      </c>
      <c r="I972" s="41">
        <f>IFERROR(VLOOKUP(TA[[#This Row],[Date]],Raw_Data[[Date]:[Sunset Time (POA&lt;20 W/m2)]],3,0),"")</f>
        <v>0.24513888888888888</v>
      </c>
      <c r="J972" s="41">
        <f>IFERROR(VLOOKUP(TA[[#This Row],[Date]],Raw_Data[[Date]:[Sunset Time (POA&lt;20 W/m2)]],4,0),"")</f>
        <v>0.7680555555555556</v>
      </c>
      <c r="K972" s="35">
        <f>IFERROR((TA[[#This Row],[Sunset Time (POA&lt;20 W/m2)]]-TA[[#This Row],[Sunrise Time (POA&gt;20 W/m2)]])*24,"")</f>
        <v>12.55</v>
      </c>
      <c r="L972" s="2" t="s">
        <v>294</v>
      </c>
      <c r="M972" s="42">
        <f>IFERROR(VLOOKUP(TA[[#This Row],[Affected Equipment]],'Basic Data'!$I$2:$K$40,3,0),"")</f>
        <v>1.7241379310344799E-3</v>
      </c>
      <c r="N972">
        <v>-28</v>
      </c>
      <c r="O972" t="s">
        <v>135</v>
      </c>
      <c r="P972" s="127" t="s">
        <v>318</v>
      </c>
      <c r="Q972" s="126" t="s">
        <v>318</v>
      </c>
      <c r="R972">
        <v>131</v>
      </c>
      <c r="S972" s="2">
        <v>39</v>
      </c>
      <c r="T972" t="s">
        <v>295</v>
      </c>
      <c r="U972" t="s">
        <v>300</v>
      </c>
      <c r="V972" t="s">
        <v>298</v>
      </c>
      <c r="W972" s="41"/>
      <c r="X972" s="41"/>
      <c r="Y972" s="34"/>
      <c r="Z972" s="34"/>
      <c r="AA972" s="35">
        <f>IF(TA[[#This Row],[Work Start time on Fault]]="NA","",(TA[[#This Row],[Fault Acknowledgement Time ]]-TA[[#This Row],[Fault Time]])*24)</f>
        <v>0</v>
      </c>
      <c r="AB972" s="35">
        <f>(TA[[#This Row],[Work Start time on Fault]]-TA[[#This Row],[Fault Time]])*24</f>
        <v>0</v>
      </c>
      <c r="AC972" s="34">
        <f>(TA[[#This Row],[Work Completion time on fault]]-TA[[#This Row],[Fault Time]])*24</f>
        <v>0</v>
      </c>
      <c r="AD972" s="35">
        <f>IFERROR((TA[[#This Row],[Work Completion time on fault]]-TA[[#This Row],[Fault Time]])*24,"")</f>
        <v>0</v>
      </c>
      <c r="AE972" t="s">
        <v>328</v>
      </c>
      <c r="AF972" t="s">
        <v>256</v>
      </c>
      <c r="AG972" s="2"/>
      <c r="AH972" s="44">
        <f>1-COS(RADIANS(TA[[#This Row],[Avg. Target Angle during Fault Time (Radians)]]-TA[[#This Row],[Angle of affected equipment ]]))</f>
        <v>0.11705240714107301</v>
      </c>
      <c r="AI972" s="35">
        <f>IFERROR(TA[[#This Row],[Breakdown Time]]*TA[[#This Row],[Plant Equivalent Weightage]],"")</f>
        <v>0</v>
      </c>
    </row>
    <row r="973" spans="1:35">
      <c r="A973" s="2">
        <f t="shared" si="87"/>
        <v>970</v>
      </c>
      <c r="B973" s="156">
        <f t="shared" si="92"/>
        <v>2026</v>
      </c>
      <c r="C973" s="129">
        <f t="shared" si="93"/>
        <v>2025</v>
      </c>
      <c r="D973" s="2" t="s">
        <v>155</v>
      </c>
      <c r="E973" s="2" t="s">
        <v>155</v>
      </c>
      <c r="F973" s="39">
        <v>45809</v>
      </c>
      <c r="G973" s="2">
        <f>DAY(EOMONTH(TA[[#This Row],[Month Year]],0))</f>
        <v>30</v>
      </c>
      <c r="H973" s="21">
        <v>45812</v>
      </c>
      <c r="I973" s="41">
        <f>IFERROR(VLOOKUP(TA[[#This Row],[Date]],Raw_Data[[Date]:[Sunset Time (POA&lt;20 W/m2)]],3,0),"")</f>
        <v>0.24513888888888888</v>
      </c>
      <c r="J973" s="41">
        <f>IFERROR(VLOOKUP(TA[[#This Row],[Date]],Raw_Data[[Date]:[Sunset Time (POA&lt;20 W/m2)]],4,0),"")</f>
        <v>0.7680555555555556</v>
      </c>
      <c r="K973" s="35">
        <f>IFERROR((TA[[#This Row],[Sunset Time (POA&lt;20 W/m2)]]-TA[[#This Row],[Sunrise Time (POA&gt;20 W/m2)]])*24,"")</f>
        <v>12.55</v>
      </c>
      <c r="L973" s="2" t="s">
        <v>296</v>
      </c>
      <c r="M973" s="42">
        <f>IFERROR(VLOOKUP(TA[[#This Row],[Affected Equipment]],'Basic Data'!$I$2:$K$40,3,0),"")</f>
        <v>8.6206896551724102E-3</v>
      </c>
      <c r="N973">
        <v>-28</v>
      </c>
      <c r="O973" t="s">
        <v>135</v>
      </c>
      <c r="P973" s="127" t="s">
        <v>318</v>
      </c>
      <c r="Q973" s="2" t="s">
        <v>321</v>
      </c>
      <c r="R973">
        <v>133</v>
      </c>
      <c r="S973" s="2">
        <v>26</v>
      </c>
      <c r="T973" t="s">
        <v>297</v>
      </c>
      <c r="U973" t="s">
        <v>300</v>
      </c>
      <c r="V973" t="s">
        <v>314</v>
      </c>
      <c r="W973" s="41">
        <f>IFERROR(VLOOKUP(TA[[#This Row],[Date]],Raw_Data[[Date]:[Sunset Time (POA&lt;20 W/m2)]],3,0),"")</f>
        <v>0.24513888888888888</v>
      </c>
      <c r="X973" s="41">
        <f>IFERROR(VLOOKUP(TA[[#This Row],[Date]],Raw_Data[[Date]:[Sunset Time (POA&lt;20 W/m2)]],3,0),"")</f>
        <v>0.24513888888888888</v>
      </c>
      <c r="Y973" s="34"/>
      <c r="Z973" s="34">
        <v>0.76041666666666663</v>
      </c>
      <c r="AA973" s="35">
        <f>IF(TA[[#This Row],[Work Start time on Fault]]="NA","",(TA[[#This Row],[Fault Acknowledgement Time ]]-TA[[#This Row],[Fault Time]])*24)</f>
        <v>0</v>
      </c>
      <c r="AB973" s="35">
        <f>(TA[[#This Row],[Work Start time on Fault]]-TA[[#This Row],[Fault Time]])*24</f>
        <v>-5.8833333333333329</v>
      </c>
      <c r="AC973" s="34">
        <f>(TA[[#This Row],[Work Completion time on fault]]-TA[[#This Row],[Fault Time]])*24</f>
        <v>12.366666666666665</v>
      </c>
      <c r="AD973" s="35">
        <f>IFERROR((TA[[#This Row],[Work Completion time on fault]]-TA[[#This Row],[Fault Time]])*24,"")</f>
        <v>12.366666666666665</v>
      </c>
      <c r="AE973" t="s">
        <v>328</v>
      </c>
      <c r="AF973" t="s">
        <v>256</v>
      </c>
      <c r="AG973" s="2"/>
      <c r="AH973" s="44">
        <f>1-COS(RADIANS(TA[[#This Row],[Avg. Target Angle during Fault Time (Radians)]]-TA[[#This Row],[Angle of affected equipment ]]))</f>
        <v>0.11705240714107301</v>
      </c>
      <c r="AI973" s="35">
        <f>IFERROR(TA[[#This Row],[Breakdown Time]]*TA[[#This Row],[Plant Equivalent Weightage]],"")</f>
        <v>0.1066091954022988</v>
      </c>
    </row>
    <row r="974" spans="1:35">
      <c r="A974" s="2">
        <f t="shared" si="87"/>
        <v>971</v>
      </c>
      <c r="B974" s="156">
        <f t="shared" si="92"/>
        <v>2026</v>
      </c>
      <c r="C974" s="129">
        <f t="shared" si="93"/>
        <v>2025</v>
      </c>
      <c r="D974" s="2" t="s">
        <v>155</v>
      </c>
      <c r="E974" s="2" t="s">
        <v>155</v>
      </c>
      <c r="F974" s="39">
        <v>45809</v>
      </c>
      <c r="G974" s="2">
        <f>DAY(EOMONTH(TA[[#This Row],[Month Year]],0))</f>
        <v>30</v>
      </c>
      <c r="H974" s="21">
        <v>45812</v>
      </c>
      <c r="I974" s="41">
        <f>IFERROR(VLOOKUP(TA[[#This Row],[Date]],Raw_Data[[Date]:[Sunset Time (POA&lt;20 W/m2)]],3,0),"")</f>
        <v>0.24513888888888888</v>
      </c>
      <c r="J974" s="41">
        <f>IFERROR(VLOOKUP(TA[[#This Row],[Date]],Raw_Data[[Date]:[Sunset Time (POA&lt;20 W/m2)]],4,0),"")</f>
        <v>0.7680555555555556</v>
      </c>
      <c r="K974" s="35">
        <f>IFERROR((TA[[#This Row],[Sunset Time (POA&lt;20 W/m2)]]-TA[[#This Row],[Sunrise Time (POA&gt;20 W/m2)]])*24,"")</f>
        <v>12.55</v>
      </c>
      <c r="L974" s="2" t="s">
        <v>294</v>
      </c>
      <c r="M974" s="42">
        <f>IFERROR(VLOOKUP(TA[[#This Row],[Affected Equipment]],'Basic Data'!$I$2:$K$40,3,0),"")</f>
        <v>1.7241379310344799E-3</v>
      </c>
      <c r="N974">
        <v>-28</v>
      </c>
      <c r="O974" t="s">
        <v>133</v>
      </c>
      <c r="P974" s="127" t="s">
        <v>316</v>
      </c>
      <c r="Q974" s="126" t="s">
        <v>317</v>
      </c>
      <c r="R974">
        <v>7</v>
      </c>
      <c r="S974" s="2">
        <v>32</v>
      </c>
      <c r="T974" t="s">
        <v>295</v>
      </c>
      <c r="U974" t="s">
        <v>300</v>
      </c>
      <c r="V974" t="s">
        <v>298</v>
      </c>
      <c r="W974" s="41"/>
      <c r="X974" s="41"/>
      <c r="Y974" s="34"/>
      <c r="Z974" s="34"/>
      <c r="AA974" s="35">
        <f>IF(TA[[#This Row],[Work Start time on Fault]]="NA","",(TA[[#This Row],[Fault Acknowledgement Time ]]-TA[[#This Row],[Fault Time]])*24)</f>
        <v>0</v>
      </c>
      <c r="AB974" s="35">
        <f>(TA[[#This Row],[Work Start time on Fault]]-TA[[#This Row],[Fault Time]])*24</f>
        <v>0</v>
      </c>
      <c r="AC974" s="34">
        <f>(TA[[#This Row],[Work Completion time on fault]]-TA[[#This Row],[Fault Time]])*24</f>
        <v>0</v>
      </c>
      <c r="AD974" s="35">
        <f>IFERROR((TA[[#This Row],[Work Completion time on fault]]-TA[[#This Row],[Fault Time]])*24,"")</f>
        <v>0</v>
      </c>
      <c r="AE974" t="s">
        <v>328</v>
      </c>
      <c r="AF974" t="s">
        <v>256</v>
      </c>
      <c r="AG974" s="2"/>
      <c r="AH974" s="44">
        <f>1-COS(RADIANS(TA[[#This Row],[Avg. Target Angle during Fault Time (Radians)]]-TA[[#This Row],[Angle of affected equipment ]]))</f>
        <v>0.11705240714107301</v>
      </c>
      <c r="AI974" s="35">
        <f>IFERROR(TA[[#This Row],[Breakdown Time]]*TA[[#This Row],[Plant Equivalent Weightage]],"")</f>
        <v>0</v>
      </c>
    </row>
    <row r="975" spans="1:35">
      <c r="A975" s="2">
        <f t="shared" si="87"/>
        <v>972</v>
      </c>
      <c r="B975" s="156">
        <f t="shared" si="92"/>
        <v>2026</v>
      </c>
      <c r="C975" s="129">
        <f t="shared" si="93"/>
        <v>2025</v>
      </c>
      <c r="D975" s="2" t="s">
        <v>155</v>
      </c>
      <c r="E975" s="2" t="s">
        <v>155</v>
      </c>
      <c r="F975" s="39">
        <v>45809</v>
      </c>
      <c r="G975" s="2">
        <f>DAY(EOMONTH(TA[[#This Row],[Month Year]],0))</f>
        <v>30</v>
      </c>
      <c r="H975" s="21">
        <v>45812</v>
      </c>
      <c r="I975" s="41">
        <f>IFERROR(VLOOKUP(TA[[#This Row],[Date]],Raw_Data[[Date]:[Sunset Time (POA&lt;20 W/m2)]],3,0),"")</f>
        <v>0.24513888888888888</v>
      </c>
      <c r="J975" s="41">
        <f>IFERROR(VLOOKUP(TA[[#This Row],[Date]],Raw_Data[[Date]:[Sunset Time (POA&lt;20 W/m2)]],4,0),"")</f>
        <v>0.7680555555555556</v>
      </c>
      <c r="K975" s="35">
        <f>IFERROR((TA[[#This Row],[Sunset Time (POA&lt;20 W/m2)]]-TA[[#This Row],[Sunrise Time (POA&gt;20 W/m2)]])*24,"")</f>
        <v>12.55</v>
      </c>
      <c r="L975" s="2" t="s">
        <v>294</v>
      </c>
      <c r="M975" s="42">
        <f>IFERROR(VLOOKUP(TA[[#This Row],[Affected Equipment]],'Basic Data'!$I$2:$K$40,3,0),"")</f>
        <v>1.7241379310344799E-3</v>
      </c>
      <c r="N975">
        <v>-28</v>
      </c>
      <c r="O975" t="s">
        <v>137</v>
      </c>
      <c r="P975" s="127" t="s">
        <v>315</v>
      </c>
      <c r="Q975" s="126" t="s">
        <v>319</v>
      </c>
      <c r="R975">
        <v>166</v>
      </c>
      <c r="S975" s="2">
        <v>91</v>
      </c>
      <c r="T975" t="s">
        <v>295</v>
      </c>
      <c r="U975" t="s">
        <v>300</v>
      </c>
      <c r="V975" t="s">
        <v>298</v>
      </c>
      <c r="W975" s="41"/>
      <c r="X975" s="41"/>
      <c r="Y975" s="34"/>
      <c r="Z975" s="34"/>
      <c r="AA975" s="35">
        <f>IF(TA[[#This Row],[Work Start time on Fault]]="NA","",(TA[[#This Row],[Fault Acknowledgement Time ]]-TA[[#This Row],[Fault Time]])*24)</f>
        <v>0</v>
      </c>
      <c r="AB975" s="35">
        <f>(TA[[#This Row],[Work Start time on Fault]]-TA[[#This Row],[Fault Time]])*24</f>
        <v>0</v>
      </c>
      <c r="AC975" s="34">
        <f>(TA[[#This Row],[Work Completion time on fault]]-TA[[#This Row],[Fault Time]])*24</f>
        <v>0</v>
      </c>
      <c r="AD975" s="35">
        <f>IFERROR((TA[[#This Row],[Work Completion time on fault]]-TA[[#This Row],[Fault Time]])*24,"")</f>
        <v>0</v>
      </c>
      <c r="AE975" t="s">
        <v>328</v>
      </c>
      <c r="AF975" t="s">
        <v>256</v>
      </c>
      <c r="AG975" s="2"/>
      <c r="AH975" s="44">
        <f>1-COS(RADIANS(TA[[#This Row],[Avg. Target Angle during Fault Time (Radians)]]-TA[[#This Row],[Angle of affected equipment ]]))</f>
        <v>0.11705240714107301</v>
      </c>
      <c r="AI975" s="35">
        <f>IFERROR(TA[[#This Row],[Breakdown Time]]*TA[[#This Row],[Plant Equivalent Weightage]],"")</f>
        <v>0</v>
      </c>
    </row>
    <row r="976" spans="1:35">
      <c r="A976" s="2">
        <f t="shared" si="87"/>
        <v>973</v>
      </c>
      <c r="B976" s="156">
        <f t="shared" si="92"/>
        <v>2026</v>
      </c>
      <c r="C976" s="129">
        <f t="shared" si="93"/>
        <v>2025</v>
      </c>
      <c r="D976" s="2" t="s">
        <v>155</v>
      </c>
      <c r="E976" s="2" t="s">
        <v>155</v>
      </c>
      <c r="F976" s="39">
        <v>45809</v>
      </c>
      <c r="G976" s="2">
        <f>DAY(EOMONTH(TA[[#This Row],[Month Year]],0))</f>
        <v>30</v>
      </c>
      <c r="H976" s="21">
        <v>45812</v>
      </c>
      <c r="I976" s="41">
        <f>IFERROR(VLOOKUP(TA[[#This Row],[Date]],Raw_Data[[Date]:[Sunset Time (POA&lt;20 W/m2)]],3,0),"")</f>
        <v>0.24513888888888888</v>
      </c>
      <c r="J976" s="41">
        <f>IFERROR(VLOOKUP(TA[[#This Row],[Date]],Raw_Data[[Date]:[Sunset Time (POA&lt;20 W/m2)]],4,0),"")</f>
        <v>0.7680555555555556</v>
      </c>
      <c r="K976" s="35">
        <f>IFERROR((TA[[#This Row],[Sunset Time (POA&lt;20 W/m2)]]-TA[[#This Row],[Sunrise Time (POA&gt;20 W/m2)]])*24,"")</f>
        <v>12.55</v>
      </c>
      <c r="L976" s="2" t="s">
        <v>294</v>
      </c>
      <c r="M976" s="42">
        <f>IFERROR(VLOOKUP(TA[[#This Row],[Affected Equipment]],'Basic Data'!$I$2:$K$40,3,0),"")</f>
        <v>1.7241379310344799E-3</v>
      </c>
      <c r="N976">
        <v>-28</v>
      </c>
      <c r="O976" t="s">
        <v>133</v>
      </c>
      <c r="P976" s="127" t="s">
        <v>316</v>
      </c>
      <c r="Q976" s="126" t="s">
        <v>316</v>
      </c>
      <c r="R976">
        <v>117</v>
      </c>
      <c r="S976" s="2">
        <v>20</v>
      </c>
      <c r="T976" t="s">
        <v>295</v>
      </c>
      <c r="U976" t="s">
        <v>300</v>
      </c>
      <c r="V976" t="s">
        <v>298</v>
      </c>
      <c r="W976" s="41"/>
      <c r="X976" s="41"/>
      <c r="Y976" s="34"/>
      <c r="Z976" s="34"/>
      <c r="AA976" s="35">
        <f>IF(TA[[#This Row],[Work Start time on Fault]]="NA","",(TA[[#This Row],[Fault Acknowledgement Time ]]-TA[[#This Row],[Fault Time]])*24)</f>
        <v>0</v>
      </c>
      <c r="AB976" s="35">
        <f>(TA[[#This Row],[Work Start time on Fault]]-TA[[#This Row],[Fault Time]])*24</f>
        <v>0</v>
      </c>
      <c r="AC976" s="34">
        <f>(TA[[#This Row],[Work Completion time on fault]]-TA[[#This Row],[Fault Time]])*24</f>
        <v>0</v>
      </c>
      <c r="AD976" s="35">
        <f>IFERROR((TA[[#This Row],[Work Completion time on fault]]-TA[[#This Row],[Fault Time]])*24,"")</f>
        <v>0</v>
      </c>
      <c r="AE976" t="s">
        <v>328</v>
      </c>
      <c r="AF976" t="s">
        <v>256</v>
      </c>
      <c r="AG976" s="2"/>
      <c r="AH976" s="44">
        <f>1-COS(RADIANS(TA[[#This Row],[Avg. Target Angle during Fault Time (Radians)]]-TA[[#This Row],[Angle of affected equipment ]]))</f>
        <v>0.11705240714107301</v>
      </c>
      <c r="AI976" s="35">
        <f>IFERROR(TA[[#This Row],[Breakdown Time]]*TA[[#This Row],[Plant Equivalent Weightage]],"")</f>
        <v>0</v>
      </c>
    </row>
    <row r="977" spans="1:35">
      <c r="A977" s="2">
        <f t="shared" si="87"/>
        <v>974</v>
      </c>
      <c r="B977" s="156">
        <f t="shared" si="92"/>
        <v>2026</v>
      </c>
      <c r="C977" s="129">
        <f t="shared" si="93"/>
        <v>2025</v>
      </c>
      <c r="D977" s="2" t="s">
        <v>155</v>
      </c>
      <c r="E977" s="2" t="s">
        <v>155</v>
      </c>
      <c r="F977" s="39">
        <v>45809</v>
      </c>
      <c r="G977" s="2">
        <f>DAY(EOMONTH(TA[[#This Row],[Month Year]],0))</f>
        <v>30</v>
      </c>
      <c r="H977" s="21">
        <v>45812</v>
      </c>
      <c r="I977" s="41">
        <f>IFERROR(VLOOKUP(TA[[#This Row],[Date]],Raw_Data[[Date]:[Sunset Time (POA&lt;20 W/m2)]],3,0),"")</f>
        <v>0.24513888888888888</v>
      </c>
      <c r="J977" s="41">
        <f>IFERROR(VLOOKUP(TA[[#This Row],[Date]],Raw_Data[[Date]:[Sunset Time (POA&lt;20 W/m2)]],4,0),"")</f>
        <v>0.7680555555555556</v>
      </c>
      <c r="K977" s="35">
        <f>IFERROR((TA[[#This Row],[Sunset Time (POA&lt;20 W/m2)]]-TA[[#This Row],[Sunrise Time (POA&gt;20 W/m2)]])*24,"")</f>
        <v>12.55</v>
      </c>
      <c r="L977" s="2" t="s">
        <v>294</v>
      </c>
      <c r="M977" s="42">
        <f>IFERROR(VLOOKUP(TA[[#This Row],[Affected Equipment]],'Basic Data'!$I$2:$K$40,3,0),"")</f>
        <v>1.7241379310344799E-3</v>
      </c>
      <c r="N977">
        <v>-28</v>
      </c>
      <c r="O977" t="s">
        <v>133</v>
      </c>
      <c r="P977" s="127" t="s">
        <v>316</v>
      </c>
      <c r="Q977" s="126" t="s">
        <v>316</v>
      </c>
      <c r="R977">
        <v>118</v>
      </c>
      <c r="S977" s="2">
        <v>22</v>
      </c>
      <c r="T977" t="s">
        <v>295</v>
      </c>
      <c r="U977" t="s">
        <v>300</v>
      </c>
      <c r="V977" t="s">
        <v>298</v>
      </c>
      <c r="W977" s="41"/>
      <c r="X977" s="41"/>
      <c r="Y977" s="34"/>
      <c r="Z977" s="34"/>
      <c r="AA977" s="35">
        <f>IF(TA[[#This Row],[Work Start time on Fault]]="NA","",(TA[[#This Row],[Fault Acknowledgement Time ]]-TA[[#This Row],[Fault Time]])*24)</f>
        <v>0</v>
      </c>
      <c r="AB977" s="35">
        <f>(TA[[#This Row],[Work Start time on Fault]]-TA[[#This Row],[Fault Time]])*24</f>
        <v>0</v>
      </c>
      <c r="AC977" s="34">
        <f>(TA[[#This Row],[Work Completion time on fault]]-TA[[#This Row],[Fault Time]])*24</f>
        <v>0</v>
      </c>
      <c r="AD977" s="35">
        <f>IFERROR((TA[[#This Row],[Work Completion time on fault]]-TA[[#This Row],[Fault Time]])*24,"")</f>
        <v>0</v>
      </c>
      <c r="AE977" t="s">
        <v>328</v>
      </c>
      <c r="AF977" t="s">
        <v>256</v>
      </c>
      <c r="AG977" s="2"/>
      <c r="AH977" s="44">
        <f>1-COS(RADIANS(TA[[#This Row],[Avg. Target Angle during Fault Time (Radians)]]-TA[[#This Row],[Angle of affected equipment ]]))</f>
        <v>0.11705240714107301</v>
      </c>
      <c r="AI977" s="35">
        <f>IFERROR(TA[[#This Row],[Breakdown Time]]*TA[[#This Row],[Plant Equivalent Weightage]],"")</f>
        <v>0</v>
      </c>
    </row>
    <row r="978" spans="1:35">
      <c r="A978" s="2">
        <f t="shared" si="87"/>
        <v>975</v>
      </c>
      <c r="B978" s="156">
        <f t="shared" si="92"/>
        <v>2026</v>
      </c>
      <c r="C978" s="129">
        <f t="shared" si="93"/>
        <v>2025</v>
      </c>
      <c r="D978" s="2" t="s">
        <v>155</v>
      </c>
      <c r="E978" s="2" t="s">
        <v>155</v>
      </c>
      <c r="F978" s="39">
        <v>45809</v>
      </c>
      <c r="G978" s="2">
        <f>DAY(EOMONTH(TA[[#This Row],[Month Year]],0))</f>
        <v>30</v>
      </c>
      <c r="H978" s="21">
        <v>45812</v>
      </c>
      <c r="I978" s="41">
        <f>IFERROR(VLOOKUP(TA[[#This Row],[Date]],Raw_Data[[Date]:[Sunset Time (POA&lt;20 W/m2)]],3,0),"")</f>
        <v>0.24513888888888888</v>
      </c>
      <c r="J978" s="41">
        <f>IFERROR(VLOOKUP(TA[[#This Row],[Date]],Raw_Data[[Date]:[Sunset Time (POA&lt;20 W/m2)]],4,0),"")</f>
        <v>0.7680555555555556</v>
      </c>
      <c r="K978" s="35">
        <f>IFERROR((TA[[#This Row],[Sunset Time (POA&lt;20 W/m2)]]-TA[[#This Row],[Sunrise Time (POA&gt;20 W/m2)]])*24,"")</f>
        <v>12.55</v>
      </c>
      <c r="L978" s="2" t="s">
        <v>296</v>
      </c>
      <c r="M978" s="42">
        <f>IFERROR(VLOOKUP(TA[[#This Row],[Affected Equipment]],'Basic Data'!$I$2:$K$40,3,0),"")</f>
        <v>8.6206896551724102E-3</v>
      </c>
      <c r="N978">
        <v>-28</v>
      </c>
      <c r="O978" t="s">
        <v>135</v>
      </c>
      <c r="P978" s="22" t="s">
        <v>323</v>
      </c>
      <c r="Q978" s="2" t="s">
        <v>329</v>
      </c>
      <c r="R978">
        <v>45</v>
      </c>
      <c r="S978" s="2">
        <v>8</v>
      </c>
      <c r="T978" t="s">
        <v>297</v>
      </c>
      <c r="U978" t="s">
        <v>300</v>
      </c>
      <c r="V978" t="s">
        <v>301</v>
      </c>
      <c r="W978" s="41"/>
      <c r="X978" s="41"/>
      <c r="Y978" s="34"/>
      <c r="Z978" s="34"/>
      <c r="AA978" s="35">
        <f>IF(TA[[#This Row],[Work Start time on Fault]]="NA","",(TA[[#This Row],[Fault Acknowledgement Time ]]-TA[[#This Row],[Fault Time]])*24)</f>
        <v>0</v>
      </c>
      <c r="AB978" s="35">
        <f>(TA[[#This Row],[Work Start time on Fault]]-TA[[#This Row],[Fault Time]])*24</f>
        <v>0</v>
      </c>
      <c r="AC978" s="34">
        <f>(TA[[#This Row],[Work Completion time on fault]]-TA[[#This Row],[Fault Time]])*24</f>
        <v>0</v>
      </c>
      <c r="AD978" s="35">
        <f>IFERROR((TA[[#This Row],[Work Completion time on fault]]-TA[[#This Row],[Fault Time]])*24,"")</f>
        <v>0</v>
      </c>
      <c r="AE978" t="s">
        <v>328</v>
      </c>
      <c r="AF978" t="s">
        <v>256</v>
      </c>
      <c r="AG978" s="2"/>
      <c r="AH978" s="44">
        <f>1-COS(RADIANS(TA[[#This Row],[Avg. Target Angle during Fault Time (Radians)]]-TA[[#This Row],[Angle of affected equipment ]]))</f>
        <v>0.11705240714107301</v>
      </c>
      <c r="AI978" s="35">
        <f>IFERROR(TA[[#This Row],[Breakdown Time]]*TA[[#This Row],[Plant Equivalent Weightage]],"")</f>
        <v>0</v>
      </c>
    </row>
    <row r="979" spans="1:35">
      <c r="A979" s="2">
        <f t="shared" si="87"/>
        <v>976</v>
      </c>
      <c r="B979" s="156">
        <f t="shared" si="92"/>
        <v>2026</v>
      </c>
      <c r="C979" s="129">
        <f t="shared" si="93"/>
        <v>2025</v>
      </c>
      <c r="D979" s="2" t="s">
        <v>155</v>
      </c>
      <c r="E979" s="2" t="s">
        <v>155</v>
      </c>
      <c r="F979" s="39">
        <v>45809</v>
      </c>
      <c r="G979" s="2">
        <f>DAY(EOMONTH(TA[[#This Row],[Month Year]],0))</f>
        <v>30</v>
      </c>
      <c r="H979" s="21">
        <v>45812</v>
      </c>
      <c r="I979" s="41">
        <f>IFERROR(VLOOKUP(TA[[#This Row],[Date]],Raw_Data[[Date]:[Sunset Time (POA&lt;20 W/m2)]],3,0),"")</f>
        <v>0.24513888888888888</v>
      </c>
      <c r="J979" s="41">
        <f>IFERROR(VLOOKUP(TA[[#This Row],[Date]],Raw_Data[[Date]:[Sunset Time (POA&lt;20 W/m2)]],4,0),"")</f>
        <v>0.7680555555555556</v>
      </c>
      <c r="K979" s="35">
        <f>IFERROR((TA[[#This Row],[Sunset Time (POA&lt;20 W/m2)]]-TA[[#This Row],[Sunrise Time (POA&gt;20 W/m2)]])*24,"")</f>
        <v>12.55</v>
      </c>
      <c r="L979" s="2" t="s">
        <v>296</v>
      </c>
      <c r="M979" s="42">
        <f>IFERROR(VLOOKUP(TA[[#This Row],[Affected Equipment]],'Basic Data'!$I$2:$K$40,3,0),"")</f>
        <v>8.6206896551724102E-3</v>
      </c>
      <c r="N979">
        <v>-28</v>
      </c>
      <c r="O979" t="s">
        <v>135</v>
      </c>
      <c r="P979" s="22" t="s">
        <v>323</v>
      </c>
      <c r="Q979" s="2" t="s">
        <v>329</v>
      </c>
      <c r="R979">
        <v>47</v>
      </c>
      <c r="S979" s="2">
        <v>18</v>
      </c>
      <c r="T979" t="s">
        <v>297</v>
      </c>
      <c r="U979" t="s">
        <v>300</v>
      </c>
      <c r="V979" t="s">
        <v>301</v>
      </c>
      <c r="W979" s="41"/>
      <c r="X979" s="41"/>
      <c r="Y979" s="34"/>
      <c r="Z979" s="34"/>
      <c r="AA979" s="35">
        <f>IF(TA[[#This Row],[Work Start time on Fault]]="NA","",(TA[[#This Row],[Fault Acknowledgement Time ]]-TA[[#This Row],[Fault Time]])*24)</f>
        <v>0</v>
      </c>
      <c r="AB979" s="35">
        <f>(TA[[#This Row],[Work Start time on Fault]]-TA[[#This Row],[Fault Time]])*24</f>
        <v>0</v>
      </c>
      <c r="AC979" s="34">
        <f>(TA[[#This Row],[Work Completion time on fault]]-TA[[#This Row],[Fault Time]])*24</f>
        <v>0</v>
      </c>
      <c r="AD979" s="35">
        <f>IFERROR((TA[[#This Row],[Work Completion time on fault]]-TA[[#This Row],[Fault Time]])*24,"")</f>
        <v>0</v>
      </c>
      <c r="AE979" t="s">
        <v>328</v>
      </c>
      <c r="AF979" t="s">
        <v>256</v>
      </c>
      <c r="AG979" s="2"/>
      <c r="AH979" s="44">
        <f>1-COS(RADIANS(TA[[#This Row],[Avg. Target Angle during Fault Time (Radians)]]-TA[[#This Row],[Angle of affected equipment ]]))</f>
        <v>0.11705240714107301</v>
      </c>
      <c r="AI979" s="35">
        <f>IFERROR(TA[[#This Row],[Breakdown Time]]*TA[[#This Row],[Plant Equivalent Weightage]],"")</f>
        <v>0</v>
      </c>
    </row>
    <row r="980" spans="1:35">
      <c r="A980" s="2">
        <f t="shared" si="87"/>
        <v>977</v>
      </c>
      <c r="B980" s="156">
        <f t="shared" si="92"/>
        <v>2026</v>
      </c>
      <c r="C980" s="129">
        <f t="shared" si="93"/>
        <v>2025</v>
      </c>
      <c r="D980" s="2" t="s">
        <v>155</v>
      </c>
      <c r="E980" s="2" t="s">
        <v>155</v>
      </c>
      <c r="F980" s="39">
        <v>45809</v>
      </c>
      <c r="G980" s="2">
        <f>DAY(EOMONTH(TA[[#This Row],[Month Year]],0))</f>
        <v>30</v>
      </c>
      <c r="H980" s="21">
        <v>45812</v>
      </c>
      <c r="I980" s="41">
        <f>IFERROR(VLOOKUP(TA[[#This Row],[Date]],Raw_Data[[Date]:[Sunset Time (POA&lt;20 W/m2)]],3,0),"")</f>
        <v>0.24513888888888888</v>
      </c>
      <c r="J980" s="41">
        <f>IFERROR(VLOOKUP(TA[[#This Row],[Date]],Raw_Data[[Date]:[Sunset Time (POA&lt;20 W/m2)]],4,0),"")</f>
        <v>0.7680555555555556</v>
      </c>
      <c r="K980" s="35">
        <f>IFERROR((TA[[#This Row],[Sunset Time (POA&lt;20 W/m2)]]-TA[[#This Row],[Sunrise Time (POA&gt;20 W/m2)]])*24,"")</f>
        <v>12.55</v>
      </c>
      <c r="L980" s="2" t="s">
        <v>296</v>
      </c>
      <c r="M980" s="42">
        <f>IFERROR(VLOOKUP(TA[[#This Row],[Affected Equipment]],'Basic Data'!$I$2:$K$40,3,0),"")</f>
        <v>8.6206896551724102E-3</v>
      </c>
      <c r="N980">
        <v>-28</v>
      </c>
      <c r="O980" t="s">
        <v>134</v>
      </c>
      <c r="P980" s="22" t="s">
        <v>330</v>
      </c>
      <c r="Q980" s="2" t="s">
        <v>323</v>
      </c>
      <c r="R980">
        <v>30</v>
      </c>
      <c r="S980" s="2">
        <v>57</v>
      </c>
      <c r="T980" t="s">
        <v>297</v>
      </c>
      <c r="U980" t="s">
        <v>300</v>
      </c>
      <c r="V980" t="s">
        <v>301</v>
      </c>
      <c r="W980" s="41"/>
      <c r="X980" s="41"/>
      <c r="Y980" s="34"/>
      <c r="Z980" s="34"/>
      <c r="AA980" s="35">
        <f>IF(TA[[#This Row],[Work Start time on Fault]]="NA","",(TA[[#This Row],[Fault Acknowledgement Time ]]-TA[[#This Row],[Fault Time]])*24)</f>
        <v>0</v>
      </c>
      <c r="AB980" s="35">
        <f>(TA[[#This Row],[Work Start time on Fault]]-TA[[#This Row],[Fault Time]])*24</f>
        <v>0</v>
      </c>
      <c r="AC980" s="34">
        <f>(TA[[#This Row],[Work Completion time on fault]]-TA[[#This Row],[Fault Time]])*24</f>
        <v>0</v>
      </c>
      <c r="AD980" s="35">
        <f>IFERROR((TA[[#This Row],[Work Completion time on fault]]-TA[[#This Row],[Fault Time]])*24,"")</f>
        <v>0</v>
      </c>
      <c r="AE980" t="s">
        <v>328</v>
      </c>
      <c r="AF980" t="s">
        <v>256</v>
      </c>
      <c r="AG980" s="2"/>
      <c r="AH980" s="44">
        <f>1-COS(RADIANS(TA[[#This Row],[Avg. Target Angle during Fault Time (Radians)]]-TA[[#This Row],[Angle of affected equipment ]]))</f>
        <v>0.11705240714107301</v>
      </c>
      <c r="AI980" s="35">
        <f>IFERROR(TA[[#This Row],[Breakdown Time]]*TA[[#This Row],[Plant Equivalent Weightage]],"")</f>
        <v>0</v>
      </c>
    </row>
    <row r="981" spans="1:35">
      <c r="A981" s="2">
        <f t="shared" si="87"/>
        <v>978</v>
      </c>
      <c r="B981" s="156">
        <f t="shared" si="92"/>
        <v>2026</v>
      </c>
      <c r="C981" s="129">
        <f t="shared" si="93"/>
        <v>2025</v>
      </c>
      <c r="D981" s="2" t="s">
        <v>155</v>
      </c>
      <c r="E981" s="2" t="s">
        <v>155</v>
      </c>
      <c r="F981" s="39">
        <v>45809</v>
      </c>
      <c r="G981" s="2">
        <f>DAY(EOMONTH(TA[[#This Row],[Month Year]],0))</f>
        <v>30</v>
      </c>
      <c r="H981" s="21">
        <v>45812</v>
      </c>
      <c r="I981" s="41">
        <f>IFERROR(VLOOKUP(TA[[#This Row],[Date]],Raw_Data[[Date]:[Sunset Time (POA&lt;20 W/m2)]],3,0),"")</f>
        <v>0.24513888888888888</v>
      </c>
      <c r="J981" s="41">
        <f>IFERROR(VLOOKUP(TA[[#This Row],[Date]],Raw_Data[[Date]:[Sunset Time (POA&lt;20 W/m2)]],4,0),"")</f>
        <v>0.7680555555555556</v>
      </c>
      <c r="K981" s="35">
        <f>IFERROR((TA[[#This Row],[Sunset Time (POA&lt;20 W/m2)]]-TA[[#This Row],[Sunrise Time (POA&gt;20 W/m2)]])*24,"")</f>
        <v>12.55</v>
      </c>
      <c r="L981" s="2" t="s">
        <v>296</v>
      </c>
      <c r="M981" s="42">
        <f>IFERROR(VLOOKUP(TA[[#This Row],[Affected Equipment]],'Basic Data'!$I$2:$K$40,3,0),"")</f>
        <v>8.6206896551724102E-3</v>
      </c>
      <c r="N981">
        <v>-28</v>
      </c>
      <c r="O981" t="s">
        <v>134</v>
      </c>
      <c r="P981" s="22" t="s">
        <v>330</v>
      </c>
      <c r="Q981" s="2" t="s">
        <v>323</v>
      </c>
      <c r="R981">
        <v>31</v>
      </c>
      <c r="S981" s="2">
        <v>61</v>
      </c>
      <c r="T981" t="s">
        <v>297</v>
      </c>
      <c r="U981" t="s">
        <v>300</v>
      </c>
      <c r="V981" t="s">
        <v>301</v>
      </c>
      <c r="W981" s="41"/>
      <c r="X981" s="41"/>
      <c r="Y981" s="34"/>
      <c r="Z981" s="34"/>
      <c r="AA981" s="35">
        <f>IF(TA[[#This Row],[Work Start time on Fault]]="NA","",(TA[[#This Row],[Fault Acknowledgement Time ]]-TA[[#This Row],[Fault Time]])*24)</f>
        <v>0</v>
      </c>
      <c r="AB981" s="35">
        <f>(TA[[#This Row],[Work Start time on Fault]]-TA[[#This Row],[Fault Time]])*24</f>
        <v>0</v>
      </c>
      <c r="AC981" s="34">
        <f>(TA[[#This Row],[Work Completion time on fault]]-TA[[#This Row],[Fault Time]])*24</f>
        <v>0</v>
      </c>
      <c r="AD981" s="35">
        <f>IFERROR((TA[[#This Row],[Work Completion time on fault]]-TA[[#This Row],[Fault Time]])*24,"")</f>
        <v>0</v>
      </c>
      <c r="AE981" t="s">
        <v>328</v>
      </c>
      <c r="AF981" t="s">
        <v>256</v>
      </c>
      <c r="AG981" s="2"/>
      <c r="AH981" s="44">
        <f>1-COS(RADIANS(TA[[#This Row],[Avg. Target Angle during Fault Time (Radians)]]-TA[[#This Row],[Angle of affected equipment ]]))</f>
        <v>0.11705240714107301</v>
      </c>
      <c r="AI981" s="35">
        <f>IFERROR(TA[[#This Row],[Breakdown Time]]*TA[[#This Row],[Plant Equivalent Weightage]],"")</f>
        <v>0</v>
      </c>
    </row>
    <row r="982" spans="1:35">
      <c r="A982" s="2">
        <f t="shared" si="87"/>
        <v>979</v>
      </c>
      <c r="B982" s="156">
        <f t="shared" si="92"/>
        <v>2026</v>
      </c>
      <c r="C982" s="129">
        <f t="shared" si="93"/>
        <v>2025</v>
      </c>
      <c r="D982" s="2" t="s">
        <v>155</v>
      </c>
      <c r="E982" s="2" t="s">
        <v>155</v>
      </c>
      <c r="F982" s="39">
        <v>45809</v>
      </c>
      <c r="G982" s="2">
        <f>DAY(EOMONTH(TA[[#This Row],[Month Year]],0))</f>
        <v>30</v>
      </c>
      <c r="H982" s="21">
        <v>45812</v>
      </c>
      <c r="I982" s="41">
        <f>IFERROR(VLOOKUP(TA[[#This Row],[Date]],Raw_Data[[Date]:[Sunset Time (POA&lt;20 W/m2)]],3,0),"")</f>
        <v>0.24513888888888888</v>
      </c>
      <c r="J982" s="41">
        <f>IFERROR(VLOOKUP(TA[[#This Row],[Date]],Raw_Data[[Date]:[Sunset Time (POA&lt;20 W/m2)]],4,0),"")</f>
        <v>0.7680555555555556</v>
      </c>
      <c r="K982" s="35">
        <f>IFERROR((TA[[#This Row],[Sunset Time (POA&lt;20 W/m2)]]-TA[[#This Row],[Sunrise Time (POA&gt;20 W/m2)]])*24,"")</f>
        <v>12.55</v>
      </c>
      <c r="L982" s="2" t="s">
        <v>312</v>
      </c>
      <c r="M982" s="42">
        <f>IFERROR(VLOOKUP(TA[[#This Row],[Affected Equipment]],'Basic Data'!$I$2:$K$40,3,0),"")</f>
        <v>5.74712643678161E-3</v>
      </c>
      <c r="N982">
        <v>-28</v>
      </c>
      <c r="O982" t="s">
        <v>133</v>
      </c>
      <c r="P982" s="22" t="s">
        <v>330</v>
      </c>
      <c r="Q982" s="2" t="s">
        <v>323</v>
      </c>
      <c r="R982">
        <v>26</v>
      </c>
      <c r="S982" s="2">
        <v>37</v>
      </c>
      <c r="T982" t="s">
        <v>297</v>
      </c>
      <c r="U982" t="s">
        <v>300</v>
      </c>
      <c r="V982" t="s">
        <v>301</v>
      </c>
      <c r="W982" s="41"/>
      <c r="X982" s="41"/>
      <c r="Y982" s="34"/>
      <c r="Z982" s="34"/>
      <c r="AA982" s="35">
        <f>IF(TA[[#This Row],[Work Start time on Fault]]="NA","",(TA[[#This Row],[Fault Acknowledgement Time ]]-TA[[#This Row],[Fault Time]])*24)</f>
        <v>0</v>
      </c>
      <c r="AB982" s="35">
        <f>(TA[[#This Row],[Work Start time on Fault]]-TA[[#This Row],[Fault Time]])*24</f>
        <v>0</v>
      </c>
      <c r="AC982" s="34">
        <f>(TA[[#This Row],[Work Completion time on fault]]-TA[[#This Row],[Fault Time]])*24</f>
        <v>0</v>
      </c>
      <c r="AD982" s="35">
        <f>IFERROR((TA[[#This Row],[Work Completion time on fault]]-TA[[#This Row],[Fault Time]])*24,"")</f>
        <v>0</v>
      </c>
      <c r="AE982" t="s">
        <v>328</v>
      </c>
      <c r="AF982" t="s">
        <v>256</v>
      </c>
      <c r="AG982" s="2"/>
      <c r="AH982" s="44">
        <f>1-COS(RADIANS(TA[[#This Row],[Avg. Target Angle during Fault Time (Radians)]]-TA[[#This Row],[Angle of affected equipment ]]))</f>
        <v>0.11705240714107301</v>
      </c>
      <c r="AI982" s="35">
        <f>IFERROR(TA[[#This Row],[Breakdown Time]]*TA[[#This Row],[Plant Equivalent Weightage]],"")</f>
        <v>0</v>
      </c>
    </row>
    <row r="983" spans="1:35">
      <c r="A983" s="2">
        <f t="shared" si="87"/>
        <v>980</v>
      </c>
      <c r="B983" s="156">
        <f t="shared" si="92"/>
        <v>2026</v>
      </c>
      <c r="C983" s="129">
        <f t="shared" si="93"/>
        <v>2025</v>
      </c>
      <c r="D983" s="2" t="s">
        <v>155</v>
      </c>
      <c r="E983" s="2" t="s">
        <v>155</v>
      </c>
      <c r="F983" s="39">
        <v>45809</v>
      </c>
      <c r="G983" s="2">
        <f>DAY(EOMONTH(TA[[#This Row],[Month Year]],0))</f>
        <v>30</v>
      </c>
      <c r="H983" s="21">
        <v>45812</v>
      </c>
      <c r="I983" s="41">
        <f>IFERROR(VLOOKUP(TA[[#This Row],[Date]],Raw_Data[[Date]:[Sunset Time (POA&lt;20 W/m2)]],3,0),"")</f>
        <v>0.24513888888888888</v>
      </c>
      <c r="J983" s="41">
        <f>IFERROR(VLOOKUP(TA[[#This Row],[Date]],Raw_Data[[Date]:[Sunset Time (POA&lt;20 W/m2)]],4,0),"")</f>
        <v>0.7680555555555556</v>
      </c>
      <c r="K983" s="35">
        <f>IFERROR((TA[[#This Row],[Sunset Time (POA&lt;20 W/m2)]]-TA[[#This Row],[Sunrise Time (POA&gt;20 W/m2)]])*24,"")</f>
        <v>12.55</v>
      </c>
      <c r="L983" s="2" t="s">
        <v>312</v>
      </c>
      <c r="M983" s="42">
        <f>IFERROR(VLOOKUP(TA[[#This Row],[Affected Equipment]],'Basic Data'!$I$2:$K$40,3,0),"")</f>
        <v>5.74712643678161E-3</v>
      </c>
      <c r="N983">
        <v>-28</v>
      </c>
      <c r="O983" t="s">
        <v>133</v>
      </c>
      <c r="P983" s="22" t="s">
        <v>330</v>
      </c>
      <c r="Q983" s="2" t="s">
        <v>323</v>
      </c>
      <c r="R983">
        <v>27</v>
      </c>
      <c r="S983" s="2">
        <v>42</v>
      </c>
      <c r="T983" t="s">
        <v>297</v>
      </c>
      <c r="U983" t="s">
        <v>300</v>
      </c>
      <c r="V983" t="s">
        <v>301</v>
      </c>
      <c r="W983" s="41">
        <f>IFERROR(VLOOKUP(TA[[#This Row],[Date]],Raw_Data[[Date]:[Sunset Time (POA&lt;20 W/m2)]],3,0),"")</f>
        <v>0.24513888888888888</v>
      </c>
      <c r="X983" s="41">
        <f>IFERROR(VLOOKUP(TA[[#This Row],[Date]],Raw_Data[[Date]:[Sunset Time (POA&lt;20 W/m2)]],3,0),"")</f>
        <v>0.24513888888888888</v>
      </c>
      <c r="Y983" s="34"/>
      <c r="Z983" s="34">
        <v>0.76041666666666663</v>
      </c>
      <c r="AA983" s="35">
        <f>IF(TA[[#This Row],[Work Start time on Fault]]="NA","",(TA[[#This Row],[Fault Acknowledgement Time ]]-TA[[#This Row],[Fault Time]])*24)</f>
        <v>0</v>
      </c>
      <c r="AB983" s="35">
        <f>(TA[[#This Row],[Work Start time on Fault]]-TA[[#This Row],[Fault Time]])*24</f>
        <v>-5.8833333333333329</v>
      </c>
      <c r="AC983" s="34">
        <f>(TA[[#This Row],[Work Completion time on fault]]-TA[[#This Row],[Fault Time]])*24</f>
        <v>12.366666666666665</v>
      </c>
      <c r="AD983" s="35">
        <f>IFERROR((TA[[#This Row],[Work Completion time on fault]]-TA[[#This Row],[Fault Time]])*24,"")</f>
        <v>12.366666666666665</v>
      </c>
      <c r="AE983" t="s">
        <v>309</v>
      </c>
      <c r="AF983" t="s">
        <v>256</v>
      </c>
      <c r="AG983" s="2"/>
      <c r="AH983" s="44">
        <f>1-COS(RADIANS(TA[[#This Row],[Avg. Target Angle during Fault Time (Radians)]]-TA[[#This Row],[Angle of affected equipment ]]))</f>
        <v>0.11705240714107301</v>
      </c>
      <c r="AI983" s="35">
        <f>IFERROR(TA[[#This Row],[Breakdown Time]]*TA[[#This Row],[Plant Equivalent Weightage]],"")</f>
        <v>7.1072796934865901E-2</v>
      </c>
    </row>
    <row r="984" spans="1:35">
      <c r="A984" s="2">
        <f t="shared" si="87"/>
        <v>981</v>
      </c>
      <c r="B984" s="156">
        <f t="shared" ref="B984:B996" si="94">YEAR(H984)+IF(MONTH(H984)&gt;=4,1,0)</f>
        <v>2026</v>
      </c>
      <c r="C984" s="129">
        <f t="shared" ref="C984:C996" si="95">YEAR(H984)</f>
        <v>2025</v>
      </c>
      <c r="D984" s="2" t="s">
        <v>155</v>
      </c>
      <c r="E984" s="2" t="s">
        <v>155</v>
      </c>
      <c r="F984" s="39">
        <v>45809</v>
      </c>
      <c r="G984" s="2">
        <f>DAY(EOMONTH(TA[[#This Row],[Month Year]],0))</f>
        <v>30</v>
      </c>
      <c r="H984" s="21">
        <v>45813</v>
      </c>
      <c r="I984" s="41">
        <f>IFERROR(VLOOKUP(TA[[#This Row],[Date]],Raw_Data[[Date]:[Sunset Time (POA&lt;20 W/m2)]],3,0),"")</f>
        <v>0.24791666666666667</v>
      </c>
      <c r="J984" s="41">
        <f>IFERROR(VLOOKUP(TA[[#This Row],[Date]],Raw_Data[[Date]:[Sunset Time (POA&lt;20 W/m2)]],4,0),"")</f>
        <v>0.77152777777777781</v>
      </c>
      <c r="K984" s="35">
        <f>IFERROR((TA[[#This Row],[Sunset Time (POA&lt;20 W/m2)]]-TA[[#This Row],[Sunrise Time (POA&gt;20 W/m2)]])*24,"")</f>
        <v>12.566666666666666</v>
      </c>
      <c r="L984" s="2" t="s">
        <v>294</v>
      </c>
      <c r="M984" s="42">
        <f>IFERROR(VLOOKUP(TA[[#This Row],[Affected Equipment]],'Basic Data'!$I$2:$K$40,3,0),"")</f>
        <v>1.7241379310344799E-3</v>
      </c>
      <c r="N984">
        <v>-28</v>
      </c>
      <c r="O984" t="s">
        <v>135</v>
      </c>
      <c r="P984" s="127" t="s">
        <v>318</v>
      </c>
      <c r="Q984" s="126" t="s">
        <v>318</v>
      </c>
      <c r="R984">
        <v>131</v>
      </c>
      <c r="S984" s="2">
        <v>38</v>
      </c>
      <c r="T984" t="s">
        <v>295</v>
      </c>
      <c r="U984" t="s">
        <v>300</v>
      </c>
      <c r="V984" t="s">
        <v>298</v>
      </c>
      <c r="W984" s="41"/>
      <c r="X984" s="41"/>
      <c r="Y984" s="34"/>
      <c r="Z984" s="34"/>
      <c r="AA984" s="35">
        <f>IF(TA[[#This Row],[Work Start time on Fault]]="NA","",(TA[[#This Row],[Fault Acknowledgement Time ]]-TA[[#This Row],[Fault Time]])*24)</f>
        <v>0</v>
      </c>
      <c r="AB984" s="35">
        <f>(TA[[#This Row],[Work Start time on Fault]]-TA[[#This Row],[Fault Time]])*24</f>
        <v>0</v>
      </c>
      <c r="AC984" s="34">
        <f>(TA[[#This Row],[Work Completion time on fault]]-TA[[#This Row],[Fault Time]])*24</f>
        <v>0</v>
      </c>
      <c r="AD984" s="35">
        <f>IFERROR((TA[[#This Row],[Work Completion time on fault]]-TA[[#This Row],[Fault Time]])*24,"")</f>
        <v>0</v>
      </c>
      <c r="AE984" t="s">
        <v>328</v>
      </c>
      <c r="AF984" t="s">
        <v>256</v>
      </c>
      <c r="AG984" s="2"/>
      <c r="AH984" s="44">
        <f>1-COS(RADIANS(TA[[#This Row],[Avg. Target Angle during Fault Time (Radians)]]-TA[[#This Row],[Angle of affected equipment ]]))</f>
        <v>0.11705240714107301</v>
      </c>
      <c r="AI984" s="35">
        <f>IFERROR(TA[[#This Row],[Breakdown Time]]*TA[[#This Row],[Plant Equivalent Weightage]],"")</f>
        <v>0</v>
      </c>
    </row>
    <row r="985" spans="1:35">
      <c r="A985" s="2">
        <f t="shared" si="87"/>
        <v>982</v>
      </c>
      <c r="B985" s="156">
        <f t="shared" si="94"/>
        <v>2026</v>
      </c>
      <c r="C985" s="129">
        <f t="shared" si="95"/>
        <v>2025</v>
      </c>
      <c r="D985" s="2" t="s">
        <v>155</v>
      </c>
      <c r="E985" s="2" t="s">
        <v>155</v>
      </c>
      <c r="F985" s="39">
        <v>45809</v>
      </c>
      <c r="G985" s="2">
        <f>DAY(EOMONTH(TA[[#This Row],[Month Year]],0))</f>
        <v>30</v>
      </c>
      <c r="H985" s="21">
        <v>45813</v>
      </c>
      <c r="I985" s="41">
        <f>IFERROR(VLOOKUP(TA[[#This Row],[Date]],Raw_Data[[Date]:[Sunset Time (POA&lt;20 W/m2)]],3,0),"")</f>
        <v>0.24791666666666667</v>
      </c>
      <c r="J985" s="41">
        <f>IFERROR(VLOOKUP(TA[[#This Row],[Date]],Raw_Data[[Date]:[Sunset Time (POA&lt;20 W/m2)]],4,0),"")</f>
        <v>0.77152777777777781</v>
      </c>
      <c r="K985" s="35">
        <f>IFERROR((TA[[#This Row],[Sunset Time (POA&lt;20 W/m2)]]-TA[[#This Row],[Sunrise Time (POA&gt;20 W/m2)]])*24,"")</f>
        <v>12.566666666666666</v>
      </c>
      <c r="L985" s="2" t="s">
        <v>294</v>
      </c>
      <c r="M985" s="42">
        <f>IFERROR(VLOOKUP(TA[[#This Row],[Affected Equipment]],'Basic Data'!$I$2:$K$40,3,0),"")</f>
        <v>1.7241379310344799E-3</v>
      </c>
      <c r="N985">
        <v>-28</v>
      </c>
      <c r="O985" t="s">
        <v>135</v>
      </c>
      <c r="P985" s="127" t="s">
        <v>318</v>
      </c>
      <c r="Q985" s="126" t="s">
        <v>318</v>
      </c>
      <c r="R985">
        <v>131</v>
      </c>
      <c r="S985" s="2">
        <v>39</v>
      </c>
      <c r="T985" t="s">
        <v>295</v>
      </c>
      <c r="U985" t="s">
        <v>300</v>
      </c>
      <c r="V985" t="s">
        <v>298</v>
      </c>
      <c r="W985" s="41"/>
      <c r="X985" s="41"/>
      <c r="Y985" s="34"/>
      <c r="Z985" s="34"/>
      <c r="AA985" s="35">
        <f>IF(TA[[#This Row],[Work Start time on Fault]]="NA","",(TA[[#This Row],[Fault Acknowledgement Time ]]-TA[[#This Row],[Fault Time]])*24)</f>
        <v>0</v>
      </c>
      <c r="AB985" s="35">
        <f>(TA[[#This Row],[Work Start time on Fault]]-TA[[#This Row],[Fault Time]])*24</f>
        <v>0</v>
      </c>
      <c r="AC985" s="34">
        <f>(TA[[#This Row],[Work Completion time on fault]]-TA[[#This Row],[Fault Time]])*24</f>
        <v>0</v>
      </c>
      <c r="AD985" s="35">
        <f>IFERROR((TA[[#This Row],[Work Completion time on fault]]-TA[[#This Row],[Fault Time]])*24,"")</f>
        <v>0</v>
      </c>
      <c r="AE985" t="s">
        <v>328</v>
      </c>
      <c r="AF985" t="s">
        <v>256</v>
      </c>
      <c r="AG985" s="2"/>
      <c r="AH985" s="44">
        <f>1-COS(RADIANS(TA[[#This Row],[Avg. Target Angle during Fault Time (Radians)]]-TA[[#This Row],[Angle of affected equipment ]]))</f>
        <v>0.11705240714107301</v>
      </c>
      <c r="AI985" s="35">
        <f>IFERROR(TA[[#This Row],[Breakdown Time]]*TA[[#This Row],[Plant Equivalent Weightage]],"")</f>
        <v>0</v>
      </c>
    </row>
    <row r="986" spans="1:35">
      <c r="A986" s="2">
        <f t="shared" si="87"/>
        <v>983</v>
      </c>
      <c r="B986" s="156">
        <f t="shared" si="94"/>
        <v>2026</v>
      </c>
      <c r="C986" s="129">
        <f t="shared" si="95"/>
        <v>2025</v>
      </c>
      <c r="D986" s="2" t="s">
        <v>155</v>
      </c>
      <c r="E986" s="2" t="s">
        <v>155</v>
      </c>
      <c r="F986" s="39">
        <v>45809</v>
      </c>
      <c r="G986" s="2">
        <f>DAY(EOMONTH(TA[[#This Row],[Month Year]],0))</f>
        <v>30</v>
      </c>
      <c r="H986" s="21">
        <v>45813</v>
      </c>
      <c r="I986" s="41">
        <f>IFERROR(VLOOKUP(TA[[#This Row],[Date]],Raw_Data[[Date]:[Sunset Time (POA&lt;20 W/m2)]],3,0),"")</f>
        <v>0.24791666666666667</v>
      </c>
      <c r="J986" s="41">
        <f>IFERROR(VLOOKUP(TA[[#This Row],[Date]],Raw_Data[[Date]:[Sunset Time (POA&lt;20 W/m2)]],4,0),"")</f>
        <v>0.77152777777777781</v>
      </c>
      <c r="K986" s="35">
        <f>IFERROR((TA[[#This Row],[Sunset Time (POA&lt;20 W/m2)]]-TA[[#This Row],[Sunrise Time (POA&gt;20 W/m2)]])*24,"")</f>
        <v>12.566666666666666</v>
      </c>
      <c r="L986" s="2" t="s">
        <v>296</v>
      </c>
      <c r="M986" s="42">
        <f>IFERROR(VLOOKUP(TA[[#This Row],[Affected Equipment]],'Basic Data'!$I$2:$K$40,3,0),"")</f>
        <v>8.6206896551724102E-3</v>
      </c>
      <c r="N986">
        <v>-28</v>
      </c>
      <c r="O986" t="s">
        <v>135</v>
      </c>
      <c r="P986" s="127" t="s">
        <v>318</v>
      </c>
      <c r="Q986" s="2" t="s">
        <v>321</v>
      </c>
      <c r="R986">
        <v>133</v>
      </c>
      <c r="S986" s="2">
        <v>26</v>
      </c>
      <c r="T986" t="s">
        <v>297</v>
      </c>
      <c r="U986" t="s">
        <v>300</v>
      </c>
      <c r="V986" t="s">
        <v>314</v>
      </c>
      <c r="W986" s="41">
        <f>IFERROR(VLOOKUP(TA[[#This Row],[Date]],Raw_Data[[Date]:[Sunset Time (POA&lt;20 W/m2)]],3,0),"")</f>
        <v>0.24791666666666667</v>
      </c>
      <c r="X986" s="41">
        <f>IFERROR(VLOOKUP(TA[[#This Row],[Date]],Raw_Data[[Date]:[Sunset Time (POA&lt;20 W/m2)]],3,0),"")</f>
        <v>0.24791666666666667</v>
      </c>
      <c r="Y986" s="34"/>
      <c r="Z986" s="34">
        <v>0.76041666666666663</v>
      </c>
      <c r="AA986" s="35">
        <f>IF(TA[[#This Row],[Work Start time on Fault]]="NA","",(TA[[#This Row],[Fault Acknowledgement Time ]]-TA[[#This Row],[Fault Time]])*24)</f>
        <v>0</v>
      </c>
      <c r="AB986" s="35">
        <f>(TA[[#This Row],[Work Start time on Fault]]-TA[[#This Row],[Fault Time]])*24</f>
        <v>-5.95</v>
      </c>
      <c r="AC986" s="34">
        <f>(TA[[#This Row],[Work Completion time on fault]]-TA[[#This Row],[Fault Time]])*24</f>
        <v>12.299999999999999</v>
      </c>
      <c r="AD986" s="35">
        <f>IFERROR((TA[[#This Row],[Work Completion time on fault]]-TA[[#This Row],[Fault Time]])*24,"")</f>
        <v>12.299999999999999</v>
      </c>
      <c r="AE986" t="s">
        <v>328</v>
      </c>
      <c r="AF986" t="s">
        <v>256</v>
      </c>
      <c r="AG986" s="2"/>
      <c r="AH986" s="44">
        <f>1-COS(RADIANS(TA[[#This Row],[Avg. Target Angle during Fault Time (Radians)]]-TA[[#This Row],[Angle of affected equipment ]]))</f>
        <v>0.11705240714107301</v>
      </c>
      <c r="AI986" s="35">
        <f>IFERROR(TA[[#This Row],[Breakdown Time]]*TA[[#This Row],[Plant Equivalent Weightage]],"")</f>
        <v>0.10603448275862064</v>
      </c>
    </row>
    <row r="987" spans="1:35">
      <c r="A987" s="2">
        <f t="shared" si="87"/>
        <v>984</v>
      </c>
      <c r="B987" s="156">
        <f t="shared" si="94"/>
        <v>2026</v>
      </c>
      <c r="C987" s="129">
        <f t="shared" si="95"/>
        <v>2025</v>
      </c>
      <c r="D987" s="2" t="s">
        <v>155</v>
      </c>
      <c r="E987" s="2" t="s">
        <v>155</v>
      </c>
      <c r="F987" s="39">
        <v>45809</v>
      </c>
      <c r="G987" s="2">
        <f>DAY(EOMONTH(TA[[#This Row],[Month Year]],0))</f>
        <v>30</v>
      </c>
      <c r="H987" s="21">
        <v>45813</v>
      </c>
      <c r="I987" s="41">
        <f>IFERROR(VLOOKUP(TA[[#This Row],[Date]],Raw_Data[[Date]:[Sunset Time (POA&lt;20 W/m2)]],3,0),"")</f>
        <v>0.24791666666666667</v>
      </c>
      <c r="J987" s="41">
        <f>IFERROR(VLOOKUP(TA[[#This Row],[Date]],Raw_Data[[Date]:[Sunset Time (POA&lt;20 W/m2)]],4,0),"")</f>
        <v>0.77152777777777781</v>
      </c>
      <c r="K987" s="35">
        <f>IFERROR((TA[[#This Row],[Sunset Time (POA&lt;20 W/m2)]]-TA[[#This Row],[Sunrise Time (POA&gt;20 W/m2)]])*24,"")</f>
        <v>12.566666666666666</v>
      </c>
      <c r="L987" s="2" t="s">
        <v>294</v>
      </c>
      <c r="M987" s="42">
        <f>IFERROR(VLOOKUP(TA[[#This Row],[Affected Equipment]],'Basic Data'!$I$2:$K$40,3,0),"")</f>
        <v>1.7241379310344799E-3</v>
      </c>
      <c r="N987">
        <v>-28</v>
      </c>
      <c r="O987" t="s">
        <v>133</v>
      </c>
      <c r="P987" s="127" t="s">
        <v>316</v>
      </c>
      <c r="Q987" s="126" t="s">
        <v>317</v>
      </c>
      <c r="R987">
        <v>7</v>
      </c>
      <c r="S987" s="2">
        <v>32</v>
      </c>
      <c r="T987" t="s">
        <v>295</v>
      </c>
      <c r="U987" t="s">
        <v>300</v>
      </c>
      <c r="V987" t="s">
        <v>298</v>
      </c>
      <c r="W987" s="41"/>
      <c r="X987" s="41"/>
      <c r="Y987" s="34"/>
      <c r="Z987" s="34"/>
      <c r="AA987" s="35">
        <f>IF(TA[[#This Row],[Work Start time on Fault]]="NA","",(TA[[#This Row],[Fault Acknowledgement Time ]]-TA[[#This Row],[Fault Time]])*24)</f>
        <v>0</v>
      </c>
      <c r="AB987" s="35">
        <f>(TA[[#This Row],[Work Start time on Fault]]-TA[[#This Row],[Fault Time]])*24</f>
        <v>0</v>
      </c>
      <c r="AC987" s="34">
        <f>(TA[[#This Row],[Work Completion time on fault]]-TA[[#This Row],[Fault Time]])*24</f>
        <v>0</v>
      </c>
      <c r="AD987" s="35">
        <f>IFERROR((TA[[#This Row],[Work Completion time on fault]]-TA[[#This Row],[Fault Time]])*24,"")</f>
        <v>0</v>
      </c>
      <c r="AE987" t="s">
        <v>328</v>
      </c>
      <c r="AF987" t="s">
        <v>256</v>
      </c>
      <c r="AG987" s="2"/>
      <c r="AH987" s="44">
        <f>1-COS(RADIANS(TA[[#This Row],[Avg. Target Angle during Fault Time (Radians)]]-TA[[#This Row],[Angle of affected equipment ]]))</f>
        <v>0.11705240714107301</v>
      </c>
      <c r="AI987" s="35">
        <f>IFERROR(TA[[#This Row],[Breakdown Time]]*TA[[#This Row],[Plant Equivalent Weightage]],"")</f>
        <v>0</v>
      </c>
    </row>
    <row r="988" spans="1:35">
      <c r="A988" s="2">
        <f t="shared" si="87"/>
        <v>985</v>
      </c>
      <c r="B988" s="156">
        <f t="shared" si="94"/>
        <v>2026</v>
      </c>
      <c r="C988" s="129">
        <f t="shared" si="95"/>
        <v>2025</v>
      </c>
      <c r="D988" s="2" t="s">
        <v>155</v>
      </c>
      <c r="E988" s="2" t="s">
        <v>155</v>
      </c>
      <c r="F988" s="39">
        <v>45809</v>
      </c>
      <c r="G988" s="2">
        <f>DAY(EOMONTH(TA[[#This Row],[Month Year]],0))</f>
        <v>30</v>
      </c>
      <c r="H988" s="21">
        <v>45813</v>
      </c>
      <c r="I988" s="41">
        <f>IFERROR(VLOOKUP(TA[[#This Row],[Date]],Raw_Data[[Date]:[Sunset Time (POA&lt;20 W/m2)]],3,0),"")</f>
        <v>0.24791666666666667</v>
      </c>
      <c r="J988" s="41">
        <f>IFERROR(VLOOKUP(TA[[#This Row],[Date]],Raw_Data[[Date]:[Sunset Time (POA&lt;20 W/m2)]],4,0),"")</f>
        <v>0.77152777777777781</v>
      </c>
      <c r="K988" s="35">
        <f>IFERROR((TA[[#This Row],[Sunset Time (POA&lt;20 W/m2)]]-TA[[#This Row],[Sunrise Time (POA&gt;20 W/m2)]])*24,"")</f>
        <v>12.566666666666666</v>
      </c>
      <c r="L988" s="2" t="s">
        <v>294</v>
      </c>
      <c r="M988" s="42">
        <f>IFERROR(VLOOKUP(TA[[#This Row],[Affected Equipment]],'Basic Data'!$I$2:$K$40,3,0),"")</f>
        <v>1.7241379310344799E-3</v>
      </c>
      <c r="N988">
        <v>-28</v>
      </c>
      <c r="O988" t="s">
        <v>137</v>
      </c>
      <c r="P988" s="127" t="s">
        <v>315</v>
      </c>
      <c r="Q988" s="126" t="s">
        <v>319</v>
      </c>
      <c r="R988">
        <v>166</v>
      </c>
      <c r="S988" s="2">
        <v>91</v>
      </c>
      <c r="T988" t="s">
        <v>295</v>
      </c>
      <c r="U988" t="s">
        <v>300</v>
      </c>
      <c r="V988" t="s">
        <v>298</v>
      </c>
      <c r="W988" s="41"/>
      <c r="X988" s="41"/>
      <c r="Y988" s="34"/>
      <c r="Z988" s="34"/>
      <c r="AA988" s="35">
        <f>IF(TA[[#This Row],[Work Start time on Fault]]="NA","",(TA[[#This Row],[Fault Acknowledgement Time ]]-TA[[#This Row],[Fault Time]])*24)</f>
        <v>0</v>
      </c>
      <c r="AB988" s="35">
        <f>(TA[[#This Row],[Work Start time on Fault]]-TA[[#This Row],[Fault Time]])*24</f>
        <v>0</v>
      </c>
      <c r="AC988" s="34">
        <f>(TA[[#This Row],[Work Completion time on fault]]-TA[[#This Row],[Fault Time]])*24</f>
        <v>0</v>
      </c>
      <c r="AD988" s="35">
        <f>IFERROR((TA[[#This Row],[Work Completion time on fault]]-TA[[#This Row],[Fault Time]])*24,"")</f>
        <v>0</v>
      </c>
      <c r="AE988" t="s">
        <v>328</v>
      </c>
      <c r="AF988" t="s">
        <v>256</v>
      </c>
      <c r="AG988" s="2"/>
      <c r="AH988" s="44">
        <f>1-COS(RADIANS(TA[[#This Row],[Avg. Target Angle during Fault Time (Radians)]]-TA[[#This Row],[Angle of affected equipment ]]))</f>
        <v>0.11705240714107301</v>
      </c>
      <c r="AI988" s="35">
        <f>IFERROR(TA[[#This Row],[Breakdown Time]]*TA[[#This Row],[Plant Equivalent Weightage]],"")</f>
        <v>0</v>
      </c>
    </row>
    <row r="989" spans="1:35">
      <c r="A989" s="2">
        <f t="shared" si="87"/>
        <v>986</v>
      </c>
      <c r="B989" s="156">
        <f t="shared" si="94"/>
        <v>2026</v>
      </c>
      <c r="C989" s="129">
        <f t="shared" si="95"/>
        <v>2025</v>
      </c>
      <c r="D989" s="2" t="s">
        <v>155</v>
      </c>
      <c r="E989" s="2" t="s">
        <v>155</v>
      </c>
      <c r="F989" s="39">
        <v>45809</v>
      </c>
      <c r="G989" s="2">
        <f>DAY(EOMONTH(TA[[#This Row],[Month Year]],0))</f>
        <v>30</v>
      </c>
      <c r="H989" s="21">
        <v>45813</v>
      </c>
      <c r="I989" s="41">
        <f>IFERROR(VLOOKUP(TA[[#This Row],[Date]],Raw_Data[[Date]:[Sunset Time (POA&lt;20 W/m2)]],3,0),"")</f>
        <v>0.24791666666666667</v>
      </c>
      <c r="J989" s="41">
        <f>IFERROR(VLOOKUP(TA[[#This Row],[Date]],Raw_Data[[Date]:[Sunset Time (POA&lt;20 W/m2)]],4,0),"")</f>
        <v>0.77152777777777781</v>
      </c>
      <c r="K989" s="35">
        <f>IFERROR((TA[[#This Row],[Sunset Time (POA&lt;20 W/m2)]]-TA[[#This Row],[Sunrise Time (POA&gt;20 W/m2)]])*24,"")</f>
        <v>12.566666666666666</v>
      </c>
      <c r="L989" s="2" t="s">
        <v>294</v>
      </c>
      <c r="M989" s="42">
        <f>IFERROR(VLOOKUP(TA[[#This Row],[Affected Equipment]],'Basic Data'!$I$2:$K$40,3,0),"")</f>
        <v>1.7241379310344799E-3</v>
      </c>
      <c r="N989">
        <v>-28</v>
      </c>
      <c r="O989" t="s">
        <v>133</v>
      </c>
      <c r="P989" s="127" t="s">
        <v>316</v>
      </c>
      <c r="Q989" s="126" t="s">
        <v>316</v>
      </c>
      <c r="R989">
        <v>117</v>
      </c>
      <c r="S989" s="2">
        <v>20</v>
      </c>
      <c r="T989" t="s">
        <v>295</v>
      </c>
      <c r="U989" t="s">
        <v>300</v>
      </c>
      <c r="V989" t="s">
        <v>298</v>
      </c>
      <c r="W989" s="41"/>
      <c r="X989" s="41"/>
      <c r="Y989" s="34"/>
      <c r="Z989" s="34"/>
      <c r="AA989" s="35">
        <f>IF(TA[[#This Row],[Work Start time on Fault]]="NA","",(TA[[#This Row],[Fault Acknowledgement Time ]]-TA[[#This Row],[Fault Time]])*24)</f>
        <v>0</v>
      </c>
      <c r="AB989" s="35">
        <f>(TA[[#This Row],[Work Start time on Fault]]-TA[[#This Row],[Fault Time]])*24</f>
        <v>0</v>
      </c>
      <c r="AC989" s="34">
        <f>(TA[[#This Row],[Work Completion time on fault]]-TA[[#This Row],[Fault Time]])*24</f>
        <v>0</v>
      </c>
      <c r="AD989" s="35">
        <f>IFERROR((TA[[#This Row],[Work Completion time on fault]]-TA[[#This Row],[Fault Time]])*24,"")</f>
        <v>0</v>
      </c>
      <c r="AE989" t="s">
        <v>328</v>
      </c>
      <c r="AF989" t="s">
        <v>256</v>
      </c>
      <c r="AG989" s="2"/>
      <c r="AH989" s="44">
        <f>1-COS(RADIANS(TA[[#This Row],[Avg. Target Angle during Fault Time (Radians)]]-TA[[#This Row],[Angle of affected equipment ]]))</f>
        <v>0.11705240714107301</v>
      </c>
      <c r="AI989" s="35">
        <f>IFERROR(TA[[#This Row],[Breakdown Time]]*TA[[#This Row],[Plant Equivalent Weightage]],"")</f>
        <v>0</v>
      </c>
    </row>
    <row r="990" spans="1:35">
      <c r="A990" s="2">
        <f t="shared" si="87"/>
        <v>987</v>
      </c>
      <c r="B990" s="156">
        <f t="shared" si="94"/>
        <v>2026</v>
      </c>
      <c r="C990" s="129">
        <f t="shared" si="95"/>
        <v>2025</v>
      </c>
      <c r="D990" s="2" t="s">
        <v>155</v>
      </c>
      <c r="E990" s="2" t="s">
        <v>155</v>
      </c>
      <c r="F990" s="39">
        <v>45809</v>
      </c>
      <c r="G990" s="2">
        <f>DAY(EOMONTH(TA[[#This Row],[Month Year]],0))</f>
        <v>30</v>
      </c>
      <c r="H990" s="21">
        <v>45813</v>
      </c>
      <c r="I990" s="41">
        <f>IFERROR(VLOOKUP(TA[[#This Row],[Date]],Raw_Data[[Date]:[Sunset Time (POA&lt;20 W/m2)]],3,0),"")</f>
        <v>0.24791666666666667</v>
      </c>
      <c r="J990" s="41">
        <f>IFERROR(VLOOKUP(TA[[#This Row],[Date]],Raw_Data[[Date]:[Sunset Time (POA&lt;20 W/m2)]],4,0),"")</f>
        <v>0.77152777777777781</v>
      </c>
      <c r="K990" s="35">
        <f>IFERROR((TA[[#This Row],[Sunset Time (POA&lt;20 W/m2)]]-TA[[#This Row],[Sunrise Time (POA&gt;20 W/m2)]])*24,"")</f>
        <v>12.566666666666666</v>
      </c>
      <c r="L990" s="2" t="s">
        <v>294</v>
      </c>
      <c r="M990" s="42">
        <f>IFERROR(VLOOKUP(TA[[#This Row],[Affected Equipment]],'Basic Data'!$I$2:$K$40,3,0),"")</f>
        <v>1.7241379310344799E-3</v>
      </c>
      <c r="N990">
        <v>-28</v>
      </c>
      <c r="O990" t="s">
        <v>133</v>
      </c>
      <c r="P990" s="127" t="s">
        <v>316</v>
      </c>
      <c r="Q990" s="126" t="s">
        <v>316</v>
      </c>
      <c r="R990">
        <v>118</v>
      </c>
      <c r="S990" s="2">
        <v>22</v>
      </c>
      <c r="T990" t="s">
        <v>295</v>
      </c>
      <c r="U990" t="s">
        <v>300</v>
      </c>
      <c r="V990" t="s">
        <v>298</v>
      </c>
      <c r="W990" s="41"/>
      <c r="X990" s="41"/>
      <c r="Y990" s="34"/>
      <c r="Z990" s="34"/>
      <c r="AA990" s="35">
        <f>IF(TA[[#This Row],[Work Start time on Fault]]="NA","",(TA[[#This Row],[Fault Acknowledgement Time ]]-TA[[#This Row],[Fault Time]])*24)</f>
        <v>0</v>
      </c>
      <c r="AB990" s="35">
        <f>(TA[[#This Row],[Work Start time on Fault]]-TA[[#This Row],[Fault Time]])*24</f>
        <v>0</v>
      </c>
      <c r="AC990" s="34">
        <f>(TA[[#This Row],[Work Completion time on fault]]-TA[[#This Row],[Fault Time]])*24</f>
        <v>0</v>
      </c>
      <c r="AD990" s="35">
        <f>IFERROR((TA[[#This Row],[Work Completion time on fault]]-TA[[#This Row],[Fault Time]])*24,"")</f>
        <v>0</v>
      </c>
      <c r="AE990" t="s">
        <v>328</v>
      </c>
      <c r="AF990" t="s">
        <v>256</v>
      </c>
      <c r="AG990" s="2"/>
      <c r="AH990" s="44">
        <f>1-COS(RADIANS(TA[[#This Row],[Avg. Target Angle during Fault Time (Radians)]]-TA[[#This Row],[Angle of affected equipment ]]))</f>
        <v>0.11705240714107301</v>
      </c>
      <c r="AI990" s="35">
        <f>IFERROR(TA[[#This Row],[Breakdown Time]]*TA[[#This Row],[Plant Equivalent Weightage]],"")</f>
        <v>0</v>
      </c>
    </row>
    <row r="991" spans="1:35">
      <c r="A991" s="2">
        <f t="shared" si="87"/>
        <v>988</v>
      </c>
      <c r="B991" s="156">
        <f t="shared" si="94"/>
        <v>2026</v>
      </c>
      <c r="C991" s="129">
        <f t="shared" si="95"/>
        <v>2025</v>
      </c>
      <c r="D991" s="2" t="s">
        <v>155</v>
      </c>
      <c r="E991" s="2" t="s">
        <v>155</v>
      </c>
      <c r="F991" s="39">
        <v>45809</v>
      </c>
      <c r="G991" s="2">
        <f>DAY(EOMONTH(TA[[#This Row],[Month Year]],0))</f>
        <v>30</v>
      </c>
      <c r="H991" s="21">
        <v>45813</v>
      </c>
      <c r="I991" s="41">
        <f>IFERROR(VLOOKUP(TA[[#This Row],[Date]],Raw_Data[[Date]:[Sunset Time (POA&lt;20 W/m2)]],3,0),"")</f>
        <v>0.24791666666666667</v>
      </c>
      <c r="J991" s="41">
        <f>IFERROR(VLOOKUP(TA[[#This Row],[Date]],Raw_Data[[Date]:[Sunset Time (POA&lt;20 W/m2)]],4,0),"")</f>
        <v>0.77152777777777781</v>
      </c>
      <c r="K991" s="35">
        <f>IFERROR((TA[[#This Row],[Sunset Time (POA&lt;20 W/m2)]]-TA[[#This Row],[Sunrise Time (POA&gt;20 W/m2)]])*24,"")</f>
        <v>12.566666666666666</v>
      </c>
      <c r="L991" s="2" t="s">
        <v>296</v>
      </c>
      <c r="M991" s="42">
        <f>IFERROR(VLOOKUP(TA[[#This Row],[Affected Equipment]],'Basic Data'!$I$2:$K$40,3,0),"")</f>
        <v>8.6206896551724102E-3</v>
      </c>
      <c r="N991">
        <v>-28</v>
      </c>
      <c r="O991" t="s">
        <v>135</v>
      </c>
      <c r="P991" s="22" t="s">
        <v>323</v>
      </c>
      <c r="Q991" s="2" t="s">
        <v>329</v>
      </c>
      <c r="R991">
        <v>45</v>
      </c>
      <c r="S991" s="2">
        <v>8</v>
      </c>
      <c r="T991" t="s">
        <v>297</v>
      </c>
      <c r="U991" t="s">
        <v>300</v>
      </c>
      <c r="V991" t="s">
        <v>301</v>
      </c>
      <c r="W991" s="41"/>
      <c r="X991" s="41"/>
      <c r="Y991" s="34"/>
      <c r="Z991" s="34"/>
      <c r="AA991" s="35">
        <f>IF(TA[[#This Row],[Work Start time on Fault]]="NA","",(TA[[#This Row],[Fault Acknowledgement Time ]]-TA[[#This Row],[Fault Time]])*24)</f>
        <v>0</v>
      </c>
      <c r="AB991" s="35">
        <f>(TA[[#This Row],[Work Start time on Fault]]-TA[[#This Row],[Fault Time]])*24</f>
        <v>0</v>
      </c>
      <c r="AC991" s="34">
        <f>(TA[[#This Row],[Work Completion time on fault]]-TA[[#This Row],[Fault Time]])*24</f>
        <v>0</v>
      </c>
      <c r="AD991" s="35">
        <f>IFERROR((TA[[#This Row],[Work Completion time on fault]]-TA[[#This Row],[Fault Time]])*24,"")</f>
        <v>0</v>
      </c>
      <c r="AE991" t="s">
        <v>328</v>
      </c>
      <c r="AF991" t="s">
        <v>256</v>
      </c>
      <c r="AG991" s="2"/>
      <c r="AH991" s="44">
        <f>1-COS(RADIANS(TA[[#This Row],[Avg. Target Angle during Fault Time (Radians)]]-TA[[#This Row],[Angle of affected equipment ]]))</f>
        <v>0.11705240714107301</v>
      </c>
      <c r="AI991" s="35">
        <f>IFERROR(TA[[#This Row],[Breakdown Time]]*TA[[#This Row],[Plant Equivalent Weightage]],"")</f>
        <v>0</v>
      </c>
    </row>
    <row r="992" spans="1:35">
      <c r="A992" s="2">
        <f t="shared" si="87"/>
        <v>989</v>
      </c>
      <c r="B992" s="156">
        <f t="shared" si="94"/>
        <v>2026</v>
      </c>
      <c r="C992" s="129">
        <f t="shared" si="95"/>
        <v>2025</v>
      </c>
      <c r="D992" s="2" t="s">
        <v>155</v>
      </c>
      <c r="E992" s="2" t="s">
        <v>155</v>
      </c>
      <c r="F992" s="39">
        <v>45809</v>
      </c>
      <c r="G992" s="2">
        <f>DAY(EOMONTH(TA[[#This Row],[Month Year]],0))</f>
        <v>30</v>
      </c>
      <c r="H992" s="21">
        <v>45813</v>
      </c>
      <c r="I992" s="41">
        <f>IFERROR(VLOOKUP(TA[[#This Row],[Date]],Raw_Data[[Date]:[Sunset Time (POA&lt;20 W/m2)]],3,0),"")</f>
        <v>0.24791666666666667</v>
      </c>
      <c r="J992" s="41">
        <f>IFERROR(VLOOKUP(TA[[#This Row],[Date]],Raw_Data[[Date]:[Sunset Time (POA&lt;20 W/m2)]],4,0),"")</f>
        <v>0.77152777777777781</v>
      </c>
      <c r="K992" s="35">
        <f>IFERROR((TA[[#This Row],[Sunset Time (POA&lt;20 W/m2)]]-TA[[#This Row],[Sunrise Time (POA&gt;20 W/m2)]])*24,"")</f>
        <v>12.566666666666666</v>
      </c>
      <c r="L992" s="2" t="s">
        <v>296</v>
      </c>
      <c r="M992" s="42">
        <f>IFERROR(VLOOKUP(TA[[#This Row],[Affected Equipment]],'Basic Data'!$I$2:$K$40,3,0),"")</f>
        <v>8.6206896551724102E-3</v>
      </c>
      <c r="N992">
        <v>-28</v>
      </c>
      <c r="O992" t="s">
        <v>135</v>
      </c>
      <c r="P992" s="22" t="s">
        <v>323</v>
      </c>
      <c r="Q992" s="2" t="s">
        <v>329</v>
      </c>
      <c r="R992">
        <v>47</v>
      </c>
      <c r="S992" s="2">
        <v>18</v>
      </c>
      <c r="T992" t="s">
        <v>297</v>
      </c>
      <c r="U992" t="s">
        <v>300</v>
      </c>
      <c r="V992" t="s">
        <v>301</v>
      </c>
      <c r="W992" s="41"/>
      <c r="X992" s="41"/>
      <c r="Y992" s="34"/>
      <c r="Z992" s="34"/>
      <c r="AA992" s="35">
        <f>IF(TA[[#This Row],[Work Start time on Fault]]="NA","",(TA[[#This Row],[Fault Acknowledgement Time ]]-TA[[#This Row],[Fault Time]])*24)</f>
        <v>0</v>
      </c>
      <c r="AB992" s="35">
        <f>(TA[[#This Row],[Work Start time on Fault]]-TA[[#This Row],[Fault Time]])*24</f>
        <v>0</v>
      </c>
      <c r="AC992" s="34">
        <f>(TA[[#This Row],[Work Completion time on fault]]-TA[[#This Row],[Fault Time]])*24</f>
        <v>0</v>
      </c>
      <c r="AD992" s="35">
        <f>IFERROR((TA[[#This Row],[Work Completion time on fault]]-TA[[#This Row],[Fault Time]])*24,"")</f>
        <v>0</v>
      </c>
      <c r="AE992" t="s">
        <v>328</v>
      </c>
      <c r="AF992" t="s">
        <v>256</v>
      </c>
      <c r="AG992" s="2"/>
      <c r="AH992" s="44">
        <f>1-COS(RADIANS(TA[[#This Row],[Avg. Target Angle during Fault Time (Radians)]]-TA[[#This Row],[Angle of affected equipment ]]))</f>
        <v>0.11705240714107301</v>
      </c>
      <c r="AI992" s="35">
        <f>IFERROR(TA[[#This Row],[Breakdown Time]]*TA[[#This Row],[Plant Equivalent Weightage]],"")</f>
        <v>0</v>
      </c>
    </row>
    <row r="993" spans="1:35">
      <c r="A993" s="2">
        <f t="shared" si="87"/>
        <v>990</v>
      </c>
      <c r="B993" s="156">
        <f t="shared" si="94"/>
        <v>2026</v>
      </c>
      <c r="C993" s="129">
        <f t="shared" si="95"/>
        <v>2025</v>
      </c>
      <c r="D993" s="2" t="s">
        <v>155</v>
      </c>
      <c r="E993" s="2" t="s">
        <v>155</v>
      </c>
      <c r="F993" s="39">
        <v>45809</v>
      </c>
      <c r="G993" s="2">
        <f>DAY(EOMONTH(TA[[#This Row],[Month Year]],0))</f>
        <v>30</v>
      </c>
      <c r="H993" s="21">
        <v>45813</v>
      </c>
      <c r="I993" s="41">
        <f>IFERROR(VLOOKUP(TA[[#This Row],[Date]],Raw_Data[[Date]:[Sunset Time (POA&lt;20 W/m2)]],3,0),"")</f>
        <v>0.24791666666666667</v>
      </c>
      <c r="J993" s="41">
        <f>IFERROR(VLOOKUP(TA[[#This Row],[Date]],Raw_Data[[Date]:[Sunset Time (POA&lt;20 W/m2)]],4,0),"")</f>
        <v>0.77152777777777781</v>
      </c>
      <c r="K993" s="35">
        <f>IFERROR((TA[[#This Row],[Sunset Time (POA&lt;20 W/m2)]]-TA[[#This Row],[Sunrise Time (POA&gt;20 W/m2)]])*24,"")</f>
        <v>12.566666666666666</v>
      </c>
      <c r="L993" s="2" t="s">
        <v>296</v>
      </c>
      <c r="M993" s="42">
        <f>IFERROR(VLOOKUP(TA[[#This Row],[Affected Equipment]],'Basic Data'!$I$2:$K$40,3,0),"")</f>
        <v>8.6206896551724102E-3</v>
      </c>
      <c r="N993">
        <v>-28</v>
      </c>
      <c r="O993" t="s">
        <v>134</v>
      </c>
      <c r="P993" s="22" t="s">
        <v>330</v>
      </c>
      <c r="Q993" s="2" t="s">
        <v>323</v>
      </c>
      <c r="R993">
        <v>30</v>
      </c>
      <c r="S993" s="2">
        <v>57</v>
      </c>
      <c r="T993" t="s">
        <v>297</v>
      </c>
      <c r="U993" t="s">
        <v>300</v>
      </c>
      <c r="V993" t="s">
        <v>301</v>
      </c>
      <c r="W993" s="41"/>
      <c r="X993" s="41"/>
      <c r="Y993" s="34"/>
      <c r="Z993" s="34"/>
      <c r="AA993" s="35">
        <f>IF(TA[[#This Row],[Work Start time on Fault]]="NA","",(TA[[#This Row],[Fault Acknowledgement Time ]]-TA[[#This Row],[Fault Time]])*24)</f>
        <v>0</v>
      </c>
      <c r="AB993" s="35">
        <f>(TA[[#This Row],[Work Start time on Fault]]-TA[[#This Row],[Fault Time]])*24</f>
        <v>0</v>
      </c>
      <c r="AC993" s="34">
        <f>(TA[[#This Row],[Work Completion time on fault]]-TA[[#This Row],[Fault Time]])*24</f>
        <v>0</v>
      </c>
      <c r="AD993" s="35">
        <f>IFERROR((TA[[#This Row],[Work Completion time on fault]]-TA[[#This Row],[Fault Time]])*24,"")</f>
        <v>0</v>
      </c>
      <c r="AE993" t="s">
        <v>328</v>
      </c>
      <c r="AF993" t="s">
        <v>256</v>
      </c>
      <c r="AG993" s="2"/>
      <c r="AH993" s="44">
        <f>1-COS(RADIANS(TA[[#This Row],[Avg. Target Angle during Fault Time (Radians)]]-TA[[#This Row],[Angle of affected equipment ]]))</f>
        <v>0.11705240714107301</v>
      </c>
      <c r="AI993" s="35">
        <f>IFERROR(TA[[#This Row],[Breakdown Time]]*TA[[#This Row],[Plant Equivalent Weightage]],"")</f>
        <v>0</v>
      </c>
    </row>
    <row r="994" spans="1:35">
      <c r="A994" s="2">
        <f t="shared" si="87"/>
        <v>991</v>
      </c>
      <c r="B994" s="156">
        <f t="shared" si="94"/>
        <v>2026</v>
      </c>
      <c r="C994" s="129">
        <f t="shared" si="95"/>
        <v>2025</v>
      </c>
      <c r="D994" s="2" t="s">
        <v>155</v>
      </c>
      <c r="E994" s="2" t="s">
        <v>155</v>
      </c>
      <c r="F994" s="39">
        <v>45809</v>
      </c>
      <c r="G994" s="2">
        <f>DAY(EOMONTH(TA[[#This Row],[Month Year]],0))</f>
        <v>30</v>
      </c>
      <c r="H994" s="21">
        <v>45813</v>
      </c>
      <c r="I994" s="41">
        <f>IFERROR(VLOOKUP(TA[[#This Row],[Date]],Raw_Data[[Date]:[Sunset Time (POA&lt;20 W/m2)]],3,0),"")</f>
        <v>0.24791666666666667</v>
      </c>
      <c r="J994" s="41">
        <f>IFERROR(VLOOKUP(TA[[#This Row],[Date]],Raw_Data[[Date]:[Sunset Time (POA&lt;20 W/m2)]],4,0),"")</f>
        <v>0.77152777777777781</v>
      </c>
      <c r="K994" s="35">
        <f>IFERROR((TA[[#This Row],[Sunset Time (POA&lt;20 W/m2)]]-TA[[#This Row],[Sunrise Time (POA&gt;20 W/m2)]])*24,"")</f>
        <v>12.566666666666666</v>
      </c>
      <c r="L994" s="2" t="s">
        <v>296</v>
      </c>
      <c r="M994" s="42">
        <f>IFERROR(VLOOKUP(TA[[#This Row],[Affected Equipment]],'Basic Data'!$I$2:$K$40,3,0),"")</f>
        <v>8.6206896551724102E-3</v>
      </c>
      <c r="N994">
        <v>-28</v>
      </c>
      <c r="O994" t="s">
        <v>134</v>
      </c>
      <c r="P994" s="22" t="s">
        <v>330</v>
      </c>
      <c r="Q994" s="2" t="s">
        <v>323</v>
      </c>
      <c r="R994">
        <v>31</v>
      </c>
      <c r="S994" s="2">
        <v>61</v>
      </c>
      <c r="T994" t="s">
        <v>297</v>
      </c>
      <c r="U994" t="s">
        <v>300</v>
      </c>
      <c r="V994" t="s">
        <v>301</v>
      </c>
      <c r="W994" s="41"/>
      <c r="X994" s="41"/>
      <c r="Y994" s="34"/>
      <c r="Z994" s="34"/>
      <c r="AA994" s="35">
        <f>IF(TA[[#This Row],[Work Start time on Fault]]="NA","",(TA[[#This Row],[Fault Acknowledgement Time ]]-TA[[#This Row],[Fault Time]])*24)</f>
        <v>0</v>
      </c>
      <c r="AB994" s="35">
        <f>(TA[[#This Row],[Work Start time on Fault]]-TA[[#This Row],[Fault Time]])*24</f>
        <v>0</v>
      </c>
      <c r="AC994" s="34">
        <f>(TA[[#This Row],[Work Completion time on fault]]-TA[[#This Row],[Fault Time]])*24</f>
        <v>0</v>
      </c>
      <c r="AD994" s="35">
        <f>IFERROR((TA[[#This Row],[Work Completion time on fault]]-TA[[#This Row],[Fault Time]])*24,"")</f>
        <v>0</v>
      </c>
      <c r="AE994" t="s">
        <v>328</v>
      </c>
      <c r="AF994" t="s">
        <v>256</v>
      </c>
      <c r="AG994" s="2"/>
      <c r="AH994" s="44">
        <f>1-COS(RADIANS(TA[[#This Row],[Avg. Target Angle during Fault Time (Radians)]]-TA[[#This Row],[Angle of affected equipment ]]))</f>
        <v>0.11705240714107301</v>
      </c>
      <c r="AI994" s="35">
        <f>IFERROR(TA[[#This Row],[Breakdown Time]]*TA[[#This Row],[Plant Equivalent Weightage]],"")</f>
        <v>0</v>
      </c>
    </row>
    <row r="995" spans="1:35">
      <c r="A995" s="2">
        <f t="shared" si="87"/>
        <v>992</v>
      </c>
      <c r="B995" s="156">
        <f t="shared" si="94"/>
        <v>2026</v>
      </c>
      <c r="C995" s="129">
        <f t="shared" si="95"/>
        <v>2025</v>
      </c>
      <c r="D995" s="2" t="s">
        <v>155</v>
      </c>
      <c r="E995" s="2" t="s">
        <v>155</v>
      </c>
      <c r="F995" s="39">
        <v>45809</v>
      </c>
      <c r="G995" s="2">
        <f>DAY(EOMONTH(TA[[#This Row],[Month Year]],0))</f>
        <v>30</v>
      </c>
      <c r="H995" s="21">
        <v>45813</v>
      </c>
      <c r="I995" s="41">
        <f>IFERROR(VLOOKUP(TA[[#This Row],[Date]],Raw_Data[[Date]:[Sunset Time (POA&lt;20 W/m2)]],3,0),"")</f>
        <v>0.24791666666666667</v>
      </c>
      <c r="J995" s="41">
        <f>IFERROR(VLOOKUP(TA[[#This Row],[Date]],Raw_Data[[Date]:[Sunset Time (POA&lt;20 W/m2)]],4,0),"")</f>
        <v>0.77152777777777781</v>
      </c>
      <c r="K995" s="35">
        <f>IFERROR((TA[[#This Row],[Sunset Time (POA&lt;20 W/m2)]]-TA[[#This Row],[Sunrise Time (POA&gt;20 W/m2)]])*24,"")</f>
        <v>12.566666666666666</v>
      </c>
      <c r="L995" s="2" t="s">
        <v>312</v>
      </c>
      <c r="M995" s="42">
        <f>IFERROR(VLOOKUP(TA[[#This Row],[Affected Equipment]],'Basic Data'!$I$2:$K$40,3,0),"")</f>
        <v>5.74712643678161E-3</v>
      </c>
      <c r="N995">
        <v>-28</v>
      </c>
      <c r="O995" t="s">
        <v>133</v>
      </c>
      <c r="P995" s="22" t="s">
        <v>330</v>
      </c>
      <c r="Q995" s="2" t="s">
        <v>323</v>
      </c>
      <c r="R995">
        <v>26</v>
      </c>
      <c r="S995" s="2">
        <v>37</v>
      </c>
      <c r="T995" t="s">
        <v>297</v>
      </c>
      <c r="U995" t="s">
        <v>300</v>
      </c>
      <c r="V995" t="s">
        <v>301</v>
      </c>
      <c r="W995" s="41"/>
      <c r="X995" s="41"/>
      <c r="Y995" s="34"/>
      <c r="Z995" s="34"/>
      <c r="AA995" s="35">
        <f>IF(TA[[#This Row],[Work Start time on Fault]]="NA","",(TA[[#This Row],[Fault Acknowledgement Time ]]-TA[[#This Row],[Fault Time]])*24)</f>
        <v>0</v>
      </c>
      <c r="AB995" s="35">
        <f>(TA[[#This Row],[Work Start time on Fault]]-TA[[#This Row],[Fault Time]])*24</f>
        <v>0</v>
      </c>
      <c r="AC995" s="34">
        <f>(TA[[#This Row],[Work Completion time on fault]]-TA[[#This Row],[Fault Time]])*24</f>
        <v>0</v>
      </c>
      <c r="AD995" s="35">
        <f>IFERROR((TA[[#This Row],[Work Completion time on fault]]-TA[[#This Row],[Fault Time]])*24,"")</f>
        <v>0</v>
      </c>
      <c r="AE995" t="s">
        <v>328</v>
      </c>
      <c r="AF995" t="s">
        <v>256</v>
      </c>
      <c r="AG995" s="2"/>
      <c r="AH995" s="44">
        <f>1-COS(RADIANS(TA[[#This Row],[Avg. Target Angle during Fault Time (Radians)]]-TA[[#This Row],[Angle of affected equipment ]]))</f>
        <v>0.11705240714107301</v>
      </c>
      <c r="AI995" s="35">
        <f>IFERROR(TA[[#This Row],[Breakdown Time]]*TA[[#This Row],[Plant Equivalent Weightage]],"")</f>
        <v>0</v>
      </c>
    </row>
    <row r="996" spans="1:35">
      <c r="A996" s="2">
        <f t="shared" si="87"/>
        <v>993</v>
      </c>
      <c r="B996" s="156">
        <f t="shared" si="94"/>
        <v>2026</v>
      </c>
      <c r="C996" s="129">
        <f t="shared" si="95"/>
        <v>2025</v>
      </c>
      <c r="D996" s="2" t="s">
        <v>155</v>
      </c>
      <c r="E996" s="2" t="s">
        <v>155</v>
      </c>
      <c r="F996" s="39">
        <v>45809</v>
      </c>
      <c r="G996" s="2">
        <f>DAY(EOMONTH(TA[[#This Row],[Month Year]],0))</f>
        <v>30</v>
      </c>
      <c r="H996" s="21">
        <v>45813</v>
      </c>
      <c r="I996" s="41">
        <f>IFERROR(VLOOKUP(TA[[#This Row],[Date]],Raw_Data[[Date]:[Sunset Time (POA&lt;20 W/m2)]],3,0),"")</f>
        <v>0.24791666666666667</v>
      </c>
      <c r="J996" s="41">
        <f>IFERROR(VLOOKUP(TA[[#This Row],[Date]],Raw_Data[[Date]:[Sunset Time (POA&lt;20 W/m2)]],4,0),"")</f>
        <v>0.77152777777777781</v>
      </c>
      <c r="K996" s="35">
        <f>IFERROR((TA[[#This Row],[Sunset Time (POA&lt;20 W/m2)]]-TA[[#This Row],[Sunrise Time (POA&gt;20 W/m2)]])*24,"")</f>
        <v>12.566666666666666</v>
      </c>
      <c r="L996" s="2" t="s">
        <v>312</v>
      </c>
      <c r="M996" s="42">
        <f>IFERROR(VLOOKUP(TA[[#This Row],[Affected Equipment]],'Basic Data'!$I$2:$K$40,3,0),"")</f>
        <v>5.74712643678161E-3</v>
      </c>
      <c r="N996">
        <v>-28</v>
      </c>
      <c r="O996" t="s">
        <v>133</v>
      </c>
      <c r="P996" s="22" t="s">
        <v>330</v>
      </c>
      <c r="Q996" s="2" t="s">
        <v>323</v>
      </c>
      <c r="R996">
        <v>27</v>
      </c>
      <c r="S996" s="2">
        <v>42</v>
      </c>
      <c r="T996" t="s">
        <v>297</v>
      </c>
      <c r="U996" t="s">
        <v>300</v>
      </c>
      <c r="V996" t="s">
        <v>301</v>
      </c>
      <c r="W996" s="41">
        <f>IFERROR(VLOOKUP(TA[[#This Row],[Date]],Raw_Data[[Date]:[Sunset Time (POA&lt;20 W/m2)]],3,0),"")</f>
        <v>0.24791666666666667</v>
      </c>
      <c r="X996" s="41">
        <f>IFERROR(VLOOKUP(TA[[#This Row],[Date]],Raw_Data[[Date]:[Sunset Time (POA&lt;20 W/m2)]],3,0),"")</f>
        <v>0.24791666666666667</v>
      </c>
      <c r="Y996" s="34"/>
      <c r="Z996" s="34">
        <v>0.76041666666666663</v>
      </c>
      <c r="AA996" s="35">
        <f>IF(TA[[#This Row],[Work Start time on Fault]]="NA","",(TA[[#This Row],[Fault Acknowledgement Time ]]-TA[[#This Row],[Fault Time]])*24)</f>
        <v>0</v>
      </c>
      <c r="AB996" s="35">
        <f>(TA[[#This Row],[Work Start time on Fault]]-TA[[#This Row],[Fault Time]])*24</f>
        <v>-5.95</v>
      </c>
      <c r="AC996" s="34">
        <f>(TA[[#This Row],[Work Completion time on fault]]-TA[[#This Row],[Fault Time]])*24</f>
        <v>12.299999999999999</v>
      </c>
      <c r="AD996" s="35">
        <f>IFERROR((TA[[#This Row],[Work Completion time on fault]]-TA[[#This Row],[Fault Time]])*24,"")</f>
        <v>12.299999999999999</v>
      </c>
      <c r="AE996" t="s">
        <v>309</v>
      </c>
      <c r="AF996" t="s">
        <v>256</v>
      </c>
      <c r="AG996" s="2"/>
      <c r="AH996" s="44">
        <f>1-COS(RADIANS(TA[[#This Row],[Avg. Target Angle during Fault Time (Radians)]]-TA[[#This Row],[Angle of affected equipment ]]))</f>
        <v>0.11705240714107301</v>
      </c>
      <c r="AI996" s="35">
        <f>IFERROR(TA[[#This Row],[Breakdown Time]]*TA[[#This Row],[Plant Equivalent Weightage]],"")</f>
        <v>7.0689655172413796E-2</v>
      </c>
    </row>
    <row r="997" spans="1:35">
      <c r="A997" s="2">
        <f t="shared" si="87"/>
        <v>994</v>
      </c>
      <c r="B997" s="156">
        <f t="shared" ref="B997:B1009" si="96">YEAR(H997)+IF(MONTH(H997)&gt;=4,1,0)</f>
        <v>2026</v>
      </c>
      <c r="C997" s="129">
        <f t="shared" ref="C997:C1009" si="97">YEAR(H997)</f>
        <v>2025</v>
      </c>
      <c r="D997" s="2" t="s">
        <v>155</v>
      </c>
      <c r="E997" s="2" t="s">
        <v>155</v>
      </c>
      <c r="F997" s="39">
        <v>45809</v>
      </c>
      <c r="G997" s="2">
        <f>DAY(EOMONTH(TA[[#This Row],[Month Year]],0))</f>
        <v>30</v>
      </c>
      <c r="H997" s="21">
        <v>45814</v>
      </c>
      <c r="I997" s="41">
        <f>IFERROR(VLOOKUP(TA[[#This Row],[Date]],Raw_Data[[Date]:[Sunset Time (POA&lt;20 W/m2)]],3,0),"")</f>
        <v>0.25069444444444444</v>
      </c>
      <c r="J997" s="41">
        <f>IFERROR(VLOOKUP(TA[[#This Row],[Date]],Raw_Data[[Date]:[Sunset Time (POA&lt;20 W/m2)]],4,0),"")</f>
        <v>0.77361111111111114</v>
      </c>
      <c r="K997" s="35">
        <f>IFERROR((TA[[#This Row],[Sunset Time (POA&lt;20 W/m2)]]-TA[[#This Row],[Sunrise Time (POA&gt;20 W/m2)]])*24,"")</f>
        <v>12.55</v>
      </c>
      <c r="L997" s="2" t="s">
        <v>294</v>
      </c>
      <c r="M997" s="42">
        <f>IFERROR(VLOOKUP(TA[[#This Row],[Affected Equipment]],'Basic Data'!$I$2:$K$40,3,0),"")</f>
        <v>1.7241379310344799E-3</v>
      </c>
      <c r="N997">
        <v>-28</v>
      </c>
      <c r="O997" t="s">
        <v>135</v>
      </c>
      <c r="P997" s="127" t="s">
        <v>318</v>
      </c>
      <c r="Q997" s="126" t="s">
        <v>318</v>
      </c>
      <c r="R997">
        <v>131</v>
      </c>
      <c r="S997" s="2">
        <v>38</v>
      </c>
      <c r="T997" t="s">
        <v>295</v>
      </c>
      <c r="U997" t="s">
        <v>300</v>
      </c>
      <c r="V997" t="s">
        <v>298</v>
      </c>
      <c r="W997" s="41"/>
      <c r="X997" s="41"/>
      <c r="Y997" s="34"/>
      <c r="Z997" s="34"/>
      <c r="AA997" s="35">
        <f>IF(TA[[#This Row],[Work Start time on Fault]]="NA","",(TA[[#This Row],[Fault Acknowledgement Time ]]-TA[[#This Row],[Fault Time]])*24)</f>
        <v>0</v>
      </c>
      <c r="AB997" s="35">
        <f>(TA[[#This Row],[Work Start time on Fault]]-TA[[#This Row],[Fault Time]])*24</f>
        <v>0</v>
      </c>
      <c r="AC997" s="34">
        <f>(TA[[#This Row],[Work Completion time on fault]]-TA[[#This Row],[Fault Time]])*24</f>
        <v>0</v>
      </c>
      <c r="AD997" s="35">
        <f>IFERROR((TA[[#This Row],[Work Completion time on fault]]-TA[[#This Row],[Fault Time]])*24,"")</f>
        <v>0</v>
      </c>
      <c r="AE997" t="s">
        <v>328</v>
      </c>
      <c r="AF997" t="s">
        <v>256</v>
      </c>
      <c r="AG997" s="2"/>
      <c r="AH997" s="44">
        <f>1-COS(RADIANS(TA[[#This Row],[Avg. Target Angle during Fault Time (Radians)]]-TA[[#This Row],[Angle of affected equipment ]]))</f>
        <v>0.11705240714107301</v>
      </c>
      <c r="AI997" s="35">
        <f>IFERROR(TA[[#This Row],[Breakdown Time]]*TA[[#This Row],[Plant Equivalent Weightage]],"")</f>
        <v>0</v>
      </c>
    </row>
    <row r="998" spans="1:35">
      <c r="A998" s="2">
        <f t="shared" si="87"/>
        <v>995</v>
      </c>
      <c r="B998" s="156">
        <f t="shared" si="96"/>
        <v>2026</v>
      </c>
      <c r="C998" s="129">
        <f t="shared" si="97"/>
        <v>2025</v>
      </c>
      <c r="D998" s="2" t="s">
        <v>155</v>
      </c>
      <c r="E998" s="2" t="s">
        <v>155</v>
      </c>
      <c r="F998" s="39">
        <v>45809</v>
      </c>
      <c r="G998" s="2">
        <f>DAY(EOMONTH(TA[[#This Row],[Month Year]],0))</f>
        <v>30</v>
      </c>
      <c r="H998" s="21">
        <v>45814</v>
      </c>
      <c r="I998" s="41">
        <f>IFERROR(VLOOKUP(TA[[#This Row],[Date]],Raw_Data[[Date]:[Sunset Time (POA&lt;20 W/m2)]],3,0),"")</f>
        <v>0.25069444444444444</v>
      </c>
      <c r="J998" s="41">
        <f>IFERROR(VLOOKUP(TA[[#This Row],[Date]],Raw_Data[[Date]:[Sunset Time (POA&lt;20 W/m2)]],4,0),"")</f>
        <v>0.77361111111111114</v>
      </c>
      <c r="K998" s="35">
        <f>IFERROR((TA[[#This Row],[Sunset Time (POA&lt;20 W/m2)]]-TA[[#This Row],[Sunrise Time (POA&gt;20 W/m2)]])*24,"")</f>
        <v>12.55</v>
      </c>
      <c r="L998" s="2" t="s">
        <v>294</v>
      </c>
      <c r="M998" s="42">
        <f>IFERROR(VLOOKUP(TA[[#This Row],[Affected Equipment]],'Basic Data'!$I$2:$K$40,3,0),"")</f>
        <v>1.7241379310344799E-3</v>
      </c>
      <c r="N998">
        <v>-28</v>
      </c>
      <c r="O998" t="s">
        <v>135</v>
      </c>
      <c r="P998" s="127" t="s">
        <v>318</v>
      </c>
      <c r="Q998" s="126" t="s">
        <v>318</v>
      </c>
      <c r="R998">
        <v>131</v>
      </c>
      <c r="S998" s="2">
        <v>39</v>
      </c>
      <c r="T998" t="s">
        <v>295</v>
      </c>
      <c r="U998" t="s">
        <v>300</v>
      </c>
      <c r="V998" t="s">
        <v>298</v>
      </c>
      <c r="W998" s="41"/>
      <c r="X998" s="41"/>
      <c r="Y998" s="34"/>
      <c r="Z998" s="34"/>
      <c r="AA998" s="35">
        <f>IF(TA[[#This Row],[Work Start time on Fault]]="NA","",(TA[[#This Row],[Fault Acknowledgement Time ]]-TA[[#This Row],[Fault Time]])*24)</f>
        <v>0</v>
      </c>
      <c r="AB998" s="35">
        <f>(TA[[#This Row],[Work Start time on Fault]]-TA[[#This Row],[Fault Time]])*24</f>
        <v>0</v>
      </c>
      <c r="AC998" s="34">
        <f>(TA[[#This Row],[Work Completion time on fault]]-TA[[#This Row],[Fault Time]])*24</f>
        <v>0</v>
      </c>
      <c r="AD998" s="35">
        <f>IFERROR((TA[[#This Row],[Work Completion time on fault]]-TA[[#This Row],[Fault Time]])*24,"")</f>
        <v>0</v>
      </c>
      <c r="AE998" t="s">
        <v>328</v>
      </c>
      <c r="AF998" t="s">
        <v>256</v>
      </c>
      <c r="AG998" s="2"/>
      <c r="AH998" s="44">
        <f>1-COS(RADIANS(TA[[#This Row],[Avg. Target Angle during Fault Time (Radians)]]-TA[[#This Row],[Angle of affected equipment ]]))</f>
        <v>0.11705240714107301</v>
      </c>
      <c r="AI998" s="35">
        <f>IFERROR(TA[[#This Row],[Breakdown Time]]*TA[[#This Row],[Plant Equivalent Weightage]],"")</f>
        <v>0</v>
      </c>
    </row>
    <row r="999" spans="1:35">
      <c r="A999" s="2">
        <f t="shared" ref="A999:A1062" si="98">A998+1</f>
        <v>996</v>
      </c>
      <c r="B999" s="156">
        <f t="shared" si="96"/>
        <v>2026</v>
      </c>
      <c r="C999" s="129">
        <f t="shared" si="97"/>
        <v>2025</v>
      </c>
      <c r="D999" s="2" t="s">
        <v>155</v>
      </c>
      <c r="E999" s="2" t="s">
        <v>155</v>
      </c>
      <c r="F999" s="39">
        <v>45809</v>
      </c>
      <c r="G999" s="2">
        <f>DAY(EOMONTH(TA[[#This Row],[Month Year]],0))</f>
        <v>30</v>
      </c>
      <c r="H999" s="21">
        <v>45814</v>
      </c>
      <c r="I999" s="41">
        <f>IFERROR(VLOOKUP(TA[[#This Row],[Date]],Raw_Data[[Date]:[Sunset Time (POA&lt;20 W/m2)]],3,0),"")</f>
        <v>0.25069444444444444</v>
      </c>
      <c r="J999" s="41">
        <f>IFERROR(VLOOKUP(TA[[#This Row],[Date]],Raw_Data[[Date]:[Sunset Time (POA&lt;20 W/m2)]],4,0),"")</f>
        <v>0.77361111111111114</v>
      </c>
      <c r="K999" s="35">
        <f>IFERROR((TA[[#This Row],[Sunset Time (POA&lt;20 W/m2)]]-TA[[#This Row],[Sunrise Time (POA&gt;20 W/m2)]])*24,"")</f>
        <v>12.55</v>
      </c>
      <c r="L999" s="2" t="s">
        <v>296</v>
      </c>
      <c r="M999" s="42">
        <f>IFERROR(VLOOKUP(TA[[#This Row],[Affected Equipment]],'Basic Data'!$I$2:$K$40,3,0),"")</f>
        <v>8.6206896551724102E-3</v>
      </c>
      <c r="N999">
        <v>-28</v>
      </c>
      <c r="O999" t="s">
        <v>135</v>
      </c>
      <c r="P999" s="127" t="s">
        <v>318</v>
      </c>
      <c r="Q999" s="2" t="s">
        <v>321</v>
      </c>
      <c r="R999">
        <v>133</v>
      </c>
      <c r="S999" s="2">
        <v>26</v>
      </c>
      <c r="T999" t="s">
        <v>297</v>
      </c>
      <c r="U999" t="s">
        <v>300</v>
      </c>
      <c r="V999" t="s">
        <v>314</v>
      </c>
      <c r="W999" s="41">
        <f>IFERROR(VLOOKUP(TA[[#This Row],[Date]],Raw_Data[[Date]:[Sunset Time (POA&lt;20 W/m2)]],3,0),"")</f>
        <v>0.25069444444444444</v>
      </c>
      <c r="X999" s="41">
        <f>IFERROR(VLOOKUP(TA[[#This Row],[Date]],Raw_Data[[Date]:[Sunset Time (POA&lt;20 W/m2)]],3,0),"")</f>
        <v>0.25069444444444444</v>
      </c>
      <c r="Y999" s="34"/>
      <c r="Z999" s="34">
        <v>0.76041666666666663</v>
      </c>
      <c r="AA999" s="35">
        <f>IF(TA[[#This Row],[Work Start time on Fault]]="NA","",(TA[[#This Row],[Fault Acknowledgement Time ]]-TA[[#This Row],[Fault Time]])*24)</f>
        <v>0</v>
      </c>
      <c r="AB999" s="35">
        <f>(TA[[#This Row],[Work Start time on Fault]]-TA[[#This Row],[Fault Time]])*24</f>
        <v>-6.0166666666666666</v>
      </c>
      <c r="AC999" s="34">
        <f>(TA[[#This Row],[Work Completion time on fault]]-TA[[#This Row],[Fault Time]])*24</f>
        <v>12.233333333333333</v>
      </c>
      <c r="AD999" s="35">
        <f>IFERROR((TA[[#This Row],[Work Completion time on fault]]-TA[[#This Row],[Fault Time]])*24,"")</f>
        <v>12.233333333333333</v>
      </c>
      <c r="AE999" t="s">
        <v>328</v>
      </c>
      <c r="AF999" t="s">
        <v>256</v>
      </c>
      <c r="AG999" s="2"/>
      <c r="AH999" s="44">
        <f>1-COS(RADIANS(TA[[#This Row],[Avg. Target Angle during Fault Time (Radians)]]-TA[[#This Row],[Angle of affected equipment ]]))</f>
        <v>0.11705240714107301</v>
      </c>
      <c r="AI999" s="35">
        <f>IFERROR(TA[[#This Row],[Breakdown Time]]*TA[[#This Row],[Plant Equivalent Weightage]],"")</f>
        <v>0.10545977011494248</v>
      </c>
    </row>
    <row r="1000" spans="1:35">
      <c r="A1000" s="2">
        <f t="shared" si="98"/>
        <v>997</v>
      </c>
      <c r="B1000" s="156">
        <f t="shared" si="96"/>
        <v>2026</v>
      </c>
      <c r="C1000" s="129">
        <f t="shared" si="97"/>
        <v>2025</v>
      </c>
      <c r="D1000" s="2" t="s">
        <v>155</v>
      </c>
      <c r="E1000" s="2" t="s">
        <v>155</v>
      </c>
      <c r="F1000" s="39">
        <v>45809</v>
      </c>
      <c r="G1000" s="2">
        <f>DAY(EOMONTH(TA[[#This Row],[Month Year]],0))</f>
        <v>30</v>
      </c>
      <c r="H1000" s="21">
        <v>45814</v>
      </c>
      <c r="I1000" s="41">
        <f>IFERROR(VLOOKUP(TA[[#This Row],[Date]],Raw_Data[[Date]:[Sunset Time (POA&lt;20 W/m2)]],3,0),"")</f>
        <v>0.25069444444444444</v>
      </c>
      <c r="J1000" s="41">
        <f>IFERROR(VLOOKUP(TA[[#This Row],[Date]],Raw_Data[[Date]:[Sunset Time (POA&lt;20 W/m2)]],4,0),"")</f>
        <v>0.77361111111111114</v>
      </c>
      <c r="K1000" s="35">
        <f>IFERROR((TA[[#This Row],[Sunset Time (POA&lt;20 W/m2)]]-TA[[#This Row],[Sunrise Time (POA&gt;20 W/m2)]])*24,"")</f>
        <v>12.55</v>
      </c>
      <c r="L1000" s="2" t="s">
        <v>294</v>
      </c>
      <c r="M1000" s="42">
        <f>IFERROR(VLOOKUP(TA[[#This Row],[Affected Equipment]],'Basic Data'!$I$2:$K$40,3,0),"")</f>
        <v>1.7241379310344799E-3</v>
      </c>
      <c r="N1000">
        <v>-28</v>
      </c>
      <c r="O1000" t="s">
        <v>133</v>
      </c>
      <c r="P1000" s="127" t="s">
        <v>316</v>
      </c>
      <c r="Q1000" s="126" t="s">
        <v>317</v>
      </c>
      <c r="R1000">
        <v>7</v>
      </c>
      <c r="S1000" s="2">
        <v>32</v>
      </c>
      <c r="T1000" t="s">
        <v>295</v>
      </c>
      <c r="U1000" t="s">
        <v>300</v>
      </c>
      <c r="V1000" t="s">
        <v>298</v>
      </c>
      <c r="W1000" s="41"/>
      <c r="X1000" s="41"/>
      <c r="Y1000" s="34"/>
      <c r="Z1000" s="34"/>
      <c r="AA1000" s="35">
        <f>IF(TA[[#This Row],[Work Start time on Fault]]="NA","",(TA[[#This Row],[Fault Acknowledgement Time ]]-TA[[#This Row],[Fault Time]])*24)</f>
        <v>0</v>
      </c>
      <c r="AB1000" s="35">
        <f>(TA[[#This Row],[Work Start time on Fault]]-TA[[#This Row],[Fault Time]])*24</f>
        <v>0</v>
      </c>
      <c r="AC1000" s="34">
        <f>(TA[[#This Row],[Work Completion time on fault]]-TA[[#This Row],[Fault Time]])*24</f>
        <v>0</v>
      </c>
      <c r="AD1000" s="35">
        <f>IFERROR((TA[[#This Row],[Work Completion time on fault]]-TA[[#This Row],[Fault Time]])*24,"")</f>
        <v>0</v>
      </c>
      <c r="AE1000" t="s">
        <v>328</v>
      </c>
      <c r="AF1000" t="s">
        <v>256</v>
      </c>
      <c r="AG1000" s="2"/>
      <c r="AH1000" s="44">
        <f>1-COS(RADIANS(TA[[#This Row],[Avg. Target Angle during Fault Time (Radians)]]-TA[[#This Row],[Angle of affected equipment ]]))</f>
        <v>0.11705240714107301</v>
      </c>
      <c r="AI1000" s="35">
        <f>IFERROR(TA[[#This Row],[Breakdown Time]]*TA[[#This Row],[Plant Equivalent Weightage]],"")</f>
        <v>0</v>
      </c>
    </row>
    <row r="1001" spans="1:35">
      <c r="A1001" s="2">
        <f t="shared" si="98"/>
        <v>998</v>
      </c>
      <c r="B1001" s="156">
        <f t="shared" si="96"/>
        <v>2026</v>
      </c>
      <c r="C1001" s="129">
        <f t="shared" si="97"/>
        <v>2025</v>
      </c>
      <c r="D1001" s="2" t="s">
        <v>155</v>
      </c>
      <c r="E1001" s="2" t="s">
        <v>155</v>
      </c>
      <c r="F1001" s="39">
        <v>45809</v>
      </c>
      <c r="G1001" s="2">
        <f>DAY(EOMONTH(TA[[#This Row],[Month Year]],0))</f>
        <v>30</v>
      </c>
      <c r="H1001" s="21">
        <v>45814</v>
      </c>
      <c r="I1001" s="41">
        <f>IFERROR(VLOOKUP(TA[[#This Row],[Date]],Raw_Data[[Date]:[Sunset Time (POA&lt;20 W/m2)]],3,0),"")</f>
        <v>0.25069444444444444</v>
      </c>
      <c r="J1001" s="41">
        <f>IFERROR(VLOOKUP(TA[[#This Row],[Date]],Raw_Data[[Date]:[Sunset Time (POA&lt;20 W/m2)]],4,0),"")</f>
        <v>0.77361111111111114</v>
      </c>
      <c r="K1001" s="35">
        <f>IFERROR((TA[[#This Row],[Sunset Time (POA&lt;20 W/m2)]]-TA[[#This Row],[Sunrise Time (POA&gt;20 W/m2)]])*24,"")</f>
        <v>12.55</v>
      </c>
      <c r="L1001" s="2" t="s">
        <v>294</v>
      </c>
      <c r="M1001" s="42">
        <f>IFERROR(VLOOKUP(TA[[#This Row],[Affected Equipment]],'Basic Data'!$I$2:$K$40,3,0),"")</f>
        <v>1.7241379310344799E-3</v>
      </c>
      <c r="N1001">
        <v>-28</v>
      </c>
      <c r="O1001" t="s">
        <v>137</v>
      </c>
      <c r="P1001" s="127" t="s">
        <v>315</v>
      </c>
      <c r="Q1001" s="126" t="s">
        <v>319</v>
      </c>
      <c r="R1001">
        <v>166</v>
      </c>
      <c r="S1001" s="2">
        <v>91</v>
      </c>
      <c r="T1001" t="s">
        <v>295</v>
      </c>
      <c r="U1001" t="s">
        <v>300</v>
      </c>
      <c r="V1001" t="s">
        <v>298</v>
      </c>
      <c r="W1001" s="41"/>
      <c r="X1001" s="41"/>
      <c r="Y1001" s="34"/>
      <c r="Z1001" s="34"/>
      <c r="AA1001" s="35">
        <f>IF(TA[[#This Row],[Work Start time on Fault]]="NA","",(TA[[#This Row],[Fault Acknowledgement Time ]]-TA[[#This Row],[Fault Time]])*24)</f>
        <v>0</v>
      </c>
      <c r="AB1001" s="35">
        <f>(TA[[#This Row],[Work Start time on Fault]]-TA[[#This Row],[Fault Time]])*24</f>
        <v>0</v>
      </c>
      <c r="AC1001" s="34">
        <f>(TA[[#This Row],[Work Completion time on fault]]-TA[[#This Row],[Fault Time]])*24</f>
        <v>0</v>
      </c>
      <c r="AD1001" s="35">
        <f>IFERROR((TA[[#This Row],[Work Completion time on fault]]-TA[[#This Row],[Fault Time]])*24,"")</f>
        <v>0</v>
      </c>
      <c r="AE1001" t="s">
        <v>328</v>
      </c>
      <c r="AF1001" t="s">
        <v>256</v>
      </c>
      <c r="AG1001" s="2"/>
      <c r="AH1001" s="44">
        <f>1-COS(RADIANS(TA[[#This Row],[Avg. Target Angle during Fault Time (Radians)]]-TA[[#This Row],[Angle of affected equipment ]]))</f>
        <v>0.11705240714107301</v>
      </c>
      <c r="AI1001" s="35">
        <f>IFERROR(TA[[#This Row],[Breakdown Time]]*TA[[#This Row],[Plant Equivalent Weightage]],"")</f>
        <v>0</v>
      </c>
    </row>
    <row r="1002" spans="1:35">
      <c r="A1002" s="2">
        <f t="shared" si="98"/>
        <v>999</v>
      </c>
      <c r="B1002" s="156">
        <f t="shared" si="96"/>
        <v>2026</v>
      </c>
      <c r="C1002" s="129">
        <f t="shared" si="97"/>
        <v>2025</v>
      </c>
      <c r="D1002" s="2" t="s">
        <v>155</v>
      </c>
      <c r="E1002" s="2" t="s">
        <v>155</v>
      </c>
      <c r="F1002" s="39">
        <v>45809</v>
      </c>
      <c r="G1002" s="2">
        <f>DAY(EOMONTH(TA[[#This Row],[Month Year]],0))</f>
        <v>30</v>
      </c>
      <c r="H1002" s="21">
        <v>45814</v>
      </c>
      <c r="I1002" s="41">
        <f>IFERROR(VLOOKUP(TA[[#This Row],[Date]],Raw_Data[[Date]:[Sunset Time (POA&lt;20 W/m2)]],3,0),"")</f>
        <v>0.25069444444444444</v>
      </c>
      <c r="J1002" s="41">
        <f>IFERROR(VLOOKUP(TA[[#This Row],[Date]],Raw_Data[[Date]:[Sunset Time (POA&lt;20 W/m2)]],4,0),"")</f>
        <v>0.77361111111111114</v>
      </c>
      <c r="K1002" s="35">
        <f>IFERROR((TA[[#This Row],[Sunset Time (POA&lt;20 W/m2)]]-TA[[#This Row],[Sunrise Time (POA&gt;20 W/m2)]])*24,"")</f>
        <v>12.55</v>
      </c>
      <c r="L1002" s="2" t="s">
        <v>294</v>
      </c>
      <c r="M1002" s="42">
        <f>IFERROR(VLOOKUP(TA[[#This Row],[Affected Equipment]],'Basic Data'!$I$2:$K$40,3,0),"")</f>
        <v>1.7241379310344799E-3</v>
      </c>
      <c r="N1002">
        <v>-28</v>
      </c>
      <c r="O1002" t="s">
        <v>133</v>
      </c>
      <c r="P1002" s="127" t="s">
        <v>316</v>
      </c>
      <c r="Q1002" s="126" t="s">
        <v>316</v>
      </c>
      <c r="R1002">
        <v>117</v>
      </c>
      <c r="S1002" s="2">
        <v>20</v>
      </c>
      <c r="T1002" t="s">
        <v>295</v>
      </c>
      <c r="U1002" t="s">
        <v>300</v>
      </c>
      <c r="V1002" t="s">
        <v>298</v>
      </c>
      <c r="W1002" s="41"/>
      <c r="X1002" s="41"/>
      <c r="Y1002" s="34"/>
      <c r="Z1002" s="34"/>
      <c r="AA1002" s="35">
        <f>IF(TA[[#This Row],[Work Start time on Fault]]="NA","",(TA[[#This Row],[Fault Acknowledgement Time ]]-TA[[#This Row],[Fault Time]])*24)</f>
        <v>0</v>
      </c>
      <c r="AB1002" s="35">
        <f>(TA[[#This Row],[Work Start time on Fault]]-TA[[#This Row],[Fault Time]])*24</f>
        <v>0</v>
      </c>
      <c r="AC1002" s="34">
        <f>(TA[[#This Row],[Work Completion time on fault]]-TA[[#This Row],[Fault Time]])*24</f>
        <v>0</v>
      </c>
      <c r="AD1002" s="35">
        <f>IFERROR((TA[[#This Row],[Work Completion time on fault]]-TA[[#This Row],[Fault Time]])*24,"")</f>
        <v>0</v>
      </c>
      <c r="AE1002" t="s">
        <v>328</v>
      </c>
      <c r="AF1002" t="s">
        <v>256</v>
      </c>
      <c r="AG1002" s="2"/>
      <c r="AH1002" s="44">
        <f>1-COS(RADIANS(TA[[#This Row],[Avg. Target Angle during Fault Time (Radians)]]-TA[[#This Row],[Angle of affected equipment ]]))</f>
        <v>0.11705240714107301</v>
      </c>
      <c r="AI1002" s="35">
        <f>IFERROR(TA[[#This Row],[Breakdown Time]]*TA[[#This Row],[Plant Equivalent Weightage]],"")</f>
        <v>0</v>
      </c>
    </row>
    <row r="1003" spans="1:35">
      <c r="A1003" s="2">
        <f t="shared" si="98"/>
        <v>1000</v>
      </c>
      <c r="B1003" s="156">
        <f t="shared" si="96"/>
        <v>2026</v>
      </c>
      <c r="C1003" s="129">
        <f t="shared" si="97"/>
        <v>2025</v>
      </c>
      <c r="D1003" s="2" t="s">
        <v>155</v>
      </c>
      <c r="E1003" s="2" t="s">
        <v>155</v>
      </c>
      <c r="F1003" s="39">
        <v>45809</v>
      </c>
      <c r="G1003" s="2">
        <f>DAY(EOMONTH(TA[[#This Row],[Month Year]],0))</f>
        <v>30</v>
      </c>
      <c r="H1003" s="21">
        <v>45814</v>
      </c>
      <c r="I1003" s="41">
        <f>IFERROR(VLOOKUP(TA[[#This Row],[Date]],Raw_Data[[Date]:[Sunset Time (POA&lt;20 W/m2)]],3,0),"")</f>
        <v>0.25069444444444444</v>
      </c>
      <c r="J1003" s="41">
        <f>IFERROR(VLOOKUP(TA[[#This Row],[Date]],Raw_Data[[Date]:[Sunset Time (POA&lt;20 W/m2)]],4,0),"")</f>
        <v>0.77361111111111114</v>
      </c>
      <c r="K1003" s="35">
        <f>IFERROR((TA[[#This Row],[Sunset Time (POA&lt;20 W/m2)]]-TA[[#This Row],[Sunrise Time (POA&gt;20 W/m2)]])*24,"")</f>
        <v>12.55</v>
      </c>
      <c r="L1003" s="2" t="s">
        <v>294</v>
      </c>
      <c r="M1003" s="42">
        <f>IFERROR(VLOOKUP(TA[[#This Row],[Affected Equipment]],'Basic Data'!$I$2:$K$40,3,0),"")</f>
        <v>1.7241379310344799E-3</v>
      </c>
      <c r="N1003">
        <v>-28</v>
      </c>
      <c r="O1003" t="s">
        <v>133</v>
      </c>
      <c r="P1003" s="127" t="s">
        <v>316</v>
      </c>
      <c r="Q1003" s="126" t="s">
        <v>316</v>
      </c>
      <c r="R1003">
        <v>118</v>
      </c>
      <c r="S1003" s="2">
        <v>22</v>
      </c>
      <c r="T1003" t="s">
        <v>295</v>
      </c>
      <c r="U1003" t="s">
        <v>300</v>
      </c>
      <c r="V1003" t="s">
        <v>298</v>
      </c>
      <c r="W1003" s="41"/>
      <c r="X1003" s="41"/>
      <c r="Y1003" s="34"/>
      <c r="Z1003" s="34"/>
      <c r="AA1003" s="35">
        <f>IF(TA[[#This Row],[Work Start time on Fault]]="NA","",(TA[[#This Row],[Fault Acknowledgement Time ]]-TA[[#This Row],[Fault Time]])*24)</f>
        <v>0</v>
      </c>
      <c r="AB1003" s="35">
        <f>(TA[[#This Row],[Work Start time on Fault]]-TA[[#This Row],[Fault Time]])*24</f>
        <v>0</v>
      </c>
      <c r="AC1003" s="34">
        <f>(TA[[#This Row],[Work Completion time on fault]]-TA[[#This Row],[Fault Time]])*24</f>
        <v>0</v>
      </c>
      <c r="AD1003" s="35">
        <f>IFERROR((TA[[#This Row],[Work Completion time on fault]]-TA[[#This Row],[Fault Time]])*24,"")</f>
        <v>0</v>
      </c>
      <c r="AE1003" t="s">
        <v>328</v>
      </c>
      <c r="AF1003" t="s">
        <v>256</v>
      </c>
      <c r="AG1003" s="2"/>
      <c r="AH1003" s="44">
        <f>1-COS(RADIANS(TA[[#This Row],[Avg. Target Angle during Fault Time (Radians)]]-TA[[#This Row],[Angle of affected equipment ]]))</f>
        <v>0.11705240714107301</v>
      </c>
      <c r="AI1003" s="35">
        <f>IFERROR(TA[[#This Row],[Breakdown Time]]*TA[[#This Row],[Plant Equivalent Weightage]],"")</f>
        <v>0</v>
      </c>
    </row>
    <row r="1004" spans="1:35">
      <c r="A1004" s="2">
        <f t="shared" si="98"/>
        <v>1001</v>
      </c>
      <c r="B1004" s="156">
        <f t="shared" si="96"/>
        <v>2026</v>
      </c>
      <c r="C1004" s="129">
        <f t="shared" si="97"/>
        <v>2025</v>
      </c>
      <c r="D1004" s="2" t="s">
        <v>155</v>
      </c>
      <c r="E1004" s="2" t="s">
        <v>155</v>
      </c>
      <c r="F1004" s="39">
        <v>45809</v>
      </c>
      <c r="G1004" s="2">
        <f>DAY(EOMONTH(TA[[#This Row],[Month Year]],0))</f>
        <v>30</v>
      </c>
      <c r="H1004" s="21">
        <v>45814</v>
      </c>
      <c r="I1004" s="41">
        <f>IFERROR(VLOOKUP(TA[[#This Row],[Date]],Raw_Data[[Date]:[Sunset Time (POA&lt;20 W/m2)]],3,0),"")</f>
        <v>0.25069444444444444</v>
      </c>
      <c r="J1004" s="41">
        <f>IFERROR(VLOOKUP(TA[[#This Row],[Date]],Raw_Data[[Date]:[Sunset Time (POA&lt;20 W/m2)]],4,0),"")</f>
        <v>0.77361111111111114</v>
      </c>
      <c r="K1004" s="35">
        <f>IFERROR((TA[[#This Row],[Sunset Time (POA&lt;20 W/m2)]]-TA[[#This Row],[Sunrise Time (POA&gt;20 W/m2)]])*24,"")</f>
        <v>12.55</v>
      </c>
      <c r="L1004" s="2" t="s">
        <v>296</v>
      </c>
      <c r="M1004" s="42">
        <f>IFERROR(VLOOKUP(TA[[#This Row],[Affected Equipment]],'Basic Data'!$I$2:$K$40,3,0),"")</f>
        <v>8.6206896551724102E-3</v>
      </c>
      <c r="N1004">
        <v>-28</v>
      </c>
      <c r="O1004" t="s">
        <v>135</v>
      </c>
      <c r="P1004" s="22" t="s">
        <v>323</v>
      </c>
      <c r="Q1004" s="2" t="s">
        <v>329</v>
      </c>
      <c r="R1004">
        <v>45</v>
      </c>
      <c r="S1004" s="2">
        <v>8</v>
      </c>
      <c r="T1004" t="s">
        <v>297</v>
      </c>
      <c r="U1004" t="s">
        <v>300</v>
      </c>
      <c r="V1004" t="s">
        <v>301</v>
      </c>
      <c r="W1004" s="41"/>
      <c r="X1004" s="41"/>
      <c r="Y1004" s="34"/>
      <c r="Z1004" s="34"/>
      <c r="AA1004" s="35">
        <f>IF(TA[[#This Row],[Work Start time on Fault]]="NA","",(TA[[#This Row],[Fault Acknowledgement Time ]]-TA[[#This Row],[Fault Time]])*24)</f>
        <v>0</v>
      </c>
      <c r="AB1004" s="35">
        <f>(TA[[#This Row],[Work Start time on Fault]]-TA[[#This Row],[Fault Time]])*24</f>
        <v>0</v>
      </c>
      <c r="AC1004" s="34">
        <f>(TA[[#This Row],[Work Completion time on fault]]-TA[[#This Row],[Fault Time]])*24</f>
        <v>0</v>
      </c>
      <c r="AD1004" s="35">
        <f>IFERROR((TA[[#This Row],[Work Completion time on fault]]-TA[[#This Row],[Fault Time]])*24,"")</f>
        <v>0</v>
      </c>
      <c r="AE1004" t="s">
        <v>328</v>
      </c>
      <c r="AF1004" t="s">
        <v>256</v>
      </c>
      <c r="AG1004" s="2"/>
      <c r="AH1004" s="44">
        <f>1-COS(RADIANS(TA[[#This Row],[Avg. Target Angle during Fault Time (Radians)]]-TA[[#This Row],[Angle of affected equipment ]]))</f>
        <v>0.11705240714107301</v>
      </c>
      <c r="AI1004" s="35">
        <f>IFERROR(TA[[#This Row],[Breakdown Time]]*TA[[#This Row],[Plant Equivalent Weightage]],"")</f>
        <v>0</v>
      </c>
    </row>
    <row r="1005" spans="1:35">
      <c r="A1005" s="2">
        <f t="shared" si="98"/>
        <v>1002</v>
      </c>
      <c r="B1005" s="156">
        <f t="shared" si="96"/>
        <v>2026</v>
      </c>
      <c r="C1005" s="129">
        <f t="shared" si="97"/>
        <v>2025</v>
      </c>
      <c r="D1005" s="2" t="s">
        <v>155</v>
      </c>
      <c r="E1005" s="2" t="s">
        <v>155</v>
      </c>
      <c r="F1005" s="39">
        <v>45809</v>
      </c>
      <c r="G1005" s="2">
        <f>DAY(EOMONTH(TA[[#This Row],[Month Year]],0))</f>
        <v>30</v>
      </c>
      <c r="H1005" s="21">
        <v>45814</v>
      </c>
      <c r="I1005" s="41">
        <f>IFERROR(VLOOKUP(TA[[#This Row],[Date]],Raw_Data[[Date]:[Sunset Time (POA&lt;20 W/m2)]],3,0),"")</f>
        <v>0.25069444444444444</v>
      </c>
      <c r="J1005" s="41">
        <f>IFERROR(VLOOKUP(TA[[#This Row],[Date]],Raw_Data[[Date]:[Sunset Time (POA&lt;20 W/m2)]],4,0),"")</f>
        <v>0.77361111111111114</v>
      </c>
      <c r="K1005" s="35">
        <f>IFERROR((TA[[#This Row],[Sunset Time (POA&lt;20 W/m2)]]-TA[[#This Row],[Sunrise Time (POA&gt;20 W/m2)]])*24,"")</f>
        <v>12.55</v>
      </c>
      <c r="L1005" s="2" t="s">
        <v>296</v>
      </c>
      <c r="M1005" s="42">
        <f>IFERROR(VLOOKUP(TA[[#This Row],[Affected Equipment]],'Basic Data'!$I$2:$K$40,3,0),"")</f>
        <v>8.6206896551724102E-3</v>
      </c>
      <c r="N1005">
        <v>-28</v>
      </c>
      <c r="O1005" t="s">
        <v>135</v>
      </c>
      <c r="P1005" s="22" t="s">
        <v>323</v>
      </c>
      <c r="Q1005" s="2" t="s">
        <v>329</v>
      </c>
      <c r="R1005">
        <v>47</v>
      </c>
      <c r="S1005" s="2">
        <v>18</v>
      </c>
      <c r="T1005" t="s">
        <v>297</v>
      </c>
      <c r="U1005" t="s">
        <v>300</v>
      </c>
      <c r="V1005" t="s">
        <v>301</v>
      </c>
      <c r="W1005" s="41"/>
      <c r="X1005" s="41"/>
      <c r="Y1005" s="34"/>
      <c r="Z1005" s="34"/>
      <c r="AA1005" s="35">
        <f>IF(TA[[#This Row],[Work Start time on Fault]]="NA","",(TA[[#This Row],[Fault Acknowledgement Time ]]-TA[[#This Row],[Fault Time]])*24)</f>
        <v>0</v>
      </c>
      <c r="AB1005" s="35">
        <f>(TA[[#This Row],[Work Start time on Fault]]-TA[[#This Row],[Fault Time]])*24</f>
        <v>0</v>
      </c>
      <c r="AC1005" s="34">
        <f>(TA[[#This Row],[Work Completion time on fault]]-TA[[#This Row],[Fault Time]])*24</f>
        <v>0</v>
      </c>
      <c r="AD1005" s="35">
        <f>IFERROR((TA[[#This Row],[Work Completion time on fault]]-TA[[#This Row],[Fault Time]])*24,"")</f>
        <v>0</v>
      </c>
      <c r="AE1005" t="s">
        <v>328</v>
      </c>
      <c r="AF1005" t="s">
        <v>256</v>
      </c>
      <c r="AG1005" s="2"/>
      <c r="AH1005" s="44">
        <f>1-COS(RADIANS(TA[[#This Row],[Avg. Target Angle during Fault Time (Radians)]]-TA[[#This Row],[Angle of affected equipment ]]))</f>
        <v>0.11705240714107301</v>
      </c>
      <c r="AI1005" s="35">
        <f>IFERROR(TA[[#This Row],[Breakdown Time]]*TA[[#This Row],[Plant Equivalent Weightage]],"")</f>
        <v>0</v>
      </c>
    </row>
    <row r="1006" spans="1:35">
      <c r="A1006" s="2">
        <f t="shared" si="98"/>
        <v>1003</v>
      </c>
      <c r="B1006" s="156">
        <f t="shared" si="96"/>
        <v>2026</v>
      </c>
      <c r="C1006" s="129">
        <f t="shared" si="97"/>
        <v>2025</v>
      </c>
      <c r="D1006" s="2" t="s">
        <v>155</v>
      </c>
      <c r="E1006" s="2" t="s">
        <v>155</v>
      </c>
      <c r="F1006" s="39">
        <v>45809</v>
      </c>
      <c r="G1006" s="2">
        <f>DAY(EOMONTH(TA[[#This Row],[Month Year]],0))</f>
        <v>30</v>
      </c>
      <c r="H1006" s="21">
        <v>45814</v>
      </c>
      <c r="I1006" s="41">
        <f>IFERROR(VLOOKUP(TA[[#This Row],[Date]],Raw_Data[[Date]:[Sunset Time (POA&lt;20 W/m2)]],3,0),"")</f>
        <v>0.25069444444444444</v>
      </c>
      <c r="J1006" s="41">
        <f>IFERROR(VLOOKUP(TA[[#This Row],[Date]],Raw_Data[[Date]:[Sunset Time (POA&lt;20 W/m2)]],4,0),"")</f>
        <v>0.77361111111111114</v>
      </c>
      <c r="K1006" s="35">
        <f>IFERROR((TA[[#This Row],[Sunset Time (POA&lt;20 W/m2)]]-TA[[#This Row],[Sunrise Time (POA&gt;20 W/m2)]])*24,"")</f>
        <v>12.55</v>
      </c>
      <c r="L1006" s="2" t="s">
        <v>296</v>
      </c>
      <c r="M1006" s="42">
        <f>IFERROR(VLOOKUP(TA[[#This Row],[Affected Equipment]],'Basic Data'!$I$2:$K$40,3,0),"")</f>
        <v>8.6206896551724102E-3</v>
      </c>
      <c r="N1006">
        <v>-28</v>
      </c>
      <c r="O1006" t="s">
        <v>134</v>
      </c>
      <c r="P1006" s="22" t="s">
        <v>330</v>
      </c>
      <c r="Q1006" s="2" t="s">
        <v>323</v>
      </c>
      <c r="R1006">
        <v>30</v>
      </c>
      <c r="S1006" s="2">
        <v>57</v>
      </c>
      <c r="T1006" t="s">
        <v>297</v>
      </c>
      <c r="U1006" t="s">
        <v>300</v>
      </c>
      <c r="V1006" t="s">
        <v>301</v>
      </c>
      <c r="W1006" s="41"/>
      <c r="X1006" s="41"/>
      <c r="Y1006" s="34"/>
      <c r="Z1006" s="34"/>
      <c r="AA1006" s="35">
        <f>IF(TA[[#This Row],[Work Start time on Fault]]="NA","",(TA[[#This Row],[Fault Acknowledgement Time ]]-TA[[#This Row],[Fault Time]])*24)</f>
        <v>0</v>
      </c>
      <c r="AB1006" s="35">
        <f>(TA[[#This Row],[Work Start time on Fault]]-TA[[#This Row],[Fault Time]])*24</f>
        <v>0</v>
      </c>
      <c r="AC1006" s="34">
        <f>(TA[[#This Row],[Work Completion time on fault]]-TA[[#This Row],[Fault Time]])*24</f>
        <v>0</v>
      </c>
      <c r="AD1006" s="35">
        <f>IFERROR((TA[[#This Row],[Work Completion time on fault]]-TA[[#This Row],[Fault Time]])*24,"")</f>
        <v>0</v>
      </c>
      <c r="AE1006" t="s">
        <v>328</v>
      </c>
      <c r="AF1006" t="s">
        <v>256</v>
      </c>
      <c r="AG1006" s="2"/>
      <c r="AH1006" s="44">
        <f>1-COS(RADIANS(TA[[#This Row],[Avg. Target Angle during Fault Time (Radians)]]-TA[[#This Row],[Angle of affected equipment ]]))</f>
        <v>0.11705240714107301</v>
      </c>
      <c r="AI1006" s="35">
        <f>IFERROR(TA[[#This Row],[Breakdown Time]]*TA[[#This Row],[Plant Equivalent Weightage]],"")</f>
        <v>0</v>
      </c>
    </row>
    <row r="1007" spans="1:35">
      <c r="A1007" s="2">
        <f t="shared" si="98"/>
        <v>1004</v>
      </c>
      <c r="B1007" s="156">
        <f t="shared" si="96"/>
        <v>2026</v>
      </c>
      <c r="C1007" s="129">
        <f t="shared" si="97"/>
        <v>2025</v>
      </c>
      <c r="D1007" s="2" t="s">
        <v>155</v>
      </c>
      <c r="E1007" s="2" t="s">
        <v>155</v>
      </c>
      <c r="F1007" s="39">
        <v>45809</v>
      </c>
      <c r="G1007" s="2">
        <f>DAY(EOMONTH(TA[[#This Row],[Month Year]],0))</f>
        <v>30</v>
      </c>
      <c r="H1007" s="21">
        <v>45814</v>
      </c>
      <c r="I1007" s="41">
        <f>IFERROR(VLOOKUP(TA[[#This Row],[Date]],Raw_Data[[Date]:[Sunset Time (POA&lt;20 W/m2)]],3,0),"")</f>
        <v>0.25069444444444444</v>
      </c>
      <c r="J1007" s="41">
        <f>IFERROR(VLOOKUP(TA[[#This Row],[Date]],Raw_Data[[Date]:[Sunset Time (POA&lt;20 W/m2)]],4,0),"")</f>
        <v>0.77361111111111114</v>
      </c>
      <c r="K1007" s="35">
        <f>IFERROR((TA[[#This Row],[Sunset Time (POA&lt;20 W/m2)]]-TA[[#This Row],[Sunrise Time (POA&gt;20 W/m2)]])*24,"")</f>
        <v>12.55</v>
      </c>
      <c r="L1007" s="2" t="s">
        <v>296</v>
      </c>
      <c r="M1007" s="42">
        <f>IFERROR(VLOOKUP(TA[[#This Row],[Affected Equipment]],'Basic Data'!$I$2:$K$40,3,0),"")</f>
        <v>8.6206896551724102E-3</v>
      </c>
      <c r="N1007">
        <v>-28</v>
      </c>
      <c r="O1007" t="s">
        <v>134</v>
      </c>
      <c r="P1007" s="22" t="s">
        <v>330</v>
      </c>
      <c r="Q1007" s="2" t="s">
        <v>323</v>
      </c>
      <c r="R1007">
        <v>31</v>
      </c>
      <c r="S1007" s="2">
        <v>61</v>
      </c>
      <c r="T1007" t="s">
        <v>297</v>
      </c>
      <c r="U1007" t="s">
        <v>300</v>
      </c>
      <c r="V1007" t="s">
        <v>301</v>
      </c>
      <c r="W1007" s="41"/>
      <c r="X1007" s="41"/>
      <c r="Y1007" s="34"/>
      <c r="Z1007" s="34"/>
      <c r="AA1007" s="35">
        <f>IF(TA[[#This Row],[Work Start time on Fault]]="NA","",(TA[[#This Row],[Fault Acknowledgement Time ]]-TA[[#This Row],[Fault Time]])*24)</f>
        <v>0</v>
      </c>
      <c r="AB1007" s="35">
        <f>(TA[[#This Row],[Work Start time on Fault]]-TA[[#This Row],[Fault Time]])*24</f>
        <v>0</v>
      </c>
      <c r="AC1007" s="34">
        <f>(TA[[#This Row],[Work Completion time on fault]]-TA[[#This Row],[Fault Time]])*24</f>
        <v>0</v>
      </c>
      <c r="AD1007" s="35">
        <f>IFERROR((TA[[#This Row],[Work Completion time on fault]]-TA[[#This Row],[Fault Time]])*24,"")</f>
        <v>0</v>
      </c>
      <c r="AE1007" t="s">
        <v>328</v>
      </c>
      <c r="AF1007" t="s">
        <v>256</v>
      </c>
      <c r="AG1007" s="2"/>
      <c r="AH1007" s="44">
        <f>1-COS(RADIANS(TA[[#This Row],[Avg. Target Angle during Fault Time (Radians)]]-TA[[#This Row],[Angle of affected equipment ]]))</f>
        <v>0.11705240714107301</v>
      </c>
      <c r="AI1007" s="35">
        <f>IFERROR(TA[[#This Row],[Breakdown Time]]*TA[[#This Row],[Plant Equivalent Weightage]],"")</f>
        <v>0</v>
      </c>
    </row>
    <row r="1008" spans="1:35">
      <c r="A1008" s="2">
        <f t="shared" si="98"/>
        <v>1005</v>
      </c>
      <c r="B1008" s="156">
        <f t="shared" si="96"/>
        <v>2026</v>
      </c>
      <c r="C1008" s="129">
        <f t="shared" si="97"/>
        <v>2025</v>
      </c>
      <c r="D1008" s="2" t="s">
        <v>155</v>
      </c>
      <c r="E1008" s="2" t="s">
        <v>155</v>
      </c>
      <c r="F1008" s="39">
        <v>45809</v>
      </c>
      <c r="G1008" s="2">
        <f>DAY(EOMONTH(TA[[#This Row],[Month Year]],0))</f>
        <v>30</v>
      </c>
      <c r="H1008" s="21">
        <v>45814</v>
      </c>
      <c r="I1008" s="41">
        <f>IFERROR(VLOOKUP(TA[[#This Row],[Date]],Raw_Data[[Date]:[Sunset Time (POA&lt;20 W/m2)]],3,0),"")</f>
        <v>0.25069444444444444</v>
      </c>
      <c r="J1008" s="41">
        <f>IFERROR(VLOOKUP(TA[[#This Row],[Date]],Raw_Data[[Date]:[Sunset Time (POA&lt;20 W/m2)]],4,0),"")</f>
        <v>0.77361111111111114</v>
      </c>
      <c r="K1008" s="35">
        <f>IFERROR((TA[[#This Row],[Sunset Time (POA&lt;20 W/m2)]]-TA[[#This Row],[Sunrise Time (POA&gt;20 W/m2)]])*24,"")</f>
        <v>12.55</v>
      </c>
      <c r="L1008" s="2" t="s">
        <v>312</v>
      </c>
      <c r="M1008" s="42">
        <f>IFERROR(VLOOKUP(TA[[#This Row],[Affected Equipment]],'Basic Data'!$I$2:$K$40,3,0),"")</f>
        <v>5.74712643678161E-3</v>
      </c>
      <c r="N1008">
        <v>-28</v>
      </c>
      <c r="O1008" t="s">
        <v>133</v>
      </c>
      <c r="P1008" s="22" t="s">
        <v>330</v>
      </c>
      <c r="Q1008" s="2" t="s">
        <v>323</v>
      </c>
      <c r="R1008">
        <v>26</v>
      </c>
      <c r="S1008" s="2">
        <v>37</v>
      </c>
      <c r="T1008" t="s">
        <v>297</v>
      </c>
      <c r="U1008" t="s">
        <v>300</v>
      </c>
      <c r="V1008" t="s">
        <v>301</v>
      </c>
      <c r="W1008" s="41"/>
      <c r="X1008" s="41"/>
      <c r="Y1008" s="34"/>
      <c r="Z1008" s="34"/>
      <c r="AA1008" s="35">
        <f>IF(TA[[#This Row],[Work Start time on Fault]]="NA","",(TA[[#This Row],[Fault Acknowledgement Time ]]-TA[[#This Row],[Fault Time]])*24)</f>
        <v>0</v>
      </c>
      <c r="AB1008" s="35">
        <f>(TA[[#This Row],[Work Start time on Fault]]-TA[[#This Row],[Fault Time]])*24</f>
        <v>0</v>
      </c>
      <c r="AC1008" s="34">
        <f>(TA[[#This Row],[Work Completion time on fault]]-TA[[#This Row],[Fault Time]])*24</f>
        <v>0</v>
      </c>
      <c r="AD1008" s="35">
        <f>IFERROR((TA[[#This Row],[Work Completion time on fault]]-TA[[#This Row],[Fault Time]])*24,"")</f>
        <v>0</v>
      </c>
      <c r="AE1008" t="s">
        <v>328</v>
      </c>
      <c r="AF1008" t="s">
        <v>256</v>
      </c>
      <c r="AG1008" s="2"/>
      <c r="AH1008" s="44">
        <f>1-COS(RADIANS(TA[[#This Row],[Avg. Target Angle during Fault Time (Radians)]]-TA[[#This Row],[Angle of affected equipment ]]))</f>
        <v>0.11705240714107301</v>
      </c>
      <c r="AI1008" s="35">
        <f>IFERROR(TA[[#This Row],[Breakdown Time]]*TA[[#This Row],[Plant Equivalent Weightage]],"")</f>
        <v>0</v>
      </c>
    </row>
    <row r="1009" spans="1:35">
      <c r="A1009" s="2">
        <f t="shared" si="98"/>
        <v>1006</v>
      </c>
      <c r="B1009" s="156">
        <f t="shared" si="96"/>
        <v>2026</v>
      </c>
      <c r="C1009" s="129">
        <f t="shared" si="97"/>
        <v>2025</v>
      </c>
      <c r="D1009" s="2" t="s">
        <v>155</v>
      </c>
      <c r="E1009" s="2" t="s">
        <v>155</v>
      </c>
      <c r="F1009" s="39">
        <v>45809</v>
      </c>
      <c r="G1009" s="2">
        <f>DAY(EOMONTH(TA[[#This Row],[Month Year]],0))</f>
        <v>30</v>
      </c>
      <c r="H1009" s="21">
        <v>45814</v>
      </c>
      <c r="I1009" s="41">
        <f>IFERROR(VLOOKUP(TA[[#This Row],[Date]],Raw_Data[[Date]:[Sunset Time (POA&lt;20 W/m2)]],3,0),"")</f>
        <v>0.25069444444444444</v>
      </c>
      <c r="J1009" s="41">
        <f>IFERROR(VLOOKUP(TA[[#This Row],[Date]],Raw_Data[[Date]:[Sunset Time (POA&lt;20 W/m2)]],4,0),"")</f>
        <v>0.77361111111111114</v>
      </c>
      <c r="K1009" s="35">
        <f>IFERROR((TA[[#This Row],[Sunset Time (POA&lt;20 W/m2)]]-TA[[#This Row],[Sunrise Time (POA&gt;20 W/m2)]])*24,"")</f>
        <v>12.55</v>
      </c>
      <c r="L1009" s="2" t="s">
        <v>312</v>
      </c>
      <c r="M1009" s="42">
        <f>IFERROR(VLOOKUP(TA[[#This Row],[Affected Equipment]],'Basic Data'!$I$2:$K$40,3,0),"")</f>
        <v>5.74712643678161E-3</v>
      </c>
      <c r="N1009">
        <v>-28</v>
      </c>
      <c r="O1009" t="s">
        <v>133</v>
      </c>
      <c r="P1009" s="22" t="s">
        <v>330</v>
      </c>
      <c r="Q1009" s="2" t="s">
        <v>323</v>
      </c>
      <c r="R1009">
        <v>27</v>
      </c>
      <c r="S1009" s="2">
        <v>42</v>
      </c>
      <c r="T1009" t="s">
        <v>297</v>
      </c>
      <c r="U1009" t="s">
        <v>300</v>
      </c>
      <c r="V1009" t="s">
        <v>301</v>
      </c>
      <c r="W1009" s="41">
        <f>IFERROR(VLOOKUP(TA[[#This Row],[Date]],Raw_Data[[Date]:[Sunset Time (POA&lt;20 W/m2)]],3,0),"")</f>
        <v>0.25069444444444444</v>
      </c>
      <c r="X1009" s="41">
        <f>IFERROR(VLOOKUP(TA[[#This Row],[Date]],Raw_Data[[Date]:[Sunset Time (POA&lt;20 W/m2)]],3,0),"")</f>
        <v>0.25069444444444444</v>
      </c>
      <c r="Y1009" s="34"/>
      <c r="Z1009" s="34">
        <v>0.76041666666666663</v>
      </c>
      <c r="AA1009" s="35">
        <f>IF(TA[[#This Row],[Work Start time on Fault]]="NA","",(TA[[#This Row],[Fault Acknowledgement Time ]]-TA[[#This Row],[Fault Time]])*24)</f>
        <v>0</v>
      </c>
      <c r="AB1009" s="35">
        <f>(TA[[#This Row],[Work Start time on Fault]]-TA[[#This Row],[Fault Time]])*24</f>
        <v>-6.0166666666666666</v>
      </c>
      <c r="AC1009" s="34">
        <f>(TA[[#This Row],[Work Completion time on fault]]-TA[[#This Row],[Fault Time]])*24</f>
        <v>12.233333333333333</v>
      </c>
      <c r="AD1009" s="35">
        <f>IFERROR((TA[[#This Row],[Work Completion time on fault]]-TA[[#This Row],[Fault Time]])*24,"")</f>
        <v>12.233333333333333</v>
      </c>
      <c r="AE1009" t="s">
        <v>309</v>
      </c>
      <c r="AF1009" t="s">
        <v>256</v>
      </c>
      <c r="AG1009" s="2"/>
      <c r="AH1009" s="44">
        <f>1-COS(RADIANS(TA[[#This Row],[Avg. Target Angle during Fault Time (Radians)]]-TA[[#This Row],[Angle of affected equipment ]]))</f>
        <v>0.11705240714107301</v>
      </c>
      <c r="AI1009" s="35">
        <f>IFERROR(TA[[#This Row],[Breakdown Time]]*TA[[#This Row],[Plant Equivalent Weightage]],"")</f>
        <v>7.0306513409961691E-2</v>
      </c>
    </row>
    <row r="1010" spans="1:35">
      <c r="A1010" s="2">
        <f t="shared" si="98"/>
        <v>1007</v>
      </c>
      <c r="B1010" s="156">
        <f t="shared" ref="B1010:B1022" si="99">YEAR(H1010)+IF(MONTH(H1010)&gt;=4,1,0)</f>
        <v>2026</v>
      </c>
      <c r="C1010" s="129">
        <f t="shared" ref="C1010:C1022" si="100">YEAR(H1010)</f>
        <v>2025</v>
      </c>
      <c r="D1010" s="2" t="s">
        <v>155</v>
      </c>
      <c r="E1010" s="2" t="s">
        <v>155</v>
      </c>
      <c r="F1010" s="39">
        <v>45809</v>
      </c>
      <c r="G1010" s="2">
        <f>DAY(EOMONTH(TA[[#This Row],[Month Year]],0))</f>
        <v>30</v>
      </c>
      <c r="H1010" s="21">
        <v>45815</v>
      </c>
      <c r="I1010" s="41">
        <f>IFERROR(VLOOKUP(TA[[#This Row],[Date]],Raw_Data[[Date]:[Sunset Time (POA&lt;20 W/m2)]],3,0),"")</f>
        <v>0.24583333333333332</v>
      </c>
      <c r="J1010" s="41">
        <f>IFERROR(VLOOKUP(TA[[#This Row],[Date]],Raw_Data[[Date]:[Sunset Time (POA&lt;20 W/m2)]],4,0),"")</f>
        <v>0.77569444444444446</v>
      </c>
      <c r="K1010" s="35">
        <f>IFERROR((TA[[#This Row],[Sunset Time (POA&lt;20 W/m2)]]-TA[[#This Row],[Sunrise Time (POA&gt;20 W/m2)]])*24,"")</f>
        <v>12.716666666666667</v>
      </c>
      <c r="L1010" s="2" t="s">
        <v>294</v>
      </c>
      <c r="M1010" s="42">
        <f>IFERROR(VLOOKUP(TA[[#This Row],[Affected Equipment]],'Basic Data'!$I$2:$K$40,3,0),"")</f>
        <v>1.7241379310344799E-3</v>
      </c>
      <c r="N1010">
        <v>-28</v>
      </c>
      <c r="O1010" t="s">
        <v>135</v>
      </c>
      <c r="P1010" s="127" t="s">
        <v>318</v>
      </c>
      <c r="Q1010" s="126" t="s">
        <v>318</v>
      </c>
      <c r="R1010">
        <v>131</v>
      </c>
      <c r="S1010" s="2">
        <v>38</v>
      </c>
      <c r="T1010" t="s">
        <v>295</v>
      </c>
      <c r="U1010" t="s">
        <v>300</v>
      </c>
      <c r="V1010" t="s">
        <v>298</v>
      </c>
      <c r="W1010" s="41"/>
      <c r="X1010" s="41"/>
      <c r="Y1010" s="34"/>
      <c r="Z1010" s="34"/>
      <c r="AA1010" s="35">
        <f>IF(TA[[#This Row],[Work Start time on Fault]]="NA","",(TA[[#This Row],[Fault Acknowledgement Time ]]-TA[[#This Row],[Fault Time]])*24)</f>
        <v>0</v>
      </c>
      <c r="AB1010" s="35">
        <f>(TA[[#This Row],[Work Start time on Fault]]-TA[[#This Row],[Fault Time]])*24</f>
        <v>0</v>
      </c>
      <c r="AC1010" s="34">
        <f>(TA[[#This Row],[Work Completion time on fault]]-TA[[#This Row],[Fault Time]])*24</f>
        <v>0</v>
      </c>
      <c r="AD1010" s="35">
        <f>IFERROR((TA[[#This Row],[Work Completion time on fault]]-TA[[#This Row],[Fault Time]])*24,"")</f>
        <v>0</v>
      </c>
      <c r="AE1010" t="s">
        <v>328</v>
      </c>
      <c r="AF1010" t="s">
        <v>256</v>
      </c>
      <c r="AG1010" s="2"/>
      <c r="AH1010" s="44">
        <f>1-COS(RADIANS(TA[[#This Row],[Avg. Target Angle during Fault Time (Radians)]]-TA[[#This Row],[Angle of affected equipment ]]))</f>
        <v>0.11705240714107301</v>
      </c>
      <c r="AI1010" s="35">
        <f>IFERROR(TA[[#This Row],[Breakdown Time]]*TA[[#This Row],[Plant Equivalent Weightage]],"")</f>
        <v>0</v>
      </c>
    </row>
    <row r="1011" spans="1:35">
      <c r="A1011" s="2">
        <f t="shared" si="98"/>
        <v>1008</v>
      </c>
      <c r="B1011" s="156">
        <f t="shared" si="99"/>
        <v>2026</v>
      </c>
      <c r="C1011" s="129">
        <f t="shared" si="100"/>
        <v>2025</v>
      </c>
      <c r="D1011" s="2" t="s">
        <v>155</v>
      </c>
      <c r="E1011" s="2" t="s">
        <v>155</v>
      </c>
      <c r="F1011" s="39">
        <v>45809</v>
      </c>
      <c r="G1011" s="2">
        <f>DAY(EOMONTH(TA[[#This Row],[Month Year]],0))</f>
        <v>30</v>
      </c>
      <c r="H1011" s="21">
        <v>45815</v>
      </c>
      <c r="I1011" s="41">
        <f>IFERROR(VLOOKUP(TA[[#This Row],[Date]],Raw_Data[[Date]:[Sunset Time (POA&lt;20 W/m2)]],3,0),"")</f>
        <v>0.24583333333333332</v>
      </c>
      <c r="J1011" s="41">
        <f>IFERROR(VLOOKUP(TA[[#This Row],[Date]],Raw_Data[[Date]:[Sunset Time (POA&lt;20 W/m2)]],4,0),"")</f>
        <v>0.77569444444444446</v>
      </c>
      <c r="K1011" s="35">
        <f>IFERROR((TA[[#This Row],[Sunset Time (POA&lt;20 W/m2)]]-TA[[#This Row],[Sunrise Time (POA&gt;20 W/m2)]])*24,"")</f>
        <v>12.716666666666667</v>
      </c>
      <c r="L1011" s="2" t="s">
        <v>294</v>
      </c>
      <c r="M1011" s="42">
        <f>IFERROR(VLOOKUP(TA[[#This Row],[Affected Equipment]],'Basic Data'!$I$2:$K$40,3,0),"")</f>
        <v>1.7241379310344799E-3</v>
      </c>
      <c r="N1011">
        <v>-28</v>
      </c>
      <c r="O1011" t="s">
        <v>135</v>
      </c>
      <c r="P1011" s="127" t="s">
        <v>318</v>
      </c>
      <c r="Q1011" s="126" t="s">
        <v>318</v>
      </c>
      <c r="R1011">
        <v>131</v>
      </c>
      <c r="S1011" s="2">
        <v>39</v>
      </c>
      <c r="T1011" t="s">
        <v>295</v>
      </c>
      <c r="U1011" t="s">
        <v>300</v>
      </c>
      <c r="V1011" t="s">
        <v>298</v>
      </c>
      <c r="W1011" s="41"/>
      <c r="X1011" s="41"/>
      <c r="Y1011" s="34"/>
      <c r="Z1011" s="34"/>
      <c r="AA1011" s="35">
        <f>IF(TA[[#This Row],[Work Start time on Fault]]="NA","",(TA[[#This Row],[Fault Acknowledgement Time ]]-TA[[#This Row],[Fault Time]])*24)</f>
        <v>0</v>
      </c>
      <c r="AB1011" s="35">
        <f>(TA[[#This Row],[Work Start time on Fault]]-TA[[#This Row],[Fault Time]])*24</f>
        <v>0</v>
      </c>
      <c r="AC1011" s="34">
        <f>(TA[[#This Row],[Work Completion time on fault]]-TA[[#This Row],[Fault Time]])*24</f>
        <v>0</v>
      </c>
      <c r="AD1011" s="35">
        <f>IFERROR((TA[[#This Row],[Work Completion time on fault]]-TA[[#This Row],[Fault Time]])*24,"")</f>
        <v>0</v>
      </c>
      <c r="AE1011" t="s">
        <v>328</v>
      </c>
      <c r="AF1011" t="s">
        <v>256</v>
      </c>
      <c r="AG1011" s="2"/>
      <c r="AH1011" s="44">
        <f>1-COS(RADIANS(TA[[#This Row],[Avg. Target Angle during Fault Time (Radians)]]-TA[[#This Row],[Angle of affected equipment ]]))</f>
        <v>0.11705240714107301</v>
      </c>
      <c r="AI1011" s="35">
        <f>IFERROR(TA[[#This Row],[Breakdown Time]]*TA[[#This Row],[Plant Equivalent Weightage]],"")</f>
        <v>0</v>
      </c>
    </row>
    <row r="1012" spans="1:35">
      <c r="A1012" s="2">
        <f t="shared" si="98"/>
        <v>1009</v>
      </c>
      <c r="B1012" s="156">
        <f t="shared" si="99"/>
        <v>2026</v>
      </c>
      <c r="C1012" s="129">
        <f t="shared" si="100"/>
        <v>2025</v>
      </c>
      <c r="D1012" s="2" t="s">
        <v>155</v>
      </c>
      <c r="E1012" s="2" t="s">
        <v>155</v>
      </c>
      <c r="F1012" s="39">
        <v>45809</v>
      </c>
      <c r="G1012" s="2">
        <f>DAY(EOMONTH(TA[[#This Row],[Month Year]],0))</f>
        <v>30</v>
      </c>
      <c r="H1012" s="21">
        <v>45815</v>
      </c>
      <c r="I1012" s="41">
        <f>IFERROR(VLOOKUP(TA[[#This Row],[Date]],Raw_Data[[Date]:[Sunset Time (POA&lt;20 W/m2)]],3,0),"")</f>
        <v>0.24583333333333332</v>
      </c>
      <c r="J1012" s="41">
        <f>IFERROR(VLOOKUP(TA[[#This Row],[Date]],Raw_Data[[Date]:[Sunset Time (POA&lt;20 W/m2)]],4,0),"")</f>
        <v>0.77569444444444446</v>
      </c>
      <c r="K1012" s="35">
        <f>IFERROR((TA[[#This Row],[Sunset Time (POA&lt;20 W/m2)]]-TA[[#This Row],[Sunrise Time (POA&gt;20 W/m2)]])*24,"")</f>
        <v>12.716666666666667</v>
      </c>
      <c r="L1012" s="2" t="s">
        <v>296</v>
      </c>
      <c r="M1012" s="42">
        <f>IFERROR(VLOOKUP(TA[[#This Row],[Affected Equipment]],'Basic Data'!$I$2:$K$40,3,0),"")</f>
        <v>8.6206896551724102E-3</v>
      </c>
      <c r="N1012">
        <v>-28</v>
      </c>
      <c r="O1012" t="s">
        <v>135</v>
      </c>
      <c r="P1012" s="127" t="s">
        <v>318</v>
      </c>
      <c r="Q1012" s="2" t="s">
        <v>321</v>
      </c>
      <c r="R1012">
        <v>133</v>
      </c>
      <c r="S1012" s="2">
        <v>26</v>
      </c>
      <c r="T1012" t="s">
        <v>297</v>
      </c>
      <c r="U1012" t="s">
        <v>300</v>
      </c>
      <c r="V1012" t="s">
        <v>314</v>
      </c>
      <c r="W1012" s="41">
        <f>IFERROR(VLOOKUP(TA[[#This Row],[Date]],Raw_Data[[Date]:[Sunset Time (POA&lt;20 W/m2)]],3,0),"")</f>
        <v>0.24583333333333332</v>
      </c>
      <c r="X1012" s="41">
        <f>IFERROR(VLOOKUP(TA[[#This Row],[Date]],Raw_Data[[Date]:[Sunset Time (POA&lt;20 W/m2)]],3,0),"")</f>
        <v>0.24583333333333332</v>
      </c>
      <c r="Y1012" s="34"/>
      <c r="Z1012" s="34">
        <v>0.76041666666666663</v>
      </c>
      <c r="AA1012" s="35">
        <f>IF(TA[[#This Row],[Work Start time on Fault]]="NA","",(TA[[#This Row],[Fault Acknowledgement Time ]]-TA[[#This Row],[Fault Time]])*24)</f>
        <v>0</v>
      </c>
      <c r="AB1012" s="35">
        <f>(TA[[#This Row],[Work Start time on Fault]]-TA[[#This Row],[Fault Time]])*24</f>
        <v>-5.8999999999999995</v>
      </c>
      <c r="AC1012" s="34">
        <f>(TA[[#This Row],[Work Completion time on fault]]-TA[[#This Row],[Fault Time]])*24</f>
        <v>12.349999999999998</v>
      </c>
      <c r="AD1012" s="35">
        <f>IFERROR((TA[[#This Row],[Work Completion time on fault]]-TA[[#This Row],[Fault Time]])*24,"")</f>
        <v>12.349999999999998</v>
      </c>
      <c r="AE1012" t="s">
        <v>328</v>
      </c>
      <c r="AF1012" t="s">
        <v>256</v>
      </c>
      <c r="AG1012" s="2"/>
      <c r="AH1012" s="44">
        <f>1-COS(RADIANS(TA[[#This Row],[Avg. Target Angle during Fault Time (Radians)]]-TA[[#This Row],[Angle of affected equipment ]]))</f>
        <v>0.11705240714107301</v>
      </c>
      <c r="AI1012" s="35">
        <f>IFERROR(TA[[#This Row],[Breakdown Time]]*TA[[#This Row],[Plant Equivalent Weightage]],"")</f>
        <v>0.10646551724137925</v>
      </c>
    </row>
    <row r="1013" spans="1:35">
      <c r="A1013" s="2">
        <f t="shared" si="98"/>
        <v>1010</v>
      </c>
      <c r="B1013" s="156">
        <f t="shared" si="99"/>
        <v>2026</v>
      </c>
      <c r="C1013" s="129">
        <f t="shared" si="100"/>
        <v>2025</v>
      </c>
      <c r="D1013" s="2" t="s">
        <v>155</v>
      </c>
      <c r="E1013" s="2" t="s">
        <v>155</v>
      </c>
      <c r="F1013" s="39">
        <v>45809</v>
      </c>
      <c r="G1013" s="2">
        <f>DAY(EOMONTH(TA[[#This Row],[Month Year]],0))</f>
        <v>30</v>
      </c>
      <c r="H1013" s="21">
        <v>45815</v>
      </c>
      <c r="I1013" s="41">
        <f>IFERROR(VLOOKUP(TA[[#This Row],[Date]],Raw_Data[[Date]:[Sunset Time (POA&lt;20 W/m2)]],3,0),"")</f>
        <v>0.24583333333333332</v>
      </c>
      <c r="J1013" s="41">
        <f>IFERROR(VLOOKUP(TA[[#This Row],[Date]],Raw_Data[[Date]:[Sunset Time (POA&lt;20 W/m2)]],4,0),"")</f>
        <v>0.77569444444444446</v>
      </c>
      <c r="K1013" s="35">
        <f>IFERROR((TA[[#This Row],[Sunset Time (POA&lt;20 W/m2)]]-TA[[#This Row],[Sunrise Time (POA&gt;20 W/m2)]])*24,"")</f>
        <v>12.716666666666667</v>
      </c>
      <c r="L1013" s="2" t="s">
        <v>294</v>
      </c>
      <c r="M1013" s="42">
        <f>IFERROR(VLOOKUP(TA[[#This Row],[Affected Equipment]],'Basic Data'!$I$2:$K$40,3,0),"")</f>
        <v>1.7241379310344799E-3</v>
      </c>
      <c r="N1013">
        <v>-28</v>
      </c>
      <c r="O1013" t="s">
        <v>133</v>
      </c>
      <c r="P1013" s="127" t="s">
        <v>316</v>
      </c>
      <c r="Q1013" s="126" t="s">
        <v>317</v>
      </c>
      <c r="R1013">
        <v>7</v>
      </c>
      <c r="S1013" s="2">
        <v>32</v>
      </c>
      <c r="T1013" t="s">
        <v>295</v>
      </c>
      <c r="U1013" t="s">
        <v>300</v>
      </c>
      <c r="V1013" t="s">
        <v>298</v>
      </c>
      <c r="W1013" s="41"/>
      <c r="X1013" s="41"/>
      <c r="Y1013" s="34"/>
      <c r="Z1013" s="34"/>
      <c r="AA1013" s="35">
        <f>IF(TA[[#This Row],[Work Start time on Fault]]="NA","",(TA[[#This Row],[Fault Acknowledgement Time ]]-TA[[#This Row],[Fault Time]])*24)</f>
        <v>0</v>
      </c>
      <c r="AB1013" s="35">
        <f>(TA[[#This Row],[Work Start time on Fault]]-TA[[#This Row],[Fault Time]])*24</f>
        <v>0</v>
      </c>
      <c r="AC1013" s="34">
        <f>(TA[[#This Row],[Work Completion time on fault]]-TA[[#This Row],[Fault Time]])*24</f>
        <v>0</v>
      </c>
      <c r="AD1013" s="35">
        <f>IFERROR((TA[[#This Row],[Work Completion time on fault]]-TA[[#This Row],[Fault Time]])*24,"")</f>
        <v>0</v>
      </c>
      <c r="AE1013" t="s">
        <v>328</v>
      </c>
      <c r="AF1013" t="s">
        <v>256</v>
      </c>
      <c r="AG1013" s="2"/>
      <c r="AH1013" s="44">
        <f>1-COS(RADIANS(TA[[#This Row],[Avg. Target Angle during Fault Time (Radians)]]-TA[[#This Row],[Angle of affected equipment ]]))</f>
        <v>0.11705240714107301</v>
      </c>
      <c r="AI1013" s="35">
        <f>IFERROR(TA[[#This Row],[Breakdown Time]]*TA[[#This Row],[Plant Equivalent Weightage]],"")</f>
        <v>0</v>
      </c>
    </row>
    <row r="1014" spans="1:35">
      <c r="A1014" s="2">
        <f t="shared" si="98"/>
        <v>1011</v>
      </c>
      <c r="B1014" s="156">
        <f t="shared" si="99"/>
        <v>2026</v>
      </c>
      <c r="C1014" s="129">
        <f t="shared" si="100"/>
        <v>2025</v>
      </c>
      <c r="D1014" s="2" t="s">
        <v>155</v>
      </c>
      <c r="E1014" s="2" t="s">
        <v>155</v>
      </c>
      <c r="F1014" s="39">
        <v>45809</v>
      </c>
      <c r="G1014" s="2">
        <f>DAY(EOMONTH(TA[[#This Row],[Month Year]],0))</f>
        <v>30</v>
      </c>
      <c r="H1014" s="21">
        <v>45815</v>
      </c>
      <c r="I1014" s="41">
        <f>IFERROR(VLOOKUP(TA[[#This Row],[Date]],Raw_Data[[Date]:[Sunset Time (POA&lt;20 W/m2)]],3,0),"")</f>
        <v>0.24583333333333332</v>
      </c>
      <c r="J1014" s="41">
        <f>IFERROR(VLOOKUP(TA[[#This Row],[Date]],Raw_Data[[Date]:[Sunset Time (POA&lt;20 W/m2)]],4,0),"")</f>
        <v>0.77569444444444446</v>
      </c>
      <c r="K1014" s="35">
        <f>IFERROR((TA[[#This Row],[Sunset Time (POA&lt;20 W/m2)]]-TA[[#This Row],[Sunrise Time (POA&gt;20 W/m2)]])*24,"")</f>
        <v>12.716666666666667</v>
      </c>
      <c r="L1014" s="2" t="s">
        <v>294</v>
      </c>
      <c r="M1014" s="42">
        <f>IFERROR(VLOOKUP(TA[[#This Row],[Affected Equipment]],'Basic Data'!$I$2:$K$40,3,0),"")</f>
        <v>1.7241379310344799E-3</v>
      </c>
      <c r="N1014">
        <v>-28</v>
      </c>
      <c r="O1014" t="s">
        <v>137</v>
      </c>
      <c r="P1014" s="127" t="s">
        <v>315</v>
      </c>
      <c r="Q1014" s="126" t="s">
        <v>319</v>
      </c>
      <c r="R1014">
        <v>166</v>
      </c>
      <c r="S1014" s="2">
        <v>91</v>
      </c>
      <c r="T1014" t="s">
        <v>295</v>
      </c>
      <c r="U1014" t="s">
        <v>300</v>
      </c>
      <c r="V1014" t="s">
        <v>298</v>
      </c>
      <c r="W1014" s="41"/>
      <c r="X1014" s="41"/>
      <c r="Y1014" s="34"/>
      <c r="Z1014" s="34"/>
      <c r="AA1014" s="35">
        <f>IF(TA[[#This Row],[Work Start time on Fault]]="NA","",(TA[[#This Row],[Fault Acknowledgement Time ]]-TA[[#This Row],[Fault Time]])*24)</f>
        <v>0</v>
      </c>
      <c r="AB1014" s="35">
        <f>(TA[[#This Row],[Work Start time on Fault]]-TA[[#This Row],[Fault Time]])*24</f>
        <v>0</v>
      </c>
      <c r="AC1014" s="34">
        <f>(TA[[#This Row],[Work Completion time on fault]]-TA[[#This Row],[Fault Time]])*24</f>
        <v>0</v>
      </c>
      <c r="AD1014" s="35">
        <f>IFERROR((TA[[#This Row],[Work Completion time on fault]]-TA[[#This Row],[Fault Time]])*24,"")</f>
        <v>0</v>
      </c>
      <c r="AE1014" t="s">
        <v>328</v>
      </c>
      <c r="AF1014" t="s">
        <v>256</v>
      </c>
      <c r="AG1014" s="2"/>
      <c r="AH1014" s="44">
        <f>1-COS(RADIANS(TA[[#This Row],[Avg. Target Angle during Fault Time (Radians)]]-TA[[#This Row],[Angle of affected equipment ]]))</f>
        <v>0.11705240714107301</v>
      </c>
      <c r="AI1014" s="35">
        <f>IFERROR(TA[[#This Row],[Breakdown Time]]*TA[[#This Row],[Plant Equivalent Weightage]],"")</f>
        <v>0</v>
      </c>
    </row>
    <row r="1015" spans="1:35">
      <c r="A1015" s="2">
        <f t="shared" si="98"/>
        <v>1012</v>
      </c>
      <c r="B1015" s="156">
        <f t="shared" si="99"/>
        <v>2026</v>
      </c>
      <c r="C1015" s="129">
        <f t="shared" si="100"/>
        <v>2025</v>
      </c>
      <c r="D1015" s="2" t="s">
        <v>155</v>
      </c>
      <c r="E1015" s="2" t="s">
        <v>155</v>
      </c>
      <c r="F1015" s="39">
        <v>45809</v>
      </c>
      <c r="G1015" s="2">
        <f>DAY(EOMONTH(TA[[#This Row],[Month Year]],0))</f>
        <v>30</v>
      </c>
      <c r="H1015" s="21">
        <v>45815</v>
      </c>
      <c r="I1015" s="41">
        <f>IFERROR(VLOOKUP(TA[[#This Row],[Date]],Raw_Data[[Date]:[Sunset Time (POA&lt;20 W/m2)]],3,0),"")</f>
        <v>0.24583333333333332</v>
      </c>
      <c r="J1015" s="41">
        <f>IFERROR(VLOOKUP(TA[[#This Row],[Date]],Raw_Data[[Date]:[Sunset Time (POA&lt;20 W/m2)]],4,0),"")</f>
        <v>0.77569444444444446</v>
      </c>
      <c r="K1015" s="35">
        <f>IFERROR((TA[[#This Row],[Sunset Time (POA&lt;20 W/m2)]]-TA[[#This Row],[Sunrise Time (POA&gt;20 W/m2)]])*24,"")</f>
        <v>12.716666666666667</v>
      </c>
      <c r="L1015" s="2" t="s">
        <v>294</v>
      </c>
      <c r="M1015" s="42">
        <f>IFERROR(VLOOKUP(TA[[#This Row],[Affected Equipment]],'Basic Data'!$I$2:$K$40,3,0),"")</f>
        <v>1.7241379310344799E-3</v>
      </c>
      <c r="N1015">
        <v>-28</v>
      </c>
      <c r="O1015" t="s">
        <v>133</v>
      </c>
      <c r="P1015" s="127" t="s">
        <v>316</v>
      </c>
      <c r="Q1015" s="126" t="s">
        <v>316</v>
      </c>
      <c r="R1015">
        <v>117</v>
      </c>
      <c r="S1015" s="2">
        <v>20</v>
      </c>
      <c r="T1015" t="s">
        <v>295</v>
      </c>
      <c r="U1015" t="s">
        <v>300</v>
      </c>
      <c r="V1015" t="s">
        <v>298</v>
      </c>
      <c r="W1015" s="41"/>
      <c r="X1015" s="41"/>
      <c r="Y1015" s="34"/>
      <c r="Z1015" s="34"/>
      <c r="AA1015" s="35">
        <f>IF(TA[[#This Row],[Work Start time on Fault]]="NA","",(TA[[#This Row],[Fault Acknowledgement Time ]]-TA[[#This Row],[Fault Time]])*24)</f>
        <v>0</v>
      </c>
      <c r="AB1015" s="35">
        <f>(TA[[#This Row],[Work Start time on Fault]]-TA[[#This Row],[Fault Time]])*24</f>
        <v>0</v>
      </c>
      <c r="AC1015" s="34">
        <f>(TA[[#This Row],[Work Completion time on fault]]-TA[[#This Row],[Fault Time]])*24</f>
        <v>0</v>
      </c>
      <c r="AD1015" s="35">
        <f>IFERROR((TA[[#This Row],[Work Completion time on fault]]-TA[[#This Row],[Fault Time]])*24,"")</f>
        <v>0</v>
      </c>
      <c r="AE1015" t="s">
        <v>328</v>
      </c>
      <c r="AF1015" t="s">
        <v>256</v>
      </c>
      <c r="AG1015" s="2"/>
      <c r="AH1015" s="44">
        <f>1-COS(RADIANS(TA[[#This Row],[Avg. Target Angle during Fault Time (Radians)]]-TA[[#This Row],[Angle of affected equipment ]]))</f>
        <v>0.11705240714107301</v>
      </c>
      <c r="AI1015" s="35">
        <f>IFERROR(TA[[#This Row],[Breakdown Time]]*TA[[#This Row],[Plant Equivalent Weightage]],"")</f>
        <v>0</v>
      </c>
    </row>
    <row r="1016" spans="1:35">
      <c r="A1016" s="2">
        <f t="shared" si="98"/>
        <v>1013</v>
      </c>
      <c r="B1016" s="156">
        <f t="shared" si="99"/>
        <v>2026</v>
      </c>
      <c r="C1016" s="129">
        <f t="shared" si="100"/>
        <v>2025</v>
      </c>
      <c r="D1016" s="2" t="s">
        <v>155</v>
      </c>
      <c r="E1016" s="2" t="s">
        <v>155</v>
      </c>
      <c r="F1016" s="39">
        <v>45809</v>
      </c>
      <c r="G1016" s="2">
        <f>DAY(EOMONTH(TA[[#This Row],[Month Year]],0))</f>
        <v>30</v>
      </c>
      <c r="H1016" s="21">
        <v>45815</v>
      </c>
      <c r="I1016" s="41">
        <f>IFERROR(VLOOKUP(TA[[#This Row],[Date]],Raw_Data[[Date]:[Sunset Time (POA&lt;20 W/m2)]],3,0),"")</f>
        <v>0.24583333333333332</v>
      </c>
      <c r="J1016" s="41">
        <f>IFERROR(VLOOKUP(TA[[#This Row],[Date]],Raw_Data[[Date]:[Sunset Time (POA&lt;20 W/m2)]],4,0),"")</f>
        <v>0.77569444444444446</v>
      </c>
      <c r="K1016" s="35">
        <f>IFERROR((TA[[#This Row],[Sunset Time (POA&lt;20 W/m2)]]-TA[[#This Row],[Sunrise Time (POA&gt;20 W/m2)]])*24,"")</f>
        <v>12.716666666666667</v>
      </c>
      <c r="L1016" s="2" t="s">
        <v>294</v>
      </c>
      <c r="M1016" s="42">
        <f>IFERROR(VLOOKUP(TA[[#This Row],[Affected Equipment]],'Basic Data'!$I$2:$K$40,3,0),"")</f>
        <v>1.7241379310344799E-3</v>
      </c>
      <c r="N1016">
        <v>-28</v>
      </c>
      <c r="O1016" t="s">
        <v>133</v>
      </c>
      <c r="P1016" s="127" t="s">
        <v>316</v>
      </c>
      <c r="Q1016" s="126" t="s">
        <v>316</v>
      </c>
      <c r="R1016">
        <v>118</v>
      </c>
      <c r="S1016" s="2">
        <v>22</v>
      </c>
      <c r="T1016" t="s">
        <v>295</v>
      </c>
      <c r="U1016" t="s">
        <v>300</v>
      </c>
      <c r="V1016" t="s">
        <v>298</v>
      </c>
      <c r="W1016" s="41"/>
      <c r="X1016" s="41"/>
      <c r="Y1016" s="34"/>
      <c r="Z1016" s="34"/>
      <c r="AA1016" s="35">
        <f>IF(TA[[#This Row],[Work Start time on Fault]]="NA","",(TA[[#This Row],[Fault Acknowledgement Time ]]-TA[[#This Row],[Fault Time]])*24)</f>
        <v>0</v>
      </c>
      <c r="AB1016" s="35">
        <f>(TA[[#This Row],[Work Start time on Fault]]-TA[[#This Row],[Fault Time]])*24</f>
        <v>0</v>
      </c>
      <c r="AC1016" s="34">
        <f>(TA[[#This Row],[Work Completion time on fault]]-TA[[#This Row],[Fault Time]])*24</f>
        <v>0</v>
      </c>
      <c r="AD1016" s="35">
        <f>IFERROR((TA[[#This Row],[Work Completion time on fault]]-TA[[#This Row],[Fault Time]])*24,"")</f>
        <v>0</v>
      </c>
      <c r="AE1016" t="s">
        <v>328</v>
      </c>
      <c r="AF1016" t="s">
        <v>256</v>
      </c>
      <c r="AG1016" s="2"/>
      <c r="AH1016" s="44">
        <f>1-COS(RADIANS(TA[[#This Row],[Avg. Target Angle during Fault Time (Radians)]]-TA[[#This Row],[Angle of affected equipment ]]))</f>
        <v>0.11705240714107301</v>
      </c>
      <c r="AI1016" s="35">
        <f>IFERROR(TA[[#This Row],[Breakdown Time]]*TA[[#This Row],[Plant Equivalent Weightage]],"")</f>
        <v>0</v>
      </c>
    </row>
    <row r="1017" spans="1:35">
      <c r="A1017" s="2">
        <f t="shared" si="98"/>
        <v>1014</v>
      </c>
      <c r="B1017" s="156">
        <f t="shared" si="99"/>
        <v>2026</v>
      </c>
      <c r="C1017" s="129">
        <f t="shared" si="100"/>
        <v>2025</v>
      </c>
      <c r="D1017" s="2" t="s">
        <v>155</v>
      </c>
      <c r="E1017" s="2" t="s">
        <v>155</v>
      </c>
      <c r="F1017" s="39">
        <v>45809</v>
      </c>
      <c r="G1017" s="2">
        <f>DAY(EOMONTH(TA[[#This Row],[Month Year]],0))</f>
        <v>30</v>
      </c>
      <c r="H1017" s="21">
        <v>45815</v>
      </c>
      <c r="I1017" s="41">
        <f>IFERROR(VLOOKUP(TA[[#This Row],[Date]],Raw_Data[[Date]:[Sunset Time (POA&lt;20 W/m2)]],3,0),"")</f>
        <v>0.24583333333333332</v>
      </c>
      <c r="J1017" s="41">
        <f>IFERROR(VLOOKUP(TA[[#This Row],[Date]],Raw_Data[[Date]:[Sunset Time (POA&lt;20 W/m2)]],4,0),"")</f>
        <v>0.77569444444444446</v>
      </c>
      <c r="K1017" s="35">
        <f>IFERROR((TA[[#This Row],[Sunset Time (POA&lt;20 W/m2)]]-TA[[#This Row],[Sunrise Time (POA&gt;20 W/m2)]])*24,"")</f>
        <v>12.716666666666667</v>
      </c>
      <c r="L1017" s="2" t="s">
        <v>296</v>
      </c>
      <c r="M1017" s="42">
        <f>IFERROR(VLOOKUP(TA[[#This Row],[Affected Equipment]],'Basic Data'!$I$2:$K$40,3,0),"")</f>
        <v>8.6206896551724102E-3</v>
      </c>
      <c r="N1017">
        <v>-28</v>
      </c>
      <c r="O1017" t="s">
        <v>135</v>
      </c>
      <c r="P1017" s="22" t="s">
        <v>323</v>
      </c>
      <c r="Q1017" s="2" t="s">
        <v>329</v>
      </c>
      <c r="R1017">
        <v>45</v>
      </c>
      <c r="S1017" s="2">
        <v>8</v>
      </c>
      <c r="T1017" t="s">
        <v>297</v>
      </c>
      <c r="U1017" t="s">
        <v>300</v>
      </c>
      <c r="V1017" t="s">
        <v>301</v>
      </c>
      <c r="W1017" s="41"/>
      <c r="X1017" s="41"/>
      <c r="Y1017" s="34"/>
      <c r="Z1017" s="34"/>
      <c r="AA1017" s="35">
        <f>IF(TA[[#This Row],[Work Start time on Fault]]="NA","",(TA[[#This Row],[Fault Acknowledgement Time ]]-TA[[#This Row],[Fault Time]])*24)</f>
        <v>0</v>
      </c>
      <c r="AB1017" s="35">
        <f>(TA[[#This Row],[Work Start time on Fault]]-TA[[#This Row],[Fault Time]])*24</f>
        <v>0</v>
      </c>
      <c r="AC1017" s="34">
        <f>(TA[[#This Row],[Work Completion time on fault]]-TA[[#This Row],[Fault Time]])*24</f>
        <v>0</v>
      </c>
      <c r="AD1017" s="35">
        <f>IFERROR((TA[[#This Row],[Work Completion time on fault]]-TA[[#This Row],[Fault Time]])*24,"")</f>
        <v>0</v>
      </c>
      <c r="AE1017" t="s">
        <v>328</v>
      </c>
      <c r="AF1017" t="s">
        <v>256</v>
      </c>
      <c r="AG1017" s="2"/>
      <c r="AH1017" s="44">
        <f>1-COS(RADIANS(TA[[#This Row],[Avg. Target Angle during Fault Time (Radians)]]-TA[[#This Row],[Angle of affected equipment ]]))</f>
        <v>0.11705240714107301</v>
      </c>
      <c r="AI1017" s="35">
        <f>IFERROR(TA[[#This Row],[Breakdown Time]]*TA[[#This Row],[Plant Equivalent Weightage]],"")</f>
        <v>0</v>
      </c>
    </row>
    <row r="1018" spans="1:35">
      <c r="A1018" s="2">
        <f t="shared" si="98"/>
        <v>1015</v>
      </c>
      <c r="B1018" s="156">
        <f t="shared" si="99"/>
        <v>2026</v>
      </c>
      <c r="C1018" s="129">
        <f t="shared" si="100"/>
        <v>2025</v>
      </c>
      <c r="D1018" s="2" t="s">
        <v>155</v>
      </c>
      <c r="E1018" s="2" t="s">
        <v>155</v>
      </c>
      <c r="F1018" s="39">
        <v>45809</v>
      </c>
      <c r="G1018" s="2">
        <f>DAY(EOMONTH(TA[[#This Row],[Month Year]],0))</f>
        <v>30</v>
      </c>
      <c r="H1018" s="21">
        <v>45815</v>
      </c>
      <c r="I1018" s="41">
        <f>IFERROR(VLOOKUP(TA[[#This Row],[Date]],Raw_Data[[Date]:[Sunset Time (POA&lt;20 W/m2)]],3,0),"")</f>
        <v>0.24583333333333332</v>
      </c>
      <c r="J1018" s="41">
        <f>IFERROR(VLOOKUP(TA[[#This Row],[Date]],Raw_Data[[Date]:[Sunset Time (POA&lt;20 W/m2)]],4,0),"")</f>
        <v>0.77569444444444446</v>
      </c>
      <c r="K1018" s="35">
        <f>IFERROR((TA[[#This Row],[Sunset Time (POA&lt;20 W/m2)]]-TA[[#This Row],[Sunrise Time (POA&gt;20 W/m2)]])*24,"")</f>
        <v>12.716666666666667</v>
      </c>
      <c r="L1018" s="2" t="s">
        <v>296</v>
      </c>
      <c r="M1018" s="42">
        <f>IFERROR(VLOOKUP(TA[[#This Row],[Affected Equipment]],'Basic Data'!$I$2:$K$40,3,0),"")</f>
        <v>8.6206896551724102E-3</v>
      </c>
      <c r="N1018">
        <v>-28</v>
      </c>
      <c r="O1018" t="s">
        <v>135</v>
      </c>
      <c r="P1018" s="22" t="s">
        <v>323</v>
      </c>
      <c r="Q1018" s="2" t="s">
        <v>329</v>
      </c>
      <c r="R1018">
        <v>47</v>
      </c>
      <c r="S1018" s="2">
        <v>18</v>
      </c>
      <c r="T1018" t="s">
        <v>297</v>
      </c>
      <c r="U1018" t="s">
        <v>300</v>
      </c>
      <c r="V1018" t="s">
        <v>301</v>
      </c>
      <c r="W1018" s="41"/>
      <c r="X1018" s="41"/>
      <c r="Y1018" s="34"/>
      <c r="Z1018" s="34"/>
      <c r="AA1018" s="35">
        <f>IF(TA[[#This Row],[Work Start time on Fault]]="NA","",(TA[[#This Row],[Fault Acknowledgement Time ]]-TA[[#This Row],[Fault Time]])*24)</f>
        <v>0</v>
      </c>
      <c r="AB1018" s="35">
        <f>(TA[[#This Row],[Work Start time on Fault]]-TA[[#This Row],[Fault Time]])*24</f>
        <v>0</v>
      </c>
      <c r="AC1018" s="34">
        <f>(TA[[#This Row],[Work Completion time on fault]]-TA[[#This Row],[Fault Time]])*24</f>
        <v>0</v>
      </c>
      <c r="AD1018" s="35">
        <f>IFERROR((TA[[#This Row],[Work Completion time on fault]]-TA[[#This Row],[Fault Time]])*24,"")</f>
        <v>0</v>
      </c>
      <c r="AE1018" t="s">
        <v>328</v>
      </c>
      <c r="AF1018" t="s">
        <v>256</v>
      </c>
      <c r="AG1018" s="2"/>
      <c r="AH1018" s="44">
        <f>1-COS(RADIANS(TA[[#This Row],[Avg. Target Angle during Fault Time (Radians)]]-TA[[#This Row],[Angle of affected equipment ]]))</f>
        <v>0.11705240714107301</v>
      </c>
      <c r="AI1018" s="35">
        <f>IFERROR(TA[[#This Row],[Breakdown Time]]*TA[[#This Row],[Plant Equivalent Weightage]],"")</f>
        <v>0</v>
      </c>
    </row>
    <row r="1019" spans="1:35">
      <c r="A1019" s="2">
        <f t="shared" si="98"/>
        <v>1016</v>
      </c>
      <c r="B1019" s="156">
        <f t="shared" si="99"/>
        <v>2026</v>
      </c>
      <c r="C1019" s="129">
        <f t="shared" si="100"/>
        <v>2025</v>
      </c>
      <c r="D1019" s="2" t="s">
        <v>155</v>
      </c>
      <c r="E1019" s="2" t="s">
        <v>155</v>
      </c>
      <c r="F1019" s="39">
        <v>45809</v>
      </c>
      <c r="G1019" s="2">
        <f>DAY(EOMONTH(TA[[#This Row],[Month Year]],0))</f>
        <v>30</v>
      </c>
      <c r="H1019" s="21">
        <v>45815</v>
      </c>
      <c r="I1019" s="41">
        <f>IFERROR(VLOOKUP(TA[[#This Row],[Date]],Raw_Data[[Date]:[Sunset Time (POA&lt;20 W/m2)]],3,0),"")</f>
        <v>0.24583333333333332</v>
      </c>
      <c r="J1019" s="41">
        <f>IFERROR(VLOOKUP(TA[[#This Row],[Date]],Raw_Data[[Date]:[Sunset Time (POA&lt;20 W/m2)]],4,0),"")</f>
        <v>0.77569444444444446</v>
      </c>
      <c r="K1019" s="35">
        <f>IFERROR((TA[[#This Row],[Sunset Time (POA&lt;20 W/m2)]]-TA[[#This Row],[Sunrise Time (POA&gt;20 W/m2)]])*24,"")</f>
        <v>12.716666666666667</v>
      </c>
      <c r="L1019" s="2" t="s">
        <v>296</v>
      </c>
      <c r="M1019" s="42">
        <f>IFERROR(VLOOKUP(TA[[#This Row],[Affected Equipment]],'Basic Data'!$I$2:$K$40,3,0),"")</f>
        <v>8.6206896551724102E-3</v>
      </c>
      <c r="N1019">
        <v>-28</v>
      </c>
      <c r="O1019" t="s">
        <v>134</v>
      </c>
      <c r="P1019" s="22" t="s">
        <v>330</v>
      </c>
      <c r="Q1019" s="2" t="s">
        <v>323</v>
      </c>
      <c r="R1019">
        <v>30</v>
      </c>
      <c r="S1019" s="2">
        <v>57</v>
      </c>
      <c r="T1019" t="s">
        <v>297</v>
      </c>
      <c r="U1019" t="s">
        <v>300</v>
      </c>
      <c r="V1019" t="s">
        <v>301</v>
      </c>
      <c r="W1019" s="41"/>
      <c r="X1019" s="41"/>
      <c r="Y1019" s="34"/>
      <c r="Z1019" s="34"/>
      <c r="AA1019" s="35">
        <f>IF(TA[[#This Row],[Work Start time on Fault]]="NA","",(TA[[#This Row],[Fault Acknowledgement Time ]]-TA[[#This Row],[Fault Time]])*24)</f>
        <v>0</v>
      </c>
      <c r="AB1019" s="35">
        <f>(TA[[#This Row],[Work Start time on Fault]]-TA[[#This Row],[Fault Time]])*24</f>
        <v>0</v>
      </c>
      <c r="AC1019" s="34">
        <f>(TA[[#This Row],[Work Completion time on fault]]-TA[[#This Row],[Fault Time]])*24</f>
        <v>0</v>
      </c>
      <c r="AD1019" s="35">
        <f>IFERROR((TA[[#This Row],[Work Completion time on fault]]-TA[[#This Row],[Fault Time]])*24,"")</f>
        <v>0</v>
      </c>
      <c r="AE1019" t="s">
        <v>328</v>
      </c>
      <c r="AF1019" t="s">
        <v>256</v>
      </c>
      <c r="AG1019" s="2"/>
      <c r="AH1019" s="44">
        <f>1-COS(RADIANS(TA[[#This Row],[Avg. Target Angle during Fault Time (Radians)]]-TA[[#This Row],[Angle of affected equipment ]]))</f>
        <v>0.11705240714107301</v>
      </c>
      <c r="AI1019" s="35">
        <f>IFERROR(TA[[#This Row],[Breakdown Time]]*TA[[#This Row],[Plant Equivalent Weightage]],"")</f>
        <v>0</v>
      </c>
    </row>
    <row r="1020" spans="1:35">
      <c r="A1020" s="2">
        <f t="shared" si="98"/>
        <v>1017</v>
      </c>
      <c r="B1020" s="156">
        <f t="shared" si="99"/>
        <v>2026</v>
      </c>
      <c r="C1020" s="129">
        <f t="shared" si="100"/>
        <v>2025</v>
      </c>
      <c r="D1020" s="2" t="s">
        <v>155</v>
      </c>
      <c r="E1020" s="2" t="s">
        <v>155</v>
      </c>
      <c r="F1020" s="39">
        <v>45809</v>
      </c>
      <c r="G1020" s="2">
        <f>DAY(EOMONTH(TA[[#This Row],[Month Year]],0))</f>
        <v>30</v>
      </c>
      <c r="H1020" s="21">
        <v>45815</v>
      </c>
      <c r="I1020" s="41">
        <f>IFERROR(VLOOKUP(TA[[#This Row],[Date]],Raw_Data[[Date]:[Sunset Time (POA&lt;20 W/m2)]],3,0),"")</f>
        <v>0.24583333333333332</v>
      </c>
      <c r="J1020" s="41">
        <f>IFERROR(VLOOKUP(TA[[#This Row],[Date]],Raw_Data[[Date]:[Sunset Time (POA&lt;20 W/m2)]],4,0),"")</f>
        <v>0.77569444444444446</v>
      </c>
      <c r="K1020" s="35">
        <f>IFERROR((TA[[#This Row],[Sunset Time (POA&lt;20 W/m2)]]-TA[[#This Row],[Sunrise Time (POA&gt;20 W/m2)]])*24,"")</f>
        <v>12.716666666666667</v>
      </c>
      <c r="L1020" s="2" t="s">
        <v>296</v>
      </c>
      <c r="M1020" s="42">
        <f>IFERROR(VLOOKUP(TA[[#This Row],[Affected Equipment]],'Basic Data'!$I$2:$K$40,3,0),"")</f>
        <v>8.6206896551724102E-3</v>
      </c>
      <c r="N1020">
        <v>-28</v>
      </c>
      <c r="O1020" t="s">
        <v>134</v>
      </c>
      <c r="P1020" s="22" t="s">
        <v>330</v>
      </c>
      <c r="Q1020" s="2" t="s">
        <v>323</v>
      </c>
      <c r="R1020">
        <v>31</v>
      </c>
      <c r="S1020" s="2">
        <v>61</v>
      </c>
      <c r="T1020" t="s">
        <v>297</v>
      </c>
      <c r="U1020" t="s">
        <v>300</v>
      </c>
      <c r="V1020" t="s">
        <v>301</v>
      </c>
      <c r="W1020" s="41"/>
      <c r="X1020" s="41"/>
      <c r="Y1020" s="34"/>
      <c r="Z1020" s="34"/>
      <c r="AA1020" s="35">
        <f>IF(TA[[#This Row],[Work Start time on Fault]]="NA","",(TA[[#This Row],[Fault Acknowledgement Time ]]-TA[[#This Row],[Fault Time]])*24)</f>
        <v>0</v>
      </c>
      <c r="AB1020" s="35">
        <f>(TA[[#This Row],[Work Start time on Fault]]-TA[[#This Row],[Fault Time]])*24</f>
        <v>0</v>
      </c>
      <c r="AC1020" s="34">
        <f>(TA[[#This Row],[Work Completion time on fault]]-TA[[#This Row],[Fault Time]])*24</f>
        <v>0</v>
      </c>
      <c r="AD1020" s="35">
        <f>IFERROR((TA[[#This Row],[Work Completion time on fault]]-TA[[#This Row],[Fault Time]])*24,"")</f>
        <v>0</v>
      </c>
      <c r="AE1020" t="s">
        <v>328</v>
      </c>
      <c r="AF1020" t="s">
        <v>256</v>
      </c>
      <c r="AG1020" s="2"/>
      <c r="AH1020" s="44">
        <f>1-COS(RADIANS(TA[[#This Row],[Avg. Target Angle during Fault Time (Radians)]]-TA[[#This Row],[Angle of affected equipment ]]))</f>
        <v>0.11705240714107301</v>
      </c>
      <c r="AI1020" s="35">
        <f>IFERROR(TA[[#This Row],[Breakdown Time]]*TA[[#This Row],[Plant Equivalent Weightage]],"")</f>
        <v>0</v>
      </c>
    </row>
    <row r="1021" spans="1:35">
      <c r="A1021" s="2">
        <f t="shared" si="98"/>
        <v>1018</v>
      </c>
      <c r="B1021" s="156">
        <f t="shared" si="99"/>
        <v>2026</v>
      </c>
      <c r="C1021" s="129">
        <f t="shared" si="100"/>
        <v>2025</v>
      </c>
      <c r="D1021" s="2" t="s">
        <v>155</v>
      </c>
      <c r="E1021" s="2" t="s">
        <v>155</v>
      </c>
      <c r="F1021" s="39">
        <v>45809</v>
      </c>
      <c r="G1021" s="2">
        <f>DAY(EOMONTH(TA[[#This Row],[Month Year]],0))</f>
        <v>30</v>
      </c>
      <c r="H1021" s="21">
        <v>45815</v>
      </c>
      <c r="I1021" s="41">
        <f>IFERROR(VLOOKUP(TA[[#This Row],[Date]],Raw_Data[[Date]:[Sunset Time (POA&lt;20 W/m2)]],3,0),"")</f>
        <v>0.24583333333333332</v>
      </c>
      <c r="J1021" s="41">
        <f>IFERROR(VLOOKUP(TA[[#This Row],[Date]],Raw_Data[[Date]:[Sunset Time (POA&lt;20 W/m2)]],4,0),"")</f>
        <v>0.77569444444444446</v>
      </c>
      <c r="K1021" s="35">
        <f>IFERROR((TA[[#This Row],[Sunset Time (POA&lt;20 W/m2)]]-TA[[#This Row],[Sunrise Time (POA&gt;20 W/m2)]])*24,"")</f>
        <v>12.716666666666667</v>
      </c>
      <c r="L1021" s="2" t="s">
        <v>312</v>
      </c>
      <c r="M1021" s="42">
        <f>IFERROR(VLOOKUP(TA[[#This Row],[Affected Equipment]],'Basic Data'!$I$2:$K$40,3,0),"")</f>
        <v>5.74712643678161E-3</v>
      </c>
      <c r="N1021">
        <v>-28</v>
      </c>
      <c r="O1021" t="s">
        <v>133</v>
      </c>
      <c r="P1021" s="22" t="s">
        <v>330</v>
      </c>
      <c r="Q1021" s="2" t="s">
        <v>323</v>
      </c>
      <c r="R1021">
        <v>26</v>
      </c>
      <c r="S1021" s="2">
        <v>37</v>
      </c>
      <c r="T1021" t="s">
        <v>297</v>
      </c>
      <c r="U1021" t="s">
        <v>300</v>
      </c>
      <c r="V1021" t="s">
        <v>301</v>
      </c>
      <c r="W1021" s="41"/>
      <c r="X1021" s="41"/>
      <c r="Y1021" s="34"/>
      <c r="Z1021" s="34"/>
      <c r="AA1021" s="35">
        <f>IF(TA[[#This Row],[Work Start time on Fault]]="NA","",(TA[[#This Row],[Fault Acknowledgement Time ]]-TA[[#This Row],[Fault Time]])*24)</f>
        <v>0</v>
      </c>
      <c r="AB1021" s="35">
        <f>(TA[[#This Row],[Work Start time on Fault]]-TA[[#This Row],[Fault Time]])*24</f>
        <v>0</v>
      </c>
      <c r="AC1021" s="34">
        <f>(TA[[#This Row],[Work Completion time on fault]]-TA[[#This Row],[Fault Time]])*24</f>
        <v>0</v>
      </c>
      <c r="AD1021" s="35">
        <f>IFERROR((TA[[#This Row],[Work Completion time on fault]]-TA[[#This Row],[Fault Time]])*24,"")</f>
        <v>0</v>
      </c>
      <c r="AE1021" t="s">
        <v>328</v>
      </c>
      <c r="AF1021" t="s">
        <v>256</v>
      </c>
      <c r="AG1021" s="2"/>
      <c r="AH1021" s="44">
        <f>1-COS(RADIANS(TA[[#This Row],[Avg. Target Angle during Fault Time (Radians)]]-TA[[#This Row],[Angle of affected equipment ]]))</f>
        <v>0.11705240714107301</v>
      </c>
      <c r="AI1021" s="35">
        <f>IFERROR(TA[[#This Row],[Breakdown Time]]*TA[[#This Row],[Plant Equivalent Weightage]],"")</f>
        <v>0</v>
      </c>
    </row>
    <row r="1022" spans="1:35">
      <c r="A1022" s="2">
        <f t="shared" si="98"/>
        <v>1019</v>
      </c>
      <c r="B1022" s="156">
        <f t="shared" si="99"/>
        <v>2026</v>
      </c>
      <c r="C1022" s="129">
        <f t="shared" si="100"/>
        <v>2025</v>
      </c>
      <c r="D1022" s="2" t="s">
        <v>155</v>
      </c>
      <c r="E1022" s="2" t="s">
        <v>155</v>
      </c>
      <c r="F1022" s="39">
        <v>45809</v>
      </c>
      <c r="G1022" s="2">
        <f>DAY(EOMONTH(TA[[#This Row],[Month Year]],0))</f>
        <v>30</v>
      </c>
      <c r="H1022" s="21">
        <v>45815</v>
      </c>
      <c r="I1022" s="41">
        <f>IFERROR(VLOOKUP(TA[[#This Row],[Date]],Raw_Data[[Date]:[Sunset Time (POA&lt;20 W/m2)]],3,0),"")</f>
        <v>0.24583333333333332</v>
      </c>
      <c r="J1022" s="41">
        <f>IFERROR(VLOOKUP(TA[[#This Row],[Date]],Raw_Data[[Date]:[Sunset Time (POA&lt;20 W/m2)]],4,0),"")</f>
        <v>0.77569444444444446</v>
      </c>
      <c r="K1022" s="35">
        <f>IFERROR((TA[[#This Row],[Sunset Time (POA&lt;20 W/m2)]]-TA[[#This Row],[Sunrise Time (POA&gt;20 W/m2)]])*24,"")</f>
        <v>12.716666666666667</v>
      </c>
      <c r="L1022" s="2" t="s">
        <v>312</v>
      </c>
      <c r="M1022" s="42">
        <f>IFERROR(VLOOKUP(TA[[#This Row],[Affected Equipment]],'Basic Data'!$I$2:$K$40,3,0),"")</f>
        <v>5.74712643678161E-3</v>
      </c>
      <c r="N1022">
        <v>-28</v>
      </c>
      <c r="O1022" t="s">
        <v>133</v>
      </c>
      <c r="P1022" s="22" t="s">
        <v>330</v>
      </c>
      <c r="Q1022" s="2" t="s">
        <v>323</v>
      </c>
      <c r="R1022">
        <v>27</v>
      </c>
      <c r="S1022" s="2">
        <v>42</v>
      </c>
      <c r="T1022" t="s">
        <v>297</v>
      </c>
      <c r="U1022" t="s">
        <v>300</v>
      </c>
      <c r="V1022" t="s">
        <v>301</v>
      </c>
      <c r="W1022" s="41">
        <f>IFERROR(VLOOKUP(TA[[#This Row],[Date]],Raw_Data[[Date]:[Sunset Time (POA&lt;20 W/m2)]],3,0),"")</f>
        <v>0.24583333333333332</v>
      </c>
      <c r="X1022" s="41">
        <f>IFERROR(VLOOKUP(TA[[#This Row],[Date]],Raw_Data[[Date]:[Sunset Time (POA&lt;20 W/m2)]],3,0),"")</f>
        <v>0.24583333333333332</v>
      </c>
      <c r="Y1022" s="34"/>
      <c r="Z1022" s="34">
        <v>0.76041666666666663</v>
      </c>
      <c r="AA1022" s="35">
        <f>IF(TA[[#This Row],[Work Start time on Fault]]="NA","",(TA[[#This Row],[Fault Acknowledgement Time ]]-TA[[#This Row],[Fault Time]])*24)</f>
        <v>0</v>
      </c>
      <c r="AB1022" s="35">
        <f>(TA[[#This Row],[Work Start time on Fault]]-TA[[#This Row],[Fault Time]])*24</f>
        <v>-5.8999999999999995</v>
      </c>
      <c r="AC1022" s="34">
        <f>(TA[[#This Row],[Work Completion time on fault]]-TA[[#This Row],[Fault Time]])*24</f>
        <v>12.349999999999998</v>
      </c>
      <c r="AD1022" s="35">
        <f>IFERROR((TA[[#This Row],[Work Completion time on fault]]-TA[[#This Row],[Fault Time]])*24,"")</f>
        <v>12.349999999999998</v>
      </c>
      <c r="AE1022" t="s">
        <v>309</v>
      </c>
      <c r="AF1022" t="s">
        <v>256</v>
      </c>
      <c r="AG1022" s="2"/>
      <c r="AH1022" s="44">
        <f>1-COS(RADIANS(TA[[#This Row],[Avg. Target Angle during Fault Time (Radians)]]-TA[[#This Row],[Angle of affected equipment ]]))</f>
        <v>0.11705240714107301</v>
      </c>
      <c r="AI1022" s="35">
        <f>IFERROR(TA[[#This Row],[Breakdown Time]]*TA[[#This Row],[Plant Equivalent Weightage]],"")</f>
        <v>7.0977011494252867E-2</v>
      </c>
    </row>
    <row r="1023" spans="1:35">
      <c r="A1023" s="2">
        <f t="shared" si="98"/>
        <v>1020</v>
      </c>
      <c r="B1023" s="156">
        <f t="shared" ref="B1023:B1035" si="101">YEAR(H1023)+IF(MONTH(H1023)&gt;=4,1,0)</f>
        <v>2026</v>
      </c>
      <c r="C1023" s="129">
        <f t="shared" ref="C1023:C1035" si="102">YEAR(H1023)</f>
        <v>2025</v>
      </c>
      <c r="D1023" s="2" t="s">
        <v>155</v>
      </c>
      <c r="E1023" s="2" t="s">
        <v>155</v>
      </c>
      <c r="F1023" s="39">
        <v>45809</v>
      </c>
      <c r="G1023" s="2">
        <f>DAY(EOMONTH(TA[[#This Row],[Month Year]],0))</f>
        <v>30</v>
      </c>
      <c r="H1023" s="21">
        <v>45816</v>
      </c>
      <c r="I1023" s="41">
        <f>IFERROR(VLOOKUP(TA[[#This Row],[Date]],Raw_Data[[Date]:[Sunset Time (POA&lt;20 W/m2)]],3,0),"")</f>
        <v>0.24722222222222223</v>
      </c>
      <c r="J1023" s="41">
        <f>IFERROR(VLOOKUP(TA[[#This Row],[Date]],Raw_Data[[Date]:[Sunset Time (POA&lt;20 W/m2)]],4,0),"")</f>
        <v>0.77430555555555558</v>
      </c>
      <c r="K1023" s="35">
        <f>IFERROR((TA[[#This Row],[Sunset Time (POA&lt;20 W/m2)]]-TA[[#This Row],[Sunrise Time (POA&gt;20 W/m2)]])*24,"")</f>
        <v>12.65</v>
      </c>
      <c r="L1023" s="2" t="s">
        <v>294</v>
      </c>
      <c r="M1023" s="42">
        <f>IFERROR(VLOOKUP(TA[[#This Row],[Affected Equipment]],'Basic Data'!$I$2:$K$40,3,0),"")</f>
        <v>1.7241379310344799E-3</v>
      </c>
      <c r="N1023">
        <v>-28</v>
      </c>
      <c r="O1023" t="s">
        <v>135</v>
      </c>
      <c r="P1023" s="127" t="s">
        <v>318</v>
      </c>
      <c r="Q1023" s="126" t="s">
        <v>318</v>
      </c>
      <c r="R1023">
        <v>131</v>
      </c>
      <c r="S1023" s="2">
        <v>38</v>
      </c>
      <c r="T1023" t="s">
        <v>295</v>
      </c>
      <c r="U1023" t="s">
        <v>300</v>
      </c>
      <c r="V1023" t="s">
        <v>298</v>
      </c>
      <c r="W1023" s="41"/>
      <c r="X1023" s="41"/>
      <c r="Y1023" s="34"/>
      <c r="Z1023" s="34"/>
      <c r="AA1023" s="35">
        <f>IF(TA[[#This Row],[Work Start time on Fault]]="NA","",(TA[[#This Row],[Fault Acknowledgement Time ]]-TA[[#This Row],[Fault Time]])*24)</f>
        <v>0</v>
      </c>
      <c r="AB1023" s="35">
        <f>(TA[[#This Row],[Work Start time on Fault]]-TA[[#This Row],[Fault Time]])*24</f>
        <v>0</v>
      </c>
      <c r="AC1023" s="34">
        <f>(TA[[#This Row],[Work Completion time on fault]]-TA[[#This Row],[Fault Time]])*24</f>
        <v>0</v>
      </c>
      <c r="AD1023" s="35">
        <f>IFERROR((TA[[#This Row],[Work Completion time on fault]]-TA[[#This Row],[Fault Time]])*24,"")</f>
        <v>0</v>
      </c>
      <c r="AE1023" t="s">
        <v>328</v>
      </c>
      <c r="AF1023" t="s">
        <v>256</v>
      </c>
      <c r="AG1023" s="2"/>
      <c r="AH1023" s="44">
        <f>1-COS(RADIANS(TA[[#This Row],[Avg. Target Angle during Fault Time (Radians)]]-TA[[#This Row],[Angle of affected equipment ]]))</f>
        <v>0.11705240714107301</v>
      </c>
      <c r="AI1023" s="35">
        <f>IFERROR(TA[[#This Row],[Breakdown Time]]*TA[[#This Row],[Plant Equivalent Weightage]],"")</f>
        <v>0</v>
      </c>
    </row>
    <row r="1024" spans="1:35">
      <c r="A1024" s="2">
        <f t="shared" si="98"/>
        <v>1021</v>
      </c>
      <c r="B1024" s="156">
        <f t="shared" si="101"/>
        <v>2026</v>
      </c>
      <c r="C1024" s="129">
        <f t="shared" si="102"/>
        <v>2025</v>
      </c>
      <c r="D1024" s="2" t="s">
        <v>155</v>
      </c>
      <c r="E1024" s="2" t="s">
        <v>155</v>
      </c>
      <c r="F1024" s="39">
        <v>45809</v>
      </c>
      <c r="G1024" s="2">
        <f>DAY(EOMONTH(TA[[#This Row],[Month Year]],0))</f>
        <v>30</v>
      </c>
      <c r="H1024" s="21">
        <v>45816</v>
      </c>
      <c r="I1024" s="41">
        <f>IFERROR(VLOOKUP(TA[[#This Row],[Date]],Raw_Data[[Date]:[Sunset Time (POA&lt;20 W/m2)]],3,0),"")</f>
        <v>0.24722222222222223</v>
      </c>
      <c r="J1024" s="41">
        <f>IFERROR(VLOOKUP(TA[[#This Row],[Date]],Raw_Data[[Date]:[Sunset Time (POA&lt;20 W/m2)]],4,0),"")</f>
        <v>0.77430555555555558</v>
      </c>
      <c r="K1024" s="35">
        <f>IFERROR((TA[[#This Row],[Sunset Time (POA&lt;20 W/m2)]]-TA[[#This Row],[Sunrise Time (POA&gt;20 W/m2)]])*24,"")</f>
        <v>12.65</v>
      </c>
      <c r="L1024" s="2" t="s">
        <v>294</v>
      </c>
      <c r="M1024" s="42">
        <f>IFERROR(VLOOKUP(TA[[#This Row],[Affected Equipment]],'Basic Data'!$I$2:$K$40,3,0),"")</f>
        <v>1.7241379310344799E-3</v>
      </c>
      <c r="N1024">
        <v>-28</v>
      </c>
      <c r="O1024" t="s">
        <v>135</v>
      </c>
      <c r="P1024" s="127" t="s">
        <v>318</v>
      </c>
      <c r="Q1024" s="126" t="s">
        <v>318</v>
      </c>
      <c r="R1024">
        <v>131</v>
      </c>
      <c r="S1024" s="2">
        <v>39</v>
      </c>
      <c r="T1024" t="s">
        <v>295</v>
      </c>
      <c r="U1024" t="s">
        <v>300</v>
      </c>
      <c r="V1024" t="s">
        <v>298</v>
      </c>
      <c r="W1024" s="41"/>
      <c r="X1024" s="41"/>
      <c r="Y1024" s="34"/>
      <c r="Z1024" s="34"/>
      <c r="AA1024" s="35">
        <f>IF(TA[[#This Row],[Work Start time on Fault]]="NA","",(TA[[#This Row],[Fault Acknowledgement Time ]]-TA[[#This Row],[Fault Time]])*24)</f>
        <v>0</v>
      </c>
      <c r="AB1024" s="35">
        <f>(TA[[#This Row],[Work Start time on Fault]]-TA[[#This Row],[Fault Time]])*24</f>
        <v>0</v>
      </c>
      <c r="AC1024" s="34">
        <f>(TA[[#This Row],[Work Completion time on fault]]-TA[[#This Row],[Fault Time]])*24</f>
        <v>0</v>
      </c>
      <c r="AD1024" s="35">
        <f>IFERROR((TA[[#This Row],[Work Completion time on fault]]-TA[[#This Row],[Fault Time]])*24,"")</f>
        <v>0</v>
      </c>
      <c r="AE1024" t="s">
        <v>328</v>
      </c>
      <c r="AF1024" t="s">
        <v>256</v>
      </c>
      <c r="AG1024" s="2"/>
      <c r="AH1024" s="44">
        <f>1-COS(RADIANS(TA[[#This Row],[Avg. Target Angle during Fault Time (Radians)]]-TA[[#This Row],[Angle of affected equipment ]]))</f>
        <v>0.11705240714107301</v>
      </c>
      <c r="AI1024" s="35">
        <f>IFERROR(TA[[#This Row],[Breakdown Time]]*TA[[#This Row],[Plant Equivalent Weightage]],"")</f>
        <v>0</v>
      </c>
    </row>
    <row r="1025" spans="1:35">
      <c r="A1025" s="2">
        <f t="shared" si="98"/>
        <v>1022</v>
      </c>
      <c r="B1025" s="156">
        <f t="shared" si="101"/>
        <v>2026</v>
      </c>
      <c r="C1025" s="129">
        <f t="shared" si="102"/>
        <v>2025</v>
      </c>
      <c r="D1025" s="2" t="s">
        <v>155</v>
      </c>
      <c r="E1025" s="2" t="s">
        <v>155</v>
      </c>
      <c r="F1025" s="39">
        <v>45809</v>
      </c>
      <c r="G1025" s="2">
        <f>DAY(EOMONTH(TA[[#This Row],[Month Year]],0))</f>
        <v>30</v>
      </c>
      <c r="H1025" s="21">
        <v>45816</v>
      </c>
      <c r="I1025" s="41">
        <f>IFERROR(VLOOKUP(TA[[#This Row],[Date]],Raw_Data[[Date]:[Sunset Time (POA&lt;20 W/m2)]],3,0),"")</f>
        <v>0.24722222222222223</v>
      </c>
      <c r="J1025" s="41">
        <f>IFERROR(VLOOKUP(TA[[#This Row],[Date]],Raw_Data[[Date]:[Sunset Time (POA&lt;20 W/m2)]],4,0),"")</f>
        <v>0.77430555555555558</v>
      </c>
      <c r="K1025" s="35">
        <f>IFERROR((TA[[#This Row],[Sunset Time (POA&lt;20 W/m2)]]-TA[[#This Row],[Sunrise Time (POA&gt;20 W/m2)]])*24,"")</f>
        <v>12.65</v>
      </c>
      <c r="L1025" s="2" t="s">
        <v>296</v>
      </c>
      <c r="M1025" s="42">
        <f>IFERROR(VLOOKUP(TA[[#This Row],[Affected Equipment]],'Basic Data'!$I$2:$K$40,3,0),"")</f>
        <v>8.6206896551724102E-3</v>
      </c>
      <c r="N1025">
        <v>-28</v>
      </c>
      <c r="O1025" t="s">
        <v>135</v>
      </c>
      <c r="P1025" s="127" t="s">
        <v>318</v>
      </c>
      <c r="Q1025" s="2" t="s">
        <v>321</v>
      </c>
      <c r="R1025">
        <v>133</v>
      </c>
      <c r="S1025" s="2">
        <v>26</v>
      </c>
      <c r="T1025" t="s">
        <v>297</v>
      </c>
      <c r="U1025" t="s">
        <v>300</v>
      </c>
      <c r="V1025" t="s">
        <v>314</v>
      </c>
      <c r="W1025" s="41">
        <f>IFERROR(VLOOKUP(TA[[#This Row],[Date]],Raw_Data[[Date]:[Sunset Time (POA&lt;20 W/m2)]],3,0),"")</f>
        <v>0.24722222222222223</v>
      </c>
      <c r="X1025" s="41">
        <f>IFERROR(VLOOKUP(TA[[#This Row],[Date]],Raw_Data[[Date]:[Sunset Time (POA&lt;20 W/m2)]],3,0),"")</f>
        <v>0.24722222222222223</v>
      </c>
      <c r="Y1025" s="34"/>
      <c r="Z1025" s="34">
        <v>0.76041666666666663</v>
      </c>
      <c r="AA1025" s="35">
        <f>IF(TA[[#This Row],[Work Start time on Fault]]="NA","",(TA[[#This Row],[Fault Acknowledgement Time ]]-TA[[#This Row],[Fault Time]])*24)</f>
        <v>0</v>
      </c>
      <c r="AB1025" s="35">
        <f>(TA[[#This Row],[Work Start time on Fault]]-TA[[#This Row],[Fault Time]])*24</f>
        <v>-5.9333333333333336</v>
      </c>
      <c r="AC1025" s="34">
        <f>(TA[[#This Row],[Work Completion time on fault]]-TA[[#This Row],[Fault Time]])*24</f>
        <v>12.316666666666666</v>
      </c>
      <c r="AD1025" s="35">
        <f>IFERROR((TA[[#This Row],[Work Completion time on fault]]-TA[[#This Row],[Fault Time]])*24,"")</f>
        <v>12.316666666666666</v>
      </c>
      <c r="AE1025" t="s">
        <v>328</v>
      </c>
      <c r="AF1025" t="s">
        <v>256</v>
      </c>
      <c r="AG1025" s="2"/>
      <c r="AH1025" s="44">
        <f>1-COS(RADIANS(TA[[#This Row],[Avg. Target Angle during Fault Time (Radians)]]-TA[[#This Row],[Angle of affected equipment ]]))</f>
        <v>0.11705240714107301</v>
      </c>
      <c r="AI1025" s="35">
        <f>IFERROR(TA[[#This Row],[Breakdown Time]]*TA[[#This Row],[Plant Equivalent Weightage]],"")</f>
        <v>0.10617816091954019</v>
      </c>
    </row>
    <row r="1026" spans="1:35">
      <c r="A1026" s="2">
        <f t="shared" si="98"/>
        <v>1023</v>
      </c>
      <c r="B1026" s="156">
        <f t="shared" si="101"/>
        <v>2026</v>
      </c>
      <c r="C1026" s="129">
        <f t="shared" si="102"/>
        <v>2025</v>
      </c>
      <c r="D1026" s="2" t="s">
        <v>155</v>
      </c>
      <c r="E1026" s="2" t="s">
        <v>155</v>
      </c>
      <c r="F1026" s="39">
        <v>45809</v>
      </c>
      <c r="G1026" s="2">
        <f>DAY(EOMONTH(TA[[#This Row],[Month Year]],0))</f>
        <v>30</v>
      </c>
      <c r="H1026" s="21">
        <v>45816</v>
      </c>
      <c r="I1026" s="41">
        <f>IFERROR(VLOOKUP(TA[[#This Row],[Date]],Raw_Data[[Date]:[Sunset Time (POA&lt;20 W/m2)]],3,0),"")</f>
        <v>0.24722222222222223</v>
      </c>
      <c r="J1026" s="41">
        <f>IFERROR(VLOOKUP(TA[[#This Row],[Date]],Raw_Data[[Date]:[Sunset Time (POA&lt;20 W/m2)]],4,0),"")</f>
        <v>0.77430555555555558</v>
      </c>
      <c r="K1026" s="35">
        <f>IFERROR((TA[[#This Row],[Sunset Time (POA&lt;20 W/m2)]]-TA[[#This Row],[Sunrise Time (POA&gt;20 W/m2)]])*24,"")</f>
        <v>12.65</v>
      </c>
      <c r="L1026" s="2" t="s">
        <v>294</v>
      </c>
      <c r="M1026" s="42">
        <f>IFERROR(VLOOKUP(TA[[#This Row],[Affected Equipment]],'Basic Data'!$I$2:$K$40,3,0),"")</f>
        <v>1.7241379310344799E-3</v>
      </c>
      <c r="N1026">
        <v>-28</v>
      </c>
      <c r="O1026" t="s">
        <v>133</v>
      </c>
      <c r="P1026" s="127" t="s">
        <v>316</v>
      </c>
      <c r="Q1026" s="126" t="s">
        <v>317</v>
      </c>
      <c r="R1026">
        <v>7</v>
      </c>
      <c r="S1026" s="2">
        <v>32</v>
      </c>
      <c r="T1026" t="s">
        <v>295</v>
      </c>
      <c r="U1026" t="s">
        <v>300</v>
      </c>
      <c r="V1026" t="s">
        <v>298</v>
      </c>
      <c r="W1026" s="41"/>
      <c r="X1026" s="41"/>
      <c r="Y1026" s="34"/>
      <c r="Z1026" s="34"/>
      <c r="AA1026" s="35">
        <f>IF(TA[[#This Row],[Work Start time on Fault]]="NA","",(TA[[#This Row],[Fault Acknowledgement Time ]]-TA[[#This Row],[Fault Time]])*24)</f>
        <v>0</v>
      </c>
      <c r="AB1026" s="35">
        <f>(TA[[#This Row],[Work Start time on Fault]]-TA[[#This Row],[Fault Time]])*24</f>
        <v>0</v>
      </c>
      <c r="AC1026" s="34">
        <f>(TA[[#This Row],[Work Completion time on fault]]-TA[[#This Row],[Fault Time]])*24</f>
        <v>0</v>
      </c>
      <c r="AD1026" s="35">
        <f>IFERROR((TA[[#This Row],[Work Completion time on fault]]-TA[[#This Row],[Fault Time]])*24,"")</f>
        <v>0</v>
      </c>
      <c r="AE1026" t="s">
        <v>328</v>
      </c>
      <c r="AF1026" t="s">
        <v>256</v>
      </c>
      <c r="AG1026" s="2"/>
      <c r="AH1026" s="44">
        <f>1-COS(RADIANS(TA[[#This Row],[Avg. Target Angle during Fault Time (Radians)]]-TA[[#This Row],[Angle of affected equipment ]]))</f>
        <v>0.11705240714107301</v>
      </c>
      <c r="AI1026" s="35">
        <f>IFERROR(TA[[#This Row],[Breakdown Time]]*TA[[#This Row],[Plant Equivalent Weightage]],"")</f>
        <v>0</v>
      </c>
    </row>
    <row r="1027" spans="1:35">
      <c r="A1027" s="2">
        <f t="shared" si="98"/>
        <v>1024</v>
      </c>
      <c r="B1027" s="156">
        <f t="shared" si="101"/>
        <v>2026</v>
      </c>
      <c r="C1027" s="129">
        <f t="shared" si="102"/>
        <v>2025</v>
      </c>
      <c r="D1027" s="2" t="s">
        <v>155</v>
      </c>
      <c r="E1027" s="2" t="s">
        <v>155</v>
      </c>
      <c r="F1027" s="39">
        <v>45809</v>
      </c>
      <c r="G1027" s="2">
        <f>DAY(EOMONTH(TA[[#This Row],[Month Year]],0))</f>
        <v>30</v>
      </c>
      <c r="H1027" s="21">
        <v>45816</v>
      </c>
      <c r="I1027" s="41">
        <f>IFERROR(VLOOKUP(TA[[#This Row],[Date]],Raw_Data[[Date]:[Sunset Time (POA&lt;20 W/m2)]],3,0),"")</f>
        <v>0.24722222222222223</v>
      </c>
      <c r="J1027" s="41">
        <f>IFERROR(VLOOKUP(TA[[#This Row],[Date]],Raw_Data[[Date]:[Sunset Time (POA&lt;20 W/m2)]],4,0),"")</f>
        <v>0.77430555555555558</v>
      </c>
      <c r="K1027" s="35">
        <f>IFERROR((TA[[#This Row],[Sunset Time (POA&lt;20 W/m2)]]-TA[[#This Row],[Sunrise Time (POA&gt;20 W/m2)]])*24,"")</f>
        <v>12.65</v>
      </c>
      <c r="L1027" s="2" t="s">
        <v>294</v>
      </c>
      <c r="M1027" s="42">
        <f>IFERROR(VLOOKUP(TA[[#This Row],[Affected Equipment]],'Basic Data'!$I$2:$K$40,3,0),"")</f>
        <v>1.7241379310344799E-3</v>
      </c>
      <c r="N1027">
        <v>-28</v>
      </c>
      <c r="O1027" t="s">
        <v>137</v>
      </c>
      <c r="P1027" s="127" t="s">
        <v>315</v>
      </c>
      <c r="Q1027" s="126" t="s">
        <v>319</v>
      </c>
      <c r="R1027">
        <v>166</v>
      </c>
      <c r="S1027" s="2">
        <v>91</v>
      </c>
      <c r="T1027" t="s">
        <v>295</v>
      </c>
      <c r="U1027" t="s">
        <v>300</v>
      </c>
      <c r="V1027" t="s">
        <v>298</v>
      </c>
      <c r="W1027" s="41"/>
      <c r="X1027" s="41"/>
      <c r="Y1027" s="34"/>
      <c r="Z1027" s="34"/>
      <c r="AA1027" s="35">
        <f>IF(TA[[#This Row],[Work Start time on Fault]]="NA","",(TA[[#This Row],[Fault Acknowledgement Time ]]-TA[[#This Row],[Fault Time]])*24)</f>
        <v>0</v>
      </c>
      <c r="AB1027" s="35">
        <f>(TA[[#This Row],[Work Start time on Fault]]-TA[[#This Row],[Fault Time]])*24</f>
        <v>0</v>
      </c>
      <c r="AC1027" s="34">
        <f>(TA[[#This Row],[Work Completion time on fault]]-TA[[#This Row],[Fault Time]])*24</f>
        <v>0</v>
      </c>
      <c r="AD1027" s="35">
        <f>IFERROR((TA[[#This Row],[Work Completion time on fault]]-TA[[#This Row],[Fault Time]])*24,"")</f>
        <v>0</v>
      </c>
      <c r="AE1027" t="s">
        <v>328</v>
      </c>
      <c r="AF1027" t="s">
        <v>256</v>
      </c>
      <c r="AG1027" s="2"/>
      <c r="AH1027" s="44">
        <f>1-COS(RADIANS(TA[[#This Row],[Avg. Target Angle during Fault Time (Radians)]]-TA[[#This Row],[Angle of affected equipment ]]))</f>
        <v>0.11705240714107301</v>
      </c>
      <c r="AI1027" s="35">
        <f>IFERROR(TA[[#This Row],[Breakdown Time]]*TA[[#This Row],[Plant Equivalent Weightage]],"")</f>
        <v>0</v>
      </c>
    </row>
    <row r="1028" spans="1:35">
      <c r="A1028" s="2">
        <f t="shared" si="98"/>
        <v>1025</v>
      </c>
      <c r="B1028" s="156">
        <f t="shared" si="101"/>
        <v>2026</v>
      </c>
      <c r="C1028" s="129">
        <f t="shared" si="102"/>
        <v>2025</v>
      </c>
      <c r="D1028" s="2" t="s">
        <v>155</v>
      </c>
      <c r="E1028" s="2" t="s">
        <v>155</v>
      </c>
      <c r="F1028" s="39">
        <v>45809</v>
      </c>
      <c r="G1028" s="2">
        <f>DAY(EOMONTH(TA[[#This Row],[Month Year]],0))</f>
        <v>30</v>
      </c>
      <c r="H1028" s="21">
        <v>45816</v>
      </c>
      <c r="I1028" s="41">
        <f>IFERROR(VLOOKUP(TA[[#This Row],[Date]],Raw_Data[[Date]:[Sunset Time (POA&lt;20 W/m2)]],3,0),"")</f>
        <v>0.24722222222222223</v>
      </c>
      <c r="J1028" s="41">
        <f>IFERROR(VLOOKUP(TA[[#This Row],[Date]],Raw_Data[[Date]:[Sunset Time (POA&lt;20 W/m2)]],4,0),"")</f>
        <v>0.77430555555555558</v>
      </c>
      <c r="K1028" s="35">
        <f>IFERROR((TA[[#This Row],[Sunset Time (POA&lt;20 W/m2)]]-TA[[#This Row],[Sunrise Time (POA&gt;20 W/m2)]])*24,"")</f>
        <v>12.65</v>
      </c>
      <c r="L1028" s="2" t="s">
        <v>294</v>
      </c>
      <c r="M1028" s="42">
        <f>IFERROR(VLOOKUP(TA[[#This Row],[Affected Equipment]],'Basic Data'!$I$2:$K$40,3,0),"")</f>
        <v>1.7241379310344799E-3</v>
      </c>
      <c r="N1028">
        <v>-28</v>
      </c>
      <c r="O1028" t="s">
        <v>133</v>
      </c>
      <c r="P1028" s="127" t="s">
        <v>316</v>
      </c>
      <c r="Q1028" s="126" t="s">
        <v>316</v>
      </c>
      <c r="R1028">
        <v>117</v>
      </c>
      <c r="S1028" s="2">
        <v>20</v>
      </c>
      <c r="T1028" t="s">
        <v>295</v>
      </c>
      <c r="U1028" t="s">
        <v>300</v>
      </c>
      <c r="V1028" t="s">
        <v>298</v>
      </c>
      <c r="W1028" s="41"/>
      <c r="X1028" s="41"/>
      <c r="Y1028" s="34"/>
      <c r="Z1028" s="34"/>
      <c r="AA1028" s="35">
        <f>IF(TA[[#This Row],[Work Start time on Fault]]="NA","",(TA[[#This Row],[Fault Acknowledgement Time ]]-TA[[#This Row],[Fault Time]])*24)</f>
        <v>0</v>
      </c>
      <c r="AB1028" s="35">
        <f>(TA[[#This Row],[Work Start time on Fault]]-TA[[#This Row],[Fault Time]])*24</f>
        <v>0</v>
      </c>
      <c r="AC1028" s="34">
        <f>(TA[[#This Row],[Work Completion time on fault]]-TA[[#This Row],[Fault Time]])*24</f>
        <v>0</v>
      </c>
      <c r="AD1028" s="35">
        <f>IFERROR((TA[[#This Row],[Work Completion time on fault]]-TA[[#This Row],[Fault Time]])*24,"")</f>
        <v>0</v>
      </c>
      <c r="AE1028" t="s">
        <v>328</v>
      </c>
      <c r="AF1028" t="s">
        <v>256</v>
      </c>
      <c r="AG1028" s="2"/>
      <c r="AH1028" s="44">
        <f>1-COS(RADIANS(TA[[#This Row],[Avg. Target Angle during Fault Time (Radians)]]-TA[[#This Row],[Angle of affected equipment ]]))</f>
        <v>0.11705240714107301</v>
      </c>
      <c r="AI1028" s="35">
        <f>IFERROR(TA[[#This Row],[Breakdown Time]]*TA[[#This Row],[Plant Equivalent Weightage]],"")</f>
        <v>0</v>
      </c>
    </row>
    <row r="1029" spans="1:35">
      <c r="A1029" s="2">
        <f t="shared" si="98"/>
        <v>1026</v>
      </c>
      <c r="B1029" s="156">
        <f t="shared" si="101"/>
        <v>2026</v>
      </c>
      <c r="C1029" s="129">
        <f t="shared" si="102"/>
        <v>2025</v>
      </c>
      <c r="D1029" s="2" t="s">
        <v>155</v>
      </c>
      <c r="E1029" s="2" t="s">
        <v>155</v>
      </c>
      <c r="F1029" s="39">
        <v>45809</v>
      </c>
      <c r="G1029" s="2">
        <f>DAY(EOMONTH(TA[[#This Row],[Month Year]],0))</f>
        <v>30</v>
      </c>
      <c r="H1029" s="21">
        <v>45816</v>
      </c>
      <c r="I1029" s="41">
        <f>IFERROR(VLOOKUP(TA[[#This Row],[Date]],Raw_Data[[Date]:[Sunset Time (POA&lt;20 W/m2)]],3,0),"")</f>
        <v>0.24722222222222223</v>
      </c>
      <c r="J1029" s="41">
        <f>IFERROR(VLOOKUP(TA[[#This Row],[Date]],Raw_Data[[Date]:[Sunset Time (POA&lt;20 W/m2)]],4,0),"")</f>
        <v>0.77430555555555558</v>
      </c>
      <c r="K1029" s="35">
        <f>IFERROR((TA[[#This Row],[Sunset Time (POA&lt;20 W/m2)]]-TA[[#This Row],[Sunrise Time (POA&gt;20 W/m2)]])*24,"")</f>
        <v>12.65</v>
      </c>
      <c r="L1029" s="2" t="s">
        <v>294</v>
      </c>
      <c r="M1029" s="42">
        <f>IFERROR(VLOOKUP(TA[[#This Row],[Affected Equipment]],'Basic Data'!$I$2:$K$40,3,0),"")</f>
        <v>1.7241379310344799E-3</v>
      </c>
      <c r="N1029">
        <v>-28</v>
      </c>
      <c r="O1029" t="s">
        <v>133</v>
      </c>
      <c r="P1029" s="127" t="s">
        <v>316</v>
      </c>
      <c r="Q1029" s="126" t="s">
        <v>316</v>
      </c>
      <c r="R1029">
        <v>118</v>
      </c>
      <c r="S1029" s="2">
        <v>22</v>
      </c>
      <c r="T1029" t="s">
        <v>295</v>
      </c>
      <c r="U1029" t="s">
        <v>300</v>
      </c>
      <c r="V1029" t="s">
        <v>298</v>
      </c>
      <c r="W1029" s="41"/>
      <c r="X1029" s="41"/>
      <c r="Y1029" s="34"/>
      <c r="Z1029" s="34"/>
      <c r="AA1029" s="35">
        <f>IF(TA[[#This Row],[Work Start time on Fault]]="NA","",(TA[[#This Row],[Fault Acknowledgement Time ]]-TA[[#This Row],[Fault Time]])*24)</f>
        <v>0</v>
      </c>
      <c r="AB1029" s="35">
        <f>(TA[[#This Row],[Work Start time on Fault]]-TA[[#This Row],[Fault Time]])*24</f>
        <v>0</v>
      </c>
      <c r="AC1029" s="34">
        <f>(TA[[#This Row],[Work Completion time on fault]]-TA[[#This Row],[Fault Time]])*24</f>
        <v>0</v>
      </c>
      <c r="AD1029" s="35">
        <f>IFERROR((TA[[#This Row],[Work Completion time on fault]]-TA[[#This Row],[Fault Time]])*24,"")</f>
        <v>0</v>
      </c>
      <c r="AE1029" t="s">
        <v>328</v>
      </c>
      <c r="AF1029" t="s">
        <v>256</v>
      </c>
      <c r="AG1029" s="2"/>
      <c r="AH1029" s="44">
        <f>1-COS(RADIANS(TA[[#This Row],[Avg. Target Angle during Fault Time (Radians)]]-TA[[#This Row],[Angle of affected equipment ]]))</f>
        <v>0.11705240714107301</v>
      </c>
      <c r="AI1029" s="35">
        <f>IFERROR(TA[[#This Row],[Breakdown Time]]*TA[[#This Row],[Plant Equivalent Weightage]],"")</f>
        <v>0</v>
      </c>
    </row>
    <row r="1030" spans="1:35">
      <c r="A1030" s="2">
        <f t="shared" si="98"/>
        <v>1027</v>
      </c>
      <c r="B1030" s="156">
        <f t="shared" si="101"/>
        <v>2026</v>
      </c>
      <c r="C1030" s="129">
        <f t="shared" si="102"/>
        <v>2025</v>
      </c>
      <c r="D1030" s="2" t="s">
        <v>155</v>
      </c>
      <c r="E1030" s="2" t="s">
        <v>155</v>
      </c>
      <c r="F1030" s="39">
        <v>45809</v>
      </c>
      <c r="G1030" s="2">
        <f>DAY(EOMONTH(TA[[#This Row],[Month Year]],0))</f>
        <v>30</v>
      </c>
      <c r="H1030" s="21">
        <v>45816</v>
      </c>
      <c r="I1030" s="41">
        <f>IFERROR(VLOOKUP(TA[[#This Row],[Date]],Raw_Data[[Date]:[Sunset Time (POA&lt;20 W/m2)]],3,0),"")</f>
        <v>0.24722222222222223</v>
      </c>
      <c r="J1030" s="41">
        <f>IFERROR(VLOOKUP(TA[[#This Row],[Date]],Raw_Data[[Date]:[Sunset Time (POA&lt;20 W/m2)]],4,0),"")</f>
        <v>0.77430555555555558</v>
      </c>
      <c r="K1030" s="35">
        <f>IFERROR((TA[[#This Row],[Sunset Time (POA&lt;20 W/m2)]]-TA[[#This Row],[Sunrise Time (POA&gt;20 W/m2)]])*24,"")</f>
        <v>12.65</v>
      </c>
      <c r="L1030" s="2" t="s">
        <v>296</v>
      </c>
      <c r="M1030" s="42">
        <f>IFERROR(VLOOKUP(TA[[#This Row],[Affected Equipment]],'Basic Data'!$I$2:$K$40,3,0),"")</f>
        <v>8.6206896551724102E-3</v>
      </c>
      <c r="N1030">
        <v>-28</v>
      </c>
      <c r="O1030" t="s">
        <v>135</v>
      </c>
      <c r="P1030" s="22" t="s">
        <v>323</v>
      </c>
      <c r="Q1030" s="2" t="s">
        <v>329</v>
      </c>
      <c r="R1030">
        <v>45</v>
      </c>
      <c r="S1030" s="2">
        <v>8</v>
      </c>
      <c r="T1030" t="s">
        <v>297</v>
      </c>
      <c r="U1030" t="s">
        <v>300</v>
      </c>
      <c r="V1030" t="s">
        <v>301</v>
      </c>
      <c r="W1030" s="41"/>
      <c r="X1030" s="41"/>
      <c r="Y1030" s="34"/>
      <c r="Z1030" s="34"/>
      <c r="AA1030" s="35">
        <f>IF(TA[[#This Row],[Work Start time on Fault]]="NA","",(TA[[#This Row],[Fault Acknowledgement Time ]]-TA[[#This Row],[Fault Time]])*24)</f>
        <v>0</v>
      </c>
      <c r="AB1030" s="35">
        <f>(TA[[#This Row],[Work Start time on Fault]]-TA[[#This Row],[Fault Time]])*24</f>
        <v>0</v>
      </c>
      <c r="AC1030" s="34">
        <f>(TA[[#This Row],[Work Completion time on fault]]-TA[[#This Row],[Fault Time]])*24</f>
        <v>0</v>
      </c>
      <c r="AD1030" s="35">
        <f>IFERROR((TA[[#This Row],[Work Completion time on fault]]-TA[[#This Row],[Fault Time]])*24,"")</f>
        <v>0</v>
      </c>
      <c r="AE1030" t="s">
        <v>328</v>
      </c>
      <c r="AF1030" t="s">
        <v>256</v>
      </c>
      <c r="AG1030" s="2"/>
      <c r="AH1030" s="44">
        <f>1-COS(RADIANS(TA[[#This Row],[Avg. Target Angle during Fault Time (Radians)]]-TA[[#This Row],[Angle of affected equipment ]]))</f>
        <v>0.11705240714107301</v>
      </c>
      <c r="AI1030" s="35">
        <f>IFERROR(TA[[#This Row],[Breakdown Time]]*TA[[#This Row],[Plant Equivalent Weightage]],"")</f>
        <v>0</v>
      </c>
    </row>
    <row r="1031" spans="1:35">
      <c r="A1031" s="2">
        <f t="shared" si="98"/>
        <v>1028</v>
      </c>
      <c r="B1031" s="156">
        <f t="shared" si="101"/>
        <v>2026</v>
      </c>
      <c r="C1031" s="129">
        <f t="shared" si="102"/>
        <v>2025</v>
      </c>
      <c r="D1031" s="2" t="s">
        <v>155</v>
      </c>
      <c r="E1031" s="2" t="s">
        <v>155</v>
      </c>
      <c r="F1031" s="39">
        <v>45809</v>
      </c>
      <c r="G1031" s="2">
        <f>DAY(EOMONTH(TA[[#This Row],[Month Year]],0))</f>
        <v>30</v>
      </c>
      <c r="H1031" s="21">
        <v>45816</v>
      </c>
      <c r="I1031" s="41">
        <f>IFERROR(VLOOKUP(TA[[#This Row],[Date]],Raw_Data[[Date]:[Sunset Time (POA&lt;20 W/m2)]],3,0),"")</f>
        <v>0.24722222222222223</v>
      </c>
      <c r="J1031" s="41">
        <f>IFERROR(VLOOKUP(TA[[#This Row],[Date]],Raw_Data[[Date]:[Sunset Time (POA&lt;20 W/m2)]],4,0),"")</f>
        <v>0.77430555555555558</v>
      </c>
      <c r="K1031" s="35">
        <f>IFERROR((TA[[#This Row],[Sunset Time (POA&lt;20 W/m2)]]-TA[[#This Row],[Sunrise Time (POA&gt;20 W/m2)]])*24,"")</f>
        <v>12.65</v>
      </c>
      <c r="L1031" s="2" t="s">
        <v>296</v>
      </c>
      <c r="M1031" s="42">
        <f>IFERROR(VLOOKUP(TA[[#This Row],[Affected Equipment]],'Basic Data'!$I$2:$K$40,3,0),"")</f>
        <v>8.6206896551724102E-3</v>
      </c>
      <c r="N1031">
        <v>-28</v>
      </c>
      <c r="O1031" t="s">
        <v>135</v>
      </c>
      <c r="P1031" s="22" t="s">
        <v>323</v>
      </c>
      <c r="Q1031" s="2" t="s">
        <v>329</v>
      </c>
      <c r="R1031">
        <v>47</v>
      </c>
      <c r="S1031" s="2">
        <v>18</v>
      </c>
      <c r="T1031" t="s">
        <v>297</v>
      </c>
      <c r="U1031" t="s">
        <v>300</v>
      </c>
      <c r="V1031" t="s">
        <v>301</v>
      </c>
      <c r="W1031" s="41"/>
      <c r="X1031" s="41"/>
      <c r="Y1031" s="34"/>
      <c r="Z1031" s="34"/>
      <c r="AA1031" s="35">
        <f>IF(TA[[#This Row],[Work Start time on Fault]]="NA","",(TA[[#This Row],[Fault Acknowledgement Time ]]-TA[[#This Row],[Fault Time]])*24)</f>
        <v>0</v>
      </c>
      <c r="AB1031" s="35">
        <f>(TA[[#This Row],[Work Start time on Fault]]-TA[[#This Row],[Fault Time]])*24</f>
        <v>0</v>
      </c>
      <c r="AC1031" s="34">
        <f>(TA[[#This Row],[Work Completion time on fault]]-TA[[#This Row],[Fault Time]])*24</f>
        <v>0</v>
      </c>
      <c r="AD1031" s="35">
        <f>IFERROR((TA[[#This Row],[Work Completion time on fault]]-TA[[#This Row],[Fault Time]])*24,"")</f>
        <v>0</v>
      </c>
      <c r="AE1031" t="s">
        <v>328</v>
      </c>
      <c r="AF1031" t="s">
        <v>256</v>
      </c>
      <c r="AG1031" s="2"/>
      <c r="AH1031" s="44">
        <f>1-COS(RADIANS(TA[[#This Row],[Avg. Target Angle during Fault Time (Radians)]]-TA[[#This Row],[Angle of affected equipment ]]))</f>
        <v>0.11705240714107301</v>
      </c>
      <c r="AI1031" s="35">
        <f>IFERROR(TA[[#This Row],[Breakdown Time]]*TA[[#This Row],[Plant Equivalent Weightage]],"")</f>
        <v>0</v>
      </c>
    </row>
    <row r="1032" spans="1:35">
      <c r="A1032" s="2">
        <f t="shared" si="98"/>
        <v>1029</v>
      </c>
      <c r="B1032" s="156">
        <f t="shared" si="101"/>
        <v>2026</v>
      </c>
      <c r="C1032" s="129">
        <f t="shared" si="102"/>
        <v>2025</v>
      </c>
      <c r="D1032" s="2" t="s">
        <v>155</v>
      </c>
      <c r="E1032" s="2" t="s">
        <v>155</v>
      </c>
      <c r="F1032" s="39">
        <v>45809</v>
      </c>
      <c r="G1032" s="2">
        <f>DAY(EOMONTH(TA[[#This Row],[Month Year]],0))</f>
        <v>30</v>
      </c>
      <c r="H1032" s="21">
        <v>45816</v>
      </c>
      <c r="I1032" s="41">
        <f>IFERROR(VLOOKUP(TA[[#This Row],[Date]],Raw_Data[[Date]:[Sunset Time (POA&lt;20 W/m2)]],3,0),"")</f>
        <v>0.24722222222222223</v>
      </c>
      <c r="J1032" s="41">
        <f>IFERROR(VLOOKUP(TA[[#This Row],[Date]],Raw_Data[[Date]:[Sunset Time (POA&lt;20 W/m2)]],4,0),"")</f>
        <v>0.77430555555555558</v>
      </c>
      <c r="K1032" s="35">
        <f>IFERROR((TA[[#This Row],[Sunset Time (POA&lt;20 W/m2)]]-TA[[#This Row],[Sunrise Time (POA&gt;20 W/m2)]])*24,"")</f>
        <v>12.65</v>
      </c>
      <c r="L1032" s="2" t="s">
        <v>296</v>
      </c>
      <c r="M1032" s="42">
        <f>IFERROR(VLOOKUP(TA[[#This Row],[Affected Equipment]],'Basic Data'!$I$2:$K$40,3,0),"")</f>
        <v>8.6206896551724102E-3</v>
      </c>
      <c r="N1032">
        <v>-28</v>
      </c>
      <c r="O1032" t="s">
        <v>134</v>
      </c>
      <c r="P1032" s="22" t="s">
        <v>330</v>
      </c>
      <c r="Q1032" s="2" t="s">
        <v>323</v>
      </c>
      <c r="R1032">
        <v>30</v>
      </c>
      <c r="S1032" s="2">
        <v>57</v>
      </c>
      <c r="T1032" t="s">
        <v>297</v>
      </c>
      <c r="U1032" t="s">
        <v>300</v>
      </c>
      <c r="V1032" t="s">
        <v>301</v>
      </c>
      <c r="W1032" s="41"/>
      <c r="X1032" s="41"/>
      <c r="Y1032" s="34"/>
      <c r="Z1032" s="34"/>
      <c r="AA1032" s="35">
        <f>IF(TA[[#This Row],[Work Start time on Fault]]="NA","",(TA[[#This Row],[Fault Acknowledgement Time ]]-TA[[#This Row],[Fault Time]])*24)</f>
        <v>0</v>
      </c>
      <c r="AB1032" s="35">
        <f>(TA[[#This Row],[Work Start time on Fault]]-TA[[#This Row],[Fault Time]])*24</f>
        <v>0</v>
      </c>
      <c r="AC1032" s="34">
        <f>(TA[[#This Row],[Work Completion time on fault]]-TA[[#This Row],[Fault Time]])*24</f>
        <v>0</v>
      </c>
      <c r="AD1032" s="35">
        <f>IFERROR((TA[[#This Row],[Work Completion time on fault]]-TA[[#This Row],[Fault Time]])*24,"")</f>
        <v>0</v>
      </c>
      <c r="AE1032" t="s">
        <v>328</v>
      </c>
      <c r="AF1032" t="s">
        <v>256</v>
      </c>
      <c r="AG1032" s="2"/>
      <c r="AH1032" s="44">
        <f>1-COS(RADIANS(TA[[#This Row],[Avg. Target Angle during Fault Time (Radians)]]-TA[[#This Row],[Angle of affected equipment ]]))</f>
        <v>0.11705240714107301</v>
      </c>
      <c r="AI1032" s="35">
        <f>IFERROR(TA[[#This Row],[Breakdown Time]]*TA[[#This Row],[Plant Equivalent Weightage]],"")</f>
        <v>0</v>
      </c>
    </row>
    <row r="1033" spans="1:35">
      <c r="A1033" s="2">
        <f t="shared" si="98"/>
        <v>1030</v>
      </c>
      <c r="B1033" s="156">
        <f t="shared" si="101"/>
        <v>2026</v>
      </c>
      <c r="C1033" s="129">
        <f t="shared" si="102"/>
        <v>2025</v>
      </c>
      <c r="D1033" s="2" t="s">
        <v>155</v>
      </c>
      <c r="E1033" s="2" t="s">
        <v>155</v>
      </c>
      <c r="F1033" s="39">
        <v>45809</v>
      </c>
      <c r="G1033" s="2">
        <f>DAY(EOMONTH(TA[[#This Row],[Month Year]],0))</f>
        <v>30</v>
      </c>
      <c r="H1033" s="21">
        <v>45816</v>
      </c>
      <c r="I1033" s="41">
        <f>IFERROR(VLOOKUP(TA[[#This Row],[Date]],Raw_Data[[Date]:[Sunset Time (POA&lt;20 W/m2)]],3,0),"")</f>
        <v>0.24722222222222223</v>
      </c>
      <c r="J1033" s="41">
        <f>IFERROR(VLOOKUP(TA[[#This Row],[Date]],Raw_Data[[Date]:[Sunset Time (POA&lt;20 W/m2)]],4,0),"")</f>
        <v>0.77430555555555558</v>
      </c>
      <c r="K1033" s="35">
        <f>IFERROR((TA[[#This Row],[Sunset Time (POA&lt;20 W/m2)]]-TA[[#This Row],[Sunrise Time (POA&gt;20 W/m2)]])*24,"")</f>
        <v>12.65</v>
      </c>
      <c r="L1033" s="2" t="s">
        <v>296</v>
      </c>
      <c r="M1033" s="42">
        <f>IFERROR(VLOOKUP(TA[[#This Row],[Affected Equipment]],'Basic Data'!$I$2:$K$40,3,0),"")</f>
        <v>8.6206896551724102E-3</v>
      </c>
      <c r="N1033">
        <v>-28</v>
      </c>
      <c r="O1033" t="s">
        <v>134</v>
      </c>
      <c r="P1033" s="22" t="s">
        <v>330</v>
      </c>
      <c r="Q1033" s="2" t="s">
        <v>323</v>
      </c>
      <c r="R1033">
        <v>31</v>
      </c>
      <c r="S1033" s="2">
        <v>61</v>
      </c>
      <c r="T1033" t="s">
        <v>297</v>
      </c>
      <c r="U1033" t="s">
        <v>300</v>
      </c>
      <c r="V1033" t="s">
        <v>301</v>
      </c>
      <c r="W1033" s="41"/>
      <c r="X1033" s="41"/>
      <c r="Y1033" s="34"/>
      <c r="Z1033" s="34"/>
      <c r="AA1033" s="35">
        <f>IF(TA[[#This Row],[Work Start time on Fault]]="NA","",(TA[[#This Row],[Fault Acknowledgement Time ]]-TA[[#This Row],[Fault Time]])*24)</f>
        <v>0</v>
      </c>
      <c r="AB1033" s="35">
        <f>(TA[[#This Row],[Work Start time on Fault]]-TA[[#This Row],[Fault Time]])*24</f>
        <v>0</v>
      </c>
      <c r="AC1033" s="34">
        <f>(TA[[#This Row],[Work Completion time on fault]]-TA[[#This Row],[Fault Time]])*24</f>
        <v>0</v>
      </c>
      <c r="AD1033" s="35">
        <f>IFERROR((TA[[#This Row],[Work Completion time on fault]]-TA[[#This Row],[Fault Time]])*24,"")</f>
        <v>0</v>
      </c>
      <c r="AE1033" t="s">
        <v>328</v>
      </c>
      <c r="AF1033" t="s">
        <v>256</v>
      </c>
      <c r="AG1033" s="2"/>
      <c r="AH1033" s="44">
        <f>1-COS(RADIANS(TA[[#This Row],[Avg. Target Angle during Fault Time (Radians)]]-TA[[#This Row],[Angle of affected equipment ]]))</f>
        <v>0.11705240714107301</v>
      </c>
      <c r="AI1033" s="35">
        <f>IFERROR(TA[[#This Row],[Breakdown Time]]*TA[[#This Row],[Plant Equivalent Weightage]],"")</f>
        <v>0</v>
      </c>
    </row>
    <row r="1034" spans="1:35">
      <c r="A1034" s="2">
        <f t="shared" si="98"/>
        <v>1031</v>
      </c>
      <c r="B1034" s="156">
        <f t="shared" si="101"/>
        <v>2026</v>
      </c>
      <c r="C1034" s="129">
        <f t="shared" si="102"/>
        <v>2025</v>
      </c>
      <c r="D1034" s="2" t="s">
        <v>155</v>
      </c>
      <c r="E1034" s="2" t="s">
        <v>155</v>
      </c>
      <c r="F1034" s="39">
        <v>45809</v>
      </c>
      <c r="G1034" s="2">
        <f>DAY(EOMONTH(TA[[#This Row],[Month Year]],0))</f>
        <v>30</v>
      </c>
      <c r="H1034" s="21">
        <v>45816</v>
      </c>
      <c r="I1034" s="41">
        <f>IFERROR(VLOOKUP(TA[[#This Row],[Date]],Raw_Data[[Date]:[Sunset Time (POA&lt;20 W/m2)]],3,0),"")</f>
        <v>0.24722222222222223</v>
      </c>
      <c r="J1034" s="41">
        <f>IFERROR(VLOOKUP(TA[[#This Row],[Date]],Raw_Data[[Date]:[Sunset Time (POA&lt;20 W/m2)]],4,0),"")</f>
        <v>0.77430555555555558</v>
      </c>
      <c r="K1034" s="35">
        <f>IFERROR((TA[[#This Row],[Sunset Time (POA&lt;20 W/m2)]]-TA[[#This Row],[Sunrise Time (POA&gt;20 W/m2)]])*24,"")</f>
        <v>12.65</v>
      </c>
      <c r="L1034" s="2" t="s">
        <v>312</v>
      </c>
      <c r="M1034" s="42">
        <f>IFERROR(VLOOKUP(TA[[#This Row],[Affected Equipment]],'Basic Data'!$I$2:$K$40,3,0),"")</f>
        <v>5.74712643678161E-3</v>
      </c>
      <c r="N1034">
        <v>-28</v>
      </c>
      <c r="O1034" t="s">
        <v>133</v>
      </c>
      <c r="P1034" s="22" t="s">
        <v>330</v>
      </c>
      <c r="Q1034" s="2" t="s">
        <v>323</v>
      </c>
      <c r="R1034">
        <v>26</v>
      </c>
      <c r="S1034" s="2">
        <v>37</v>
      </c>
      <c r="T1034" t="s">
        <v>297</v>
      </c>
      <c r="U1034" t="s">
        <v>300</v>
      </c>
      <c r="V1034" t="s">
        <v>301</v>
      </c>
      <c r="W1034" s="41"/>
      <c r="X1034" s="41"/>
      <c r="Y1034" s="34"/>
      <c r="Z1034" s="34"/>
      <c r="AA1034" s="35">
        <f>IF(TA[[#This Row],[Work Start time on Fault]]="NA","",(TA[[#This Row],[Fault Acknowledgement Time ]]-TA[[#This Row],[Fault Time]])*24)</f>
        <v>0</v>
      </c>
      <c r="AB1034" s="35">
        <f>(TA[[#This Row],[Work Start time on Fault]]-TA[[#This Row],[Fault Time]])*24</f>
        <v>0</v>
      </c>
      <c r="AC1034" s="34">
        <f>(TA[[#This Row],[Work Completion time on fault]]-TA[[#This Row],[Fault Time]])*24</f>
        <v>0</v>
      </c>
      <c r="AD1034" s="35">
        <f>IFERROR((TA[[#This Row],[Work Completion time on fault]]-TA[[#This Row],[Fault Time]])*24,"")</f>
        <v>0</v>
      </c>
      <c r="AE1034" t="s">
        <v>328</v>
      </c>
      <c r="AF1034" t="s">
        <v>256</v>
      </c>
      <c r="AG1034" s="2"/>
      <c r="AH1034" s="44">
        <f>1-COS(RADIANS(TA[[#This Row],[Avg. Target Angle during Fault Time (Radians)]]-TA[[#This Row],[Angle of affected equipment ]]))</f>
        <v>0.11705240714107301</v>
      </c>
      <c r="AI1034" s="35">
        <f>IFERROR(TA[[#This Row],[Breakdown Time]]*TA[[#This Row],[Plant Equivalent Weightage]],"")</f>
        <v>0</v>
      </c>
    </row>
    <row r="1035" spans="1:35">
      <c r="A1035" s="2">
        <f t="shared" si="98"/>
        <v>1032</v>
      </c>
      <c r="B1035" s="156">
        <f t="shared" si="101"/>
        <v>2026</v>
      </c>
      <c r="C1035" s="129">
        <f t="shared" si="102"/>
        <v>2025</v>
      </c>
      <c r="D1035" s="2" t="s">
        <v>155</v>
      </c>
      <c r="E1035" s="2" t="s">
        <v>155</v>
      </c>
      <c r="F1035" s="39">
        <v>45809</v>
      </c>
      <c r="G1035" s="2">
        <f>DAY(EOMONTH(TA[[#This Row],[Month Year]],0))</f>
        <v>30</v>
      </c>
      <c r="H1035" s="21">
        <v>45816</v>
      </c>
      <c r="I1035" s="41">
        <f>IFERROR(VLOOKUP(TA[[#This Row],[Date]],Raw_Data[[Date]:[Sunset Time (POA&lt;20 W/m2)]],3,0),"")</f>
        <v>0.24722222222222223</v>
      </c>
      <c r="J1035" s="41">
        <f>IFERROR(VLOOKUP(TA[[#This Row],[Date]],Raw_Data[[Date]:[Sunset Time (POA&lt;20 W/m2)]],4,0),"")</f>
        <v>0.77430555555555558</v>
      </c>
      <c r="K1035" s="35">
        <f>IFERROR((TA[[#This Row],[Sunset Time (POA&lt;20 W/m2)]]-TA[[#This Row],[Sunrise Time (POA&gt;20 W/m2)]])*24,"")</f>
        <v>12.65</v>
      </c>
      <c r="L1035" s="2" t="s">
        <v>312</v>
      </c>
      <c r="M1035" s="42">
        <f>IFERROR(VLOOKUP(TA[[#This Row],[Affected Equipment]],'Basic Data'!$I$2:$K$40,3,0),"")</f>
        <v>5.74712643678161E-3</v>
      </c>
      <c r="N1035">
        <v>-28</v>
      </c>
      <c r="O1035" t="s">
        <v>133</v>
      </c>
      <c r="P1035" s="22" t="s">
        <v>330</v>
      </c>
      <c r="Q1035" s="2" t="s">
        <v>323</v>
      </c>
      <c r="R1035">
        <v>27</v>
      </c>
      <c r="S1035" s="2">
        <v>42</v>
      </c>
      <c r="T1035" t="s">
        <v>297</v>
      </c>
      <c r="U1035" t="s">
        <v>300</v>
      </c>
      <c r="V1035" t="s">
        <v>301</v>
      </c>
      <c r="W1035" s="41">
        <f>IFERROR(VLOOKUP(TA[[#This Row],[Date]],Raw_Data[[Date]:[Sunset Time (POA&lt;20 W/m2)]],3,0),"")</f>
        <v>0.24722222222222223</v>
      </c>
      <c r="X1035" s="41">
        <f>IFERROR(VLOOKUP(TA[[#This Row],[Date]],Raw_Data[[Date]:[Sunset Time (POA&lt;20 W/m2)]],3,0),"")</f>
        <v>0.24722222222222223</v>
      </c>
      <c r="Y1035" s="34"/>
      <c r="Z1035" s="34">
        <v>0.76041666666666663</v>
      </c>
      <c r="AA1035" s="35">
        <f>IF(TA[[#This Row],[Work Start time on Fault]]="NA","",(TA[[#This Row],[Fault Acknowledgement Time ]]-TA[[#This Row],[Fault Time]])*24)</f>
        <v>0</v>
      </c>
      <c r="AB1035" s="35">
        <f>(TA[[#This Row],[Work Start time on Fault]]-TA[[#This Row],[Fault Time]])*24</f>
        <v>-5.9333333333333336</v>
      </c>
      <c r="AC1035" s="34">
        <f>(TA[[#This Row],[Work Completion time on fault]]-TA[[#This Row],[Fault Time]])*24</f>
        <v>12.316666666666666</v>
      </c>
      <c r="AD1035" s="35">
        <f>IFERROR((TA[[#This Row],[Work Completion time on fault]]-TA[[#This Row],[Fault Time]])*24,"")</f>
        <v>12.316666666666666</v>
      </c>
      <c r="AE1035" t="s">
        <v>309</v>
      </c>
      <c r="AF1035" t="s">
        <v>256</v>
      </c>
      <c r="AG1035" s="2"/>
      <c r="AH1035" s="44">
        <f>1-COS(RADIANS(TA[[#This Row],[Avg. Target Angle during Fault Time (Radians)]]-TA[[#This Row],[Angle of affected equipment ]]))</f>
        <v>0.11705240714107301</v>
      </c>
      <c r="AI1035" s="35">
        <f>IFERROR(TA[[#This Row],[Breakdown Time]]*TA[[#This Row],[Plant Equivalent Weightage]],"")</f>
        <v>7.0785440613026829E-2</v>
      </c>
    </row>
    <row r="1036" spans="1:35">
      <c r="A1036" s="2">
        <f t="shared" si="98"/>
        <v>1033</v>
      </c>
      <c r="B1036" s="156">
        <f t="shared" ref="B1036:B1048" si="103">YEAR(H1036)+IF(MONTH(H1036)&gt;=4,1,0)</f>
        <v>2026</v>
      </c>
      <c r="C1036" s="129">
        <f t="shared" ref="C1036:C1048" si="104">YEAR(H1036)</f>
        <v>2025</v>
      </c>
      <c r="D1036" s="2" t="s">
        <v>155</v>
      </c>
      <c r="E1036" s="2" t="s">
        <v>155</v>
      </c>
      <c r="F1036" s="39">
        <v>45809</v>
      </c>
      <c r="G1036" s="2">
        <f>DAY(EOMONTH(TA[[#This Row],[Month Year]],0))</f>
        <v>30</v>
      </c>
      <c r="H1036" s="21">
        <v>45817</v>
      </c>
      <c r="I1036" s="41">
        <f>IFERROR(VLOOKUP(TA[[#This Row],[Date]],Raw_Data[[Date]:[Sunset Time (POA&lt;20 W/m2)]],3,0),"")</f>
        <v>0.27847222222222223</v>
      </c>
      <c r="J1036" s="41">
        <f>IFERROR(VLOOKUP(TA[[#This Row],[Date]],Raw_Data[[Date]:[Sunset Time (POA&lt;20 W/m2)]],4,0),"")</f>
        <v>0.77916666666666667</v>
      </c>
      <c r="K1036" s="35">
        <f>IFERROR((TA[[#This Row],[Sunset Time (POA&lt;20 W/m2)]]-TA[[#This Row],[Sunrise Time (POA&gt;20 W/m2)]])*24,"")</f>
        <v>12.016666666666666</v>
      </c>
      <c r="L1036" s="2" t="s">
        <v>294</v>
      </c>
      <c r="M1036" s="42">
        <f>IFERROR(VLOOKUP(TA[[#This Row],[Affected Equipment]],'Basic Data'!$I$2:$K$40,3,0),"")</f>
        <v>1.7241379310344799E-3</v>
      </c>
      <c r="N1036">
        <v>-28</v>
      </c>
      <c r="O1036" t="s">
        <v>135</v>
      </c>
      <c r="P1036" s="127" t="s">
        <v>318</v>
      </c>
      <c r="Q1036" s="126" t="s">
        <v>318</v>
      </c>
      <c r="R1036">
        <v>131</v>
      </c>
      <c r="S1036" s="2">
        <v>38</v>
      </c>
      <c r="T1036" t="s">
        <v>295</v>
      </c>
      <c r="U1036" t="s">
        <v>300</v>
      </c>
      <c r="V1036" t="s">
        <v>298</v>
      </c>
      <c r="W1036" s="41"/>
      <c r="X1036" s="41"/>
      <c r="Y1036" s="34"/>
      <c r="Z1036" s="34"/>
      <c r="AA1036" s="35">
        <f>IF(TA[[#This Row],[Work Start time on Fault]]="NA","",(TA[[#This Row],[Fault Acknowledgement Time ]]-TA[[#This Row],[Fault Time]])*24)</f>
        <v>0</v>
      </c>
      <c r="AB1036" s="35">
        <f>(TA[[#This Row],[Work Start time on Fault]]-TA[[#This Row],[Fault Time]])*24</f>
        <v>0</v>
      </c>
      <c r="AC1036" s="34">
        <f>(TA[[#This Row],[Work Completion time on fault]]-TA[[#This Row],[Fault Time]])*24</f>
        <v>0</v>
      </c>
      <c r="AD1036" s="35">
        <f>IFERROR((TA[[#This Row],[Work Completion time on fault]]-TA[[#This Row],[Fault Time]])*24,"")</f>
        <v>0</v>
      </c>
      <c r="AE1036" t="s">
        <v>328</v>
      </c>
      <c r="AF1036" t="s">
        <v>256</v>
      </c>
      <c r="AG1036" s="2"/>
      <c r="AH1036" s="44">
        <f>1-COS(RADIANS(TA[[#This Row],[Avg. Target Angle during Fault Time (Radians)]]-TA[[#This Row],[Angle of affected equipment ]]))</f>
        <v>0.11705240714107301</v>
      </c>
      <c r="AI1036" s="35">
        <f>IFERROR(TA[[#This Row],[Breakdown Time]]*TA[[#This Row],[Plant Equivalent Weightage]],"")</f>
        <v>0</v>
      </c>
    </row>
    <row r="1037" spans="1:35">
      <c r="A1037" s="2">
        <f t="shared" si="98"/>
        <v>1034</v>
      </c>
      <c r="B1037" s="156">
        <f t="shared" si="103"/>
        <v>2026</v>
      </c>
      <c r="C1037" s="129">
        <f t="shared" si="104"/>
        <v>2025</v>
      </c>
      <c r="D1037" s="2" t="s">
        <v>155</v>
      </c>
      <c r="E1037" s="2" t="s">
        <v>155</v>
      </c>
      <c r="F1037" s="39">
        <v>45809</v>
      </c>
      <c r="G1037" s="2">
        <f>DAY(EOMONTH(TA[[#This Row],[Month Year]],0))</f>
        <v>30</v>
      </c>
      <c r="H1037" s="21">
        <v>45817</v>
      </c>
      <c r="I1037" s="41">
        <f>IFERROR(VLOOKUP(TA[[#This Row],[Date]],Raw_Data[[Date]:[Sunset Time (POA&lt;20 W/m2)]],3,0),"")</f>
        <v>0.27847222222222223</v>
      </c>
      <c r="J1037" s="41">
        <f>IFERROR(VLOOKUP(TA[[#This Row],[Date]],Raw_Data[[Date]:[Sunset Time (POA&lt;20 W/m2)]],4,0),"")</f>
        <v>0.77916666666666667</v>
      </c>
      <c r="K1037" s="35">
        <f>IFERROR((TA[[#This Row],[Sunset Time (POA&lt;20 W/m2)]]-TA[[#This Row],[Sunrise Time (POA&gt;20 W/m2)]])*24,"")</f>
        <v>12.016666666666666</v>
      </c>
      <c r="L1037" s="2" t="s">
        <v>294</v>
      </c>
      <c r="M1037" s="42">
        <f>IFERROR(VLOOKUP(TA[[#This Row],[Affected Equipment]],'Basic Data'!$I$2:$K$40,3,0),"")</f>
        <v>1.7241379310344799E-3</v>
      </c>
      <c r="N1037">
        <v>-28</v>
      </c>
      <c r="O1037" t="s">
        <v>135</v>
      </c>
      <c r="P1037" s="127" t="s">
        <v>318</v>
      </c>
      <c r="Q1037" s="126" t="s">
        <v>318</v>
      </c>
      <c r="R1037">
        <v>131</v>
      </c>
      <c r="S1037" s="2">
        <v>39</v>
      </c>
      <c r="T1037" t="s">
        <v>295</v>
      </c>
      <c r="U1037" t="s">
        <v>300</v>
      </c>
      <c r="V1037" t="s">
        <v>298</v>
      </c>
      <c r="W1037" s="41"/>
      <c r="X1037" s="41"/>
      <c r="Y1037" s="34"/>
      <c r="Z1037" s="34"/>
      <c r="AA1037" s="35">
        <f>IF(TA[[#This Row],[Work Start time on Fault]]="NA","",(TA[[#This Row],[Fault Acknowledgement Time ]]-TA[[#This Row],[Fault Time]])*24)</f>
        <v>0</v>
      </c>
      <c r="AB1037" s="35">
        <f>(TA[[#This Row],[Work Start time on Fault]]-TA[[#This Row],[Fault Time]])*24</f>
        <v>0</v>
      </c>
      <c r="AC1037" s="34">
        <f>(TA[[#This Row],[Work Completion time on fault]]-TA[[#This Row],[Fault Time]])*24</f>
        <v>0</v>
      </c>
      <c r="AD1037" s="35">
        <f>IFERROR((TA[[#This Row],[Work Completion time on fault]]-TA[[#This Row],[Fault Time]])*24,"")</f>
        <v>0</v>
      </c>
      <c r="AE1037" t="s">
        <v>328</v>
      </c>
      <c r="AF1037" t="s">
        <v>256</v>
      </c>
      <c r="AG1037" s="2"/>
      <c r="AH1037" s="44">
        <f>1-COS(RADIANS(TA[[#This Row],[Avg. Target Angle during Fault Time (Radians)]]-TA[[#This Row],[Angle of affected equipment ]]))</f>
        <v>0.11705240714107301</v>
      </c>
      <c r="AI1037" s="35">
        <f>IFERROR(TA[[#This Row],[Breakdown Time]]*TA[[#This Row],[Plant Equivalent Weightage]],"")</f>
        <v>0</v>
      </c>
    </row>
    <row r="1038" spans="1:35">
      <c r="A1038" s="2">
        <f t="shared" si="98"/>
        <v>1035</v>
      </c>
      <c r="B1038" s="156">
        <f t="shared" si="103"/>
        <v>2026</v>
      </c>
      <c r="C1038" s="129">
        <f t="shared" si="104"/>
        <v>2025</v>
      </c>
      <c r="D1038" s="2" t="s">
        <v>155</v>
      </c>
      <c r="E1038" s="2" t="s">
        <v>155</v>
      </c>
      <c r="F1038" s="39">
        <v>45809</v>
      </c>
      <c r="G1038" s="2">
        <f>DAY(EOMONTH(TA[[#This Row],[Month Year]],0))</f>
        <v>30</v>
      </c>
      <c r="H1038" s="21">
        <v>45817</v>
      </c>
      <c r="I1038" s="41">
        <f>IFERROR(VLOOKUP(TA[[#This Row],[Date]],Raw_Data[[Date]:[Sunset Time (POA&lt;20 W/m2)]],3,0),"")</f>
        <v>0.27847222222222223</v>
      </c>
      <c r="J1038" s="41">
        <f>IFERROR(VLOOKUP(TA[[#This Row],[Date]],Raw_Data[[Date]:[Sunset Time (POA&lt;20 W/m2)]],4,0),"")</f>
        <v>0.77916666666666667</v>
      </c>
      <c r="K1038" s="35">
        <f>IFERROR((TA[[#This Row],[Sunset Time (POA&lt;20 W/m2)]]-TA[[#This Row],[Sunrise Time (POA&gt;20 W/m2)]])*24,"")</f>
        <v>12.016666666666666</v>
      </c>
      <c r="L1038" s="2" t="s">
        <v>296</v>
      </c>
      <c r="M1038" s="42">
        <f>IFERROR(VLOOKUP(TA[[#This Row],[Affected Equipment]],'Basic Data'!$I$2:$K$40,3,0),"")</f>
        <v>8.6206896551724102E-3</v>
      </c>
      <c r="N1038">
        <v>-28</v>
      </c>
      <c r="O1038" t="s">
        <v>135</v>
      </c>
      <c r="P1038" s="127" t="s">
        <v>318</v>
      </c>
      <c r="Q1038" s="2" t="s">
        <v>321</v>
      </c>
      <c r="R1038">
        <v>133</v>
      </c>
      <c r="S1038" s="2">
        <v>26</v>
      </c>
      <c r="T1038" t="s">
        <v>297</v>
      </c>
      <c r="U1038" t="s">
        <v>300</v>
      </c>
      <c r="V1038" t="s">
        <v>314</v>
      </c>
      <c r="W1038" s="41">
        <f>IFERROR(VLOOKUP(TA[[#This Row],[Date]],Raw_Data[[Date]:[Sunset Time (POA&lt;20 W/m2)]],3,0),"")</f>
        <v>0.27847222222222223</v>
      </c>
      <c r="X1038" s="41">
        <f>IFERROR(VLOOKUP(TA[[#This Row],[Date]],Raw_Data[[Date]:[Sunset Time (POA&lt;20 W/m2)]],3,0),"")</f>
        <v>0.27847222222222223</v>
      </c>
      <c r="Y1038" s="34"/>
      <c r="Z1038" s="34">
        <v>0.76041666666666663</v>
      </c>
      <c r="AA1038" s="35">
        <f>IF(TA[[#This Row],[Work Start time on Fault]]="NA","",(TA[[#This Row],[Fault Acknowledgement Time ]]-TA[[#This Row],[Fault Time]])*24)</f>
        <v>0</v>
      </c>
      <c r="AB1038" s="35">
        <f>(TA[[#This Row],[Work Start time on Fault]]-TA[[#This Row],[Fault Time]])*24</f>
        <v>-6.6833333333333336</v>
      </c>
      <c r="AC1038" s="34">
        <f>(TA[[#This Row],[Work Completion time on fault]]-TA[[#This Row],[Fault Time]])*24</f>
        <v>11.566666666666666</v>
      </c>
      <c r="AD1038" s="35">
        <f>IFERROR((TA[[#This Row],[Work Completion time on fault]]-TA[[#This Row],[Fault Time]])*24,"")</f>
        <v>11.566666666666666</v>
      </c>
      <c r="AE1038" t="s">
        <v>328</v>
      </c>
      <c r="AF1038" t="s">
        <v>256</v>
      </c>
      <c r="AG1038" s="2"/>
      <c r="AH1038" s="44">
        <f>1-COS(RADIANS(TA[[#This Row],[Avg. Target Angle during Fault Time (Radians)]]-TA[[#This Row],[Angle of affected equipment ]]))</f>
        <v>0.11705240714107301</v>
      </c>
      <c r="AI1038" s="35">
        <f>IFERROR(TA[[#This Row],[Breakdown Time]]*TA[[#This Row],[Plant Equivalent Weightage]],"")</f>
        <v>9.9712643678160878E-2</v>
      </c>
    </row>
    <row r="1039" spans="1:35">
      <c r="A1039" s="2">
        <f t="shared" si="98"/>
        <v>1036</v>
      </c>
      <c r="B1039" s="156">
        <f t="shared" si="103"/>
        <v>2026</v>
      </c>
      <c r="C1039" s="129">
        <f t="shared" si="104"/>
        <v>2025</v>
      </c>
      <c r="D1039" s="2" t="s">
        <v>155</v>
      </c>
      <c r="E1039" s="2" t="s">
        <v>155</v>
      </c>
      <c r="F1039" s="39">
        <v>45809</v>
      </c>
      <c r="G1039" s="2">
        <f>DAY(EOMONTH(TA[[#This Row],[Month Year]],0))</f>
        <v>30</v>
      </c>
      <c r="H1039" s="21">
        <v>45817</v>
      </c>
      <c r="I1039" s="41">
        <f>IFERROR(VLOOKUP(TA[[#This Row],[Date]],Raw_Data[[Date]:[Sunset Time (POA&lt;20 W/m2)]],3,0),"")</f>
        <v>0.27847222222222223</v>
      </c>
      <c r="J1039" s="41">
        <f>IFERROR(VLOOKUP(TA[[#This Row],[Date]],Raw_Data[[Date]:[Sunset Time (POA&lt;20 W/m2)]],4,0),"")</f>
        <v>0.77916666666666667</v>
      </c>
      <c r="K1039" s="35">
        <f>IFERROR((TA[[#This Row],[Sunset Time (POA&lt;20 W/m2)]]-TA[[#This Row],[Sunrise Time (POA&gt;20 W/m2)]])*24,"")</f>
        <v>12.016666666666666</v>
      </c>
      <c r="L1039" s="2" t="s">
        <v>294</v>
      </c>
      <c r="M1039" s="42">
        <f>IFERROR(VLOOKUP(TA[[#This Row],[Affected Equipment]],'Basic Data'!$I$2:$K$40,3,0),"")</f>
        <v>1.7241379310344799E-3</v>
      </c>
      <c r="N1039">
        <v>-28</v>
      </c>
      <c r="O1039" t="s">
        <v>133</v>
      </c>
      <c r="P1039" s="127" t="s">
        <v>316</v>
      </c>
      <c r="Q1039" s="126" t="s">
        <v>317</v>
      </c>
      <c r="R1039">
        <v>7</v>
      </c>
      <c r="S1039" s="2">
        <v>32</v>
      </c>
      <c r="T1039" t="s">
        <v>295</v>
      </c>
      <c r="U1039" t="s">
        <v>300</v>
      </c>
      <c r="V1039" t="s">
        <v>298</v>
      </c>
      <c r="W1039" s="41"/>
      <c r="X1039" s="41"/>
      <c r="Y1039" s="34"/>
      <c r="Z1039" s="34"/>
      <c r="AA1039" s="35">
        <f>IF(TA[[#This Row],[Work Start time on Fault]]="NA","",(TA[[#This Row],[Fault Acknowledgement Time ]]-TA[[#This Row],[Fault Time]])*24)</f>
        <v>0</v>
      </c>
      <c r="AB1039" s="35">
        <f>(TA[[#This Row],[Work Start time on Fault]]-TA[[#This Row],[Fault Time]])*24</f>
        <v>0</v>
      </c>
      <c r="AC1039" s="34">
        <f>(TA[[#This Row],[Work Completion time on fault]]-TA[[#This Row],[Fault Time]])*24</f>
        <v>0</v>
      </c>
      <c r="AD1039" s="35">
        <f>IFERROR((TA[[#This Row],[Work Completion time on fault]]-TA[[#This Row],[Fault Time]])*24,"")</f>
        <v>0</v>
      </c>
      <c r="AE1039" t="s">
        <v>328</v>
      </c>
      <c r="AF1039" t="s">
        <v>256</v>
      </c>
      <c r="AG1039" s="2"/>
      <c r="AH1039" s="44">
        <f>1-COS(RADIANS(TA[[#This Row],[Avg. Target Angle during Fault Time (Radians)]]-TA[[#This Row],[Angle of affected equipment ]]))</f>
        <v>0.11705240714107301</v>
      </c>
      <c r="AI1039" s="35">
        <f>IFERROR(TA[[#This Row],[Breakdown Time]]*TA[[#This Row],[Plant Equivalent Weightage]],"")</f>
        <v>0</v>
      </c>
    </row>
    <row r="1040" spans="1:35">
      <c r="A1040" s="2">
        <f t="shared" si="98"/>
        <v>1037</v>
      </c>
      <c r="B1040" s="156">
        <f t="shared" si="103"/>
        <v>2026</v>
      </c>
      <c r="C1040" s="129">
        <f t="shared" si="104"/>
        <v>2025</v>
      </c>
      <c r="D1040" s="2" t="s">
        <v>155</v>
      </c>
      <c r="E1040" s="2" t="s">
        <v>155</v>
      </c>
      <c r="F1040" s="39">
        <v>45809</v>
      </c>
      <c r="G1040" s="2">
        <f>DAY(EOMONTH(TA[[#This Row],[Month Year]],0))</f>
        <v>30</v>
      </c>
      <c r="H1040" s="21">
        <v>45817</v>
      </c>
      <c r="I1040" s="41">
        <f>IFERROR(VLOOKUP(TA[[#This Row],[Date]],Raw_Data[[Date]:[Sunset Time (POA&lt;20 W/m2)]],3,0),"")</f>
        <v>0.27847222222222223</v>
      </c>
      <c r="J1040" s="41">
        <f>IFERROR(VLOOKUP(TA[[#This Row],[Date]],Raw_Data[[Date]:[Sunset Time (POA&lt;20 W/m2)]],4,0),"")</f>
        <v>0.77916666666666667</v>
      </c>
      <c r="K1040" s="35">
        <f>IFERROR((TA[[#This Row],[Sunset Time (POA&lt;20 W/m2)]]-TA[[#This Row],[Sunrise Time (POA&gt;20 W/m2)]])*24,"")</f>
        <v>12.016666666666666</v>
      </c>
      <c r="L1040" s="2" t="s">
        <v>294</v>
      </c>
      <c r="M1040" s="42">
        <f>IFERROR(VLOOKUP(TA[[#This Row],[Affected Equipment]],'Basic Data'!$I$2:$K$40,3,0),"")</f>
        <v>1.7241379310344799E-3</v>
      </c>
      <c r="N1040">
        <v>-28</v>
      </c>
      <c r="O1040" t="s">
        <v>137</v>
      </c>
      <c r="P1040" s="127" t="s">
        <v>315</v>
      </c>
      <c r="Q1040" s="126" t="s">
        <v>319</v>
      </c>
      <c r="R1040">
        <v>166</v>
      </c>
      <c r="S1040" s="2">
        <v>91</v>
      </c>
      <c r="T1040" t="s">
        <v>295</v>
      </c>
      <c r="U1040" t="s">
        <v>300</v>
      </c>
      <c r="V1040" t="s">
        <v>298</v>
      </c>
      <c r="W1040" s="41"/>
      <c r="X1040" s="41"/>
      <c r="Y1040" s="34"/>
      <c r="Z1040" s="34"/>
      <c r="AA1040" s="35">
        <f>IF(TA[[#This Row],[Work Start time on Fault]]="NA","",(TA[[#This Row],[Fault Acknowledgement Time ]]-TA[[#This Row],[Fault Time]])*24)</f>
        <v>0</v>
      </c>
      <c r="AB1040" s="35">
        <f>(TA[[#This Row],[Work Start time on Fault]]-TA[[#This Row],[Fault Time]])*24</f>
        <v>0</v>
      </c>
      <c r="AC1040" s="34">
        <f>(TA[[#This Row],[Work Completion time on fault]]-TA[[#This Row],[Fault Time]])*24</f>
        <v>0</v>
      </c>
      <c r="AD1040" s="35">
        <f>IFERROR((TA[[#This Row],[Work Completion time on fault]]-TA[[#This Row],[Fault Time]])*24,"")</f>
        <v>0</v>
      </c>
      <c r="AE1040" t="s">
        <v>328</v>
      </c>
      <c r="AF1040" t="s">
        <v>256</v>
      </c>
      <c r="AG1040" s="2"/>
      <c r="AH1040" s="44">
        <f>1-COS(RADIANS(TA[[#This Row],[Avg. Target Angle during Fault Time (Radians)]]-TA[[#This Row],[Angle of affected equipment ]]))</f>
        <v>0.11705240714107301</v>
      </c>
      <c r="AI1040" s="35">
        <f>IFERROR(TA[[#This Row],[Breakdown Time]]*TA[[#This Row],[Plant Equivalent Weightage]],"")</f>
        <v>0</v>
      </c>
    </row>
    <row r="1041" spans="1:35">
      <c r="A1041" s="2">
        <f t="shared" si="98"/>
        <v>1038</v>
      </c>
      <c r="B1041" s="156">
        <f t="shared" si="103"/>
        <v>2026</v>
      </c>
      <c r="C1041" s="129">
        <f t="shared" si="104"/>
        <v>2025</v>
      </c>
      <c r="D1041" s="2" t="s">
        <v>155</v>
      </c>
      <c r="E1041" s="2" t="s">
        <v>155</v>
      </c>
      <c r="F1041" s="39">
        <v>45809</v>
      </c>
      <c r="G1041" s="2">
        <f>DAY(EOMONTH(TA[[#This Row],[Month Year]],0))</f>
        <v>30</v>
      </c>
      <c r="H1041" s="21">
        <v>45817</v>
      </c>
      <c r="I1041" s="41">
        <f>IFERROR(VLOOKUP(TA[[#This Row],[Date]],Raw_Data[[Date]:[Sunset Time (POA&lt;20 W/m2)]],3,0),"")</f>
        <v>0.27847222222222223</v>
      </c>
      <c r="J1041" s="41">
        <f>IFERROR(VLOOKUP(TA[[#This Row],[Date]],Raw_Data[[Date]:[Sunset Time (POA&lt;20 W/m2)]],4,0),"")</f>
        <v>0.77916666666666667</v>
      </c>
      <c r="K1041" s="35">
        <f>IFERROR((TA[[#This Row],[Sunset Time (POA&lt;20 W/m2)]]-TA[[#This Row],[Sunrise Time (POA&gt;20 W/m2)]])*24,"")</f>
        <v>12.016666666666666</v>
      </c>
      <c r="L1041" s="2" t="s">
        <v>294</v>
      </c>
      <c r="M1041" s="42">
        <f>IFERROR(VLOOKUP(TA[[#This Row],[Affected Equipment]],'Basic Data'!$I$2:$K$40,3,0),"")</f>
        <v>1.7241379310344799E-3</v>
      </c>
      <c r="N1041">
        <v>-28</v>
      </c>
      <c r="O1041" t="s">
        <v>133</v>
      </c>
      <c r="P1041" s="127" t="s">
        <v>316</v>
      </c>
      <c r="Q1041" s="126" t="s">
        <v>316</v>
      </c>
      <c r="R1041">
        <v>117</v>
      </c>
      <c r="S1041" s="2">
        <v>20</v>
      </c>
      <c r="T1041" t="s">
        <v>295</v>
      </c>
      <c r="U1041" t="s">
        <v>300</v>
      </c>
      <c r="V1041" t="s">
        <v>298</v>
      </c>
      <c r="W1041" s="41"/>
      <c r="X1041" s="41"/>
      <c r="Y1041" s="34"/>
      <c r="Z1041" s="34"/>
      <c r="AA1041" s="35">
        <f>IF(TA[[#This Row],[Work Start time on Fault]]="NA","",(TA[[#This Row],[Fault Acknowledgement Time ]]-TA[[#This Row],[Fault Time]])*24)</f>
        <v>0</v>
      </c>
      <c r="AB1041" s="35">
        <f>(TA[[#This Row],[Work Start time on Fault]]-TA[[#This Row],[Fault Time]])*24</f>
        <v>0</v>
      </c>
      <c r="AC1041" s="34">
        <f>(TA[[#This Row],[Work Completion time on fault]]-TA[[#This Row],[Fault Time]])*24</f>
        <v>0</v>
      </c>
      <c r="AD1041" s="35">
        <f>IFERROR((TA[[#This Row],[Work Completion time on fault]]-TA[[#This Row],[Fault Time]])*24,"")</f>
        <v>0</v>
      </c>
      <c r="AE1041" t="s">
        <v>328</v>
      </c>
      <c r="AF1041" t="s">
        <v>256</v>
      </c>
      <c r="AG1041" s="2"/>
      <c r="AH1041" s="44">
        <f>1-COS(RADIANS(TA[[#This Row],[Avg. Target Angle during Fault Time (Radians)]]-TA[[#This Row],[Angle of affected equipment ]]))</f>
        <v>0.11705240714107301</v>
      </c>
      <c r="AI1041" s="35">
        <f>IFERROR(TA[[#This Row],[Breakdown Time]]*TA[[#This Row],[Plant Equivalent Weightage]],"")</f>
        <v>0</v>
      </c>
    </row>
    <row r="1042" spans="1:35">
      <c r="A1042" s="2">
        <f t="shared" si="98"/>
        <v>1039</v>
      </c>
      <c r="B1042" s="156">
        <f t="shared" si="103"/>
        <v>2026</v>
      </c>
      <c r="C1042" s="129">
        <f t="shared" si="104"/>
        <v>2025</v>
      </c>
      <c r="D1042" s="2" t="s">
        <v>155</v>
      </c>
      <c r="E1042" s="2" t="s">
        <v>155</v>
      </c>
      <c r="F1042" s="39">
        <v>45809</v>
      </c>
      <c r="G1042" s="2">
        <f>DAY(EOMONTH(TA[[#This Row],[Month Year]],0))</f>
        <v>30</v>
      </c>
      <c r="H1042" s="21">
        <v>45817</v>
      </c>
      <c r="I1042" s="41">
        <f>IFERROR(VLOOKUP(TA[[#This Row],[Date]],Raw_Data[[Date]:[Sunset Time (POA&lt;20 W/m2)]],3,0),"")</f>
        <v>0.27847222222222223</v>
      </c>
      <c r="J1042" s="41">
        <f>IFERROR(VLOOKUP(TA[[#This Row],[Date]],Raw_Data[[Date]:[Sunset Time (POA&lt;20 W/m2)]],4,0),"")</f>
        <v>0.77916666666666667</v>
      </c>
      <c r="K1042" s="35">
        <f>IFERROR((TA[[#This Row],[Sunset Time (POA&lt;20 W/m2)]]-TA[[#This Row],[Sunrise Time (POA&gt;20 W/m2)]])*24,"")</f>
        <v>12.016666666666666</v>
      </c>
      <c r="L1042" s="2" t="s">
        <v>294</v>
      </c>
      <c r="M1042" s="42">
        <f>IFERROR(VLOOKUP(TA[[#This Row],[Affected Equipment]],'Basic Data'!$I$2:$K$40,3,0),"")</f>
        <v>1.7241379310344799E-3</v>
      </c>
      <c r="N1042">
        <v>-28</v>
      </c>
      <c r="O1042" t="s">
        <v>133</v>
      </c>
      <c r="P1042" s="127" t="s">
        <v>316</v>
      </c>
      <c r="Q1042" s="126" t="s">
        <v>316</v>
      </c>
      <c r="R1042">
        <v>118</v>
      </c>
      <c r="S1042" s="2">
        <v>22</v>
      </c>
      <c r="T1042" t="s">
        <v>295</v>
      </c>
      <c r="U1042" t="s">
        <v>300</v>
      </c>
      <c r="V1042" t="s">
        <v>298</v>
      </c>
      <c r="W1042" s="41"/>
      <c r="X1042" s="41"/>
      <c r="Y1042" s="34"/>
      <c r="Z1042" s="34"/>
      <c r="AA1042" s="35">
        <f>IF(TA[[#This Row],[Work Start time on Fault]]="NA","",(TA[[#This Row],[Fault Acknowledgement Time ]]-TA[[#This Row],[Fault Time]])*24)</f>
        <v>0</v>
      </c>
      <c r="AB1042" s="35">
        <f>(TA[[#This Row],[Work Start time on Fault]]-TA[[#This Row],[Fault Time]])*24</f>
        <v>0</v>
      </c>
      <c r="AC1042" s="34">
        <f>(TA[[#This Row],[Work Completion time on fault]]-TA[[#This Row],[Fault Time]])*24</f>
        <v>0</v>
      </c>
      <c r="AD1042" s="35">
        <f>IFERROR((TA[[#This Row],[Work Completion time on fault]]-TA[[#This Row],[Fault Time]])*24,"")</f>
        <v>0</v>
      </c>
      <c r="AE1042" t="s">
        <v>328</v>
      </c>
      <c r="AF1042" t="s">
        <v>256</v>
      </c>
      <c r="AG1042" s="2"/>
      <c r="AH1042" s="44">
        <f>1-COS(RADIANS(TA[[#This Row],[Avg. Target Angle during Fault Time (Radians)]]-TA[[#This Row],[Angle of affected equipment ]]))</f>
        <v>0.11705240714107301</v>
      </c>
      <c r="AI1042" s="35">
        <f>IFERROR(TA[[#This Row],[Breakdown Time]]*TA[[#This Row],[Plant Equivalent Weightage]],"")</f>
        <v>0</v>
      </c>
    </row>
    <row r="1043" spans="1:35">
      <c r="A1043" s="2">
        <f t="shared" si="98"/>
        <v>1040</v>
      </c>
      <c r="B1043" s="156">
        <f t="shared" si="103"/>
        <v>2026</v>
      </c>
      <c r="C1043" s="129">
        <f t="shared" si="104"/>
        <v>2025</v>
      </c>
      <c r="D1043" s="2" t="s">
        <v>155</v>
      </c>
      <c r="E1043" s="2" t="s">
        <v>155</v>
      </c>
      <c r="F1043" s="39">
        <v>45809</v>
      </c>
      <c r="G1043" s="2">
        <f>DAY(EOMONTH(TA[[#This Row],[Month Year]],0))</f>
        <v>30</v>
      </c>
      <c r="H1043" s="21">
        <v>45817</v>
      </c>
      <c r="I1043" s="41">
        <f>IFERROR(VLOOKUP(TA[[#This Row],[Date]],Raw_Data[[Date]:[Sunset Time (POA&lt;20 W/m2)]],3,0),"")</f>
        <v>0.27847222222222223</v>
      </c>
      <c r="J1043" s="41">
        <f>IFERROR(VLOOKUP(TA[[#This Row],[Date]],Raw_Data[[Date]:[Sunset Time (POA&lt;20 W/m2)]],4,0),"")</f>
        <v>0.77916666666666667</v>
      </c>
      <c r="K1043" s="35">
        <f>IFERROR((TA[[#This Row],[Sunset Time (POA&lt;20 W/m2)]]-TA[[#This Row],[Sunrise Time (POA&gt;20 W/m2)]])*24,"")</f>
        <v>12.016666666666666</v>
      </c>
      <c r="L1043" s="2" t="s">
        <v>296</v>
      </c>
      <c r="M1043" s="42">
        <f>IFERROR(VLOOKUP(TA[[#This Row],[Affected Equipment]],'Basic Data'!$I$2:$K$40,3,0),"")</f>
        <v>8.6206896551724102E-3</v>
      </c>
      <c r="N1043">
        <v>-28</v>
      </c>
      <c r="O1043" t="s">
        <v>135</v>
      </c>
      <c r="P1043" s="22" t="s">
        <v>323</v>
      </c>
      <c r="Q1043" s="2" t="s">
        <v>329</v>
      </c>
      <c r="R1043">
        <v>45</v>
      </c>
      <c r="S1043" s="2">
        <v>8</v>
      </c>
      <c r="T1043" t="s">
        <v>297</v>
      </c>
      <c r="U1043" t="s">
        <v>300</v>
      </c>
      <c r="V1043" t="s">
        <v>301</v>
      </c>
      <c r="W1043" s="41"/>
      <c r="X1043" s="41"/>
      <c r="Y1043" s="34"/>
      <c r="Z1043" s="34"/>
      <c r="AA1043" s="35">
        <f>IF(TA[[#This Row],[Work Start time on Fault]]="NA","",(TA[[#This Row],[Fault Acknowledgement Time ]]-TA[[#This Row],[Fault Time]])*24)</f>
        <v>0</v>
      </c>
      <c r="AB1043" s="35">
        <f>(TA[[#This Row],[Work Start time on Fault]]-TA[[#This Row],[Fault Time]])*24</f>
        <v>0</v>
      </c>
      <c r="AC1043" s="34">
        <f>(TA[[#This Row],[Work Completion time on fault]]-TA[[#This Row],[Fault Time]])*24</f>
        <v>0</v>
      </c>
      <c r="AD1043" s="35">
        <f>IFERROR((TA[[#This Row],[Work Completion time on fault]]-TA[[#This Row],[Fault Time]])*24,"")</f>
        <v>0</v>
      </c>
      <c r="AE1043" t="s">
        <v>328</v>
      </c>
      <c r="AF1043" t="s">
        <v>256</v>
      </c>
      <c r="AG1043" s="2"/>
      <c r="AH1043" s="44">
        <f>1-COS(RADIANS(TA[[#This Row],[Avg. Target Angle during Fault Time (Radians)]]-TA[[#This Row],[Angle of affected equipment ]]))</f>
        <v>0.11705240714107301</v>
      </c>
      <c r="AI1043" s="35">
        <f>IFERROR(TA[[#This Row],[Breakdown Time]]*TA[[#This Row],[Plant Equivalent Weightage]],"")</f>
        <v>0</v>
      </c>
    </row>
    <row r="1044" spans="1:35">
      <c r="A1044" s="2">
        <f t="shared" si="98"/>
        <v>1041</v>
      </c>
      <c r="B1044" s="156">
        <f t="shared" si="103"/>
        <v>2026</v>
      </c>
      <c r="C1044" s="129">
        <f t="shared" si="104"/>
        <v>2025</v>
      </c>
      <c r="D1044" s="2" t="s">
        <v>155</v>
      </c>
      <c r="E1044" s="2" t="s">
        <v>155</v>
      </c>
      <c r="F1044" s="39">
        <v>45809</v>
      </c>
      <c r="G1044" s="2">
        <f>DAY(EOMONTH(TA[[#This Row],[Month Year]],0))</f>
        <v>30</v>
      </c>
      <c r="H1044" s="21">
        <v>45817</v>
      </c>
      <c r="I1044" s="41">
        <f>IFERROR(VLOOKUP(TA[[#This Row],[Date]],Raw_Data[[Date]:[Sunset Time (POA&lt;20 W/m2)]],3,0),"")</f>
        <v>0.27847222222222223</v>
      </c>
      <c r="J1044" s="41">
        <f>IFERROR(VLOOKUP(TA[[#This Row],[Date]],Raw_Data[[Date]:[Sunset Time (POA&lt;20 W/m2)]],4,0),"")</f>
        <v>0.77916666666666667</v>
      </c>
      <c r="K1044" s="35">
        <f>IFERROR((TA[[#This Row],[Sunset Time (POA&lt;20 W/m2)]]-TA[[#This Row],[Sunrise Time (POA&gt;20 W/m2)]])*24,"")</f>
        <v>12.016666666666666</v>
      </c>
      <c r="L1044" s="2" t="s">
        <v>296</v>
      </c>
      <c r="M1044" s="42">
        <f>IFERROR(VLOOKUP(TA[[#This Row],[Affected Equipment]],'Basic Data'!$I$2:$K$40,3,0),"")</f>
        <v>8.6206896551724102E-3</v>
      </c>
      <c r="N1044">
        <v>-28</v>
      </c>
      <c r="O1044" t="s">
        <v>135</v>
      </c>
      <c r="P1044" s="22" t="s">
        <v>323</v>
      </c>
      <c r="Q1044" s="2" t="s">
        <v>329</v>
      </c>
      <c r="R1044">
        <v>47</v>
      </c>
      <c r="S1044" s="2">
        <v>18</v>
      </c>
      <c r="T1044" t="s">
        <v>297</v>
      </c>
      <c r="U1044" t="s">
        <v>300</v>
      </c>
      <c r="V1044" t="s">
        <v>301</v>
      </c>
      <c r="W1044" s="41"/>
      <c r="X1044" s="41"/>
      <c r="Y1044" s="34"/>
      <c r="Z1044" s="34"/>
      <c r="AA1044" s="35">
        <f>IF(TA[[#This Row],[Work Start time on Fault]]="NA","",(TA[[#This Row],[Fault Acknowledgement Time ]]-TA[[#This Row],[Fault Time]])*24)</f>
        <v>0</v>
      </c>
      <c r="AB1044" s="35">
        <f>(TA[[#This Row],[Work Start time on Fault]]-TA[[#This Row],[Fault Time]])*24</f>
        <v>0</v>
      </c>
      <c r="AC1044" s="34">
        <f>(TA[[#This Row],[Work Completion time on fault]]-TA[[#This Row],[Fault Time]])*24</f>
        <v>0</v>
      </c>
      <c r="AD1044" s="35">
        <f>IFERROR((TA[[#This Row],[Work Completion time on fault]]-TA[[#This Row],[Fault Time]])*24,"")</f>
        <v>0</v>
      </c>
      <c r="AE1044" t="s">
        <v>328</v>
      </c>
      <c r="AF1044" t="s">
        <v>256</v>
      </c>
      <c r="AG1044" s="2"/>
      <c r="AH1044" s="44">
        <f>1-COS(RADIANS(TA[[#This Row],[Avg. Target Angle during Fault Time (Radians)]]-TA[[#This Row],[Angle of affected equipment ]]))</f>
        <v>0.11705240714107301</v>
      </c>
      <c r="AI1044" s="35">
        <f>IFERROR(TA[[#This Row],[Breakdown Time]]*TA[[#This Row],[Plant Equivalent Weightage]],"")</f>
        <v>0</v>
      </c>
    </row>
    <row r="1045" spans="1:35">
      <c r="A1045" s="2">
        <f t="shared" si="98"/>
        <v>1042</v>
      </c>
      <c r="B1045" s="156">
        <f t="shared" si="103"/>
        <v>2026</v>
      </c>
      <c r="C1045" s="129">
        <f t="shared" si="104"/>
        <v>2025</v>
      </c>
      <c r="D1045" s="2" t="s">
        <v>155</v>
      </c>
      <c r="E1045" s="2" t="s">
        <v>155</v>
      </c>
      <c r="F1045" s="39">
        <v>45809</v>
      </c>
      <c r="G1045" s="2">
        <f>DAY(EOMONTH(TA[[#This Row],[Month Year]],0))</f>
        <v>30</v>
      </c>
      <c r="H1045" s="21">
        <v>45817</v>
      </c>
      <c r="I1045" s="41">
        <f>IFERROR(VLOOKUP(TA[[#This Row],[Date]],Raw_Data[[Date]:[Sunset Time (POA&lt;20 W/m2)]],3,0),"")</f>
        <v>0.27847222222222223</v>
      </c>
      <c r="J1045" s="41">
        <f>IFERROR(VLOOKUP(TA[[#This Row],[Date]],Raw_Data[[Date]:[Sunset Time (POA&lt;20 W/m2)]],4,0),"")</f>
        <v>0.77916666666666667</v>
      </c>
      <c r="K1045" s="35">
        <f>IFERROR((TA[[#This Row],[Sunset Time (POA&lt;20 W/m2)]]-TA[[#This Row],[Sunrise Time (POA&gt;20 W/m2)]])*24,"")</f>
        <v>12.016666666666666</v>
      </c>
      <c r="L1045" s="2" t="s">
        <v>296</v>
      </c>
      <c r="M1045" s="42">
        <f>IFERROR(VLOOKUP(TA[[#This Row],[Affected Equipment]],'Basic Data'!$I$2:$K$40,3,0),"")</f>
        <v>8.6206896551724102E-3</v>
      </c>
      <c r="N1045">
        <v>-28</v>
      </c>
      <c r="O1045" t="s">
        <v>134</v>
      </c>
      <c r="P1045" s="22" t="s">
        <v>330</v>
      </c>
      <c r="Q1045" s="2" t="s">
        <v>323</v>
      </c>
      <c r="R1045">
        <v>30</v>
      </c>
      <c r="S1045" s="2">
        <v>57</v>
      </c>
      <c r="T1045" t="s">
        <v>297</v>
      </c>
      <c r="U1045" t="s">
        <v>300</v>
      </c>
      <c r="V1045" t="s">
        <v>301</v>
      </c>
      <c r="W1045" s="41"/>
      <c r="X1045" s="41"/>
      <c r="Y1045" s="34"/>
      <c r="Z1045" s="34"/>
      <c r="AA1045" s="35">
        <f>IF(TA[[#This Row],[Work Start time on Fault]]="NA","",(TA[[#This Row],[Fault Acknowledgement Time ]]-TA[[#This Row],[Fault Time]])*24)</f>
        <v>0</v>
      </c>
      <c r="AB1045" s="35">
        <f>(TA[[#This Row],[Work Start time on Fault]]-TA[[#This Row],[Fault Time]])*24</f>
        <v>0</v>
      </c>
      <c r="AC1045" s="34">
        <f>(TA[[#This Row],[Work Completion time on fault]]-TA[[#This Row],[Fault Time]])*24</f>
        <v>0</v>
      </c>
      <c r="AD1045" s="35">
        <f>IFERROR((TA[[#This Row],[Work Completion time on fault]]-TA[[#This Row],[Fault Time]])*24,"")</f>
        <v>0</v>
      </c>
      <c r="AE1045" t="s">
        <v>328</v>
      </c>
      <c r="AF1045" t="s">
        <v>256</v>
      </c>
      <c r="AG1045" s="2"/>
      <c r="AH1045" s="44">
        <f>1-COS(RADIANS(TA[[#This Row],[Avg. Target Angle during Fault Time (Radians)]]-TA[[#This Row],[Angle of affected equipment ]]))</f>
        <v>0.11705240714107301</v>
      </c>
      <c r="AI1045" s="35">
        <f>IFERROR(TA[[#This Row],[Breakdown Time]]*TA[[#This Row],[Plant Equivalent Weightage]],"")</f>
        <v>0</v>
      </c>
    </row>
    <row r="1046" spans="1:35">
      <c r="A1046" s="2">
        <f t="shared" si="98"/>
        <v>1043</v>
      </c>
      <c r="B1046" s="156">
        <f t="shared" si="103"/>
        <v>2026</v>
      </c>
      <c r="C1046" s="129">
        <f t="shared" si="104"/>
        <v>2025</v>
      </c>
      <c r="D1046" s="2" t="s">
        <v>155</v>
      </c>
      <c r="E1046" s="2" t="s">
        <v>155</v>
      </c>
      <c r="F1046" s="39">
        <v>45809</v>
      </c>
      <c r="G1046" s="2">
        <f>DAY(EOMONTH(TA[[#This Row],[Month Year]],0))</f>
        <v>30</v>
      </c>
      <c r="H1046" s="21">
        <v>45817</v>
      </c>
      <c r="I1046" s="41">
        <f>IFERROR(VLOOKUP(TA[[#This Row],[Date]],Raw_Data[[Date]:[Sunset Time (POA&lt;20 W/m2)]],3,0),"")</f>
        <v>0.27847222222222223</v>
      </c>
      <c r="J1046" s="41">
        <f>IFERROR(VLOOKUP(TA[[#This Row],[Date]],Raw_Data[[Date]:[Sunset Time (POA&lt;20 W/m2)]],4,0),"")</f>
        <v>0.77916666666666667</v>
      </c>
      <c r="K1046" s="35">
        <f>IFERROR((TA[[#This Row],[Sunset Time (POA&lt;20 W/m2)]]-TA[[#This Row],[Sunrise Time (POA&gt;20 W/m2)]])*24,"")</f>
        <v>12.016666666666666</v>
      </c>
      <c r="L1046" s="2" t="s">
        <v>296</v>
      </c>
      <c r="M1046" s="42">
        <f>IFERROR(VLOOKUP(TA[[#This Row],[Affected Equipment]],'Basic Data'!$I$2:$K$40,3,0),"")</f>
        <v>8.6206896551724102E-3</v>
      </c>
      <c r="N1046">
        <v>-28</v>
      </c>
      <c r="O1046" t="s">
        <v>134</v>
      </c>
      <c r="P1046" s="22" t="s">
        <v>330</v>
      </c>
      <c r="Q1046" s="2" t="s">
        <v>323</v>
      </c>
      <c r="R1046">
        <v>31</v>
      </c>
      <c r="S1046" s="2">
        <v>61</v>
      </c>
      <c r="T1046" t="s">
        <v>297</v>
      </c>
      <c r="U1046" t="s">
        <v>300</v>
      </c>
      <c r="V1046" t="s">
        <v>301</v>
      </c>
      <c r="W1046" s="41"/>
      <c r="X1046" s="41"/>
      <c r="Y1046" s="34"/>
      <c r="Z1046" s="34"/>
      <c r="AA1046" s="35">
        <f>IF(TA[[#This Row],[Work Start time on Fault]]="NA","",(TA[[#This Row],[Fault Acknowledgement Time ]]-TA[[#This Row],[Fault Time]])*24)</f>
        <v>0</v>
      </c>
      <c r="AB1046" s="35">
        <f>(TA[[#This Row],[Work Start time on Fault]]-TA[[#This Row],[Fault Time]])*24</f>
        <v>0</v>
      </c>
      <c r="AC1046" s="34">
        <f>(TA[[#This Row],[Work Completion time on fault]]-TA[[#This Row],[Fault Time]])*24</f>
        <v>0</v>
      </c>
      <c r="AD1046" s="35">
        <f>IFERROR((TA[[#This Row],[Work Completion time on fault]]-TA[[#This Row],[Fault Time]])*24,"")</f>
        <v>0</v>
      </c>
      <c r="AE1046" t="s">
        <v>328</v>
      </c>
      <c r="AF1046" t="s">
        <v>256</v>
      </c>
      <c r="AG1046" s="2"/>
      <c r="AH1046" s="44">
        <f>1-COS(RADIANS(TA[[#This Row],[Avg. Target Angle during Fault Time (Radians)]]-TA[[#This Row],[Angle of affected equipment ]]))</f>
        <v>0.11705240714107301</v>
      </c>
      <c r="AI1046" s="35">
        <f>IFERROR(TA[[#This Row],[Breakdown Time]]*TA[[#This Row],[Plant Equivalent Weightage]],"")</f>
        <v>0</v>
      </c>
    </row>
    <row r="1047" spans="1:35">
      <c r="A1047" s="2">
        <f t="shared" si="98"/>
        <v>1044</v>
      </c>
      <c r="B1047" s="156">
        <f t="shared" si="103"/>
        <v>2026</v>
      </c>
      <c r="C1047" s="129">
        <f t="shared" si="104"/>
        <v>2025</v>
      </c>
      <c r="D1047" s="2" t="s">
        <v>155</v>
      </c>
      <c r="E1047" s="2" t="s">
        <v>155</v>
      </c>
      <c r="F1047" s="39">
        <v>45809</v>
      </c>
      <c r="G1047" s="2">
        <f>DAY(EOMONTH(TA[[#This Row],[Month Year]],0))</f>
        <v>30</v>
      </c>
      <c r="H1047" s="21">
        <v>45817</v>
      </c>
      <c r="I1047" s="41">
        <f>IFERROR(VLOOKUP(TA[[#This Row],[Date]],Raw_Data[[Date]:[Sunset Time (POA&lt;20 W/m2)]],3,0),"")</f>
        <v>0.27847222222222223</v>
      </c>
      <c r="J1047" s="41">
        <f>IFERROR(VLOOKUP(TA[[#This Row],[Date]],Raw_Data[[Date]:[Sunset Time (POA&lt;20 W/m2)]],4,0),"")</f>
        <v>0.77916666666666667</v>
      </c>
      <c r="K1047" s="35">
        <f>IFERROR((TA[[#This Row],[Sunset Time (POA&lt;20 W/m2)]]-TA[[#This Row],[Sunrise Time (POA&gt;20 W/m2)]])*24,"")</f>
        <v>12.016666666666666</v>
      </c>
      <c r="L1047" s="2" t="s">
        <v>312</v>
      </c>
      <c r="M1047" s="42">
        <f>IFERROR(VLOOKUP(TA[[#This Row],[Affected Equipment]],'Basic Data'!$I$2:$K$40,3,0),"")</f>
        <v>5.74712643678161E-3</v>
      </c>
      <c r="N1047">
        <v>-28</v>
      </c>
      <c r="O1047" t="s">
        <v>133</v>
      </c>
      <c r="P1047" s="22" t="s">
        <v>330</v>
      </c>
      <c r="Q1047" s="2" t="s">
        <v>323</v>
      </c>
      <c r="R1047">
        <v>26</v>
      </c>
      <c r="S1047" s="2">
        <v>37</v>
      </c>
      <c r="T1047" t="s">
        <v>297</v>
      </c>
      <c r="U1047" t="s">
        <v>300</v>
      </c>
      <c r="V1047" t="s">
        <v>301</v>
      </c>
      <c r="W1047" s="41"/>
      <c r="X1047" s="41"/>
      <c r="Y1047" s="34"/>
      <c r="Z1047" s="34"/>
      <c r="AA1047" s="35">
        <f>IF(TA[[#This Row],[Work Start time on Fault]]="NA","",(TA[[#This Row],[Fault Acknowledgement Time ]]-TA[[#This Row],[Fault Time]])*24)</f>
        <v>0</v>
      </c>
      <c r="AB1047" s="35">
        <f>(TA[[#This Row],[Work Start time on Fault]]-TA[[#This Row],[Fault Time]])*24</f>
        <v>0</v>
      </c>
      <c r="AC1047" s="34">
        <f>(TA[[#This Row],[Work Completion time on fault]]-TA[[#This Row],[Fault Time]])*24</f>
        <v>0</v>
      </c>
      <c r="AD1047" s="35">
        <f>IFERROR((TA[[#This Row],[Work Completion time on fault]]-TA[[#This Row],[Fault Time]])*24,"")</f>
        <v>0</v>
      </c>
      <c r="AE1047" t="s">
        <v>328</v>
      </c>
      <c r="AF1047" t="s">
        <v>256</v>
      </c>
      <c r="AG1047" s="2"/>
      <c r="AH1047" s="44">
        <f>1-COS(RADIANS(TA[[#This Row],[Avg. Target Angle during Fault Time (Radians)]]-TA[[#This Row],[Angle of affected equipment ]]))</f>
        <v>0.11705240714107301</v>
      </c>
      <c r="AI1047" s="35">
        <f>IFERROR(TA[[#This Row],[Breakdown Time]]*TA[[#This Row],[Plant Equivalent Weightage]],"")</f>
        <v>0</v>
      </c>
    </row>
    <row r="1048" spans="1:35">
      <c r="A1048" s="2">
        <f t="shared" si="98"/>
        <v>1045</v>
      </c>
      <c r="B1048" s="156">
        <f t="shared" si="103"/>
        <v>2026</v>
      </c>
      <c r="C1048" s="129">
        <f t="shared" si="104"/>
        <v>2025</v>
      </c>
      <c r="D1048" s="2" t="s">
        <v>155</v>
      </c>
      <c r="E1048" s="2" t="s">
        <v>155</v>
      </c>
      <c r="F1048" s="39">
        <v>45809</v>
      </c>
      <c r="G1048" s="2">
        <f>DAY(EOMONTH(TA[[#This Row],[Month Year]],0))</f>
        <v>30</v>
      </c>
      <c r="H1048" s="21">
        <v>45817</v>
      </c>
      <c r="I1048" s="41">
        <f>IFERROR(VLOOKUP(TA[[#This Row],[Date]],Raw_Data[[Date]:[Sunset Time (POA&lt;20 W/m2)]],3,0),"")</f>
        <v>0.27847222222222223</v>
      </c>
      <c r="J1048" s="41">
        <f>IFERROR(VLOOKUP(TA[[#This Row],[Date]],Raw_Data[[Date]:[Sunset Time (POA&lt;20 W/m2)]],4,0),"")</f>
        <v>0.77916666666666667</v>
      </c>
      <c r="K1048" s="35">
        <f>IFERROR((TA[[#This Row],[Sunset Time (POA&lt;20 W/m2)]]-TA[[#This Row],[Sunrise Time (POA&gt;20 W/m2)]])*24,"")</f>
        <v>12.016666666666666</v>
      </c>
      <c r="L1048" s="2" t="s">
        <v>312</v>
      </c>
      <c r="M1048" s="42">
        <f>IFERROR(VLOOKUP(TA[[#This Row],[Affected Equipment]],'Basic Data'!$I$2:$K$40,3,0),"")</f>
        <v>5.74712643678161E-3</v>
      </c>
      <c r="N1048">
        <v>-28</v>
      </c>
      <c r="O1048" t="s">
        <v>133</v>
      </c>
      <c r="P1048" s="22" t="s">
        <v>330</v>
      </c>
      <c r="Q1048" s="2" t="s">
        <v>323</v>
      </c>
      <c r="R1048">
        <v>27</v>
      </c>
      <c r="S1048" s="2">
        <v>42</v>
      </c>
      <c r="T1048" t="s">
        <v>297</v>
      </c>
      <c r="U1048" t="s">
        <v>300</v>
      </c>
      <c r="V1048" t="s">
        <v>301</v>
      </c>
      <c r="W1048" s="41">
        <f>IFERROR(VLOOKUP(TA[[#This Row],[Date]],Raw_Data[[Date]:[Sunset Time (POA&lt;20 W/m2)]],3,0),"")</f>
        <v>0.27847222222222223</v>
      </c>
      <c r="X1048" s="41">
        <f>IFERROR(VLOOKUP(TA[[#This Row],[Date]],Raw_Data[[Date]:[Sunset Time (POA&lt;20 W/m2)]],3,0),"")</f>
        <v>0.27847222222222223</v>
      </c>
      <c r="Y1048" s="34"/>
      <c r="Z1048" s="34">
        <v>0.76041666666666663</v>
      </c>
      <c r="AA1048" s="35">
        <f>IF(TA[[#This Row],[Work Start time on Fault]]="NA","",(TA[[#This Row],[Fault Acknowledgement Time ]]-TA[[#This Row],[Fault Time]])*24)</f>
        <v>0</v>
      </c>
      <c r="AB1048" s="35">
        <f>(TA[[#This Row],[Work Start time on Fault]]-TA[[#This Row],[Fault Time]])*24</f>
        <v>-6.6833333333333336</v>
      </c>
      <c r="AC1048" s="34">
        <f>(TA[[#This Row],[Work Completion time on fault]]-TA[[#This Row],[Fault Time]])*24</f>
        <v>11.566666666666666</v>
      </c>
      <c r="AD1048" s="35">
        <f>IFERROR((TA[[#This Row],[Work Completion time on fault]]-TA[[#This Row],[Fault Time]])*24,"")</f>
        <v>11.566666666666666</v>
      </c>
      <c r="AE1048" t="s">
        <v>309</v>
      </c>
      <c r="AF1048" t="s">
        <v>256</v>
      </c>
      <c r="AG1048" s="2"/>
      <c r="AH1048" s="44">
        <f>1-COS(RADIANS(TA[[#This Row],[Avg. Target Angle during Fault Time (Radians)]]-TA[[#This Row],[Angle of affected equipment ]]))</f>
        <v>0.11705240714107301</v>
      </c>
      <c r="AI1048" s="35">
        <f>IFERROR(TA[[#This Row],[Breakdown Time]]*TA[[#This Row],[Plant Equivalent Weightage]],"")</f>
        <v>6.6475095785440627E-2</v>
      </c>
    </row>
    <row r="1049" spans="1:35">
      <c r="A1049" s="2">
        <f t="shared" si="98"/>
        <v>1046</v>
      </c>
      <c r="B1049" s="156">
        <f t="shared" ref="B1049:B1061" si="105">YEAR(H1049)+IF(MONTH(H1049)&gt;=4,1,0)</f>
        <v>2026</v>
      </c>
      <c r="C1049" s="129">
        <f t="shared" ref="C1049:C1061" si="106">YEAR(H1049)</f>
        <v>2025</v>
      </c>
      <c r="D1049" s="2" t="s">
        <v>155</v>
      </c>
      <c r="E1049" s="2" t="s">
        <v>155</v>
      </c>
      <c r="F1049" s="39">
        <v>45809</v>
      </c>
      <c r="G1049" s="2">
        <f>DAY(EOMONTH(TA[[#This Row],[Month Year]],0))</f>
        <v>30</v>
      </c>
      <c r="H1049" s="21">
        <v>45818</v>
      </c>
      <c r="I1049" s="41">
        <f>IFERROR(VLOOKUP(TA[[#This Row],[Date]],Raw_Data[[Date]:[Sunset Time (POA&lt;20 W/m2)]],3,0),"")</f>
        <v>0.25138888888888888</v>
      </c>
      <c r="J1049" s="41">
        <f>IFERROR(VLOOKUP(TA[[#This Row],[Date]],Raw_Data[[Date]:[Sunset Time (POA&lt;20 W/m2)]],4,0),"")</f>
        <v>0.77777777777777779</v>
      </c>
      <c r="K1049" s="35">
        <f>IFERROR((TA[[#This Row],[Sunset Time (POA&lt;20 W/m2)]]-TA[[#This Row],[Sunrise Time (POA&gt;20 W/m2)]])*24,"")</f>
        <v>12.633333333333333</v>
      </c>
      <c r="L1049" s="2" t="s">
        <v>294</v>
      </c>
      <c r="M1049" s="42">
        <f>IFERROR(VLOOKUP(TA[[#This Row],[Affected Equipment]],'Basic Data'!$I$2:$K$40,3,0),"")</f>
        <v>1.7241379310344799E-3</v>
      </c>
      <c r="N1049">
        <v>-28</v>
      </c>
      <c r="O1049" t="s">
        <v>135</v>
      </c>
      <c r="P1049" s="127" t="s">
        <v>318</v>
      </c>
      <c r="Q1049" s="126" t="s">
        <v>318</v>
      </c>
      <c r="R1049">
        <v>131</v>
      </c>
      <c r="S1049" s="2">
        <v>38</v>
      </c>
      <c r="T1049" t="s">
        <v>295</v>
      </c>
      <c r="U1049" t="s">
        <v>300</v>
      </c>
      <c r="V1049" t="s">
        <v>298</v>
      </c>
      <c r="W1049" s="41"/>
      <c r="X1049" s="41"/>
      <c r="Y1049" s="34"/>
      <c r="Z1049" s="34"/>
      <c r="AA1049" s="35">
        <f>IF(TA[[#This Row],[Work Start time on Fault]]="NA","",(TA[[#This Row],[Fault Acknowledgement Time ]]-TA[[#This Row],[Fault Time]])*24)</f>
        <v>0</v>
      </c>
      <c r="AB1049" s="35">
        <f>(TA[[#This Row],[Work Start time on Fault]]-TA[[#This Row],[Fault Time]])*24</f>
        <v>0</v>
      </c>
      <c r="AC1049" s="34">
        <f>(TA[[#This Row],[Work Completion time on fault]]-TA[[#This Row],[Fault Time]])*24</f>
        <v>0</v>
      </c>
      <c r="AD1049" s="35">
        <f>IFERROR((TA[[#This Row],[Work Completion time on fault]]-TA[[#This Row],[Fault Time]])*24,"")</f>
        <v>0</v>
      </c>
      <c r="AE1049" t="s">
        <v>328</v>
      </c>
      <c r="AF1049" t="s">
        <v>256</v>
      </c>
      <c r="AG1049" s="2"/>
      <c r="AH1049" s="44">
        <f>1-COS(RADIANS(TA[[#This Row],[Avg. Target Angle during Fault Time (Radians)]]-TA[[#This Row],[Angle of affected equipment ]]))</f>
        <v>0.11705240714107301</v>
      </c>
      <c r="AI1049" s="35">
        <f>IFERROR(TA[[#This Row],[Breakdown Time]]*TA[[#This Row],[Plant Equivalent Weightage]],"")</f>
        <v>0</v>
      </c>
    </row>
    <row r="1050" spans="1:35">
      <c r="A1050" s="2">
        <f t="shared" si="98"/>
        <v>1047</v>
      </c>
      <c r="B1050" s="156">
        <f t="shared" si="105"/>
        <v>2026</v>
      </c>
      <c r="C1050" s="129">
        <f t="shared" si="106"/>
        <v>2025</v>
      </c>
      <c r="D1050" s="2" t="s">
        <v>155</v>
      </c>
      <c r="E1050" s="2" t="s">
        <v>155</v>
      </c>
      <c r="F1050" s="39">
        <v>45809</v>
      </c>
      <c r="G1050" s="2">
        <f>DAY(EOMONTH(TA[[#This Row],[Month Year]],0))</f>
        <v>30</v>
      </c>
      <c r="H1050" s="21">
        <v>45818</v>
      </c>
      <c r="I1050" s="41">
        <f>IFERROR(VLOOKUP(TA[[#This Row],[Date]],Raw_Data[[Date]:[Sunset Time (POA&lt;20 W/m2)]],3,0),"")</f>
        <v>0.25138888888888888</v>
      </c>
      <c r="J1050" s="41">
        <f>IFERROR(VLOOKUP(TA[[#This Row],[Date]],Raw_Data[[Date]:[Sunset Time (POA&lt;20 W/m2)]],4,0),"")</f>
        <v>0.77777777777777779</v>
      </c>
      <c r="K1050" s="35">
        <f>IFERROR((TA[[#This Row],[Sunset Time (POA&lt;20 W/m2)]]-TA[[#This Row],[Sunrise Time (POA&gt;20 W/m2)]])*24,"")</f>
        <v>12.633333333333333</v>
      </c>
      <c r="L1050" s="2" t="s">
        <v>294</v>
      </c>
      <c r="M1050" s="42">
        <f>IFERROR(VLOOKUP(TA[[#This Row],[Affected Equipment]],'Basic Data'!$I$2:$K$40,3,0),"")</f>
        <v>1.7241379310344799E-3</v>
      </c>
      <c r="N1050">
        <v>-28</v>
      </c>
      <c r="O1050" t="s">
        <v>135</v>
      </c>
      <c r="P1050" s="127" t="s">
        <v>318</v>
      </c>
      <c r="Q1050" s="126" t="s">
        <v>318</v>
      </c>
      <c r="R1050">
        <v>131</v>
      </c>
      <c r="S1050" s="2">
        <v>39</v>
      </c>
      <c r="T1050" t="s">
        <v>295</v>
      </c>
      <c r="U1050" t="s">
        <v>300</v>
      </c>
      <c r="V1050" t="s">
        <v>298</v>
      </c>
      <c r="W1050" s="41"/>
      <c r="X1050" s="41"/>
      <c r="Y1050" s="34"/>
      <c r="Z1050" s="34"/>
      <c r="AA1050" s="35">
        <f>IF(TA[[#This Row],[Work Start time on Fault]]="NA","",(TA[[#This Row],[Fault Acknowledgement Time ]]-TA[[#This Row],[Fault Time]])*24)</f>
        <v>0</v>
      </c>
      <c r="AB1050" s="35">
        <f>(TA[[#This Row],[Work Start time on Fault]]-TA[[#This Row],[Fault Time]])*24</f>
        <v>0</v>
      </c>
      <c r="AC1050" s="34">
        <f>(TA[[#This Row],[Work Completion time on fault]]-TA[[#This Row],[Fault Time]])*24</f>
        <v>0</v>
      </c>
      <c r="AD1050" s="35">
        <f>IFERROR((TA[[#This Row],[Work Completion time on fault]]-TA[[#This Row],[Fault Time]])*24,"")</f>
        <v>0</v>
      </c>
      <c r="AE1050" t="s">
        <v>328</v>
      </c>
      <c r="AF1050" t="s">
        <v>256</v>
      </c>
      <c r="AG1050" s="2"/>
      <c r="AH1050" s="44">
        <f>1-COS(RADIANS(TA[[#This Row],[Avg. Target Angle during Fault Time (Radians)]]-TA[[#This Row],[Angle of affected equipment ]]))</f>
        <v>0.11705240714107301</v>
      </c>
      <c r="AI1050" s="35">
        <f>IFERROR(TA[[#This Row],[Breakdown Time]]*TA[[#This Row],[Plant Equivalent Weightage]],"")</f>
        <v>0</v>
      </c>
    </row>
    <row r="1051" spans="1:35">
      <c r="A1051" s="2">
        <f t="shared" si="98"/>
        <v>1048</v>
      </c>
      <c r="B1051" s="156">
        <f t="shared" si="105"/>
        <v>2026</v>
      </c>
      <c r="C1051" s="129">
        <f t="shared" si="106"/>
        <v>2025</v>
      </c>
      <c r="D1051" s="2" t="s">
        <v>155</v>
      </c>
      <c r="E1051" s="2" t="s">
        <v>155</v>
      </c>
      <c r="F1051" s="39">
        <v>45809</v>
      </c>
      <c r="G1051" s="2">
        <f>DAY(EOMONTH(TA[[#This Row],[Month Year]],0))</f>
        <v>30</v>
      </c>
      <c r="H1051" s="21">
        <v>45818</v>
      </c>
      <c r="I1051" s="41">
        <f>IFERROR(VLOOKUP(TA[[#This Row],[Date]],Raw_Data[[Date]:[Sunset Time (POA&lt;20 W/m2)]],3,0),"")</f>
        <v>0.25138888888888888</v>
      </c>
      <c r="J1051" s="41">
        <f>IFERROR(VLOOKUP(TA[[#This Row],[Date]],Raw_Data[[Date]:[Sunset Time (POA&lt;20 W/m2)]],4,0),"")</f>
        <v>0.77777777777777779</v>
      </c>
      <c r="K1051" s="35">
        <f>IFERROR((TA[[#This Row],[Sunset Time (POA&lt;20 W/m2)]]-TA[[#This Row],[Sunrise Time (POA&gt;20 W/m2)]])*24,"")</f>
        <v>12.633333333333333</v>
      </c>
      <c r="L1051" s="2" t="s">
        <v>296</v>
      </c>
      <c r="M1051" s="42">
        <f>IFERROR(VLOOKUP(TA[[#This Row],[Affected Equipment]],'Basic Data'!$I$2:$K$40,3,0),"")</f>
        <v>8.6206896551724102E-3</v>
      </c>
      <c r="N1051">
        <v>-28</v>
      </c>
      <c r="O1051" t="s">
        <v>135</v>
      </c>
      <c r="P1051" s="127" t="s">
        <v>318</v>
      </c>
      <c r="Q1051" s="2" t="s">
        <v>321</v>
      </c>
      <c r="R1051">
        <v>133</v>
      </c>
      <c r="S1051" s="2">
        <v>26</v>
      </c>
      <c r="T1051" t="s">
        <v>297</v>
      </c>
      <c r="U1051" t="s">
        <v>300</v>
      </c>
      <c r="V1051" t="s">
        <v>314</v>
      </c>
      <c r="W1051" s="41">
        <f>IFERROR(VLOOKUP(TA[[#This Row],[Date]],Raw_Data[[Date]:[Sunset Time (POA&lt;20 W/m2)]],3,0),"")</f>
        <v>0.25138888888888888</v>
      </c>
      <c r="X1051" s="41">
        <f>IFERROR(VLOOKUP(TA[[#This Row],[Date]],Raw_Data[[Date]:[Sunset Time (POA&lt;20 W/m2)]],3,0),"")</f>
        <v>0.25138888888888888</v>
      </c>
      <c r="Y1051" s="34"/>
      <c r="Z1051" s="34">
        <v>0.76041666666666663</v>
      </c>
      <c r="AA1051" s="35">
        <f>IF(TA[[#This Row],[Work Start time on Fault]]="NA","",(TA[[#This Row],[Fault Acknowledgement Time ]]-TA[[#This Row],[Fault Time]])*24)</f>
        <v>0</v>
      </c>
      <c r="AB1051" s="35">
        <f>(TA[[#This Row],[Work Start time on Fault]]-TA[[#This Row],[Fault Time]])*24</f>
        <v>-6.0333333333333332</v>
      </c>
      <c r="AC1051" s="34">
        <f>(TA[[#This Row],[Work Completion time on fault]]-TA[[#This Row],[Fault Time]])*24</f>
        <v>12.216666666666665</v>
      </c>
      <c r="AD1051" s="35">
        <f>IFERROR((TA[[#This Row],[Work Completion time on fault]]-TA[[#This Row],[Fault Time]])*24,"")</f>
        <v>12.216666666666665</v>
      </c>
      <c r="AE1051" t="s">
        <v>328</v>
      </c>
      <c r="AF1051" t="s">
        <v>256</v>
      </c>
      <c r="AG1051" s="2"/>
      <c r="AH1051" s="44">
        <f>1-COS(RADIANS(TA[[#This Row],[Avg. Target Angle during Fault Time (Radians)]]-TA[[#This Row],[Angle of affected equipment ]]))</f>
        <v>0.11705240714107301</v>
      </c>
      <c r="AI1051" s="35">
        <f>IFERROR(TA[[#This Row],[Breakdown Time]]*TA[[#This Row],[Plant Equivalent Weightage]],"")</f>
        <v>0.10531609195402293</v>
      </c>
    </row>
    <row r="1052" spans="1:35">
      <c r="A1052" s="2">
        <f t="shared" si="98"/>
        <v>1049</v>
      </c>
      <c r="B1052" s="156">
        <f t="shared" si="105"/>
        <v>2026</v>
      </c>
      <c r="C1052" s="129">
        <f t="shared" si="106"/>
        <v>2025</v>
      </c>
      <c r="D1052" s="2" t="s">
        <v>155</v>
      </c>
      <c r="E1052" s="2" t="s">
        <v>155</v>
      </c>
      <c r="F1052" s="39">
        <v>45809</v>
      </c>
      <c r="G1052" s="2">
        <f>DAY(EOMONTH(TA[[#This Row],[Month Year]],0))</f>
        <v>30</v>
      </c>
      <c r="H1052" s="21">
        <v>45818</v>
      </c>
      <c r="I1052" s="41">
        <f>IFERROR(VLOOKUP(TA[[#This Row],[Date]],Raw_Data[[Date]:[Sunset Time (POA&lt;20 W/m2)]],3,0),"")</f>
        <v>0.25138888888888888</v>
      </c>
      <c r="J1052" s="41">
        <f>IFERROR(VLOOKUP(TA[[#This Row],[Date]],Raw_Data[[Date]:[Sunset Time (POA&lt;20 W/m2)]],4,0),"")</f>
        <v>0.77777777777777779</v>
      </c>
      <c r="K1052" s="35">
        <f>IFERROR((TA[[#This Row],[Sunset Time (POA&lt;20 W/m2)]]-TA[[#This Row],[Sunrise Time (POA&gt;20 W/m2)]])*24,"")</f>
        <v>12.633333333333333</v>
      </c>
      <c r="L1052" s="2" t="s">
        <v>294</v>
      </c>
      <c r="M1052" s="42">
        <f>IFERROR(VLOOKUP(TA[[#This Row],[Affected Equipment]],'Basic Data'!$I$2:$K$40,3,0),"")</f>
        <v>1.7241379310344799E-3</v>
      </c>
      <c r="N1052">
        <v>-28</v>
      </c>
      <c r="O1052" t="s">
        <v>133</v>
      </c>
      <c r="P1052" s="127" t="s">
        <v>316</v>
      </c>
      <c r="Q1052" s="126" t="s">
        <v>317</v>
      </c>
      <c r="R1052">
        <v>7</v>
      </c>
      <c r="S1052" s="2">
        <v>32</v>
      </c>
      <c r="T1052" t="s">
        <v>295</v>
      </c>
      <c r="U1052" t="s">
        <v>300</v>
      </c>
      <c r="V1052" t="s">
        <v>298</v>
      </c>
      <c r="W1052" s="41"/>
      <c r="X1052" s="41"/>
      <c r="Y1052" s="34"/>
      <c r="Z1052" s="34"/>
      <c r="AA1052" s="35">
        <f>IF(TA[[#This Row],[Work Start time on Fault]]="NA","",(TA[[#This Row],[Fault Acknowledgement Time ]]-TA[[#This Row],[Fault Time]])*24)</f>
        <v>0</v>
      </c>
      <c r="AB1052" s="35">
        <f>(TA[[#This Row],[Work Start time on Fault]]-TA[[#This Row],[Fault Time]])*24</f>
        <v>0</v>
      </c>
      <c r="AC1052" s="34">
        <f>(TA[[#This Row],[Work Completion time on fault]]-TA[[#This Row],[Fault Time]])*24</f>
        <v>0</v>
      </c>
      <c r="AD1052" s="35">
        <f>IFERROR((TA[[#This Row],[Work Completion time on fault]]-TA[[#This Row],[Fault Time]])*24,"")</f>
        <v>0</v>
      </c>
      <c r="AE1052" t="s">
        <v>328</v>
      </c>
      <c r="AF1052" t="s">
        <v>256</v>
      </c>
      <c r="AG1052" s="2"/>
      <c r="AH1052" s="44">
        <f>1-COS(RADIANS(TA[[#This Row],[Avg. Target Angle during Fault Time (Radians)]]-TA[[#This Row],[Angle of affected equipment ]]))</f>
        <v>0.11705240714107301</v>
      </c>
      <c r="AI1052" s="35">
        <f>IFERROR(TA[[#This Row],[Breakdown Time]]*TA[[#This Row],[Plant Equivalent Weightage]],"")</f>
        <v>0</v>
      </c>
    </row>
    <row r="1053" spans="1:35">
      <c r="A1053" s="2">
        <f t="shared" si="98"/>
        <v>1050</v>
      </c>
      <c r="B1053" s="156">
        <f t="shared" si="105"/>
        <v>2026</v>
      </c>
      <c r="C1053" s="129">
        <f t="shared" si="106"/>
        <v>2025</v>
      </c>
      <c r="D1053" s="2" t="s">
        <v>155</v>
      </c>
      <c r="E1053" s="2" t="s">
        <v>155</v>
      </c>
      <c r="F1053" s="39">
        <v>45809</v>
      </c>
      <c r="G1053" s="2">
        <f>DAY(EOMONTH(TA[[#This Row],[Month Year]],0))</f>
        <v>30</v>
      </c>
      <c r="H1053" s="21">
        <v>45818</v>
      </c>
      <c r="I1053" s="41">
        <f>IFERROR(VLOOKUP(TA[[#This Row],[Date]],Raw_Data[[Date]:[Sunset Time (POA&lt;20 W/m2)]],3,0),"")</f>
        <v>0.25138888888888888</v>
      </c>
      <c r="J1053" s="41">
        <f>IFERROR(VLOOKUP(TA[[#This Row],[Date]],Raw_Data[[Date]:[Sunset Time (POA&lt;20 W/m2)]],4,0),"")</f>
        <v>0.77777777777777779</v>
      </c>
      <c r="K1053" s="35">
        <f>IFERROR((TA[[#This Row],[Sunset Time (POA&lt;20 W/m2)]]-TA[[#This Row],[Sunrise Time (POA&gt;20 W/m2)]])*24,"")</f>
        <v>12.633333333333333</v>
      </c>
      <c r="L1053" s="2" t="s">
        <v>294</v>
      </c>
      <c r="M1053" s="42">
        <f>IFERROR(VLOOKUP(TA[[#This Row],[Affected Equipment]],'Basic Data'!$I$2:$K$40,3,0),"")</f>
        <v>1.7241379310344799E-3</v>
      </c>
      <c r="N1053">
        <v>-28</v>
      </c>
      <c r="O1053" t="s">
        <v>137</v>
      </c>
      <c r="P1053" s="127" t="s">
        <v>315</v>
      </c>
      <c r="Q1053" s="126" t="s">
        <v>319</v>
      </c>
      <c r="R1053">
        <v>166</v>
      </c>
      <c r="S1053" s="2">
        <v>91</v>
      </c>
      <c r="T1053" t="s">
        <v>295</v>
      </c>
      <c r="U1053" t="s">
        <v>300</v>
      </c>
      <c r="V1053" t="s">
        <v>298</v>
      </c>
      <c r="W1053" s="41"/>
      <c r="X1053" s="41"/>
      <c r="Y1053" s="34"/>
      <c r="Z1053" s="34"/>
      <c r="AA1053" s="35">
        <f>IF(TA[[#This Row],[Work Start time on Fault]]="NA","",(TA[[#This Row],[Fault Acknowledgement Time ]]-TA[[#This Row],[Fault Time]])*24)</f>
        <v>0</v>
      </c>
      <c r="AB1053" s="35">
        <f>(TA[[#This Row],[Work Start time on Fault]]-TA[[#This Row],[Fault Time]])*24</f>
        <v>0</v>
      </c>
      <c r="AC1053" s="34">
        <f>(TA[[#This Row],[Work Completion time on fault]]-TA[[#This Row],[Fault Time]])*24</f>
        <v>0</v>
      </c>
      <c r="AD1053" s="35">
        <f>IFERROR((TA[[#This Row],[Work Completion time on fault]]-TA[[#This Row],[Fault Time]])*24,"")</f>
        <v>0</v>
      </c>
      <c r="AE1053" t="s">
        <v>328</v>
      </c>
      <c r="AF1053" t="s">
        <v>256</v>
      </c>
      <c r="AG1053" s="2"/>
      <c r="AH1053" s="44">
        <f>1-COS(RADIANS(TA[[#This Row],[Avg. Target Angle during Fault Time (Radians)]]-TA[[#This Row],[Angle of affected equipment ]]))</f>
        <v>0.11705240714107301</v>
      </c>
      <c r="AI1053" s="35">
        <f>IFERROR(TA[[#This Row],[Breakdown Time]]*TA[[#This Row],[Plant Equivalent Weightage]],"")</f>
        <v>0</v>
      </c>
    </row>
    <row r="1054" spans="1:35">
      <c r="A1054" s="2">
        <f t="shared" si="98"/>
        <v>1051</v>
      </c>
      <c r="B1054" s="156">
        <f t="shared" si="105"/>
        <v>2026</v>
      </c>
      <c r="C1054" s="129">
        <f t="shared" si="106"/>
        <v>2025</v>
      </c>
      <c r="D1054" s="2" t="s">
        <v>155</v>
      </c>
      <c r="E1054" s="2" t="s">
        <v>155</v>
      </c>
      <c r="F1054" s="39">
        <v>45809</v>
      </c>
      <c r="G1054" s="2">
        <f>DAY(EOMONTH(TA[[#This Row],[Month Year]],0))</f>
        <v>30</v>
      </c>
      <c r="H1054" s="21">
        <v>45818</v>
      </c>
      <c r="I1054" s="41">
        <f>IFERROR(VLOOKUP(TA[[#This Row],[Date]],Raw_Data[[Date]:[Sunset Time (POA&lt;20 W/m2)]],3,0),"")</f>
        <v>0.25138888888888888</v>
      </c>
      <c r="J1054" s="41">
        <f>IFERROR(VLOOKUP(TA[[#This Row],[Date]],Raw_Data[[Date]:[Sunset Time (POA&lt;20 W/m2)]],4,0),"")</f>
        <v>0.77777777777777779</v>
      </c>
      <c r="K1054" s="35">
        <f>IFERROR((TA[[#This Row],[Sunset Time (POA&lt;20 W/m2)]]-TA[[#This Row],[Sunrise Time (POA&gt;20 W/m2)]])*24,"")</f>
        <v>12.633333333333333</v>
      </c>
      <c r="L1054" s="2" t="s">
        <v>294</v>
      </c>
      <c r="M1054" s="42">
        <f>IFERROR(VLOOKUP(TA[[#This Row],[Affected Equipment]],'Basic Data'!$I$2:$K$40,3,0),"")</f>
        <v>1.7241379310344799E-3</v>
      </c>
      <c r="N1054">
        <v>-28</v>
      </c>
      <c r="O1054" t="s">
        <v>133</v>
      </c>
      <c r="P1054" s="127" t="s">
        <v>316</v>
      </c>
      <c r="Q1054" s="126" t="s">
        <v>316</v>
      </c>
      <c r="R1054">
        <v>117</v>
      </c>
      <c r="S1054" s="2">
        <v>20</v>
      </c>
      <c r="T1054" t="s">
        <v>295</v>
      </c>
      <c r="U1054" t="s">
        <v>300</v>
      </c>
      <c r="V1054" t="s">
        <v>298</v>
      </c>
      <c r="W1054" s="41"/>
      <c r="X1054" s="41"/>
      <c r="Y1054" s="34"/>
      <c r="Z1054" s="34"/>
      <c r="AA1054" s="35">
        <f>IF(TA[[#This Row],[Work Start time on Fault]]="NA","",(TA[[#This Row],[Fault Acknowledgement Time ]]-TA[[#This Row],[Fault Time]])*24)</f>
        <v>0</v>
      </c>
      <c r="AB1054" s="35">
        <f>(TA[[#This Row],[Work Start time on Fault]]-TA[[#This Row],[Fault Time]])*24</f>
        <v>0</v>
      </c>
      <c r="AC1054" s="34">
        <f>(TA[[#This Row],[Work Completion time on fault]]-TA[[#This Row],[Fault Time]])*24</f>
        <v>0</v>
      </c>
      <c r="AD1054" s="35">
        <f>IFERROR((TA[[#This Row],[Work Completion time on fault]]-TA[[#This Row],[Fault Time]])*24,"")</f>
        <v>0</v>
      </c>
      <c r="AE1054" t="s">
        <v>328</v>
      </c>
      <c r="AF1054" t="s">
        <v>256</v>
      </c>
      <c r="AG1054" s="2"/>
      <c r="AH1054" s="44">
        <f>1-COS(RADIANS(TA[[#This Row],[Avg. Target Angle during Fault Time (Radians)]]-TA[[#This Row],[Angle of affected equipment ]]))</f>
        <v>0.11705240714107301</v>
      </c>
      <c r="AI1054" s="35">
        <f>IFERROR(TA[[#This Row],[Breakdown Time]]*TA[[#This Row],[Plant Equivalent Weightage]],"")</f>
        <v>0</v>
      </c>
    </row>
    <row r="1055" spans="1:35">
      <c r="A1055" s="2">
        <f t="shared" si="98"/>
        <v>1052</v>
      </c>
      <c r="B1055" s="156">
        <f t="shared" si="105"/>
        <v>2026</v>
      </c>
      <c r="C1055" s="129">
        <f t="shared" si="106"/>
        <v>2025</v>
      </c>
      <c r="D1055" s="2" t="s">
        <v>155</v>
      </c>
      <c r="E1055" s="2" t="s">
        <v>155</v>
      </c>
      <c r="F1055" s="39">
        <v>45809</v>
      </c>
      <c r="G1055" s="2">
        <f>DAY(EOMONTH(TA[[#This Row],[Month Year]],0))</f>
        <v>30</v>
      </c>
      <c r="H1055" s="21">
        <v>45818</v>
      </c>
      <c r="I1055" s="41">
        <f>IFERROR(VLOOKUP(TA[[#This Row],[Date]],Raw_Data[[Date]:[Sunset Time (POA&lt;20 W/m2)]],3,0),"")</f>
        <v>0.25138888888888888</v>
      </c>
      <c r="J1055" s="41">
        <f>IFERROR(VLOOKUP(TA[[#This Row],[Date]],Raw_Data[[Date]:[Sunset Time (POA&lt;20 W/m2)]],4,0),"")</f>
        <v>0.77777777777777779</v>
      </c>
      <c r="K1055" s="35">
        <f>IFERROR((TA[[#This Row],[Sunset Time (POA&lt;20 W/m2)]]-TA[[#This Row],[Sunrise Time (POA&gt;20 W/m2)]])*24,"")</f>
        <v>12.633333333333333</v>
      </c>
      <c r="L1055" s="2" t="s">
        <v>294</v>
      </c>
      <c r="M1055" s="42">
        <f>IFERROR(VLOOKUP(TA[[#This Row],[Affected Equipment]],'Basic Data'!$I$2:$K$40,3,0),"")</f>
        <v>1.7241379310344799E-3</v>
      </c>
      <c r="N1055">
        <v>-28</v>
      </c>
      <c r="O1055" t="s">
        <v>133</v>
      </c>
      <c r="P1055" s="127" t="s">
        <v>316</v>
      </c>
      <c r="Q1055" s="126" t="s">
        <v>316</v>
      </c>
      <c r="R1055">
        <v>118</v>
      </c>
      <c r="S1055" s="2">
        <v>22</v>
      </c>
      <c r="T1055" t="s">
        <v>295</v>
      </c>
      <c r="U1055" t="s">
        <v>300</v>
      </c>
      <c r="V1055" t="s">
        <v>298</v>
      </c>
      <c r="W1055" s="41"/>
      <c r="X1055" s="41"/>
      <c r="Y1055" s="34"/>
      <c r="Z1055" s="34"/>
      <c r="AA1055" s="35">
        <f>IF(TA[[#This Row],[Work Start time on Fault]]="NA","",(TA[[#This Row],[Fault Acknowledgement Time ]]-TA[[#This Row],[Fault Time]])*24)</f>
        <v>0</v>
      </c>
      <c r="AB1055" s="35">
        <f>(TA[[#This Row],[Work Start time on Fault]]-TA[[#This Row],[Fault Time]])*24</f>
        <v>0</v>
      </c>
      <c r="AC1055" s="34">
        <f>(TA[[#This Row],[Work Completion time on fault]]-TA[[#This Row],[Fault Time]])*24</f>
        <v>0</v>
      </c>
      <c r="AD1055" s="35">
        <f>IFERROR((TA[[#This Row],[Work Completion time on fault]]-TA[[#This Row],[Fault Time]])*24,"")</f>
        <v>0</v>
      </c>
      <c r="AE1055" t="s">
        <v>328</v>
      </c>
      <c r="AF1055" t="s">
        <v>256</v>
      </c>
      <c r="AG1055" s="2"/>
      <c r="AH1055" s="44">
        <f>1-COS(RADIANS(TA[[#This Row],[Avg. Target Angle during Fault Time (Radians)]]-TA[[#This Row],[Angle of affected equipment ]]))</f>
        <v>0.11705240714107301</v>
      </c>
      <c r="AI1055" s="35">
        <f>IFERROR(TA[[#This Row],[Breakdown Time]]*TA[[#This Row],[Plant Equivalent Weightage]],"")</f>
        <v>0</v>
      </c>
    </row>
    <row r="1056" spans="1:35">
      <c r="A1056" s="2">
        <f t="shared" si="98"/>
        <v>1053</v>
      </c>
      <c r="B1056" s="156">
        <f t="shared" si="105"/>
        <v>2026</v>
      </c>
      <c r="C1056" s="129">
        <f t="shared" si="106"/>
        <v>2025</v>
      </c>
      <c r="D1056" s="2" t="s">
        <v>155</v>
      </c>
      <c r="E1056" s="2" t="s">
        <v>155</v>
      </c>
      <c r="F1056" s="39">
        <v>45809</v>
      </c>
      <c r="G1056" s="2">
        <f>DAY(EOMONTH(TA[[#This Row],[Month Year]],0))</f>
        <v>30</v>
      </c>
      <c r="H1056" s="21">
        <v>45818</v>
      </c>
      <c r="I1056" s="41">
        <f>IFERROR(VLOOKUP(TA[[#This Row],[Date]],Raw_Data[[Date]:[Sunset Time (POA&lt;20 W/m2)]],3,0),"")</f>
        <v>0.25138888888888888</v>
      </c>
      <c r="J1056" s="41">
        <f>IFERROR(VLOOKUP(TA[[#This Row],[Date]],Raw_Data[[Date]:[Sunset Time (POA&lt;20 W/m2)]],4,0),"")</f>
        <v>0.77777777777777779</v>
      </c>
      <c r="K1056" s="35">
        <f>IFERROR((TA[[#This Row],[Sunset Time (POA&lt;20 W/m2)]]-TA[[#This Row],[Sunrise Time (POA&gt;20 W/m2)]])*24,"")</f>
        <v>12.633333333333333</v>
      </c>
      <c r="L1056" s="2" t="s">
        <v>296</v>
      </c>
      <c r="M1056" s="42">
        <f>IFERROR(VLOOKUP(TA[[#This Row],[Affected Equipment]],'Basic Data'!$I$2:$K$40,3,0),"")</f>
        <v>8.6206896551724102E-3</v>
      </c>
      <c r="N1056">
        <v>-28</v>
      </c>
      <c r="O1056" t="s">
        <v>135</v>
      </c>
      <c r="P1056" s="22" t="s">
        <v>323</v>
      </c>
      <c r="Q1056" s="2" t="s">
        <v>329</v>
      </c>
      <c r="R1056">
        <v>45</v>
      </c>
      <c r="S1056" s="2">
        <v>8</v>
      </c>
      <c r="T1056" t="s">
        <v>297</v>
      </c>
      <c r="U1056" t="s">
        <v>300</v>
      </c>
      <c r="V1056" t="s">
        <v>301</v>
      </c>
      <c r="W1056" s="41"/>
      <c r="X1056" s="41"/>
      <c r="Y1056" s="34"/>
      <c r="Z1056" s="34"/>
      <c r="AA1056" s="35">
        <f>IF(TA[[#This Row],[Work Start time on Fault]]="NA","",(TA[[#This Row],[Fault Acknowledgement Time ]]-TA[[#This Row],[Fault Time]])*24)</f>
        <v>0</v>
      </c>
      <c r="AB1056" s="35">
        <f>(TA[[#This Row],[Work Start time on Fault]]-TA[[#This Row],[Fault Time]])*24</f>
        <v>0</v>
      </c>
      <c r="AC1056" s="34">
        <f>(TA[[#This Row],[Work Completion time on fault]]-TA[[#This Row],[Fault Time]])*24</f>
        <v>0</v>
      </c>
      <c r="AD1056" s="35">
        <f>IFERROR((TA[[#This Row],[Work Completion time on fault]]-TA[[#This Row],[Fault Time]])*24,"")</f>
        <v>0</v>
      </c>
      <c r="AE1056" t="s">
        <v>328</v>
      </c>
      <c r="AF1056" t="s">
        <v>256</v>
      </c>
      <c r="AG1056" s="2"/>
      <c r="AH1056" s="44">
        <f>1-COS(RADIANS(TA[[#This Row],[Avg. Target Angle during Fault Time (Radians)]]-TA[[#This Row],[Angle of affected equipment ]]))</f>
        <v>0.11705240714107301</v>
      </c>
      <c r="AI1056" s="35">
        <f>IFERROR(TA[[#This Row],[Breakdown Time]]*TA[[#This Row],[Plant Equivalent Weightage]],"")</f>
        <v>0</v>
      </c>
    </row>
    <row r="1057" spans="1:35">
      <c r="A1057" s="2">
        <f t="shared" si="98"/>
        <v>1054</v>
      </c>
      <c r="B1057" s="156">
        <f t="shared" si="105"/>
        <v>2026</v>
      </c>
      <c r="C1057" s="129">
        <f t="shared" si="106"/>
        <v>2025</v>
      </c>
      <c r="D1057" s="2" t="s">
        <v>155</v>
      </c>
      <c r="E1057" s="2" t="s">
        <v>155</v>
      </c>
      <c r="F1057" s="39">
        <v>45809</v>
      </c>
      <c r="G1057" s="2">
        <f>DAY(EOMONTH(TA[[#This Row],[Month Year]],0))</f>
        <v>30</v>
      </c>
      <c r="H1057" s="21">
        <v>45818</v>
      </c>
      <c r="I1057" s="41">
        <f>IFERROR(VLOOKUP(TA[[#This Row],[Date]],Raw_Data[[Date]:[Sunset Time (POA&lt;20 W/m2)]],3,0),"")</f>
        <v>0.25138888888888888</v>
      </c>
      <c r="J1057" s="41">
        <f>IFERROR(VLOOKUP(TA[[#This Row],[Date]],Raw_Data[[Date]:[Sunset Time (POA&lt;20 W/m2)]],4,0),"")</f>
        <v>0.77777777777777779</v>
      </c>
      <c r="K1057" s="35">
        <f>IFERROR((TA[[#This Row],[Sunset Time (POA&lt;20 W/m2)]]-TA[[#This Row],[Sunrise Time (POA&gt;20 W/m2)]])*24,"")</f>
        <v>12.633333333333333</v>
      </c>
      <c r="L1057" s="2" t="s">
        <v>296</v>
      </c>
      <c r="M1057" s="42">
        <f>IFERROR(VLOOKUP(TA[[#This Row],[Affected Equipment]],'Basic Data'!$I$2:$K$40,3,0),"")</f>
        <v>8.6206896551724102E-3</v>
      </c>
      <c r="N1057">
        <v>-28</v>
      </c>
      <c r="O1057" t="s">
        <v>135</v>
      </c>
      <c r="P1057" s="22" t="s">
        <v>323</v>
      </c>
      <c r="Q1057" s="2" t="s">
        <v>329</v>
      </c>
      <c r="R1057">
        <v>47</v>
      </c>
      <c r="S1057" s="2">
        <v>18</v>
      </c>
      <c r="T1057" t="s">
        <v>297</v>
      </c>
      <c r="U1057" t="s">
        <v>300</v>
      </c>
      <c r="V1057" t="s">
        <v>301</v>
      </c>
      <c r="W1057" s="41"/>
      <c r="X1057" s="41"/>
      <c r="Y1057" s="34"/>
      <c r="Z1057" s="34"/>
      <c r="AA1057" s="35">
        <f>IF(TA[[#This Row],[Work Start time on Fault]]="NA","",(TA[[#This Row],[Fault Acknowledgement Time ]]-TA[[#This Row],[Fault Time]])*24)</f>
        <v>0</v>
      </c>
      <c r="AB1057" s="35">
        <f>(TA[[#This Row],[Work Start time on Fault]]-TA[[#This Row],[Fault Time]])*24</f>
        <v>0</v>
      </c>
      <c r="AC1057" s="34">
        <f>(TA[[#This Row],[Work Completion time on fault]]-TA[[#This Row],[Fault Time]])*24</f>
        <v>0</v>
      </c>
      <c r="AD1057" s="35">
        <f>IFERROR((TA[[#This Row],[Work Completion time on fault]]-TA[[#This Row],[Fault Time]])*24,"")</f>
        <v>0</v>
      </c>
      <c r="AE1057" t="s">
        <v>328</v>
      </c>
      <c r="AF1057" t="s">
        <v>256</v>
      </c>
      <c r="AG1057" s="2"/>
      <c r="AH1057" s="44">
        <f>1-COS(RADIANS(TA[[#This Row],[Avg. Target Angle during Fault Time (Radians)]]-TA[[#This Row],[Angle of affected equipment ]]))</f>
        <v>0.11705240714107301</v>
      </c>
      <c r="AI1057" s="35">
        <f>IFERROR(TA[[#This Row],[Breakdown Time]]*TA[[#This Row],[Plant Equivalent Weightage]],"")</f>
        <v>0</v>
      </c>
    </row>
    <row r="1058" spans="1:35">
      <c r="A1058" s="2">
        <f t="shared" si="98"/>
        <v>1055</v>
      </c>
      <c r="B1058" s="156">
        <f t="shared" si="105"/>
        <v>2026</v>
      </c>
      <c r="C1058" s="129">
        <f t="shared" si="106"/>
        <v>2025</v>
      </c>
      <c r="D1058" s="2" t="s">
        <v>155</v>
      </c>
      <c r="E1058" s="2" t="s">
        <v>155</v>
      </c>
      <c r="F1058" s="39">
        <v>45809</v>
      </c>
      <c r="G1058" s="2">
        <f>DAY(EOMONTH(TA[[#This Row],[Month Year]],0))</f>
        <v>30</v>
      </c>
      <c r="H1058" s="21">
        <v>45818</v>
      </c>
      <c r="I1058" s="41">
        <f>IFERROR(VLOOKUP(TA[[#This Row],[Date]],Raw_Data[[Date]:[Sunset Time (POA&lt;20 W/m2)]],3,0),"")</f>
        <v>0.25138888888888888</v>
      </c>
      <c r="J1058" s="41">
        <f>IFERROR(VLOOKUP(TA[[#This Row],[Date]],Raw_Data[[Date]:[Sunset Time (POA&lt;20 W/m2)]],4,0),"")</f>
        <v>0.77777777777777779</v>
      </c>
      <c r="K1058" s="35">
        <f>IFERROR((TA[[#This Row],[Sunset Time (POA&lt;20 W/m2)]]-TA[[#This Row],[Sunrise Time (POA&gt;20 W/m2)]])*24,"")</f>
        <v>12.633333333333333</v>
      </c>
      <c r="L1058" s="2" t="s">
        <v>296</v>
      </c>
      <c r="M1058" s="42">
        <f>IFERROR(VLOOKUP(TA[[#This Row],[Affected Equipment]],'Basic Data'!$I$2:$K$40,3,0),"")</f>
        <v>8.6206896551724102E-3</v>
      </c>
      <c r="N1058">
        <v>-28</v>
      </c>
      <c r="O1058" t="s">
        <v>134</v>
      </c>
      <c r="P1058" s="22" t="s">
        <v>330</v>
      </c>
      <c r="Q1058" s="2" t="s">
        <v>323</v>
      </c>
      <c r="R1058">
        <v>30</v>
      </c>
      <c r="S1058" s="2">
        <v>57</v>
      </c>
      <c r="T1058" t="s">
        <v>297</v>
      </c>
      <c r="U1058" t="s">
        <v>300</v>
      </c>
      <c r="V1058" t="s">
        <v>301</v>
      </c>
      <c r="W1058" s="41"/>
      <c r="X1058" s="41"/>
      <c r="Y1058" s="34"/>
      <c r="Z1058" s="34"/>
      <c r="AA1058" s="35">
        <f>IF(TA[[#This Row],[Work Start time on Fault]]="NA","",(TA[[#This Row],[Fault Acknowledgement Time ]]-TA[[#This Row],[Fault Time]])*24)</f>
        <v>0</v>
      </c>
      <c r="AB1058" s="35">
        <f>(TA[[#This Row],[Work Start time on Fault]]-TA[[#This Row],[Fault Time]])*24</f>
        <v>0</v>
      </c>
      <c r="AC1058" s="34">
        <f>(TA[[#This Row],[Work Completion time on fault]]-TA[[#This Row],[Fault Time]])*24</f>
        <v>0</v>
      </c>
      <c r="AD1058" s="35">
        <f>IFERROR((TA[[#This Row],[Work Completion time on fault]]-TA[[#This Row],[Fault Time]])*24,"")</f>
        <v>0</v>
      </c>
      <c r="AE1058" t="s">
        <v>328</v>
      </c>
      <c r="AF1058" t="s">
        <v>256</v>
      </c>
      <c r="AG1058" s="2"/>
      <c r="AH1058" s="44">
        <f>1-COS(RADIANS(TA[[#This Row],[Avg. Target Angle during Fault Time (Radians)]]-TA[[#This Row],[Angle of affected equipment ]]))</f>
        <v>0.11705240714107301</v>
      </c>
      <c r="AI1058" s="35">
        <f>IFERROR(TA[[#This Row],[Breakdown Time]]*TA[[#This Row],[Plant Equivalent Weightage]],"")</f>
        <v>0</v>
      </c>
    </row>
    <row r="1059" spans="1:35">
      <c r="A1059" s="2">
        <f t="shared" si="98"/>
        <v>1056</v>
      </c>
      <c r="B1059" s="156">
        <f t="shared" si="105"/>
        <v>2026</v>
      </c>
      <c r="C1059" s="129">
        <f t="shared" si="106"/>
        <v>2025</v>
      </c>
      <c r="D1059" s="2" t="s">
        <v>155</v>
      </c>
      <c r="E1059" s="2" t="s">
        <v>155</v>
      </c>
      <c r="F1059" s="39">
        <v>45809</v>
      </c>
      <c r="G1059" s="2">
        <f>DAY(EOMONTH(TA[[#This Row],[Month Year]],0))</f>
        <v>30</v>
      </c>
      <c r="H1059" s="21">
        <v>45818</v>
      </c>
      <c r="I1059" s="41">
        <f>IFERROR(VLOOKUP(TA[[#This Row],[Date]],Raw_Data[[Date]:[Sunset Time (POA&lt;20 W/m2)]],3,0),"")</f>
        <v>0.25138888888888888</v>
      </c>
      <c r="J1059" s="41">
        <f>IFERROR(VLOOKUP(TA[[#This Row],[Date]],Raw_Data[[Date]:[Sunset Time (POA&lt;20 W/m2)]],4,0),"")</f>
        <v>0.77777777777777779</v>
      </c>
      <c r="K1059" s="35">
        <f>IFERROR((TA[[#This Row],[Sunset Time (POA&lt;20 W/m2)]]-TA[[#This Row],[Sunrise Time (POA&gt;20 W/m2)]])*24,"")</f>
        <v>12.633333333333333</v>
      </c>
      <c r="L1059" s="2" t="s">
        <v>296</v>
      </c>
      <c r="M1059" s="42">
        <f>IFERROR(VLOOKUP(TA[[#This Row],[Affected Equipment]],'Basic Data'!$I$2:$K$40,3,0),"")</f>
        <v>8.6206896551724102E-3</v>
      </c>
      <c r="N1059">
        <v>-28</v>
      </c>
      <c r="O1059" t="s">
        <v>134</v>
      </c>
      <c r="P1059" s="22" t="s">
        <v>330</v>
      </c>
      <c r="Q1059" s="2" t="s">
        <v>323</v>
      </c>
      <c r="R1059">
        <v>31</v>
      </c>
      <c r="S1059" s="2">
        <v>61</v>
      </c>
      <c r="T1059" t="s">
        <v>297</v>
      </c>
      <c r="U1059" t="s">
        <v>300</v>
      </c>
      <c r="V1059" t="s">
        <v>301</v>
      </c>
      <c r="W1059" s="41"/>
      <c r="X1059" s="41"/>
      <c r="Y1059" s="34"/>
      <c r="Z1059" s="34"/>
      <c r="AA1059" s="35">
        <f>IF(TA[[#This Row],[Work Start time on Fault]]="NA","",(TA[[#This Row],[Fault Acknowledgement Time ]]-TA[[#This Row],[Fault Time]])*24)</f>
        <v>0</v>
      </c>
      <c r="AB1059" s="35">
        <f>(TA[[#This Row],[Work Start time on Fault]]-TA[[#This Row],[Fault Time]])*24</f>
        <v>0</v>
      </c>
      <c r="AC1059" s="34">
        <f>(TA[[#This Row],[Work Completion time on fault]]-TA[[#This Row],[Fault Time]])*24</f>
        <v>0</v>
      </c>
      <c r="AD1059" s="35">
        <f>IFERROR((TA[[#This Row],[Work Completion time on fault]]-TA[[#This Row],[Fault Time]])*24,"")</f>
        <v>0</v>
      </c>
      <c r="AE1059" t="s">
        <v>328</v>
      </c>
      <c r="AF1059" t="s">
        <v>256</v>
      </c>
      <c r="AG1059" s="2"/>
      <c r="AH1059" s="44">
        <f>1-COS(RADIANS(TA[[#This Row],[Avg. Target Angle during Fault Time (Radians)]]-TA[[#This Row],[Angle of affected equipment ]]))</f>
        <v>0.11705240714107301</v>
      </c>
      <c r="AI1059" s="35">
        <f>IFERROR(TA[[#This Row],[Breakdown Time]]*TA[[#This Row],[Plant Equivalent Weightage]],"")</f>
        <v>0</v>
      </c>
    </row>
    <row r="1060" spans="1:35">
      <c r="A1060" s="2">
        <f t="shared" si="98"/>
        <v>1057</v>
      </c>
      <c r="B1060" s="156">
        <f t="shared" si="105"/>
        <v>2026</v>
      </c>
      <c r="C1060" s="129">
        <f t="shared" si="106"/>
        <v>2025</v>
      </c>
      <c r="D1060" s="2" t="s">
        <v>155</v>
      </c>
      <c r="E1060" s="2" t="s">
        <v>155</v>
      </c>
      <c r="F1060" s="39">
        <v>45809</v>
      </c>
      <c r="G1060" s="2">
        <f>DAY(EOMONTH(TA[[#This Row],[Month Year]],0))</f>
        <v>30</v>
      </c>
      <c r="H1060" s="21">
        <v>45818</v>
      </c>
      <c r="I1060" s="41">
        <f>IFERROR(VLOOKUP(TA[[#This Row],[Date]],Raw_Data[[Date]:[Sunset Time (POA&lt;20 W/m2)]],3,0),"")</f>
        <v>0.25138888888888888</v>
      </c>
      <c r="J1060" s="41">
        <f>IFERROR(VLOOKUP(TA[[#This Row],[Date]],Raw_Data[[Date]:[Sunset Time (POA&lt;20 W/m2)]],4,0),"")</f>
        <v>0.77777777777777779</v>
      </c>
      <c r="K1060" s="35">
        <f>IFERROR((TA[[#This Row],[Sunset Time (POA&lt;20 W/m2)]]-TA[[#This Row],[Sunrise Time (POA&gt;20 W/m2)]])*24,"")</f>
        <v>12.633333333333333</v>
      </c>
      <c r="L1060" s="2" t="s">
        <v>312</v>
      </c>
      <c r="M1060" s="42">
        <f>IFERROR(VLOOKUP(TA[[#This Row],[Affected Equipment]],'Basic Data'!$I$2:$K$40,3,0),"")</f>
        <v>5.74712643678161E-3</v>
      </c>
      <c r="N1060">
        <v>-28</v>
      </c>
      <c r="O1060" t="s">
        <v>133</v>
      </c>
      <c r="P1060" s="22" t="s">
        <v>330</v>
      </c>
      <c r="Q1060" s="2" t="s">
        <v>323</v>
      </c>
      <c r="R1060">
        <v>26</v>
      </c>
      <c r="S1060" s="2">
        <v>37</v>
      </c>
      <c r="T1060" t="s">
        <v>297</v>
      </c>
      <c r="U1060" t="s">
        <v>300</v>
      </c>
      <c r="V1060" t="s">
        <v>301</v>
      </c>
      <c r="W1060" s="41"/>
      <c r="X1060" s="41"/>
      <c r="Y1060" s="34"/>
      <c r="Z1060" s="34"/>
      <c r="AA1060" s="35">
        <f>IF(TA[[#This Row],[Work Start time on Fault]]="NA","",(TA[[#This Row],[Fault Acknowledgement Time ]]-TA[[#This Row],[Fault Time]])*24)</f>
        <v>0</v>
      </c>
      <c r="AB1060" s="35">
        <f>(TA[[#This Row],[Work Start time on Fault]]-TA[[#This Row],[Fault Time]])*24</f>
        <v>0</v>
      </c>
      <c r="AC1060" s="34">
        <f>(TA[[#This Row],[Work Completion time on fault]]-TA[[#This Row],[Fault Time]])*24</f>
        <v>0</v>
      </c>
      <c r="AD1060" s="35">
        <f>IFERROR((TA[[#This Row],[Work Completion time on fault]]-TA[[#This Row],[Fault Time]])*24,"")</f>
        <v>0</v>
      </c>
      <c r="AE1060" t="s">
        <v>328</v>
      </c>
      <c r="AF1060" t="s">
        <v>256</v>
      </c>
      <c r="AG1060" s="2"/>
      <c r="AH1060" s="44">
        <f>1-COS(RADIANS(TA[[#This Row],[Avg. Target Angle during Fault Time (Radians)]]-TA[[#This Row],[Angle of affected equipment ]]))</f>
        <v>0.11705240714107301</v>
      </c>
      <c r="AI1060" s="35">
        <f>IFERROR(TA[[#This Row],[Breakdown Time]]*TA[[#This Row],[Plant Equivalent Weightage]],"")</f>
        <v>0</v>
      </c>
    </row>
    <row r="1061" spans="1:35">
      <c r="A1061" s="2">
        <f t="shared" si="98"/>
        <v>1058</v>
      </c>
      <c r="B1061" s="156">
        <f t="shared" si="105"/>
        <v>2026</v>
      </c>
      <c r="C1061" s="129">
        <f t="shared" si="106"/>
        <v>2025</v>
      </c>
      <c r="D1061" s="2" t="s">
        <v>155</v>
      </c>
      <c r="E1061" s="2" t="s">
        <v>155</v>
      </c>
      <c r="F1061" s="39">
        <v>45809</v>
      </c>
      <c r="G1061" s="2">
        <f>DAY(EOMONTH(TA[[#This Row],[Month Year]],0))</f>
        <v>30</v>
      </c>
      <c r="H1061" s="21">
        <v>45818</v>
      </c>
      <c r="I1061" s="41">
        <f>IFERROR(VLOOKUP(TA[[#This Row],[Date]],Raw_Data[[Date]:[Sunset Time (POA&lt;20 W/m2)]],3,0),"")</f>
        <v>0.25138888888888888</v>
      </c>
      <c r="J1061" s="41">
        <f>IFERROR(VLOOKUP(TA[[#This Row],[Date]],Raw_Data[[Date]:[Sunset Time (POA&lt;20 W/m2)]],4,0),"")</f>
        <v>0.77777777777777779</v>
      </c>
      <c r="K1061" s="35">
        <f>IFERROR((TA[[#This Row],[Sunset Time (POA&lt;20 W/m2)]]-TA[[#This Row],[Sunrise Time (POA&gt;20 W/m2)]])*24,"")</f>
        <v>12.633333333333333</v>
      </c>
      <c r="L1061" s="2" t="s">
        <v>312</v>
      </c>
      <c r="M1061" s="42">
        <f>IFERROR(VLOOKUP(TA[[#This Row],[Affected Equipment]],'Basic Data'!$I$2:$K$40,3,0),"")</f>
        <v>5.74712643678161E-3</v>
      </c>
      <c r="N1061">
        <v>-28</v>
      </c>
      <c r="O1061" t="s">
        <v>133</v>
      </c>
      <c r="P1061" s="22" t="s">
        <v>330</v>
      </c>
      <c r="Q1061" s="2" t="s">
        <v>323</v>
      </c>
      <c r="R1061">
        <v>27</v>
      </c>
      <c r="S1061" s="2">
        <v>42</v>
      </c>
      <c r="T1061" t="s">
        <v>297</v>
      </c>
      <c r="U1061" t="s">
        <v>300</v>
      </c>
      <c r="V1061" t="s">
        <v>301</v>
      </c>
      <c r="W1061" s="41">
        <f>IFERROR(VLOOKUP(TA[[#This Row],[Date]],Raw_Data[[Date]:[Sunset Time (POA&lt;20 W/m2)]],3,0),"")</f>
        <v>0.25138888888888888</v>
      </c>
      <c r="X1061" s="41">
        <f>IFERROR(VLOOKUP(TA[[#This Row],[Date]],Raw_Data[[Date]:[Sunset Time (POA&lt;20 W/m2)]],3,0),"")</f>
        <v>0.25138888888888888</v>
      </c>
      <c r="Y1061" s="34"/>
      <c r="Z1061" s="34">
        <v>0.76041666666666663</v>
      </c>
      <c r="AA1061" s="35">
        <f>IF(TA[[#This Row],[Work Start time on Fault]]="NA","",(TA[[#This Row],[Fault Acknowledgement Time ]]-TA[[#This Row],[Fault Time]])*24)</f>
        <v>0</v>
      </c>
      <c r="AB1061" s="35">
        <f>(TA[[#This Row],[Work Start time on Fault]]-TA[[#This Row],[Fault Time]])*24</f>
        <v>-6.0333333333333332</v>
      </c>
      <c r="AC1061" s="34">
        <f>(TA[[#This Row],[Work Completion time on fault]]-TA[[#This Row],[Fault Time]])*24</f>
        <v>12.216666666666665</v>
      </c>
      <c r="AD1061" s="35">
        <f>IFERROR((TA[[#This Row],[Work Completion time on fault]]-TA[[#This Row],[Fault Time]])*24,"")</f>
        <v>12.216666666666665</v>
      </c>
      <c r="AE1061" t="s">
        <v>309</v>
      </c>
      <c r="AF1061" t="s">
        <v>256</v>
      </c>
      <c r="AG1061" s="2"/>
      <c r="AH1061" s="44">
        <f>1-COS(RADIANS(TA[[#This Row],[Avg. Target Angle during Fault Time (Radians)]]-TA[[#This Row],[Angle of affected equipment ]]))</f>
        <v>0.11705240714107301</v>
      </c>
      <c r="AI1061" s="35">
        <f>IFERROR(TA[[#This Row],[Breakdown Time]]*TA[[#This Row],[Plant Equivalent Weightage]],"")</f>
        <v>7.0210727969348657E-2</v>
      </c>
    </row>
    <row r="1062" spans="1:35">
      <c r="A1062" s="2">
        <f t="shared" si="98"/>
        <v>1059</v>
      </c>
      <c r="B1062" s="156">
        <f t="shared" ref="B1062:B1074" si="107">YEAR(H1062)+IF(MONTH(H1062)&gt;=4,1,0)</f>
        <v>2026</v>
      </c>
      <c r="C1062" s="129">
        <f t="shared" ref="C1062:C1074" si="108">YEAR(H1062)</f>
        <v>2025</v>
      </c>
      <c r="D1062" s="2" t="s">
        <v>155</v>
      </c>
      <c r="E1062" s="2" t="s">
        <v>155</v>
      </c>
      <c r="F1062" s="39">
        <v>45809</v>
      </c>
      <c r="G1062" s="2">
        <f>DAY(EOMONTH(TA[[#This Row],[Month Year]],0))</f>
        <v>30</v>
      </c>
      <c r="H1062" s="21">
        <v>45819</v>
      </c>
      <c r="I1062" s="41">
        <f>IFERROR(VLOOKUP(TA[[#This Row],[Date]],Raw_Data[[Date]:[Sunset Time (POA&lt;20 W/m2)]],3,0),"")</f>
        <v>0.29166666666666669</v>
      </c>
      <c r="J1062" s="41">
        <f>IFERROR(VLOOKUP(TA[[#This Row],[Date]],Raw_Data[[Date]:[Sunset Time (POA&lt;20 W/m2)]],4,0),"")</f>
        <v>0.77708333333333335</v>
      </c>
      <c r="K1062" s="35">
        <f>IFERROR((TA[[#This Row],[Sunset Time (POA&lt;20 W/m2)]]-TA[[#This Row],[Sunrise Time (POA&gt;20 W/m2)]])*24,"")</f>
        <v>11.65</v>
      </c>
      <c r="L1062" s="2" t="s">
        <v>294</v>
      </c>
      <c r="M1062" s="42">
        <f>IFERROR(VLOOKUP(TA[[#This Row],[Affected Equipment]],'Basic Data'!$I$2:$K$40,3,0),"")</f>
        <v>1.7241379310344799E-3</v>
      </c>
      <c r="N1062">
        <v>-28</v>
      </c>
      <c r="O1062" t="s">
        <v>135</v>
      </c>
      <c r="P1062" s="127" t="s">
        <v>318</v>
      </c>
      <c r="Q1062" s="126" t="s">
        <v>318</v>
      </c>
      <c r="R1062">
        <v>131</v>
      </c>
      <c r="S1062" s="2">
        <v>38</v>
      </c>
      <c r="T1062" t="s">
        <v>295</v>
      </c>
      <c r="U1062" t="s">
        <v>300</v>
      </c>
      <c r="V1062" t="s">
        <v>298</v>
      </c>
      <c r="W1062" s="41"/>
      <c r="X1062" s="41"/>
      <c r="Y1062" s="34"/>
      <c r="Z1062" s="34"/>
      <c r="AA1062" s="35">
        <f>IF(TA[[#This Row],[Work Start time on Fault]]="NA","",(TA[[#This Row],[Fault Acknowledgement Time ]]-TA[[#This Row],[Fault Time]])*24)</f>
        <v>0</v>
      </c>
      <c r="AB1062" s="35">
        <f>(TA[[#This Row],[Work Start time on Fault]]-TA[[#This Row],[Fault Time]])*24</f>
        <v>0</v>
      </c>
      <c r="AC1062" s="34">
        <f>(TA[[#This Row],[Work Completion time on fault]]-TA[[#This Row],[Fault Time]])*24</f>
        <v>0</v>
      </c>
      <c r="AD1062" s="35">
        <f>IFERROR((TA[[#This Row],[Work Completion time on fault]]-TA[[#This Row],[Fault Time]])*24,"")</f>
        <v>0</v>
      </c>
      <c r="AE1062" t="s">
        <v>328</v>
      </c>
      <c r="AF1062" t="s">
        <v>256</v>
      </c>
      <c r="AG1062" s="2"/>
      <c r="AH1062" s="44">
        <f>1-COS(RADIANS(TA[[#This Row],[Avg. Target Angle during Fault Time (Radians)]]-TA[[#This Row],[Angle of affected equipment ]]))</f>
        <v>0.11705240714107301</v>
      </c>
      <c r="AI1062" s="35">
        <f>IFERROR(TA[[#This Row],[Breakdown Time]]*TA[[#This Row],[Plant Equivalent Weightage]],"")</f>
        <v>0</v>
      </c>
    </row>
    <row r="1063" spans="1:35">
      <c r="A1063" s="2">
        <f t="shared" ref="A1063:A1126" si="109">A1062+1</f>
        <v>1060</v>
      </c>
      <c r="B1063" s="156">
        <f t="shared" si="107"/>
        <v>2026</v>
      </c>
      <c r="C1063" s="129">
        <f t="shared" si="108"/>
        <v>2025</v>
      </c>
      <c r="D1063" s="2" t="s">
        <v>155</v>
      </c>
      <c r="E1063" s="2" t="s">
        <v>155</v>
      </c>
      <c r="F1063" s="39">
        <v>45809</v>
      </c>
      <c r="G1063" s="2">
        <f>DAY(EOMONTH(TA[[#This Row],[Month Year]],0))</f>
        <v>30</v>
      </c>
      <c r="H1063" s="21">
        <v>45819</v>
      </c>
      <c r="I1063" s="41">
        <f>IFERROR(VLOOKUP(TA[[#This Row],[Date]],Raw_Data[[Date]:[Sunset Time (POA&lt;20 W/m2)]],3,0),"")</f>
        <v>0.29166666666666669</v>
      </c>
      <c r="J1063" s="41">
        <f>IFERROR(VLOOKUP(TA[[#This Row],[Date]],Raw_Data[[Date]:[Sunset Time (POA&lt;20 W/m2)]],4,0),"")</f>
        <v>0.77708333333333335</v>
      </c>
      <c r="K1063" s="35">
        <f>IFERROR((TA[[#This Row],[Sunset Time (POA&lt;20 W/m2)]]-TA[[#This Row],[Sunrise Time (POA&gt;20 W/m2)]])*24,"")</f>
        <v>11.65</v>
      </c>
      <c r="L1063" s="2" t="s">
        <v>294</v>
      </c>
      <c r="M1063" s="42">
        <f>IFERROR(VLOOKUP(TA[[#This Row],[Affected Equipment]],'Basic Data'!$I$2:$K$40,3,0),"")</f>
        <v>1.7241379310344799E-3</v>
      </c>
      <c r="N1063">
        <v>-28</v>
      </c>
      <c r="O1063" t="s">
        <v>135</v>
      </c>
      <c r="P1063" s="127" t="s">
        <v>318</v>
      </c>
      <c r="Q1063" s="126" t="s">
        <v>318</v>
      </c>
      <c r="R1063">
        <v>131</v>
      </c>
      <c r="S1063" s="2">
        <v>39</v>
      </c>
      <c r="T1063" t="s">
        <v>295</v>
      </c>
      <c r="U1063" t="s">
        <v>300</v>
      </c>
      <c r="V1063" t="s">
        <v>298</v>
      </c>
      <c r="W1063" s="41"/>
      <c r="X1063" s="41"/>
      <c r="Y1063" s="34"/>
      <c r="Z1063" s="34"/>
      <c r="AA1063" s="35">
        <f>IF(TA[[#This Row],[Work Start time on Fault]]="NA","",(TA[[#This Row],[Fault Acknowledgement Time ]]-TA[[#This Row],[Fault Time]])*24)</f>
        <v>0</v>
      </c>
      <c r="AB1063" s="35">
        <f>(TA[[#This Row],[Work Start time on Fault]]-TA[[#This Row],[Fault Time]])*24</f>
        <v>0</v>
      </c>
      <c r="AC1063" s="34">
        <f>(TA[[#This Row],[Work Completion time on fault]]-TA[[#This Row],[Fault Time]])*24</f>
        <v>0</v>
      </c>
      <c r="AD1063" s="35">
        <f>IFERROR((TA[[#This Row],[Work Completion time on fault]]-TA[[#This Row],[Fault Time]])*24,"")</f>
        <v>0</v>
      </c>
      <c r="AE1063" t="s">
        <v>328</v>
      </c>
      <c r="AF1063" t="s">
        <v>256</v>
      </c>
      <c r="AG1063" s="2"/>
      <c r="AH1063" s="44">
        <f>1-COS(RADIANS(TA[[#This Row],[Avg. Target Angle during Fault Time (Radians)]]-TA[[#This Row],[Angle of affected equipment ]]))</f>
        <v>0.11705240714107301</v>
      </c>
      <c r="AI1063" s="35">
        <f>IFERROR(TA[[#This Row],[Breakdown Time]]*TA[[#This Row],[Plant Equivalent Weightage]],"")</f>
        <v>0</v>
      </c>
    </row>
    <row r="1064" spans="1:35">
      <c r="A1064" s="2">
        <f t="shared" si="109"/>
        <v>1061</v>
      </c>
      <c r="B1064" s="156">
        <f t="shared" si="107"/>
        <v>2026</v>
      </c>
      <c r="C1064" s="129">
        <f t="shared" si="108"/>
        <v>2025</v>
      </c>
      <c r="D1064" s="2" t="s">
        <v>155</v>
      </c>
      <c r="E1064" s="2" t="s">
        <v>155</v>
      </c>
      <c r="F1064" s="39">
        <v>45809</v>
      </c>
      <c r="G1064" s="2">
        <f>DAY(EOMONTH(TA[[#This Row],[Month Year]],0))</f>
        <v>30</v>
      </c>
      <c r="H1064" s="21">
        <v>45819</v>
      </c>
      <c r="I1064" s="41">
        <f>IFERROR(VLOOKUP(TA[[#This Row],[Date]],Raw_Data[[Date]:[Sunset Time (POA&lt;20 W/m2)]],3,0),"")</f>
        <v>0.29166666666666669</v>
      </c>
      <c r="J1064" s="41">
        <f>IFERROR(VLOOKUP(TA[[#This Row],[Date]],Raw_Data[[Date]:[Sunset Time (POA&lt;20 W/m2)]],4,0),"")</f>
        <v>0.77708333333333335</v>
      </c>
      <c r="K1064" s="35">
        <f>IFERROR((TA[[#This Row],[Sunset Time (POA&lt;20 W/m2)]]-TA[[#This Row],[Sunrise Time (POA&gt;20 W/m2)]])*24,"")</f>
        <v>11.65</v>
      </c>
      <c r="L1064" s="2" t="s">
        <v>296</v>
      </c>
      <c r="M1064" s="42">
        <f>IFERROR(VLOOKUP(TA[[#This Row],[Affected Equipment]],'Basic Data'!$I$2:$K$40,3,0),"")</f>
        <v>8.6206896551724102E-3</v>
      </c>
      <c r="N1064">
        <v>-28</v>
      </c>
      <c r="O1064" t="s">
        <v>135</v>
      </c>
      <c r="P1064" s="127" t="s">
        <v>318</v>
      </c>
      <c r="Q1064" s="2" t="s">
        <v>321</v>
      </c>
      <c r="R1064">
        <v>133</v>
      </c>
      <c r="S1064" s="2">
        <v>26</v>
      </c>
      <c r="T1064" t="s">
        <v>297</v>
      </c>
      <c r="U1064" t="s">
        <v>300</v>
      </c>
      <c r="V1064" t="s">
        <v>314</v>
      </c>
      <c r="W1064" s="41">
        <f>IFERROR(VLOOKUP(TA[[#This Row],[Date]],Raw_Data[[Date]:[Sunset Time (POA&lt;20 W/m2)]],3,0),"")</f>
        <v>0.29166666666666669</v>
      </c>
      <c r="X1064" s="41">
        <f>IFERROR(VLOOKUP(TA[[#This Row],[Date]],Raw_Data[[Date]:[Sunset Time (POA&lt;20 W/m2)]],3,0),"")</f>
        <v>0.29166666666666669</v>
      </c>
      <c r="Y1064" s="34"/>
      <c r="Z1064" s="34">
        <v>0.76041666666666663</v>
      </c>
      <c r="AA1064" s="35">
        <f>IF(TA[[#This Row],[Work Start time on Fault]]="NA","",(TA[[#This Row],[Fault Acknowledgement Time ]]-TA[[#This Row],[Fault Time]])*24)</f>
        <v>0</v>
      </c>
      <c r="AB1064" s="35">
        <f>(TA[[#This Row],[Work Start time on Fault]]-TA[[#This Row],[Fault Time]])*24</f>
        <v>-7</v>
      </c>
      <c r="AC1064" s="34">
        <f>(TA[[#This Row],[Work Completion time on fault]]-TA[[#This Row],[Fault Time]])*24</f>
        <v>11.249999999999998</v>
      </c>
      <c r="AD1064" s="35">
        <f>IFERROR((TA[[#This Row],[Work Completion time on fault]]-TA[[#This Row],[Fault Time]])*24,"")</f>
        <v>11.249999999999998</v>
      </c>
      <c r="AE1064" t="s">
        <v>328</v>
      </c>
      <c r="AF1064" t="s">
        <v>256</v>
      </c>
      <c r="AG1064" s="2"/>
      <c r="AH1064" s="44">
        <f>1-COS(RADIANS(TA[[#This Row],[Avg. Target Angle during Fault Time (Radians)]]-TA[[#This Row],[Angle of affected equipment ]]))</f>
        <v>0.11705240714107301</v>
      </c>
      <c r="AI1064" s="35">
        <f>IFERROR(TA[[#This Row],[Breakdown Time]]*TA[[#This Row],[Plant Equivalent Weightage]],"")</f>
        <v>9.6982758620689599E-2</v>
      </c>
    </row>
    <row r="1065" spans="1:35">
      <c r="A1065" s="2">
        <f t="shared" si="109"/>
        <v>1062</v>
      </c>
      <c r="B1065" s="156">
        <f t="shared" si="107"/>
        <v>2026</v>
      </c>
      <c r="C1065" s="129">
        <f t="shared" si="108"/>
        <v>2025</v>
      </c>
      <c r="D1065" s="2" t="s">
        <v>155</v>
      </c>
      <c r="E1065" s="2" t="s">
        <v>155</v>
      </c>
      <c r="F1065" s="39">
        <v>45809</v>
      </c>
      <c r="G1065" s="2">
        <f>DAY(EOMONTH(TA[[#This Row],[Month Year]],0))</f>
        <v>30</v>
      </c>
      <c r="H1065" s="21">
        <v>45819</v>
      </c>
      <c r="I1065" s="41">
        <f>IFERROR(VLOOKUP(TA[[#This Row],[Date]],Raw_Data[[Date]:[Sunset Time (POA&lt;20 W/m2)]],3,0),"")</f>
        <v>0.29166666666666669</v>
      </c>
      <c r="J1065" s="41">
        <f>IFERROR(VLOOKUP(TA[[#This Row],[Date]],Raw_Data[[Date]:[Sunset Time (POA&lt;20 W/m2)]],4,0),"")</f>
        <v>0.77708333333333335</v>
      </c>
      <c r="K1065" s="35">
        <f>IFERROR((TA[[#This Row],[Sunset Time (POA&lt;20 W/m2)]]-TA[[#This Row],[Sunrise Time (POA&gt;20 W/m2)]])*24,"")</f>
        <v>11.65</v>
      </c>
      <c r="L1065" s="2" t="s">
        <v>294</v>
      </c>
      <c r="M1065" s="42">
        <f>IFERROR(VLOOKUP(TA[[#This Row],[Affected Equipment]],'Basic Data'!$I$2:$K$40,3,0),"")</f>
        <v>1.7241379310344799E-3</v>
      </c>
      <c r="N1065">
        <v>-28</v>
      </c>
      <c r="O1065" t="s">
        <v>133</v>
      </c>
      <c r="P1065" s="127" t="s">
        <v>316</v>
      </c>
      <c r="Q1065" s="126" t="s">
        <v>317</v>
      </c>
      <c r="R1065">
        <v>7</v>
      </c>
      <c r="S1065" s="2">
        <v>32</v>
      </c>
      <c r="T1065" t="s">
        <v>295</v>
      </c>
      <c r="U1065" t="s">
        <v>300</v>
      </c>
      <c r="V1065" t="s">
        <v>298</v>
      </c>
      <c r="W1065" s="41"/>
      <c r="X1065" s="41"/>
      <c r="Y1065" s="34"/>
      <c r="Z1065" s="34"/>
      <c r="AA1065" s="35">
        <f>IF(TA[[#This Row],[Work Start time on Fault]]="NA","",(TA[[#This Row],[Fault Acknowledgement Time ]]-TA[[#This Row],[Fault Time]])*24)</f>
        <v>0</v>
      </c>
      <c r="AB1065" s="35">
        <f>(TA[[#This Row],[Work Start time on Fault]]-TA[[#This Row],[Fault Time]])*24</f>
        <v>0</v>
      </c>
      <c r="AC1065" s="34">
        <f>(TA[[#This Row],[Work Completion time on fault]]-TA[[#This Row],[Fault Time]])*24</f>
        <v>0</v>
      </c>
      <c r="AD1065" s="35">
        <f>IFERROR((TA[[#This Row],[Work Completion time on fault]]-TA[[#This Row],[Fault Time]])*24,"")</f>
        <v>0</v>
      </c>
      <c r="AE1065" t="s">
        <v>328</v>
      </c>
      <c r="AF1065" t="s">
        <v>256</v>
      </c>
      <c r="AG1065" s="2"/>
      <c r="AH1065" s="44">
        <f>1-COS(RADIANS(TA[[#This Row],[Avg. Target Angle during Fault Time (Radians)]]-TA[[#This Row],[Angle of affected equipment ]]))</f>
        <v>0.11705240714107301</v>
      </c>
      <c r="AI1065" s="35">
        <f>IFERROR(TA[[#This Row],[Breakdown Time]]*TA[[#This Row],[Plant Equivalent Weightage]],"")</f>
        <v>0</v>
      </c>
    </row>
    <row r="1066" spans="1:35">
      <c r="A1066" s="2">
        <f t="shared" si="109"/>
        <v>1063</v>
      </c>
      <c r="B1066" s="156">
        <f t="shared" si="107"/>
        <v>2026</v>
      </c>
      <c r="C1066" s="129">
        <f t="shared" si="108"/>
        <v>2025</v>
      </c>
      <c r="D1066" s="2" t="s">
        <v>155</v>
      </c>
      <c r="E1066" s="2" t="s">
        <v>155</v>
      </c>
      <c r="F1066" s="39">
        <v>45809</v>
      </c>
      <c r="G1066" s="2">
        <f>DAY(EOMONTH(TA[[#This Row],[Month Year]],0))</f>
        <v>30</v>
      </c>
      <c r="H1066" s="21">
        <v>45819</v>
      </c>
      <c r="I1066" s="41">
        <f>IFERROR(VLOOKUP(TA[[#This Row],[Date]],Raw_Data[[Date]:[Sunset Time (POA&lt;20 W/m2)]],3,0),"")</f>
        <v>0.29166666666666669</v>
      </c>
      <c r="J1066" s="41">
        <f>IFERROR(VLOOKUP(TA[[#This Row],[Date]],Raw_Data[[Date]:[Sunset Time (POA&lt;20 W/m2)]],4,0),"")</f>
        <v>0.77708333333333335</v>
      </c>
      <c r="K1066" s="35">
        <f>IFERROR((TA[[#This Row],[Sunset Time (POA&lt;20 W/m2)]]-TA[[#This Row],[Sunrise Time (POA&gt;20 W/m2)]])*24,"")</f>
        <v>11.65</v>
      </c>
      <c r="L1066" s="2" t="s">
        <v>294</v>
      </c>
      <c r="M1066" s="42">
        <f>IFERROR(VLOOKUP(TA[[#This Row],[Affected Equipment]],'Basic Data'!$I$2:$K$40,3,0),"")</f>
        <v>1.7241379310344799E-3</v>
      </c>
      <c r="N1066">
        <v>-28</v>
      </c>
      <c r="O1066" t="s">
        <v>137</v>
      </c>
      <c r="P1066" s="127" t="s">
        <v>315</v>
      </c>
      <c r="Q1066" s="126" t="s">
        <v>319</v>
      </c>
      <c r="R1066">
        <v>166</v>
      </c>
      <c r="S1066" s="2">
        <v>91</v>
      </c>
      <c r="T1066" t="s">
        <v>295</v>
      </c>
      <c r="U1066" t="s">
        <v>300</v>
      </c>
      <c r="V1066" t="s">
        <v>298</v>
      </c>
      <c r="W1066" s="41"/>
      <c r="X1066" s="41"/>
      <c r="Y1066" s="34"/>
      <c r="Z1066" s="34"/>
      <c r="AA1066" s="35">
        <f>IF(TA[[#This Row],[Work Start time on Fault]]="NA","",(TA[[#This Row],[Fault Acknowledgement Time ]]-TA[[#This Row],[Fault Time]])*24)</f>
        <v>0</v>
      </c>
      <c r="AB1066" s="35">
        <f>(TA[[#This Row],[Work Start time on Fault]]-TA[[#This Row],[Fault Time]])*24</f>
        <v>0</v>
      </c>
      <c r="AC1066" s="34">
        <f>(TA[[#This Row],[Work Completion time on fault]]-TA[[#This Row],[Fault Time]])*24</f>
        <v>0</v>
      </c>
      <c r="AD1066" s="35">
        <f>IFERROR((TA[[#This Row],[Work Completion time on fault]]-TA[[#This Row],[Fault Time]])*24,"")</f>
        <v>0</v>
      </c>
      <c r="AE1066" t="s">
        <v>328</v>
      </c>
      <c r="AF1066" t="s">
        <v>256</v>
      </c>
      <c r="AG1066" s="2"/>
      <c r="AH1066" s="44">
        <f>1-COS(RADIANS(TA[[#This Row],[Avg. Target Angle during Fault Time (Radians)]]-TA[[#This Row],[Angle of affected equipment ]]))</f>
        <v>0.11705240714107301</v>
      </c>
      <c r="AI1066" s="35">
        <f>IFERROR(TA[[#This Row],[Breakdown Time]]*TA[[#This Row],[Plant Equivalent Weightage]],"")</f>
        <v>0</v>
      </c>
    </row>
    <row r="1067" spans="1:35">
      <c r="A1067" s="2">
        <f t="shared" si="109"/>
        <v>1064</v>
      </c>
      <c r="B1067" s="156">
        <f t="shared" si="107"/>
        <v>2026</v>
      </c>
      <c r="C1067" s="129">
        <f t="shared" si="108"/>
        <v>2025</v>
      </c>
      <c r="D1067" s="2" t="s">
        <v>155</v>
      </c>
      <c r="E1067" s="2" t="s">
        <v>155</v>
      </c>
      <c r="F1067" s="39">
        <v>45809</v>
      </c>
      <c r="G1067" s="2">
        <f>DAY(EOMONTH(TA[[#This Row],[Month Year]],0))</f>
        <v>30</v>
      </c>
      <c r="H1067" s="21">
        <v>45819</v>
      </c>
      <c r="I1067" s="41">
        <f>IFERROR(VLOOKUP(TA[[#This Row],[Date]],Raw_Data[[Date]:[Sunset Time (POA&lt;20 W/m2)]],3,0),"")</f>
        <v>0.29166666666666669</v>
      </c>
      <c r="J1067" s="41">
        <f>IFERROR(VLOOKUP(TA[[#This Row],[Date]],Raw_Data[[Date]:[Sunset Time (POA&lt;20 W/m2)]],4,0),"")</f>
        <v>0.77708333333333335</v>
      </c>
      <c r="K1067" s="35">
        <f>IFERROR((TA[[#This Row],[Sunset Time (POA&lt;20 W/m2)]]-TA[[#This Row],[Sunrise Time (POA&gt;20 W/m2)]])*24,"")</f>
        <v>11.65</v>
      </c>
      <c r="L1067" s="2" t="s">
        <v>294</v>
      </c>
      <c r="M1067" s="42">
        <f>IFERROR(VLOOKUP(TA[[#This Row],[Affected Equipment]],'Basic Data'!$I$2:$K$40,3,0),"")</f>
        <v>1.7241379310344799E-3</v>
      </c>
      <c r="N1067">
        <v>-28</v>
      </c>
      <c r="O1067" t="s">
        <v>133</v>
      </c>
      <c r="P1067" s="127" t="s">
        <v>316</v>
      </c>
      <c r="Q1067" s="126" t="s">
        <v>316</v>
      </c>
      <c r="R1067">
        <v>117</v>
      </c>
      <c r="S1067" s="2">
        <v>20</v>
      </c>
      <c r="T1067" t="s">
        <v>295</v>
      </c>
      <c r="U1067" t="s">
        <v>300</v>
      </c>
      <c r="V1067" t="s">
        <v>298</v>
      </c>
      <c r="W1067" s="41"/>
      <c r="X1067" s="41"/>
      <c r="Y1067" s="34"/>
      <c r="Z1067" s="34"/>
      <c r="AA1067" s="35">
        <f>IF(TA[[#This Row],[Work Start time on Fault]]="NA","",(TA[[#This Row],[Fault Acknowledgement Time ]]-TA[[#This Row],[Fault Time]])*24)</f>
        <v>0</v>
      </c>
      <c r="AB1067" s="35">
        <f>(TA[[#This Row],[Work Start time on Fault]]-TA[[#This Row],[Fault Time]])*24</f>
        <v>0</v>
      </c>
      <c r="AC1067" s="34">
        <f>(TA[[#This Row],[Work Completion time on fault]]-TA[[#This Row],[Fault Time]])*24</f>
        <v>0</v>
      </c>
      <c r="AD1067" s="35">
        <f>IFERROR((TA[[#This Row],[Work Completion time on fault]]-TA[[#This Row],[Fault Time]])*24,"")</f>
        <v>0</v>
      </c>
      <c r="AE1067" t="s">
        <v>328</v>
      </c>
      <c r="AF1067" t="s">
        <v>256</v>
      </c>
      <c r="AG1067" s="2"/>
      <c r="AH1067" s="44">
        <f>1-COS(RADIANS(TA[[#This Row],[Avg. Target Angle during Fault Time (Radians)]]-TA[[#This Row],[Angle of affected equipment ]]))</f>
        <v>0.11705240714107301</v>
      </c>
      <c r="AI1067" s="35">
        <f>IFERROR(TA[[#This Row],[Breakdown Time]]*TA[[#This Row],[Plant Equivalent Weightage]],"")</f>
        <v>0</v>
      </c>
    </row>
    <row r="1068" spans="1:35">
      <c r="A1068" s="2">
        <f t="shared" si="109"/>
        <v>1065</v>
      </c>
      <c r="B1068" s="156">
        <f t="shared" si="107"/>
        <v>2026</v>
      </c>
      <c r="C1068" s="129">
        <f t="shared" si="108"/>
        <v>2025</v>
      </c>
      <c r="D1068" s="2" t="s">
        <v>155</v>
      </c>
      <c r="E1068" s="2" t="s">
        <v>155</v>
      </c>
      <c r="F1068" s="39">
        <v>45809</v>
      </c>
      <c r="G1068" s="2">
        <f>DAY(EOMONTH(TA[[#This Row],[Month Year]],0))</f>
        <v>30</v>
      </c>
      <c r="H1068" s="21">
        <v>45819</v>
      </c>
      <c r="I1068" s="41">
        <f>IFERROR(VLOOKUP(TA[[#This Row],[Date]],Raw_Data[[Date]:[Sunset Time (POA&lt;20 W/m2)]],3,0),"")</f>
        <v>0.29166666666666669</v>
      </c>
      <c r="J1068" s="41">
        <f>IFERROR(VLOOKUP(TA[[#This Row],[Date]],Raw_Data[[Date]:[Sunset Time (POA&lt;20 W/m2)]],4,0),"")</f>
        <v>0.77708333333333335</v>
      </c>
      <c r="K1068" s="35">
        <f>IFERROR((TA[[#This Row],[Sunset Time (POA&lt;20 W/m2)]]-TA[[#This Row],[Sunrise Time (POA&gt;20 W/m2)]])*24,"")</f>
        <v>11.65</v>
      </c>
      <c r="L1068" s="2" t="s">
        <v>294</v>
      </c>
      <c r="M1068" s="42">
        <f>IFERROR(VLOOKUP(TA[[#This Row],[Affected Equipment]],'Basic Data'!$I$2:$K$40,3,0),"")</f>
        <v>1.7241379310344799E-3</v>
      </c>
      <c r="N1068">
        <v>-28</v>
      </c>
      <c r="O1068" t="s">
        <v>133</v>
      </c>
      <c r="P1068" s="127" t="s">
        <v>316</v>
      </c>
      <c r="Q1068" s="126" t="s">
        <v>316</v>
      </c>
      <c r="R1068">
        <v>118</v>
      </c>
      <c r="S1068" s="2">
        <v>22</v>
      </c>
      <c r="T1068" t="s">
        <v>295</v>
      </c>
      <c r="U1068" t="s">
        <v>300</v>
      </c>
      <c r="V1068" t="s">
        <v>298</v>
      </c>
      <c r="W1068" s="41"/>
      <c r="X1068" s="41"/>
      <c r="Y1068" s="34"/>
      <c r="Z1068" s="34"/>
      <c r="AA1068" s="35">
        <f>IF(TA[[#This Row],[Work Start time on Fault]]="NA","",(TA[[#This Row],[Fault Acknowledgement Time ]]-TA[[#This Row],[Fault Time]])*24)</f>
        <v>0</v>
      </c>
      <c r="AB1068" s="35">
        <f>(TA[[#This Row],[Work Start time on Fault]]-TA[[#This Row],[Fault Time]])*24</f>
        <v>0</v>
      </c>
      <c r="AC1068" s="34">
        <f>(TA[[#This Row],[Work Completion time on fault]]-TA[[#This Row],[Fault Time]])*24</f>
        <v>0</v>
      </c>
      <c r="AD1068" s="35">
        <f>IFERROR((TA[[#This Row],[Work Completion time on fault]]-TA[[#This Row],[Fault Time]])*24,"")</f>
        <v>0</v>
      </c>
      <c r="AE1068" t="s">
        <v>328</v>
      </c>
      <c r="AF1068" t="s">
        <v>256</v>
      </c>
      <c r="AG1068" s="2"/>
      <c r="AH1068" s="44">
        <f>1-COS(RADIANS(TA[[#This Row],[Avg. Target Angle during Fault Time (Radians)]]-TA[[#This Row],[Angle of affected equipment ]]))</f>
        <v>0.11705240714107301</v>
      </c>
      <c r="AI1068" s="35">
        <f>IFERROR(TA[[#This Row],[Breakdown Time]]*TA[[#This Row],[Plant Equivalent Weightage]],"")</f>
        <v>0</v>
      </c>
    </row>
    <row r="1069" spans="1:35">
      <c r="A1069" s="2">
        <f t="shared" si="109"/>
        <v>1066</v>
      </c>
      <c r="B1069" s="156">
        <f t="shared" si="107"/>
        <v>2026</v>
      </c>
      <c r="C1069" s="129">
        <f t="shared" si="108"/>
        <v>2025</v>
      </c>
      <c r="D1069" s="2" t="s">
        <v>155</v>
      </c>
      <c r="E1069" s="2" t="s">
        <v>155</v>
      </c>
      <c r="F1069" s="39">
        <v>45809</v>
      </c>
      <c r="G1069" s="2">
        <f>DAY(EOMONTH(TA[[#This Row],[Month Year]],0))</f>
        <v>30</v>
      </c>
      <c r="H1069" s="21">
        <v>45819</v>
      </c>
      <c r="I1069" s="41">
        <f>IFERROR(VLOOKUP(TA[[#This Row],[Date]],Raw_Data[[Date]:[Sunset Time (POA&lt;20 W/m2)]],3,0),"")</f>
        <v>0.29166666666666669</v>
      </c>
      <c r="J1069" s="41">
        <f>IFERROR(VLOOKUP(TA[[#This Row],[Date]],Raw_Data[[Date]:[Sunset Time (POA&lt;20 W/m2)]],4,0),"")</f>
        <v>0.77708333333333335</v>
      </c>
      <c r="K1069" s="35">
        <f>IFERROR((TA[[#This Row],[Sunset Time (POA&lt;20 W/m2)]]-TA[[#This Row],[Sunrise Time (POA&gt;20 W/m2)]])*24,"")</f>
        <v>11.65</v>
      </c>
      <c r="L1069" s="2" t="s">
        <v>296</v>
      </c>
      <c r="M1069" s="42">
        <f>IFERROR(VLOOKUP(TA[[#This Row],[Affected Equipment]],'Basic Data'!$I$2:$K$40,3,0),"")</f>
        <v>8.6206896551724102E-3</v>
      </c>
      <c r="N1069">
        <v>-28</v>
      </c>
      <c r="O1069" t="s">
        <v>135</v>
      </c>
      <c r="P1069" s="22" t="s">
        <v>323</v>
      </c>
      <c r="Q1069" s="2" t="s">
        <v>329</v>
      </c>
      <c r="R1069">
        <v>45</v>
      </c>
      <c r="S1069" s="2">
        <v>8</v>
      </c>
      <c r="T1069" t="s">
        <v>297</v>
      </c>
      <c r="U1069" t="s">
        <v>300</v>
      </c>
      <c r="V1069" t="s">
        <v>301</v>
      </c>
      <c r="W1069" s="41"/>
      <c r="X1069" s="41"/>
      <c r="Y1069" s="34"/>
      <c r="Z1069" s="34"/>
      <c r="AA1069" s="35">
        <f>IF(TA[[#This Row],[Work Start time on Fault]]="NA","",(TA[[#This Row],[Fault Acknowledgement Time ]]-TA[[#This Row],[Fault Time]])*24)</f>
        <v>0</v>
      </c>
      <c r="AB1069" s="35">
        <f>(TA[[#This Row],[Work Start time on Fault]]-TA[[#This Row],[Fault Time]])*24</f>
        <v>0</v>
      </c>
      <c r="AC1069" s="34">
        <f>(TA[[#This Row],[Work Completion time on fault]]-TA[[#This Row],[Fault Time]])*24</f>
        <v>0</v>
      </c>
      <c r="AD1069" s="35">
        <f>IFERROR((TA[[#This Row],[Work Completion time on fault]]-TA[[#This Row],[Fault Time]])*24,"")</f>
        <v>0</v>
      </c>
      <c r="AE1069" t="s">
        <v>328</v>
      </c>
      <c r="AF1069" t="s">
        <v>256</v>
      </c>
      <c r="AG1069" s="2"/>
      <c r="AH1069" s="44">
        <f>1-COS(RADIANS(TA[[#This Row],[Avg. Target Angle during Fault Time (Radians)]]-TA[[#This Row],[Angle of affected equipment ]]))</f>
        <v>0.11705240714107301</v>
      </c>
      <c r="AI1069" s="35">
        <f>IFERROR(TA[[#This Row],[Breakdown Time]]*TA[[#This Row],[Plant Equivalent Weightage]],"")</f>
        <v>0</v>
      </c>
    </row>
    <row r="1070" spans="1:35">
      <c r="A1070" s="2">
        <f t="shared" si="109"/>
        <v>1067</v>
      </c>
      <c r="B1070" s="156">
        <f t="shared" si="107"/>
        <v>2026</v>
      </c>
      <c r="C1070" s="129">
        <f t="shared" si="108"/>
        <v>2025</v>
      </c>
      <c r="D1070" s="2" t="s">
        <v>155</v>
      </c>
      <c r="E1070" s="2" t="s">
        <v>155</v>
      </c>
      <c r="F1070" s="39">
        <v>45809</v>
      </c>
      <c r="G1070" s="2">
        <f>DAY(EOMONTH(TA[[#This Row],[Month Year]],0))</f>
        <v>30</v>
      </c>
      <c r="H1070" s="21">
        <v>45819</v>
      </c>
      <c r="I1070" s="41">
        <f>IFERROR(VLOOKUP(TA[[#This Row],[Date]],Raw_Data[[Date]:[Sunset Time (POA&lt;20 W/m2)]],3,0),"")</f>
        <v>0.29166666666666669</v>
      </c>
      <c r="J1070" s="41">
        <f>IFERROR(VLOOKUP(TA[[#This Row],[Date]],Raw_Data[[Date]:[Sunset Time (POA&lt;20 W/m2)]],4,0),"")</f>
        <v>0.77708333333333335</v>
      </c>
      <c r="K1070" s="35">
        <f>IFERROR((TA[[#This Row],[Sunset Time (POA&lt;20 W/m2)]]-TA[[#This Row],[Sunrise Time (POA&gt;20 W/m2)]])*24,"")</f>
        <v>11.65</v>
      </c>
      <c r="L1070" s="2" t="s">
        <v>296</v>
      </c>
      <c r="M1070" s="42">
        <f>IFERROR(VLOOKUP(TA[[#This Row],[Affected Equipment]],'Basic Data'!$I$2:$K$40,3,0),"")</f>
        <v>8.6206896551724102E-3</v>
      </c>
      <c r="N1070">
        <v>-28</v>
      </c>
      <c r="O1070" t="s">
        <v>135</v>
      </c>
      <c r="P1070" s="22" t="s">
        <v>323</v>
      </c>
      <c r="Q1070" s="2" t="s">
        <v>329</v>
      </c>
      <c r="R1070">
        <v>47</v>
      </c>
      <c r="S1070" s="2">
        <v>18</v>
      </c>
      <c r="T1070" t="s">
        <v>297</v>
      </c>
      <c r="U1070" t="s">
        <v>300</v>
      </c>
      <c r="V1070" t="s">
        <v>301</v>
      </c>
      <c r="W1070" s="41"/>
      <c r="X1070" s="41"/>
      <c r="Y1070" s="34"/>
      <c r="Z1070" s="34"/>
      <c r="AA1070" s="35">
        <f>IF(TA[[#This Row],[Work Start time on Fault]]="NA","",(TA[[#This Row],[Fault Acknowledgement Time ]]-TA[[#This Row],[Fault Time]])*24)</f>
        <v>0</v>
      </c>
      <c r="AB1070" s="35">
        <f>(TA[[#This Row],[Work Start time on Fault]]-TA[[#This Row],[Fault Time]])*24</f>
        <v>0</v>
      </c>
      <c r="AC1070" s="34">
        <f>(TA[[#This Row],[Work Completion time on fault]]-TA[[#This Row],[Fault Time]])*24</f>
        <v>0</v>
      </c>
      <c r="AD1070" s="35">
        <f>IFERROR((TA[[#This Row],[Work Completion time on fault]]-TA[[#This Row],[Fault Time]])*24,"")</f>
        <v>0</v>
      </c>
      <c r="AE1070" t="s">
        <v>328</v>
      </c>
      <c r="AF1070" t="s">
        <v>256</v>
      </c>
      <c r="AG1070" s="2"/>
      <c r="AH1070" s="44">
        <f>1-COS(RADIANS(TA[[#This Row],[Avg. Target Angle during Fault Time (Radians)]]-TA[[#This Row],[Angle of affected equipment ]]))</f>
        <v>0.11705240714107301</v>
      </c>
      <c r="AI1070" s="35">
        <f>IFERROR(TA[[#This Row],[Breakdown Time]]*TA[[#This Row],[Plant Equivalent Weightage]],"")</f>
        <v>0</v>
      </c>
    </row>
    <row r="1071" spans="1:35">
      <c r="A1071" s="2">
        <f t="shared" si="109"/>
        <v>1068</v>
      </c>
      <c r="B1071" s="156">
        <f t="shared" si="107"/>
        <v>2026</v>
      </c>
      <c r="C1071" s="129">
        <f t="shared" si="108"/>
        <v>2025</v>
      </c>
      <c r="D1071" s="2" t="s">
        <v>155</v>
      </c>
      <c r="E1071" s="2" t="s">
        <v>155</v>
      </c>
      <c r="F1071" s="39">
        <v>45809</v>
      </c>
      <c r="G1071" s="2">
        <f>DAY(EOMONTH(TA[[#This Row],[Month Year]],0))</f>
        <v>30</v>
      </c>
      <c r="H1071" s="21">
        <v>45819</v>
      </c>
      <c r="I1071" s="41">
        <f>IFERROR(VLOOKUP(TA[[#This Row],[Date]],Raw_Data[[Date]:[Sunset Time (POA&lt;20 W/m2)]],3,0),"")</f>
        <v>0.29166666666666669</v>
      </c>
      <c r="J1071" s="41">
        <f>IFERROR(VLOOKUP(TA[[#This Row],[Date]],Raw_Data[[Date]:[Sunset Time (POA&lt;20 W/m2)]],4,0),"")</f>
        <v>0.77708333333333335</v>
      </c>
      <c r="K1071" s="35">
        <f>IFERROR((TA[[#This Row],[Sunset Time (POA&lt;20 W/m2)]]-TA[[#This Row],[Sunrise Time (POA&gt;20 W/m2)]])*24,"")</f>
        <v>11.65</v>
      </c>
      <c r="L1071" s="2" t="s">
        <v>296</v>
      </c>
      <c r="M1071" s="42">
        <f>IFERROR(VLOOKUP(TA[[#This Row],[Affected Equipment]],'Basic Data'!$I$2:$K$40,3,0),"")</f>
        <v>8.6206896551724102E-3</v>
      </c>
      <c r="N1071">
        <v>-28</v>
      </c>
      <c r="O1071" t="s">
        <v>134</v>
      </c>
      <c r="P1071" s="22" t="s">
        <v>330</v>
      </c>
      <c r="Q1071" s="2" t="s">
        <v>323</v>
      </c>
      <c r="R1071">
        <v>30</v>
      </c>
      <c r="S1071" s="2">
        <v>57</v>
      </c>
      <c r="T1071" t="s">
        <v>297</v>
      </c>
      <c r="U1071" t="s">
        <v>300</v>
      </c>
      <c r="V1071" t="s">
        <v>301</v>
      </c>
      <c r="W1071" s="41"/>
      <c r="X1071" s="41"/>
      <c r="Y1071" s="34"/>
      <c r="Z1071" s="34"/>
      <c r="AA1071" s="35">
        <f>IF(TA[[#This Row],[Work Start time on Fault]]="NA","",(TA[[#This Row],[Fault Acknowledgement Time ]]-TA[[#This Row],[Fault Time]])*24)</f>
        <v>0</v>
      </c>
      <c r="AB1071" s="35">
        <f>(TA[[#This Row],[Work Start time on Fault]]-TA[[#This Row],[Fault Time]])*24</f>
        <v>0</v>
      </c>
      <c r="AC1071" s="34">
        <f>(TA[[#This Row],[Work Completion time on fault]]-TA[[#This Row],[Fault Time]])*24</f>
        <v>0</v>
      </c>
      <c r="AD1071" s="35">
        <f>IFERROR((TA[[#This Row],[Work Completion time on fault]]-TA[[#This Row],[Fault Time]])*24,"")</f>
        <v>0</v>
      </c>
      <c r="AE1071" t="s">
        <v>328</v>
      </c>
      <c r="AF1071" t="s">
        <v>256</v>
      </c>
      <c r="AG1071" s="2"/>
      <c r="AH1071" s="44">
        <f>1-COS(RADIANS(TA[[#This Row],[Avg. Target Angle during Fault Time (Radians)]]-TA[[#This Row],[Angle of affected equipment ]]))</f>
        <v>0.11705240714107301</v>
      </c>
      <c r="AI1071" s="35">
        <f>IFERROR(TA[[#This Row],[Breakdown Time]]*TA[[#This Row],[Plant Equivalent Weightage]],"")</f>
        <v>0</v>
      </c>
    </row>
    <row r="1072" spans="1:35">
      <c r="A1072" s="2">
        <f t="shared" si="109"/>
        <v>1069</v>
      </c>
      <c r="B1072" s="156">
        <f t="shared" si="107"/>
        <v>2026</v>
      </c>
      <c r="C1072" s="129">
        <f t="shared" si="108"/>
        <v>2025</v>
      </c>
      <c r="D1072" s="2" t="s">
        <v>155</v>
      </c>
      <c r="E1072" s="2" t="s">
        <v>155</v>
      </c>
      <c r="F1072" s="39">
        <v>45809</v>
      </c>
      <c r="G1072" s="2">
        <f>DAY(EOMONTH(TA[[#This Row],[Month Year]],0))</f>
        <v>30</v>
      </c>
      <c r="H1072" s="21">
        <v>45819</v>
      </c>
      <c r="I1072" s="41">
        <f>IFERROR(VLOOKUP(TA[[#This Row],[Date]],Raw_Data[[Date]:[Sunset Time (POA&lt;20 W/m2)]],3,0),"")</f>
        <v>0.29166666666666669</v>
      </c>
      <c r="J1072" s="41">
        <f>IFERROR(VLOOKUP(TA[[#This Row],[Date]],Raw_Data[[Date]:[Sunset Time (POA&lt;20 W/m2)]],4,0),"")</f>
        <v>0.77708333333333335</v>
      </c>
      <c r="K1072" s="35">
        <f>IFERROR((TA[[#This Row],[Sunset Time (POA&lt;20 W/m2)]]-TA[[#This Row],[Sunrise Time (POA&gt;20 W/m2)]])*24,"")</f>
        <v>11.65</v>
      </c>
      <c r="L1072" s="2" t="s">
        <v>296</v>
      </c>
      <c r="M1072" s="42">
        <f>IFERROR(VLOOKUP(TA[[#This Row],[Affected Equipment]],'Basic Data'!$I$2:$K$40,3,0),"")</f>
        <v>8.6206896551724102E-3</v>
      </c>
      <c r="N1072">
        <v>-28</v>
      </c>
      <c r="O1072" t="s">
        <v>134</v>
      </c>
      <c r="P1072" s="22" t="s">
        <v>330</v>
      </c>
      <c r="Q1072" s="2" t="s">
        <v>323</v>
      </c>
      <c r="R1072">
        <v>31</v>
      </c>
      <c r="S1072" s="2">
        <v>61</v>
      </c>
      <c r="T1072" t="s">
        <v>297</v>
      </c>
      <c r="U1072" t="s">
        <v>300</v>
      </c>
      <c r="V1072" t="s">
        <v>301</v>
      </c>
      <c r="W1072" s="41"/>
      <c r="X1072" s="41"/>
      <c r="Y1072" s="34"/>
      <c r="Z1072" s="34"/>
      <c r="AA1072" s="35">
        <f>IF(TA[[#This Row],[Work Start time on Fault]]="NA","",(TA[[#This Row],[Fault Acknowledgement Time ]]-TA[[#This Row],[Fault Time]])*24)</f>
        <v>0</v>
      </c>
      <c r="AB1072" s="35">
        <f>(TA[[#This Row],[Work Start time on Fault]]-TA[[#This Row],[Fault Time]])*24</f>
        <v>0</v>
      </c>
      <c r="AC1072" s="34">
        <f>(TA[[#This Row],[Work Completion time on fault]]-TA[[#This Row],[Fault Time]])*24</f>
        <v>0</v>
      </c>
      <c r="AD1072" s="35">
        <f>IFERROR((TA[[#This Row],[Work Completion time on fault]]-TA[[#This Row],[Fault Time]])*24,"")</f>
        <v>0</v>
      </c>
      <c r="AE1072" t="s">
        <v>328</v>
      </c>
      <c r="AF1072" t="s">
        <v>256</v>
      </c>
      <c r="AG1072" s="2"/>
      <c r="AH1072" s="44">
        <f>1-COS(RADIANS(TA[[#This Row],[Avg. Target Angle during Fault Time (Radians)]]-TA[[#This Row],[Angle of affected equipment ]]))</f>
        <v>0.11705240714107301</v>
      </c>
      <c r="AI1072" s="35">
        <f>IFERROR(TA[[#This Row],[Breakdown Time]]*TA[[#This Row],[Plant Equivalent Weightage]],"")</f>
        <v>0</v>
      </c>
    </row>
    <row r="1073" spans="1:35">
      <c r="A1073" s="2">
        <f t="shared" si="109"/>
        <v>1070</v>
      </c>
      <c r="B1073" s="156">
        <f t="shared" si="107"/>
        <v>2026</v>
      </c>
      <c r="C1073" s="129">
        <f t="shared" si="108"/>
        <v>2025</v>
      </c>
      <c r="D1073" s="2" t="s">
        <v>155</v>
      </c>
      <c r="E1073" s="2" t="s">
        <v>155</v>
      </c>
      <c r="F1073" s="39">
        <v>45809</v>
      </c>
      <c r="G1073" s="2">
        <f>DAY(EOMONTH(TA[[#This Row],[Month Year]],0))</f>
        <v>30</v>
      </c>
      <c r="H1073" s="21">
        <v>45819</v>
      </c>
      <c r="I1073" s="41">
        <f>IFERROR(VLOOKUP(TA[[#This Row],[Date]],Raw_Data[[Date]:[Sunset Time (POA&lt;20 W/m2)]],3,0),"")</f>
        <v>0.29166666666666669</v>
      </c>
      <c r="J1073" s="41">
        <f>IFERROR(VLOOKUP(TA[[#This Row],[Date]],Raw_Data[[Date]:[Sunset Time (POA&lt;20 W/m2)]],4,0),"")</f>
        <v>0.77708333333333335</v>
      </c>
      <c r="K1073" s="35">
        <f>IFERROR((TA[[#This Row],[Sunset Time (POA&lt;20 W/m2)]]-TA[[#This Row],[Sunrise Time (POA&gt;20 W/m2)]])*24,"")</f>
        <v>11.65</v>
      </c>
      <c r="L1073" s="2" t="s">
        <v>312</v>
      </c>
      <c r="M1073" s="42">
        <f>IFERROR(VLOOKUP(TA[[#This Row],[Affected Equipment]],'Basic Data'!$I$2:$K$40,3,0),"")</f>
        <v>5.74712643678161E-3</v>
      </c>
      <c r="N1073">
        <v>-28</v>
      </c>
      <c r="O1073" t="s">
        <v>133</v>
      </c>
      <c r="P1073" s="22" t="s">
        <v>330</v>
      </c>
      <c r="Q1073" s="2" t="s">
        <v>323</v>
      </c>
      <c r="R1073">
        <v>26</v>
      </c>
      <c r="S1073" s="2">
        <v>37</v>
      </c>
      <c r="T1073" t="s">
        <v>297</v>
      </c>
      <c r="U1073" t="s">
        <v>300</v>
      </c>
      <c r="V1073" t="s">
        <v>301</v>
      </c>
      <c r="W1073" s="41"/>
      <c r="X1073" s="41"/>
      <c r="Y1073" s="34"/>
      <c r="Z1073" s="34"/>
      <c r="AA1073" s="35">
        <f>IF(TA[[#This Row],[Work Start time on Fault]]="NA","",(TA[[#This Row],[Fault Acknowledgement Time ]]-TA[[#This Row],[Fault Time]])*24)</f>
        <v>0</v>
      </c>
      <c r="AB1073" s="35">
        <f>(TA[[#This Row],[Work Start time on Fault]]-TA[[#This Row],[Fault Time]])*24</f>
        <v>0</v>
      </c>
      <c r="AC1073" s="34">
        <f>(TA[[#This Row],[Work Completion time on fault]]-TA[[#This Row],[Fault Time]])*24</f>
        <v>0</v>
      </c>
      <c r="AD1073" s="35">
        <f>IFERROR((TA[[#This Row],[Work Completion time on fault]]-TA[[#This Row],[Fault Time]])*24,"")</f>
        <v>0</v>
      </c>
      <c r="AE1073" t="s">
        <v>328</v>
      </c>
      <c r="AF1073" t="s">
        <v>256</v>
      </c>
      <c r="AG1073" s="2"/>
      <c r="AH1073" s="44">
        <f>1-COS(RADIANS(TA[[#This Row],[Avg. Target Angle during Fault Time (Radians)]]-TA[[#This Row],[Angle of affected equipment ]]))</f>
        <v>0.11705240714107301</v>
      </c>
      <c r="AI1073" s="35">
        <f>IFERROR(TA[[#This Row],[Breakdown Time]]*TA[[#This Row],[Plant Equivalent Weightage]],"")</f>
        <v>0</v>
      </c>
    </row>
    <row r="1074" spans="1:35">
      <c r="A1074" s="2">
        <f t="shared" si="109"/>
        <v>1071</v>
      </c>
      <c r="B1074" s="156">
        <f t="shared" si="107"/>
        <v>2026</v>
      </c>
      <c r="C1074" s="129">
        <f t="shared" si="108"/>
        <v>2025</v>
      </c>
      <c r="D1074" s="2" t="s">
        <v>155</v>
      </c>
      <c r="E1074" s="2" t="s">
        <v>155</v>
      </c>
      <c r="F1074" s="39">
        <v>45809</v>
      </c>
      <c r="G1074" s="2">
        <f>DAY(EOMONTH(TA[[#This Row],[Month Year]],0))</f>
        <v>30</v>
      </c>
      <c r="H1074" s="21">
        <v>45819</v>
      </c>
      <c r="I1074" s="41">
        <f>IFERROR(VLOOKUP(TA[[#This Row],[Date]],Raw_Data[[Date]:[Sunset Time (POA&lt;20 W/m2)]],3,0),"")</f>
        <v>0.29166666666666669</v>
      </c>
      <c r="J1074" s="41">
        <f>IFERROR(VLOOKUP(TA[[#This Row],[Date]],Raw_Data[[Date]:[Sunset Time (POA&lt;20 W/m2)]],4,0),"")</f>
        <v>0.77708333333333335</v>
      </c>
      <c r="K1074" s="35">
        <f>IFERROR((TA[[#This Row],[Sunset Time (POA&lt;20 W/m2)]]-TA[[#This Row],[Sunrise Time (POA&gt;20 W/m2)]])*24,"")</f>
        <v>11.65</v>
      </c>
      <c r="L1074" s="2" t="s">
        <v>312</v>
      </c>
      <c r="M1074" s="42">
        <f>IFERROR(VLOOKUP(TA[[#This Row],[Affected Equipment]],'Basic Data'!$I$2:$K$40,3,0),"")</f>
        <v>5.74712643678161E-3</v>
      </c>
      <c r="N1074">
        <v>-28</v>
      </c>
      <c r="O1074" t="s">
        <v>133</v>
      </c>
      <c r="P1074" s="22" t="s">
        <v>330</v>
      </c>
      <c r="Q1074" s="2" t="s">
        <v>323</v>
      </c>
      <c r="R1074">
        <v>27</v>
      </c>
      <c r="S1074" s="2">
        <v>42</v>
      </c>
      <c r="T1074" t="s">
        <v>297</v>
      </c>
      <c r="U1074" t="s">
        <v>300</v>
      </c>
      <c r="V1074" t="s">
        <v>301</v>
      </c>
      <c r="W1074" s="41">
        <f>IFERROR(VLOOKUP(TA[[#This Row],[Date]],Raw_Data[[Date]:[Sunset Time (POA&lt;20 W/m2)]],3,0),"")</f>
        <v>0.29166666666666669</v>
      </c>
      <c r="X1074" s="41">
        <f>IFERROR(VLOOKUP(TA[[#This Row],[Date]],Raw_Data[[Date]:[Sunset Time (POA&lt;20 W/m2)]],3,0),"")</f>
        <v>0.29166666666666669</v>
      </c>
      <c r="Y1074" s="34"/>
      <c r="Z1074" s="34">
        <v>0.76041666666666663</v>
      </c>
      <c r="AA1074" s="35">
        <f>IF(TA[[#This Row],[Work Start time on Fault]]="NA","",(TA[[#This Row],[Fault Acknowledgement Time ]]-TA[[#This Row],[Fault Time]])*24)</f>
        <v>0</v>
      </c>
      <c r="AB1074" s="35">
        <f>(TA[[#This Row],[Work Start time on Fault]]-TA[[#This Row],[Fault Time]])*24</f>
        <v>-7</v>
      </c>
      <c r="AC1074" s="34">
        <f>(TA[[#This Row],[Work Completion time on fault]]-TA[[#This Row],[Fault Time]])*24</f>
        <v>11.249999999999998</v>
      </c>
      <c r="AD1074" s="35">
        <f>IFERROR((TA[[#This Row],[Work Completion time on fault]]-TA[[#This Row],[Fault Time]])*24,"")</f>
        <v>11.249999999999998</v>
      </c>
      <c r="AE1074" t="s">
        <v>309</v>
      </c>
      <c r="AF1074" t="s">
        <v>256</v>
      </c>
      <c r="AG1074" s="2"/>
      <c r="AH1074" s="44">
        <f>1-COS(RADIANS(TA[[#This Row],[Avg. Target Angle during Fault Time (Radians)]]-TA[[#This Row],[Angle of affected equipment ]]))</f>
        <v>0.11705240714107301</v>
      </c>
      <c r="AI1074" s="35">
        <f>IFERROR(TA[[#This Row],[Breakdown Time]]*TA[[#This Row],[Plant Equivalent Weightage]],"")</f>
        <v>6.4655172413793108E-2</v>
      </c>
    </row>
    <row r="1075" spans="1:35">
      <c r="A1075" s="2">
        <f t="shared" si="109"/>
        <v>1072</v>
      </c>
      <c r="B1075" s="156">
        <f t="shared" ref="B1075:B1087" si="110">YEAR(H1075)+IF(MONTH(H1075)&gt;=4,1,0)</f>
        <v>2026</v>
      </c>
      <c r="C1075" s="129">
        <f t="shared" ref="C1075:C1087" si="111">YEAR(H1075)</f>
        <v>2025</v>
      </c>
      <c r="D1075" s="2" t="s">
        <v>155</v>
      </c>
      <c r="E1075" s="2" t="s">
        <v>155</v>
      </c>
      <c r="F1075" s="39">
        <v>45809</v>
      </c>
      <c r="G1075" s="2">
        <f>DAY(EOMONTH(TA[[#This Row],[Month Year]],0))</f>
        <v>30</v>
      </c>
      <c r="H1075" s="21">
        <v>45820</v>
      </c>
      <c r="I1075" s="41">
        <f>IFERROR(VLOOKUP(TA[[#This Row],[Date]],Raw_Data[[Date]:[Sunset Time (POA&lt;20 W/m2)]],3,0),"")</f>
        <v>0.28125</v>
      </c>
      <c r="J1075" s="41">
        <f>IFERROR(VLOOKUP(TA[[#This Row],[Date]],Raw_Data[[Date]:[Sunset Time (POA&lt;20 W/m2)]],4,0),"")</f>
        <v>0.77430555555555558</v>
      </c>
      <c r="K1075" s="35">
        <f>IFERROR((TA[[#This Row],[Sunset Time (POA&lt;20 W/m2)]]-TA[[#This Row],[Sunrise Time (POA&gt;20 W/m2)]])*24,"")</f>
        <v>11.833333333333334</v>
      </c>
      <c r="L1075" s="2" t="s">
        <v>294</v>
      </c>
      <c r="M1075" s="42">
        <f>IFERROR(VLOOKUP(TA[[#This Row],[Affected Equipment]],'Basic Data'!$I$2:$K$40,3,0),"")</f>
        <v>1.7241379310344799E-3</v>
      </c>
      <c r="N1075">
        <v>-28</v>
      </c>
      <c r="O1075" t="s">
        <v>135</v>
      </c>
      <c r="P1075" s="127" t="s">
        <v>318</v>
      </c>
      <c r="Q1075" s="126" t="s">
        <v>318</v>
      </c>
      <c r="R1075">
        <v>131</v>
      </c>
      <c r="S1075" s="2">
        <v>38</v>
      </c>
      <c r="T1075" t="s">
        <v>295</v>
      </c>
      <c r="U1075" t="s">
        <v>300</v>
      </c>
      <c r="V1075" t="s">
        <v>298</v>
      </c>
      <c r="W1075" s="41"/>
      <c r="X1075" s="41"/>
      <c r="Y1075" s="34"/>
      <c r="Z1075" s="34"/>
      <c r="AA1075" s="35">
        <f>IF(TA[[#This Row],[Work Start time on Fault]]="NA","",(TA[[#This Row],[Fault Acknowledgement Time ]]-TA[[#This Row],[Fault Time]])*24)</f>
        <v>0</v>
      </c>
      <c r="AB1075" s="35">
        <f>(TA[[#This Row],[Work Start time on Fault]]-TA[[#This Row],[Fault Time]])*24</f>
        <v>0</v>
      </c>
      <c r="AC1075" s="34">
        <f>(TA[[#This Row],[Work Completion time on fault]]-TA[[#This Row],[Fault Time]])*24</f>
        <v>0</v>
      </c>
      <c r="AD1075" s="35">
        <f>IFERROR((TA[[#This Row],[Work Completion time on fault]]-TA[[#This Row],[Fault Time]])*24,"")</f>
        <v>0</v>
      </c>
      <c r="AE1075" t="s">
        <v>328</v>
      </c>
      <c r="AF1075" t="s">
        <v>256</v>
      </c>
      <c r="AG1075" s="2"/>
      <c r="AH1075" s="44">
        <f>1-COS(RADIANS(TA[[#This Row],[Avg. Target Angle during Fault Time (Radians)]]-TA[[#This Row],[Angle of affected equipment ]]))</f>
        <v>0.11705240714107301</v>
      </c>
      <c r="AI1075" s="35">
        <f>IFERROR(TA[[#This Row],[Breakdown Time]]*TA[[#This Row],[Plant Equivalent Weightage]],"")</f>
        <v>0</v>
      </c>
    </row>
    <row r="1076" spans="1:35">
      <c r="A1076" s="2">
        <f t="shared" si="109"/>
        <v>1073</v>
      </c>
      <c r="B1076" s="156">
        <f t="shared" si="110"/>
        <v>2026</v>
      </c>
      <c r="C1076" s="129">
        <f t="shared" si="111"/>
        <v>2025</v>
      </c>
      <c r="D1076" s="2" t="s">
        <v>155</v>
      </c>
      <c r="E1076" s="2" t="s">
        <v>155</v>
      </c>
      <c r="F1076" s="39">
        <v>45809</v>
      </c>
      <c r="G1076" s="2">
        <f>DAY(EOMONTH(TA[[#This Row],[Month Year]],0))</f>
        <v>30</v>
      </c>
      <c r="H1076" s="21">
        <v>45820</v>
      </c>
      <c r="I1076" s="41">
        <f>IFERROR(VLOOKUP(TA[[#This Row],[Date]],Raw_Data[[Date]:[Sunset Time (POA&lt;20 W/m2)]],3,0),"")</f>
        <v>0.28125</v>
      </c>
      <c r="J1076" s="41">
        <f>IFERROR(VLOOKUP(TA[[#This Row],[Date]],Raw_Data[[Date]:[Sunset Time (POA&lt;20 W/m2)]],4,0),"")</f>
        <v>0.77430555555555558</v>
      </c>
      <c r="K1076" s="35">
        <f>IFERROR((TA[[#This Row],[Sunset Time (POA&lt;20 W/m2)]]-TA[[#This Row],[Sunrise Time (POA&gt;20 W/m2)]])*24,"")</f>
        <v>11.833333333333334</v>
      </c>
      <c r="L1076" s="2" t="s">
        <v>294</v>
      </c>
      <c r="M1076" s="42">
        <f>IFERROR(VLOOKUP(TA[[#This Row],[Affected Equipment]],'Basic Data'!$I$2:$K$40,3,0),"")</f>
        <v>1.7241379310344799E-3</v>
      </c>
      <c r="N1076">
        <v>-28</v>
      </c>
      <c r="O1076" t="s">
        <v>135</v>
      </c>
      <c r="P1076" s="127" t="s">
        <v>318</v>
      </c>
      <c r="Q1076" s="126" t="s">
        <v>318</v>
      </c>
      <c r="R1076">
        <v>131</v>
      </c>
      <c r="S1076" s="2">
        <v>39</v>
      </c>
      <c r="T1076" t="s">
        <v>295</v>
      </c>
      <c r="U1076" t="s">
        <v>300</v>
      </c>
      <c r="V1076" t="s">
        <v>298</v>
      </c>
      <c r="W1076" s="41"/>
      <c r="X1076" s="41"/>
      <c r="Y1076" s="34"/>
      <c r="Z1076" s="34"/>
      <c r="AA1076" s="35">
        <f>IF(TA[[#This Row],[Work Start time on Fault]]="NA","",(TA[[#This Row],[Fault Acknowledgement Time ]]-TA[[#This Row],[Fault Time]])*24)</f>
        <v>0</v>
      </c>
      <c r="AB1076" s="35">
        <f>(TA[[#This Row],[Work Start time on Fault]]-TA[[#This Row],[Fault Time]])*24</f>
        <v>0</v>
      </c>
      <c r="AC1076" s="34">
        <f>(TA[[#This Row],[Work Completion time on fault]]-TA[[#This Row],[Fault Time]])*24</f>
        <v>0</v>
      </c>
      <c r="AD1076" s="35">
        <f>IFERROR((TA[[#This Row],[Work Completion time on fault]]-TA[[#This Row],[Fault Time]])*24,"")</f>
        <v>0</v>
      </c>
      <c r="AE1076" t="s">
        <v>328</v>
      </c>
      <c r="AF1076" t="s">
        <v>256</v>
      </c>
      <c r="AG1076" s="2"/>
      <c r="AH1076" s="44">
        <f>1-COS(RADIANS(TA[[#This Row],[Avg. Target Angle during Fault Time (Radians)]]-TA[[#This Row],[Angle of affected equipment ]]))</f>
        <v>0.11705240714107301</v>
      </c>
      <c r="AI1076" s="35">
        <f>IFERROR(TA[[#This Row],[Breakdown Time]]*TA[[#This Row],[Plant Equivalent Weightage]],"")</f>
        <v>0</v>
      </c>
    </row>
    <row r="1077" spans="1:35">
      <c r="A1077" s="2">
        <f t="shared" si="109"/>
        <v>1074</v>
      </c>
      <c r="B1077" s="156">
        <f t="shared" si="110"/>
        <v>2026</v>
      </c>
      <c r="C1077" s="129">
        <f t="shared" si="111"/>
        <v>2025</v>
      </c>
      <c r="D1077" s="2" t="s">
        <v>155</v>
      </c>
      <c r="E1077" s="2" t="s">
        <v>155</v>
      </c>
      <c r="F1077" s="39">
        <v>45809</v>
      </c>
      <c r="G1077" s="2">
        <f>DAY(EOMONTH(TA[[#This Row],[Month Year]],0))</f>
        <v>30</v>
      </c>
      <c r="H1077" s="21">
        <v>45820</v>
      </c>
      <c r="I1077" s="41">
        <f>IFERROR(VLOOKUP(TA[[#This Row],[Date]],Raw_Data[[Date]:[Sunset Time (POA&lt;20 W/m2)]],3,0),"")</f>
        <v>0.28125</v>
      </c>
      <c r="J1077" s="41">
        <f>IFERROR(VLOOKUP(TA[[#This Row],[Date]],Raw_Data[[Date]:[Sunset Time (POA&lt;20 W/m2)]],4,0),"")</f>
        <v>0.77430555555555558</v>
      </c>
      <c r="K1077" s="35">
        <f>IFERROR((TA[[#This Row],[Sunset Time (POA&lt;20 W/m2)]]-TA[[#This Row],[Sunrise Time (POA&gt;20 W/m2)]])*24,"")</f>
        <v>11.833333333333334</v>
      </c>
      <c r="L1077" s="2" t="s">
        <v>296</v>
      </c>
      <c r="M1077" s="42">
        <f>IFERROR(VLOOKUP(TA[[#This Row],[Affected Equipment]],'Basic Data'!$I$2:$K$40,3,0),"")</f>
        <v>8.6206896551724102E-3</v>
      </c>
      <c r="N1077">
        <v>-28</v>
      </c>
      <c r="O1077" t="s">
        <v>135</v>
      </c>
      <c r="P1077" s="127" t="s">
        <v>318</v>
      </c>
      <c r="Q1077" s="2" t="s">
        <v>321</v>
      </c>
      <c r="R1077">
        <v>133</v>
      </c>
      <c r="S1077" s="2">
        <v>26</v>
      </c>
      <c r="T1077" t="s">
        <v>297</v>
      </c>
      <c r="U1077" t="s">
        <v>300</v>
      </c>
      <c r="V1077" t="s">
        <v>314</v>
      </c>
      <c r="W1077" s="41">
        <f>IFERROR(VLOOKUP(TA[[#This Row],[Date]],Raw_Data[[Date]:[Sunset Time (POA&lt;20 W/m2)]],3,0),"")</f>
        <v>0.28125</v>
      </c>
      <c r="X1077" s="41">
        <f>IFERROR(VLOOKUP(TA[[#This Row],[Date]],Raw_Data[[Date]:[Sunset Time (POA&lt;20 W/m2)]],3,0),"")</f>
        <v>0.28125</v>
      </c>
      <c r="Y1077" s="34"/>
      <c r="Z1077" s="34">
        <v>0.76041666666666663</v>
      </c>
      <c r="AA1077" s="35">
        <f>IF(TA[[#This Row],[Work Start time on Fault]]="NA","",(TA[[#This Row],[Fault Acknowledgement Time ]]-TA[[#This Row],[Fault Time]])*24)</f>
        <v>0</v>
      </c>
      <c r="AB1077" s="35">
        <f>(TA[[#This Row],[Work Start time on Fault]]-TA[[#This Row],[Fault Time]])*24</f>
        <v>-6.75</v>
      </c>
      <c r="AC1077" s="34">
        <f>(TA[[#This Row],[Work Completion time on fault]]-TA[[#This Row],[Fault Time]])*24</f>
        <v>11.5</v>
      </c>
      <c r="AD1077" s="35">
        <f>IFERROR((TA[[#This Row],[Work Completion time on fault]]-TA[[#This Row],[Fault Time]])*24,"")</f>
        <v>11.5</v>
      </c>
      <c r="AE1077" t="s">
        <v>328</v>
      </c>
      <c r="AF1077" t="s">
        <v>256</v>
      </c>
      <c r="AG1077" s="2"/>
      <c r="AH1077" s="44">
        <f>1-COS(RADIANS(TA[[#This Row],[Avg. Target Angle during Fault Time (Radians)]]-TA[[#This Row],[Angle of affected equipment ]]))</f>
        <v>0.11705240714107301</v>
      </c>
      <c r="AI1077" s="35">
        <f>IFERROR(TA[[#This Row],[Breakdown Time]]*TA[[#This Row],[Plant Equivalent Weightage]],"")</f>
        <v>9.9137931034482721E-2</v>
      </c>
    </row>
    <row r="1078" spans="1:35">
      <c r="A1078" s="2">
        <f t="shared" si="109"/>
        <v>1075</v>
      </c>
      <c r="B1078" s="156">
        <f t="shared" si="110"/>
        <v>2026</v>
      </c>
      <c r="C1078" s="129">
        <f t="shared" si="111"/>
        <v>2025</v>
      </c>
      <c r="D1078" s="2" t="s">
        <v>155</v>
      </c>
      <c r="E1078" s="2" t="s">
        <v>155</v>
      </c>
      <c r="F1078" s="39">
        <v>45809</v>
      </c>
      <c r="G1078" s="2">
        <f>DAY(EOMONTH(TA[[#This Row],[Month Year]],0))</f>
        <v>30</v>
      </c>
      <c r="H1078" s="21">
        <v>45820</v>
      </c>
      <c r="I1078" s="41">
        <f>IFERROR(VLOOKUP(TA[[#This Row],[Date]],Raw_Data[[Date]:[Sunset Time (POA&lt;20 W/m2)]],3,0),"")</f>
        <v>0.28125</v>
      </c>
      <c r="J1078" s="41">
        <f>IFERROR(VLOOKUP(TA[[#This Row],[Date]],Raw_Data[[Date]:[Sunset Time (POA&lt;20 W/m2)]],4,0),"")</f>
        <v>0.77430555555555558</v>
      </c>
      <c r="K1078" s="35">
        <f>IFERROR((TA[[#This Row],[Sunset Time (POA&lt;20 W/m2)]]-TA[[#This Row],[Sunrise Time (POA&gt;20 W/m2)]])*24,"")</f>
        <v>11.833333333333334</v>
      </c>
      <c r="L1078" s="2" t="s">
        <v>294</v>
      </c>
      <c r="M1078" s="42">
        <f>IFERROR(VLOOKUP(TA[[#This Row],[Affected Equipment]],'Basic Data'!$I$2:$K$40,3,0),"")</f>
        <v>1.7241379310344799E-3</v>
      </c>
      <c r="N1078">
        <v>-28</v>
      </c>
      <c r="O1078" t="s">
        <v>133</v>
      </c>
      <c r="P1078" s="127" t="s">
        <v>316</v>
      </c>
      <c r="Q1078" s="126" t="s">
        <v>317</v>
      </c>
      <c r="R1078">
        <v>7</v>
      </c>
      <c r="S1078" s="2">
        <v>32</v>
      </c>
      <c r="T1078" t="s">
        <v>295</v>
      </c>
      <c r="U1078" t="s">
        <v>300</v>
      </c>
      <c r="V1078" t="s">
        <v>298</v>
      </c>
      <c r="W1078" s="41"/>
      <c r="X1078" s="41"/>
      <c r="Y1078" s="34"/>
      <c r="Z1078" s="34"/>
      <c r="AA1078" s="35">
        <f>IF(TA[[#This Row],[Work Start time on Fault]]="NA","",(TA[[#This Row],[Fault Acknowledgement Time ]]-TA[[#This Row],[Fault Time]])*24)</f>
        <v>0</v>
      </c>
      <c r="AB1078" s="35">
        <f>(TA[[#This Row],[Work Start time on Fault]]-TA[[#This Row],[Fault Time]])*24</f>
        <v>0</v>
      </c>
      <c r="AC1078" s="34">
        <f>(TA[[#This Row],[Work Completion time on fault]]-TA[[#This Row],[Fault Time]])*24</f>
        <v>0</v>
      </c>
      <c r="AD1078" s="35">
        <f>IFERROR((TA[[#This Row],[Work Completion time on fault]]-TA[[#This Row],[Fault Time]])*24,"")</f>
        <v>0</v>
      </c>
      <c r="AE1078" t="s">
        <v>328</v>
      </c>
      <c r="AF1078" t="s">
        <v>256</v>
      </c>
      <c r="AG1078" s="2"/>
      <c r="AH1078" s="44">
        <f>1-COS(RADIANS(TA[[#This Row],[Avg. Target Angle during Fault Time (Radians)]]-TA[[#This Row],[Angle of affected equipment ]]))</f>
        <v>0.11705240714107301</v>
      </c>
      <c r="AI1078" s="35">
        <f>IFERROR(TA[[#This Row],[Breakdown Time]]*TA[[#This Row],[Plant Equivalent Weightage]],"")</f>
        <v>0</v>
      </c>
    </row>
    <row r="1079" spans="1:35">
      <c r="A1079" s="2">
        <f t="shared" si="109"/>
        <v>1076</v>
      </c>
      <c r="B1079" s="156">
        <f t="shared" si="110"/>
        <v>2026</v>
      </c>
      <c r="C1079" s="129">
        <f t="shared" si="111"/>
        <v>2025</v>
      </c>
      <c r="D1079" s="2" t="s">
        <v>155</v>
      </c>
      <c r="E1079" s="2" t="s">
        <v>155</v>
      </c>
      <c r="F1079" s="39">
        <v>45809</v>
      </c>
      <c r="G1079" s="2">
        <f>DAY(EOMONTH(TA[[#This Row],[Month Year]],0))</f>
        <v>30</v>
      </c>
      <c r="H1079" s="21">
        <v>45820</v>
      </c>
      <c r="I1079" s="41">
        <f>IFERROR(VLOOKUP(TA[[#This Row],[Date]],Raw_Data[[Date]:[Sunset Time (POA&lt;20 W/m2)]],3,0),"")</f>
        <v>0.28125</v>
      </c>
      <c r="J1079" s="41">
        <f>IFERROR(VLOOKUP(TA[[#This Row],[Date]],Raw_Data[[Date]:[Sunset Time (POA&lt;20 W/m2)]],4,0),"")</f>
        <v>0.77430555555555558</v>
      </c>
      <c r="K1079" s="35">
        <f>IFERROR((TA[[#This Row],[Sunset Time (POA&lt;20 W/m2)]]-TA[[#This Row],[Sunrise Time (POA&gt;20 W/m2)]])*24,"")</f>
        <v>11.833333333333334</v>
      </c>
      <c r="L1079" s="2" t="s">
        <v>294</v>
      </c>
      <c r="M1079" s="42">
        <f>IFERROR(VLOOKUP(TA[[#This Row],[Affected Equipment]],'Basic Data'!$I$2:$K$40,3,0),"")</f>
        <v>1.7241379310344799E-3</v>
      </c>
      <c r="N1079">
        <v>-28</v>
      </c>
      <c r="O1079" t="s">
        <v>137</v>
      </c>
      <c r="P1079" s="127" t="s">
        <v>315</v>
      </c>
      <c r="Q1079" s="126" t="s">
        <v>319</v>
      </c>
      <c r="R1079">
        <v>166</v>
      </c>
      <c r="S1079" s="2">
        <v>91</v>
      </c>
      <c r="T1079" t="s">
        <v>295</v>
      </c>
      <c r="U1079" t="s">
        <v>300</v>
      </c>
      <c r="V1079" t="s">
        <v>298</v>
      </c>
      <c r="W1079" s="41"/>
      <c r="X1079" s="41"/>
      <c r="Y1079" s="34"/>
      <c r="Z1079" s="34"/>
      <c r="AA1079" s="35">
        <f>IF(TA[[#This Row],[Work Start time on Fault]]="NA","",(TA[[#This Row],[Fault Acknowledgement Time ]]-TA[[#This Row],[Fault Time]])*24)</f>
        <v>0</v>
      </c>
      <c r="AB1079" s="35">
        <f>(TA[[#This Row],[Work Start time on Fault]]-TA[[#This Row],[Fault Time]])*24</f>
        <v>0</v>
      </c>
      <c r="AC1079" s="34">
        <f>(TA[[#This Row],[Work Completion time on fault]]-TA[[#This Row],[Fault Time]])*24</f>
        <v>0</v>
      </c>
      <c r="AD1079" s="35">
        <f>IFERROR((TA[[#This Row],[Work Completion time on fault]]-TA[[#This Row],[Fault Time]])*24,"")</f>
        <v>0</v>
      </c>
      <c r="AE1079" t="s">
        <v>328</v>
      </c>
      <c r="AF1079" t="s">
        <v>256</v>
      </c>
      <c r="AG1079" s="2"/>
      <c r="AH1079" s="44">
        <f>1-COS(RADIANS(TA[[#This Row],[Avg. Target Angle during Fault Time (Radians)]]-TA[[#This Row],[Angle of affected equipment ]]))</f>
        <v>0.11705240714107301</v>
      </c>
      <c r="AI1079" s="35">
        <f>IFERROR(TA[[#This Row],[Breakdown Time]]*TA[[#This Row],[Plant Equivalent Weightage]],"")</f>
        <v>0</v>
      </c>
    </row>
    <row r="1080" spans="1:35">
      <c r="A1080" s="2">
        <f t="shared" si="109"/>
        <v>1077</v>
      </c>
      <c r="B1080" s="156">
        <f t="shared" si="110"/>
        <v>2026</v>
      </c>
      <c r="C1080" s="129">
        <f t="shared" si="111"/>
        <v>2025</v>
      </c>
      <c r="D1080" s="2" t="s">
        <v>155</v>
      </c>
      <c r="E1080" s="2" t="s">
        <v>155</v>
      </c>
      <c r="F1080" s="39">
        <v>45809</v>
      </c>
      <c r="G1080" s="2">
        <f>DAY(EOMONTH(TA[[#This Row],[Month Year]],0))</f>
        <v>30</v>
      </c>
      <c r="H1080" s="21">
        <v>45820</v>
      </c>
      <c r="I1080" s="41">
        <f>IFERROR(VLOOKUP(TA[[#This Row],[Date]],Raw_Data[[Date]:[Sunset Time (POA&lt;20 W/m2)]],3,0),"")</f>
        <v>0.28125</v>
      </c>
      <c r="J1080" s="41">
        <f>IFERROR(VLOOKUP(TA[[#This Row],[Date]],Raw_Data[[Date]:[Sunset Time (POA&lt;20 W/m2)]],4,0),"")</f>
        <v>0.77430555555555558</v>
      </c>
      <c r="K1080" s="35">
        <f>IFERROR((TA[[#This Row],[Sunset Time (POA&lt;20 W/m2)]]-TA[[#This Row],[Sunrise Time (POA&gt;20 W/m2)]])*24,"")</f>
        <v>11.833333333333334</v>
      </c>
      <c r="L1080" s="2" t="s">
        <v>294</v>
      </c>
      <c r="M1080" s="42">
        <f>IFERROR(VLOOKUP(TA[[#This Row],[Affected Equipment]],'Basic Data'!$I$2:$K$40,3,0),"")</f>
        <v>1.7241379310344799E-3</v>
      </c>
      <c r="N1080">
        <v>-28</v>
      </c>
      <c r="O1080" t="s">
        <v>133</v>
      </c>
      <c r="P1080" s="127" t="s">
        <v>316</v>
      </c>
      <c r="Q1080" s="126" t="s">
        <v>316</v>
      </c>
      <c r="R1080">
        <v>117</v>
      </c>
      <c r="S1080" s="2">
        <v>20</v>
      </c>
      <c r="T1080" t="s">
        <v>295</v>
      </c>
      <c r="U1080" t="s">
        <v>300</v>
      </c>
      <c r="V1080" t="s">
        <v>298</v>
      </c>
      <c r="W1080" s="41"/>
      <c r="X1080" s="41"/>
      <c r="Y1080" s="34"/>
      <c r="Z1080" s="34"/>
      <c r="AA1080" s="35">
        <f>IF(TA[[#This Row],[Work Start time on Fault]]="NA","",(TA[[#This Row],[Fault Acknowledgement Time ]]-TA[[#This Row],[Fault Time]])*24)</f>
        <v>0</v>
      </c>
      <c r="AB1080" s="35">
        <f>(TA[[#This Row],[Work Start time on Fault]]-TA[[#This Row],[Fault Time]])*24</f>
        <v>0</v>
      </c>
      <c r="AC1080" s="34">
        <f>(TA[[#This Row],[Work Completion time on fault]]-TA[[#This Row],[Fault Time]])*24</f>
        <v>0</v>
      </c>
      <c r="AD1080" s="35">
        <f>IFERROR((TA[[#This Row],[Work Completion time on fault]]-TA[[#This Row],[Fault Time]])*24,"")</f>
        <v>0</v>
      </c>
      <c r="AE1080" t="s">
        <v>328</v>
      </c>
      <c r="AF1080" t="s">
        <v>256</v>
      </c>
      <c r="AG1080" s="2"/>
      <c r="AH1080" s="44">
        <f>1-COS(RADIANS(TA[[#This Row],[Avg. Target Angle during Fault Time (Radians)]]-TA[[#This Row],[Angle of affected equipment ]]))</f>
        <v>0.11705240714107301</v>
      </c>
      <c r="AI1080" s="35">
        <f>IFERROR(TA[[#This Row],[Breakdown Time]]*TA[[#This Row],[Plant Equivalent Weightage]],"")</f>
        <v>0</v>
      </c>
    </row>
    <row r="1081" spans="1:35">
      <c r="A1081" s="2">
        <f t="shared" si="109"/>
        <v>1078</v>
      </c>
      <c r="B1081" s="156">
        <f t="shared" si="110"/>
        <v>2026</v>
      </c>
      <c r="C1081" s="129">
        <f t="shared" si="111"/>
        <v>2025</v>
      </c>
      <c r="D1081" s="2" t="s">
        <v>155</v>
      </c>
      <c r="E1081" s="2" t="s">
        <v>155</v>
      </c>
      <c r="F1081" s="39">
        <v>45809</v>
      </c>
      <c r="G1081" s="2">
        <f>DAY(EOMONTH(TA[[#This Row],[Month Year]],0))</f>
        <v>30</v>
      </c>
      <c r="H1081" s="21">
        <v>45820</v>
      </c>
      <c r="I1081" s="41">
        <f>IFERROR(VLOOKUP(TA[[#This Row],[Date]],Raw_Data[[Date]:[Sunset Time (POA&lt;20 W/m2)]],3,0),"")</f>
        <v>0.28125</v>
      </c>
      <c r="J1081" s="41">
        <f>IFERROR(VLOOKUP(TA[[#This Row],[Date]],Raw_Data[[Date]:[Sunset Time (POA&lt;20 W/m2)]],4,0),"")</f>
        <v>0.77430555555555558</v>
      </c>
      <c r="K1081" s="35">
        <f>IFERROR((TA[[#This Row],[Sunset Time (POA&lt;20 W/m2)]]-TA[[#This Row],[Sunrise Time (POA&gt;20 W/m2)]])*24,"")</f>
        <v>11.833333333333334</v>
      </c>
      <c r="L1081" s="2" t="s">
        <v>294</v>
      </c>
      <c r="M1081" s="42">
        <f>IFERROR(VLOOKUP(TA[[#This Row],[Affected Equipment]],'Basic Data'!$I$2:$K$40,3,0),"")</f>
        <v>1.7241379310344799E-3</v>
      </c>
      <c r="N1081">
        <v>-28</v>
      </c>
      <c r="O1081" t="s">
        <v>133</v>
      </c>
      <c r="P1081" s="127" t="s">
        <v>316</v>
      </c>
      <c r="Q1081" s="126" t="s">
        <v>316</v>
      </c>
      <c r="R1081">
        <v>118</v>
      </c>
      <c r="S1081" s="2">
        <v>22</v>
      </c>
      <c r="T1081" t="s">
        <v>295</v>
      </c>
      <c r="U1081" t="s">
        <v>300</v>
      </c>
      <c r="V1081" t="s">
        <v>298</v>
      </c>
      <c r="W1081" s="41"/>
      <c r="X1081" s="41"/>
      <c r="Y1081" s="34"/>
      <c r="Z1081" s="34"/>
      <c r="AA1081" s="35">
        <f>IF(TA[[#This Row],[Work Start time on Fault]]="NA","",(TA[[#This Row],[Fault Acknowledgement Time ]]-TA[[#This Row],[Fault Time]])*24)</f>
        <v>0</v>
      </c>
      <c r="AB1081" s="35">
        <f>(TA[[#This Row],[Work Start time on Fault]]-TA[[#This Row],[Fault Time]])*24</f>
        <v>0</v>
      </c>
      <c r="AC1081" s="34">
        <f>(TA[[#This Row],[Work Completion time on fault]]-TA[[#This Row],[Fault Time]])*24</f>
        <v>0</v>
      </c>
      <c r="AD1081" s="35">
        <f>IFERROR((TA[[#This Row],[Work Completion time on fault]]-TA[[#This Row],[Fault Time]])*24,"")</f>
        <v>0</v>
      </c>
      <c r="AE1081" t="s">
        <v>328</v>
      </c>
      <c r="AF1081" t="s">
        <v>256</v>
      </c>
      <c r="AG1081" s="2"/>
      <c r="AH1081" s="44">
        <f>1-COS(RADIANS(TA[[#This Row],[Avg. Target Angle during Fault Time (Radians)]]-TA[[#This Row],[Angle of affected equipment ]]))</f>
        <v>0.11705240714107301</v>
      </c>
      <c r="AI1081" s="35">
        <f>IFERROR(TA[[#This Row],[Breakdown Time]]*TA[[#This Row],[Plant Equivalent Weightage]],"")</f>
        <v>0</v>
      </c>
    </row>
    <row r="1082" spans="1:35">
      <c r="A1082" s="2">
        <f t="shared" si="109"/>
        <v>1079</v>
      </c>
      <c r="B1082" s="156">
        <f t="shared" si="110"/>
        <v>2026</v>
      </c>
      <c r="C1082" s="129">
        <f t="shared" si="111"/>
        <v>2025</v>
      </c>
      <c r="D1082" s="2" t="s">
        <v>155</v>
      </c>
      <c r="E1082" s="2" t="s">
        <v>155</v>
      </c>
      <c r="F1082" s="39">
        <v>45809</v>
      </c>
      <c r="G1082" s="2">
        <f>DAY(EOMONTH(TA[[#This Row],[Month Year]],0))</f>
        <v>30</v>
      </c>
      <c r="H1082" s="21">
        <v>45820</v>
      </c>
      <c r="I1082" s="41">
        <f>IFERROR(VLOOKUP(TA[[#This Row],[Date]],Raw_Data[[Date]:[Sunset Time (POA&lt;20 W/m2)]],3,0),"")</f>
        <v>0.28125</v>
      </c>
      <c r="J1082" s="41">
        <f>IFERROR(VLOOKUP(TA[[#This Row],[Date]],Raw_Data[[Date]:[Sunset Time (POA&lt;20 W/m2)]],4,0),"")</f>
        <v>0.77430555555555558</v>
      </c>
      <c r="K1082" s="35">
        <f>IFERROR((TA[[#This Row],[Sunset Time (POA&lt;20 W/m2)]]-TA[[#This Row],[Sunrise Time (POA&gt;20 W/m2)]])*24,"")</f>
        <v>11.833333333333334</v>
      </c>
      <c r="L1082" s="2" t="s">
        <v>296</v>
      </c>
      <c r="M1082" s="42">
        <f>IFERROR(VLOOKUP(TA[[#This Row],[Affected Equipment]],'Basic Data'!$I$2:$K$40,3,0),"")</f>
        <v>8.6206896551724102E-3</v>
      </c>
      <c r="N1082">
        <v>-28</v>
      </c>
      <c r="O1082" t="s">
        <v>135</v>
      </c>
      <c r="P1082" s="22" t="s">
        <v>323</v>
      </c>
      <c r="Q1082" s="2" t="s">
        <v>329</v>
      </c>
      <c r="R1082">
        <v>45</v>
      </c>
      <c r="S1082" s="2">
        <v>8</v>
      </c>
      <c r="T1082" t="s">
        <v>297</v>
      </c>
      <c r="U1082" t="s">
        <v>300</v>
      </c>
      <c r="V1082" t="s">
        <v>301</v>
      </c>
      <c r="W1082" s="41"/>
      <c r="X1082" s="41"/>
      <c r="Y1082" s="34"/>
      <c r="Z1082" s="34"/>
      <c r="AA1082" s="35">
        <f>IF(TA[[#This Row],[Work Start time on Fault]]="NA","",(TA[[#This Row],[Fault Acknowledgement Time ]]-TA[[#This Row],[Fault Time]])*24)</f>
        <v>0</v>
      </c>
      <c r="AB1082" s="35">
        <f>(TA[[#This Row],[Work Start time on Fault]]-TA[[#This Row],[Fault Time]])*24</f>
        <v>0</v>
      </c>
      <c r="AC1082" s="34">
        <f>(TA[[#This Row],[Work Completion time on fault]]-TA[[#This Row],[Fault Time]])*24</f>
        <v>0</v>
      </c>
      <c r="AD1082" s="35">
        <f>IFERROR((TA[[#This Row],[Work Completion time on fault]]-TA[[#This Row],[Fault Time]])*24,"")</f>
        <v>0</v>
      </c>
      <c r="AE1082" t="s">
        <v>328</v>
      </c>
      <c r="AF1082" t="s">
        <v>256</v>
      </c>
      <c r="AG1082" s="2"/>
      <c r="AH1082" s="44">
        <f>1-COS(RADIANS(TA[[#This Row],[Avg. Target Angle during Fault Time (Radians)]]-TA[[#This Row],[Angle of affected equipment ]]))</f>
        <v>0.11705240714107301</v>
      </c>
      <c r="AI1082" s="35">
        <f>IFERROR(TA[[#This Row],[Breakdown Time]]*TA[[#This Row],[Plant Equivalent Weightage]],"")</f>
        <v>0</v>
      </c>
    </row>
    <row r="1083" spans="1:35">
      <c r="A1083" s="2">
        <f t="shared" si="109"/>
        <v>1080</v>
      </c>
      <c r="B1083" s="156">
        <f t="shared" si="110"/>
        <v>2026</v>
      </c>
      <c r="C1083" s="129">
        <f t="shared" si="111"/>
        <v>2025</v>
      </c>
      <c r="D1083" s="2" t="s">
        <v>155</v>
      </c>
      <c r="E1083" s="2" t="s">
        <v>155</v>
      </c>
      <c r="F1083" s="39">
        <v>45809</v>
      </c>
      <c r="G1083" s="2">
        <f>DAY(EOMONTH(TA[[#This Row],[Month Year]],0))</f>
        <v>30</v>
      </c>
      <c r="H1083" s="21">
        <v>45820</v>
      </c>
      <c r="I1083" s="41">
        <f>IFERROR(VLOOKUP(TA[[#This Row],[Date]],Raw_Data[[Date]:[Sunset Time (POA&lt;20 W/m2)]],3,0),"")</f>
        <v>0.28125</v>
      </c>
      <c r="J1083" s="41">
        <f>IFERROR(VLOOKUP(TA[[#This Row],[Date]],Raw_Data[[Date]:[Sunset Time (POA&lt;20 W/m2)]],4,0),"")</f>
        <v>0.77430555555555558</v>
      </c>
      <c r="K1083" s="35">
        <f>IFERROR((TA[[#This Row],[Sunset Time (POA&lt;20 W/m2)]]-TA[[#This Row],[Sunrise Time (POA&gt;20 W/m2)]])*24,"")</f>
        <v>11.833333333333334</v>
      </c>
      <c r="L1083" s="2" t="s">
        <v>296</v>
      </c>
      <c r="M1083" s="42">
        <f>IFERROR(VLOOKUP(TA[[#This Row],[Affected Equipment]],'Basic Data'!$I$2:$K$40,3,0),"")</f>
        <v>8.6206896551724102E-3</v>
      </c>
      <c r="N1083">
        <v>-28</v>
      </c>
      <c r="O1083" t="s">
        <v>135</v>
      </c>
      <c r="P1083" s="22" t="s">
        <v>323</v>
      </c>
      <c r="Q1083" s="2" t="s">
        <v>329</v>
      </c>
      <c r="R1083">
        <v>47</v>
      </c>
      <c r="S1083" s="2">
        <v>18</v>
      </c>
      <c r="T1083" t="s">
        <v>297</v>
      </c>
      <c r="U1083" t="s">
        <v>300</v>
      </c>
      <c r="V1083" t="s">
        <v>301</v>
      </c>
      <c r="W1083" s="41"/>
      <c r="X1083" s="41"/>
      <c r="Y1083" s="34"/>
      <c r="Z1083" s="34"/>
      <c r="AA1083" s="35">
        <f>IF(TA[[#This Row],[Work Start time on Fault]]="NA","",(TA[[#This Row],[Fault Acknowledgement Time ]]-TA[[#This Row],[Fault Time]])*24)</f>
        <v>0</v>
      </c>
      <c r="AB1083" s="35">
        <f>(TA[[#This Row],[Work Start time on Fault]]-TA[[#This Row],[Fault Time]])*24</f>
        <v>0</v>
      </c>
      <c r="AC1083" s="34">
        <f>(TA[[#This Row],[Work Completion time on fault]]-TA[[#This Row],[Fault Time]])*24</f>
        <v>0</v>
      </c>
      <c r="AD1083" s="35">
        <f>IFERROR((TA[[#This Row],[Work Completion time on fault]]-TA[[#This Row],[Fault Time]])*24,"")</f>
        <v>0</v>
      </c>
      <c r="AE1083" t="s">
        <v>328</v>
      </c>
      <c r="AF1083" t="s">
        <v>256</v>
      </c>
      <c r="AG1083" s="2"/>
      <c r="AH1083" s="44">
        <f>1-COS(RADIANS(TA[[#This Row],[Avg. Target Angle during Fault Time (Radians)]]-TA[[#This Row],[Angle of affected equipment ]]))</f>
        <v>0.11705240714107301</v>
      </c>
      <c r="AI1083" s="35">
        <f>IFERROR(TA[[#This Row],[Breakdown Time]]*TA[[#This Row],[Plant Equivalent Weightage]],"")</f>
        <v>0</v>
      </c>
    </row>
    <row r="1084" spans="1:35">
      <c r="A1084" s="2">
        <f t="shared" si="109"/>
        <v>1081</v>
      </c>
      <c r="B1084" s="156">
        <f t="shared" si="110"/>
        <v>2026</v>
      </c>
      <c r="C1084" s="129">
        <f t="shared" si="111"/>
        <v>2025</v>
      </c>
      <c r="D1084" s="2" t="s">
        <v>155</v>
      </c>
      <c r="E1084" s="2" t="s">
        <v>155</v>
      </c>
      <c r="F1084" s="39">
        <v>45809</v>
      </c>
      <c r="G1084" s="2">
        <f>DAY(EOMONTH(TA[[#This Row],[Month Year]],0))</f>
        <v>30</v>
      </c>
      <c r="H1084" s="21">
        <v>45820</v>
      </c>
      <c r="I1084" s="41">
        <f>IFERROR(VLOOKUP(TA[[#This Row],[Date]],Raw_Data[[Date]:[Sunset Time (POA&lt;20 W/m2)]],3,0),"")</f>
        <v>0.28125</v>
      </c>
      <c r="J1084" s="41">
        <f>IFERROR(VLOOKUP(TA[[#This Row],[Date]],Raw_Data[[Date]:[Sunset Time (POA&lt;20 W/m2)]],4,0),"")</f>
        <v>0.77430555555555558</v>
      </c>
      <c r="K1084" s="35">
        <f>IFERROR((TA[[#This Row],[Sunset Time (POA&lt;20 W/m2)]]-TA[[#This Row],[Sunrise Time (POA&gt;20 W/m2)]])*24,"")</f>
        <v>11.833333333333334</v>
      </c>
      <c r="L1084" s="2" t="s">
        <v>296</v>
      </c>
      <c r="M1084" s="42">
        <f>IFERROR(VLOOKUP(TA[[#This Row],[Affected Equipment]],'Basic Data'!$I$2:$K$40,3,0),"")</f>
        <v>8.6206896551724102E-3</v>
      </c>
      <c r="N1084">
        <v>-28</v>
      </c>
      <c r="O1084" t="s">
        <v>134</v>
      </c>
      <c r="P1084" s="22" t="s">
        <v>330</v>
      </c>
      <c r="Q1084" s="2" t="s">
        <v>323</v>
      </c>
      <c r="R1084">
        <v>30</v>
      </c>
      <c r="S1084" s="2">
        <v>57</v>
      </c>
      <c r="T1084" t="s">
        <v>297</v>
      </c>
      <c r="U1084" t="s">
        <v>300</v>
      </c>
      <c r="V1084" t="s">
        <v>301</v>
      </c>
      <c r="W1084" s="41"/>
      <c r="X1084" s="41"/>
      <c r="Y1084" s="34"/>
      <c r="Z1084" s="34"/>
      <c r="AA1084" s="35">
        <f>IF(TA[[#This Row],[Work Start time on Fault]]="NA","",(TA[[#This Row],[Fault Acknowledgement Time ]]-TA[[#This Row],[Fault Time]])*24)</f>
        <v>0</v>
      </c>
      <c r="AB1084" s="35">
        <f>(TA[[#This Row],[Work Start time on Fault]]-TA[[#This Row],[Fault Time]])*24</f>
        <v>0</v>
      </c>
      <c r="AC1084" s="34">
        <f>(TA[[#This Row],[Work Completion time on fault]]-TA[[#This Row],[Fault Time]])*24</f>
        <v>0</v>
      </c>
      <c r="AD1084" s="35">
        <f>IFERROR((TA[[#This Row],[Work Completion time on fault]]-TA[[#This Row],[Fault Time]])*24,"")</f>
        <v>0</v>
      </c>
      <c r="AE1084" t="s">
        <v>328</v>
      </c>
      <c r="AF1084" t="s">
        <v>256</v>
      </c>
      <c r="AG1084" s="2"/>
      <c r="AH1084" s="44">
        <f>1-COS(RADIANS(TA[[#This Row],[Avg. Target Angle during Fault Time (Radians)]]-TA[[#This Row],[Angle of affected equipment ]]))</f>
        <v>0.11705240714107301</v>
      </c>
      <c r="AI1084" s="35">
        <f>IFERROR(TA[[#This Row],[Breakdown Time]]*TA[[#This Row],[Plant Equivalent Weightage]],"")</f>
        <v>0</v>
      </c>
    </row>
    <row r="1085" spans="1:35">
      <c r="A1085" s="2">
        <f t="shared" si="109"/>
        <v>1082</v>
      </c>
      <c r="B1085" s="156">
        <f t="shared" si="110"/>
        <v>2026</v>
      </c>
      <c r="C1085" s="129">
        <f t="shared" si="111"/>
        <v>2025</v>
      </c>
      <c r="D1085" s="2" t="s">
        <v>155</v>
      </c>
      <c r="E1085" s="2" t="s">
        <v>155</v>
      </c>
      <c r="F1085" s="39">
        <v>45809</v>
      </c>
      <c r="G1085" s="2">
        <f>DAY(EOMONTH(TA[[#This Row],[Month Year]],0))</f>
        <v>30</v>
      </c>
      <c r="H1085" s="21">
        <v>45820</v>
      </c>
      <c r="I1085" s="41">
        <f>IFERROR(VLOOKUP(TA[[#This Row],[Date]],Raw_Data[[Date]:[Sunset Time (POA&lt;20 W/m2)]],3,0),"")</f>
        <v>0.28125</v>
      </c>
      <c r="J1085" s="41">
        <f>IFERROR(VLOOKUP(TA[[#This Row],[Date]],Raw_Data[[Date]:[Sunset Time (POA&lt;20 W/m2)]],4,0),"")</f>
        <v>0.77430555555555558</v>
      </c>
      <c r="K1085" s="35">
        <f>IFERROR((TA[[#This Row],[Sunset Time (POA&lt;20 W/m2)]]-TA[[#This Row],[Sunrise Time (POA&gt;20 W/m2)]])*24,"")</f>
        <v>11.833333333333334</v>
      </c>
      <c r="L1085" s="2" t="s">
        <v>296</v>
      </c>
      <c r="M1085" s="42">
        <f>IFERROR(VLOOKUP(TA[[#This Row],[Affected Equipment]],'Basic Data'!$I$2:$K$40,3,0),"")</f>
        <v>8.6206896551724102E-3</v>
      </c>
      <c r="N1085">
        <v>-28</v>
      </c>
      <c r="O1085" t="s">
        <v>134</v>
      </c>
      <c r="P1085" s="22" t="s">
        <v>330</v>
      </c>
      <c r="Q1085" s="2" t="s">
        <v>323</v>
      </c>
      <c r="R1085">
        <v>31</v>
      </c>
      <c r="S1085" s="2">
        <v>61</v>
      </c>
      <c r="T1085" t="s">
        <v>297</v>
      </c>
      <c r="U1085" t="s">
        <v>300</v>
      </c>
      <c r="V1085" t="s">
        <v>301</v>
      </c>
      <c r="W1085" s="41"/>
      <c r="X1085" s="41"/>
      <c r="Y1085" s="34"/>
      <c r="Z1085" s="34"/>
      <c r="AA1085" s="35">
        <f>IF(TA[[#This Row],[Work Start time on Fault]]="NA","",(TA[[#This Row],[Fault Acknowledgement Time ]]-TA[[#This Row],[Fault Time]])*24)</f>
        <v>0</v>
      </c>
      <c r="AB1085" s="35">
        <f>(TA[[#This Row],[Work Start time on Fault]]-TA[[#This Row],[Fault Time]])*24</f>
        <v>0</v>
      </c>
      <c r="AC1085" s="34">
        <f>(TA[[#This Row],[Work Completion time on fault]]-TA[[#This Row],[Fault Time]])*24</f>
        <v>0</v>
      </c>
      <c r="AD1085" s="35">
        <f>IFERROR((TA[[#This Row],[Work Completion time on fault]]-TA[[#This Row],[Fault Time]])*24,"")</f>
        <v>0</v>
      </c>
      <c r="AE1085" t="s">
        <v>328</v>
      </c>
      <c r="AF1085" t="s">
        <v>256</v>
      </c>
      <c r="AG1085" s="2"/>
      <c r="AH1085" s="44">
        <f>1-COS(RADIANS(TA[[#This Row],[Avg. Target Angle during Fault Time (Radians)]]-TA[[#This Row],[Angle of affected equipment ]]))</f>
        <v>0.11705240714107301</v>
      </c>
      <c r="AI1085" s="35">
        <f>IFERROR(TA[[#This Row],[Breakdown Time]]*TA[[#This Row],[Plant Equivalent Weightage]],"")</f>
        <v>0</v>
      </c>
    </row>
    <row r="1086" spans="1:35">
      <c r="A1086" s="2">
        <f t="shared" si="109"/>
        <v>1083</v>
      </c>
      <c r="B1086" s="156">
        <f t="shared" si="110"/>
        <v>2026</v>
      </c>
      <c r="C1086" s="129">
        <f t="shared" si="111"/>
        <v>2025</v>
      </c>
      <c r="D1086" s="2" t="s">
        <v>155</v>
      </c>
      <c r="E1086" s="2" t="s">
        <v>155</v>
      </c>
      <c r="F1086" s="39">
        <v>45809</v>
      </c>
      <c r="G1086" s="2">
        <f>DAY(EOMONTH(TA[[#This Row],[Month Year]],0))</f>
        <v>30</v>
      </c>
      <c r="H1086" s="21">
        <v>45820</v>
      </c>
      <c r="I1086" s="41">
        <f>IFERROR(VLOOKUP(TA[[#This Row],[Date]],Raw_Data[[Date]:[Sunset Time (POA&lt;20 W/m2)]],3,0),"")</f>
        <v>0.28125</v>
      </c>
      <c r="J1086" s="41">
        <f>IFERROR(VLOOKUP(TA[[#This Row],[Date]],Raw_Data[[Date]:[Sunset Time (POA&lt;20 W/m2)]],4,0),"")</f>
        <v>0.77430555555555558</v>
      </c>
      <c r="K1086" s="35">
        <f>IFERROR((TA[[#This Row],[Sunset Time (POA&lt;20 W/m2)]]-TA[[#This Row],[Sunrise Time (POA&gt;20 W/m2)]])*24,"")</f>
        <v>11.833333333333334</v>
      </c>
      <c r="L1086" s="2" t="s">
        <v>312</v>
      </c>
      <c r="M1086" s="42">
        <f>IFERROR(VLOOKUP(TA[[#This Row],[Affected Equipment]],'Basic Data'!$I$2:$K$40,3,0),"")</f>
        <v>5.74712643678161E-3</v>
      </c>
      <c r="N1086">
        <v>-28</v>
      </c>
      <c r="O1086" t="s">
        <v>133</v>
      </c>
      <c r="P1086" s="22" t="s">
        <v>330</v>
      </c>
      <c r="Q1086" s="2" t="s">
        <v>323</v>
      </c>
      <c r="R1086">
        <v>26</v>
      </c>
      <c r="S1086" s="2">
        <v>37</v>
      </c>
      <c r="T1086" t="s">
        <v>297</v>
      </c>
      <c r="U1086" t="s">
        <v>300</v>
      </c>
      <c r="V1086" t="s">
        <v>301</v>
      </c>
      <c r="W1086" s="41"/>
      <c r="X1086" s="41"/>
      <c r="Y1086" s="34"/>
      <c r="Z1086" s="34"/>
      <c r="AA1086" s="35">
        <f>IF(TA[[#This Row],[Work Start time on Fault]]="NA","",(TA[[#This Row],[Fault Acknowledgement Time ]]-TA[[#This Row],[Fault Time]])*24)</f>
        <v>0</v>
      </c>
      <c r="AB1086" s="35">
        <f>(TA[[#This Row],[Work Start time on Fault]]-TA[[#This Row],[Fault Time]])*24</f>
        <v>0</v>
      </c>
      <c r="AC1086" s="34">
        <f>(TA[[#This Row],[Work Completion time on fault]]-TA[[#This Row],[Fault Time]])*24</f>
        <v>0</v>
      </c>
      <c r="AD1086" s="35">
        <f>IFERROR((TA[[#This Row],[Work Completion time on fault]]-TA[[#This Row],[Fault Time]])*24,"")</f>
        <v>0</v>
      </c>
      <c r="AE1086" t="s">
        <v>328</v>
      </c>
      <c r="AF1086" t="s">
        <v>256</v>
      </c>
      <c r="AG1086" s="2"/>
      <c r="AH1086" s="44">
        <f>1-COS(RADIANS(TA[[#This Row],[Avg. Target Angle during Fault Time (Radians)]]-TA[[#This Row],[Angle of affected equipment ]]))</f>
        <v>0.11705240714107301</v>
      </c>
      <c r="AI1086" s="35">
        <f>IFERROR(TA[[#This Row],[Breakdown Time]]*TA[[#This Row],[Plant Equivalent Weightage]],"")</f>
        <v>0</v>
      </c>
    </row>
    <row r="1087" spans="1:35">
      <c r="A1087" s="2">
        <f t="shared" si="109"/>
        <v>1084</v>
      </c>
      <c r="B1087" s="156">
        <f t="shared" si="110"/>
        <v>2026</v>
      </c>
      <c r="C1087" s="129">
        <f t="shared" si="111"/>
        <v>2025</v>
      </c>
      <c r="D1087" s="2" t="s">
        <v>155</v>
      </c>
      <c r="E1087" s="2" t="s">
        <v>155</v>
      </c>
      <c r="F1087" s="39">
        <v>45809</v>
      </c>
      <c r="G1087" s="2">
        <f>DAY(EOMONTH(TA[[#This Row],[Month Year]],0))</f>
        <v>30</v>
      </c>
      <c r="H1087" s="21">
        <v>45820</v>
      </c>
      <c r="I1087" s="41">
        <f>IFERROR(VLOOKUP(TA[[#This Row],[Date]],Raw_Data[[Date]:[Sunset Time (POA&lt;20 W/m2)]],3,0),"")</f>
        <v>0.28125</v>
      </c>
      <c r="J1087" s="41">
        <f>IFERROR(VLOOKUP(TA[[#This Row],[Date]],Raw_Data[[Date]:[Sunset Time (POA&lt;20 W/m2)]],4,0),"")</f>
        <v>0.77430555555555558</v>
      </c>
      <c r="K1087" s="35">
        <f>IFERROR((TA[[#This Row],[Sunset Time (POA&lt;20 W/m2)]]-TA[[#This Row],[Sunrise Time (POA&gt;20 W/m2)]])*24,"")</f>
        <v>11.833333333333334</v>
      </c>
      <c r="L1087" s="2" t="s">
        <v>312</v>
      </c>
      <c r="M1087" s="42">
        <f>IFERROR(VLOOKUP(TA[[#This Row],[Affected Equipment]],'Basic Data'!$I$2:$K$40,3,0),"")</f>
        <v>5.74712643678161E-3</v>
      </c>
      <c r="N1087">
        <v>-28</v>
      </c>
      <c r="O1087" t="s">
        <v>133</v>
      </c>
      <c r="P1087" s="22" t="s">
        <v>330</v>
      </c>
      <c r="Q1087" s="2" t="s">
        <v>323</v>
      </c>
      <c r="R1087">
        <v>27</v>
      </c>
      <c r="S1087" s="2">
        <v>42</v>
      </c>
      <c r="T1087" t="s">
        <v>297</v>
      </c>
      <c r="U1087" t="s">
        <v>300</v>
      </c>
      <c r="V1087" t="s">
        <v>301</v>
      </c>
      <c r="W1087" s="41">
        <f>IFERROR(VLOOKUP(TA[[#This Row],[Date]],Raw_Data[[Date]:[Sunset Time (POA&lt;20 W/m2)]],3,0),"")</f>
        <v>0.28125</v>
      </c>
      <c r="X1087" s="41">
        <f>IFERROR(VLOOKUP(TA[[#This Row],[Date]],Raw_Data[[Date]:[Sunset Time (POA&lt;20 W/m2)]],3,0),"")</f>
        <v>0.28125</v>
      </c>
      <c r="Y1087" s="34"/>
      <c r="Z1087" s="34">
        <v>0.76041666666666663</v>
      </c>
      <c r="AA1087" s="35">
        <f>IF(TA[[#This Row],[Work Start time on Fault]]="NA","",(TA[[#This Row],[Fault Acknowledgement Time ]]-TA[[#This Row],[Fault Time]])*24)</f>
        <v>0</v>
      </c>
      <c r="AB1087" s="35">
        <f>(TA[[#This Row],[Work Start time on Fault]]-TA[[#This Row],[Fault Time]])*24</f>
        <v>-6.75</v>
      </c>
      <c r="AC1087" s="34">
        <f>(TA[[#This Row],[Work Completion time on fault]]-TA[[#This Row],[Fault Time]])*24</f>
        <v>11.5</v>
      </c>
      <c r="AD1087" s="35">
        <f>IFERROR((TA[[#This Row],[Work Completion time on fault]]-TA[[#This Row],[Fault Time]])*24,"")</f>
        <v>11.5</v>
      </c>
      <c r="AE1087" t="s">
        <v>309</v>
      </c>
      <c r="AF1087" t="s">
        <v>256</v>
      </c>
      <c r="AG1087" s="2"/>
      <c r="AH1087" s="44">
        <f>1-COS(RADIANS(TA[[#This Row],[Avg. Target Angle during Fault Time (Radians)]]-TA[[#This Row],[Angle of affected equipment ]]))</f>
        <v>0.11705240714107301</v>
      </c>
      <c r="AI1087" s="35">
        <f>IFERROR(TA[[#This Row],[Breakdown Time]]*TA[[#This Row],[Plant Equivalent Weightage]],"")</f>
        <v>6.6091954022988508E-2</v>
      </c>
    </row>
    <row r="1088" spans="1:35">
      <c r="A1088" s="2">
        <f t="shared" si="109"/>
        <v>1085</v>
      </c>
      <c r="B1088" s="156">
        <f t="shared" ref="B1088:B1100" si="112">YEAR(H1088)+IF(MONTH(H1088)&gt;=4,1,0)</f>
        <v>2026</v>
      </c>
      <c r="C1088" s="129">
        <f t="shared" ref="C1088:C1100" si="113">YEAR(H1088)</f>
        <v>2025</v>
      </c>
      <c r="D1088" s="2" t="s">
        <v>155</v>
      </c>
      <c r="E1088" s="2" t="s">
        <v>155</v>
      </c>
      <c r="F1088" s="39">
        <v>45809</v>
      </c>
      <c r="G1088" s="2">
        <f>DAY(EOMONTH(TA[[#This Row],[Month Year]],0))</f>
        <v>30</v>
      </c>
      <c r="H1088" s="21">
        <v>45821</v>
      </c>
      <c r="I1088" s="41">
        <f>IFERROR(VLOOKUP(TA[[#This Row],[Date]],Raw_Data[[Date]:[Sunset Time (POA&lt;20 W/m2)]],3,0),"")</f>
        <v>0.24861111111111112</v>
      </c>
      <c r="J1088" s="41">
        <f>IFERROR(VLOOKUP(TA[[#This Row],[Date]],Raw_Data[[Date]:[Sunset Time (POA&lt;20 W/m2)]],4,0),"")</f>
        <v>0.77569444444444446</v>
      </c>
      <c r="K1088" s="35">
        <f>IFERROR((TA[[#This Row],[Sunset Time (POA&lt;20 W/m2)]]-TA[[#This Row],[Sunrise Time (POA&gt;20 W/m2)]])*24,"")</f>
        <v>12.65</v>
      </c>
      <c r="L1088" s="2" t="s">
        <v>294</v>
      </c>
      <c r="M1088" s="42">
        <f>IFERROR(VLOOKUP(TA[[#This Row],[Affected Equipment]],'Basic Data'!$I$2:$K$40,3,0),"")</f>
        <v>1.7241379310344799E-3</v>
      </c>
      <c r="N1088">
        <v>-28</v>
      </c>
      <c r="O1088" t="s">
        <v>135</v>
      </c>
      <c r="P1088" s="127" t="s">
        <v>318</v>
      </c>
      <c r="Q1088" s="126" t="s">
        <v>318</v>
      </c>
      <c r="R1088">
        <v>131</v>
      </c>
      <c r="S1088" s="2">
        <v>38</v>
      </c>
      <c r="T1088" t="s">
        <v>295</v>
      </c>
      <c r="U1088" t="s">
        <v>300</v>
      </c>
      <c r="V1088" t="s">
        <v>298</v>
      </c>
      <c r="W1088" s="41"/>
      <c r="X1088" s="41"/>
      <c r="Y1088" s="34"/>
      <c r="Z1088" s="34"/>
      <c r="AA1088" s="35">
        <f>IF(TA[[#This Row],[Work Start time on Fault]]="NA","",(TA[[#This Row],[Fault Acknowledgement Time ]]-TA[[#This Row],[Fault Time]])*24)</f>
        <v>0</v>
      </c>
      <c r="AB1088" s="35">
        <f>(TA[[#This Row],[Work Start time on Fault]]-TA[[#This Row],[Fault Time]])*24</f>
        <v>0</v>
      </c>
      <c r="AC1088" s="34">
        <f>(TA[[#This Row],[Work Completion time on fault]]-TA[[#This Row],[Fault Time]])*24</f>
        <v>0</v>
      </c>
      <c r="AD1088" s="35">
        <f>IFERROR((TA[[#This Row],[Work Completion time on fault]]-TA[[#This Row],[Fault Time]])*24,"")</f>
        <v>0</v>
      </c>
      <c r="AE1088" t="s">
        <v>328</v>
      </c>
      <c r="AF1088" t="s">
        <v>256</v>
      </c>
      <c r="AG1088" s="2"/>
      <c r="AH1088" s="44">
        <f>1-COS(RADIANS(TA[[#This Row],[Avg. Target Angle during Fault Time (Radians)]]-TA[[#This Row],[Angle of affected equipment ]]))</f>
        <v>0.11705240714107301</v>
      </c>
      <c r="AI1088" s="35">
        <f>IFERROR(TA[[#This Row],[Breakdown Time]]*TA[[#This Row],[Plant Equivalent Weightage]],"")</f>
        <v>0</v>
      </c>
    </row>
    <row r="1089" spans="1:35">
      <c r="A1089" s="2">
        <f t="shared" si="109"/>
        <v>1086</v>
      </c>
      <c r="B1089" s="156">
        <f t="shared" si="112"/>
        <v>2026</v>
      </c>
      <c r="C1089" s="129">
        <f t="shared" si="113"/>
        <v>2025</v>
      </c>
      <c r="D1089" s="2" t="s">
        <v>155</v>
      </c>
      <c r="E1089" s="2" t="s">
        <v>155</v>
      </c>
      <c r="F1089" s="39">
        <v>45809</v>
      </c>
      <c r="G1089" s="2">
        <f>DAY(EOMONTH(TA[[#This Row],[Month Year]],0))</f>
        <v>30</v>
      </c>
      <c r="H1089" s="21">
        <v>45821</v>
      </c>
      <c r="I1089" s="41">
        <f>IFERROR(VLOOKUP(TA[[#This Row],[Date]],Raw_Data[[Date]:[Sunset Time (POA&lt;20 W/m2)]],3,0),"")</f>
        <v>0.24861111111111112</v>
      </c>
      <c r="J1089" s="41">
        <f>IFERROR(VLOOKUP(TA[[#This Row],[Date]],Raw_Data[[Date]:[Sunset Time (POA&lt;20 W/m2)]],4,0),"")</f>
        <v>0.77569444444444446</v>
      </c>
      <c r="K1089" s="35">
        <f>IFERROR((TA[[#This Row],[Sunset Time (POA&lt;20 W/m2)]]-TA[[#This Row],[Sunrise Time (POA&gt;20 W/m2)]])*24,"")</f>
        <v>12.65</v>
      </c>
      <c r="L1089" s="2" t="s">
        <v>294</v>
      </c>
      <c r="M1089" s="42">
        <f>IFERROR(VLOOKUP(TA[[#This Row],[Affected Equipment]],'Basic Data'!$I$2:$K$40,3,0),"")</f>
        <v>1.7241379310344799E-3</v>
      </c>
      <c r="N1089">
        <v>-28</v>
      </c>
      <c r="O1089" t="s">
        <v>135</v>
      </c>
      <c r="P1089" s="127" t="s">
        <v>318</v>
      </c>
      <c r="Q1089" s="126" t="s">
        <v>318</v>
      </c>
      <c r="R1089">
        <v>131</v>
      </c>
      <c r="S1089" s="2">
        <v>39</v>
      </c>
      <c r="T1089" t="s">
        <v>295</v>
      </c>
      <c r="U1089" t="s">
        <v>300</v>
      </c>
      <c r="V1089" t="s">
        <v>298</v>
      </c>
      <c r="W1089" s="41"/>
      <c r="X1089" s="41"/>
      <c r="Y1089" s="34"/>
      <c r="Z1089" s="34"/>
      <c r="AA1089" s="35">
        <f>IF(TA[[#This Row],[Work Start time on Fault]]="NA","",(TA[[#This Row],[Fault Acknowledgement Time ]]-TA[[#This Row],[Fault Time]])*24)</f>
        <v>0</v>
      </c>
      <c r="AB1089" s="35">
        <f>(TA[[#This Row],[Work Start time on Fault]]-TA[[#This Row],[Fault Time]])*24</f>
        <v>0</v>
      </c>
      <c r="AC1089" s="34">
        <f>(TA[[#This Row],[Work Completion time on fault]]-TA[[#This Row],[Fault Time]])*24</f>
        <v>0</v>
      </c>
      <c r="AD1089" s="35">
        <f>IFERROR((TA[[#This Row],[Work Completion time on fault]]-TA[[#This Row],[Fault Time]])*24,"")</f>
        <v>0</v>
      </c>
      <c r="AE1089" t="s">
        <v>328</v>
      </c>
      <c r="AF1089" t="s">
        <v>256</v>
      </c>
      <c r="AG1089" s="2"/>
      <c r="AH1089" s="44">
        <f>1-COS(RADIANS(TA[[#This Row],[Avg. Target Angle during Fault Time (Radians)]]-TA[[#This Row],[Angle of affected equipment ]]))</f>
        <v>0.11705240714107301</v>
      </c>
      <c r="AI1089" s="35">
        <f>IFERROR(TA[[#This Row],[Breakdown Time]]*TA[[#This Row],[Plant Equivalent Weightage]],"")</f>
        <v>0</v>
      </c>
    </row>
    <row r="1090" spans="1:35">
      <c r="A1090" s="2">
        <f t="shared" si="109"/>
        <v>1087</v>
      </c>
      <c r="B1090" s="156">
        <f t="shared" si="112"/>
        <v>2026</v>
      </c>
      <c r="C1090" s="129">
        <f t="shared" si="113"/>
        <v>2025</v>
      </c>
      <c r="D1090" s="2" t="s">
        <v>155</v>
      </c>
      <c r="E1090" s="2" t="s">
        <v>155</v>
      </c>
      <c r="F1090" s="39">
        <v>45809</v>
      </c>
      <c r="G1090" s="2">
        <f>DAY(EOMONTH(TA[[#This Row],[Month Year]],0))</f>
        <v>30</v>
      </c>
      <c r="H1090" s="21">
        <v>45821</v>
      </c>
      <c r="I1090" s="41">
        <f>IFERROR(VLOOKUP(TA[[#This Row],[Date]],Raw_Data[[Date]:[Sunset Time (POA&lt;20 W/m2)]],3,0),"")</f>
        <v>0.24861111111111112</v>
      </c>
      <c r="J1090" s="41">
        <f>IFERROR(VLOOKUP(TA[[#This Row],[Date]],Raw_Data[[Date]:[Sunset Time (POA&lt;20 W/m2)]],4,0),"")</f>
        <v>0.77569444444444446</v>
      </c>
      <c r="K1090" s="35">
        <f>IFERROR((TA[[#This Row],[Sunset Time (POA&lt;20 W/m2)]]-TA[[#This Row],[Sunrise Time (POA&gt;20 W/m2)]])*24,"")</f>
        <v>12.65</v>
      </c>
      <c r="L1090" s="2" t="s">
        <v>296</v>
      </c>
      <c r="M1090" s="42">
        <f>IFERROR(VLOOKUP(TA[[#This Row],[Affected Equipment]],'Basic Data'!$I$2:$K$40,3,0),"")</f>
        <v>8.6206896551724102E-3</v>
      </c>
      <c r="N1090">
        <v>-28</v>
      </c>
      <c r="O1090" t="s">
        <v>135</v>
      </c>
      <c r="P1090" s="127" t="s">
        <v>318</v>
      </c>
      <c r="Q1090" s="2" t="s">
        <v>321</v>
      </c>
      <c r="R1090">
        <v>133</v>
      </c>
      <c r="S1090" s="2">
        <v>26</v>
      </c>
      <c r="T1090" t="s">
        <v>297</v>
      </c>
      <c r="U1090" t="s">
        <v>300</v>
      </c>
      <c r="V1090" t="s">
        <v>314</v>
      </c>
      <c r="W1090" s="41">
        <f>IFERROR(VLOOKUP(TA[[#This Row],[Date]],Raw_Data[[Date]:[Sunset Time (POA&lt;20 W/m2)]],3,0),"")</f>
        <v>0.24861111111111112</v>
      </c>
      <c r="X1090" s="41">
        <f>IFERROR(VLOOKUP(TA[[#This Row],[Date]],Raw_Data[[Date]:[Sunset Time (POA&lt;20 W/m2)]],3,0),"")</f>
        <v>0.24861111111111112</v>
      </c>
      <c r="Y1090" s="34"/>
      <c r="Z1090" s="34">
        <v>0.76041666666666663</v>
      </c>
      <c r="AA1090" s="35">
        <f>IF(TA[[#This Row],[Work Start time on Fault]]="NA","",(TA[[#This Row],[Fault Acknowledgement Time ]]-TA[[#This Row],[Fault Time]])*24)</f>
        <v>0</v>
      </c>
      <c r="AB1090" s="35">
        <f>(TA[[#This Row],[Work Start time on Fault]]-TA[[#This Row],[Fault Time]])*24</f>
        <v>-5.9666666666666668</v>
      </c>
      <c r="AC1090" s="34">
        <f>(TA[[#This Row],[Work Completion time on fault]]-TA[[#This Row],[Fault Time]])*24</f>
        <v>12.283333333333331</v>
      </c>
      <c r="AD1090" s="35">
        <f>IFERROR((TA[[#This Row],[Work Completion time on fault]]-TA[[#This Row],[Fault Time]])*24,"")</f>
        <v>12.283333333333331</v>
      </c>
      <c r="AE1090" t="s">
        <v>328</v>
      </c>
      <c r="AF1090" t="s">
        <v>256</v>
      </c>
      <c r="AG1090" s="2"/>
      <c r="AH1090" s="44">
        <f>1-COS(RADIANS(TA[[#This Row],[Avg. Target Angle during Fault Time (Radians)]]-TA[[#This Row],[Angle of affected equipment ]]))</f>
        <v>0.11705240714107301</v>
      </c>
      <c r="AI1090" s="35">
        <f>IFERROR(TA[[#This Row],[Breakdown Time]]*TA[[#This Row],[Plant Equivalent Weightage]],"")</f>
        <v>0.10589080459770109</v>
      </c>
    </row>
    <row r="1091" spans="1:35">
      <c r="A1091" s="2">
        <f t="shared" si="109"/>
        <v>1088</v>
      </c>
      <c r="B1091" s="156">
        <f t="shared" si="112"/>
        <v>2026</v>
      </c>
      <c r="C1091" s="129">
        <f t="shared" si="113"/>
        <v>2025</v>
      </c>
      <c r="D1091" s="2" t="s">
        <v>155</v>
      </c>
      <c r="E1091" s="2" t="s">
        <v>155</v>
      </c>
      <c r="F1091" s="39">
        <v>45809</v>
      </c>
      <c r="G1091" s="2">
        <f>DAY(EOMONTH(TA[[#This Row],[Month Year]],0))</f>
        <v>30</v>
      </c>
      <c r="H1091" s="21">
        <v>45821</v>
      </c>
      <c r="I1091" s="41">
        <f>IFERROR(VLOOKUP(TA[[#This Row],[Date]],Raw_Data[[Date]:[Sunset Time (POA&lt;20 W/m2)]],3,0),"")</f>
        <v>0.24861111111111112</v>
      </c>
      <c r="J1091" s="41">
        <f>IFERROR(VLOOKUP(TA[[#This Row],[Date]],Raw_Data[[Date]:[Sunset Time (POA&lt;20 W/m2)]],4,0),"")</f>
        <v>0.77569444444444446</v>
      </c>
      <c r="K1091" s="35">
        <f>IFERROR((TA[[#This Row],[Sunset Time (POA&lt;20 W/m2)]]-TA[[#This Row],[Sunrise Time (POA&gt;20 W/m2)]])*24,"")</f>
        <v>12.65</v>
      </c>
      <c r="L1091" s="2" t="s">
        <v>294</v>
      </c>
      <c r="M1091" s="42">
        <f>IFERROR(VLOOKUP(TA[[#This Row],[Affected Equipment]],'Basic Data'!$I$2:$K$40,3,0),"")</f>
        <v>1.7241379310344799E-3</v>
      </c>
      <c r="N1091">
        <v>-28</v>
      </c>
      <c r="O1091" t="s">
        <v>133</v>
      </c>
      <c r="P1091" s="127" t="s">
        <v>316</v>
      </c>
      <c r="Q1091" s="126" t="s">
        <v>317</v>
      </c>
      <c r="R1091">
        <v>7</v>
      </c>
      <c r="S1091" s="2">
        <v>32</v>
      </c>
      <c r="T1091" t="s">
        <v>295</v>
      </c>
      <c r="U1091" t="s">
        <v>300</v>
      </c>
      <c r="V1091" t="s">
        <v>298</v>
      </c>
      <c r="W1091" s="41"/>
      <c r="X1091" s="41"/>
      <c r="Y1091" s="34"/>
      <c r="Z1091" s="34"/>
      <c r="AA1091" s="35">
        <f>IF(TA[[#This Row],[Work Start time on Fault]]="NA","",(TA[[#This Row],[Fault Acknowledgement Time ]]-TA[[#This Row],[Fault Time]])*24)</f>
        <v>0</v>
      </c>
      <c r="AB1091" s="35">
        <f>(TA[[#This Row],[Work Start time on Fault]]-TA[[#This Row],[Fault Time]])*24</f>
        <v>0</v>
      </c>
      <c r="AC1091" s="34">
        <f>(TA[[#This Row],[Work Completion time on fault]]-TA[[#This Row],[Fault Time]])*24</f>
        <v>0</v>
      </c>
      <c r="AD1091" s="35">
        <f>IFERROR((TA[[#This Row],[Work Completion time on fault]]-TA[[#This Row],[Fault Time]])*24,"")</f>
        <v>0</v>
      </c>
      <c r="AE1091" t="s">
        <v>328</v>
      </c>
      <c r="AF1091" t="s">
        <v>256</v>
      </c>
      <c r="AG1091" s="2"/>
      <c r="AH1091" s="44">
        <f>1-COS(RADIANS(TA[[#This Row],[Avg. Target Angle during Fault Time (Radians)]]-TA[[#This Row],[Angle of affected equipment ]]))</f>
        <v>0.11705240714107301</v>
      </c>
      <c r="AI1091" s="35">
        <f>IFERROR(TA[[#This Row],[Breakdown Time]]*TA[[#This Row],[Plant Equivalent Weightage]],"")</f>
        <v>0</v>
      </c>
    </row>
    <row r="1092" spans="1:35">
      <c r="A1092" s="2">
        <f t="shared" si="109"/>
        <v>1089</v>
      </c>
      <c r="B1092" s="156">
        <f t="shared" si="112"/>
        <v>2026</v>
      </c>
      <c r="C1092" s="129">
        <f t="shared" si="113"/>
        <v>2025</v>
      </c>
      <c r="D1092" s="2" t="s">
        <v>155</v>
      </c>
      <c r="E1092" s="2" t="s">
        <v>155</v>
      </c>
      <c r="F1092" s="39">
        <v>45809</v>
      </c>
      <c r="G1092" s="2">
        <f>DAY(EOMONTH(TA[[#This Row],[Month Year]],0))</f>
        <v>30</v>
      </c>
      <c r="H1092" s="21">
        <v>45821</v>
      </c>
      <c r="I1092" s="41">
        <f>IFERROR(VLOOKUP(TA[[#This Row],[Date]],Raw_Data[[Date]:[Sunset Time (POA&lt;20 W/m2)]],3,0),"")</f>
        <v>0.24861111111111112</v>
      </c>
      <c r="J1092" s="41">
        <f>IFERROR(VLOOKUP(TA[[#This Row],[Date]],Raw_Data[[Date]:[Sunset Time (POA&lt;20 W/m2)]],4,0),"")</f>
        <v>0.77569444444444446</v>
      </c>
      <c r="K1092" s="35">
        <f>IFERROR((TA[[#This Row],[Sunset Time (POA&lt;20 W/m2)]]-TA[[#This Row],[Sunrise Time (POA&gt;20 W/m2)]])*24,"")</f>
        <v>12.65</v>
      </c>
      <c r="L1092" s="2" t="s">
        <v>294</v>
      </c>
      <c r="M1092" s="42">
        <f>IFERROR(VLOOKUP(TA[[#This Row],[Affected Equipment]],'Basic Data'!$I$2:$K$40,3,0),"")</f>
        <v>1.7241379310344799E-3</v>
      </c>
      <c r="N1092">
        <v>-28</v>
      </c>
      <c r="O1092" t="s">
        <v>137</v>
      </c>
      <c r="P1092" s="127" t="s">
        <v>315</v>
      </c>
      <c r="Q1092" s="126" t="s">
        <v>319</v>
      </c>
      <c r="R1092">
        <v>166</v>
      </c>
      <c r="S1092" s="2">
        <v>91</v>
      </c>
      <c r="T1092" t="s">
        <v>295</v>
      </c>
      <c r="U1092" t="s">
        <v>300</v>
      </c>
      <c r="V1092" t="s">
        <v>298</v>
      </c>
      <c r="W1092" s="41"/>
      <c r="X1092" s="41"/>
      <c r="Y1092" s="34"/>
      <c r="Z1092" s="34"/>
      <c r="AA1092" s="35">
        <f>IF(TA[[#This Row],[Work Start time on Fault]]="NA","",(TA[[#This Row],[Fault Acknowledgement Time ]]-TA[[#This Row],[Fault Time]])*24)</f>
        <v>0</v>
      </c>
      <c r="AB1092" s="35">
        <f>(TA[[#This Row],[Work Start time on Fault]]-TA[[#This Row],[Fault Time]])*24</f>
        <v>0</v>
      </c>
      <c r="AC1092" s="34">
        <f>(TA[[#This Row],[Work Completion time on fault]]-TA[[#This Row],[Fault Time]])*24</f>
        <v>0</v>
      </c>
      <c r="AD1092" s="35">
        <f>IFERROR((TA[[#This Row],[Work Completion time on fault]]-TA[[#This Row],[Fault Time]])*24,"")</f>
        <v>0</v>
      </c>
      <c r="AE1092" t="s">
        <v>328</v>
      </c>
      <c r="AF1092" t="s">
        <v>256</v>
      </c>
      <c r="AG1092" s="2"/>
      <c r="AH1092" s="44">
        <f>1-COS(RADIANS(TA[[#This Row],[Avg. Target Angle during Fault Time (Radians)]]-TA[[#This Row],[Angle of affected equipment ]]))</f>
        <v>0.11705240714107301</v>
      </c>
      <c r="AI1092" s="35">
        <f>IFERROR(TA[[#This Row],[Breakdown Time]]*TA[[#This Row],[Plant Equivalent Weightage]],"")</f>
        <v>0</v>
      </c>
    </row>
    <row r="1093" spans="1:35">
      <c r="A1093" s="2">
        <f t="shared" si="109"/>
        <v>1090</v>
      </c>
      <c r="B1093" s="156">
        <f t="shared" si="112"/>
        <v>2026</v>
      </c>
      <c r="C1093" s="129">
        <f t="shared" si="113"/>
        <v>2025</v>
      </c>
      <c r="D1093" s="2" t="s">
        <v>155</v>
      </c>
      <c r="E1093" s="2" t="s">
        <v>155</v>
      </c>
      <c r="F1093" s="39">
        <v>45809</v>
      </c>
      <c r="G1093" s="2">
        <f>DAY(EOMONTH(TA[[#This Row],[Month Year]],0))</f>
        <v>30</v>
      </c>
      <c r="H1093" s="21">
        <v>45821</v>
      </c>
      <c r="I1093" s="41">
        <f>IFERROR(VLOOKUP(TA[[#This Row],[Date]],Raw_Data[[Date]:[Sunset Time (POA&lt;20 W/m2)]],3,0),"")</f>
        <v>0.24861111111111112</v>
      </c>
      <c r="J1093" s="41">
        <f>IFERROR(VLOOKUP(TA[[#This Row],[Date]],Raw_Data[[Date]:[Sunset Time (POA&lt;20 W/m2)]],4,0),"")</f>
        <v>0.77569444444444446</v>
      </c>
      <c r="K1093" s="35">
        <f>IFERROR((TA[[#This Row],[Sunset Time (POA&lt;20 W/m2)]]-TA[[#This Row],[Sunrise Time (POA&gt;20 W/m2)]])*24,"")</f>
        <v>12.65</v>
      </c>
      <c r="L1093" s="2" t="s">
        <v>294</v>
      </c>
      <c r="M1093" s="42">
        <f>IFERROR(VLOOKUP(TA[[#This Row],[Affected Equipment]],'Basic Data'!$I$2:$K$40,3,0),"")</f>
        <v>1.7241379310344799E-3</v>
      </c>
      <c r="N1093">
        <v>-28</v>
      </c>
      <c r="O1093" t="s">
        <v>133</v>
      </c>
      <c r="P1093" s="127" t="s">
        <v>316</v>
      </c>
      <c r="Q1093" s="126" t="s">
        <v>316</v>
      </c>
      <c r="R1093">
        <v>117</v>
      </c>
      <c r="S1093" s="2">
        <v>20</v>
      </c>
      <c r="T1093" t="s">
        <v>295</v>
      </c>
      <c r="U1093" t="s">
        <v>300</v>
      </c>
      <c r="V1093" t="s">
        <v>298</v>
      </c>
      <c r="W1093" s="41"/>
      <c r="X1093" s="41"/>
      <c r="Y1093" s="34"/>
      <c r="Z1093" s="34"/>
      <c r="AA1093" s="35">
        <f>IF(TA[[#This Row],[Work Start time on Fault]]="NA","",(TA[[#This Row],[Fault Acknowledgement Time ]]-TA[[#This Row],[Fault Time]])*24)</f>
        <v>0</v>
      </c>
      <c r="AB1093" s="35">
        <f>(TA[[#This Row],[Work Start time on Fault]]-TA[[#This Row],[Fault Time]])*24</f>
        <v>0</v>
      </c>
      <c r="AC1093" s="34">
        <f>(TA[[#This Row],[Work Completion time on fault]]-TA[[#This Row],[Fault Time]])*24</f>
        <v>0</v>
      </c>
      <c r="AD1093" s="35">
        <f>IFERROR((TA[[#This Row],[Work Completion time on fault]]-TA[[#This Row],[Fault Time]])*24,"")</f>
        <v>0</v>
      </c>
      <c r="AE1093" t="s">
        <v>328</v>
      </c>
      <c r="AF1093" t="s">
        <v>256</v>
      </c>
      <c r="AG1093" s="2"/>
      <c r="AH1093" s="44">
        <f>1-COS(RADIANS(TA[[#This Row],[Avg. Target Angle during Fault Time (Radians)]]-TA[[#This Row],[Angle of affected equipment ]]))</f>
        <v>0.11705240714107301</v>
      </c>
      <c r="AI1093" s="35">
        <f>IFERROR(TA[[#This Row],[Breakdown Time]]*TA[[#This Row],[Plant Equivalent Weightage]],"")</f>
        <v>0</v>
      </c>
    </row>
    <row r="1094" spans="1:35">
      <c r="A1094" s="2">
        <f t="shared" si="109"/>
        <v>1091</v>
      </c>
      <c r="B1094" s="156">
        <f t="shared" si="112"/>
        <v>2026</v>
      </c>
      <c r="C1094" s="129">
        <f t="shared" si="113"/>
        <v>2025</v>
      </c>
      <c r="D1094" s="2" t="s">
        <v>155</v>
      </c>
      <c r="E1094" s="2" t="s">
        <v>155</v>
      </c>
      <c r="F1094" s="39">
        <v>45809</v>
      </c>
      <c r="G1094" s="2">
        <f>DAY(EOMONTH(TA[[#This Row],[Month Year]],0))</f>
        <v>30</v>
      </c>
      <c r="H1094" s="21">
        <v>45821</v>
      </c>
      <c r="I1094" s="41">
        <f>IFERROR(VLOOKUP(TA[[#This Row],[Date]],Raw_Data[[Date]:[Sunset Time (POA&lt;20 W/m2)]],3,0),"")</f>
        <v>0.24861111111111112</v>
      </c>
      <c r="J1094" s="41">
        <f>IFERROR(VLOOKUP(TA[[#This Row],[Date]],Raw_Data[[Date]:[Sunset Time (POA&lt;20 W/m2)]],4,0),"")</f>
        <v>0.77569444444444446</v>
      </c>
      <c r="K1094" s="35">
        <f>IFERROR((TA[[#This Row],[Sunset Time (POA&lt;20 W/m2)]]-TA[[#This Row],[Sunrise Time (POA&gt;20 W/m2)]])*24,"")</f>
        <v>12.65</v>
      </c>
      <c r="L1094" s="2" t="s">
        <v>294</v>
      </c>
      <c r="M1094" s="42">
        <f>IFERROR(VLOOKUP(TA[[#This Row],[Affected Equipment]],'Basic Data'!$I$2:$K$40,3,0),"")</f>
        <v>1.7241379310344799E-3</v>
      </c>
      <c r="N1094">
        <v>-28</v>
      </c>
      <c r="O1094" t="s">
        <v>133</v>
      </c>
      <c r="P1094" s="127" t="s">
        <v>316</v>
      </c>
      <c r="Q1094" s="126" t="s">
        <v>316</v>
      </c>
      <c r="R1094">
        <v>118</v>
      </c>
      <c r="S1094" s="2">
        <v>22</v>
      </c>
      <c r="T1094" t="s">
        <v>295</v>
      </c>
      <c r="U1094" t="s">
        <v>300</v>
      </c>
      <c r="V1094" t="s">
        <v>298</v>
      </c>
      <c r="W1094" s="41"/>
      <c r="X1094" s="41"/>
      <c r="Y1094" s="34"/>
      <c r="Z1094" s="34"/>
      <c r="AA1094" s="35">
        <f>IF(TA[[#This Row],[Work Start time on Fault]]="NA","",(TA[[#This Row],[Fault Acknowledgement Time ]]-TA[[#This Row],[Fault Time]])*24)</f>
        <v>0</v>
      </c>
      <c r="AB1094" s="35">
        <f>(TA[[#This Row],[Work Start time on Fault]]-TA[[#This Row],[Fault Time]])*24</f>
        <v>0</v>
      </c>
      <c r="AC1094" s="34">
        <f>(TA[[#This Row],[Work Completion time on fault]]-TA[[#This Row],[Fault Time]])*24</f>
        <v>0</v>
      </c>
      <c r="AD1094" s="35">
        <f>IFERROR((TA[[#This Row],[Work Completion time on fault]]-TA[[#This Row],[Fault Time]])*24,"")</f>
        <v>0</v>
      </c>
      <c r="AE1094" t="s">
        <v>328</v>
      </c>
      <c r="AF1094" t="s">
        <v>256</v>
      </c>
      <c r="AG1094" s="2"/>
      <c r="AH1094" s="44">
        <f>1-COS(RADIANS(TA[[#This Row],[Avg. Target Angle during Fault Time (Radians)]]-TA[[#This Row],[Angle of affected equipment ]]))</f>
        <v>0.11705240714107301</v>
      </c>
      <c r="AI1094" s="35">
        <f>IFERROR(TA[[#This Row],[Breakdown Time]]*TA[[#This Row],[Plant Equivalent Weightage]],"")</f>
        <v>0</v>
      </c>
    </row>
    <row r="1095" spans="1:35">
      <c r="A1095" s="2">
        <f t="shared" si="109"/>
        <v>1092</v>
      </c>
      <c r="B1095" s="156">
        <f t="shared" si="112"/>
        <v>2026</v>
      </c>
      <c r="C1095" s="129">
        <f t="shared" si="113"/>
        <v>2025</v>
      </c>
      <c r="D1095" s="2" t="s">
        <v>155</v>
      </c>
      <c r="E1095" s="2" t="s">
        <v>155</v>
      </c>
      <c r="F1095" s="39">
        <v>45809</v>
      </c>
      <c r="G1095" s="2">
        <f>DAY(EOMONTH(TA[[#This Row],[Month Year]],0))</f>
        <v>30</v>
      </c>
      <c r="H1095" s="21">
        <v>45821</v>
      </c>
      <c r="I1095" s="41">
        <f>IFERROR(VLOOKUP(TA[[#This Row],[Date]],Raw_Data[[Date]:[Sunset Time (POA&lt;20 W/m2)]],3,0),"")</f>
        <v>0.24861111111111112</v>
      </c>
      <c r="J1095" s="41">
        <f>IFERROR(VLOOKUP(TA[[#This Row],[Date]],Raw_Data[[Date]:[Sunset Time (POA&lt;20 W/m2)]],4,0),"")</f>
        <v>0.77569444444444446</v>
      </c>
      <c r="K1095" s="35">
        <f>IFERROR((TA[[#This Row],[Sunset Time (POA&lt;20 W/m2)]]-TA[[#This Row],[Sunrise Time (POA&gt;20 W/m2)]])*24,"")</f>
        <v>12.65</v>
      </c>
      <c r="L1095" s="2" t="s">
        <v>296</v>
      </c>
      <c r="M1095" s="42">
        <f>IFERROR(VLOOKUP(TA[[#This Row],[Affected Equipment]],'Basic Data'!$I$2:$K$40,3,0),"")</f>
        <v>8.6206896551724102E-3</v>
      </c>
      <c r="N1095">
        <v>-28</v>
      </c>
      <c r="O1095" t="s">
        <v>135</v>
      </c>
      <c r="P1095" s="22" t="s">
        <v>323</v>
      </c>
      <c r="Q1095" s="2" t="s">
        <v>329</v>
      </c>
      <c r="R1095">
        <v>45</v>
      </c>
      <c r="S1095" s="2">
        <v>8</v>
      </c>
      <c r="T1095" t="s">
        <v>297</v>
      </c>
      <c r="U1095" t="s">
        <v>300</v>
      </c>
      <c r="V1095" t="s">
        <v>301</v>
      </c>
      <c r="W1095" s="41"/>
      <c r="X1095" s="41"/>
      <c r="Y1095" s="34"/>
      <c r="Z1095" s="34"/>
      <c r="AA1095" s="35">
        <f>IF(TA[[#This Row],[Work Start time on Fault]]="NA","",(TA[[#This Row],[Fault Acknowledgement Time ]]-TA[[#This Row],[Fault Time]])*24)</f>
        <v>0</v>
      </c>
      <c r="AB1095" s="35">
        <f>(TA[[#This Row],[Work Start time on Fault]]-TA[[#This Row],[Fault Time]])*24</f>
        <v>0</v>
      </c>
      <c r="AC1095" s="34">
        <f>(TA[[#This Row],[Work Completion time on fault]]-TA[[#This Row],[Fault Time]])*24</f>
        <v>0</v>
      </c>
      <c r="AD1095" s="35">
        <f>IFERROR((TA[[#This Row],[Work Completion time on fault]]-TA[[#This Row],[Fault Time]])*24,"")</f>
        <v>0</v>
      </c>
      <c r="AE1095" t="s">
        <v>328</v>
      </c>
      <c r="AF1095" t="s">
        <v>256</v>
      </c>
      <c r="AG1095" s="2"/>
      <c r="AH1095" s="44">
        <f>1-COS(RADIANS(TA[[#This Row],[Avg. Target Angle during Fault Time (Radians)]]-TA[[#This Row],[Angle of affected equipment ]]))</f>
        <v>0.11705240714107301</v>
      </c>
      <c r="AI1095" s="35">
        <f>IFERROR(TA[[#This Row],[Breakdown Time]]*TA[[#This Row],[Plant Equivalent Weightage]],"")</f>
        <v>0</v>
      </c>
    </row>
    <row r="1096" spans="1:35">
      <c r="A1096" s="2">
        <f t="shared" si="109"/>
        <v>1093</v>
      </c>
      <c r="B1096" s="156">
        <f t="shared" si="112"/>
        <v>2026</v>
      </c>
      <c r="C1096" s="129">
        <f t="shared" si="113"/>
        <v>2025</v>
      </c>
      <c r="D1096" s="2" t="s">
        <v>155</v>
      </c>
      <c r="E1096" s="2" t="s">
        <v>155</v>
      </c>
      <c r="F1096" s="39">
        <v>45809</v>
      </c>
      <c r="G1096" s="2">
        <f>DAY(EOMONTH(TA[[#This Row],[Month Year]],0))</f>
        <v>30</v>
      </c>
      <c r="H1096" s="21">
        <v>45821</v>
      </c>
      <c r="I1096" s="41">
        <f>IFERROR(VLOOKUP(TA[[#This Row],[Date]],Raw_Data[[Date]:[Sunset Time (POA&lt;20 W/m2)]],3,0),"")</f>
        <v>0.24861111111111112</v>
      </c>
      <c r="J1096" s="41">
        <f>IFERROR(VLOOKUP(TA[[#This Row],[Date]],Raw_Data[[Date]:[Sunset Time (POA&lt;20 W/m2)]],4,0),"")</f>
        <v>0.77569444444444446</v>
      </c>
      <c r="K1096" s="35">
        <f>IFERROR((TA[[#This Row],[Sunset Time (POA&lt;20 W/m2)]]-TA[[#This Row],[Sunrise Time (POA&gt;20 W/m2)]])*24,"")</f>
        <v>12.65</v>
      </c>
      <c r="L1096" s="2" t="s">
        <v>296</v>
      </c>
      <c r="M1096" s="42">
        <f>IFERROR(VLOOKUP(TA[[#This Row],[Affected Equipment]],'Basic Data'!$I$2:$K$40,3,0),"")</f>
        <v>8.6206896551724102E-3</v>
      </c>
      <c r="N1096">
        <v>-28</v>
      </c>
      <c r="O1096" t="s">
        <v>135</v>
      </c>
      <c r="P1096" s="22" t="s">
        <v>323</v>
      </c>
      <c r="Q1096" s="2" t="s">
        <v>329</v>
      </c>
      <c r="R1096">
        <v>47</v>
      </c>
      <c r="S1096" s="2">
        <v>18</v>
      </c>
      <c r="T1096" t="s">
        <v>297</v>
      </c>
      <c r="U1096" t="s">
        <v>300</v>
      </c>
      <c r="V1096" t="s">
        <v>301</v>
      </c>
      <c r="W1096" s="41"/>
      <c r="X1096" s="41"/>
      <c r="Y1096" s="34"/>
      <c r="Z1096" s="34"/>
      <c r="AA1096" s="35">
        <f>IF(TA[[#This Row],[Work Start time on Fault]]="NA","",(TA[[#This Row],[Fault Acknowledgement Time ]]-TA[[#This Row],[Fault Time]])*24)</f>
        <v>0</v>
      </c>
      <c r="AB1096" s="35">
        <f>(TA[[#This Row],[Work Start time on Fault]]-TA[[#This Row],[Fault Time]])*24</f>
        <v>0</v>
      </c>
      <c r="AC1096" s="34">
        <f>(TA[[#This Row],[Work Completion time on fault]]-TA[[#This Row],[Fault Time]])*24</f>
        <v>0</v>
      </c>
      <c r="AD1096" s="35">
        <f>IFERROR((TA[[#This Row],[Work Completion time on fault]]-TA[[#This Row],[Fault Time]])*24,"")</f>
        <v>0</v>
      </c>
      <c r="AE1096" t="s">
        <v>328</v>
      </c>
      <c r="AF1096" t="s">
        <v>256</v>
      </c>
      <c r="AG1096" s="2"/>
      <c r="AH1096" s="44">
        <f>1-COS(RADIANS(TA[[#This Row],[Avg. Target Angle during Fault Time (Radians)]]-TA[[#This Row],[Angle of affected equipment ]]))</f>
        <v>0.11705240714107301</v>
      </c>
      <c r="AI1096" s="35">
        <f>IFERROR(TA[[#This Row],[Breakdown Time]]*TA[[#This Row],[Plant Equivalent Weightage]],"")</f>
        <v>0</v>
      </c>
    </row>
    <row r="1097" spans="1:35">
      <c r="A1097" s="2">
        <f t="shared" si="109"/>
        <v>1094</v>
      </c>
      <c r="B1097" s="156">
        <f t="shared" si="112"/>
        <v>2026</v>
      </c>
      <c r="C1097" s="129">
        <f t="shared" si="113"/>
        <v>2025</v>
      </c>
      <c r="D1097" s="2" t="s">
        <v>155</v>
      </c>
      <c r="E1097" s="2" t="s">
        <v>155</v>
      </c>
      <c r="F1097" s="39">
        <v>45809</v>
      </c>
      <c r="G1097" s="2">
        <f>DAY(EOMONTH(TA[[#This Row],[Month Year]],0))</f>
        <v>30</v>
      </c>
      <c r="H1097" s="21">
        <v>45821</v>
      </c>
      <c r="I1097" s="41">
        <f>IFERROR(VLOOKUP(TA[[#This Row],[Date]],Raw_Data[[Date]:[Sunset Time (POA&lt;20 W/m2)]],3,0),"")</f>
        <v>0.24861111111111112</v>
      </c>
      <c r="J1097" s="41">
        <f>IFERROR(VLOOKUP(TA[[#This Row],[Date]],Raw_Data[[Date]:[Sunset Time (POA&lt;20 W/m2)]],4,0),"")</f>
        <v>0.77569444444444446</v>
      </c>
      <c r="K1097" s="35">
        <f>IFERROR((TA[[#This Row],[Sunset Time (POA&lt;20 W/m2)]]-TA[[#This Row],[Sunrise Time (POA&gt;20 W/m2)]])*24,"")</f>
        <v>12.65</v>
      </c>
      <c r="L1097" s="2" t="s">
        <v>296</v>
      </c>
      <c r="M1097" s="42">
        <f>IFERROR(VLOOKUP(TA[[#This Row],[Affected Equipment]],'Basic Data'!$I$2:$K$40,3,0),"")</f>
        <v>8.6206896551724102E-3</v>
      </c>
      <c r="N1097">
        <v>-28</v>
      </c>
      <c r="O1097" t="s">
        <v>134</v>
      </c>
      <c r="P1097" s="22" t="s">
        <v>330</v>
      </c>
      <c r="Q1097" s="2" t="s">
        <v>323</v>
      </c>
      <c r="R1097">
        <v>30</v>
      </c>
      <c r="S1097" s="2">
        <v>57</v>
      </c>
      <c r="T1097" t="s">
        <v>297</v>
      </c>
      <c r="U1097" t="s">
        <v>300</v>
      </c>
      <c r="V1097" t="s">
        <v>301</v>
      </c>
      <c r="W1097" s="41"/>
      <c r="X1097" s="41"/>
      <c r="Y1097" s="34"/>
      <c r="Z1097" s="34"/>
      <c r="AA1097" s="35">
        <f>IF(TA[[#This Row],[Work Start time on Fault]]="NA","",(TA[[#This Row],[Fault Acknowledgement Time ]]-TA[[#This Row],[Fault Time]])*24)</f>
        <v>0</v>
      </c>
      <c r="AB1097" s="35">
        <f>(TA[[#This Row],[Work Start time on Fault]]-TA[[#This Row],[Fault Time]])*24</f>
        <v>0</v>
      </c>
      <c r="AC1097" s="34">
        <f>(TA[[#This Row],[Work Completion time on fault]]-TA[[#This Row],[Fault Time]])*24</f>
        <v>0</v>
      </c>
      <c r="AD1097" s="35">
        <f>IFERROR((TA[[#This Row],[Work Completion time on fault]]-TA[[#This Row],[Fault Time]])*24,"")</f>
        <v>0</v>
      </c>
      <c r="AE1097" t="s">
        <v>328</v>
      </c>
      <c r="AF1097" t="s">
        <v>256</v>
      </c>
      <c r="AG1097" s="2"/>
      <c r="AH1097" s="44">
        <f>1-COS(RADIANS(TA[[#This Row],[Avg. Target Angle during Fault Time (Radians)]]-TA[[#This Row],[Angle of affected equipment ]]))</f>
        <v>0.11705240714107301</v>
      </c>
      <c r="AI1097" s="35">
        <f>IFERROR(TA[[#This Row],[Breakdown Time]]*TA[[#This Row],[Plant Equivalent Weightage]],"")</f>
        <v>0</v>
      </c>
    </row>
    <row r="1098" spans="1:35">
      <c r="A1098" s="2">
        <f t="shared" si="109"/>
        <v>1095</v>
      </c>
      <c r="B1098" s="156">
        <f t="shared" si="112"/>
        <v>2026</v>
      </c>
      <c r="C1098" s="129">
        <f t="shared" si="113"/>
        <v>2025</v>
      </c>
      <c r="D1098" s="2" t="s">
        <v>155</v>
      </c>
      <c r="E1098" s="2" t="s">
        <v>155</v>
      </c>
      <c r="F1098" s="39">
        <v>45809</v>
      </c>
      <c r="G1098" s="2">
        <f>DAY(EOMONTH(TA[[#This Row],[Month Year]],0))</f>
        <v>30</v>
      </c>
      <c r="H1098" s="21">
        <v>45821</v>
      </c>
      <c r="I1098" s="41">
        <f>IFERROR(VLOOKUP(TA[[#This Row],[Date]],Raw_Data[[Date]:[Sunset Time (POA&lt;20 W/m2)]],3,0),"")</f>
        <v>0.24861111111111112</v>
      </c>
      <c r="J1098" s="41">
        <f>IFERROR(VLOOKUP(TA[[#This Row],[Date]],Raw_Data[[Date]:[Sunset Time (POA&lt;20 W/m2)]],4,0),"")</f>
        <v>0.77569444444444446</v>
      </c>
      <c r="K1098" s="35">
        <f>IFERROR((TA[[#This Row],[Sunset Time (POA&lt;20 W/m2)]]-TA[[#This Row],[Sunrise Time (POA&gt;20 W/m2)]])*24,"")</f>
        <v>12.65</v>
      </c>
      <c r="L1098" s="2" t="s">
        <v>296</v>
      </c>
      <c r="M1098" s="42">
        <f>IFERROR(VLOOKUP(TA[[#This Row],[Affected Equipment]],'Basic Data'!$I$2:$K$40,3,0),"")</f>
        <v>8.6206896551724102E-3</v>
      </c>
      <c r="N1098">
        <v>-28</v>
      </c>
      <c r="O1098" t="s">
        <v>134</v>
      </c>
      <c r="P1098" s="22" t="s">
        <v>330</v>
      </c>
      <c r="Q1098" s="2" t="s">
        <v>323</v>
      </c>
      <c r="R1098">
        <v>31</v>
      </c>
      <c r="S1098" s="2">
        <v>61</v>
      </c>
      <c r="T1098" t="s">
        <v>297</v>
      </c>
      <c r="U1098" t="s">
        <v>300</v>
      </c>
      <c r="V1098" t="s">
        <v>301</v>
      </c>
      <c r="W1098" s="41"/>
      <c r="X1098" s="41"/>
      <c r="Y1098" s="34"/>
      <c r="Z1098" s="34"/>
      <c r="AA1098" s="35">
        <f>IF(TA[[#This Row],[Work Start time on Fault]]="NA","",(TA[[#This Row],[Fault Acknowledgement Time ]]-TA[[#This Row],[Fault Time]])*24)</f>
        <v>0</v>
      </c>
      <c r="AB1098" s="35">
        <f>(TA[[#This Row],[Work Start time on Fault]]-TA[[#This Row],[Fault Time]])*24</f>
        <v>0</v>
      </c>
      <c r="AC1098" s="34">
        <f>(TA[[#This Row],[Work Completion time on fault]]-TA[[#This Row],[Fault Time]])*24</f>
        <v>0</v>
      </c>
      <c r="AD1098" s="35">
        <f>IFERROR((TA[[#This Row],[Work Completion time on fault]]-TA[[#This Row],[Fault Time]])*24,"")</f>
        <v>0</v>
      </c>
      <c r="AE1098" t="s">
        <v>328</v>
      </c>
      <c r="AF1098" t="s">
        <v>256</v>
      </c>
      <c r="AG1098" s="2"/>
      <c r="AH1098" s="44">
        <f>1-COS(RADIANS(TA[[#This Row],[Avg. Target Angle during Fault Time (Radians)]]-TA[[#This Row],[Angle of affected equipment ]]))</f>
        <v>0.11705240714107301</v>
      </c>
      <c r="AI1098" s="35">
        <f>IFERROR(TA[[#This Row],[Breakdown Time]]*TA[[#This Row],[Plant Equivalent Weightage]],"")</f>
        <v>0</v>
      </c>
    </row>
    <row r="1099" spans="1:35">
      <c r="A1099" s="2">
        <f t="shared" si="109"/>
        <v>1096</v>
      </c>
      <c r="B1099" s="156">
        <f t="shared" si="112"/>
        <v>2026</v>
      </c>
      <c r="C1099" s="129">
        <f t="shared" si="113"/>
        <v>2025</v>
      </c>
      <c r="D1099" s="2" t="s">
        <v>155</v>
      </c>
      <c r="E1099" s="2" t="s">
        <v>155</v>
      </c>
      <c r="F1099" s="39">
        <v>45809</v>
      </c>
      <c r="G1099" s="2">
        <f>DAY(EOMONTH(TA[[#This Row],[Month Year]],0))</f>
        <v>30</v>
      </c>
      <c r="H1099" s="21">
        <v>45821</v>
      </c>
      <c r="I1099" s="41">
        <f>IFERROR(VLOOKUP(TA[[#This Row],[Date]],Raw_Data[[Date]:[Sunset Time (POA&lt;20 W/m2)]],3,0),"")</f>
        <v>0.24861111111111112</v>
      </c>
      <c r="J1099" s="41">
        <f>IFERROR(VLOOKUP(TA[[#This Row],[Date]],Raw_Data[[Date]:[Sunset Time (POA&lt;20 W/m2)]],4,0),"")</f>
        <v>0.77569444444444446</v>
      </c>
      <c r="K1099" s="35">
        <f>IFERROR((TA[[#This Row],[Sunset Time (POA&lt;20 W/m2)]]-TA[[#This Row],[Sunrise Time (POA&gt;20 W/m2)]])*24,"")</f>
        <v>12.65</v>
      </c>
      <c r="L1099" s="2" t="s">
        <v>312</v>
      </c>
      <c r="M1099" s="42">
        <f>IFERROR(VLOOKUP(TA[[#This Row],[Affected Equipment]],'Basic Data'!$I$2:$K$40,3,0),"")</f>
        <v>5.74712643678161E-3</v>
      </c>
      <c r="N1099">
        <v>-28</v>
      </c>
      <c r="O1099" t="s">
        <v>133</v>
      </c>
      <c r="P1099" s="22" t="s">
        <v>330</v>
      </c>
      <c r="Q1099" s="2" t="s">
        <v>323</v>
      </c>
      <c r="R1099">
        <v>26</v>
      </c>
      <c r="S1099" s="2">
        <v>37</v>
      </c>
      <c r="T1099" t="s">
        <v>297</v>
      </c>
      <c r="U1099" t="s">
        <v>300</v>
      </c>
      <c r="V1099" t="s">
        <v>301</v>
      </c>
      <c r="W1099" s="41"/>
      <c r="X1099" s="41"/>
      <c r="Y1099" s="34"/>
      <c r="Z1099" s="34"/>
      <c r="AA1099" s="35">
        <f>IF(TA[[#This Row],[Work Start time on Fault]]="NA","",(TA[[#This Row],[Fault Acknowledgement Time ]]-TA[[#This Row],[Fault Time]])*24)</f>
        <v>0</v>
      </c>
      <c r="AB1099" s="35">
        <f>(TA[[#This Row],[Work Start time on Fault]]-TA[[#This Row],[Fault Time]])*24</f>
        <v>0</v>
      </c>
      <c r="AC1099" s="34">
        <f>(TA[[#This Row],[Work Completion time on fault]]-TA[[#This Row],[Fault Time]])*24</f>
        <v>0</v>
      </c>
      <c r="AD1099" s="35">
        <f>IFERROR((TA[[#This Row],[Work Completion time on fault]]-TA[[#This Row],[Fault Time]])*24,"")</f>
        <v>0</v>
      </c>
      <c r="AE1099" t="s">
        <v>328</v>
      </c>
      <c r="AF1099" t="s">
        <v>256</v>
      </c>
      <c r="AG1099" s="2"/>
      <c r="AH1099" s="44">
        <f>1-COS(RADIANS(TA[[#This Row],[Avg. Target Angle during Fault Time (Radians)]]-TA[[#This Row],[Angle of affected equipment ]]))</f>
        <v>0.11705240714107301</v>
      </c>
      <c r="AI1099" s="35">
        <f>IFERROR(TA[[#This Row],[Breakdown Time]]*TA[[#This Row],[Plant Equivalent Weightage]],"")</f>
        <v>0</v>
      </c>
    </row>
    <row r="1100" spans="1:35">
      <c r="A1100" s="2">
        <f t="shared" si="109"/>
        <v>1097</v>
      </c>
      <c r="B1100" s="156">
        <f t="shared" si="112"/>
        <v>2026</v>
      </c>
      <c r="C1100" s="129">
        <f t="shared" si="113"/>
        <v>2025</v>
      </c>
      <c r="D1100" s="2" t="s">
        <v>155</v>
      </c>
      <c r="E1100" s="2" t="s">
        <v>155</v>
      </c>
      <c r="F1100" s="39">
        <v>45809</v>
      </c>
      <c r="G1100" s="2">
        <f>DAY(EOMONTH(TA[[#This Row],[Month Year]],0))</f>
        <v>30</v>
      </c>
      <c r="H1100" s="21">
        <v>45821</v>
      </c>
      <c r="I1100" s="41">
        <f>IFERROR(VLOOKUP(TA[[#This Row],[Date]],Raw_Data[[Date]:[Sunset Time (POA&lt;20 W/m2)]],3,0),"")</f>
        <v>0.24861111111111112</v>
      </c>
      <c r="J1100" s="41">
        <f>IFERROR(VLOOKUP(TA[[#This Row],[Date]],Raw_Data[[Date]:[Sunset Time (POA&lt;20 W/m2)]],4,0),"")</f>
        <v>0.77569444444444446</v>
      </c>
      <c r="K1100" s="35">
        <f>IFERROR((TA[[#This Row],[Sunset Time (POA&lt;20 W/m2)]]-TA[[#This Row],[Sunrise Time (POA&gt;20 W/m2)]])*24,"")</f>
        <v>12.65</v>
      </c>
      <c r="L1100" s="2" t="s">
        <v>312</v>
      </c>
      <c r="M1100" s="42">
        <f>IFERROR(VLOOKUP(TA[[#This Row],[Affected Equipment]],'Basic Data'!$I$2:$K$40,3,0),"")</f>
        <v>5.74712643678161E-3</v>
      </c>
      <c r="N1100">
        <v>-28</v>
      </c>
      <c r="O1100" t="s">
        <v>133</v>
      </c>
      <c r="P1100" s="22" t="s">
        <v>330</v>
      </c>
      <c r="Q1100" s="2" t="s">
        <v>323</v>
      </c>
      <c r="R1100">
        <v>27</v>
      </c>
      <c r="S1100" s="2">
        <v>42</v>
      </c>
      <c r="T1100" t="s">
        <v>297</v>
      </c>
      <c r="U1100" t="s">
        <v>300</v>
      </c>
      <c r="V1100" t="s">
        <v>301</v>
      </c>
      <c r="W1100" s="41">
        <f>IFERROR(VLOOKUP(TA[[#This Row],[Date]],Raw_Data[[Date]:[Sunset Time (POA&lt;20 W/m2)]],3,0),"")</f>
        <v>0.24861111111111112</v>
      </c>
      <c r="X1100" s="41">
        <f>IFERROR(VLOOKUP(TA[[#This Row],[Date]],Raw_Data[[Date]:[Sunset Time (POA&lt;20 W/m2)]],3,0),"")</f>
        <v>0.24861111111111112</v>
      </c>
      <c r="Y1100" s="34"/>
      <c r="Z1100" s="34">
        <v>0.76041666666666663</v>
      </c>
      <c r="AA1100" s="35">
        <f>IF(TA[[#This Row],[Work Start time on Fault]]="NA","",(TA[[#This Row],[Fault Acknowledgement Time ]]-TA[[#This Row],[Fault Time]])*24)</f>
        <v>0</v>
      </c>
      <c r="AB1100" s="35">
        <f>(TA[[#This Row],[Work Start time on Fault]]-TA[[#This Row],[Fault Time]])*24</f>
        <v>-5.9666666666666668</v>
      </c>
      <c r="AC1100" s="34">
        <f>(TA[[#This Row],[Work Completion time on fault]]-TA[[#This Row],[Fault Time]])*24</f>
        <v>12.283333333333331</v>
      </c>
      <c r="AD1100" s="35">
        <f>IFERROR((TA[[#This Row],[Work Completion time on fault]]-TA[[#This Row],[Fault Time]])*24,"")</f>
        <v>12.283333333333331</v>
      </c>
      <c r="AE1100" t="s">
        <v>309</v>
      </c>
      <c r="AF1100" t="s">
        <v>256</v>
      </c>
      <c r="AG1100" s="2"/>
      <c r="AH1100" s="44">
        <f>1-COS(RADIANS(TA[[#This Row],[Avg. Target Angle during Fault Time (Radians)]]-TA[[#This Row],[Angle of affected equipment ]]))</f>
        <v>0.11705240714107301</v>
      </c>
      <c r="AI1100" s="35">
        <f>IFERROR(TA[[#This Row],[Breakdown Time]]*TA[[#This Row],[Plant Equivalent Weightage]],"")</f>
        <v>7.0593869731800762E-2</v>
      </c>
    </row>
    <row r="1101" spans="1:35">
      <c r="A1101" s="2">
        <f t="shared" si="109"/>
        <v>1098</v>
      </c>
      <c r="B1101" s="156">
        <f t="shared" ref="B1101:B1113" si="114">YEAR(H1101)+IF(MONTH(H1101)&gt;=4,1,0)</f>
        <v>2026</v>
      </c>
      <c r="C1101" s="129">
        <f t="shared" ref="C1101:C1113" si="115">YEAR(H1101)</f>
        <v>2025</v>
      </c>
      <c r="D1101" s="2" t="s">
        <v>155</v>
      </c>
      <c r="E1101" s="2" t="s">
        <v>155</v>
      </c>
      <c r="F1101" s="39">
        <v>45809</v>
      </c>
      <c r="G1101" s="2">
        <f>DAY(EOMONTH(TA[[#This Row],[Month Year]],0))</f>
        <v>30</v>
      </c>
      <c r="H1101" s="21">
        <v>45822</v>
      </c>
      <c r="I1101" s="41">
        <f>IFERROR(VLOOKUP(TA[[#This Row],[Date]],Raw_Data[[Date]:[Sunset Time (POA&lt;20 W/m2)]],3,0),"")</f>
        <v>0.25208333333333333</v>
      </c>
      <c r="J1101" s="41">
        <f>IFERROR(VLOOKUP(TA[[#This Row],[Date]],Raw_Data[[Date]:[Sunset Time (POA&lt;20 W/m2)]],4,0),"")</f>
        <v>0.78263888888888888</v>
      </c>
      <c r="K1101" s="35">
        <f>IFERROR((TA[[#This Row],[Sunset Time (POA&lt;20 W/m2)]]-TA[[#This Row],[Sunrise Time (POA&gt;20 W/m2)]])*24,"")</f>
        <v>12.733333333333334</v>
      </c>
      <c r="L1101" s="2" t="s">
        <v>294</v>
      </c>
      <c r="M1101" s="42">
        <f>IFERROR(VLOOKUP(TA[[#This Row],[Affected Equipment]],'Basic Data'!$I$2:$K$40,3,0),"")</f>
        <v>1.7241379310344799E-3</v>
      </c>
      <c r="N1101">
        <v>-28</v>
      </c>
      <c r="O1101" t="s">
        <v>135</v>
      </c>
      <c r="P1101" s="127" t="s">
        <v>318</v>
      </c>
      <c r="Q1101" s="126" t="s">
        <v>318</v>
      </c>
      <c r="R1101">
        <v>131</v>
      </c>
      <c r="S1101" s="2">
        <v>38</v>
      </c>
      <c r="T1101" t="s">
        <v>295</v>
      </c>
      <c r="U1101" t="s">
        <v>300</v>
      </c>
      <c r="V1101" t="s">
        <v>298</v>
      </c>
      <c r="W1101" s="41"/>
      <c r="X1101" s="41"/>
      <c r="Y1101" s="34"/>
      <c r="Z1101" s="34"/>
      <c r="AA1101" s="35">
        <f>IF(TA[[#This Row],[Work Start time on Fault]]="NA","",(TA[[#This Row],[Fault Acknowledgement Time ]]-TA[[#This Row],[Fault Time]])*24)</f>
        <v>0</v>
      </c>
      <c r="AB1101" s="35">
        <f>(TA[[#This Row],[Work Start time on Fault]]-TA[[#This Row],[Fault Time]])*24</f>
        <v>0</v>
      </c>
      <c r="AC1101" s="34">
        <f>(TA[[#This Row],[Work Completion time on fault]]-TA[[#This Row],[Fault Time]])*24</f>
        <v>0</v>
      </c>
      <c r="AD1101" s="35">
        <f>IFERROR((TA[[#This Row],[Work Completion time on fault]]-TA[[#This Row],[Fault Time]])*24,"")</f>
        <v>0</v>
      </c>
      <c r="AE1101" t="s">
        <v>328</v>
      </c>
      <c r="AF1101" t="s">
        <v>256</v>
      </c>
      <c r="AG1101" s="2"/>
      <c r="AH1101" s="44">
        <f>1-COS(RADIANS(TA[[#This Row],[Avg. Target Angle during Fault Time (Radians)]]-TA[[#This Row],[Angle of affected equipment ]]))</f>
        <v>0.11705240714107301</v>
      </c>
      <c r="AI1101" s="35">
        <f>IFERROR(TA[[#This Row],[Breakdown Time]]*TA[[#This Row],[Plant Equivalent Weightage]],"")</f>
        <v>0</v>
      </c>
    </row>
    <row r="1102" spans="1:35">
      <c r="A1102" s="2">
        <f t="shared" si="109"/>
        <v>1099</v>
      </c>
      <c r="B1102" s="156">
        <f t="shared" si="114"/>
        <v>2026</v>
      </c>
      <c r="C1102" s="129">
        <f t="shared" si="115"/>
        <v>2025</v>
      </c>
      <c r="D1102" s="2" t="s">
        <v>155</v>
      </c>
      <c r="E1102" s="2" t="s">
        <v>155</v>
      </c>
      <c r="F1102" s="39">
        <v>45809</v>
      </c>
      <c r="G1102" s="2">
        <f>DAY(EOMONTH(TA[[#This Row],[Month Year]],0))</f>
        <v>30</v>
      </c>
      <c r="H1102" s="21">
        <v>45822</v>
      </c>
      <c r="I1102" s="41">
        <f>IFERROR(VLOOKUP(TA[[#This Row],[Date]],Raw_Data[[Date]:[Sunset Time (POA&lt;20 W/m2)]],3,0),"")</f>
        <v>0.25208333333333333</v>
      </c>
      <c r="J1102" s="41">
        <f>IFERROR(VLOOKUP(TA[[#This Row],[Date]],Raw_Data[[Date]:[Sunset Time (POA&lt;20 W/m2)]],4,0),"")</f>
        <v>0.78263888888888888</v>
      </c>
      <c r="K1102" s="35">
        <f>IFERROR((TA[[#This Row],[Sunset Time (POA&lt;20 W/m2)]]-TA[[#This Row],[Sunrise Time (POA&gt;20 W/m2)]])*24,"")</f>
        <v>12.733333333333334</v>
      </c>
      <c r="L1102" s="2" t="s">
        <v>294</v>
      </c>
      <c r="M1102" s="42">
        <f>IFERROR(VLOOKUP(TA[[#This Row],[Affected Equipment]],'Basic Data'!$I$2:$K$40,3,0),"")</f>
        <v>1.7241379310344799E-3</v>
      </c>
      <c r="N1102">
        <v>-28</v>
      </c>
      <c r="O1102" t="s">
        <v>135</v>
      </c>
      <c r="P1102" s="127" t="s">
        <v>318</v>
      </c>
      <c r="Q1102" s="126" t="s">
        <v>318</v>
      </c>
      <c r="R1102">
        <v>131</v>
      </c>
      <c r="S1102" s="2">
        <v>39</v>
      </c>
      <c r="T1102" t="s">
        <v>295</v>
      </c>
      <c r="U1102" t="s">
        <v>300</v>
      </c>
      <c r="V1102" t="s">
        <v>298</v>
      </c>
      <c r="W1102" s="41"/>
      <c r="X1102" s="41"/>
      <c r="Y1102" s="34"/>
      <c r="Z1102" s="34"/>
      <c r="AA1102" s="35">
        <f>IF(TA[[#This Row],[Work Start time on Fault]]="NA","",(TA[[#This Row],[Fault Acknowledgement Time ]]-TA[[#This Row],[Fault Time]])*24)</f>
        <v>0</v>
      </c>
      <c r="AB1102" s="35">
        <f>(TA[[#This Row],[Work Start time on Fault]]-TA[[#This Row],[Fault Time]])*24</f>
        <v>0</v>
      </c>
      <c r="AC1102" s="34">
        <f>(TA[[#This Row],[Work Completion time on fault]]-TA[[#This Row],[Fault Time]])*24</f>
        <v>0</v>
      </c>
      <c r="AD1102" s="35">
        <f>IFERROR((TA[[#This Row],[Work Completion time on fault]]-TA[[#This Row],[Fault Time]])*24,"")</f>
        <v>0</v>
      </c>
      <c r="AE1102" t="s">
        <v>328</v>
      </c>
      <c r="AF1102" t="s">
        <v>256</v>
      </c>
      <c r="AG1102" s="2"/>
      <c r="AH1102" s="44">
        <f>1-COS(RADIANS(TA[[#This Row],[Avg. Target Angle during Fault Time (Radians)]]-TA[[#This Row],[Angle of affected equipment ]]))</f>
        <v>0.11705240714107301</v>
      </c>
      <c r="AI1102" s="35">
        <f>IFERROR(TA[[#This Row],[Breakdown Time]]*TA[[#This Row],[Plant Equivalent Weightage]],"")</f>
        <v>0</v>
      </c>
    </row>
    <row r="1103" spans="1:35">
      <c r="A1103" s="2">
        <f t="shared" si="109"/>
        <v>1100</v>
      </c>
      <c r="B1103" s="156">
        <f t="shared" si="114"/>
        <v>2026</v>
      </c>
      <c r="C1103" s="129">
        <f t="shared" si="115"/>
        <v>2025</v>
      </c>
      <c r="D1103" s="2" t="s">
        <v>155</v>
      </c>
      <c r="E1103" s="2" t="s">
        <v>155</v>
      </c>
      <c r="F1103" s="39">
        <v>45809</v>
      </c>
      <c r="G1103" s="2">
        <f>DAY(EOMONTH(TA[[#This Row],[Month Year]],0))</f>
        <v>30</v>
      </c>
      <c r="H1103" s="21">
        <v>45822</v>
      </c>
      <c r="I1103" s="41">
        <f>IFERROR(VLOOKUP(TA[[#This Row],[Date]],Raw_Data[[Date]:[Sunset Time (POA&lt;20 W/m2)]],3,0),"")</f>
        <v>0.25208333333333333</v>
      </c>
      <c r="J1103" s="41">
        <f>IFERROR(VLOOKUP(TA[[#This Row],[Date]],Raw_Data[[Date]:[Sunset Time (POA&lt;20 W/m2)]],4,0),"")</f>
        <v>0.78263888888888888</v>
      </c>
      <c r="K1103" s="35">
        <f>IFERROR((TA[[#This Row],[Sunset Time (POA&lt;20 W/m2)]]-TA[[#This Row],[Sunrise Time (POA&gt;20 W/m2)]])*24,"")</f>
        <v>12.733333333333334</v>
      </c>
      <c r="L1103" s="2" t="s">
        <v>296</v>
      </c>
      <c r="M1103" s="42">
        <f>IFERROR(VLOOKUP(TA[[#This Row],[Affected Equipment]],'Basic Data'!$I$2:$K$40,3,0),"")</f>
        <v>8.6206896551724102E-3</v>
      </c>
      <c r="N1103">
        <v>-28</v>
      </c>
      <c r="O1103" t="s">
        <v>135</v>
      </c>
      <c r="P1103" s="127" t="s">
        <v>318</v>
      </c>
      <c r="Q1103" s="2" t="s">
        <v>321</v>
      </c>
      <c r="R1103">
        <v>133</v>
      </c>
      <c r="S1103" s="2">
        <v>26</v>
      </c>
      <c r="T1103" t="s">
        <v>297</v>
      </c>
      <c r="U1103" t="s">
        <v>300</v>
      </c>
      <c r="V1103" t="s">
        <v>314</v>
      </c>
      <c r="W1103" s="41">
        <f>IFERROR(VLOOKUP(TA[[#This Row],[Date]],Raw_Data[[Date]:[Sunset Time (POA&lt;20 W/m2)]],3,0),"")</f>
        <v>0.25208333333333333</v>
      </c>
      <c r="X1103" s="41">
        <f>IFERROR(VLOOKUP(TA[[#This Row],[Date]],Raw_Data[[Date]:[Sunset Time (POA&lt;20 W/m2)]],3,0),"")</f>
        <v>0.25208333333333333</v>
      </c>
      <c r="Y1103" s="34"/>
      <c r="Z1103" s="34">
        <v>0.76041666666666663</v>
      </c>
      <c r="AA1103" s="35">
        <f>IF(TA[[#This Row],[Work Start time on Fault]]="NA","",(TA[[#This Row],[Fault Acknowledgement Time ]]-TA[[#This Row],[Fault Time]])*24)</f>
        <v>0</v>
      </c>
      <c r="AB1103" s="35">
        <f>(TA[[#This Row],[Work Start time on Fault]]-TA[[#This Row],[Fault Time]])*24</f>
        <v>-6.05</v>
      </c>
      <c r="AC1103" s="34">
        <f>(TA[[#This Row],[Work Completion time on fault]]-TA[[#This Row],[Fault Time]])*24</f>
        <v>12.2</v>
      </c>
      <c r="AD1103" s="35">
        <f>IFERROR((TA[[#This Row],[Work Completion time on fault]]-TA[[#This Row],[Fault Time]])*24,"")</f>
        <v>12.2</v>
      </c>
      <c r="AE1103" t="s">
        <v>328</v>
      </c>
      <c r="AF1103" t="s">
        <v>256</v>
      </c>
      <c r="AG1103" s="2"/>
      <c r="AH1103" s="44">
        <f>1-COS(RADIANS(TA[[#This Row],[Avg. Target Angle during Fault Time (Radians)]]-TA[[#This Row],[Angle of affected equipment ]]))</f>
        <v>0.11705240714107301</v>
      </c>
      <c r="AI1103" s="35">
        <f>IFERROR(TA[[#This Row],[Breakdown Time]]*TA[[#This Row],[Plant Equivalent Weightage]],"")</f>
        <v>0.10517241379310339</v>
      </c>
    </row>
    <row r="1104" spans="1:35">
      <c r="A1104" s="2">
        <f t="shared" si="109"/>
        <v>1101</v>
      </c>
      <c r="B1104" s="156">
        <f t="shared" si="114"/>
        <v>2026</v>
      </c>
      <c r="C1104" s="129">
        <f t="shared" si="115"/>
        <v>2025</v>
      </c>
      <c r="D1104" s="2" t="s">
        <v>155</v>
      </c>
      <c r="E1104" s="2" t="s">
        <v>155</v>
      </c>
      <c r="F1104" s="39">
        <v>45809</v>
      </c>
      <c r="G1104" s="2">
        <f>DAY(EOMONTH(TA[[#This Row],[Month Year]],0))</f>
        <v>30</v>
      </c>
      <c r="H1104" s="21">
        <v>45822</v>
      </c>
      <c r="I1104" s="41">
        <f>IFERROR(VLOOKUP(TA[[#This Row],[Date]],Raw_Data[[Date]:[Sunset Time (POA&lt;20 W/m2)]],3,0),"")</f>
        <v>0.25208333333333333</v>
      </c>
      <c r="J1104" s="41">
        <f>IFERROR(VLOOKUP(TA[[#This Row],[Date]],Raw_Data[[Date]:[Sunset Time (POA&lt;20 W/m2)]],4,0),"")</f>
        <v>0.78263888888888888</v>
      </c>
      <c r="K1104" s="35">
        <f>IFERROR((TA[[#This Row],[Sunset Time (POA&lt;20 W/m2)]]-TA[[#This Row],[Sunrise Time (POA&gt;20 W/m2)]])*24,"")</f>
        <v>12.733333333333334</v>
      </c>
      <c r="L1104" s="2" t="s">
        <v>294</v>
      </c>
      <c r="M1104" s="42">
        <f>IFERROR(VLOOKUP(TA[[#This Row],[Affected Equipment]],'Basic Data'!$I$2:$K$40,3,0),"")</f>
        <v>1.7241379310344799E-3</v>
      </c>
      <c r="N1104">
        <v>-28</v>
      </c>
      <c r="O1104" t="s">
        <v>133</v>
      </c>
      <c r="P1104" s="127" t="s">
        <v>316</v>
      </c>
      <c r="Q1104" s="126" t="s">
        <v>317</v>
      </c>
      <c r="R1104">
        <v>7</v>
      </c>
      <c r="S1104" s="2">
        <v>32</v>
      </c>
      <c r="T1104" t="s">
        <v>295</v>
      </c>
      <c r="U1104" t="s">
        <v>300</v>
      </c>
      <c r="V1104" t="s">
        <v>298</v>
      </c>
      <c r="W1104" s="41"/>
      <c r="X1104" s="41"/>
      <c r="Y1104" s="34"/>
      <c r="Z1104" s="34"/>
      <c r="AA1104" s="35">
        <f>IF(TA[[#This Row],[Work Start time on Fault]]="NA","",(TA[[#This Row],[Fault Acknowledgement Time ]]-TA[[#This Row],[Fault Time]])*24)</f>
        <v>0</v>
      </c>
      <c r="AB1104" s="35">
        <f>(TA[[#This Row],[Work Start time on Fault]]-TA[[#This Row],[Fault Time]])*24</f>
        <v>0</v>
      </c>
      <c r="AC1104" s="34">
        <f>(TA[[#This Row],[Work Completion time on fault]]-TA[[#This Row],[Fault Time]])*24</f>
        <v>0</v>
      </c>
      <c r="AD1104" s="35">
        <f>IFERROR((TA[[#This Row],[Work Completion time on fault]]-TA[[#This Row],[Fault Time]])*24,"")</f>
        <v>0</v>
      </c>
      <c r="AE1104" t="s">
        <v>328</v>
      </c>
      <c r="AF1104" t="s">
        <v>256</v>
      </c>
      <c r="AG1104" s="2"/>
      <c r="AH1104" s="44">
        <f>1-COS(RADIANS(TA[[#This Row],[Avg. Target Angle during Fault Time (Radians)]]-TA[[#This Row],[Angle of affected equipment ]]))</f>
        <v>0.11705240714107301</v>
      </c>
      <c r="AI1104" s="35">
        <f>IFERROR(TA[[#This Row],[Breakdown Time]]*TA[[#This Row],[Plant Equivalent Weightage]],"")</f>
        <v>0</v>
      </c>
    </row>
    <row r="1105" spans="1:35">
      <c r="A1105" s="2">
        <f t="shared" si="109"/>
        <v>1102</v>
      </c>
      <c r="B1105" s="156">
        <f t="shared" si="114"/>
        <v>2026</v>
      </c>
      <c r="C1105" s="129">
        <f t="shared" si="115"/>
        <v>2025</v>
      </c>
      <c r="D1105" s="2" t="s">
        <v>155</v>
      </c>
      <c r="E1105" s="2" t="s">
        <v>155</v>
      </c>
      <c r="F1105" s="39">
        <v>45809</v>
      </c>
      <c r="G1105" s="2">
        <f>DAY(EOMONTH(TA[[#This Row],[Month Year]],0))</f>
        <v>30</v>
      </c>
      <c r="H1105" s="21">
        <v>45822</v>
      </c>
      <c r="I1105" s="41">
        <f>IFERROR(VLOOKUP(TA[[#This Row],[Date]],Raw_Data[[Date]:[Sunset Time (POA&lt;20 W/m2)]],3,0),"")</f>
        <v>0.25208333333333333</v>
      </c>
      <c r="J1105" s="41">
        <f>IFERROR(VLOOKUP(TA[[#This Row],[Date]],Raw_Data[[Date]:[Sunset Time (POA&lt;20 W/m2)]],4,0),"")</f>
        <v>0.78263888888888888</v>
      </c>
      <c r="K1105" s="35">
        <f>IFERROR((TA[[#This Row],[Sunset Time (POA&lt;20 W/m2)]]-TA[[#This Row],[Sunrise Time (POA&gt;20 W/m2)]])*24,"")</f>
        <v>12.733333333333334</v>
      </c>
      <c r="L1105" s="2" t="s">
        <v>294</v>
      </c>
      <c r="M1105" s="42">
        <f>IFERROR(VLOOKUP(TA[[#This Row],[Affected Equipment]],'Basic Data'!$I$2:$K$40,3,0),"")</f>
        <v>1.7241379310344799E-3</v>
      </c>
      <c r="N1105">
        <v>-28</v>
      </c>
      <c r="O1105" t="s">
        <v>137</v>
      </c>
      <c r="P1105" s="127" t="s">
        <v>315</v>
      </c>
      <c r="Q1105" s="126" t="s">
        <v>319</v>
      </c>
      <c r="R1105">
        <v>166</v>
      </c>
      <c r="S1105" s="2">
        <v>91</v>
      </c>
      <c r="T1105" t="s">
        <v>295</v>
      </c>
      <c r="U1105" t="s">
        <v>300</v>
      </c>
      <c r="V1105" t="s">
        <v>298</v>
      </c>
      <c r="W1105" s="41"/>
      <c r="X1105" s="41"/>
      <c r="Y1105" s="34"/>
      <c r="Z1105" s="34"/>
      <c r="AA1105" s="35">
        <f>IF(TA[[#This Row],[Work Start time on Fault]]="NA","",(TA[[#This Row],[Fault Acknowledgement Time ]]-TA[[#This Row],[Fault Time]])*24)</f>
        <v>0</v>
      </c>
      <c r="AB1105" s="35">
        <f>(TA[[#This Row],[Work Start time on Fault]]-TA[[#This Row],[Fault Time]])*24</f>
        <v>0</v>
      </c>
      <c r="AC1105" s="34">
        <f>(TA[[#This Row],[Work Completion time on fault]]-TA[[#This Row],[Fault Time]])*24</f>
        <v>0</v>
      </c>
      <c r="AD1105" s="35">
        <f>IFERROR((TA[[#This Row],[Work Completion time on fault]]-TA[[#This Row],[Fault Time]])*24,"")</f>
        <v>0</v>
      </c>
      <c r="AE1105" t="s">
        <v>328</v>
      </c>
      <c r="AF1105" t="s">
        <v>256</v>
      </c>
      <c r="AG1105" s="2"/>
      <c r="AH1105" s="44">
        <f>1-COS(RADIANS(TA[[#This Row],[Avg. Target Angle during Fault Time (Radians)]]-TA[[#This Row],[Angle of affected equipment ]]))</f>
        <v>0.11705240714107301</v>
      </c>
      <c r="AI1105" s="35">
        <f>IFERROR(TA[[#This Row],[Breakdown Time]]*TA[[#This Row],[Plant Equivalent Weightage]],"")</f>
        <v>0</v>
      </c>
    </row>
    <row r="1106" spans="1:35">
      <c r="A1106" s="2">
        <f t="shared" si="109"/>
        <v>1103</v>
      </c>
      <c r="B1106" s="156">
        <f t="shared" si="114"/>
        <v>2026</v>
      </c>
      <c r="C1106" s="129">
        <f t="shared" si="115"/>
        <v>2025</v>
      </c>
      <c r="D1106" s="2" t="s">
        <v>155</v>
      </c>
      <c r="E1106" s="2" t="s">
        <v>155</v>
      </c>
      <c r="F1106" s="39">
        <v>45809</v>
      </c>
      <c r="G1106" s="2">
        <f>DAY(EOMONTH(TA[[#This Row],[Month Year]],0))</f>
        <v>30</v>
      </c>
      <c r="H1106" s="21">
        <v>45822</v>
      </c>
      <c r="I1106" s="41">
        <f>IFERROR(VLOOKUP(TA[[#This Row],[Date]],Raw_Data[[Date]:[Sunset Time (POA&lt;20 W/m2)]],3,0),"")</f>
        <v>0.25208333333333333</v>
      </c>
      <c r="J1106" s="41">
        <f>IFERROR(VLOOKUP(TA[[#This Row],[Date]],Raw_Data[[Date]:[Sunset Time (POA&lt;20 W/m2)]],4,0),"")</f>
        <v>0.78263888888888888</v>
      </c>
      <c r="K1106" s="35">
        <f>IFERROR((TA[[#This Row],[Sunset Time (POA&lt;20 W/m2)]]-TA[[#This Row],[Sunrise Time (POA&gt;20 W/m2)]])*24,"")</f>
        <v>12.733333333333334</v>
      </c>
      <c r="L1106" s="2" t="s">
        <v>294</v>
      </c>
      <c r="M1106" s="42">
        <f>IFERROR(VLOOKUP(TA[[#This Row],[Affected Equipment]],'Basic Data'!$I$2:$K$40,3,0),"")</f>
        <v>1.7241379310344799E-3</v>
      </c>
      <c r="N1106">
        <v>-28</v>
      </c>
      <c r="O1106" t="s">
        <v>133</v>
      </c>
      <c r="P1106" s="127" t="s">
        <v>316</v>
      </c>
      <c r="Q1106" s="126" t="s">
        <v>316</v>
      </c>
      <c r="R1106">
        <v>117</v>
      </c>
      <c r="S1106" s="2">
        <v>20</v>
      </c>
      <c r="T1106" t="s">
        <v>295</v>
      </c>
      <c r="U1106" t="s">
        <v>300</v>
      </c>
      <c r="V1106" t="s">
        <v>298</v>
      </c>
      <c r="W1106" s="41"/>
      <c r="X1106" s="41"/>
      <c r="Y1106" s="34"/>
      <c r="Z1106" s="34"/>
      <c r="AA1106" s="35">
        <f>IF(TA[[#This Row],[Work Start time on Fault]]="NA","",(TA[[#This Row],[Fault Acknowledgement Time ]]-TA[[#This Row],[Fault Time]])*24)</f>
        <v>0</v>
      </c>
      <c r="AB1106" s="35">
        <f>(TA[[#This Row],[Work Start time on Fault]]-TA[[#This Row],[Fault Time]])*24</f>
        <v>0</v>
      </c>
      <c r="AC1106" s="34">
        <f>(TA[[#This Row],[Work Completion time on fault]]-TA[[#This Row],[Fault Time]])*24</f>
        <v>0</v>
      </c>
      <c r="AD1106" s="35">
        <f>IFERROR((TA[[#This Row],[Work Completion time on fault]]-TA[[#This Row],[Fault Time]])*24,"")</f>
        <v>0</v>
      </c>
      <c r="AE1106" t="s">
        <v>328</v>
      </c>
      <c r="AF1106" t="s">
        <v>256</v>
      </c>
      <c r="AG1106" s="2"/>
      <c r="AH1106" s="44">
        <f>1-COS(RADIANS(TA[[#This Row],[Avg. Target Angle during Fault Time (Radians)]]-TA[[#This Row],[Angle of affected equipment ]]))</f>
        <v>0.11705240714107301</v>
      </c>
      <c r="AI1106" s="35">
        <f>IFERROR(TA[[#This Row],[Breakdown Time]]*TA[[#This Row],[Plant Equivalent Weightage]],"")</f>
        <v>0</v>
      </c>
    </row>
    <row r="1107" spans="1:35">
      <c r="A1107" s="2">
        <f t="shared" si="109"/>
        <v>1104</v>
      </c>
      <c r="B1107" s="156">
        <f t="shared" si="114"/>
        <v>2026</v>
      </c>
      <c r="C1107" s="129">
        <f t="shared" si="115"/>
        <v>2025</v>
      </c>
      <c r="D1107" s="2" t="s">
        <v>155</v>
      </c>
      <c r="E1107" s="2" t="s">
        <v>155</v>
      </c>
      <c r="F1107" s="39">
        <v>45809</v>
      </c>
      <c r="G1107" s="2">
        <f>DAY(EOMONTH(TA[[#This Row],[Month Year]],0))</f>
        <v>30</v>
      </c>
      <c r="H1107" s="21">
        <v>45822</v>
      </c>
      <c r="I1107" s="41">
        <f>IFERROR(VLOOKUP(TA[[#This Row],[Date]],Raw_Data[[Date]:[Sunset Time (POA&lt;20 W/m2)]],3,0),"")</f>
        <v>0.25208333333333333</v>
      </c>
      <c r="J1107" s="41">
        <f>IFERROR(VLOOKUP(TA[[#This Row],[Date]],Raw_Data[[Date]:[Sunset Time (POA&lt;20 W/m2)]],4,0),"")</f>
        <v>0.78263888888888888</v>
      </c>
      <c r="K1107" s="35">
        <f>IFERROR((TA[[#This Row],[Sunset Time (POA&lt;20 W/m2)]]-TA[[#This Row],[Sunrise Time (POA&gt;20 W/m2)]])*24,"")</f>
        <v>12.733333333333334</v>
      </c>
      <c r="L1107" s="2" t="s">
        <v>294</v>
      </c>
      <c r="M1107" s="42">
        <f>IFERROR(VLOOKUP(TA[[#This Row],[Affected Equipment]],'Basic Data'!$I$2:$K$40,3,0),"")</f>
        <v>1.7241379310344799E-3</v>
      </c>
      <c r="N1107">
        <v>-28</v>
      </c>
      <c r="O1107" t="s">
        <v>133</v>
      </c>
      <c r="P1107" s="127" t="s">
        <v>316</v>
      </c>
      <c r="Q1107" s="126" t="s">
        <v>316</v>
      </c>
      <c r="R1107">
        <v>118</v>
      </c>
      <c r="S1107" s="2">
        <v>22</v>
      </c>
      <c r="T1107" t="s">
        <v>295</v>
      </c>
      <c r="U1107" t="s">
        <v>300</v>
      </c>
      <c r="V1107" t="s">
        <v>298</v>
      </c>
      <c r="W1107" s="41"/>
      <c r="X1107" s="41"/>
      <c r="Y1107" s="34"/>
      <c r="Z1107" s="34"/>
      <c r="AA1107" s="35">
        <f>IF(TA[[#This Row],[Work Start time on Fault]]="NA","",(TA[[#This Row],[Fault Acknowledgement Time ]]-TA[[#This Row],[Fault Time]])*24)</f>
        <v>0</v>
      </c>
      <c r="AB1107" s="35">
        <f>(TA[[#This Row],[Work Start time on Fault]]-TA[[#This Row],[Fault Time]])*24</f>
        <v>0</v>
      </c>
      <c r="AC1107" s="34">
        <f>(TA[[#This Row],[Work Completion time on fault]]-TA[[#This Row],[Fault Time]])*24</f>
        <v>0</v>
      </c>
      <c r="AD1107" s="35">
        <f>IFERROR((TA[[#This Row],[Work Completion time on fault]]-TA[[#This Row],[Fault Time]])*24,"")</f>
        <v>0</v>
      </c>
      <c r="AE1107" t="s">
        <v>328</v>
      </c>
      <c r="AF1107" t="s">
        <v>256</v>
      </c>
      <c r="AG1107" s="2"/>
      <c r="AH1107" s="44">
        <f>1-COS(RADIANS(TA[[#This Row],[Avg. Target Angle during Fault Time (Radians)]]-TA[[#This Row],[Angle of affected equipment ]]))</f>
        <v>0.11705240714107301</v>
      </c>
      <c r="AI1107" s="35">
        <f>IFERROR(TA[[#This Row],[Breakdown Time]]*TA[[#This Row],[Plant Equivalent Weightage]],"")</f>
        <v>0</v>
      </c>
    </row>
    <row r="1108" spans="1:35">
      <c r="A1108" s="2">
        <f t="shared" si="109"/>
        <v>1105</v>
      </c>
      <c r="B1108" s="156">
        <f t="shared" si="114"/>
        <v>2026</v>
      </c>
      <c r="C1108" s="129">
        <f t="shared" si="115"/>
        <v>2025</v>
      </c>
      <c r="D1108" s="2" t="s">
        <v>155</v>
      </c>
      <c r="E1108" s="2" t="s">
        <v>155</v>
      </c>
      <c r="F1108" s="39">
        <v>45809</v>
      </c>
      <c r="G1108" s="2">
        <f>DAY(EOMONTH(TA[[#This Row],[Month Year]],0))</f>
        <v>30</v>
      </c>
      <c r="H1108" s="21">
        <v>45822</v>
      </c>
      <c r="I1108" s="41">
        <f>IFERROR(VLOOKUP(TA[[#This Row],[Date]],Raw_Data[[Date]:[Sunset Time (POA&lt;20 W/m2)]],3,0),"")</f>
        <v>0.25208333333333333</v>
      </c>
      <c r="J1108" s="41">
        <f>IFERROR(VLOOKUP(TA[[#This Row],[Date]],Raw_Data[[Date]:[Sunset Time (POA&lt;20 W/m2)]],4,0),"")</f>
        <v>0.78263888888888888</v>
      </c>
      <c r="K1108" s="35">
        <f>IFERROR((TA[[#This Row],[Sunset Time (POA&lt;20 W/m2)]]-TA[[#This Row],[Sunrise Time (POA&gt;20 W/m2)]])*24,"")</f>
        <v>12.733333333333334</v>
      </c>
      <c r="L1108" s="2" t="s">
        <v>296</v>
      </c>
      <c r="M1108" s="42">
        <f>IFERROR(VLOOKUP(TA[[#This Row],[Affected Equipment]],'Basic Data'!$I$2:$K$40,3,0),"")</f>
        <v>8.6206896551724102E-3</v>
      </c>
      <c r="N1108">
        <v>-28</v>
      </c>
      <c r="O1108" t="s">
        <v>135</v>
      </c>
      <c r="P1108" s="22" t="s">
        <v>323</v>
      </c>
      <c r="Q1108" s="2" t="s">
        <v>329</v>
      </c>
      <c r="R1108">
        <v>45</v>
      </c>
      <c r="S1108" s="2">
        <v>8</v>
      </c>
      <c r="T1108" t="s">
        <v>297</v>
      </c>
      <c r="U1108" t="s">
        <v>300</v>
      </c>
      <c r="V1108" t="s">
        <v>301</v>
      </c>
      <c r="W1108" s="41"/>
      <c r="X1108" s="41"/>
      <c r="Y1108" s="34"/>
      <c r="Z1108" s="34"/>
      <c r="AA1108" s="35">
        <f>IF(TA[[#This Row],[Work Start time on Fault]]="NA","",(TA[[#This Row],[Fault Acknowledgement Time ]]-TA[[#This Row],[Fault Time]])*24)</f>
        <v>0</v>
      </c>
      <c r="AB1108" s="35">
        <f>(TA[[#This Row],[Work Start time on Fault]]-TA[[#This Row],[Fault Time]])*24</f>
        <v>0</v>
      </c>
      <c r="AC1108" s="34">
        <f>(TA[[#This Row],[Work Completion time on fault]]-TA[[#This Row],[Fault Time]])*24</f>
        <v>0</v>
      </c>
      <c r="AD1108" s="35">
        <f>IFERROR((TA[[#This Row],[Work Completion time on fault]]-TA[[#This Row],[Fault Time]])*24,"")</f>
        <v>0</v>
      </c>
      <c r="AE1108" t="s">
        <v>328</v>
      </c>
      <c r="AF1108" t="s">
        <v>256</v>
      </c>
      <c r="AG1108" s="2"/>
      <c r="AH1108" s="44">
        <f>1-COS(RADIANS(TA[[#This Row],[Avg. Target Angle during Fault Time (Radians)]]-TA[[#This Row],[Angle of affected equipment ]]))</f>
        <v>0.11705240714107301</v>
      </c>
      <c r="AI1108" s="35">
        <f>IFERROR(TA[[#This Row],[Breakdown Time]]*TA[[#This Row],[Plant Equivalent Weightage]],"")</f>
        <v>0</v>
      </c>
    </row>
    <row r="1109" spans="1:35">
      <c r="A1109" s="2">
        <f t="shared" si="109"/>
        <v>1106</v>
      </c>
      <c r="B1109" s="156">
        <f t="shared" si="114"/>
        <v>2026</v>
      </c>
      <c r="C1109" s="129">
        <f t="shared" si="115"/>
        <v>2025</v>
      </c>
      <c r="D1109" s="2" t="s">
        <v>155</v>
      </c>
      <c r="E1109" s="2" t="s">
        <v>155</v>
      </c>
      <c r="F1109" s="39">
        <v>45809</v>
      </c>
      <c r="G1109" s="2">
        <f>DAY(EOMONTH(TA[[#This Row],[Month Year]],0))</f>
        <v>30</v>
      </c>
      <c r="H1109" s="21">
        <v>45822</v>
      </c>
      <c r="I1109" s="41">
        <f>IFERROR(VLOOKUP(TA[[#This Row],[Date]],Raw_Data[[Date]:[Sunset Time (POA&lt;20 W/m2)]],3,0),"")</f>
        <v>0.25208333333333333</v>
      </c>
      <c r="J1109" s="41">
        <f>IFERROR(VLOOKUP(TA[[#This Row],[Date]],Raw_Data[[Date]:[Sunset Time (POA&lt;20 W/m2)]],4,0),"")</f>
        <v>0.78263888888888888</v>
      </c>
      <c r="K1109" s="35">
        <f>IFERROR((TA[[#This Row],[Sunset Time (POA&lt;20 W/m2)]]-TA[[#This Row],[Sunrise Time (POA&gt;20 W/m2)]])*24,"")</f>
        <v>12.733333333333334</v>
      </c>
      <c r="L1109" s="2" t="s">
        <v>296</v>
      </c>
      <c r="M1109" s="42">
        <f>IFERROR(VLOOKUP(TA[[#This Row],[Affected Equipment]],'Basic Data'!$I$2:$K$40,3,0),"")</f>
        <v>8.6206896551724102E-3</v>
      </c>
      <c r="N1109">
        <v>-28</v>
      </c>
      <c r="O1109" t="s">
        <v>135</v>
      </c>
      <c r="P1109" s="22" t="s">
        <v>323</v>
      </c>
      <c r="Q1109" s="2" t="s">
        <v>329</v>
      </c>
      <c r="R1109">
        <v>47</v>
      </c>
      <c r="S1109" s="2">
        <v>18</v>
      </c>
      <c r="T1109" t="s">
        <v>297</v>
      </c>
      <c r="U1109" t="s">
        <v>300</v>
      </c>
      <c r="V1109" t="s">
        <v>301</v>
      </c>
      <c r="W1109" s="41"/>
      <c r="X1109" s="41"/>
      <c r="Y1109" s="34"/>
      <c r="Z1109" s="34"/>
      <c r="AA1109" s="35">
        <f>IF(TA[[#This Row],[Work Start time on Fault]]="NA","",(TA[[#This Row],[Fault Acknowledgement Time ]]-TA[[#This Row],[Fault Time]])*24)</f>
        <v>0</v>
      </c>
      <c r="AB1109" s="35">
        <f>(TA[[#This Row],[Work Start time on Fault]]-TA[[#This Row],[Fault Time]])*24</f>
        <v>0</v>
      </c>
      <c r="AC1109" s="34">
        <f>(TA[[#This Row],[Work Completion time on fault]]-TA[[#This Row],[Fault Time]])*24</f>
        <v>0</v>
      </c>
      <c r="AD1109" s="35">
        <f>IFERROR((TA[[#This Row],[Work Completion time on fault]]-TA[[#This Row],[Fault Time]])*24,"")</f>
        <v>0</v>
      </c>
      <c r="AE1109" t="s">
        <v>328</v>
      </c>
      <c r="AF1109" t="s">
        <v>256</v>
      </c>
      <c r="AG1109" s="2"/>
      <c r="AH1109" s="44">
        <f>1-COS(RADIANS(TA[[#This Row],[Avg. Target Angle during Fault Time (Radians)]]-TA[[#This Row],[Angle of affected equipment ]]))</f>
        <v>0.11705240714107301</v>
      </c>
      <c r="AI1109" s="35">
        <f>IFERROR(TA[[#This Row],[Breakdown Time]]*TA[[#This Row],[Plant Equivalent Weightage]],"")</f>
        <v>0</v>
      </c>
    </row>
    <row r="1110" spans="1:35">
      <c r="A1110" s="2">
        <f t="shared" si="109"/>
        <v>1107</v>
      </c>
      <c r="B1110" s="156">
        <f t="shared" si="114"/>
        <v>2026</v>
      </c>
      <c r="C1110" s="129">
        <f t="shared" si="115"/>
        <v>2025</v>
      </c>
      <c r="D1110" s="2" t="s">
        <v>155</v>
      </c>
      <c r="E1110" s="2" t="s">
        <v>155</v>
      </c>
      <c r="F1110" s="39">
        <v>45809</v>
      </c>
      <c r="G1110" s="2">
        <f>DAY(EOMONTH(TA[[#This Row],[Month Year]],0))</f>
        <v>30</v>
      </c>
      <c r="H1110" s="21">
        <v>45822</v>
      </c>
      <c r="I1110" s="41">
        <f>IFERROR(VLOOKUP(TA[[#This Row],[Date]],Raw_Data[[Date]:[Sunset Time (POA&lt;20 W/m2)]],3,0),"")</f>
        <v>0.25208333333333333</v>
      </c>
      <c r="J1110" s="41">
        <f>IFERROR(VLOOKUP(TA[[#This Row],[Date]],Raw_Data[[Date]:[Sunset Time (POA&lt;20 W/m2)]],4,0),"")</f>
        <v>0.78263888888888888</v>
      </c>
      <c r="K1110" s="35">
        <f>IFERROR((TA[[#This Row],[Sunset Time (POA&lt;20 W/m2)]]-TA[[#This Row],[Sunrise Time (POA&gt;20 W/m2)]])*24,"")</f>
        <v>12.733333333333334</v>
      </c>
      <c r="L1110" s="2" t="s">
        <v>296</v>
      </c>
      <c r="M1110" s="42">
        <f>IFERROR(VLOOKUP(TA[[#This Row],[Affected Equipment]],'Basic Data'!$I$2:$K$40,3,0),"")</f>
        <v>8.6206896551724102E-3</v>
      </c>
      <c r="N1110">
        <v>-28</v>
      </c>
      <c r="O1110" t="s">
        <v>134</v>
      </c>
      <c r="P1110" s="22" t="s">
        <v>330</v>
      </c>
      <c r="Q1110" s="2" t="s">
        <v>323</v>
      </c>
      <c r="R1110">
        <v>30</v>
      </c>
      <c r="S1110" s="2">
        <v>57</v>
      </c>
      <c r="T1110" t="s">
        <v>297</v>
      </c>
      <c r="U1110" t="s">
        <v>300</v>
      </c>
      <c r="V1110" t="s">
        <v>301</v>
      </c>
      <c r="W1110" s="41"/>
      <c r="X1110" s="41"/>
      <c r="Y1110" s="34"/>
      <c r="Z1110" s="34"/>
      <c r="AA1110" s="35">
        <f>IF(TA[[#This Row],[Work Start time on Fault]]="NA","",(TA[[#This Row],[Fault Acknowledgement Time ]]-TA[[#This Row],[Fault Time]])*24)</f>
        <v>0</v>
      </c>
      <c r="AB1110" s="35">
        <f>(TA[[#This Row],[Work Start time on Fault]]-TA[[#This Row],[Fault Time]])*24</f>
        <v>0</v>
      </c>
      <c r="AC1110" s="34">
        <f>(TA[[#This Row],[Work Completion time on fault]]-TA[[#This Row],[Fault Time]])*24</f>
        <v>0</v>
      </c>
      <c r="AD1110" s="35">
        <f>IFERROR((TA[[#This Row],[Work Completion time on fault]]-TA[[#This Row],[Fault Time]])*24,"")</f>
        <v>0</v>
      </c>
      <c r="AE1110" t="s">
        <v>328</v>
      </c>
      <c r="AF1110" t="s">
        <v>256</v>
      </c>
      <c r="AG1110" s="2"/>
      <c r="AH1110" s="44">
        <f>1-COS(RADIANS(TA[[#This Row],[Avg. Target Angle during Fault Time (Radians)]]-TA[[#This Row],[Angle of affected equipment ]]))</f>
        <v>0.11705240714107301</v>
      </c>
      <c r="AI1110" s="35">
        <f>IFERROR(TA[[#This Row],[Breakdown Time]]*TA[[#This Row],[Plant Equivalent Weightage]],"")</f>
        <v>0</v>
      </c>
    </row>
    <row r="1111" spans="1:35">
      <c r="A1111" s="2">
        <f t="shared" si="109"/>
        <v>1108</v>
      </c>
      <c r="B1111" s="156">
        <f t="shared" si="114"/>
        <v>2026</v>
      </c>
      <c r="C1111" s="129">
        <f t="shared" si="115"/>
        <v>2025</v>
      </c>
      <c r="D1111" s="2" t="s">
        <v>155</v>
      </c>
      <c r="E1111" s="2" t="s">
        <v>155</v>
      </c>
      <c r="F1111" s="39">
        <v>45809</v>
      </c>
      <c r="G1111" s="2">
        <f>DAY(EOMONTH(TA[[#This Row],[Month Year]],0))</f>
        <v>30</v>
      </c>
      <c r="H1111" s="21">
        <v>45822</v>
      </c>
      <c r="I1111" s="41">
        <f>IFERROR(VLOOKUP(TA[[#This Row],[Date]],Raw_Data[[Date]:[Sunset Time (POA&lt;20 W/m2)]],3,0),"")</f>
        <v>0.25208333333333333</v>
      </c>
      <c r="J1111" s="41">
        <f>IFERROR(VLOOKUP(TA[[#This Row],[Date]],Raw_Data[[Date]:[Sunset Time (POA&lt;20 W/m2)]],4,0),"")</f>
        <v>0.78263888888888888</v>
      </c>
      <c r="K1111" s="35">
        <f>IFERROR((TA[[#This Row],[Sunset Time (POA&lt;20 W/m2)]]-TA[[#This Row],[Sunrise Time (POA&gt;20 W/m2)]])*24,"")</f>
        <v>12.733333333333334</v>
      </c>
      <c r="L1111" s="2" t="s">
        <v>296</v>
      </c>
      <c r="M1111" s="42">
        <f>IFERROR(VLOOKUP(TA[[#This Row],[Affected Equipment]],'Basic Data'!$I$2:$K$40,3,0),"")</f>
        <v>8.6206896551724102E-3</v>
      </c>
      <c r="N1111">
        <v>-28</v>
      </c>
      <c r="O1111" t="s">
        <v>134</v>
      </c>
      <c r="P1111" s="22" t="s">
        <v>330</v>
      </c>
      <c r="Q1111" s="2" t="s">
        <v>323</v>
      </c>
      <c r="R1111">
        <v>31</v>
      </c>
      <c r="S1111" s="2">
        <v>61</v>
      </c>
      <c r="T1111" t="s">
        <v>297</v>
      </c>
      <c r="U1111" t="s">
        <v>300</v>
      </c>
      <c r="V1111" t="s">
        <v>301</v>
      </c>
      <c r="W1111" s="41"/>
      <c r="X1111" s="41"/>
      <c r="Y1111" s="34"/>
      <c r="Z1111" s="34"/>
      <c r="AA1111" s="35">
        <f>IF(TA[[#This Row],[Work Start time on Fault]]="NA","",(TA[[#This Row],[Fault Acknowledgement Time ]]-TA[[#This Row],[Fault Time]])*24)</f>
        <v>0</v>
      </c>
      <c r="AB1111" s="35">
        <f>(TA[[#This Row],[Work Start time on Fault]]-TA[[#This Row],[Fault Time]])*24</f>
        <v>0</v>
      </c>
      <c r="AC1111" s="34">
        <f>(TA[[#This Row],[Work Completion time on fault]]-TA[[#This Row],[Fault Time]])*24</f>
        <v>0</v>
      </c>
      <c r="AD1111" s="35">
        <f>IFERROR((TA[[#This Row],[Work Completion time on fault]]-TA[[#This Row],[Fault Time]])*24,"")</f>
        <v>0</v>
      </c>
      <c r="AE1111" t="s">
        <v>328</v>
      </c>
      <c r="AF1111" t="s">
        <v>256</v>
      </c>
      <c r="AG1111" s="2"/>
      <c r="AH1111" s="44">
        <f>1-COS(RADIANS(TA[[#This Row],[Avg. Target Angle during Fault Time (Radians)]]-TA[[#This Row],[Angle of affected equipment ]]))</f>
        <v>0.11705240714107301</v>
      </c>
      <c r="AI1111" s="35">
        <f>IFERROR(TA[[#This Row],[Breakdown Time]]*TA[[#This Row],[Plant Equivalent Weightage]],"")</f>
        <v>0</v>
      </c>
    </row>
    <row r="1112" spans="1:35">
      <c r="A1112" s="2">
        <f t="shared" si="109"/>
        <v>1109</v>
      </c>
      <c r="B1112" s="156">
        <f t="shared" si="114"/>
        <v>2026</v>
      </c>
      <c r="C1112" s="129">
        <f t="shared" si="115"/>
        <v>2025</v>
      </c>
      <c r="D1112" s="2" t="s">
        <v>155</v>
      </c>
      <c r="E1112" s="2" t="s">
        <v>155</v>
      </c>
      <c r="F1112" s="39">
        <v>45809</v>
      </c>
      <c r="G1112" s="2">
        <f>DAY(EOMONTH(TA[[#This Row],[Month Year]],0))</f>
        <v>30</v>
      </c>
      <c r="H1112" s="21">
        <v>45822</v>
      </c>
      <c r="I1112" s="41">
        <f>IFERROR(VLOOKUP(TA[[#This Row],[Date]],Raw_Data[[Date]:[Sunset Time (POA&lt;20 W/m2)]],3,0),"")</f>
        <v>0.25208333333333333</v>
      </c>
      <c r="J1112" s="41">
        <f>IFERROR(VLOOKUP(TA[[#This Row],[Date]],Raw_Data[[Date]:[Sunset Time (POA&lt;20 W/m2)]],4,0),"")</f>
        <v>0.78263888888888888</v>
      </c>
      <c r="K1112" s="35">
        <f>IFERROR((TA[[#This Row],[Sunset Time (POA&lt;20 W/m2)]]-TA[[#This Row],[Sunrise Time (POA&gt;20 W/m2)]])*24,"")</f>
        <v>12.733333333333334</v>
      </c>
      <c r="L1112" s="2" t="s">
        <v>312</v>
      </c>
      <c r="M1112" s="42">
        <f>IFERROR(VLOOKUP(TA[[#This Row],[Affected Equipment]],'Basic Data'!$I$2:$K$40,3,0),"")</f>
        <v>5.74712643678161E-3</v>
      </c>
      <c r="N1112">
        <v>-28</v>
      </c>
      <c r="O1112" t="s">
        <v>133</v>
      </c>
      <c r="P1112" s="22" t="s">
        <v>330</v>
      </c>
      <c r="Q1112" s="2" t="s">
        <v>323</v>
      </c>
      <c r="R1112">
        <v>26</v>
      </c>
      <c r="S1112" s="2">
        <v>37</v>
      </c>
      <c r="T1112" t="s">
        <v>297</v>
      </c>
      <c r="U1112" t="s">
        <v>300</v>
      </c>
      <c r="V1112" t="s">
        <v>301</v>
      </c>
      <c r="W1112" s="41"/>
      <c r="X1112" s="41"/>
      <c r="Y1112" s="34"/>
      <c r="Z1112" s="34"/>
      <c r="AA1112" s="35">
        <f>IF(TA[[#This Row],[Work Start time on Fault]]="NA","",(TA[[#This Row],[Fault Acknowledgement Time ]]-TA[[#This Row],[Fault Time]])*24)</f>
        <v>0</v>
      </c>
      <c r="AB1112" s="35">
        <f>(TA[[#This Row],[Work Start time on Fault]]-TA[[#This Row],[Fault Time]])*24</f>
        <v>0</v>
      </c>
      <c r="AC1112" s="34">
        <f>(TA[[#This Row],[Work Completion time on fault]]-TA[[#This Row],[Fault Time]])*24</f>
        <v>0</v>
      </c>
      <c r="AD1112" s="35">
        <f>IFERROR((TA[[#This Row],[Work Completion time on fault]]-TA[[#This Row],[Fault Time]])*24,"")</f>
        <v>0</v>
      </c>
      <c r="AE1112" t="s">
        <v>328</v>
      </c>
      <c r="AF1112" t="s">
        <v>256</v>
      </c>
      <c r="AG1112" s="2"/>
      <c r="AH1112" s="44">
        <f>1-COS(RADIANS(TA[[#This Row],[Avg. Target Angle during Fault Time (Radians)]]-TA[[#This Row],[Angle of affected equipment ]]))</f>
        <v>0.11705240714107301</v>
      </c>
      <c r="AI1112" s="35">
        <f>IFERROR(TA[[#This Row],[Breakdown Time]]*TA[[#This Row],[Plant Equivalent Weightage]],"")</f>
        <v>0</v>
      </c>
    </row>
    <row r="1113" spans="1:35">
      <c r="A1113" s="2">
        <f t="shared" si="109"/>
        <v>1110</v>
      </c>
      <c r="B1113" s="156">
        <f t="shared" si="114"/>
        <v>2026</v>
      </c>
      <c r="C1113" s="129">
        <f t="shared" si="115"/>
        <v>2025</v>
      </c>
      <c r="D1113" s="2" t="s">
        <v>155</v>
      </c>
      <c r="E1113" s="2" t="s">
        <v>155</v>
      </c>
      <c r="F1113" s="39">
        <v>45809</v>
      </c>
      <c r="G1113" s="2">
        <f>DAY(EOMONTH(TA[[#This Row],[Month Year]],0))</f>
        <v>30</v>
      </c>
      <c r="H1113" s="21">
        <v>45822</v>
      </c>
      <c r="I1113" s="41">
        <f>IFERROR(VLOOKUP(TA[[#This Row],[Date]],Raw_Data[[Date]:[Sunset Time (POA&lt;20 W/m2)]],3,0),"")</f>
        <v>0.25208333333333333</v>
      </c>
      <c r="J1113" s="41">
        <f>IFERROR(VLOOKUP(TA[[#This Row],[Date]],Raw_Data[[Date]:[Sunset Time (POA&lt;20 W/m2)]],4,0),"")</f>
        <v>0.78263888888888888</v>
      </c>
      <c r="K1113" s="35">
        <f>IFERROR((TA[[#This Row],[Sunset Time (POA&lt;20 W/m2)]]-TA[[#This Row],[Sunrise Time (POA&gt;20 W/m2)]])*24,"")</f>
        <v>12.733333333333334</v>
      </c>
      <c r="L1113" s="2" t="s">
        <v>312</v>
      </c>
      <c r="M1113" s="42">
        <f>IFERROR(VLOOKUP(TA[[#This Row],[Affected Equipment]],'Basic Data'!$I$2:$K$40,3,0),"")</f>
        <v>5.74712643678161E-3</v>
      </c>
      <c r="N1113">
        <v>-28</v>
      </c>
      <c r="O1113" t="s">
        <v>133</v>
      </c>
      <c r="P1113" s="22" t="s">
        <v>330</v>
      </c>
      <c r="Q1113" s="2" t="s">
        <v>323</v>
      </c>
      <c r="R1113">
        <v>27</v>
      </c>
      <c r="S1113" s="2">
        <v>42</v>
      </c>
      <c r="T1113" t="s">
        <v>297</v>
      </c>
      <c r="U1113" t="s">
        <v>300</v>
      </c>
      <c r="V1113" t="s">
        <v>301</v>
      </c>
      <c r="W1113" s="41">
        <f>IFERROR(VLOOKUP(TA[[#This Row],[Date]],Raw_Data[[Date]:[Sunset Time (POA&lt;20 W/m2)]],3,0),"")</f>
        <v>0.25208333333333333</v>
      </c>
      <c r="X1113" s="41">
        <f>IFERROR(VLOOKUP(TA[[#This Row],[Date]],Raw_Data[[Date]:[Sunset Time (POA&lt;20 W/m2)]],3,0),"")</f>
        <v>0.25208333333333333</v>
      </c>
      <c r="Y1113" s="34"/>
      <c r="Z1113" s="34">
        <v>0.76041666666666663</v>
      </c>
      <c r="AA1113" s="35">
        <f>IF(TA[[#This Row],[Work Start time on Fault]]="NA","",(TA[[#This Row],[Fault Acknowledgement Time ]]-TA[[#This Row],[Fault Time]])*24)</f>
        <v>0</v>
      </c>
      <c r="AB1113" s="35">
        <f>(TA[[#This Row],[Work Start time on Fault]]-TA[[#This Row],[Fault Time]])*24</f>
        <v>-6.05</v>
      </c>
      <c r="AC1113" s="34">
        <f>(TA[[#This Row],[Work Completion time on fault]]-TA[[#This Row],[Fault Time]])*24</f>
        <v>12.2</v>
      </c>
      <c r="AD1113" s="35">
        <f>IFERROR((TA[[#This Row],[Work Completion time on fault]]-TA[[#This Row],[Fault Time]])*24,"")</f>
        <v>12.2</v>
      </c>
      <c r="AE1113" t="s">
        <v>309</v>
      </c>
      <c r="AF1113" t="s">
        <v>256</v>
      </c>
      <c r="AG1113" s="2"/>
      <c r="AH1113" s="44">
        <f>1-COS(RADIANS(TA[[#This Row],[Avg. Target Angle during Fault Time (Radians)]]-TA[[#This Row],[Angle of affected equipment ]]))</f>
        <v>0.11705240714107301</v>
      </c>
      <c r="AI1113" s="35">
        <f>IFERROR(TA[[#This Row],[Breakdown Time]]*TA[[#This Row],[Plant Equivalent Weightage]],"")</f>
        <v>7.0114942528735638E-2</v>
      </c>
    </row>
    <row r="1114" spans="1:35">
      <c r="A1114" s="2">
        <f t="shared" si="109"/>
        <v>1111</v>
      </c>
      <c r="B1114" s="156">
        <f t="shared" ref="B1114:B1119" si="116">YEAR(H1114)+IF(MONTH(H1114)&gt;=4,1,0)</f>
        <v>2026</v>
      </c>
      <c r="C1114" s="129">
        <f t="shared" ref="C1114:C1119" si="117">YEAR(H1114)</f>
        <v>2025</v>
      </c>
      <c r="D1114" s="2" t="s">
        <v>155</v>
      </c>
      <c r="E1114" s="2" t="s">
        <v>155</v>
      </c>
      <c r="F1114" s="39">
        <v>45809</v>
      </c>
      <c r="G1114" s="2">
        <f>DAY(EOMONTH(TA[[#This Row],[Month Year]],0))</f>
        <v>30</v>
      </c>
      <c r="H1114" s="21">
        <v>45822</v>
      </c>
      <c r="I1114" s="41">
        <f>IFERROR(VLOOKUP(TA[[#This Row],[Date]],Raw_Data[[Date]:[Sunset Time (POA&lt;20 W/m2)]],3,0),"")</f>
        <v>0.25208333333333333</v>
      </c>
      <c r="J1114" s="41">
        <f>IFERROR(VLOOKUP(TA[[#This Row],[Date]],Raw_Data[[Date]:[Sunset Time (POA&lt;20 W/m2)]],4,0),"")</f>
        <v>0.78263888888888888</v>
      </c>
      <c r="K1114" s="35">
        <f>IFERROR((TA[[#This Row],[Sunset Time (POA&lt;20 W/m2)]]-TA[[#This Row],[Sunrise Time (POA&gt;20 W/m2)]])*24,"")</f>
        <v>12.733333333333334</v>
      </c>
      <c r="L1114" s="2" t="s">
        <v>296</v>
      </c>
      <c r="M1114" s="42">
        <f>IFERROR(VLOOKUP(TA[[#This Row],[Affected Equipment]],'Basic Data'!$I$2:$K$40,3,0),"")</f>
        <v>8.6206896551724102E-3</v>
      </c>
      <c r="N1114">
        <v>-28</v>
      </c>
      <c r="O1114" t="s">
        <v>135</v>
      </c>
      <c r="P1114" s="22" t="s">
        <v>323</v>
      </c>
      <c r="Q1114" s="2" t="s">
        <v>329</v>
      </c>
      <c r="R1114">
        <v>45</v>
      </c>
      <c r="S1114" s="2">
        <v>8</v>
      </c>
      <c r="T1114" t="s">
        <v>297</v>
      </c>
      <c r="U1114" t="s">
        <v>300</v>
      </c>
      <c r="V1114" t="s">
        <v>301</v>
      </c>
      <c r="W1114" s="41"/>
      <c r="X1114" s="41"/>
      <c r="Y1114" s="34"/>
      <c r="Z1114" s="34"/>
      <c r="AA1114" s="35">
        <f>IF(TA[[#This Row],[Work Start time on Fault]]="NA","",(TA[[#This Row],[Fault Acknowledgement Time ]]-TA[[#This Row],[Fault Time]])*24)</f>
        <v>0</v>
      </c>
      <c r="AB1114" s="35">
        <f>(TA[[#This Row],[Work Start time on Fault]]-TA[[#This Row],[Fault Time]])*24</f>
        <v>0</v>
      </c>
      <c r="AC1114" s="34">
        <f>(TA[[#This Row],[Work Completion time on fault]]-TA[[#This Row],[Fault Time]])*24</f>
        <v>0</v>
      </c>
      <c r="AD1114" s="35">
        <f>IFERROR((TA[[#This Row],[Work Completion time on fault]]-TA[[#This Row],[Fault Time]])*24,"")</f>
        <v>0</v>
      </c>
      <c r="AE1114" s="224" t="s">
        <v>509</v>
      </c>
      <c r="AF1114" t="s">
        <v>249</v>
      </c>
      <c r="AG1114" s="2"/>
      <c r="AH1114" s="44">
        <f>1-COS(RADIANS(TA[[#This Row],[Avg. Target Angle during Fault Time (Radians)]]-TA[[#This Row],[Angle of affected equipment ]]))</f>
        <v>0.11705240714107301</v>
      </c>
      <c r="AI1114" s="35">
        <f>IFERROR(TA[[#This Row],[Breakdown Time]]*TA[[#This Row],[Plant Equivalent Weightage]],"")</f>
        <v>0</v>
      </c>
    </row>
    <row r="1115" spans="1:35">
      <c r="A1115" s="2">
        <f t="shared" si="109"/>
        <v>1112</v>
      </c>
      <c r="B1115" s="156">
        <f t="shared" si="116"/>
        <v>2026</v>
      </c>
      <c r="C1115" s="129">
        <f t="shared" si="117"/>
        <v>2025</v>
      </c>
      <c r="D1115" s="2" t="s">
        <v>155</v>
      </c>
      <c r="E1115" s="2" t="s">
        <v>155</v>
      </c>
      <c r="F1115" s="39">
        <v>45809</v>
      </c>
      <c r="G1115" s="2">
        <f>DAY(EOMONTH(TA[[#This Row],[Month Year]],0))</f>
        <v>30</v>
      </c>
      <c r="H1115" s="21">
        <v>45822</v>
      </c>
      <c r="I1115" s="41">
        <f>IFERROR(VLOOKUP(TA[[#This Row],[Date]],Raw_Data[[Date]:[Sunset Time (POA&lt;20 W/m2)]],3,0),"")</f>
        <v>0.25208333333333333</v>
      </c>
      <c r="J1115" s="41">
        <f>IFERROR(VLOOKUP(TA[[#This Row],[Date]],Raw_Data[[Date]:[Sunset Time (POA&lt;20 W/m2)]],4,0),"")</f>
        <v>0.78263888888888888</v>
      </c>
      <c r="K1115" s="35">
        <f>IFERROR((TA[[#This Row],[Sunset Time (POA&lt;20 W/m2)]]-TA[[#This Row],[Sunrise Time (POA&gt;20 W/m2)]])*24,"")</f>
        <v>12.733333333333334</v>
      </c>
      <c r="L1115" s="2" t="s">
        <v>296</v>
      </c>
      <c r="M1115" s="42">
        <f>IFERROR(VLOOKUP(TA[[#This Row],[Affected Equipment]],'Basic Data'!$I$2:$K$40,3,0),"")</f>
        <v>8.6206896551724102E-3</v>
      </c>
      <c r="N1115">
        <v>-28</v>
      </c>
      <c r="O1115" s="224" t="s">
        <v>133</v>
      </c>
      <c r="P1115" s="127" t="s">
        <v>330</v>
      </c>
      <c r="Q1115" s="126" t="s">
        <v>507</v>
      </c>
      <c r="R1115">
        <v>4</v>
      </c>
      <c r="S1115" s="2">
        <v>18</v>
      </c>
      <c r="T1115" s="224" t="s">
        <v>299</v>
      </c>
      <c r="U1115" t="s">
        <v>300</v>
      </c>
      <c r="V1115" t="s">
        <v>301</v>
      </c>
      <c r="W1115" s="41"/>
      <c r="X1115" s="41"/>
      <c r="Y1115" s="34"/>
      <c r="Z1115" s="34"/>
      <c r="AA1115" s="35">
        <f>IF(TA[[#This Row],[Work Start time on Fault]]="NA","",(TA[[#This Row],[Fault Acknowledgement Time ]]-TA[[#This Row],[Fault Time]])*24)</f>
        <v>0</v>
      </c>
      <c r="AB1115" s="35">
        <f>(TA[[#This Row],[Work Start time on Fault]]-TA[[#This Row],[Fault Time]])*24</f>
        <v>0</v>
      </c>
      <c r="AC1115" s="34">
        <f>(TA[[#This Row],[Work Completion time on fault]]-TA[[#This Row],[Fault Time]])*24</f>
        <v>0</v>
      </c>
      <c r="AD1115" s="35">
        <f>IFERROR((TA[[#This Row],[Work Completion time on fault]]-TA[[#This Row],[Fault Time]])*24,"")</f>
        <v>0</v>
      </c>
      <c r="AE1115" s="224" t="s">
        <v>509</v>
      </c>
      <c r="AF1115" t="s">
        <v>249</v>
      </c>
      <c r="AG1115" s="2"/>
      <c r="AH1115" s="44">
        <f>1-COS(RADIANS(TA[[#This Row],[Avg. Target Angle during Fault Time (Radians)]]-TA[[#This Row],[Angle of affected equipment ]]))</f>
        <v>0.11705240714107301</v>
      </c>
      <c r="AI1115" s="35">
        <f>IFERROR(TA[[#This Row],[Breakdown Time]]*TA[[#This Row],[Plant Equivalent Weightage]],"")</f>
        <v>0</v>
      </c>
    </row>
    <row r="1116" spans="1:35">
      <c r="A1116" s="2">
        <f t="shared" si="109"/>
        <v>1113</v>
      </c>
      <c r="B1116" s="156">
        <f t="shared" si="116"/>
        <v>2026</v>
      </c>
      <c r="C1116" s="129">
        <f t="shared" si="117"/>
        <v>2025</v>
      </c>
      <c r="D1116" s="2" t="s">
        <v>155</v>
      </c>
      <c r="E1116" s="2" t="s">
        <v>155</v>
      </c>
      <c r="F1116" s="39">
        <v>45809</v>
      </c>
      <c r="G1116" s="2">
        <f>DAY(EOMONTH(TA[[#This Row],[Month Year]],0))</f>
        <v>30</v>
      </c>
      <c r="H1116" s="21">
        <v>45822</v>
      </c>
      <c r="I1116" s="41">
        <f>IFERROR(VLOOKUP(TA[[#This Row],[Date]],Raw_Data[[Date]:[Sunset Time (POA&lt;20 W/m2)]],3,0),"")</f>
        <v>0.25208333333333333</v>
      </c>
      <c r="J1116" s="41">
        <f>IFERROR(VLOOKUP(TA[[#This Row],[Date]],Raw_Data[[Date]:[Sunset Time (POA&lt;20 W/m2)]],4,0),"")</f>
        <v>0.78263888888888888</v>
      </c>
      <c r="K1116" s="35">
        <f>IFERROR((TA[[#This Row],[Sunset Time (POA&lt;20 W/m2)]]-TA[[#This Row],[Sunrise Time (POA&gt;20 W/m2)]])*24,"")</f>
        <v>12.733333333333334</v>
      </c>
      <c r="L1116" s="2" t="s">
        <v>296</v>
      </c>
      <c r="M1116" s="42">
        <f>IFERROR(VLOOKUP(TA[[#This Row],[Affected Equipment]],'Basic Data'!$I$2:$K$40,3,0),"")</f>
        <v>8.6206896551724102E-3</v>
      </c>
      <c r="N1116">
        <v>-28</v>
      </c>
      <c r="O1116" t="s">
        <v>134</v>
      </c>
      <c r="P1116" s="127" t="s">
        <v>508</v>
      </c>
      <c r="Q1116" s="126" t="s">
        <v>508</v>
      </c>
      <c r="R1116">
        <v>61</v>
      </c>
      <c r="S1116" s="2">
        <v>3</v>
      </c>
      <c r="T1116" s="224" t="s">
        <v>299</v>
      </c>
      <c r="U1116" t="s">
        <v>300</v>
      </c>
      <c r="V1116" t="s">
        <v>301</v>
      </c>
      <c r="W1116" s="41"/>
      <c r="X1116" s="41"/>
      <c r="Y1116" s="34"/>
      <c r="Z1116" s="34"/>
      <c r="AA1116" s="35">
        <f>IF(TA[[#This Row],[Work Start time on Fault]]="NA","",(TA[[#This Row],[Fault Acknowledgement Time ]]-TA[[#This Row],[Fault Time]])*24)</f>
        <v>0</v>
      </c>
      <c r="AB1116" s="35">
        <f>(TA[[#This Row],[Work Start time on Fault]]-TA[[#This Row],[Fault Time]])*24</f>
        <v>0</v>
      </c>
      <c r="AC1116" s="34">
        <f>(TA[[#This Row],[Work Completion time on fault]]-TA[[#This Row],[Fault Time]])*24</f>
        <v>0</v>
      </c>
      <c r="AD1116" s="35">
        <f>IFERROR((TA[[#This Row],[Work Completion time on fault]]-TA[[#This Row],[Fault Time]])*24,"")</f>
        <v>0</v>
      </c>
      <c r="AE1116" s="224" t="s">
        <v>509</v>
      </c>
      <c r="AF1116" t="s">
        <v>249</v>
      </c>
      <c r="AG1116" s="2"/>
      <c r="AH1116" s="44">
        <f>1-COS(RADIANS(TA[[#This Row],[Avg. Target Angle during Fault Time (Radians)]]-TA[[#This Row],[Angle of affected equipment ]]))</f>
        <v>0.11705240714107301</v>
      </c>
      <c r="AI1116" s="35">
        <f>IFERROR(TA[[#This Row],[Breakdown Time]]*TA[[#This Row],[Plant Equivalent Weightage]],"")</f>
        <v>0</v>
      </c>
    </row>
    <row r="1117" spans="1:35">
      <c r="A1117" s="2">
        <f t="shared" si="109"/>
        <v>1114</v>
      </c>
      <c r="B1117" s="156">
        <f t="shared" si="116"/>
        <v>2026</v>
      </c>
      <c r="C1117" s="129">
        <f t="shared" si="117"/>
        <v>2025</v>
      </c>
      <c r="D1117" s="2" t="s">
        <v>155</v>
      </c>
      <c r="E1117" s="2" t="s">
        <v>155</v>
      </c>
      <c r="F1117" s="39">
        <v>45809</v>
      </c>
      <c r="G1117" s="2">
        <f>DAY(EOMONTH(TA[[#This Row],[Month Year]],0))</f>
        <v>30</v>
      </c>
      <c r="H1117" s="21">
        <v>45822</v>
      </c>
      <c r="I1117" s="41">
        <f>IFERROR(VLOOKUP(TA[[#This Row],[Date]],Raw_Data[[Date]:[Sunset Time (POA&lt;20 W/m2)]],3,0),"")</f>
        <v>0.25208333333333333</v>
      </c>
      <c r="J1117" s="41">
        <f>IFERROR(VLOOKUP(TA[[#This Row],[Date]],Raw_Data[[Date]:[Sunset Time (POA&lt;20 W/m2)]],4,0),"")</f>
        <v>0.78263888888888888</v>
      </c>
      <c r="K1117" s="35">
        <f>IFERROR((TA[[#This Row],[Sunset Time (POA&lt;20 W/m2)]]-TA[[#This Row],[Sunrise Time (POA&gt;20 W/m2)]])*24,"")</f>
        <v>12.733333333333334</v>
      </c>
      <c r="L1117" s="2" t="s">
        <v>296</v>
      </c>
      <c r="M1117" s="42">
        <f>IFERROR(VLOOKUP(TA[[#This Row],[Affected Equipment]],'Basic Data'!$I$2:$K$40,3,0),"")</f>
        <v>8.6206896551724102E-3</v>
      </c>
      <c r="N1117">
        <v>-28</v>
      </c>
      <c r="O1117" t="s">
        <v>134</v>
      </c>
      <c r="P1117" s="22" t="s">
        <v>330</v>
      </c>
      <c r="Q1117" s="2" t="s">
        <v>323</v>
      </c>
      <c r="R1117">
        <v>32</v>
      </c>
      <c r="S1117" s="2">
        <v>64</v>
      </c>
      <c r="T1117" s="224" t="s">
        <v>299</v>
      </c>
      <c r="U1117" t="s">
        <v>300</v>
      </c>
      <c r="V1117" t="s">
        <v>301</v>
      </c>
      <c r="W1117" s="41"/>
      <c r="X1117" s="41"/>
      <c r="Y1117" s="34"/>
      <c r="Z1117" s="34"/>
      <c r="AA1117" s="35">
        <f>IF(TA[[#This Row],[Work Start time on Fault]]="NA","",(TA[[#This Row],[Fault Acknowledgement Time ]]-TA[[#This Row],[Fault Time]])*24)</f>
        <v>0</v>
      </c>
      <c r="AB1117" s="35">
        <f>(TA[[#This Row],[Work Start time on Fault]]-TA[[#This Row],[Fault Time]])*24</f>
        <v>0</v>
      </c>
      <c r="AC1117" s="34">
        <f>(TA[[#This Row],[Work Completion time on fault]]-TA[[#This Row],[Fault Time]])*24</f>
        <v>0</v>
      </c>
      <c r="AD1117" s="35">
        <f>IFERROR((TA[[#This Row],[Work Completion time on fault]]-TA[[#This Row],[Fault Time]])*24,"")</f>
        <v>0</v>
      </c>
      <c r="AE1117" s="224" t="s">
        <v>509</v>
      </c>
      <c r="AF1117" t="s">
        <v>249</v>
      </c>
      <c r="AG1117" s="2"/>
      <c r="AH1117" s="44">
        <f>1-COS(RADIANS(TA[[#This Row],[Avg. Target Angle during Fault Time (Radians)]]-TA[[#This Row],[Angle of affected equipment ]]))</f>
        <v>0.11705240714107301</v>
      </c>
      <c r="AI1117" s="35">
        <f>IFERROR(TA[[#This Row],[Breakdown Time]]*TA[[#This Row],[Plant Equivalent Weightage]],"")</f>
        <v>0</v>
      </c>
    </row>
    <row r="1118" spans="1:35">
      <c r="A1118" s="2">
        <f t="shared" si="109"/>
        <v>1115</v>
      </c>
      <c r="B1118" s="156">
        <f t="shared" si="116"/>
        <v>2026</v>
      </c>
      <c r="C1118" s="129">
        <f t="shared" si="117"/>
        <v>2025</v>
      </c>
      <c r="D1118" s="2" t="s">
        <v>155</v>
      </c>
      <c r="E1118" s="2" t="s">
        <v>155</v>
      </c>
      <c r="F1118" s="39">
        <v>45809</v>
      </c>
      <c r="G1118" s="2">
        <f>DAY(EOMONTH(TA[[#This Row],[Month Year]],0))</f>
        <v>30</v>
      </c>
      <c r="H1118" s="21">
        <v>45822</v>
      </c>
      <c r="I1118" s="41">
        <f>IFERROR(VLOOKUP(TA[[#This Row],[Date]],Raw_Data[[Date]:[Sunset Time (POA&lt;20 W/m2)]],3,0),"")</f>
        <v>0.25208333333333333</v>
      </c>
      <c r="J1118" s="41">
        <f>IFERROR(VLOOKUP(TA[[#This Row],[Date]],Raw_Data[[Date]:[Sunset Time (POA&lt;20 W/m2)]],4,0),"")</f>
        <v>0.78263888888888888</v>
      </c>
      <c r="K1118" s="35">
        <f>IFERROR((TA[[#This Row],[Sunset Time (POA&lt;20 W/m2)]]-TA[[#This Row],[Sunrise Time (POA&gt;20 W/m2)]])*24,"")</f>
        <v>12.733333333333334</v>
      </c>
      <c r="L1118" s="2" t="s">
        <v>296</v>
      </c>
      <c r="M1118" s="42">
        <f>IFERROR(VLOOKUP(TA[[#This Row],[Affected Equipment]],'Basic Data'!$I$2:$K$40,3,0),"")</f>
        <v>8.6206896551724102E-3</v>
      </c>
      <c r="N1118">
        <v>-28</v>
      </c>
      <c r="O1118" t="s">
        <v>134</v>
      </c>
      <c r="P1118" s="22" t="s">
        <v>330</v>
      </c>
      <c r="Q1118" s="126" t="s">
        <v>507</v>
      </c>
      <c r="R1118">
        <v>11</v>
      </c>
      <c r="S1118" s="2">
        <v>64</v>
      </c>
      <c r="T1118" s="224" t="s">
        <v>299</v>
      </c>
      <c r="U1118" t="s">
        <v>300</v>
      </c>
      <c r="V1118" t="s">
        <v>301</v>
      </c>
      <c r="W1118" s="41"/>
      <c r="X1118" s="41"/>
      <c r="Y1118" s="34"/>
      <c r="Z1118" s="34"/>
      <c r="AA1118" s="35">
        <f>IF(TA[[#This Row],[Work Start time on Fault]]="NA","",(TA[[#This Row],[Fault Acknowledgement Time ]]-TA[[#This Row],[Fault Time]])*24)</f>
        <v>0</v>
      </c>
      <c r="AB1118" s="35">
        <f>(TA[[#This Row],[Work Start time on Fault]]-TA[[#This Row],[Fault Time]])*24</f>
        <v>0</v>
      </c>
      <c r="AC1118" s="34">
        <f>(TA[[#This Row],[Work Completion time on fault]]-TA[[#This Row],[Fault Time]])*24</f>
        <v>0</v>
      </c>
      <c r="AD1118" s="35">
        <f>IFERROR((TA[[#This Row],[Work Completion time on fault]]-TA[[#This Row],[Fault Time]])*24,"")</f>
        <v>0</v>
      </c>
      <c r="AE1118" s="224" t="s">
        <v>509</v>
      </c>
      <c r="AF1118" t="s">
        <v>249</v>
      </c>
      <c r="AG1118" s="2"/>
      <c r="AH1118" s="44">
        <f>1-COS(RADIANS(TA[[#This Row],[Avg. Target Angle during Fault Time (Radians)]]-TA[[#This Row],[Angle of affected equipment ]]))</f>
        <v>0.11705240714107301</v>
      </c>
      <c r="AI1118" s="35">
        <f>IFERROR(TA[[#This Row],[Breakdown Time]]*TA[[#This Row],[Plant Equivalent Weightage]],"")</f>
        <v>0</v>
      </c>
    </row>
    <row r="1119" spans="1:35">
      <c r="A1119" s="2">
        <f t="shared" si="109"/>
        <v>1116</v>
      </c>
      <c r="B1119" s="156">
        <f t="shared" si="116"/>
        <v>2026</v>
      </c>
      <c r="C1119" s="129">
        <f t="shared" si="117"/>
        <v>2025</v>
      </c>
      <c r="D1119" s="2" t="s">
        <v>155</v>
      </c>
      <c r="E1119" s="2" t="s">
        <v>155</v>
      </c>
      <c r="F1119" s="39">
        <v>45809</v>
      </c>
      <c r="G1119" s="2">
        <f>DAY(EOMONTH(TA[[#This Row],[Month Year]],0))</f>
        <v>30</v>
      </c>
      <c r="H1119" s="21">
        <v>45822</v>
      </c>
      <c r="I1119" s="41">
        <f>IFERROR(VLOOKUP(TA[[#This Row],[Date]],Raw_Data[[Date]:[Sunset Time (POA&lt;20 W/m2)]],3,0),"")</f>
        <v>0.25208333333333333</v>
      </c>
      <c r="J1119" s="41">
        <f>IFERROR(VLOOKUP(TA[[#This Row],[Date]],Raw_Data[[Date]:[Sunset Time (POA&lt;20 W/m2)]],4,0),"")</f>
        <v>0.78263888888888888</v>
      </c>
      <c r="K1119" s="35">
        <f>IFERROR((TA[[#This Row],[Sunset Time (POA&lt;20 W/m2)]]-TA[[#This Row],[Sunrise Time (POA&gt;20 W/m2)]])*24,"")</f>
        <v>12.733333333333334</v>
      </c>
      <c r="L1119" s="2" t="s">
        <v>296</v>
      </c>
      <c r="M1119" s="42">
        <f>IFERROR(VLOOKUP(TA[[#This Row],[Affected Equipment]],'Basic Data'!$I$2:$K$40,3,0),"")</f>
        <v>8.6206896551724102E-3</v>
      </c>
      <c r="N1119">
        <v>-28</v>
      </c>
      <c r="O1119" t="s">
        <v>133</v>
      </c>
      <c r="P1119" s="22" t="s">
        <v>330</v>
      </c>
      <c r="Q1119" s="2" t="s">
        <v>323</v>
      </c>
      <c r="R1119">
        <v>20</v>
      </c>
      <c r="S1119" s="2">
        <v>8</v>
      </c>
      <c r="T1119" t="s">
        <v>297</v>
      </c>
      <c r="U1119" t="s">
        <v>300</v>
      </c>
      <c r="V1119" t="s">
        <v>301</v>
      </c>
      <c r="W1119" s="41"/>
      <c r="X1119" s="41"/>
      <c r="Y1119" s="34"/>
      <c r="Z1119" s="34"/>
      <c r="AA1119" s="35">
        <f>IF(TA[[#This Row],[Work Start time on Fault]]="NA","",(TA[[#This Row],[Fault Acknowledgement Time ]]-TA[[#This Row],[Fault Time]])*24)</f>
        <v>0</v>
      </c>
      <c r="AB1119" s="35">
        <f>(TA[[#This Row],[Work Start time on Fault]]-TA[[#This Row],[Fault Time]])*24</f>
        <v>0</v>
      </c>
      <c r="AC1119" s="34">
        <f>(TA[[#This Row],[Work Completion time on fault]]-TA[[#This Row],[Fault Time]])*24</f>
        <v>0</v>
      </c>
      <c r="AD1119" s="35">
        <f>IFERROR((TA[[#This Row],[Work Completion time on fault]]-TA[[#This Row],[Fault Time]])*24,"")</f>
        <v>0</v>
      </c>
      <c r="AE1119" s="224" t="s">
        <v>509</v>
      </c>
      <c r="AF1119" t="s">
        <v>249</v>
      </c>
      <c r="AG1119" s="2"/>
      <c r="AH1119" s="44">
        <f>1-COS(RADIANS(TA[[#This Row],[Avg. Target Angle during Fault Time (Radians)]]-TA[[#This Row],[Angle of affected equipment ]]))</f>
        <v>0.11705240714107301</v>
      </c>
      <c r="AI1119" s="35">
        <f>IFERROR(TA[[#This Row],[Breakdown Time]]*TA[[#This Row],[Plant Equivalent Weightage]],"")</f>
        <v>0</v>
      </c>
    </row>
    <row r="1120" spans="1:35">
      <c r="A1120" s="2">
        <f t="shared" si="109"/>
        <v>1117</v>
      </c>
      <c r="B1120" s="156">
        <f t="shared" ref="B1120:B1134" si="118">YEAR(H1120)+IF(MONTH(H1120)&gt;=4,1,0)</f>
        <v>2026</v>
      </c>
      <c r="C1120" s="129">
        <f t="shared" ref="C1120:C1134" si="119">YEAR(H1120)</f>
        <v>2025</v>
      </c>
      <c r="D1120" s="2" t="s">
        <v>155</v>
      </c>
      <c r="E1120" s="2" t="s">
        <v>155</v>
      </c>
      <c r="F1120" s="39">
        <v>45809</v>
      </c>
      <c r="G1120" s="2">
        <f>DAY(EOMONTH(TA[[#This Row],[Month Year]],0))</f>
        <v>30</v>
      </c>
      <c r="H1120" s="21">
        <v>45822</v>
      </c>
      <c r="I1120" s="41">
        <f>IFERROR(VLOOKUP(TA[[#This Row],[Date]],Raw_Data[[Date]:[Sunset Time (POA&lt;20 W/m2)]],3,0),"")</f>
        <v>0.25208333333333333</v>
      </c>
      <c r="J1120" s="41">
        <f>IFERROR(VLOOKUP(TA[[#This Row],[Date]],Raw_Data[[Date]:[Sunset Time (POA&lt;20 W/m2)]],4,0),"")</f>
        <v>0.78263888888888888</v>
      </c>
      <c r="K1120" s="35">
        <f>IFERROR((TA[[#This Row],[Sunset Time (POA&lt;20 W/m2)]]-TA[[#This Row],[Sunrise Time (POA&gt;20 W/m2)]])*24,"")</f>
        <v>12.733333333333334</v>
      </c>
      <c r="L1120" s="2" t="s">
        <v>296</v>
      </c>
      <c r="M1120" s="42">
        <f>IFERROR(VLOOKUP(TA[[#This Row],[Affected Equipment]],'Basic Data'!$I$2:$K$40,3,0),"")</f>
        <v>8.6206896551724102E-3</v>
      </c>
      <c r="N1120">
        <v>-28</v>
      </c>
      <c r="O1120" s="224" t="s">
        <v>136</v>
      </c>
      <c r="P1120" s="127" t="s">
        <v>510</v>
      </c>
      <c r="Q1120" s="126" t="s">
        <v>510</v>
      </c>
      <c r="R1120">
        <v>103</v>
      </c>
      <c r="S1120" s="2">
        <v>49</v>
      </c>
      <c r="T1120" s="224" t="s">
        <v>299</v>
      </c>
      <c r="U1120" t="s">
        <v>300</v>
      </c>
      <c r="V1120" t="s">
        <v>301</v>
      </c>
      <c r="W1120" s="41"/>
      <c r="X1120" s="41"/>
      <c r="Y1120" s="34"/>
      <c r="Z1120" s="34"/>
      <c r="AA1120" s="35">
        <f>IF(TA[[#This Row],[Work Start time on Fault]]="NA","",(TA[[#This Row],[Fault Acknowledgement Time ]]-TA[[#This Row],[Fault Time]])*24)</f>
        <v>0</v>
      </c>
      <c r="AB1120" s="35">
        <f>(TA[[#This Row],[Work Start time on Fault]]-TA[[#This Row],[Fault Time]])*24</f>
        <v>0</v>
      </c>
      <c r="AC1120" s="34">
        <f>(TA[[#This Row],[Work Completion time on fault]]-TA[[#This Row],[Fault Time]])*24</f>
        <v>0</v>
      </c>
      <c r="AD1120" s="35">
        <f>IFERROR((TA[[#This Row],[Work Completion time on fault]]-TA[[#This Row],[Fault Time]])*24,"")</f>
        <v>0</v>
      </c>
      <c r="AE1120" s="224" t="s">
        <v>509</v>
      </c>
      <c r="AF1120" t="s">
        <v>249</v>
      </c>
      <c r="AG1120" s="2"/>
      <c r="AH1120" s="44">
        <f>1-COS(RADIANS(TA[[#This Row],[Avg. Target Angle during Fault Time (Radians)]]-TA[[#This Row],[Angle of affected equipment ]]))</f>
        <v>0.11705240714107301</v>
      </c>
      <c r="AI1120" s="35">
        <f>IFERROR(TA[[#This Row],[Breakdown Time]]*TA[[#This Row],[Plant Equivalent Weightage]],"")</f>
        <v>0</v>
      </c>
    </row>
    <row r="1121" spans="1:35">
      <c r="A1121" s="2">
        <f t="shared" si="109"/>
        <v>1118</v>
      </c>
      <c r="B1121" s="156">
        <f t="shared" si="118"/>
        <v>2026</v>
      </c>
      <c r="C1121" s="129">
        <f t="shared" si="119"/>
        <v>2025</v>
      </c>
      <c r="D1121" s="2" t="s">
        <v>155</v>
      </c>
      <c r="E1121" s="2" t="s">
        <v>155</v>
      </c>
      <c r="F1121" s="39">
        <v>45809</v>
      </c>
      <c r="G1121" s="2">
        <f>DAY(EOMONTH(TA[[#This Row],[Month Year]],0))</f>
        <v>30</v>
      </c>
      <c r="H1121" s="21">
        <v>45822</v>
      </c>
      <c r="I1121" s="41">
        <f>IFERROR(VLOOKUP(TA[[#This Row],[Date]],Raw_Data[[Date]:[Sunset Time (POA&lt;20 W/m2)]],3,0),"")</f>
        <v>0.25208333333333333</v>
      </c>
      <c r="J1121" s="41">
        <f>IFERROR(VLOOKUP(TA[[#This Row],[Date]],Raw_Data[[Date]:[Sunset Time (POA&lt;20 W/m2)]],4,0),"")</f>
        <v>0.78263888888888888</v>
      </c>
      <c r="K1121" s="35">
        <f>IFERROR((TA[[#This Row],[Sunset Time (POA&lt;20 W/m2)]]-TA[[#This Row],[Sunrise Time (POA&gt;20 W/m2)]])*24,"")</f>
        <v>12.733333333333334</v>
      </c>
      <c r="L1121" s="2" t="s">
        <v>296</v>
      </c>
      <c r="M1121" s="42">
        <f>IFERROR(VLOOKUP(TA[[#This Row],[Affected Equipment]],'Basic Data'!$I$2:$K$40,3,0),"")</f>
        <v>8.6206896551724102E-3</v>
      </c>
      <c r="N1121">
        <v>-28</v>
      </c>
      <c r="O1121" s="224" t="s">
        <v>137</v>
      </c>
      <c r="P1121" s="127" t="s">
        <v>510</v>
      </c>
      <c r="Q1121" s="126" t="s">
        <v>510</v>
      </c>
      <c r="R1121">
        <v>81</v>
      </c>
      <c r="S1121" s="2">
        <v>118</v>
      </c>
      <c r="T1121" t="s">
        <v>297</v>
      </c>
      <c r="U1121" t="s">
        <v>300</v>
      </c>
      <c r="V1121" t="s">
        <v>301</v>
      </c>
      <c r="W1121" s="41"/>
      <c r="X1121" s="41"/>
      <c r="Y1121" s="34"/>
      <c r="Z1121" s="34"/>
      <c r="AA1121" s="35">
        <f>IF(TA[[#This Row],[Work Start time on Fault]]="NA","",(TA[[#This Row],[Fault Acknowledgement Time ]]-TA[[#This Row],[Fault Time]])*24)</f>
        <v>0</v>
      </c>
      <c r="AB1121" s="35">
        <f>(TA[[#This Row],[Work Start time on Fault]]-TA[[#This Row],[Fault Time]])*24</f>
        <v>0</v>
      </c>
      <c r="AC1121" s="34">
        <f>(TA[[#This Row],[Work Completion time on fault]]-TA[[#This Row],[Fault Time]])*24</f>
        <v>0</v>
      </c>
      <c r="AD1121" s="35">
        <f>IFERROR((TA[[#This Row],[Work Completion time on fault]]-TA[[#This Row],[Fault Time]])*24,"")</f>
        <v>0</v>
      </c>
      <c r="AE1121" s="224" t="s">
        <v>509</v>
      </c>
      <c r="AF1121" t="s">
        <v>249</v>
      </c>
      <c r="AG1121" s="2"/>
      <c r="AH1121" s="44">
        <f>1-COS(RADIANS(TA[[#This Row],[Avg. Target Angle during Fault Time (Radians)]]-TA[[#This Row],[Angle of affected equipment ]]))</f>
        <v>0.11705240714107301</v>
      </c>
      <c r="AI1121" s="35">
        <f>IFERROR(TA[[#This Row],[Breakdown Time]]*TA[[#This Row],[Plant Equivalent Weightage]],"")</f>
        <v>0</v>
      </c>
    </row>
    <row r="1122" spans="1:35">
      <c r="A1122" s="2">
        <f t="shared" si="109"/>
        <v>1119</v>
      </c>
      <c r="B1122" s="156">
        <f t="shared" si="118"/>
        <v>2026</v>
      </c>
      <c r="C1122" s="129">
        <f t="shared" si="119"/>
        <v>2025</v>
      </c>
      <c r="D1122" s="2" t="s">
        <v>155</v>
      </c>
      <c r="E1122" s="2" t="s">
        <v>155</v>
      </c>
      <c r="F1122" s="39">
        <v>45809</v>
      </c>
      <c r="G1122" s="2">
        <f>DAY(EOMONTH(TA[[#This Row],[Month Year]],0))</f>
        <v>30</v>
      </c>
      <c r="H1122" s="21">
        <v>45823</v>
      </c>
      <c r="I1122" s="41">
        <f>IFERROR(VLOOKUP(TA[[#This Row],[Date]],Raw_Data[[Date]:[Sunset Time (POA&lt;20 W/m2)]],3,0),"")</f>
        <v>0.25</v>
      </c>
      <c r="J1122" s="41">
        <f>IFERROR(VLOOKUP(TA[[#This Row],[Date]],Raw_Data[[Date]:[Sunset Time (POA&lt;20 W/m2)]],4,0),"")</f>
        <v>0.76249999999999996</v>
      </c>
      <c r="K1122" s="35">
        <f>IFERROR((TA[[#This Row],[Sunset Time (POA&lt;20 W/m2)]]-TA[[#This Row],[Sunrise Time (POA&gt;20 W/m2)]])*24,"")</f>
        <v>12.299999999999999</v>
      </c>
      <c r="L1122" s="2" t="s">
        <v>294</v>
      </c>
      <c r="M1122" s="42">
        <f>IFERROR(VLOOKUP(TA[[#This Row],[Affected Equipment]],'Basic Data'!$I$2:$K$40,3,0),"")</f>
        <v>1.7241379310344799E-3</v>
      </c>
      <c r="N1122">
        <v>-28</v>
      </c>
      <c r="O1122" t="s">
        <v>135</v>
      </c>
      <c r="P1122" s="127" t="s">
        <v>318</v>
      </c>
      <c r="Q1122" s="126" t="s">
        <v>318</v>
      </c>
      <c r="R1122">
        <v>131</v>
      </c>
      <c r="S1122" s="2">
        <v>38</v>
      </c>
      <c r="T1122" t="s">
        <v>295</v>
      </c>
      <c r="U1122" t="s">
        <v>300</v>
      </c>
      <c r="V1122" t="s">
        <v>298</v>
      </c>
      <c r="W1122" s="41"/>
      <c r="X1122" s="41"/>
      <c r="Y1122" s="34"/>
      <c r="Z1122" s="34"/>
      <c r="AA1122" s="35">
        <f>IF(TA[[#This Row],[Work Start time on Fault]]="NA","",(TA[[#This Row],[Fault Acknowledgement Time ]]-TA[[#This Row],[Fault Time]])*24)</f>
        <v>0</v>
      </c>
      <c r="AB1122" s="35">
        <f>(TA[[#This Row],[Work Start time on Fault]]-TA[[#This Row],[Fault Time]])*24</f>
        <v>0</v>
      </c>
      <c r="AC1122" s="34">
        <f>(TA[[#This Row],[Work Completion time on fault]]-TA[[#This Row],[Fault Time]])*24</f>
        <v>0</v>
      </c>
      <c r="AD1122" s="35">
        <f>IFERROR((TA[[#This Row],[Work Completion time on fault]]-TA[[#This Row],[Fault Time]])*24,"")</f>
        <v>0</v>
      </c>
      <c r="AE1122" t="s">
        <v>328</v>
      </c>
      <c r="AF1122" t="s">
        <v>256</v>
      </c>
      <c r="AG1122" s="2"/>
      <c r="AH1122" s="44">
        <f>1-COS(RADIANS(TA[[#This Row],[Avg. Target Angle during Fault Time (Radians)]]-TA[[#This Row],[Angle of affected equipment ]]))</f>
        <v>0.11705240714107301</v>
      </c>
      <c r="AI1122" s="35">
        <f>IFERROR(TA[[#This Row],[Breakdown Time]]*TA[[#This Row],[Plant Equivalent Weightage]],"")</f>
        <v>0</v>
      </c>
    </row>
    <row r="1123" spans="1:35">
      <c r="A1123" s="2">
        <f t="shared" si="109"/>
        <v>1120</v>
      </c>
      <c r="B1123" s="156">
        <f t="shared" si="118"/>
        <v>2026</v>
      </c>
      <c r="C1123" s="129">
        <f t="shared" si="119"/>
        <v>2025</v>
      </c>
      <c r="D1123" s="2" t="s">
        <v>155</v>
      </c>
      <c r="E1123" s="2" t="s">
        <v>155</v>
      </c>
      <c r="F1123" s="39">
        <v>45809</v>
      </c>
      <c r="G1123" s="2">
        <f>DAY(EOMONTH(TA[[#This Row],[Month Year]],0))</f>
        <v>30</v>
      </c>
      <c r="H1123" s="21">
        <v>45823</v>
      </c>
      <c r="I1123" s="41">
        <f>IFERROR(VLOOKUP(TA[[#This Row],[Date]],Raw_Data[[Date]:[Sunset Time (POA&lt;20 W/m2)]],3,0),"")</f>
        <v>0.25</v>
      </c>
      <c r="J1123" s="41">
        <f>IFERROR(VLOOKUP(TA[[#This Row],[Date]],Raw_Data[[Date]:[Sunset Time (POA&lt;20 W/m2)]],4,0),"")</f>
        <v>0.76249999999999996</v>
      </c>
      <c r="K1123" s="35">
        <f>IFERROR((TA[[#This Row],[Sunset Time (POA&lt;20 W/m2)]]-TA[[#This Row],[Sunrise Time (POA&gt;20 W/m2)]])*24,"")</f>
        <v>12.299999999999999</v>
      </c>
      <c r="L1123" s="2" t="s">
        <v>294</v>
      </c>
      <c r="M1123" s="42">
        <f>IFERROR(VLOOKUP(TA[[#This Row],[Affected Equipment]],'Basic Data'!$I$2:$K$40,3,0),"")</f>
        <v>1.7241379310344799E-3</v>
      </c>
      <c r="N1123">
        <v>-28</v>
      </c>
      <c r="O1123" t="s">
        <v>135</v>
      </c>
      <c r="P1123" s="127" t="s">
        <v>318</v>
      </c>
      <c r="Q1123" s="126" t="s">
        <v>318</v>
      </c>
      <c r="R1123">
        <v>131</v>
      </c>
      <c r="S1123" s="2">
        <v>39</v>
      </c>
      <c r="T1123" t="s">
        <v>295</v>
      </c>
      <c r="U1123" t="s">
        <v>300</v>
      </c>
      <c r="V1123" t="s">
        <v>298</v>
      </c>
      <c r="W1123" s="41"/>
      <c r="X1123" s="41"/>
      <c r="Y1123" s="34"/>
      <c r="Z1123" s="34"/>
      <c r="AA1123" s="35">
        <f>IF(TA[[#This Row],[Work Start time on Fault]]="NA","",(TA[[#This Row],[Fault Acknowledgement Time ]]-TA[[#This Row],[Fault Time]])*24)</f>
        <v>0</v>
      </c>
      <c r="AB1123" s="35">
        <f>(TA[[#This Row],[Work Start time on Fault]]-TA[[#This Row],[Fault Time]])*24</f>
        <v>0</v>
      </c>
      <c r="AC1123" s="34">
        <f>(TA[[#This Row],[Work Completion time on fault]]-TA[[#This Row],[Fault Time]])*24</f>
        <v>0</v>
      </c>
      <c r="AD1123" s="35">
        <f>IFERROR((TA[[#This Row],[Work Completion time on fault]]-TA[[#This Row],[Fault Time]])*24,"")</f>
        <v>0</v>
      </c>
      <c r="AE1123" t="s">
        <v>328</v>
      </c>
      <c r="AF1123" t="s">
        <v>256</v>
      </c>
      <c r="AG1123" s="2"/>
      <c r="AH1123" s="44">
        <f>1-COS(RADIANS(TA[[#This Row],[Avg. Target Angle during Fault Time (Radians)]]-TA[[#This Row],[Angle of affected equipment ]]))</f>
        <v>0.11705240714107301</v>
      </c>
      <c r="AI1123" s="35">
        <f>IFERROR(TA[[#This Row],[Breakdown Time]]*TA[[#This Row],[Plant Equivalent Weightage]],"")</f>
        <v>0</v>
      </c>
    </row>
    <row r="1124" spans="1:35">
      <c r="A1124" s="2">
        <f t="shared" si="109"/>
        <v>1121</v>
      </c>
      <c r="B1124" s="156">
        <f t="shared" si="118"/>
        <v>2026</v>
      </c>
      <c r="C1124" s="129">
        <f t="shared" si="119"/>
        <v>2025</v>
      </c>
      <c r="D1124" s="2" t="s">
        <v>155</v>
      </c>
      <c r="E1124" s="2" t="s">
        <v>155</v>
      </c>
      <c r="F1124" s="39">
        <v>45809</v>
      </c>
      <c r="G1124" s="2">
        <f>DAY(EOMONTH(TA[[#This Row],[Month Year]],0))</f>
        <v>30</v>
      </c>
      <c r="H1124" s="21">
        <v>45823</v>
      </c>
      <c r="I1124" s="41">
        <f>IFERROR(VLOOKUP(TA[[#This Row],[Date]],Raw_Data[[Date]:[Sunset Time (POA&lt;20 W/m2)]],3,0),"")</f>
        <v>0.25</v>
      </c>
      <c r="J1124" s="41">
        <f>IFERROR(VLOOKUP(TA[[#This Row],[Date]],Raw_Data[[Date]:[Sunset Time (POA&lt;20 W/m2)]],4,0),"")</f>
        <v>0.76249999999999996</v>
      </c>
      <c r="K1124" s="35">
        <f>IFERROR((TA[[#This Row],[Sunset Time (POA&lt;20 W/m2)]]-TA[[#This Row],[Sunrise Time (POA&gt;20 W/m2)]])*24,"")</f>
        <v>12.299999999999999</v>
      </c>
      <c r="L1124" s="2" t="s">
        <v>296</v>
      </c>
      <c r="M1124" s="42">
        <f>IFERROR(VLOOKUP(TA[[#This Row],[Affected Equipment]],'Basic Data'!$I$2:$K$40,3,0),"")</f>
        <v>8.6206896551724102E-3</v>
      </c>
      <c r="N1124">
        <v>-28</v>
      </c>
      <c r="O1124" t="s">
        <v>135</v>
      </c>
      <c r="P1124" s="127" t="s">
        <v>318</v>
      </c>
      <c r="Q1124" s="2" t="s">
        <v>321</v>
      </c>
      <c r="R1124">
        <v>133</v>
      </c>
      <c r="S1124" s="2">
        <v>26</v>
      </c>
      <c r="T1124" t="s">
        <v>297</v>
      </c>
      <c r="U1124" t="s">
        <v>300</v>
      </c>
      <c r="V1124" t="s">
        <v>314</v>
      </c>
      <c r="W1124" s="41">
        <f>IFERROR(VLOOKUP(TA[[#This Row],[Date]],Raw_Data[[Date]:[Sunset Time (POA&lt;20 W/m2)]],3,0),"")</f>
        <v>0.25</v>
      </c>
      <c r="X1124" s="41">
        <f>IFERROR(VLOOKUP(TA[[#This Row],[Date]],Raw_Data[[Date]:[Sunset Time (POA&lt;20 W/m2)]],3,0),"")</f>
        <v>0.25</v>
      </c>
      <c r="Y1124" s="34"/>
      <c r="Z1124" s="34">
        <v>0.76041666666666663</v>
      </c>
      <c r="AA1124" s="35">
        <f>IF(TA[[#This Row],[Work Start time on Fault]]="NA","",(TA[[#This Row],[Fault Acknowledgement Time ]]-TA[[#This Row],[Fault Time]])*24)</f>
        <v>0</v>
      </c>
      <c r="AB1124" s="35">
        <f>(TA[[#This Row],[Work Start time on Fault]]-TA[[#This Row],[Fault Time]])*24</f>
        <v>-6</v>
      </c>
      <c r="AC1124" s="34">
        <f>(TA[[#This Row],[Work Completion time on fault]]-TA[[#This Row],[Fault Time]])*24</f>
        <v>12.25</v>
      </c>
      <c r="AD1124" s="35">
        <f>IFERROR((TA[[#This Row],[Work Completion time on fault]]-TA[[#This Row],[Fault Time]])*24,"")</f>
        <v>12.25</v>
      </c>
      <c r="AE1124" t="s">
        <v>328</v>
      </c>
      <c r="AF1124" t="s">
        <v>256</v>
      </c>
      <c r="AG1124" s="2"/>
      <c r="AH1124" s="44">
        <f>1-COS(RADIANS(TA[[#This Row],[Avg. Target Angle during Fault Time (Radians)]]-TA[[#This Row],[Angle of affected equipment ]]))</f>
        <v>0.11705240714107301</v>
      </c>
      <c r="AI1124" s="35">
        <f>IFERROR(TA[[#This Row],[Breakdown Time]]*TA[[#This Row],[Plant Equivalent Weightage]],"")</f>
        <v>0.10560344827586203</v>
      </c>
    </row>
    <row r="1125" spans="1:35">
      <c r="A1125" s="2">
        <f t="shared" si="109"/>
        <v>1122</v>
      </c>
      <c r="B1125" s="156">
        <f t="shared" si="118"/>
        <v>2026</v>
      </c>
      <c r="C1125" s="129">
        <f t="shared" si="119"/>
        <v>2025</v>
      </c>
      <c r="D1125" s="2" t="s">
        <v>155</v>
      </c>
      <c r="E1125" s="2" t="s">
        <v>155</v>
      </c>
      <c r="F1125" s="39">
        <v>45809</v>
      </c>
      <c r="G1125" s="2">
        <f>DAY(EOMONTH(TA[[#This Row],[Month Year]],0))</f>
        <v>30</v>
      </c>
      <c r="H1125" s="21">
        <v>45823</v>
      </c>
      <c r="I1125" s="41">
        <f>IFERROR(VLOOKUP(TA[[#This Row],[Date]],Raw_Data[[Date]:[Sunset Time (POA&lt;20 W/m2)]],3,0),"")</f>
        <v>0.25</v>
      </c>
      <c r="J1125" s="41">
        <f>IFERROR(VLOOKUP(TA[[#This Row],[Date]],Raw_Data[[Date]:[Sunset Time (POA&lt;20 W/m2)]],4,0),"")</f>
        <v>0.76249999999999996</v>
      </c>
      <c r="K1125" s="35">
        <f>IFERROR((TA[[#This Row],[Sunset Time (POA&lt;20 W/m2)]]-TA[[#This Row],[Sunrise Time (POA&gt;20 W/m2)]])*24,"")</f>
        <v>12.299999999999999</v>
      </c>
      <c r="L1125" s="2" t="s">
        <v>294</v>
      </c>
      <c r="M1125" s="42">
        <f>IFERROR(VLOOKUP(TA[[#This Row],[Affected Equipment]],'Basic Data'!$I$2:$K$40,3,0),"")</f>
        <v>1.7241379310344799E-3</v>
      </c>
      <c r="N1125">
        <v>-28</v>
      </c>
      <c r="O1125" t="s">
        <v>133</v>
      </c>
      <c r="P1125" s="127" t="s">
        <v>316</v>
      </c>
      <c r="Q1125" s="126" t="s">
        <v>317</v>
      </c>
      <c r="R1125">
        <v>7</v>
      </c>
      <c r="S1125" s="2">
        <v>32</v>
      </c>
      <c r="T1125" t="s">
        <v>295</v>
      </c>
      <c r="U1125" t="s">
        <v>300</v>
      </c>
      <c r="V1125" t="s">
        <v>298</v>
      </c>
      <c r="W1125" s="41"/>
      <c r="X1125" s="41"/>
      <c r="Y1125" s="34"/>
      <c r="Z1125" s="34"/>
      <c r="AA1125" s="35">
        <f>IF(TA[[#This Row],[Work Start time on Fault]]="NA","",(TA[[#This Row],[Fault Acknowledgement Time ]]-TA[[#This Row],[Fault Time]])*24)</f>
        <v>0</v>
      </c>
      <c r="AB1125" s="35">
        <f>(TA[[#This Row],[Work Start time on Fault]]-TA[[#This Row],[Fault Time]])*24</f>
        <v>0</v>
      </c>
      <c r="AC1125" s="34">
        <f>(TA[[#This Row],[Work Completion time on fault]]-TA[[#This Row],[Fault Time]])*24</f>
        <v>0</v>
      </c>
      <c r="AD1125" s="35">
        <f>IFERROR((TA[[#This Row],[Work Completion time on fault]]-TA[[#This Row],[Fault Time]])*24,"")</f>
        <v>0</v>
      </c>
      <c r="AE1125" t="s">
        <v>328</v>
      </c>
      <c r="AF1125" t="s">
        <v>256</v>
      </c>
      <c r="AG1125" s="2"/>
      <c r="AH1125" s="44">
        <f>1-COS(RADIANS(TA[[#This Row],[Avg. Target Angle during Fault Time (Radians)]]-TA[[#This Row],[Angle of affected equipment ]]))</f>
        <v>0.11705240714107301</v>
      </c>
      <c r="AI1125" s="35">
        <f>IFERROR(TA[[#This Row],[Breakdown Time]]*TA[[#This Row],[Plant Equivalent Weightage]],"")</f>
        <v>0</v>
      </c>
    </row>
    <row r="1126" spans="1:35">
      <c r="A1126" s="2">
        <f t="shared" si="109"/>
        <v>1123</v>
      </c>
      <c r="B1126" s="156">
        <f t="shared" si="118"/>
        <v>2026</v>
      </c>
      <c r="C1126" s="129">
        <f t="shared" si="119"/>
        <v>2025</v>
      </c>
      <c r="D1126" s="2" t="s">
        <v>155</v>
      </c>
      <c r="E1126" s="2" t="s">
        <v>155</v>
      </c>
      <c r="F1126" s="39">
        <v>45809</v>
      </c>
      <c r="G1126" s="2">
        <f>DAY(EOMONTH(TA[[#This Row],[Month Year]],0))</f>
        <v>30</v>
      </c>
      <c r="H1126" s="21">
        <v>45823</v>
      </c>
      <c r="I1126" s="41">
        <f>IFERROR(VLOOKUP(TA[[#This Row],[Date]],Raw_Data[[Date]:[Sunset Time (POA&lt;20 W/m2)]],3,0),"")</f>
        <v>0.25</v>
      </c>
      <c r="J1126" s="41">
        <f>IFERROR(VLOOKUP(TA[[#This Row],[Date]],Raw_Data[[Date]:[Sunset Time (POA&lt;20 W/m2)]],4,0),"")</f>
        <v>0.76249999999999996</v>
      </c>
      <c r="K1126" s="35">
        <f>IFERROR((TA[[#This Row],[Sunset Time (POA&lt;20 W/m2)]]-TA[[#This Row],[Sunrise Time (POA&gt;20 W/m2)]])*24,"")</f>
        <v>12.299999999999999</v>
      </c>
      <c r="L1126" s="2" t="s">
        <v>294</v>
      </c>
      <c r="M1126" s="42">
        <f>IFERROR(VLOOKUP(TA[[#This Row],[Affected Equipment]],'Basic Data'!$I$2:$K$40,3,0),"")</f>
        <v>1.7241379310344799E-3</v>
      </c>
      <c r="N1126">
        <v>-28</v>
      </c>
      <c r="O1126" t="s">
        <v>137</v>
      </c>
      <c r="P1126" s="127" t="s">
        <v>315</v>
      </c>
      <c r="Q1126" s="126" t="s">
        <v>319</v>
      </c>
      <c r="R1126">
        <v>166</v>
      </c>
      <c r="S1126" s="2">
        <v>91</v>
      </c>
      <c r="T1126" t="s">
        <v>295</v>
      </c>
      <c r="U1126" t="s">
        <v>300</v>
      </c>
      <c r="V1126" t="s">
        <v>298</v>
      </c>
      <c r="W1126" s="41"/>
      <c r="X1126" s="41"/>
      <c r="Y1126" s="34"/>
      <c r="Z1126" s="34"/>
      <c r="AA1126" s="35">
        <f>IF(TA[[#This Row],[Work Start time on Fault]]="NA","",(TA[[#This Row],[Fault Acknowledgement Time ]]-TA[[#This Row],[Fault Time]])*24)</f>
        <v>0</v>
      </c>
      <c r="AB1126" s="35">
        <f>(TA[[#This Row],[Work Start time on Fault]]-TA[[#This Row],[Fault Time]])*24</f>
        <v>0</v>
      </c>
      <c r="AC1126" s="34">
        <f>(TA[[#This Row],[Work Completion time on fault]]-TA[[#This Row],[Fault Time]])*24</f>
        <v>0</v>
      </c>
      <c r="AD1126" s="35">
        <f>IFERROR((TA[[#This Row],[Work Completion time on fault]]-TA[[#This Row],[Fault Time]])*24,"")</f>
        <v>0</v>
      </c>
      <c r="AE1126" t="s">
        <v>328</v>
      </c>
      <c r="AF1126" t="s">
        <v>256</v>
      </c>
      <c r="AG1126" s="2"/>
      <c r="AH1126" s="44">
        <f>1-COS(RADIANS(TA[[#This Row],[Avg. Target Angle during Fault Time (Radians)]]-TA[[#This Row],[Angle of affected equipment ]]))</f>
        <v>0.11705240714107301</v>
      </c>
      <c r="AI1126" s="35">
        <f>IFERROR(TA[[#This Row],[Breakdown Time]]*TA[[#This Row],[Plant Equivalent Weightage]],"")</f>
        <v>0</v>
      </c>
    </row>
    <row r="1127" spans="1:35">
      <c r="A1127" s="2">
        <f t="shared" ref="A1127:A1190" si="120">A1126+1</f>
        <v>1124</v>
      </c>
      <c r="B1127" s="156">
        <f t="shared" si="118"/>
        <v>2026</v>
      </c>
      <c r="C1127" s="129">
        <f t="shared" si="119"/>
        <v>2025</v>
      </c>
      <c r="D1127" s="2" t="s">
        <v>155</v>
      </c>
      <c r="E1127" s="2" t="s">
        <v>155</v>
      </c>
      <c r="F1127" s="39">
        <v>45809</v>
      </c>
      <c r="G1127" s="2">
        <f>DAY(EOMONTH(TA[[#This Row],[Month Year]],0))</f>
        <v>30</v>
      </c>
      <c r="H1127" s="21">
        <v>45823</v>
      </c>
      <c r="I1127" s="41">
        <f>IFERROR(VLOOKUP(TA[[#This Row],[Date]],Raw_Data[[Date]:[Sunset Time (POA&lt;20 W/m2)]],3,0),"")</f>
        <v>0.25</v>
      </c>
      <c r="J1127" s="41">
        <f>IFERROR(VLOOKUP(TA[[#This Row],[Date]],Raw_Data[[Date]:[Sunset Time (POA&lt;20 W/m2)]],4,0),"")</f>
        <v>0.76249999999999996</v>
      </c>
      <c r="K1127" s="35">
        <f>IFERROR((TA[[#This Row],[Sunset Time (POA&lt;20 W/m2)]]-TA[[#This Row],[Sunrise Time (POA&gt;20 W/m2)]])*24,"")</f>
        <v>12.299999999999999</v>
      </c>
      <c r="L1127" s="2" t="s">
        <v>294</v>
      </c>
      <c r="M1127" s="42">
        <f>IFERROR(VLOOKUP(TA[[#This Row],[Affected Equipment]],'Basic Data'!$I$2:$K$40,3,0),"")</f>
        <v>1.7241379310344799E-3</v>
      </c>
      <c r="N1127">
        <v>-28</v>
      </c>
      <c r="O1127" t="s">
        <v>133</v>
      </c>
      <c r="P1127" s="127" t="s">
        <v>316</v>
      </c>
      <c r="Q1127" s="126" t="s">
        <v>316</v>
      </c>
      <c r="R1127">
        <v>117</v>
      </c>
      <c r="S1127" s="2">
        <v>20</v>
      </c>
      <c r="T1127" t="s">
        <v>295</v>
      </c>
      <c r="U1127" t="s">
        <v>300</v>
      </c>
      <c r="V1127" t="s">
        <v>298</v>
      </c>
      <c r="W1127" s="41"/>
      <c r="X1127" s="41"/>
      <c r="Y1127" s="34"/>
      <c r="Z1127" s="34"/>
      <c r="AA1127" s="35">
        <f>IF(TA[[#This Row],[Work Start time on Fault]]="NA","",(TA[[#This Row],[Fault Acknowledgement Time ]]-TA[[#This Row],[Fault Time]])*24)</f>
        <v>0</v>
      </c>
      <c r="AB1127" s="35">
        <f>(TA[[#This Row],[Work Start time on Fault]]-TA[[#This Row],[Fault Time]])*24</f>
        <v>0</v>
      </c>
      <c r="AC1127" s="34">
        <f>(TA[[#This Row],[Work Completion time on fault]]-TA[[#This Row],[Fault Time]])*24</f>
        <v>0</v>
      </c>
      <c r="AD1127" s="35">
        <f>IFERROR((TA[[#This Row],[Work Completion time on fault]]-TA[[#This Row],[Fault Time]])*24,"")</f>
        <v>0</v>
      </c>
      <c r="AE1127" t="s">
        <v>328</v>
      </c>
      <c r="AF1127" t="s">
        <v>256</v>
      </c>
      <c r="AG1127" s="2"/>
      <c r="AH1127" s="44">
        <f>1-COS(RADIANS(TA[[#This Row],[Avg. Target Angle during Fault Time (Radians)]]-TA[[#This Row],[Angle of affected equipment ]]))</f>
        <v>0.11705240714107301</v>
      </c>
      <c r="AI1127" s="35">
        <f>IFERROR(TA[[#This Row],[Breakdown Time]]*TA[[#This Row],[Plant Equivalent Weightage]],"")</f>
        <v>0</v>
      </c>
    </row>
    <row r="1128" spans="1:35">
      <c r="A1128" s="2">
        <f t="shared" si="120"/>
        <v>1125</v>
      </c>
      <c r="B1128" s="156">
        <f t="shared" si="118"/>
        <v>2026</v>
      </c>
      <c r="C1128" s="129">
        <f t="shared" si="119"/>
        <v>2025</v>
      </c>
      <c r="D1128" s="2" t="s">
        <v>155</v>
      </c>
      <c r="E1128" s="2" t="s">
        <v>155</v>
      </c>
      <c r="F1128" s="39">
        <v>45809</v>
      </c>
      <c r="G1128" s="2">
        <f>DAY(EOMONTH(TA[[#This Row],[Month Year]],0))</f>
        <v>30</v>
      </c>
      <c r="H1128" s="21">
        <v>45823</v>
      </c>
      <c r="I1128" s="41">
        <f>IFERROR(VLOOKUP(TA[[#This Row],[Date]],Raw_Data[[Date]:[Sunset Time (POA&lt;20 W/m2)]],3,0),"")</f>
        <v>0.25</v>
      </c>
      <c r="J1128" s="41">
        <f>IFERROR(VLOOKUP(TA[[#This Row],[Date]],Raw_Data[[Date]:[Sunset Time (POA&lt;20 W/m2)]],4,0),"")</f>
        <v>0.76249999999999996</v>
      </c>
      <c r="K1128" s="35">
        <f>IFERROR((TA[[#This Row],[Sunset Time (POA&lt;20 W/m2)]]-TA[[#This Row],[Sunrise Time (POA&gt;20 W/m2)]])*24,"")</f>
        <v>12.299999999999999</v>
      </c>
      <c r="L1128" s="2" t="s">
        <v>294</v>
      </c>
      <c r="M1128" s="42">
        <f>IFERROR(VLOOKUP(TA[[#This Row],[Affected Equipment]],'Basic Data'!$I$2:$K$40,3,0),"")</f>
        <v>1.7241379310344799E-3</v>
      </c>
      <c r="N1128">
        <v>-28</v>
      </c>
      <c r="O1128" t="s">
        <v>133</v>
      </c>
      <c r="P1128" s="127" t="s">
        <v>316</v>
      </c>
      <c r="Q1128" s="126" t="s">
        <v>316</v>
      </c>
      <c r="R1128">
        <v>118</v>
      </c>
      <c r="S1128" s="2">
        <v>22</v>
      </c>
      <c r="T1128" t="s">
        <v>295</v>
      </c>
      <c r="U1128" t="s">
        <v>300</v>
      </c>
      <c r="V1128" t="s">
        <v>298</v>
      </c>
      <c r="W1128" s="41"/>
      <c r="X1128" s="41"/>
      <c r="Y1128" s="34"/>
      <c r="Z1128" s="34"/>
      <c r="AA1128" s="35">
        <f>IF(TA[[#This Row],[Work Start time on Fault]]="NA","",(TA[[#This Row],[Fault Acknowledgement Time ]]-TA[[#This Row],[Fault Time]])*24)</f>
        <v>0</v>
      </c>
      <c r="AB1128" s="35">
        <f>(TA[[#This Row],[Work Start time on Fault]]-TA[[#This Row],[Fault Time]])*24</f>
        <v>0</v>
      </c>
      <c r="AC1128" s="34">
        <f>(TA[[#This Row],[Work Completion time on fault]]-TA[[#This Row],[Fault Time]])*24</f>
        <v>0</v>
      </c>
      <c r="AD1128" s="35">
        <f>IFERROR((TA[[#This Row],[Work Completion time on fault]]-TA[[#This Row],[Fault Time]])*24,"")</f>
        <v>0</v>
      </c>
      <c r="AE1128" t="s">
        <v>328</v>
      </c>
      <c r="AF1128" t="s">
        <v>256</v>
      </c>
      <c r="AG1128" s="2"/>
      <c r="AH1128" s="44">
        <f>1-COS(RADIANS(TA[[#This Row],[Avg. Target Angle during Fault Time (Radians)]]-TA[[#This Row],[Angle of affected equipment ]]))</f>
        <v>0.11705240714107301</v>
      </c>
      <c r="AI1128" s="35">
        <f>IFERROR(TA[[#This Row],[Breakdown Time]]*TA[[#This Row],[Plant Equivalent Weightage]],"")</f>
        <v>0</v>
      </c>
    </row>
    <row r="1129" spans="1:35">
      <c r="A1129" s="2">
        <f t="shared" si="120"/>
        <v>1126</v>
      </c>
      <c r="B1129" s="156">
        <f t="shared" si="118"/>
        <v>2026</v>
      </c>
      <c r="C1129" s="129">
        <f t="shared" si="119"/>
        <v>2025</v>
      </c>
      <c r="D1129" s="2" t="s">
        <v>155</v>
      </c>
      <c r="E1129" s="2" t="s">
        <v>155</v>
      </c>
      <c r="F1129" s="39">
        <v>45809</v>
      </c>
      <c r="G1129" s="2">
        <f>DAY(EOMONTH(TA[[#This Row],[Month Year]],0))</f>
        <v>30</v>
      </c>
      <c r="H1129" s="21">
        <v>45823</v>
      </c>
      <c r="I1129" s="41">
        <f>IFERROR(VLOOKUP(TA[[#This Row],[Date]],Raw_Data[[Date]:[Sunset Time (POA&lt;20 W/m2)]],3,0),"")</f>
        <v>0.25</v>
      </c>
      <c r="J1129" s="41">
        <f>IFERROR(VLOOKUP(TA[[#This Row],[Date]],Raw_Data[[Date]:[Sunset Time (POA&lt;20 W/m2)]],4,0),"")</f>
        <v>0.76249999999999996</v>
      </c>
      <c r="K1129" s="35">
        <f>IFERROR((TA[[#This Row],[Sunset Time (POA&lt;20 W/m2)]]-TA[[#This Row],[Sunrise Time (POA&gt;20 W/m2)]])*24,"")</f>
        <v>12.299999999999999</v>
      </c>
      <c r="L1129" s="2" t="s">
        <v>296</v>
      </c>
      <c r="M1129" s="42">
        <f>IFERROR(VLOOKUP(TA[[#This Row],[Affected Equipment]],'Basic Data'!$I$2:$K$40,3,0),"")</f>
        <v>8.6206896551724102E-3</v>
      </c>
      <c r="N1129">
        <v>-28</v>
      </c>
      <c r="O1129" t="s">
        <v>135</v>
      </c>
      <c r="P1129" s="22" t="s">
        <v>323</v>
      </c>
      <c r="Q1129" s="2" t="s">
        <v>329</v>
      </c>
      <c r="R1129">
        <v>45</v>
      </c>
      <c r="S1129" s="2">
        <v>8</v>
      </c>
      <c r="T1129" t="s">
        <v>297</v>
      </c>
      <c r="U1129" t="s">
        <v>300</v>
      </c>
      <c r="V1129" t="s">
        <v>301</v>
      </c>
      <c r="W1129" s="41"/>
      <c r="X1129" s="41"/>
      <c r="Y1129" s="34"/>
      <c r="Z1129" s="34"/>
      <c r="AA1129" s="35">
        <f>IF(TA[[#This Row],[Work Start time on Fault]]="NA","",(TA[[#This Row],[Fault Acknowledgement Time ]]-TA[[#This Row],[Fault Time]])*24)</f>
        <v>0</v>
      </c>
      <c r="AB1129" s="35">
        <f>(TA[[#This Row],[Work Start time on Fault]]-TA[[#This Row],[Fault Time]])*24</f>
        <v>0</v>
      </c>
      <c r="AC1129" s="34">
        <f>(TA[[#This Row],[Work Completion time on fault]]-TA[[#This Row],[Fault Time]])*24</f>
        <v>0</v>
      </c>
      <c r="AD1129" s="35">
        <f>IFERROR((TA[[#This Row],[Work Completion time on fault]]-TA[[#This Row],[Fault Time]])*24,"")</f>
        <v>0</v>
      </c>
      <c r="AE1129" t="s">
        <v>328</v>
      </c>
      <c r="AF1129" t="s">
        <v>256</v>
      </c>
      <c r="AG1129" s="2"/>
      <c r="AH1129" s="44">
        <f>1-COS(RADIANS(TA[[#This Row],[Avg. Target Angle during Fault Time (Radians)]]-TA[[#This Row],[Angle of affected equipment ]]))</f>
        <v>0.11705240714107301</v>
      </c>
      <c r="AI1129" s="35">
        <f>IFERROR(TA[[#This Row],[Breakdown Time]]*TA[[#This Row],[Plant Equivalent Weightage]],"")</f>
        <v>0</v>
      </c>
    </row>
    <row r="1130" spans="1:35">
      <c r="A1130" s="2">
        <f t="shared" si="120"/>
        <v>1127</v>
      </c>
      <c r="B1130" s="156">
        <f t="shared" si="118"/>
        <v>2026</v>
      </c>
      <c r="C1130" s="129">
        <f t="shared" si="119"/>
        <v>2025</v>
      </c>
      <c r="D1130" s="2" t="s">
        <v>155</v>
      </c>
      <c r="E1130" s="2" t="s">
        <v>155</v>
      </c>
      <c r="F1130" s="39">
        <v>45809</v>
      </c>
      <c r="G1130" s="2">
        <f>DAY(EOMONTH(TA[[#This Row],[Month Year]],0))</f>
        <v>30</v>
      </c>
      <c r="H1130" s="21">
        <v>45823</v>
      </c>
      <c r="I1130" s="41">
        <f>IFERROR(VLOOKUP(TA[[#This Row],[Date]],Raw_Data[[Date]:[Sunset Time (POA&lt;20 W/m2)]],3,0),"")</f>
        <v>0.25</v>
      </c>
      <c r="J1130" s="41">
        <f>IFERROR(VLOOKUP(TA[[#This Row],[Date]],Raw_Data[[Date]:[Sunset Time (POA&lt;20 W/m2)]],4,0),"")</f>
        <v>0.76249999999999996</v>
      </c>
      <c r="K1130" s="35">
        <f>IFERROR((TA[[#This Row],[Sunset Time (POA&lt;20 W/m2)]]-TA[[#This Row],[Sunrise Time (POA&gt;20 W/m2)]])*24,"")</f>
        <v>12.299999999999999</v>
      </c>
      <c r="L1130" s="2" t="s">
        <v>296</v>
      </c>
      <c r="M1130" s="42">
        <f>IFERROR(VLOOKUP(TA[[#This Row],[Affected Equipment]],'Basic Data'!$I$2:$K$40,3,0),"")</f>
        <v>8.6206896551724102E-3</v>
      </c>
      <c r="N1130">
        <v>-28</v>
      </c>
      <c r="O1130" t="s">
        <v>135</v>
      </c>
      <c r="P1130" s="22" t="s">
        <v>323</v>
      </c>
      <c r="Q1130" s="2" t="s">
        <v>329</v>
      </c>
      <c r="R1130">
        <v>47</v>
      </c>
      <c r="S1130" s="2">
        <v>18</v>
      </c>
      <c r="T1130" t="s">
        <v>297</v>
      </c>
      <c r="U1130" t="s">
        <v>300</v>
      </c>
      <c r="V1130" t="s">
        <v>301</v>
      </c>
      <c r="W1130" s="41"/>
      <c r="X1130" s="41"/>
      <c r="Y1130" s="34"/>
      <c r="Z1130" s="34"/>
      <c r="AA1130" s="35">
        <f>IF(TA[[#This Row],[Work Start time on Fault]]="NA","",(TA[[#This Row],[Fault Acknowledgement Time ]]-TA[[#This Row],[Fault Time]])*24)</f>
        <v>0</v>
      </c>
      <c r="AB1130" s="35">
        <f>(TA[[#This Row],[Work Start time on Fault]]-TA[[#This Row],[Fault Time]])*24</f>
        <v>0</v>
      </c>
      <c r="AC1130" s="34">
        <f>(TA[[#This Row],[Work Completion time on fault]]-TA[[#This Row],[Fault Time]])*24</f>
        <v>0</v>
      </c>
      <c r="AD1130" s="35">
        <f>IFERROR((TA[[#This Row],[Work Completion time on fault]]-TA[[#This Row],[Fault Time]])*24,"")</f>
        <v>0</v>
      </c>
      <c r="AE1130" t="s">
        <v>328</v>
      </c>
      <c r="AF1130" t="s">
        <v>256</v>
      </c>
      <c r="AG1130" s="2"/>
      <c r="AH1130" s="44">
        <f>1-COS(RADIANS(TA[[#This Row],[Avg. Target Angle during Fault Time (Radians)]]-TA[[#This Row],[Angle of affected equipment ]]))</f>
        <v>0.11705240714107301</v>
      </c>
      <c r="AI1130" s="35">
        <f>IFERROR(TA[[#This Row],[Breakdown Time]]*TA[[#This Row],[Plant Equivalent Weightage]],"")</f>
        <v>0</v>
      </c>
    </row>
    <row r="1131" spans="1:35">
      <c r="A1131" s="2">
        <f t="shared" si="120"/>
        <v>1128</v>
      </c>
      <c r="B1131" s="156">
        <f t="shared" si="118"/>
        <v>2026</v>
      </c>
      <c r="C1131" s="129">
        <f t="shared" si="119"/>
        <v>2025</v>
      </c>
      <c r="D1131" s="2" t="s">
        <v>155</v>
      </c>
      <c r="E1131" s="2" t="s">
        <v>155</v>
      </c>
      <c r="F1131" s="39">
        <v>45809</v>
      </c>
      <c r="G1131" s="2">
        <f>DAY(EOMONTH(TA[[#This Row],[Month Year]],0))</f>
        <v>30</v>
      </c>
      <c r="H1131" s="21">
        <v>45823</v>
      </c>
      <c r="I1131" s="41">
        <f>IFERROR(VLOOKUP(TA[[#This Row],[Date]],Raw_Data[[Date]:[Sunset Time (POA&lt;20 W/m2)]],3,0),"")</f>
        <v>0.25</v>
      </c>
      <c r="J1131" s="41">
        <f>IFERROR(VLOOKUP(TA[[#This Row],[Date]],Raw_Data[[Date]:[Sunset Time (POA&lt;20 W/m2)]],4,0),"")</f>
        <v>0.76249999999999996</v>
      </c>
      <c r="K1131" s="35">
        <f>IFERROR((TA[[#This Row],[Sunset Time (POA&lt;20 W/m2)]]-TA[[#This Row],[Sunrise Time (POA&gt;20 W/m2)]])*24,"")</f>
        <v>12.299999999999999</v>
      </c>
      <c r="L1131" s="2" t="s">
        <v>296</v>
      </c>
      <c r="M1131" s="42">
        <f>IFERROR(VLOOKUP(TA[[#This Row],[Affected Equipment]],'Basic Data'!$I$2:$K$40,3,0),"")</f>
        <v>8.6206896551724102E-3</v>
      </c>
      <c r="N1131">
        <v>-28</v>
      </c>
      <c r="O1131" t="s">
        <v>134</v>
      </c>
      <c r="P1131" s="22" t="s">
        <v>330</v>
      </c>
      <c r="Q1131" s="2" t="s">
        <v>323</v>
      </c>
      <c r="R1131">
        <v>30</v>
      </c>
      <c r="S1131" s="2">
        <v>57</v>
      </c>
      <c r="T1131" t="s">
        <v>297</v>
      </c>
      <c r="U1131" t="s">
        <v>300</v>
      </c>
      <c r="V1131" t="s">
        <v>301</v>
      </c>
      <c r="W1131" s="41"/>
      <c r="X1131" s="41"/>
      <c r="Y1131" s="34"/>
      <c r="Z1131" s="34"/>
      <c r="AA1131" s="35">
        <f>IF(TA[[#This Row],[Work Start time on Fault]]="NA","",(TA[[#This Row],[Fault Acknowledgement Time ]]-TA[[#This Row],[Fault Time]])*24)</f>
        <v>0</v>
      </c>
      <c r="AB1131" s="35">
        <f>(TA[[#This Row],[Work Start time on Fault]]-TA[[#This Row],[Fault Time]])*24</f>
        <v>0</v>
      </c>
      <c r="AC1131" s="34">
        <f>(TA[[#This Row],[Work Completion time on fault]]-TA[[#This Row],[Fault Time]])*24</f>
        <v>0</v>
      </c>
      <c r="AD1131" s="35">
        <f>IFERROR((TA[[#This Row],[Work Completion time on fault]]-TA[[#This Row],[Fault Time]])*24,"")</f>
        <v>0</v>
      </c>
      <c r="AE1131" t="s">
        <v>328</v>
      </c>
      <c r="AF1131" t="s">
        <v>256</v>
      </c>
      <c r="AG1131" s="2"/>
      <c r="AH1131" s="44">
        <f>1-COS(RADIANS(TA[[#This Row],[Avg. Target Angle during Fault Time (Radians)]]-TA[[#This Row],[Angle of affected equipment ]]))</f>
        <v>0.11705240714107301</v>
      </c>
      <c r="AI1131" s="35">
        <f>IFERROR(TA[[#This Row],[Breakdown Time]]*TA[[#This Row],[Plant Equivalent Weightage]],"")</f>
        <v>0</v>
      </c>
    </row>
    <row r="1132" spans="1:35">
      <c r="A1132" s="2">
        <f t="shared" si="120"/>
        <v>1129</v>
      </c>
      <c r="B1132" s="156">
        <f t="shared" si="118"/>
        <v>2026</v>
      </c>
      <c r="C1132" s="129">
        <f t="shared" si="119"/>
        <v>2025</v>
      </c>
      <c r="D1132" s="2" t="s">
        <v>155</v>
      </c>
      <c r="E1132" s="2" t="s">
        <v>155</v>
      </c>
      <c r="F1132" s="39">
        <v>45809</v>
      </c>
      <c r="G1132" s="2">
        <f>DAY(EOMONTH(TA[[#This Row],[Month Year]],0))</f>
        <v>30</v>
      </c>
      <c r="H1132" s="21">
        <v>45823</v>
      </c>
      <c r="I1132" s="41">
        <f>IFERROR(VLOOKUP(TA[[#This Row],[Date]],Raw_Data[[Date]:[Sunset Time (POA&lt;20 W/m2)]],3,0),"")</f>
        <v>0.25</v>
      </c>
      <c r="J1132" s="41">
        <f>IFERROR(VLOOKUP(TA[[#This Row],[Date]],Raw_Data[[Date]:[Sunset Time (POA&lt;20 W/m2)]],4,0),"")</f>
        <v>0.76249999999999996</v>
      </c>
      <c r="K1132" s="35">
        <f>IFERROR((TA[[#This Row],[Sunset Time (POA&lt;20 W/m2)]]-TA[[#This Row],[Sunrise Time (POA&gt;20 W/m2)]])*24,"")</f>
        <v>12.299999999999999</v>
      </c>
      <c r="L1132" s="2" t="s">
        <v>296</v>
      </c>
      <c r="M1132" s="42">
        <f>IFERROR(VLOOKUP(TA[[#This Row],[Affected Equipment]],'Basic Data'!$I$2:$K$40,3,0),"")</f>
        <v>8.6206896551724102E-3</v>
      </c>
      <c r="N1132">
        <v>-28</v>
      </c>
      <c r="O1132" t="s">
        <v>134</v>
      </c>
      <c r="P1132" s="22" t="s">
        <v>330</v>
      </c>
      <c r="Q1132" s="2" t="s">
        <v>323</v>
      </c>
      <c r="R1132">
        <v>31</v>
      </c>
      <c r="S1132" s="2">
        <v>61</v>
      </c>
      <c r="T1132" t="s">
        <v>297</v>
      </c>
      <c r="U1132" t="s">
        <v>300</v>
      </c>
      <c r="V1132" t="s">
        <v>301</v>
      </c>
      <c r="W1132" s="41"/>
      <c r="X1132" s="41"/>
      <c r="Y1132" s="34"/>
      <c r="Z1132" s="34"/>
      <c r="AA1132" s="35">
        <f>IF(TA[[#This Row],[Work Start time on Fault]]="NA","",(TA[[#This Row],[Fault Acknowledgement Time ]]-TA[[#This Row],[Fault Time]])*24)</f>
        <v>0</v>
      </c>
      <c r="AB1132" s="35">
        <f>(TA[[#This Row],[Work Start time on Fault]]-TA[[#This Row],[Fault Time]])*24</f>
        <v>0</v>
      </c>
      <c r="AC1132" s="34">
        <f>(TA[[#This Row],[Work Completion time on fault]]-TA[[#This Row],[Fault Time]])*24</f>
        <v>0</v>
      </c>
      <c r="AD1132" s="35">
        <f>IFERROR((TA[[#This Row],[Work Completion time on fault]]-TA[[#This Row],[Fault Time]])*24,"")</f>
        <v>0</v>
      </c>
      <c r="AE1132" t="s">
        <v>328</v>
      </c>
      <c r="AF1132" t="s">
        <v>256</v>
      </c>
      <c r="AG1132" s="2"/>
      <c r="AH1132" s="44">
        <f>1-COS(RADIANS(TA[[#This Row],[Avg. Target Angle during Fault Time (Radians)]]-TA[[#This Row],[Angle of affected equipment ]]))</f>
        <v>0.11705240714107301</v>
      </c>
      <c r="AI1132" s="35">
        <f>IFERROR(TA[[#This Row],[Breakdown Time]]*TA[[#This Row],[Plant Equivalent Weightage]],"")</f>
        <v>0</v>
      </c>
    </row>
    <row r="1133" spans="1:35">
      <c r="A1133" s="2">
        <f t="shared" si="120"/>
        <v>1130</v>
      </c>
      <c r="B1133" s="156">
        <f t="shared" si="118"/>
        <v>2026</v>
      </c>
      <c r="C1133" s="129">
        <f t="shared" si="119"/>
        <v>2025</v>
      </c>
      <c r="D1133" s="2" t="s">
        <v>155</v>
      </c>
      <c r="E1133" s="2" t="s">
        <v>155</v>
      </c>
      <c r="F1133" s="39">
        <v>45809</v>
      </c>
      <c r="G1133" s="2">
        <f>DAY(EOMONTH(TA[[#This Row],[Month Year]],0))</f>
        <v>30</v>
      </c>
      <c r="H1133" s="21">
        <v>45823</v>
      </c>
      <c r="I1133" s="41">
        <f>IFERROR(VLOOKUP(TA[[#This Row],[Date]],Raw_Data[[Date]:[Sunset Time (POA&lt;20 W/m2)]],3,0),"")</f>
        <v>0.25</v>
      </c>
      <c r="J1133" s="41">
        <f>IFERROR(VLOOKUP(TA[[#This Row],[Date]],Raw_Data[[Date]:[Sunset Time (POA&lt;20 W/m2)]],4,0),"")</f>
        <v>0.76249999999999996</v>
      </c>
      <c r="K1133" s="35">
        <f>IFERROR((TA[[#This Row],[Sunset Time (POA&lt;20 W/m2)]]-TA[[#This Row],[Sunrise Time (POA&gt;20 W/m2)]])*24,"")</f>
        <v>12.299999999999999</v>
      </c>
      <c r="L1133" s="2" t="s">
        <v>312</v>
      </c>
      <c r="M1133" s="42">
        <f>IFERROR(VLOOKUP(TA[[#This Row],[Affected Equipment]],'Basic Data'!$I$2:$K$40,3,0),"")</f>
        <v>5.74712643678161E-3</v>
      </c>
      <c r="N1133">
        <v>-28</v>
      </c>
      <c r="O1133" t="s">
        <v>133</v>
      </c>
      <c r="P1133" s="22" t="s">
        <v>330</v>
      </c>
      <c r="Q1133" s="2" t="s">
        <v>323</v>
      </c>
      <c r="R1133">
        <v>26</v>
      </c>
      <c r="S1133" s="2">
        <v>37</v>
      </c>
      <c r="T1133" t="s">
        <v>297</v>
      </c>
      <c r="U1133" t="s">
        <v>300</v>
      </c>
      <c r="V1133" t="s">
        <v>301</v>
      </c>
      <c r="W1133" s="41"/>
      <c r="X1133" s="41"/>
      <c r="Y1133" s="34"/>
      <c r="Z1133" s="34"/>
      <c r="AA1133" s="35">
        <f>IF(TA[[#This Row],[Work Start time on Fault]]="NA","",(TA[[#This Row],[Fault Acknowledgement Time ]]-TA[[#This Row],[Fault Time]])*24)</f>
        <v>0</v>
      </c>
      <c r="AB1133" s="35">
        <f>(TA[[#This Row],[Work Start time on Fault]]-TA[[#This Row],[Fault Time]])*24</f>
        <v>0</v>
      </c>
      <c r="AC1133" s="34">
        <f>(TA[[#This Row],[Work Completion time on fault]]-TA[[#This Row],[Fault Time]])*24</f>
        <v>0</v>
      </c>
      <c r="AD1133" s="35">
        <f>IFERROR((TA[[#This Row],[Work Completion time on fault]]-TA[[#This Row],[Fault Time]])*24,"")</f>
        <v>0</v>
      </c>
      <c r="AE1133" t="s">
        <v>328</v>
      </c>
      <c r="AF1133" t="s">
        <v>256</v>
      </c>
      <c r="AG1133" s="2"/>
      <c r="AH1133" s="44">
        <f>1-COS(RADIANS(TA[[#This Row],[Avg. Target Angle during Fault Time (Radians)]]-TA[[#This Row],[Angle of affected equipment ]]))</f>
        <v>0.11705240714107301</v>
      </c>
      <c r="AI1133" s="35">
        <f>IFERROR(TA[[#This Row],[Breakdown Time]]*TA[[#This Row],[Plant Equivalent Weightage]],"")</f>
        <v>0</v>
      </c>
    </row>
    <row r="1134" spans="1:35">
      <c r="A1134" s="2">
        <f t="shared" si="120"/>
        <v>1131</v>
      </c>
      <c r="B1134" s="156">
        <f t="shared" si="118"/>
        <v>2026</v>
      </c>
      <c r="C1134" s="129">
        <f t="shared" si="119"/>
        <v>2025</v>
      </c>
      <c r="D1134" s="2" t="s">
        <v>155</v>
      </c>
      <c r="E1134" s="2" t="s">
        <v>155</v>
      </c>
      <c r="F1134" s="39">
        <v>45809</v>
      </c>
      <c r="G1134" s="2">
        <f>DAY(EOMONTH(TA[[#This Row],[Month Year]],0))</f>
        <v>30</v>
      </c>
      <c r="H1134" s="21">
        <v>45823</v>
      </c>
      <c r="I1134" s="41">
        <f>IFERROR(VLOOKUP(TA[[#This Row],[Date]],Raw_Data[[Date]:[Sunset Time (POA&lt;20 W/m2)]],3,0),"")</f>
        <v>0.25</v>
      </c>
      <c r="J1134" s="41">
        <f>IFERROR(VLOOKUP(TA[[#This Row],[Date]],Raw_Data[[Date]:[Sunset Time (POA&lt;20 W/m2)]],4,0),"")</f>
        <v>0.76249999999999996</v>
      </c>
      <c r="K1134" s="35">
        <f>IFERROR((TA[[#This Row],[Sunset Time (POA&lt;20 W/m2)]]-TA[[#This Row],[Sunrise Time (POA&gt;20 W/m2)]])*24,"")</f>
        <v>12.299999999999999</v>
      </c>
      <c r="L1134" s="2" t="s">
        <v>312</v>
      </c>
      <c r="M1134" s="42">
        <f>IFERROR(VLOOKUP(TA[[#This Row],[Affected Equipment]],'Basic Data'!$I$2:$K$40,3,0),"")</f>
        <v>5.74712643678161E-3</v>
      </c>
      <c r="N1134">
        <v>-28</v>
      </c>
      <c r="O1134" t="s">
        <v>133</v>
      </c>
      <c r="P1134" s="22" t="s">
        <v>330</v>
      </c>
      <c r="Q1134" s="2" t="s">
        <v>323</v>
      </c>
      <c r="R1134">
        <v>27</v>
      </c>
      <c r="S1134" s="2">
        <v>42</v>
      </c>
      <c r="T1134" t="s">
        <v>297</v>
      </c>
      <c r="U1134" t="s">
        <v>300</v>
      </c>
      <c r="V1134" t="s">
        <v>301</v>
      </c>
      <c r="W1134" s="41">
        <f>IFERROR(VLOOKUP(TA[[#This Row],[Date]],Raw_Data[[Date]:[Sunset Time (POA&lt;20 W/m2)]],3,0),"")</f>
        <v>0.25</v>
      </c>
      <c r="X1134" s="41">
        <f>IFERROR(VLOOKUP(TA[[#This Row],[Date]],Raw_Data[[Date]:[Sunset Time (POA&lt;20 W/m2)]],3,0),"")</f>
        <v>0.25</v>
      </c>
      <c r="Y1134" s="34"/>
      <c r="Z1134" s="34">
        <v>0.76041666666666663</v>
      </c>
      <c r="AA1134" s="35">
        <f>IF(TA[[#This Row],[Work Start time on Fault]]="NA","",(TA[[#This Row],[Fault Acknowledgement Time ]]-TA[[#This Row],[Fault Time]])*24)</f>
        <v>0</v>
      </c>
      <c r="AB1134" s="35">
        <f>(TA[[#This Row],[Work Start time on Fault]]-TA[[#This Row],[Fault Time]])*24</f>
        <v>-6</v>
      </c>
      <c r="AC1134" s="34">
        <f>(TA[[#This Row],[Work Completion time on fault]]-TA[[#This Row],[Fault Time]])*24</f>
        <v>12.25</v>
      </c>
      <c r="AD1134" s="35">
        <f>IFERROR((TA[[#This Row],[Work Completion time on fault]]-TA[[#This Row],[Fault Time]])*24,"")</f>
        <v>12.25</v>
      </c>
      <c r="AE1134" t="s">
        <v>309</v>
      </c>
      <c r="AF1134" t="s">
        <v>256</v>
      </c>
      <c r="AG1134" s="2"/>
      <c r="AH1134" s="44">
        <f>1-COS(RADIANS(TA[[#This Row],[Avg. Target Angle during Fault Time (Radians)]]-TA[[#This Row],[Angle of affected equipment ]]))</f>
        <v>0.11705240714107301</v>
      </c>
      <c r="AI1134" s="35">
        <f>IFERROR(TA[[#This Row],[Breakdown Time]]*TA[[#This Row],[Plant Equivalent Weightage]],"")</f>
        <v>7.0402298850574724E-2</v>
      </c>
    </row>
    <row r="1135" spans="1:35">
      <c r="A1135" s="2">
        <f t="shared" si="120"/>
        <v>1132</v>
      </c>
      <c r="B1135" s="156">
        <f t="shared" ref="B1135:B1147" si="121">YEAR(H1135)+IF(MONTH(H1135)&gt;=4,1,0)</f>
        <v>2026</v>
      </c>
      <c r="C1135" s="129">
        <f t="shared" ref="C1135:C1147" si="122">YEAR(H1135)</f>
        <v>2025</v>
      </c>
      <c r="D1135" s="2" t="s">
        <v>155</v>
      </c>
      <c r="E1135" s="2" t="s">
        <v>155</v>
      </c>
      <c r="F1135" s="39">
        <v>45809</v>
      </c>
      <c r="G1135" s="2">
        <f>DAY(EOMONTH(TA[[#This Row],[Month Year]],0))</f>
        <v>30</v>
      </c>
      <c r="H1135" s="21">
        <v>45824</v>
      </c>
      <c r="I1135" s="41">
        <f>IFERROR(VLOOKUP(TA[[#This Row],[Date]],Raw_Data[[Date]:[Sunset Time (POA&lt;20 W/m2)]],3,0),"")</f>
        <v>0.25763888888888886</v>
      </c>
      <c r="J1135" s="41">
        <f>IFERROR(VLOOKUP(TA[[#This Row],[Date]],Raw_Data[[Date]:[Sunset Time (POA&lt;20 W/m2)]],4,0),"")</f>
        <v>0.75416666666666665</v>
      </c>
      <c r="K1135" s="35">
        <f>IFERROR((TA[[#This Row],[Sunset Time (POA&lt;20 W/m2)]]-TA[[#This Row],[Sunrise Time (POA&gt;20 W/m2)]])*24,"")</f>
        <v>11.916666666666668</v>
      </c>
      <c r="L1135" s="2" t="s">
        <v>294</v>
      </c>
      <c r="M1135" s="42">
        <f>IFERROR(VLOOKUP(TA[[#This Row],[Affected Equipment]],'Basic Data'!$I$2:$K$40,3,0),"")</f>
        <v>1.7241379310344799E-3</v>
      </c>
      <c r="N1135">
        <v>-28</v>
      </c>
      <c r="O1135" t="s">
        <v>135</v>
      </c>
      <c r="P1135" s="127" t="s">
        <v>318</v>
      </c>
      <c r="Q1135" s="126" t="s">
        <v>318</v>
      </c>
      <c r="R1135">
        <v>131</v>
      </c>
      <c r="S1135" s="2">
        <v>38</v>
      </c>
      <c r="T1135" t="s">
        <v>295</v>
      </c>
      <c r="U1135" t="s">
        <v>300</v>
      </c>
      <c r="V1135" t="s">
        <v>298</v>
      </c>
      <c r="W1135" s="41"/>
      <c r="X1135" s="41"/>
      <c r="Y1135" s="34"/>
      <c r="Z1135" s="34"/>
      <c r="AA1135" s="35">
        <f>IF(TA[[#This Row],[Work Start time on Fault]]="NA","",(TA[[#This Row],[Fault Acknowledgement Time ]]-TA[[#This Row],[Fault Time]])*24)</f>
        <v>0</v>
      </c>
      <c r="AB1135" s="35">
        <f>(TA[[#This Row],[Work Start time on Fault]]-TA[[#This Row],[Fault Time]])*24</f>
        <v>0</v>
      </c>
      <c r="AC1135" s="34">
        <f>(TA[[#This Row],[Work Completion time on fault]]-TA[[#This Row],[Fault Time]])*24</f>
        <v>0</v>
      </c>
      <c r="AD1135" s="35">
        <f>IFERROR((TA[[#This Row],[Work Completion time on fault]]-TA[[#This Row],[Fault Time]])*24,"")</f>
        <v>0</v>
      </c>
      <c r="AE1135" t="s">
        <v>328</v>
      </c>
      <c r="AF1135" t="s">
        <v>256</v>
      </c>
      <c r="AG1135" s="2"/>
      <c r="AH1135" s="44">
        <f>1-COS(RADIANS(TA[[#This Row],[Avg. Target Angle during Fault Time (Radians)]]-TA[[#This Row],[Angle of affected equipment ]]))</f>
        <v>0.11705240714107301</v>
      </c>
      <c r="AI1135" s="35">
        <f>IFERROR(TA[[#This Row],[Breakdown Time]]*TA[[#This Row],[Plant Equivalent Weightage]],"")</f>
        <v>0</v>
      </c>
    </row>
    <row r="1136" spans="1:35">
      <c r="A1136" s="2">
        <f t="shared" si="120"/>
        <v>1133</v>
      </c>
      <c r="B1136" s="156">
        <f t="shared" si="121"/>
        <v>2026</v>
      </c>
      <c r="C1136" s="129">
        <f t="shared" si="122"/>
        <v>2025</v>
      </c>
      <c r="D1136" s="2" t="s">
        <v>155</v>
      </c>
      <c r="E1136" s="2" t="s">
        <v>155</v>
      </c>
      <c r="F1136" s="39">
        <v>45809</v>
      </c>
      <c r="G1136" s="2">
        <f>DAY(EOMONTH(TA[[#This Row],[Month Year]],0))</f>
        <v>30</v>
      </c>
      <c r="H1136" s="21">
        <v>45824</v>
      </c>
      <c r="I1136" s="41">
        <f>IFERROR(VLOOKUP(TA[[#This Row],[Date]],Raw_Data[[Date]:[Sunset Time (POA&lt;20 W/m2)]],3,0),"")</f>
        <v>0.25763888888888886</v>
      </c>
      <c r="J1136" s="41">
        <f>IFERROR(VLOOKUP(TA[[#This Row],[Date]],Raw_Data[[Date]:[Sunset Time (POA&lt;20 W/m2)]],4,0),"")</f>
        <v>0.75416666666666665</v>
      </c>
      <c r="K1136" s="35">
        <f>IFERROR((TA[[#This Row],[Sunset Time (POA&lt;20 W/m2)]]-TA[[#This Row],[Sunrise Time (POA&gt;20 W/m2)]])*24,"")</f>
        <v>11.916666666666668</v>
      </c>
      <c r="L1136" s="2" t="s">
        <v>294</v>
      </c>
      <c r="M1136" s="42">
        <f>IFERROR(VLOOKUP(TA[[#This Row],[Affected Equipment]],'Basic Data'!$I$2:$K$40,3,0),"")</f>
        <v>1.7241379310344799E-3</v>
      </c>
      <c r="N1136">
        <v>-28</v>
      </c>
      <c r="O1136" t="s">
        <v>135</v>
      </c>
      <c r="P1136" s="127" t="s">
        <v>318</v>
      </c>
      <c r="Q1136" s="126" t="s">
        <v>318</v>
      </c>
      <c r="R1136">
        <v>131</v>
      </c>
      <c r="S1136" s="2">
        <v>39</v>
      </c>
      <c r="T1136" t="s">
        <v>295</v>
      </c>
      <c r="U1136" t="s">
        <v>300</v>
      </c>
      <c r="V1136" t="s">
        <v>298</v>
      </c>
      <c r="W1136" s="41"/>
      <c r="X1136" s="41"/>
      <c r="Y1136" s="34"/>
      <c r="Z1136" s="34"/>
      <c r="AA1136" s="35">
        <f>IF(TA[[#This Row],[Work Start time on Fault]]="NA","",(TA[[#This Row],[Fault Acknowledgement Time ]]-TA[[#This Row],[Fault Time]])*24)</f>
        <v>0</v>
      </c>
      <c r="AB1136" s="35">
        <f>(TA[[#This Row],[Work Start time on Fault]]-TA[[#This Row],[Fault Time]])*24</f>
        <v>0</v>
      </c>
      <c r="AC1136" s="34">
        <f>(TA[[#This Row],[Work Completion time on fault]]-TA[[#This Row],[Fault Time]])*24</f>
        <v>0</v>
      </c>
      <c r="AD1136" s="35">
        <f>IFERROR((TA[[#This Row],[Work Completion time on fault]]-TA[[#This Row],[Fault Time]])*24,"")</f>
        <v>0</v>
      </c>
      <c r="AE1136" t="s">
        <v>328</v>
      </c>
      <c r="AF1136" t="s">
        <v>256</v>
      </c>
      <c r="AG1136" s="2"/>
      <c r="AH1136" s="44">
        <f>1-COS(RADIANS(TA[[#This Row],[Avg. Target Angle during Fault Time (Radians)]]-TA[[#This Row],[Angle of affected equipment ]]))</f>
        <v>0.11705240714107301</v>
      </c>
      <c r="AI1136" s="35">
        <f>IFERROR(TA[[#This Row],[Breakdown Time]]*TA[[#This Row],[Plant Equivalent Weightage]],"")</f>
        <v>0</v>
      </c>
    </row>
    <row r="1137" spans="1:35">
      <c r="A1137" s="2">
        <f t="shared" si="120"/>
        <v>1134</v>
      </c>
      <c r="B1137" s="156">
        <f t="shared" si="121"/>
        <v>2026</v>
      </c>
      <c r="C1137" s="129">
        <f t="shared" si="122"/>
        <v>2025</v>
      </c>
      <c r="D1137" s="2" t="s">
        <v>155</v>
      </c>
      <c r="E1137" s="2" t="s">
        <v>155</v>
      </c>
      <c r="F1137" s="39">
        <v>45809</v>
      </c>
      <c r="G1137" s="2">
        <f>DAY(EOMONTH(TA[[#This Row],[Month Year]],0))</f>
        <v>30</v>
      </c>
      <c r="H1137" s="21">
        <v>45824</v>
      </c>
      <c r="I1137" s="41">
        <f>IFERROR(VLOOKUP(TA[[#This Row],[Date]],Raw_Data[[Date]:[Sunset Time (POA&lt;20 W/m2)]],3,0),"")</f>
        <v>0.25763888888888886</v>
      </c>
      <c r="J1137" s="41">
        <f>IFERROR(VLOOKUP(TA[[#This Row],[Date]],Raw_Data[[Date]:[Sunset Time (POA&lt;20 W/m2)]],4,0),"")</f>
        <v>0.75416666666666665</v>
      </c>
      <c r="K1137" s="35">
        <f>IFERROR((TA[[#This Row],[Sunset Time (POA&lt;20 W/m2)]]-TA[[#This Row],[Sunrise Time (POA&gt;20 W/m2)]])*24,"")</f>
        <v>11.916666666666668</v>
      </c>
      <c r="L1137" s="2" t="s">
        <v>296</v>
      </c>
      <c r="M1137" s="42">
        <f>IFERROR(VLOOKUP(TA[[#This Row],[Affected Equipment]],'Basic Data'!$I$2:$K$40,3,0),"")</f>
        <v>8.6206896551724102E-3</v>
      </c>
      <c r="N1137">
        <v>-28</v>
      </c>
      <c r="O1137" t="s">
        <v>135</v>
      </c>
      <c r="P1137" s="127" t="s">
        <v>318</v>
      </c>
      <c r="Q1137" s="2" t="s">
        <v>321</v>
      </c>
      <c r="R1137">
        <v>133</v>
      </c>
      <c r="S1137" s="2">
        <v>26</v>
      </c>
      <c r="T1137" t="s">
        <v>297</v>
      </c>
      <c r="U1137" t="s">
        <v>300</v>
      </c>
      <c r="V1137" t="s">
        <v>314</v>
      </c>
      <c r="W1137" s="41">
        <f>IFERROR(VLOOKUP(TA[[#This Row],[Date]],Raw_Data[[Date]:[Sunset Time (POA&lt;20 W/m2)]],3,0),"")</f>
        <v>0.25763888888888886</v>
      </c>
      <c r="X1137" s="41">
        <f>IFERROR(VLOOKUP(TA[[#This Row],[Date]],Raw_Data[[Date]:[Sunset Time (POA&lt;20 W/m2)]],3,0),"")</f>
        <v>0.25763888888888886</v>
      </c>
      <c r="Y1137" s="34"/>
      <c r="Z1137" s="34">
        <v>0.76041666666666663</v>
      </c>
      <c r="AA1137" s="35">
        <f>IF(TA[[#This Row],[Work Start time on Fault]]="NA","",(TA[[#This Row],[Fault Acknowledgement Time ]]-TA[[#This Row],[Fault Time]])*24)</f>
        <v>0</v>
      </c>
      <c r="AB1137" s="35">
        <f>(TA[[#This Row],[Work Start time on Fault]]-TA[[#This Row],[Fault Time]])*24</f>
        <v>-6.1833333333333327</v>
      </c>
      <c r="AC1137" s="34">
        <f>(TA[[#This Row],[Work Completion time on fault]]-TA[[#This Row],[Fault Time]])*24</f>
        <v>12.066666666666666</v>
      </c>
      <c r="AD1137" s="35">
        <f>IFERROR((TA[[#This Row],[Work Completion time on fault]]-TA[[#This Row],[Fault Time]])*24,"")</f>
        <v>12.066666666666666</v>
      </c>
      <c r="AE1137" t="s">
        <v>328</v>
      </c>
      <c r="AF1137" t="s">
        <v>256</v>
      </c>
      <c r="AG1137" s="2"/>
      <c r="AH1137" s="44">
        <f>1-COS(RADIANS(TA[[#This Row],[Avg. Target Angle during Fault Time (Radians)]]-TA[[#This Row],[Angle of affected equipment ]]))</f>
        <v>0.11705240714107301</v>
      </c>
      <c r="AI1137" s="35">
        <f>IFERROR(TA[[#This Row],[Breakdown Time]]*TA[[#This Row],[Plant Equivalent Weightage]],"")</f>
        <v>0.10402298850574708</v>
      </c>
    </row>
    <row r="1138" spans="1:35">
      <c r="A1138" s="2">
        <f t="shared" si="120"/>
        <v>1135</v>
      </c>
      <c r="B1138" s="156">
        <f t="shared" si="121"/>
        <v>2026</v>
      </c>
      <c r="C1138" s="129">
        <f t="shared" si="122"/>
        <v>2025</v>
      </c>
      <c r="D1138" s="2" t="s">
        <v>155</v>
      </c>
      <c r="E1138" s="2" t="s">
        <v>155</v>
      </c>
      <c r="F1138" s="39">
        <v>45809</v>
      </c>
      <c r="G1138" s="2">
        <f>DAY(EOMONTH(TA[[#This Row],[Month Year]],0))</f>
        <v>30</v>
      </c>
      <c r="H1138" s="21">
        <v>45824</v>
      </c>
      <c r="I1138" s="41">
        <f>IFERROR(VLOOKUP(TA[[#This Row],[Date]],Raw_Data[[Date]:[Sunset Time (POA&lt;20 W/m2)]],3,0),"")</f>
        <v>0.25763888888888886</v>
      </c>
      <c r="J1138" s="41">
        <f>IFERROR(VLOOKUP(TA[[#This Row],[Date]],Raw_Data[[Date]:[Sunset Time (POA&lt;20 W/m2)]],4,0),"")</f>
        <v>0.75416666666666665</v>
      </c>
      <c r="K1138" s="35">
        <f>IFERROR((TA[[#This Row],[Sunset Time (POA&lt;20 W/m2)]]-TA[[#This Row],[Sunrise Time (POA&gt;20 W/m2)]])*24,"")</f>
        <v>11.916666666666668</v>
      </c>
      <c r="L1138" s="2" t="s">
        <v>294</v>
      </c>
      <c r="M1138" s="42">
        <f>IFERROR(VLOOKUP(TA[[#This Row],[Affected Equipment]],'Basic Data'!$I$2:$K$40,3,0),"")</f>
        <v>1.7241379310344799E-3</v>
      </c>
      <c r="N1138">
        <v>-28</v>
      </c>
      <c r="O1138" t="s">
        <v>133</v>
      </c>
      <c r="P1138" s="127" t="s">
        <v>316</v>
      </c>
      <c r="Q1138" s="126" t="s">
        <v>317</v>
      </c>
      <c r="R1138">
        <v>7</v>
      </c>
      <c r="S1138" s="2">
        <v>32</v>
      </c>
      <c r="T1138" t="s">
        <v>295</v>
      </c>
      <c r="U1138" t="s">
        <v>300</v>
      </c>
      <c r="V1138" t="s">
        <v>298</v>
      </c>
      <c r="W1138" s="41"/>
      <c r="X1138" s="41"/>
      <c r="Y1138" s="34"/>
      <c r="Z1138" s="34"/>
      <c r="AA1138" s="35">
        <f>IF(TA[[#This Row],[Work Start time on Fault]]="NA","",(TA[[#This Row],[Fault Acknowledgement Time ]]-TA[[#This Row],[Fault Time]])*24)</f>
        <v>0</v>
      </c>
      <c r="AB1138" s="35">
        <f>(TA[[#This Row],[Work Start time on Fault]]-TA[[#This Row],[Fault Time]])*24</f>
        <v>0</v>
      </c>
      <c r="AC1138" s="34">
        <f>(TA[[#This Row],[Work Completion time on fault]]-TA[[#This Row],[Fault Time]])*24</f>
        <v>0</v>
      </c>
      <c r="AD1138" s="35">
        <f>IFERROR((TA[[#This Row],[Work Completion time on fault]]-TA[[#This Row],[Fault Time]])*24,"")</f>
        <v>0</v>
      </c>
      <c r="AE1138" t="s">
        <v>328</v>
      </c>
      <c r="AF1138" t="s">
        <v>256</v>
      </c>
      <c r="AG1138" s="2"/>
      <c r="AH1138" s="44">
        <f>1-COS(RADIANS(TA[[#This Row],[Avg. Target Angle during Fault Time (Radians)]]-TA[[#This Row],[Angle of affected equipment ]]))</f>
        <v>0.11705240714107301</v>
      </c>
      <c r="AI1138" s="35">
        <f>IFERROR(TA[[#This Row],[Breakdown Time]]*TA[[#This Row],[Plant Equivalent Weightage]],"")</f>
        <v>0</v>
      </c>
    </row>
    <row r="1139" spans="1:35">
      <c r="A1139" s="2">
        <f t="shared" si="120"/>
        <v>1136</v>
      </c>
      <c r="B1139" s="156">
        <f t="shared" si="121"/>
        <v>2026</v>
      </c>
      <c r="C1139" s="129">
        <f t="shared" si="122"/>
        <v>2025</v>
      </c>
      <c r="D1139" s="2" t="s">
        <v>155</v>
      </c>
      <c r="E1139" s="2" t="s">
        <v>155</v>
      </c>
      <c r="F1139" s="39">
        <v>45809</v>
      </c>
      <c r="G1139" s="2">
        <f>DAY(EOMONTH(TA[[#This Row],[Month Year]],0))</f>
        <v>30</v>
      </c>
      <c r="H1139" s="21">
        <v>45824</v>
      </c>
      <c r="I1139" s="41">
        <f>IFERROR(VLOOKUP(TA[[#This Row],[Date]],Raw_Data[[Date]:[Sunset Time (POA&lt;20 W/m2)]],3,0),"")</f>
        <v>0.25763888888888886</v>
      </c>
      <c r="J1139" s="41">
        <f>IFERROR(VLOOKUP(TA[[#This Row],[Date]],Raw_Data[[Date]:[Sunset Time (POA&lt;20 W/m2)]],4,0),"")</f>
        <v>0.75416666666666665</v>
      </c>
      <c r="K1139" s="35">
        <f>IFERROR((TA[[#This Row],[Sunset Time (POA&lt;20 W/m2)]]-TA[[#This Row],[Sunrise Time (POA&gt;20 W/m2)]])*24,"")</f>
        <v>11.916666666666668</v>
      </c>
      <c r="L1139" s="2" t="s">
        <v>294</v>
      </c>
      <c r="M1139" s="42">
        <f>IFERROR(VLOOKUP(TA[[#This Row],[Affected Equipment]],'Basic Data'!$I$2:$K$40,3,0),"")</f>
        <v>1.7241379310344799E-3</v>
      </c>
      <c r="N1139">
        <v>-28</v>
      </c>
      <c r="O1139" t="s">
        <v>137</v>
      </c>
      <c r="P1139" s="127" t="s">
        <v>315</v>
      </c>
      <c r="Q1139" s="126" t="s">
        <v>319</v>
      </c>
      <c r="R1139">
        <v>166</v>
      </c>
      <c r="S1139" s="2">
        <v>91</v>
      </c>
      <c r="T1139" t="s">
        <v>295</v>
      </c>
      <c r="U1139" t="s">
        <v>300</v>
      </c>
      <c r="V1139" t="s">
        <v>298</v>
      </c>
      <c r="W1139" s="41"/>
      <c r="X1139" s="41"/>
      <c r="Y1139" s="34"/>
      <c r="Z1139" s="34"/>
      <c r="AA1139" s="35">
        <f>IF(TA[[#This Row],[Work Start time on Fault]]="NA","",(TA[[#This Row],[Fault Acknowledgement Time ]]-TA[[#This Row],[Fault Time]])*24)</f>
        <v>0</v>
      </c>
      <c r="AB1139" s="35">
        <f>(TA[[#This Row],[Work Start time on Fault]]-TA[[#This Row],[Fault Time]])*24</f>
        <v>0</v>
      </c>
      <c r="AC1139" s="34">
        <f>(TA[[#This Row],[Work Completion time on fault]]-TA[[#This Row],[Fault Time]])*24</f>
        <v>0</v>
      </c>
      <c r="AD1139" s="35">
        <f>IFERROR((TA[[#This Row],[Work Completion time on fault]]-TA[[#This Row],[Fault Time]])*24,"")</f>
        <v>0</v>
      </c>
      <c r="AE1139" t="s">
        <v>328</v>
      </c>
      <c r="AF1139" t="s">
        <v>256</v>
      </c>
      <c r="AG1139" s="2"/>
      <c r="AH1139" s="44">
        <f>1-COS(RADIANS(TA[[#This Row],[Avg. Target Angle during Fault Time (Radians)]]-TA[[#This Row],[Angle of affected equipment ]]))</f>
        <v>0.11705240714107301</v>
      </c>
      <c r="AI1139" s="35">
        <f>IFERROR(TA[[#This Row],[Breakdown Time]]*TA[[#This Row],[Plant Equivalent Weightage]],"")</f>
        <v>0</v>
      </c>
    </row>
    <row r="1140" spans="1:35">
      <c r="A1140" s="2">
        <f t="shared" si="120"/>
        <v>1137</v>
      </c>
      <c r="B1140" s="156">
        <f t="shared" si="121"/>
        <v>2026</v>
      </c>
      <c r="C1140" s="129">
        <f t="shared" si="122"/>
        <v>2025</v>
      </c>
      <c r="D1140" s="2" t="s">
        <v>155</v>
      </c>
      <c r="E1140" s="2" t="s">
        <v>155</v>
      </c>
      <c r="F1140" s="39">
        <v>45809</v>
      </c>
      <c r="G1140" s="2">
        <f>DAY(EOMONTH(TA[[#This Row],[Month Year]],0))</f>
        <v>30</v>
      </c>
      <c r="H1140" s="21">
        <v>45824</v>
      </c>
      <c r="I1140" s="41">
        <f>IFERROR(VLOOKUP(TA[[#This Row],[Date]],Raw_Data[[Date]:[Sunset Time (POA&lt;20 W/m2)]],3,0),"")</f>
        <v>0.25763888888888886</v>
      </c>
      <c r="J1140" s="41">
        <f>IFERROR(VLOOKUP(TA[[#This Row],[Date]],Raw_Data[[Date]:[Sunset Time (POA&lt;20 W/m2)]],4,0),"")</f>
        <v>0.75416666666666665</v>
      </c>
      <c r="K1140" s="35">
        <f>IFERROR((TA[[#This Row],[Sunset Time (POA&lt;20 W/m2)]]-TA[[#This Row],[Sunrise Time (POA&gt;20 W/m2)]])*24,"")</f>
        <v>11.916666666666668</v>
      </c>
      <c r="L1140" s="2" t="s">
        <v>294</v>
      </c>
      <c r="M1140" s="42">
        <f>IFERROR(VLOOKUP(TA[[#This Row],[Affected Equipment]],'Basic Data'!$I$2:$K$40,3,0),"")</f>
        <v>1.7241379310344799E-3</v>
      </c>
      <c r="N1140">
        <v>-28</v>
      </c>
      <c r="O1140" t="s">
        <v>133</v>
      </c>
      <c r="P1140" s="127" t="s">
        <v>316</v>
      </c>
      <c r="Q1140" s="126" t="s">
        <v>316</v>
      </c>
      <c r="R1140">
        <v>117</v>
      </c>
      <c r="S1140" s="2">
        <v>20</v>
      </c>
      <c r="T1140" t="s">
        <v>295</v>
      </c>
      <c r="U1140" t="s">
        <v>300</v>
      </c>
      <c r="V1140" t="s">
        <v>298</v>
      </c>
      <c r="W1140" s="41"/>
      <c r="X1140" s="41"/>
      <c r="Y1140" s="34"/>
      <c r="Z1140" s="34"/>
      <c r="AA1140" s="35">
        <f>IF(TA[[#This Row],[Work Start time on Fault]]="NA","",(TA[[#This Row],[Fault Acknowledgement Time ]]-TA[[#This Row],[Fault Time]])*24)</f>
        <v>0</v>
      </c>
      <c r="AB1140" s="35">
        <f>(TA[[#This Row],[Work Start time on Fault]]-TA[[#This Row],[Fault Time]])*24</f>
        <v>0</v>
      </c>
      <c r="AC1140" s="34">
        <f>(TA[[#This Row],[Work Completion time on fault]]-TA[[#This Row],[Fault Time]])*24</f>
        <v>0</v>
      </c>
      <c r="AD1140" s="35">
        <f>IFERROR((TA[[#This Row],[Work Completion time on fault]]-TA[[#This Row],[Fault Time]])*24,"")</f>
        <v>0</v>
      </c>
      <c r="AE1140" t="s">
        <v>328</v>
      </c>
      <c r="AF1140" t="s">
        <v>256</v>
      </c>
      <c r="AG1140" s="2"/>
      <c r="AH1140" s="44">
        <f>1-COS(RADIANS(TA[[#This Row],[Avg. Target Angle during Fault Time (Radians)]]-TA[[#This Row],[Angle of affected equipment ]]))</f>
        <v>0.11705240714107301</v>
      </c>
      <c r="AI1140" s="35">
        <f>IFERROR(TA[[#This Row],[Breakdown Time]]*TA[[#This Row],[Plant Equivalent Weightage]],"")</f>
        <v>0</v>
      </c>
    </row>
    <row r="1141" spans="1:35">
      <c r="A1141" s="2">
        <f t="shared" si="120"/>
        <v>1138</v>
      </c>
      <c r="B1141" s="156">
        <f t="shared" si="121"/>
        <v>2026</v>
      </c>
      <c r="C1141" s="129">
        <f t="shared" si="122"/>
        <v>2025</v>
      </c>
      <c r="D1141" s="2" t="s">
        <v>155</v>
      </c>
      <c r="E1141" s="2" t="s">
        <v>155</v>
      </c>
      <c r="F1141" s="39">
        <v>45809</v>
      </c>
      <c r="G1141" s="2">
        <f>DAY(EOMONTH(TA[[#This Row],[Month Year]],0))</f>
        <v>30</v>
      </c>
      <c r="H1141" s="21">
        <v>45824</v>
      </c>
      <c r="I1141" s="41">
        <f>IFERROR(VLOOKUP(TA[[#This Row],[Date]],Raw_Data[[Date]:[Sunset Time (POA&lt;20 W/m2)]],3,0),"")</f>
        <v>0.25763888888888886</v>
      </c>
      <c r="J1141" s="41">
        <f>IFERROR(VLOOKUP(TA[[#This Row],[Date]],Raw_Data[[Date]:[Sunset Time (POA&lt;20 W/m2)]],4,0),"")</f>
        <v>0.75416666666666665</v>
      </c>
      <c r="K1141" s="35">
        <f>IFERROR((TA[[#This Row],[Sunset Time (POA&lt;20 W/m2)]]-TA[[#This Row],[Sunrise Time (POA&gt;20 W/m2)]])*24,"")</f>
        <v>11.916666666666668</v>
      </c>
      <c r="L1141" s="2" t="s">
        <v>294</v>
      </c>
      <c r="M1141" s="42">
        <f>IFERROR(VLOOKUP(TA[[#This Row],[Affected Equipment]],'Basic Data'!$I$2:$K$40,3,0),"")</f>
        <v>1.7241379310344799E-3</v>
      </c>
      <c r="N1141">
        <v>-28</v>
      </c>
      <c r="O1141" t="s">
        <v>133</v>
      </c>
      <c r="P1141" s="127" t="s">
        <v>316</v>
      </c>
      <c r="Q1141" s="126" t="s">
        <v>316</v>
      </c>
      <c r="R1141">
        <v>118</v>
      </c>
      <c r="S1141" s="2">
        <v>22</v>
      </c>
      <c r="T1141" t="s">
        <v>295</v>
      </c>
      <c r="U1141" t="s">
        <v>300</v>
      </c>
      <c r="V1141" t="s">
        <v>298</v>
      </c>
      <c r="W1141" s="41"/>
      <c r="X1141" s="41"/>
      <c r="Y1141" s="34"/>
      <c r="Z1141" s="34"/>
      <c r="AA1141" s="35">
        <f>IF(TA[[#This Row],[Work Start time on Fault]]="NA","",(TA[[#This Row],[Fault Acknowledgement Time ]]-TA[[#This Row],[Fault Time]])*24)</f>
        <v>0</v>
      </c>
      <c r="AB1141" s="35">
        <f>(TA[[#This Row],[Work Start time on Fault]]-TA[[#This Row],[Fault Time]])*24</f>
        <v>0</v>
      </c>
      <c r="AC1141" s="34">
        <f>(TA[[#This Row],[Work Completion time on fault]]-TA[[#This Row],[Fault Time]])*24</f>
        <v>0</v>
      </c>
      <c r="AD1141" s="35">
        <f>IFERROR((TA[[#This Row],[Work Completion time on fault]]-TA[[#This Row],[Fault Time]])*24,"")</f>
        <v>0</v>
      </c>
      <c r="AE1141" t="s">
        <v>328</v>
      </c>
      <c r="AF1141" t="s">
        <v>256</v>
      </c>
      <c r="AG1141" s="2"/>
      <c r="AH1141" s="44">
        <f>1-COS(RADIANS(TA[[#This Row],[Avg. Target Angle during Fault Time (Radians)]]-TA[[#This Row],[Angle of affected equipment ]]))</f>
        <v>0.11705240714107301</v>
      </c>
      <c r="AI1141" s="35">
        <f>IFERROR(TA[[#This Row],[Breakdown Time]]*TA[[#This Row],[Plant Equivalent Weightage]],"")</f>
        <v>0</v>
      </c>
    </row>
    <row r="1142" spans="1:35">
      <c r="A1142" s="2">
        <f t="shared" si="120"/>
        <v>1139</v>
      </c>
      <c r="B1142" s="156">
        <f t="shared" si="121"/>
        <v>2026</v>
      </c>
      <c r="C1142" s="129">
        <f t="shared" si="122"/>
        <v>2025</v>
      </c>
      <c r="D1142" s="2" t="s">
        <v>155</v>
      </c>
      <c r="E1142" s="2" t="s">
        <v>155</v>
      </c>
      <c r="F1142" s="39">
        <v>45809</v>
      </c>
      <c r="G1142" s="2">
        <f>DAY(EOMONTH(TA[[#This Row],[Month Year]],0))</f>
        <v>30</v>
      </c>
      <c r="H1142" s="21">
        <v>45824</v>
      </c>
      <c r="I1142" s="41">
        <f>IFERROR(VLOOKUP(TA[[#This Row],[Date]],Raw_Data[[Date]:[Sunset Time (POA&lt;20 W/m2)]],3,0),"")</f>
        <v>0.25763888888888886</v>
      </c>
      <c r="J1142" s="41">
        <f>IFERROR(VLOOKUP(TA[[#This Row],[Date]],Raw_Data[[Date]:[Sunset Time (POA&lt;20 W/m2)]],4,0),"")</f>
        <v>0.75416666666666665</v>
      </c>
      <c r="K1142" s="35">
        <f>IFERROR((TA[[#This Row],[Sunset Time (POA&lt;20 W/m2)]]-TA[[#This Row],[Sunrise Time (POA&gt;20 W/m2)]])*24,"")</f>
        <v>11.916666666666668</v>
      </c>
      <c r="L1142" s="2" t="s">
        <v>296</v>
      </c>
      <c r="M1142" s="42">
        <f>IFERROR(VLOOKUP(TA[[#This Row],[Affected Equipment]],'Basic Data'!$I$2:$K$40,3,0),"")</f>
        <v>8.6206896551724102E-3</v>
      </c>
      <c r="N1142">
        <v>-28</v>
      </c>
      <c r="O1142" t="s">
        <v>135</v>
      </c>
      <c r="P1142" s="22" t="s">
        <v>323</v>
      </c>
      <c r="Q1142" s="2" t="s">
        <v>329</v>
      </c>
      <c r="R1142">
        <v>45</v>
      </c>
      <c r="S1142" s="2">
        <v>8</v>
      </c>
      <c r="T1142" t="s">
        <v>297</v>
      </c>
      <c r="U1142" t="s">
        <v>300</v>
      </c>
      <c r="V1142" t="s">
        <v>301</v>
      </c>
      <c r="W1142" s="41"/>
      <c r="X1142" s="41"/>
      <c r="Y1142" s="34"/>
      <c r="Z1142" s="34"/>
      <c r="AA1142" s="35">
        <f>IF(TA[[#This Row],[Work Start time on Fault]]="NA","",(TA[[#This Row],[Fault Acknowledgement Time ]]-TA[[#This Row],[Fault Time]])*24)</f>
        <v>0</v>
      </c>
      <c r="AB1142" s="35">
        <f>(TA[[#This Row],[Work Start time on Fault]]-TA[[#This Row],[Fault Time]])*24</f>
        <v>0</v>
      </c>
      <c r="AC1142" s="34">
        <f>(TA[[#This Row],[Work Completion time on fault]]-TA[[#This Row],[Fault Time]])*24</f>
        <v>0</v>
      </c>
      <c r="AD1142" s="35">
        <f>IFERROR((TA[[#This Row],[Work Completion time on fault]]-TA[[#This Row],[Fault Time]])*24,"")</f>
        <v>0</v>
      </c>
      <c r="AE1142" t="s">
        <v>328</v>
      </c>
      <c r="AF1142" t="s">
        <v>256</v>
      </c>
      <c r="AG1142" s="2"/>
      <c r="AH1142" s="44">
        <f>1-COS(RADIANS(TA[[#This Row],[Avg. Target Angle during Fault Time (Radians)]]-TA[[#This Row],[Angle of affected equipment ]]))</f>
        <v>0.11705240714107301</v>
      </c>
      <c r="AI1142" s="35">
        <f>IFERROR(TA[[#This Row],[Breakdown Time]]*TA[[#This Row],[Plant Equivalent Weightage]],"")</f>
        <v>0</v>
      </c>
    </row>
    <row r="1143" spans="1:35">
      <c r="A1143" s="2">
        <f t="shared" si="120"/>
        <v>1140</v>
      </c>
      <c r="B1143" s="156">
        <f t="shared" si="121"/>
        <v>2026</v>
      </c>
      <c r="C1143" s="129">
        <f t="shared" si="122"/>
        <v>2025</v>
      </c>
      <c r="D1143" s="2" t="s">
        <v>155</v>
      </c>
      <c r="E1143" s="2" t="s">
        <v>155</v>
      </c>
      <c r="F1143" s="39">
        <v>45809</v>
      </c>
      <c r="G1143" s="2">
        <f>DAY(EOMONTH(TA[[#This Row],[Month Year]],0))</f>
        <v>30</v>
      </c>
      <c r="H1143" s="21">
        <v>45824</v>
      </c>
      <c r="I1143" s="41">
        <f>IFERROR(VLOOKUP(TA[[#This Row],[Date]],Raw_Data[[Date]:[Sunset Time (POA&lt;20 W/m2)]],3,0),"")</f>
        <v>0.25763888888888886</v>
      </c>
      <c r="J1143" s="41">
        <f>IFERROR(VLOOKUP(TA[[#This Row],[Date]],Raw_Data[[Date]:[Sunset Time (POA&lt;20 W/m2)]],4,0),"")</f>
        <v>0.75416666666666665</v>
      </c>
      <c r="K1143" s="35">
        <f>IFERROR((TA[[#This Row],[Sunset Time (POA&lt;20 W/m2)]]-TA[[#This Row],[Sunrise Time (POA&gt;20 W/m2)]])*24,"")</f>
        <v>11.916666666666668</v>
      </c>
      <c r="L1143" s="2" t="s">
        <v>296</v>
      </c>
      <c r="M1143" s="42">
        <f>IFERROR(VLOOKUP(TA[[#This Row],[Affected Equipment]],'Basic Data'!$I$2:$K$40,3,0),"")</f>
        <v>8.6206896551724102E-3</v>
      </c>
      <c r="N1143">
        <v>-28</v>
      </c>
      <c r="O1143" t="s">
        <v>135</v>
      </c>
      <c r="P1143" s="22" t="s">
        <v>323</v>
      </c>
      <c r="Q1143" s="2" t="s">
        <v>329</v>
      </c>
      <c r="R1143">
        <v>47</v>
      </c>
      <c r="S1143" s="2">
        <v>18</v>
      </c>
      <c r="T1143" t="s">
        <v>297</v>
      </c>
      <c r="U1143" t="s">
        <v>300</v>
      </c>
      <c r="V1143" t="s">
        <v>301</v>
      </c>
      <c r="W1143" s="41"/>
      <c r="X1143" s="41"/>
      <c r="Y1143" s="34"/>
      <c r="Z1143" s="34"/>
      <c r="AA1143" s="35">
        <f>IF(TA[[#This Row],[Work Start time on Fault]]="NA","",(TA[[#This Row],[Fault Acknowledgement Time ]]-TA[[#This Row],[Fault Time]])*24)</f>
        <v>0</v>
      </c>
      <c r="AB1143" s="35">
        <f>(TA[[#This Row],[Work Start time on Fault]]-TA[[#This Row],[Fault Time]])*24</f>
        <v>0</v>
      </c>
      <c r="AC1143" s="34">
        <f>(TA[[#This Row],[Work Completion time on fault]]-TA[[#This Row],[Fault Time]])*24</f>
        <v>0</v>
      </c>
      <c r="AD1143" s="35">
        <f>IFERROR((TA[[#This Row],[Work Completion time on fault]]-TA[[#This Row],[Fault Time]])*24,"")</f>
        <v>0</v>
      </c>
      <c r="AE1143" t="s">
        <v>328</v>
      </c>
      <c r="AF1143" t="s">
        <v>256</v>
      </c>
      <c r="AG1143" s="2"/>
      <c r="AH1143" s="44">
        <f>1-COS(RADIANS(TA[[#This Row],[Avg. Target Angle during Fault Time (Radians)]]-TA[[#This Row],[Angle of affected equipment ]]))</f>
        <v>0.11705240714107301</v>
      </c>
      <c r="AI1143" s="35">
        <f>IFERROR(TA[[#This Row],[Breakdown Time]]*TA[[#This Row],[Plant Equivalent Weightage]],"")</f>
        <v>0</v>
      </c>
    </row>
    <row r="1144" spans="1:35">
      <c r="A1144" s="2">
        <f t="shared" si="120"/>
        <v>1141</v>
      </c>
      <c r="B1144" s="156">
        <f t="shared" si="121"/>
        <v>2026</v>
      </c>
      <c r="C1144" s="129">
        <f t="shared" si="122"/>
        <v>2025</v>
      </c>
      <c r="D1144" s="2" t="s">
        <v>155</v>
      </c>
      <c r="E1144" s="2" t="s">
        <v>155</v>
      </c>
      <c r="F1144" s="39">
        <v>45809</v>
      </c>
      <c r="G1144" s="2">
        <f>DAY(EOMONTH(TA[[#This Row],[Month Year]],0))</f>
        <v>30</v>
      </c>
      <c r="H1144" s="21">
        <v>45824</v>
      </c>
      <c r="I1144" s="41">
        <f>IFERROR(VLOOKUP(TA[[#This Row],[Date]],Raw_Data[[Date]:[Sunset Time (POA&lt;20 W/m2)]],3,0),"")</f>
        <v>0.25763888888888886</v>
      </c>
      <c r="J1144" s="41">
        <f>IFERROR(VLOOKUP(TA[[#This Row],[Date]],Raw_Data[[Date]:[Sunset Time (POA&lt;20 W/m2)]],4,0),"")</f>
        <v>0.75416666666666665</v>
      </c>
      <c r="K1144" s="35">
        <f>IFERROR((TA[[#This Row],[Sunset Time (POA&lt;20 W/m2)]]-TA[[#This Row],[Sunrise Time (POA&gt;20 W/m2)]])*24,"")</f>
        <v>11.916666666666668</v>
      </c>
      <c r="L1144" s="2" t="s">
        <v>296</v>
      </c>
      <c r="M1144" s="42">
        <f>IFERROR(VLOOKUP(TA[[#This Row],[Affected Equipment]],'Basic Data'!$I$2:$K$40,3,0),"")</f>
        <v>8.6206896551724102E-3</v>
      </c>
      <c r="N1144">
        <v>-28</v>
      </c>
      <c r="O1144" t="s">
        <v>134</v>
      </c>
      <c r="P1144" s="22" t="s">
        <v>330</v>
      </c>
      <c r="Q1144" s="2" t="s">
        <v>323</v>
      </c>
      <c r="R1144">
        <v>30</v>
      </c>
      <c r="S1144" s="2">
        <v>57</v>
      </c>
      <c r="T1144" t="s">
        <v>297</v>
      </c>
      <c r="U1144" t="s">
        <v>300</v>
      </c>
      <c r="V1144" t="s">
        <v>301</v>
      </c>
      <c r="W1144" s="41"/>
      <c r="X1144" s="41"/>
      <c r="Y1144" s="34"/>
      <c r="Z1144" s="34"/>
      <c r="AA1144" s="35">
        <f>IF(TA[[#This Row],[Work Start time on Fault]]="NA","",(TA[[#This Row],[Fault Acknowledgement Time ]]-TA[[#This Row],[Fault Time]])*24)</f>
        <v>0</v>
      </c>
      <c r="AB1144" s="35">
        <f>(TA[[#This Row],[Work Start time on Fault]]-TA[[#This Row],[Fault Time]])*24</f>
        <v>0</v>
      </c>
      <c r="AC1144" s="34">
        <f>(TA[[#This Row],[Work Completion time on fault]]-TA[[#This Row],[Fault Time]])*24</f>
        <v>0</v>
      </c>
      <c r="AD1144" s="35">
        <f>IFERROR((TA[[#This Row],[Work Completion time on fault]]-TA[[#This Row],[Fault Time]])*24,"")</f>
        <v>0</v>
      </c>
      <c r="AE1144" t="s">
        <v>328</v>
      </c>
      <c r="AF1144" t="s">
        <v>256</v>
      </c>
      <c r="AG1144" s="2"/>
      <c r="AH1144" s="44">
        <f>1-COS(RADIANS(TA[[#This Row],[Avg. Target Angle during Fault Time (Radians)]]-TA[[#This Row],[Angle of affected equipment ]]))</f>
        <v>0.11705240714107301</v>
      </c>
      <c r="AI1144" s="35">
        <f>IFERROR(TA[[#This Row],[Breakdown Time]]*TA[[#This Row],[Plant Equivalent Weightage]],"")</f>
        <v>0</v>
      </c>
    </row>
    <row r="1145" spans="1:35">
      <c r="A1145" s="2">
        <f t="shared" si="120"/>
        <v>1142</v>
      </c>
      <c r="B1145" s="156">
        <f t="shared" si="121"/>
        <v>2026</v>
      </c>
      <c r="C1145" s="129">
        <f t="shared" si="122"/>
        <v>2025</v>
      </c>
      <c r="D1145" s="2" t="s">
        <v>155</v>
      </c>
      <c r="E1145" s="2" t="s">
        <v>155</v>
      </c>
      <c r="F1145" s="39">
        <v>45809</v>
      </c>
      <c r="G1145" s="2">
        <f>DAY(EOMONTH(TA[[#This Row],[Month Year]],0))</f>
        <v>30</v>
      </c>
      <c r="H1145" s="21">
        <v>45824</v>
      </c>
      <c r="I1145" s="41">
        <f>IFERROR(VLOOKUP(TA[[#This Row],[Date]],Raw_Data[[Date]:[Sunset Time (POA&lt;20 W/m2)]],3,0),"")</f>
        <v>0.25763888888888886</v>
      </c>
      <c r="J1145" s="41">
        <f>IFERROR(VLOOKUP(TA[[#This Row],[Date]],Raw_Data[[Date]:[Sunset Time (POA&lt;20 W/m2)]],4,0),"")</f>
        <v>0.75416666666666665</v>
      </c>
      <c r="K1145" s="35">
        <f>IFERROR((TA[[#This Row],[Sunset Time (POA&lt;20 W/m2)]]-TA[[#This Row],[Sunrise Time (POA&gt;20 W/m2)]])*24,"")</f>
        <v>11.916666666666668</v>
      </c>
      <c r="L1145" s="2" t="s">
        <v>296</v>
      </c>
      <c r="M1145" s="42">
        <f>IFERROR(VLOOKUP(TA[[#This Row],[Affected Equipment]],'Basic Data'!$I$2:$K$40,3,0),"")</f>
        <v>8.6206896551724102E-3</v>
      </c>
      <c r="N1145">
        <v>-28</v>
      </c>
      <c r="O1145" t="s">
        <v>134</v>
      </c>
      <c r="P1145" s="22" t="s">
        <v>330</v>
      </c>
      <c r="Q1145" s="2" t="s">
        <v>323</v>
      </c>
      <c r="R1145">
        <v>31</v>
      </c>
      <c r="S1145" s="2">
        <v>61</v>
      </c>
      <c r="T1145" t="s">
        <v>297</v>
      </c>
      <c r="U1145" t="s">
        <v>300</v>
      </c>
      <c r="V1145" t="s">
        <v>301</v>
      </c>
      <c r="W1145" s="41"/>
      <c r="X1145" s="41"/>
      <c r="Y1145" s="34"/>
      <c r="Z1145" s="34"/>
      <c r="AA1145" s="35">
        <f>IF(TA[[#This Row],[Work Start time on Fault]]="NA","",(TA[[#This Row],[Fault Acknowledgement Time ]]-TA[[#This Row],[Fault Time]])*24)</f>
        <v>0</v>
      </c>
      <c r="AB1145" s="35">
        <f>(TA[[#This Row],[Work Start time on Fault]]-TA[[#This Row],[Fault Time]])*24</f>
        <v>0</v>
      </c>
      <c r="AC1145" s="34">
        <f>(TA[[#This Row],[Work Completion time on fault]]-TA[[#This Row],[Fault Time]])*24</f>
        <v>0</v>
      </c>
      <c r="AD1145" s="35">
        <f>IFERROR((TA[[#This Row],[Work Completion time on fault]]-TA[[#This Row],[Fault Time]])*24,"")</f>
        <v>0</v>
      </c>
      <c r="AE1145" t="s">
        <v>328</v>
      </c>
      <c r="AF1145" t="s">
        <v>256</v>
      </c>
      <c r="AG1145" s="2"/>
      <c r="AH1145" s="44">
        <f>1-COS(RADIANS(TA[[#This Row],[Avg. Target Angle during Fault Time (Radians)]]-TA[[#This Row],[Angle of affected equipment ]]))</f>
        <v>0.11705240714107301</v>
      </c>
      <c r="AI1145" s="35">
        <f>IFERROR(TA[[#This Row],[Breakdown Time]]*TA[[#This Row],[Plant Equivalent Weightage]],"")</f>
        <v>0</v>
      </c>
    </row>
    <row r="1146" spans="1:35">
      <c r="A1146" s="2">
        <f t="shared" si="120"/>
        <v>1143</v>
      </c>
      <c r="B1146" s="156">
        <f t="shared" si="121"/>
        <v>2026</v>
      </c>
      <c r="C1146" s="129">
        <f t="shared" si="122"/>
        <v>2025</v>
      </c>
      <c r="D1146" s="2" t="s">
        <v>155</v>
      </c>
      <c r="E1146" s="2" t="s">
        <v>155</v>
      </c>
      <c r="F1146" s="39">
        <v>45809</v>
      </c>
      <c r="G1146" s="2">
        <f>DAY(EOMONTH(TA[[#This Row],[Month Year]],0))</f>
        <v>30</v>
      </c>
      <c r="H1146" s="21">
        <v>45824</v>
      </c>
      <c r="I1146" s="41">
        <f>IFERROR(VLOOKUP(TA[[#This Row],[Date]],Raw_Data[[Date]:[Sunset Time (POA&lt;20 W/m2)]],3,0),"")</f>
        <v>0.25763888888888886</v>
      </c>
      <c r="J1146" s="41">
        <f>IFERROR(VLOOKUP(TA[[#This Row],[Date]],Raw_Data[[Date]:[Sunset Time (POA&lt;20 W/m2)]],4,0),"")</f>
        <v>0.75416666666666665</v>
      </c>
      <c r="K1146" s="35">
        <f>IFERROR((TA[[#This Row],[Sunset Time (POA&lt;20 W/m2)]]-TA[[#This Row],[Sunrise Time (POA&gt;20 W/m2)]])*24,"")</f>
        <v>11.916666666666668</v>
      </c>
      <c r="L1146" s="2" t="s">
        <v>312</v>
      </c>
      <c r="M1146" s="42">
        <f>IFERROR(VLOOKUP(TA[[#This Row],[Affected Equipment]],'Basic Data'!$I$2:$K$40,3,0),"")</f>
        <v>5.74712643678161E-3</v>
      </c>
      <c r="N1146">
        <v>-28</v>
      </c>
      <c r="O1146" t="s">
        <v>133</v>
      </c>
      <c r="P1146" s="22" t="s">
        <v>330</v>
      </c>
      <c r="Q1146" s="2" t="s">
        <v>323</v>
      </c>
      <c r="R1146">
        <v>26</v>
      </c>
      <c r="S1146" s="2">
        <v>37</v>
      </c>
      <c r="T1146" t="s">
        <v>297</v>
      </c>
      <c r="U1146" t="s">
        <v>300</v>
      </c>
      <c r="V1146" t="s">
        <v>301</v>
      </c>
      <c r="W1146" s="41"/>
      <c r="X1146" s="41"/>
      <c r="Y1146" s="34"/>
      <c r="Z1146" s="34"/>
      <c r="AA1146" s="35">
        <f>IF(TA[[#This Row],[Work Start time on Fault]]="NA","",(TA[[#This Row],[Fault Acknowledgement Time ]]-TA[[#This Row],[Fault Time]])*24)</f>
        <v>0</v>
      </c>
      <c r="AB1146" s="35">
        <f>(TA[[#This Row],[Work Start time on Fault]]-TA[[#This Row],[Fault Time]])*24</f>
        <v>0</v>
      </c>
      <c r="AC1146" s="34">
        <f>(TA[[#This Row],[Work Completion time on fault]]-TA[[#This Row],[Fault Time]])*24</f>
        <v>0</v>
      </c>
      <c r="AD1146" s="35">
        <f>IFERROR((TA[[#This Row],[Work Completion time on fault]]-TA[[#This Row],[Fault Time]])*24,"")</f>
        <v>0</v>
      </c>
      <c r="AE1146" t="s">
        <v>328</v>
      </c>
      <c r="AF1146" t="s">
        <v>256</v>
      </c>
      <c r="AG1146" s="2"/>
      <c r="AH1146" s="44">
        <f>1-COS(RADIANS(TA[[#This Row],[Avg. Target Angle during Fault Time (Radians)]]-TA[[#This Row],[Angle of affected equipment ]]))</f>
        <v>0.11705240714107301</v>
      </c>
      <c r="AI1146" s="35">
        <f>IFERROR(TA[[#This Row],[Breakdown Time]]*TA[[#This Row],[Plant Equivalent Weightage]],"")</f>
        <v>0</v>
      </c>
    </row>
    <row r="1147" spans="1:35">
      <c r="A1147" s="2">
        <f t="shared" si="120"/>
        <v>1144</v>
      </c>
      <c r="B1147" s="156">
        <f t="shared" si="121"/>
        <v>2026</v>
      </c>
      <c r="C1147" s="129">
        <f t="shared" si="122"/>
        <v>2025</v>
      </c>
      <c r="D1147" s="2" t="s">
        <v>155</v>
      </c>
      <c r="E1147" s="2" t="s">
        <v>155</v>
      </c>
      <c r="F1147" s="39">
        <v>45809</v>
      </c>
      <c r="G1147" s="2">
        <f>DAY(EOMONTH(TA[[#This Row],[Month Year]],0))</f>
        <v>30</v>
      </c>
      <c r="H1147" s="21">
        <v>45824</v>
      </c>
      <c r="I1147" s="41">
        <f>IFERROR(VLOOKUP(TA[[#This Row],[Date]],Raw_Data[[Date]:[Sunset Time (POA&lt;20 W/m2)]],3,0),"")</f>
        <v>0.25763888888888886</v>
      </c>
      <c r="J1147" s="41">
        <f>IFERROR(VLOOKUP(TA[[#This Row],[Date]],Raw_Data[[Date]:[Sunset Time (POA&lt;20 W/m2)]],4,0),"")</f>
        <v>0.75416666666666665</v>
      </c>
      <c r="K1147" s="35">
        <f>IFERROR((TA[[#This Row],[Sunset Time (POA&lt;20 W/m2)]]-TA[[#This Row],[Sunrise Time (POA&gt;20 W/m2)]])*24,"")</f>
        <v>11.916666666666668</v>
      </c>
      <c r="L1147" s="2" t="s">
        <v>312</v>
      </c>
      <c r="M1147" s="42">
        <f>IFERROR(VLOOKUP(TA[[#This Row],[Affected Equipment]],'Basic Data'!$I$2:$K$40,3,0),"")</f>
        <v>5.74712643678161E-3</v>
      </c>
      <c r="N1147">
        <v>-28</v>
      </c>
      <c r="O1147" t="s">
        <v>133</v>
      </c>
      <c r="P1147" s="22" t="s">
        <v>330</v>
      </c>
      <c r="Q1147" s="2" t="s">
        <v>323</v>
      </c>
      <c r="R1147">
        <v>27</v>
      </c>
      <c r="S1147" s="2">
        <v>42</v>
      </c>
      <c r="T1147" t="s">
        <v>297</v>
      </c>
      <c r="U1147" t="s">
        <v>300</v>
      </c>
      <c r="V1147" t="s">
        <v>301</v>
      </c>
      <c r="W1147" s="41">
        <f>IFERROR(VLOOKUP(TA[[#This Row],[Date]],Raw_Data[[Date]:[Sunset Time (POA&lt;20 W/m2)]],3,0),"")</f>
        <v>0.25763888888888886</v>
      </c>
      <c r="X1147" s="41">
        <f>IFERROR(VLOOKUP(TA[[#This Row],[Date]],Raw_Data[[Date]:[Sunset Time (POA&lt;20 W/m2)]],3,0),"")</f>
        <v>0.25763888888888886</v>
      </c>
      <c r="Y1147" s="34"/>
      <c r="Z1147" s="34">
        <v>0.76041666666666663</v>
      </c>
      <c r="AA1147" s="35">
        <f>IF(TA[[#This Row],[Work Start time on Fault]]="NA","",(TA[[#This Row],[Fault Acknowledgement Time ]]-TA[[#This Row],[Fault Time]])*24)</f>
        <v>0</v>
      </c>
      <c r="AB1147" s="35">
        <f>(TA[[#This Row],[Work Start time on Fault]]-TA[[#This Row],[Fault Time]])*24</f>
        <v>-6.1833333333333327</v>
      </c>
      <c r="AC1147" s="34">
        <f>(TA[[#This Row],[Work Completion time on fault]]-TA[[#This Row],[Fault Time]])*24</f>
        <v>12.066666666666666</v>
      </c>
      <c r="AD1147" s="35">
        <f>IFERROR((TA[[#This Row],[Work Completion time on fault]]-TA[[#This Row],[Fault Time]])*24,"")</f>
        <v>12.066666666666666</v>
      </c>
      <c r="AE1147" t="s">
        <v>309</v>
      </c>
      <c r="AF1147" t="s">
        <v>256</v>
      </c>
      <c r="AG1147" s="2"/>
      <c r="AH1147" s="44">
        <f>1-COS(RADIANS(TA[[#This Row],[Avg. Target Angle during Fault Time (Radians)]]-TA[[#This Row],[Angle of affected equipment ]]))</f>
        <v>0.11705240714107301</v>
      </c>
      <c r="AI1147" s="35">
        <f>IFERROR(TA[[#This Row],[Breakdown Time]]*TA[[#This Row],[Plant Equivalent Weightage]],"")</f>
        <v>6.9348659003831428E-2</v>
      </c>
    </row>
    <row r="1148" spans="1:35">
      <c r="A1148" s="2">
        <f t="shared" si="120"/>
        <v>1145</v>
      </c>
      <c r="B1148" s="156">
        <f t="shared" ref="B1148:B1160" si="123">YEAR(H1148)+IF(MONTH(H1148)&gt;=4,1,0)</f>
        <v>2026</v>
      </c>
      <c r="C1148" s="129">
        <f t="shared" ref="C1148:C1160" si="124">YEAR(H1148)</f>
        <v>2025</v>
      </c>
      <c r="D1148" s="2" t="s">
        <v>155</v>
      </c>
      <c r="E1148" s="2" t="s">
        <v>155</v>
      </c>
      <c r="F1148" s="39">
        <v>45809</v>
      </c>
      <c r="G1148" s="2">
        <f>DAY(EOMONTH(TA[[#This Row],[Month Year]],0))</f>
        <v>30</v>
      </c>
      <c r="H1148" s="21">
        <v>45825</v>
      </c>
      <c r="I1148" s="41">
        <f>IFERROR(VLOOKUP(TA[[#This Row],[Date]],Raw_Data[[Date]:[Sunset Time (POA&lt;20 W/m2)]],3,0),"")</f>
        <v>0.24861111111111112</v>
      </c>
      <c r="J1148" s="41">
        <f>IFERROR(VLOOKUP(TA[[#This Row],[Date]],Raw_Data[[Date]:[Sunset Time (POA&lt;20 W/m2)]],4,0),"")</f>
        <v>0.78333333333333333</v>
      </c>
      <c r="K1148" s="35">
        <f>IFERROR((TA[[#This Row],[Sunset Time (POA&lt;20 W/m2)]]-TA[[#This Row],[Sunrise Time (POA&gt;20 W/m2)]])*24,"")</f>
        <v>12.833333333333332</v>
      </c>
      <c r="L1148" s="2" t="s">
        <v>294</v>
      </c>
      <c r="M1148" s="42">
        <f>IFERROR(VLOOKUP(TA[[#This Row],[Affected Equipment]],'Basic Data'!$I$2:$K$40,3,0),"")</f>
        <v>1.7241379310344799E-3</v>
      </c>
      <c r="N1148">
        <v>-28</v>
      </c>
      <c r="O1148" t="s">
        <v>135</v>
      </c>
      <c r="P1148" s="127" t="s">
        <v>318</v>
      </c>
      <c r="Q1148" s="126" t="s">
        <v>318</v>
      </c>
      <c r="R1148">
        <v>131</v>
      </c>
      <c r="S1148" s="2">
        <v>38</v>
      </c>
      <c r="T1148" t="s">
        <v>295</v>
      </c>
      <c r="U1148" t="s">
        <v>300</v>
      </c>
      <c r="V1148" t="s">
        <v>298</v>
      </c>
      <c r="W1148" s="41"/>
      <c r="X1148" s="41"/>
      <c r="Y1148" s="34"/>
      <c r="Z1148" s="34"/>
      <c r="AA1148" s="35">
        <f>IF(TA[[#This Row],[Work Start time on Fault]]="NA","",(TA[[#This Row],[Fault Acknowledgement Time ]]-TA[[#This Row],[Fault Time]])*24)</f>
        <v>0</v>
      </c>
      <c r="AB1148" s="35">
        <f>(TA[[#This Row],[Work Start time on Fault]]-TA[[#This Row],[Fault Time]])*24</f>
        <v>0</v>
      </c>
      <c r="AC1148" s="34">
        <f>(TA[[#This Row],[Work Completion time on fault]]-TA[[#This Row],[Fault Time]])*24</f>
        <v>0</v>
      </c>
      <c r="AD1148" s="35">
        <f>IFERROR((TA[[#This Row],[Work Completion time on fault]]-TA[[#This Row],[Fault Time]])*24,"")</f>
        <v>0</v>
      </c>
      <c r="AE1148" t="s">
        <v>328</v>
      </c>
      <c r="AF1148" t="s">
        <v>256</v>
      </c>
      <c r="AG1148" s="2"/>
      <c r="AH1148" s="44">
        <f>1-COS(RADIANS(TA[[#This Row],[Avg. Target Angle during Fault Time (Radians)]]-TA[[#This Row],[Angle of affected equipment ]]))</f>
        <v>0.11705240714107301</v>
      </c>
      <c r="AI1148" s="35">
        <f>IFERROR(TA[[#This Row],[Breakdown Time]]*TA[[#This Row],[Plant Equivalent Weightage]],"")</f>
        <v>0</v>
      </c>
    </row>
    <row r="1149" spans="1:35">
      <c r="A1149" s="2">
        <f t="shared" si="120"/>
        <v>1146</v>
      </c>
      <c r="B1149" s="156">
        <f t="shared" si="123"/>
        <v>2026</v>
      </c>
      <c r="C1149" s="129">
        <f t="shared" si="124"/>
        <v>2025</v>
      </c>
      <c r="D1149" s="2" t="s">
        <v>155</v>
      </c>
      <c r="E1149" s="2" t="s">
        <v>155</v>
      </c>
      <c r="F1149" s="39">
        <v>45809</v>
      </c>
      <c r="G1149" s="2">
        <f>DAY(EOMONTH(TA[[#This Row],[Month Year]],0))</f>
        <v>30</v>
      </c>
      <c r="H1149" s="21">
        <v>45825</v>
      </c>
      <c r="I1149" s="41">
        <f>IFERROR(VLOOKUP(TA[[#This Row],[Date]],Raw_Data[[Date]:[Sunset Time (POA&lt;20 W/m2)]],3,0),"")</f>
        <v>0.24861111111111112</v>
      </c>
      <c r="J1149" s="41">
        <f>IFERROR(VLOOKUP(TA[[#This Row],[Date]],Raw_Data[[Date]:[Sunset Time (POA&lt;20 W/m2)]],4,0),"")</f>
        <v>0.78333333333333333</v>
      </c>
      <c r="K1149" s="35">
        <f>IFERROR((TA[[#This Row],[Sunset Time (POA&lt;20 W/m2)]]-TA[[#This Row],[Sunrise Time (POA&gt;20 W/m2)]])*24,"")</f>
        <v>12.833333333333332</v>
      </c>
      <c r="L1149" s="2" t="s">
        <v>294</v>
      </c>
      <c r="M1149" s="42">
        <f>IFERROR(VLOOKUP(TA[[#This Row],[Affected Equipment]],'Basic Data'!$I$2:$K$40,3,0),"")</f>
        <v>1.7241379310344799E-3</v>
      </c>
      <c r="N1149">
        <v>-28</v>
      </c>
      <c r="O1149" t="s">
        <v>135</v>
      </c>
      <c r="P1149" s="127" t="s">
        <v>318</v>
      </c>
      <c r="Q1149" s="126" t="s">
        <v>318</v>
      </c>
      <c r="R1149">
        <v>131</v>
      </c>
      <c r="S1149" s="2">
        <v>39</v>
      </c>
      <c r="T1149" t="s">
        <v>295</v>
      </c>
      <c r="U1149" t="s">
        <v>300</v>
      </c>
      <c r="V1149" t="s">
        <v>298</v>
      </c>
      <c r="W1149" s="41"/>
      <c r="X1149" s="41"/>
      <c r="Y1149" s="34"/>
      <c r="Z1149" s="34"/>
      <c r="AA1149" s="35">
        <f>IF(TA[[#This Row],[Work Start time on Fault]]="NA","",(TA[[#This Row],[Fault Acknowledgement Time ]]-TA[[#This Row],[Fault Time]])*24)</f>
        <v>0</v>
      </c>
      <c r="AB1149" s="35">
        <f>(TA[[#This Row],[Work Start time on Fault]]-TA[[#This Row],[Fault Time]])*24</f>
        <v>0</v>
      </c>
      <c r="AC1149" s="34">
        <f>(TA[[#This Row],[Work Completion time on fault]]-TA[[#This Row],[Fault Time]])*24</f>
        <v>0</v>
      </c>
      <c r="AD1149" s="35">
        <f>IFERROR((TA[[#This Row],[Work Completion time on fault]]-TA[[#This Row],[Fault Time]])*24,"")</f>
        <v>0</v>
      </c>
      <c r="AE1149" t="s">
        <v>328</v>
      </c>
      <c r="AF1149" t="s">
        <v>256</v>
      </c>
      <c r="AG1149" s="2"/>
      <c r="AH1149" s="44">
        <f>1-COS(RADIANS(TA[[#This Row],[Avg. Target Angle during Fault Time (Radians)]]-TA[[#This Row],[Angle of affected equipment ]]))</f>
        <v>0.11705240714107301</v>
      </c>
      <c r="AI1149" s="35">
        <f>IFERROR(TA[[#This Row],[Breakdown Time]]*TA[[#This Row],[Plant Equivalent Weightage]],"")</f>
        <v>0</v>
      </c>
    </row>
    <row r="1150" spans="1:35">
      <c r="A1150" s="2">
        <f t="shared" si="120"/>
        <v>1147</v>
      </c>
      <c r="B1150" s="156">
        <f t="shared" si="123"/>
        <v>2026</v>
      </c>
      <c r="C1150" s="129">
        <f t="shared" si="124"/>
        <v>2025</v>
      </c>
      <c r="D1150" s="2" t="s">
        <v>155</v>
      </c>
      <c r="E1150" s="2" t="s">
        <v>155</v>
      </c>
      <c r="F1150" s="39">
        <v>45809</v>
      </c>
      <c r="G1150" s="2">
        <f>DAY(EOMONTH(TA[[#This Row],[Month Year]],0))</f>
        <v>30</v>
      </c>
      <c r="H1150" s="21">
        <v>45825</v>
      </c>
      <c r="I1150" s="41">
        <f>IFERROR(VLOOKUP(TA[[#This Row],[Date]],Raw_Data[[Date]:[Sunset Time (POA&lt;20 W/m2)]],3,0),"")</f>
        <v>0.24861111111111112</v>
      </c>
      <c r="J1150" s="41">
        <f>IFERROR(VLOOKUP(TA[[#This Row],[Date]],Raw_Data[[Date]:[Sunset Time (POA&lt;20 W/m2)]],4,0),"")</f>
        <v>0.78333333333333333</v>
      </c>
      <c r="K1150" s="35">
        <f>IFERROR((TA[[#This Row],[Sunset Time (POA&lt;20 W/m2)]]-TA[[#This Row],[Sunrise Time (POA&gt;20 W/m2)]])*24,"")</f>
        <v>12.833333333333332</v>
      </c>
      <c r="L1150" s="2" t="s">
        <v>296</v>
      </c>
      <c r="M1150" s="42">
        <f>IFERROR(VLOOKUP(TA[[#This Row],[Affected Equipment]],'Basic Data'!$I$2:$K$40,3,0),"")</f>
        <v>8.6206896551724102E-3</v>
      </c>
      <c r="N1150">
        <v>-28</v>
      </c>
      <c r="O1150" t="s">
        <v>135</v>
      </c>
      <c r="P1150" s="127" t="s">
        <v>318</v>
      </c>
      <c r="Q1150" s="2" t="s">
        <v>321</v>
      </c>
      <c r="R1150">
        <v>133</v>
      </c>
      <c r="S1150" s="2">
        <v>26</v>
      </c>
      <c r="T1150" t="s">
        <v>297</v>
      </c>
      <c r="U1150" t="s">
        <v>300</v>
      </c>
      <c r="V1150" t="s">
        <v>314</v>
      </c>
      <c r="W1150" s="41">
        <f>IFERROR(VLOOKUP(TA[[#This Row],[Date]],Raw_Data[[Date]:[Sunset Time (POA&lt;20 W/m2)]],3,0),"")</f>
        <v>0.24861111111111112</v>
      </c>
      <c r="X1150" s="41">
        <f>IFERROR(VLOOKUP(TA[[#This Row],[Date]],Raw_Data[[Date]:[Sunset Time (POA&lt;20 W/m2)]],3,0),"")</f>
        <v>0.24861111111111112</v>
      </c>
      <c r="Y1150" s="34"/>
      <c r="Z1150" s="34">
        <v>0.76041666666666663</v>
      </c>
      <c r="AA1150" s="35">
        <f>IF(TA[[#This Row],[Work Start time on Fault]]="NA","",(TA[[#This Row],[Fault Acknowledgement Time ]]-TA[[#This Row],[Fault Time]])*24)</f>
        <v>0</v>
      </c>
      <c r="AB1150" s="35">
        <f>(TA[[#This Row],[Work Start time on Fault]]-TA[[#This Row],[Fault Time]])*24</f>
        <v>-5.9666666666666668</v>
      </c>
      <c r="AC1150" s="34">
        <f>(TA[[#This Row],[Work Completion time on fault]]-TA[[#This Row],[Fault Time]])*24</f>
        <v>12.283333333333331</v>
      </c>
      <c r="AD1150" s="35">
        <f>IFERROR((TA[[#This Row],[Work Completion time on fault]]-TA[[#This Row],[Fault Time]])*24,"")</f>
        <v>12.283333333333331</v>
      </c>
      <c r="AE1150" t="s">
        <v>328</v>
      </c>
      <c r="AF1150" t="s">
        <v>256</v>
      </c>
      <c r="AG1150" s="2"/>
      <c r="AH1150" s="44">
        <f>1-COS(RADIANS(TA[[#This Row],[Avg. Target Angle during Fault Time (Radians)]]-TA[[#This Row],[Angle of affected equipment ]]))</f>
        <v>0.11705240714107301</v>
      </c>
      <c r="AI1150" s="35">
        <f>IFERROR(TA[[#This Row],[Breakdown Time]]*TA[[#This Row],[Plant Equivalent Weightage]],"")</f>
        <v>0.10589080459770109</v>
      </c>
    </row>
    <row r="1151" spans="1:35">
      <c r="A1151" s="2">
        <f t="shared" si="120"/>
        <v>1148</v>
      </c>
      <c r="B1151" s="156">
        <f t="shared" si="123"/>
        <v>2026</v>
      </c>
      <c r="C1151" s="129">
        <f t="shared" si="124"/>
        <v>2025</v>
      </c>
      <c r="D1151" s="2" t="s">
        <v>155</v>
      </c>
      <c r="E1151" s="2" t="s">
        <v>155</v>
      </c>
      <c r="F1151" s="39">
        <v>45809</v>
      </c>
      <c r="G1151" s="2">
        <f>DAY(EOMONTH(TA[[#This Row],[Month Year]],0))</f>
        <v>30</v>
      </c>
      <c r="H1151" s="21">
        <v>45825</v>
      </c>
      <c r="I1151" s="41">
        <f>IFERROR(VLOOKUP(TA[[#This Row],[Date]],Raw_Data[[Date]:[Sunset Time (POA&lt;20 W/m2)]],3,0),"")</f>
        <v>0.24861111111111112</v>
      </c>
      <c r="J1151" s="41">
        <f>IFERROR(VLOOKUP(TA[[#This Row],[Date]],Raw_Data[[Date]:[Sunset Time (POA&lt;20 W/m2)]],4,0),"")</f>
        <v>0.78333333333333333</v>
      </c>
      <c r="K1151" s="35">
        <f>IFERROR((TA[[#This Row],[Sunset Time (POA&lt;20 W/m2)]]-TA[[#This Row],[Sunrise Time (POA&gt;20 W/m2)]])*24,"")</f>
        <v>12.833333333333332</v>
      </c>
      <c r="L1151" s="2" t="s">
        <v>294</v>
      </c>
      <c r="M1151" s="42">
        <f>IFERROR(VLOOKUP(TA[[#This Row],[Affected Equipment]],'Basic Data'!$I$2:$K$40,3,0),"")</f>
        <v>1.7241379310344799E-3</v>
      </c>
      <c r="N1151">
        <v>-28</v>
      </c>
      <c r="O1151" t="s">
        <v>133</v>
      </c>
      <c r="P1151" s="127" t="s">
        <v>316</v>
      </c>
      <c r="Q1151" s="126" t="s">
        <v>317</v>
      </c>
      <c r="R1151">
        <v>7</v>
      </c>
      <c r="S1151" s="2">
        <v>32</v>
      </c>
      <c r="T1151" t="s">
        <v>295</v>
      </c>
      <c r="U1151" t="s">
        <v>300</v>
      </c>
      <c r="V1151" t="s">
        <v>298</v>
      </c>
      <c r="W1151" s="41"/>
      <c r="X1151" s="41"/>
      <c r="Y1151" s="34"/>
      <c r="Z1151" s="34"/>
      <c r="AA1151" s="35">
        <f>IF(TA[[#This Row],[Work Start time on Fault]]="NA","",(TA[[#This Row],[Fault Acknowledgement Time ]]-TA[[#This Row],[Fault Time]])*24)</f>
        <v>0</v>
      </c>
      <c r="AB1151" s="35">
        <f>(TA[[#This Row],[Work Start time on Fault]]-TA[[#This Row],[Fault Time]])*24</f>
        <v>0</v>
      </c>
      <c r="AC1151" s="34">
        <f>(TA[[#This Row],[Work Completion time on fault]]-TA[[#This Row],[Fault Time]])*24</f>
        <v>0</v>
      </c>
      <c r="AD1151" s="35">
        <f>IFERROR((TA[[#This Row],[Work Completion time on fault]]-TA[[#This Row],[Fault Time]])*24,"")</f>
        <v>0</v>
      </c>
      <c r="AE1151" t="s">
        <v>328</v>
      </c>
      <c r="AF1151" t="s">
        <v>256</v>
      </c>
      <c r="AG1151" s="2"/>
      <c r="AH1151" s="44">
        <f>1-COS(RADIANS(TA[[#This Row],[Avg. Target Angle during Fault Time (Radians)]]-TA[[#This Row],[Angle of affected equipment ]]))</f>
        <v>0.11705240714107301</v>
      </c>
      <c r="AI1151" s="35">
        <f>IFERROR(TA[[#This Row],[Breakdown Time]]*TA[[#This Row],[Plant Equivalent Weightage]],"")</f>
        <v>0</v>
      </c>
    </row>
    <row r="1152" spans="1:35">
      <c r="A1152" s="2">
        <f t="shared" si="120"/>
        <v>1149</v>
      </c>
      <c r="B1152" s="156">
        <f t="shared" si="123"/>
        <v>2026</v>
      </c>
      <c r="C1152" s="129">
        <f t="shared" si="124"/>
        <v>2025</v>
      </c>
      <c r="D1152" s="2" t="s">
        <v>155</v>
      </c>
      <c r="E1152" s="2" t="s">
        <v>155</v>
      </c>
      <c r="F1152" s="39">
        <v>45809</v>
      </c>
      <c r="G1152" s="2">
        <f>DAY(EOMONTH(TA[[#This Row],[Month Year]],0))</f>
        <v>30</v>
      </c>
      <c r="H1152" s="21">
        <v>45825</v>
      </c>
      <c r="I1152" s="41">
        <f>IFERROR(VLOOKUP(TA[[#This Row],[Date]],Raw_Data[[Date]:[Sunset Time (POA&lt;20 W/m2)]],3,0),"")</f>
        <v>0.24861111111111112</v>
      </c>
      <c r="J1152" s="41">
        <f>IFERROR(VLOOKUP(TA[[#This Row],[Date]],Raw_Data[[Date]:[Sunset Time (POA&lt;20 W/m2)]],4,0),"")</f>
        <v>0.78333333333333333</v>
      </c>
      <c r="K1152" s="35">
        <f>IFERROR((TA[[#This Row],[Sunset Time (POA&lt;20 W/m2)]]-TA[[#This Row],[Sunrise Time (POA&gt;20 W/m2)]])*24,"")</f>
        <v>12.833333333333332</v>
      </c>
      <c r="L1152" s="2" t="s">
        <v>294</v>
      </c>
      <c r="M1152" s="42">
        <f>IFERROR(VLOOKUP(TA[[#This Row],[Affected Equipment]],'Basic Data'!$I$2:$K$40,3,0),"")</f>
        <v>1.7241379310344799E-3</v>
      </c>
      <c r="N1152">
        <v>-28</v>
      </c>
      <c r="O1152" t="s">
        <v>137</v>
      </c>
      <c r="P1152" s="127" t="s">
        <v>315</v>
      </c>
      <c r="Q1152" s="126" t="s">
        <v>319</v>
      </c>
      <c r="R1152">
        <v>166</v>
      </c>
      <c r="S1152" s="2">
        <v>91</v>
      </c>
      <c r="T1152" t="s">
        <v>295</v>
      </c>
      <c r="U1152" t="s">
        <v>300</v>
      </c>
      <c r="V1152" t="s">
        <v>298</v>
      </c>
      <c r="W1152" s="41"/>
      <c r="X1152" s="41"/>
      <c r="Y1152" s="34"/>
      <c r="Z1152" s="34"/>
      <c r="AA1152" s="35">
        <f>IF(TA[[#This Row],[Work Start time on Fault]]="NA","",(TA[[#This Row],[Fault Acknowledgement Time ]]-TA[[#This Row],[Fault Time]])*24)</f>
        <v>0</v>
      </c>
      <c r="AB1152" s="35">
        <f>(TA[[#This Row],[Work Start time on Fault]]-TA[[#This Row],[Fault Time]])*24</f>
        <v>0</v>
      </c>
      <c r="AC1152" s="34">
        <f>(TA[[#This Row],[Work Completion time on fault]]-TA[[#This Row],[Fault Time]])*24</f>
        <v>0</v>
      </c>
      <c r="AD1152" s="35">
        <f>IFERROR((TA[[#This Row],[Work Completion time on fault]]-TA[[#This Row],[Fault Time]])*24,"")</f>
        <v>0</v>
      </c>
      <c r="AE1152" t="s">
        <v>328</v>
      </c>
      <c r="AF1152" t="s">
        <v>256</v>
      </c>
      <c r="AG1152" s="2"/>
      <c r="AH1152" s="44">
        <f>1-COS(RADIANS(TA[[#This Row],[Avg. Target Angle during Fault Time (Radians)]]-TA[[#This Row],[Angle of affected equipment ]]))</f>
        <v>0.11705240714107301</v>
      </c>
      <c r="AI1152" s="35">
        <f>IFERROR(TA[[#This Row],[Breakdown Time]]*TA[[#This Row],[Plant Equivalent Weightage]],"")</f>
        <v>0</v>
      </c>
    </row>
    <row r="1153" spans="1:35">
      <c r="A1153" s="2">
        <f t="shared" si="120"/>
        <v>1150</v>
      </c>
      <c r="B1153" s="156">
        <f t="shared" si="123"/>
        <v>2026</v>
      </c>
      <c r="C1153" s="129">
        <f t="shared" si="124"/>
        <v>2025</v>
      </c>
      <c r="D1153" s="2" t="s">
        <v>155</v>
      </c>
      <c r="E1153" s="2" t="s">
        <v>155</v>
      </c>
      <c r="F1153" s="39">
        <v>45809</v>
      </c>
      <c r="G1153" s="2">
        <f>DAY(EOMONTH(TA[[#This Row],[Month Year]],0))</f>
        <v>30</v>
      </c>
      <c r="H1153" s="21">
        <v>45825</v>
      </c>
      <c r="I1153" s="41">
        <f>IFERROR(VLOOKUP(TA[[#This Row],[Date]],Raw_Data[[Date]:[Sunset Time (POA&lt;20 W/m2)]],3,0),"")</f>
        <v>0.24861111111111112</v>
      </c>
      <c r="J1153" s="41">
        <f>IFERROR(VLOOKUP(TA[[#This Row],[Date]],Raw_Data[[Date]:[Sunset Time (POA&lt;20 W/m2)]],4,0),"")</f>
        <v>0.78333333333333333</v>
      </c>
      <c r="K1153" s="35">
        <f>IFERROR((TA[[#This Row],[Sunset Time (POA&lt;20 W/m2)]]-TA[[#This Row],[Sunrise Time (POA&gt;20 W/m2)]])*24,"")</f>
        <v>12.833333333333332</v>
      </c>
      <c r="L1153" s="2" t="s">
        <v>294</v>
      </c>
      <c r="M1153" s="42">
        <f>IFERROR(VLOOKUP(TA[[#This Row],[Affected Equipment]],'Basic Data'!$I$2:$K$40,3,0),"")</f>
        <v>1.7241379310344799E-3</v>
      </c>
      <c r="N1153">
        <v>-28</v>
      </c>
      <c r="O1153" t="s">
        <v>133</v>
      </c>
      <c r="P1153" s="127" t="s">
        <v>316</v>
      </c>
      <c r="Q1153" s="126" t="s">
        <v>316</v>
      </c>
      <c r="R1153">
        <v>117</v>
      </c>
      <c r="S1153" s="2">
        <v>20</v>
      </c>
      <c r="T1153" t="s">
        <v>295</v>
      </c>
      <c r="U1153" t="s">
        <v>300</v>
      </c>
      <c r="V1153" t="s">
        <v>298</v>
      </c>
      <c r="W1153" s="41"/>
      <c r="X1153" s="41"/>
      <c r="Y1153" s="34"/>
      <c r="Z1153" s="34"/>
      <c r="AA1153" s="35">
        <f>IF(TA[[#This Row],[Work Start time on Fault]]="NA","",(TA[[#This Row],[Fault Acknowledgement Time ]]-TA[[#This Row],[Fault Time]])*24)</f>
        <v>0</v>
      </c>
      <c r="AB1153" s="35">
        <f>(TA[[#This Row],[Work Start time on Fault]]-TA[[#This Row],[Fault Time]])*24</f>
        <v>0</v>
      </c>
      <c r="AC1153" s="34">
        <f>(TA[[#This Row],[Work Completion time on fault]]-TA[[#This Row],[Fault Time]])*24</f>
        <v>0</v>
      </c>
      <c r="AD1153" s="35">
        <f>IFERROR((TA[[#This Row],[Work Completion time on fault]]-TA[[#This Row],[Fault Time]])*24,"")</f>
        <v>0</v>
      </c>
      <c r="AE1153" t="s">
        <v>328</v>
      </c>
      <c r="AF1153" t="s">
        <v>256</v>
      </c>
      <c r="AG1153" s="2"/>
      <c r="AH1153" s="44">
        <f>1-COS(RADIANS(TA[[#This Row],[Avg. Target Angle during Fault Time (Radians)]]-TA[[#This Row],[Angle of affected equipment ]]))</f>
        <v>0.11705240714107301</v>
      </c>
      <c r="AI1153" s="35">
        <f>IFERROR(TA[[#This Row],[Breakdown Time]]*TA[[#This Row],[Plant Equivalent Weightage]],"")</f>
        <v>0</v>
      </c>
    </row>
    <row r="1154" spans="1:35">
      <c r="A1154" s="2">
        <f t="shared" si="120"/>
        <v>1151</v>
      </c>
      <c r="B1154" s="156">
        <f t="shared" si="123"/>
        <v>2026</v>
      </c>
      <c r="C1154" s="129">
        <f t="shared" si="124"/>
        <v>2025</v>
      </c>
      <c r="D1154" s="2" t="s">
        <v>155</v>
      </c>
      <c r="E1154" s="2" t="s">
        <v>155</v>
      </c>
      <c r="F1154" s="39">
        <v>45809</v>
      </c>
      <c r="G1154" s="2">
        <f>DAY(EOMONTH(TA[[#This Row],[Month Year]],0))</f>
        <v>30</v>
      </c>
      <c r="H1154" s="21">
        <v>45825</v>
      </c>
      <c r="I1154" s="41">
        <f>IFERROR(VLOOKUP(TA[[#This Row],[Date]],Raw_Data[[Date]:[Sunset Time (POA&lt;20 W/m2)]],3,0),"")</f>
        <v>0.24861111111111112</v>
      </c>
      <c r="J1154" s="41">
        <f>IFERROR(VLOOKUP(TA[[#This Row],[Date]],Raw_Data[[Date]:[Sunset Time (POA&lt;20 W/m2)]],4,0),"")</f>
        <v>0.78333333333333333</v>
      </c>
      <c r="K1154" s="35">
        <f>IFERROR((TA[[#This Row],[Sunset Time (POA&lt;20 W/m2)]]-TA[[#This Row],[Sunrise Time (POA&gt;20 W/m2)]])*24,"")</f>
        <v>12.833333333333332</v>
      </c>
      <c r="L1154" s="2" t="s">
        <v>294</v>
      </c>
      <c r="M1154" s="42">
        <f>IFERROR(VLOOKUP(TA[[#This Row],[Affected Equipment]],'Basic Data'!$I$2:$K$40,3,0),"")</f>
        <v>1.7241379310344799E-3</v>
      </c>
      <c r="N1154">
        <v>-28</v>
      </c>
      <c r="O1154" t="s">
        <v>133</v>
      </c>
      <c r="P1154" s="127" t="s">
        <v>316</v>
      </c>
      <c r="Q1154" s="126" t="s">
        <v>316</v>
      </c>
      <c r="R1154">
        <v>118</v>
      </c>
      <c r="S1154" s="2">
        <v>22</v>
      </c>
      <c r="T1154" t="s">
        <v>295</v>
      </c>
      <c r="U1154" t="s">
        <v>300</v>
      </c>
      <c r="V1154" t="s">
        <v>298</v>
      </c>
      <c r="W1154" s="41"/>
      <c r="X1154" s="41"/>
      <c r="Y1154" s="34"/>
      <c r="Z1154" s="34"/>
      <c r="AA1154" s="35">
        <f>IF(TA[[#This Row],[Work Start time on Fault]]="NA","",(TA[[#This Row],[Fault Acknowledgement Time ]]-TA[[#This Row],[Fault Time]])*24)</f>
        <v>0</v>
      </c>
      <c r="AB1154" s="35">
        <f>(TA[[#This Row],[Work Start time on Fault]]-TA[[#This Row],[Fault Time]])*24</f>
        <v>0</v>
      </c>
      <c r="AC1154" s="34">
        <f>(TA[[#This Row],[Work Completion time on fault]]-TA[[#This Row],[Fault Time]])*24</f>
        <v>0</v>
      </c>
      <c r="AD1154" s="35">
        <f>IFERROR((TA[[#This Row],[Work Completion time on fault]]-TA[[#This Row],[Fault Time]])*24,"")</f>
        <v>0</v>
      </c>
      <c r="AE1154" t="s">
        <v>328</v>
      </c>
      <c r="AF1154" t="s">
        <v>256</v>
      </c>
      <c r="AG1154" s="2"/>
      <c r="AH1154" s="44">
        <f>1-COS(RADIANS(TA[[#This Row],[Avg. Target Angle during Fault Time (Radians)]]-TA[[#This Row],[Angle of affected equipment ]]))</f>
        <v>0.11705240714107301</v>
      </c>
      <c r="AI1154" s="35">
        <f>IFERROR(TA[[#This Row],[Breakdown Time]]*TA[[#This Row],[Plant Equivalent Weightage]],"")</f>
        <v>0</v>
      </c>
    </row>
    <row r="1155" spans="1:35">
      <c r="A1155" s="2">
        <f t="shared" si="120"/>
        <v>1152</v>
      </c>
      <c r="B1155" s="156">
        <f t="shared" si="123"/>
        <v>2026</v>
      </c>
      <c r="C1155" s="129">
        <f t="shared" si="124"/>
        <v>2025</v>
      </c>
      <c r="D1155" s="2" t="s">
        <v>155</v>
      </c>
      <c r="E1155" s="2" t="s">
        <v>155</v>
      </c>
      <c r="F1155" s="39">
        <v>45809</v>
      </c>
      <c r="G1155" s="2">
        <f>DAY(EOMONTH(TA[[#This Row],[Month Year]],0))</f>
        <v>30</v>
      </c>
      <c r="H1155" s="21">
        <v>45825</v>
      </c>
      <c r="I1155" s="41">
        <f>IFERROR(VLOOKUP(TA[[#This Row],[Date]],Raw_Data[[Date]:[Sunset Time (POA&lt;20 W/m2)]],3,0),"")</f>
        <v>0.24861111111111112</v>
      </c>
      <c r="J1155" s="41">
        <f>IFERROR(VLOOKUP(TA[[#This Row],[Date]],Raw_Data[[Date]:[Sunset Time (POA&lt;20 W/m2)]],4,0),"")</f>
        <v>0.78333333333333333</v>
      </c>
      <c r="K1155" s="35">
        <f>IFERROR((TA[[#This Row],[Sunset Time (POA&lt;20 W/m2)]]-TA[[#This Row],[Sunrise Time (POA&gt;20 W/m2)]])*24,"")</f>
        <v>12.833333333333332</v>
      </c>
      <c r="L1155" s="2" t="s">
        <v>296</v>
      </c>
      <c r="M1155" s="42">
        <f>IFERROR(VLOOKUP(TA[[#This Row],[Affected Equipment]],'Basic Data'!$I$2:$K$40,3,0),"")</f>
        <v>8.6206896551724102E-3</v>
      </c>
      <c r="N1155">
        <v>-28</v>
      </c>
      <c r="O1155" t="s">
        <v>135</v>
      </c>
      <c r="P1155" s="22" t="s">
        <v>323</v>
      </c>
      <c r="Q1155" s="2" t="s">
        <v>329</v>
      </c>
      <c r="R1155">
        <v>45</v>
      </c>
      <c r="S1155" s="2">
        <v>8</v>
      </c>
      <c r="T1155" t="s">
        <v>297</v>
      </c>
      <c r="U1155" t="s">
        <v>300</v>
      </c>
      <c r="V1155" t="s">
        <v>301</v>
      </c>
      <c r="W1155" s="41"/>
      <c r="X1155" s="41"/>
      <c r="Y1155" s="34"/>
      <c r="Z1155" s="34"/>
      <c r="AA1155" s="35">
        <f>IF(TA[[#This Row],[Work Start time on Fault]]="NA","",(TA[[#This Row],[Fault Acknowledgement Time ]]-TA[[#This Row],[Fault Time]])*24)</f>
        <v>0</v>
      </c>
      <c r="AB1155" s="35">
        <f>(TA[[#This Row],[Work Start time on Fault]]-TA[[#This Row],[Fault Time]])*24</f>
        <v>0</v>
      </c>
      <c r="AC1155" s="34">
        <f>(TA[[#This Row],[Work Completion time on fault]]-TA[[#This Row],[Fault Time]])*24</f>
        <v>0</v>
      </c>
      <c r="AD1155" s="35">
        <f>IFERROR((TA[[#This Row],[Work Completion time on fault]]-TA[[#This Row],[Fault Time]])*24,"")</f>
        <v>0</v>
      </c>
      <c r="AE1155" t="s">
        <v>328</v>
      </c>
      <c r="AF1155" t="s">
        <v>256</v>
      </c>
      <c r="AG1155" s="2"/>
      <c r="AH1155" s="44">
        <f>1-COS(RADIANS(TA[[#This Row],[Avg. Target Angle during Fault Time (Radians)]]-TA[[#This Row],[Angle of affected equipment ]]))</f>
        <v>0.11705240714107301</v>
      </c>
      <c r="AI1155" s="35">
        <f>IFERROR(TA[[#This Row],[Breakdown Time]]*TA[[#This Row],[Plant Equivalent Weightage]],"")</f>
        <v>0</v>
      </c>
    </row>
    <row r="1156" spans="1:35">
      <c r="A1156" s="2">
        <f t="shared" si="120"/>
        <v>1153</v>
      </c>
      <c r="B1156" s="156">
        <f t="shared" si="123"/>
        <v>2026</v>
      </c>
      <c r="C1156" s="129">
        <f t="shared" si="124"/>
        <v>2025</v>
      </c>
      <c r="D1156" s="2" t="s">
        <v>155</v>
      </c>
      <c r="E1156" s="2" t="s">
        <v>155</v>
      </c>
      <c r="F1156" s="39">
        <v>45809</v>
      </c>
      <c r="G1156" s="2">
        <f>DAY(EOMONTH(TA[[#This Row],[Month Year]],0))</f>
        <v>30</v>
      </c>
      <c r="H1156" s="21">
        <v>45825</v>
      </c>
      <c r="I1156" s="41">
        <f>IFERROR(VLOOKUP(TA[[#This Row],[Date]],Raw_Data[[Date]:[Sunset Time (POA&lt;20 W/m2)]],3,0),"")</f>
        <v>0.24861111111111112</v>
      </c>
      <c r="J1156" s="41">
        <f>IFERROR(VLOOKUP(TA[[#This Row],[Date]],Raw_Data[[Date]:[Sunset Time (POA&lt;20 W/m2)]],4,0),"")</f>
        <v>0.78333333333333333</v>
      </c>
      <c r="K1156" s="35">
        <f>IFERROR((TA[[#This Row],[Sunset Time (POA&lt;20 W/m2)]]-TA[[#This Row],[Sunrise Time (POA&gt;20 W/m2)]])*24,"")</f>
        <v>12.833333333333332</v>
      </c>
      <c r="L1156" s="2" t="s">
        <v>296</v>
      </c>
      <c r="M1156" s="42">
        <f>IFERROR(VLOOKUP(TA[[#This Row],[Affected Equipment]],'Basic Data'!$I$2:$K$40,3,0),"")</f>
        <v>8.6206896551724102E-3</v>
      </c>
      <c r="N1156">
        <v>-28</v>
      </c>
      <c r="O1156" t="s">
        <v>135</v>
      </c>
      <c r="P1156" s="22" t="s">
        <v>323</v>
      </c>
      <c r="Q1156" s="2" t="s">
        <v>329</v>
      </c>
      <c r="R1156">
        <v>47</v>
      </c>
      <c r="S1156" s="2">
        <v>18</v>
      </c>
      <c r="T1156" t="s">
        <v>297</v>
      </c>
      <c r="U1156" t="s">
        <v>300</v>
      </c>
      <c r="V1156" t="s">
        <v>301</v>
      </c>
      <c r="W1156" s="41"/>
      <c r="X1156" s="41"/>
      <c r="Y1156" s="34"/>
      <c r="Z1156" s="34"/>
      <c r="AA1156" s="35">
        <f>IF(TA[[#This Row],[Work Start time on Fault]]="NA","",(TA[[#This Row],[Fault Acknowledgement Time ]]-TA[[#This Row],[Fault Time]])*24)</f>
        <v>0</v>
      </c>
      <c r="AB1156" s="35">
        <f>(TA[[#This Row],[Work Start time on Fault]]-TA[[#This Row],[Fault Time]])*24</f>
        <v>0</v>
      </c>
      <c r="AC1156" s="34">
        <f>(TA[[#This Row],[Work Completion time on fault]]-TA[[#This Row],[Fault Time]])*24</f>
        <v>0</v>
      </c>
      <c r="AD1156" s="35">
        <f>IFERROR((TA[[#This Row],[Work Completion time on fault]]-TA[[#This Row],[Fault Time]])*24,"")</f>
        <v>0</v>
      </c>
      <c r="AE1156" t="s">
        <v>328</v>
      </c>
      <c r="AF1156" t="s">
        <v>256</v>
      </c>
      <c r="AG1156" s="2"/>
      <c r="AH1156" s="44">
        <f>1-COS(RADIANS(TA[[#This Row],[Avg. Target Angle during Fault Time (Radians)]]-TA[[#This Row],[Angle of affected equipment ]]))</f>
        <v>0.11705240714107301</v>
      </c>
      <c r="AI1156" s="35">
        <f>IFERROR(TA[[#This Row],[Breakdown Time]]*TA[[#This Row],[Plant Equivalent Weightage]],"")</f>
        <v>0</v>
      </c>
    </row>
    <row r="1157" spans="1:35">
      <c r="A1157" s="2">
        <f t="shared" si="120"/>
        <v>1154</v>
      </c>
      <c r="B1157" s="156">
        <f t="shared" si="123"/>
        <v>2026</v>
      </c>
      <c r="C1157" s="129">
        <f t="shared" si="124"/>
        <v>2025</v>
      </c>
      <c r="D1157" s="2" t="s">
        <v>155</v>
      </c>
      <c r="E1157" s="2" t="s">
        <v>155</v>
      </c>
      <c r="F1157" s="39">
        <v>45809</v>
      </c>
      <c r="G1157" s="2">
        <f>DAY(EOMONTH(TA[[#This Row],[Month Year]],0))</f>
        <v>30</v>
      </c>
      <c r="H1157" s="21">
        <v>45825</v>
      </c>
      <c r="I1157" s="41">
        <f>IFERROR(VLOOKUP(TA[[#This Row],[Date]],Raw_Data[[Date]:[Sunset Time (POA&lt;20 W/m2)]],3,0),"")</f>
        <v>0.24861111111111112</v>
      </c>
      <c r="J1157" s="41">
        <f>IFERROR(VLOOKUP(TA[[#This Row],[Date]],Raw_Data[[Date]:[Sunset Time (POA&lt;20 W/m2)]],4,0),"")</f>
        <v>0.78333333333333333</v>
      </c>
      <c r="K1157" s="35">
        <f>IFERROR((TA[[#This Row],[Sunset Time (POA&lt;20 W/m2)]]-TA[[#This Row],[Sunrise Time (POA&gt;20 W/m2)]])*24,"")</f>
        <v>12.833333333333332</v>
      </c>
      <c r="L1157" s="2" t="s">
        <v>296</v>
      </c>
      <c r="M1157" s="42">
        <f>IFERROR(VLOOKUP(TA[[#This Row],[Affected Equipment]],'Basic Data'!$I$2:$K$40,3,0),"")</f>
        <v>8.6206896551724102E-3</v>
      </c>
      <c r="N1157">
        <v>-28</v>
      </c>
      <c r="O1157" t="s">
        <v>134</v>
      </c>
      <c r="P1157" s="22" t="s">
        <v>330</v>
      </c>
      <c r="Q1157" s="2" t="s">
        <v>323</v>
      </c>
      <c r="R1157">
        <v>30</v>
      </c>
      <c r="S1157" s="2">
        <v>57</v>
      </c>
      <c r="T1157" t="s">
        <v>297</v>
      </c>
      <c r="U1157" t="s">
        <v>300</v>
      </c>
      <c r="V1157" t="s">
        <v>301</v>
      </c>
      <c r="W1157" s="41"/>
      <c r="X1157" s="41"/>
      <c r="Y1157" s="34"/>
      <c r="Z1157" s="34"/>
      <c r="AA1157" s="35">
        <f>IF(TA[[#This Row],[Work Start time on Fault]]="NA","",(TA[[#This Row],[Fault Acknowledgement Time ]]-TA[[#This Row],[Fault Time]])*24)</f>
        <v>0</v>
      </c>
      <c r="AB1157" s="35">
        <f>(TA[[#This Row],[Work Start time on Fault]]-TA[[#This Row],[Fault Time]])*24</f>
        <v>0</v>
      </c>
      <c r="AC1157" s="34">
        <f>(TA[[#This Row],[Work Completion time on fault]]-TA[[#This Row],[Fault Time]])*24</f>
        <v>0</v>
      </c>
      <c r="AD1157" s="35">
        <f>IFERROR((TA[[#This Row],[Work Completion time on fault]]-TA[[#This Row],[Fault Time]])*24,"")</f>
        <v>0</v>
      </c>
      <c r="AE1157" t="s">
        <v>328</v>
      </c>
      <c r="AF1157" t="s">
        <v>256</v>
      </c>
      <c r="AG1157" s="2"/>
      <c r="AH1157" s="44">
        <f>1-COS(RADIANS(TA[[#This Row],[Avg. Target Angle during Fault Time (Radians)]]-TA[[#This Row],[Angle of affected equipment ]]))</f>
        <v>0.11705240714107301</v>
      </c>
      <c r="AI1157" s="35">
        <f>IFERROR(TA[[#This Row],[Breakdown Time]]*TA[[#This Row],[Plant Equivalent Weightage]],"")</f>
        <v>0</v>
      </c>
    </row>
    <row r="1158" spans="1:35">
      <c r="A1158" s="2">
        <f t="shared" si="120"/>
        <v>1155</v>
      </c>
      <c r="B1158" s="156">
        <f t="shared" si="123"/>
        <v>2026</v>
      </c>
      <c r="C1158" s="129">
        <f t="shared" si="124"/>
        <v>2025</v>
      </c>
      <c r="D1158" s="2" t="s">
        <v>155</v>
      </c>
      <c r="E1158" s="2" t="s">
        <v>155</v>
      </c>
      <c r="F1158" s="39">
        <v>45809</v>
      </c>
      <c r="G1158" s="2">
        <f>DAY(EOMONTH(TA[[#This Row],[Month Year]],0))</f>
        <v>30</v>
      </c>
      <c r="H1158" s="21">
        <v>45825</v>
      </c>
      <c r="I1158" s="41">
        <f>IFERROR(VLOOKUP(TA[[#This Row],[Date]],Raw_Data[[Date]:[Sunset Time (POA&lt;20 W/m2)]],3,0),"")</f>
        <v>0.24861111111111112</v>
      </c>
      <c r="J1158" s="41">
        <f>IFERROR(VLOOKUP(TA[[#This Row],[Date]],Raw_Data[[Date]:[Sunset Time (POA&lt;20 W/m2)]],4,0),"")</f>
        <v>0.78333333333333333</v>
      </c>
      <c r="K1158" s="35">
        <f>IFERROR((TA[[#This Row],[Sunset Time (POA&lt;20 W/m2)]]-TA[[#This Row],[Sunrise Time (POA&gt;20 W/m2)]])*24,"")</f>
        <v>12.833333333333332</v>
      </c>
      <c r="L1158" s="2" t="s">
        <v>296</v>
      </c>
      <c r="M1158" s="42">
        <f>IFERROR(VLOOKUP(TA[[#This Row],[Affected Equipment]],'Basic Data'!$I$2:$K$40,3,0),"")</f>
        <v>8.6206896551724102E-3</v>
      </c>
      <c r="N1158">
        <v>-28</v>
      </c>
      <c r="O1158" t="s">
        <v>134</v>
      </c>
      <c r="P1158" s="22" t="s">
        <v>330</v>
      </c>
      <c r="Q1158" s="2" t="s">
        <v>323</v>
      </c>
      <c r="R1158">
        <v>31</v>
      </c>
      <c r="S1158" s="2">
        <v>61</v>
      </c>
      <c r="T1158" t="s">
        <v>297</v>
      </c>
      <c r="U1158" t="s">
        <v>300</v>
      </c>
      <c r="V1158" t="s">
        <v>301</v>
      </c>
      <c r="W1158" s="41"/>
      <c r="X1158" s="41"/>
      <c r="Y1158" s="34"/>
      <c r="Z1158" s="34"/>
      <c r="AA1158" s="35">
        <f>IF(TA[[#This Row],[Work Start time on Fault]]="NA","",(TA[[#This Row],[Fault Acknowledgement Time ]]-TA[[#This Row],[Fault Time]])*24)</f>
        <v>0</v>
      </c>
      <c r="AB1158" s="35">
        <f>(TA[[#This Row],[Work Start time on Fault]]-TA[[#This Row],[Fault Time]])*24</f>
        <v>0</v>
      </c>
      <c r="AC1158" s="34">
        <f>(TA[[#This Row],[Work Completion time on fault]]-TA[[#This Row],[Fault Time]])*24</f>
        <v>0</v>
      </c>
      <c r="AD1158" s="35">
        <f>IFERROR((TA[[#This Row],[Work Completion time on fault]]-TA[[#This Row],[Fault Time]])*24,"")</f>
        <v>0</v>
      </c>
      <c r="AE1158" t="s">
        <v>328</v>
      </c>
      <c r="AF1158" t="s">
        <v>256</v>
      </c>
      <c r="AG1158" s="2"/>
      <c r="AH1158" s="44">
        <f>1-COS(RADIANS(TA[[#This Row],[Avg. Target Angle during Fault Time (Radians)]]-TA[[#This Row],[Angle of affected equipment ]]))</f>
        <v>0.11705240714107301</v>
      </c>
      <c r="AI1158" s="35">
        <f>IFERROR(TA[[#This Row],[Breakdown Time]]*TA[[#This Row],[Plant Equivalent Weightage]],"")</f>
        <v>0</v>
      </c>
    </row>
    <row r="1159" spans="1:35">
      <c r="A1159" s="2">
        <f t="shared" si="120"/>
        <v>1156</v>
      </c>
      <c r="B1159" s="156">
        <f t="shared" si="123"/>
        <v>2026</v>
      </c>
      <c r="C1159" s="129">
        <f t="shared" si="124"/>
        <v>2025</v>
      </c>
      <c r="D1159" s="2" t="s">
        <v>155</v>
      </c>
      <c r="E1159" s="2" t="s">
        <v>155</v>
      </c>
      <c r="F1159" s="39">
        <v>45809</v>
      </c>
      <c r="G1159" s="2">
        <f>DAY(EOMONTH(TA[[#This Row],[Month Year]],0))</f>
        <v>30</v>
      </c>
      <c r="H1159" s="21">
        <v>45825</v>
      </c>
      <c r="I1159" s="41">
        <f>IFERROR(VLOOKUP(TA[[#This Row],[Date]],Raw_Data[[Date]:[Sunset Time (POA&lt;20 W/m2)]],3,0),"")</f>
        <v>0.24861111111111112</v>
      </c>
      <c r="J1159" s="41">
        <f>IFERROR(VLOOKUP(TA[[#This Row],[Date]],Raw_Data[[Date]:[Sunset Time (POA&lt;20 W/m2)]],4,0),"")</f>
        <v>0.78333333333333333</v>
      </c>
      <c r="K1159" s="35">
        <f>IFERROR((TA[[#This Row],[Sunset Time (POA&lt;20 W/m2)]]-TA[[#This Row],[Sunrise Time (POA&gt;20 W/m2)]])*24,"")</f>
        <v>12.833333333333332</v>
      </c>
      <c r="L1159" s="2" t="s">
        <v>312</v>
      </c>
      <c r="M1159" s="42">
        <f>IFERROR(VLOOKUP(TA[[#This Row],[Affected Equipment]],'Basic Data'!$I$2:$K$40,3,0),"")</f>
        <v>5.74712643678161E-3</v>
      </c>
      <c r="N1159">
        <v>-28</v>
      </c>
      <c r="O1159" t="s">
        <v>133</v>
      </c>
      <c r="P1159" s="22" t="s">
        <v>330</v>
      </c>
      <c r="Q1159" s="2" t="s">
        <v>323</v>
      </c>
      <c r="R1159">
        <v>26</v>
      </c>
      <c r="S1159" s="2">
        <v>37</v>
      </c>
      <c r="T1159" t="s">
        <v>297</v>
      </c>
      <c r="U1159" t="s">
        <v>300</v>
      </c>
      <c r="V1159" t="s">
        <v>301</v>
      </c>
      <c r="W1159" s="41"/>
      <c r="X1159" s="41"/>
      <c r="Y1159" s="34"/>
      <c r="Z1159" s="34"/>
      <c r="AA1159" s="35">
        <f>IF(TA[[#This Row],[Work Start time on Fault]]="NA","",(TA[[#This Row],[Fault Acknowledgement Time ]]-TA[[#This Row],[Fault Time]])*24)</f>
        <v>0</v>
      </c>
      <c r="AB1159" s="35">
        <f>(TA[[#This Row],[Work Start time on Fault]]-TA[[#This Row],[Fault Time]])*24</f>
        <v>0</v>
      </c>
      <c r="AC1159" s="34">
        <f>(TA[[#This Row],[Work Completion time on fault]]-TA[[#This Row],[Fault Time]])*24</f>
        <v>0</v>
      </c>
      <c r="AD1159" s="35">
        <f>IFERROR((TA[[#This Row],[Work Completion time on fault]]-TA[[#This Row],[Fault Time]])*24,"")</f>
        <v>0</v>
      </c>
      <c r="AE1159" t="s">
        <v>328</v>
      </c>
      <c r="AF1159" t="s">
        <v>256</v>
      </c>
      <c r="AG1159" s="2"/>
      <c r="AH1159" s="44">
        <f>1-COS(RADIANS(TA[[#This Row],[Avg. Target Angle during Fault Time (Radians)]]-TA[[#This Row],[Angle of affected equipment ]]))</f>
        <v>0.11705240714107301</v>
      </c>
      <c r="AI1159" s="35">
        <f>IFERROR(TA[[#This Row],[Breakdown Time]]*TA[[#This Row],[Plant Equivalent Weightage]],"")</f>
        <v>0</v>
      </c>
    </row>
    <row r="1160" spans="1:35">
      <c r="A1160" s="2">
        <f t="shared" si="120"/>
        <v>1157</v>
      </c>
      <c r="B1160" s="156">
        <f t="shared" si="123"/>
        <v>2026</v>
      </c>
      <c r="C1160" s="129">
        <f t="shared" si="124"/>
        <v>2025</v>
      </c>
      <c r="D1160" s="2" t="s">
        <v>155</v>
      </c>
      <c r="E1160" s="2" t="s">
        <v>155</v>
      </c>
      <c r="F1160" s="39">
        <v>45809</v>
      </c>
      <c r="G1160" s="2">
        <f>DAY(EOMONTH(TA[[#This Row],[Month Year]],0))</f>
        <v>30</v>
      </c>
      <c r="H1160" s="21">
        <v>45825</v>
      </c>
      <c r="I1160" s="41">
        <f>IFERROR(VLOOKUP(TA[[#This Row],[Date]],Raw_Data[[Date]:[Sunset Time (POA&lt;20 W/m2)]],3,0),"")</f>
        <v>0.24861111111111112</v>
      </c>
      <c r="J1160" s="41">
        <f>IFERROR(VLOOKUP(TA[[#This Row],[Date]],Raw_Data[[Date]:[Sunset Time (POA&lt;20 W/m2)]],4,0),"")</f>
        <v>0.78333333333333333</v>
      </c>
      <c r="K1160" s="35">
        <f>IFERROR((TA[[#This Row],[Sunset Time (POA&lt;20 W/m2)]]-TA[[#This Row],[Sunrise Time (POA&gt;20 W/m2)]])*24,"")</f>
        <v>12.833333333333332</v>
      </c>
      <c r="L1160" s="2" t="s">
        <v>312</v>
      </c>
      <c r="M1160" s="42">
        <f>IFERROR(VLOOKUP(TA[[#This Row],[Affected Equipment]],'Basic Data'!$I$2:$K$40,3,0),"")</f>
        <v>5.74712643678161E-3</v>
      </c>
      <c r="N1160">
        <v>-28</v>
      </c>
      <c r="O1160" t="s">
        <v>133</v>
      </c>
      <c r="P1160" s="22" t="s">
        <v>330</v>
      </c>
      <c r="Q1160" s="2" t="s">
        <v>323</v>
      </c>
      <c r="R1160">
        <v>27</v>
      </c>
      <c r="S1160" s="2">
        <v>42</v>
      </c>
      <c r="T1160" t="s">
        <v>297</v>
      </c>
      <c r="U1160" t="s">
        <v>300</v>
      </c>
      <c r="V1160" t="s">
        <v>301</v>
      </c>
      <c r="W1160" s="41">
        <f>IFERROR(VLOOKUP(TA[[#This Row],[Date]],Raw_Data[[Date]:[Sunset Time (POA&lt;20 W/m2)]],3,0),"")</f>
        <v>0.24861111111111112</v>
      </c>
      <c r="X1160" s="41">
        <f>IFERROR(VLOOKUP(TA[[#This Row],[Date]],Raw_Data[[Date]:[Sunset Time (POA&lt;20 W/m2)]],3,0),"")</f>
        <v>0.24861111111111112</v>
      </c>
      <c r="Y1160" s="34"/>
      <c r="Z1160" s="34">
        <v>0.76041666666666663</v>
      </c>
      <c r="AA1160" s="35">
        <f>IF(TA[[#This Row],[Work Start time on Fault]]="NA","",(TA[[#This Row],[Fault Acknowledgement Time ]]-TA[[#This Row],[Fault Time]])*24)</f>
        <v>0</v>
      </c>
      <c r="AB1160" s="35">
        <f>(TA[[#This Row],[Work Start time on Fault]]-TA[[#This Row],[Fault Time]])*24</f>
        <v>-5.9666666666666668</v>
      </c>
      <c r="AC1160" s="34">
        <f>(TA[[#This Row],[Work Completion time on fault]]-TA[[#This Row],[Fault Time]])*24</f>
        <v>12.283333333333331</v>
      </c>
      <c r="AD1160" s="35">
        <f>IFERROR((TA[[#This Row],[Work Completion time on fault]]-TA[[#This Row],[Fault Time]])*24,"")</f>
        <v>12.283333333333331</v>
      </c>
      <c r="AE1160" t="s">
        <v>309</v>
      </c>
      <c r="AF1160" t="s">
        <v>256</v>
      </c>
      <c r="AG1160" s="2"/>
      <c r="AH1160" s="44">
        <f>1-COS(RADIANS(TA[[#This Row],[Avg. Target Angle during Fault Time (Radians)]]-TA[[#This Row],[Angle of affected equipment ]]))</f>
        <v>0.11705240714107301</v>
      </c>
      <c r="AI1160" s="35">
        <f>IFERROR(TA[[#This Row],[Breakdown Time]]*TA[[#This Row],[Plant Equivalent Weightage]],"")</f>
        <v>7.0593869731800762E-2</v>
      </c>
    </row>
    <row r="1161" spans="1:35">
      <c r="A1161" s="2">
        <f t="shared" si="120"/>
        <v>1158</v>
      </c>
      <c r="B1161" s="156">
        <f t="shared" ref="B1161:B1173" si="125">YEAR(H1161)+IF(MONTH(H1161)&gt;=4,1,0)</f>
        <v>2026</v>
      </c>
      <c r="C1161" s="129">
        <f t="shared" ref="C1161:C1173" si="126">YEAR(H1161)</f>
        <v>2025</v>
      </c>
      <c r="D1161" s="2" t="s">
        <v>155</v>
      </c>
      <c r="E1161" s="2" t="s">
        <v>155</v>
      </c>
      <c r="F1161" s="39">
        <v>45809</v>
      </c>
      <c r="G1161" s="2">
        <f>DAY(EOMONTH(TA[[#This Row],[Month Year]],0))</f>
        <v>30</v>
      </c>
      <c r="H1161" s="21">
        <v>45826</v>
      </c>
      <c r="I1161" s="41">
        <f>IFERROR(VLOOKUP(TA[[#This Row],[Date]],Raw_Data[[Date]:[Sunset Time (POA&lt;20 W/m2)]],3,0),"")</f>
        <v>0.24444444444444444</v>
      </c>
      <c r="J1161" s="41">
        <f>IFERROR(VLOOKUP(TA[[#This Row],[Date]],Raw_Data[[Date]:[Sunset Time (POA&lt;20 W/m2)]],4,0),"")</f>
        <v>0.77430555555555558</v>
      </c>
      <c r="K1161" s="35">
        <f>IFERROR((TA[[#This Row],[Sunset Time (POA&lt;20 W/m2)]]-TA[[#This Row],[Sunrise Time (POA&gt;20 W/m2)]])*24,"")</f>
        <v>12.716666666666667</v>
      </c>
      <c r="L1161" s="2" t="s">
        <v>294</v>
      </c>
      <c r="M1161" s="42">
        <f>IFERROR(VLOOKUP(TA[[#This Row],[Affected Equipment]],'Basic Data'!$I$2:$K$40,3,0),"")</f>
        <v>1.7241379310344799E-3</v>
      </c>
      <c r="N1161">
        <v>-28</v>
      </c>
      <c r="O1161" t="s">
        <v>135</v>
      </c>
      <c r="P1161" s="127" t="s">
        <v>318</v>
      </c>
      <c r="Q1161" s="126" t="s">
        <v>318</v>
      </c>
      <c r="R1161">
        <v>131</v>
      </c>
      <c r="S1161" s="2">
        <v>38</v>
      </c>
      <c r="T1161" t="s">
        <v>295</v>
      </c>
      <c r="U1161" t="s">
        <v>300</v>
      </c>
      <c r="V1161" t="s">
        <v>298</v>
      </c>
      <c r="W1161" s="41"/>
      <c r="X1161" s="41"/>
      <c r="Y1161" s="34"/>
      <c r="Z1161" s="34"/>
      <c r="AA1161" s="35">
        <f>IF(TA[[#This Row],[Work Start time on Fault]]="NA","",(TA[[#This Row],[Fault Acknowledgement Time ]]-TA[[#This Row],[Fault Time]])*24)</f>
        <v>0</v>
      </c>
      <c r="AB1161" s="35">
        <f>(TA[[#This Row],[Work Start time on Fault]]-TA[[#This Row],[Fault Time]])*24</f>
        <v>0</v>
      </c>
      <c r="AC1161" s="34">
        <f>(TA[[#This Row],[Work Completion time on fault]]-TA[[#This Row],[Fault Time]])*24</f>
        <v>0</v>
      </c>
      <c r="AD1161" s="35">
        <f>IFERROR((TA[[#This Row],[Work Completion time on fault]]-TA[[#This Row],[Fault Time]])*24,"")</f>
        <v>0</v>
      </c>
      <c r="AE1161" t="s">
        <v>328</v>
      </c>
      <c r="AF1161" t="s">
        <v>256</v>
      </c>
      <c r="AG1161" s="2"/>
      <c r="AH1161" s="44">
        <f>1-COS(RADIANS(TA[[#This Row],[Avg. Target Angle during Fault Time (Radians)]]-TA[[#This Row],[Angle of affected equipment ]]))</f>
        <v>0.11705240714107301</v>
      </c>
      <c r="AI1161" s="35">
        <f>IFERROR(TA[[#This Row],[Breakdown Time]]*TA[[#This Row],[Plant Equivalent Weightage]],"")</f>
        <v>0</v>
      </c>
    </row>
    <row r="1162" spans="1:35">
      <c r="A1162" s="2">
        <f t="shared" si="120"/>
        <v>1159</v>
      </c>
      <c r="B1162" s="156">
        <f t="shared" si="125"/>
        <v>2026</v>
      </c>
      <c r="C1162" s="129">
        <f t="shared" si="126"/>
        <v>2025</v>
      </c>
      <c r="D1162" s="2" t="s">
        <v>155</v>
      </c>
      <c r="E1162" s="2" t="s">
        <v>155</v>
      </c>
      <c r="F1162" s="39">
        <v>45809</v>
      </c>
      <c r="G1162" s="2">
        <f>DAY(EOMONTH(TA[[#This Row],[Month Year]],0))</f>
        <v>30</v>
      </c>
      <c r="H1162" s="21">
        <v>45826</v>
      </c>
      <c r="I1162" s="41">
        <f>IFERROR(VLOOKUP(TA[[#This Row],[Date]],Raw_Data[[Date]:[Sunset Time (POA&lt;20 W/m2)]],3,0),"")</f>
        <v>0.24444444444444444</v>
      </c>
      <c r="J1162" s="41">
        <f>IFERROR(VLOOKUP(TA[[#This Row],[Date]],Raw_Data[[Date]:[Sunset Time (POA&lt;20 W/m2)]],4,0),"")</f>
        <v>0.77430555555555558</v>
      </c>
      <c r="K1162" s="35">
        <f>IFERROR((TA[[#This Row],[Sunset Time (POA&lt;20 W/m2)]]-TA[[#This Row],[Sunrise Time (POA&gt;20 W/m2)]])*24,"")</f>
        <v>12.716666666666667</v>
      </c>
      <c r="L1162" s="2" t="s">
        <v>294</v>
      </c>
      <c r="M1162" s="42">
        <f>IFERROR(VLOOKUP(TA[[#This Row],[Affected Equipment]],'Basic Data'!$I$2:$K$40,3,0),"")</f>
        <v>1.7241379310344799E-3</v>
      </c>
      <c r="N1162">
        <v>-28</v>
      </c>
      <c r="O1162" t="s">
        <v>135</v>
      </c>
      <c r="P1162" s="127" t="s">
        <v>318</v>
      </c>
      <c r="Q1162" s="126" t="s">
        <v>318</v>
      </c>
      <c r="R1162">
        <v>131</v>
      </c>
      <c r="S1162" s="2">
        <v>39</v>
      </c>
      <c r="T1162" t="s">
        <v>295</v>
      </c>
      <c r="U1162" t="s">
        <v>300</v>
      </c>
      <c r="V1162" t="s">
        <v>298</v>
      </c>
      <c r="W1162" s="41"/>
      <c r="X1162" s="41"/>
      <c r="Y1162" s="34"/>
      <c r="Z1162" s="34"/>
      <c r="AA1162" s="35">
        <f>IF(TA[[#This Row],[Work Start time on Fault]]="NA","",(TA[[#This Row],[Fault Acknowledgement Time ]]-TA[[#This Row],[Fault Time]])*24)</f>
        <v>0</v>
      </c>
      <c r="AB1162" s="35">
        <f>(TA[[#This Row],[Work Start time on Fault]]-TA[[#This Row],[Fault Time]])*24</f>
        <v>0</v>
      </c>
      <c r="AC1162" s="34">
        <f>(TA[[#This Row],[Work Completion time on fault]]-TA[[#This Row],[Fault Time]])*24</f>
        <v>0</v>
      </c>
      <c r="AD1162" s="35">
        <f>IFERROR((TA[[#This Row],[Work Completion time on fault]]-TA[[#This Row],[Fault Time]])*24,"")</f>
        <v>0</v>
      </c>
      <c r="AE1162" t="s">
        <v>328</v>
      </c>
      <c r="AF1162" t="s">
        <v>256</v>
      </c>
      <c r="AG1162" s="2"/>
      <c r="AH1162" s="44">
        <f>1-COS(RADIANS(TA[[#This Row],[Avg. Target Angle during Fault Time (Radians)]]-TA[[#This Row],[Angle of affected equipment ]]))</f>
        <v>0.11705240714107301</v>
      </c>
      <c r="AI1162" s="35">
        <f>IFERROR(TA[[#This Row],[Breakdown Time]]*TA[[#This Row],[Plant Equivalent Weightage]],"")</f>
        <v>0</v>
      </c>
    </row>
    <row r="1163" spans="1:35">
      <c r="A1163" s="2">
        <f t="shared" si="120"/>
        <v>1160</v>
      </c>
      <c r="B1163" s="156">
        <f t="shared" si="125"/>
        <v>2026</v>
      </c>
      <c r="C1163" s="129">
        <f t="shared" si="126"/>
        <v>2025</v>
      </c>
      <c r="D1163" s="2" t="s">
        <v>155</v>
      </c>
      <c r="E1163" s="2" t="s">
        <v>155</v>
      </c>
      <c r="F1163" s="39">
        <v>45809</v>
      </c>
      <c r="G1163" s="2">
        <f>DAY(EOMONTH(TA[[#This Row],[Month Year]],0))</f>
        <v>30</v>
      </c>
      <c r="H1163" s="21">
        <v>45826</v>
      </c>
      <c r="I1163" s="41">
        <f>IFERROR(VLOOKUP(TA[[#This Row],[Date]],Raw_Data[[Date]:[Sunset Time (POA&lt;20 W/m2)]],3,0),"")</f>
        <v>0.24444444444444444</v>
      </c>
      <c r="J1163" s="41">
        <f>IFERROR(VLOOKUP(TA[[#This Row],[Date]],Raw_Data[[Date]:[Sunset Time (POA&lt;20 W/m2)]],4,0),"")</f>
        <v>0.77430555555555558</v>
      </c>
      <c r="K1163" s="35">
        <f>IFERROR((TA[[#This Row],[Sunset Time (POA&lt;20 W/m2)]]-TA[[#This Row],[Sunrise Time (POA&gt;20 W/m2)]])*24,"")</f>
        <v>12.716666666666667</v>
      </c>
      <c r="L1163" s="2" t="s">
        <v>296</v>
      </c>
      <c r="M1163" s="42">
        <f>IFERROR(VLOOKUP(TA[[#This Row],[Affected Equipment]],'Basic Data'!$I$2:$K$40,3,0),"")</f>
        <v>8.6206896551724102E-3</v>
      </c>
      <c r="N1163">
        <v>-28</v>
      </c>
      <c r="O1163" t="s">
        <v>135</v>
      </c>
      <c r="P1163" s="127" t="s">
        <v>318</v>
      </c>
      <c r="Q1163" s="2" t="s">
        <v>321</v>
      </c>
      <c r="R1163">
        <v>133</v>
      </c>
      <c r="S1163" s="2">
        <v>26</v>
      </c>
      <c r="T1163" t="s">
        <v>297</v>
      </c>
      <c r="U1163" t="s">
        <v>300</v>
      </c>
      <c r="V1163" t="s">
        <v>314</v>
      </c>
      <c r="W1163" s="41">
        <f>IFERROR(VLOOKUP(TA[[#This Row],[Date]],Raw_Data[[Date]:[Sunset Time (POA&lt;20 W/m2)]],3,0),"")</f>
        <v>0.24444444444444444</v>
      </c>
      <c r="X1163" s="41">
        <f>IFERROR(VLOOKUP(TA[[#This Row],[Date]],Raw_Data[[Date]:[Sunset Time (POA&lt;20 W/m2)]],3,0),"")</f>
        <v>0.24444444444444444</v>
      </c>
      <c r="Y1163" s="34"/>
      <c r="Z1163" s="34">
        <v>0.76041666666666663</v>
      </c>
      <c r="AA1163" s="35">
        <f>IF(TA[[#This Row],[Work Start time on Fault]]="NA","",(TA[[#This Row],[Fault Acknowledgement Time ]]-TA[[#This Row],[Fault Time]])*24)</f>
        <v>0</v>
      </c>
      <c r="AB1163" s="35">
        <f>(TA[[#This Row],[Work Start time on Fault]]-TA[[#This Row],[Fault Time]])*24</f>
        <v>-5.8666666666666663</v>
      </c>
      <c r="AC1163" s="34">
        <f>(TA[[#This Row],[Work Completion time on fault]]-TA[[#This Row],[Fault Time]])*24</f>
        <v>12.383333333333333</v>
      </c>
      <c r="AD1163" s="35">
        <f>IFERROR((TA[[#This Row],[Work Completion time on fault]]-TA[[#This Row],[Fault Time]])*24,"")</f>
        <v>12.383333333333333</v>
      </c>
      <c r="AE1163" t="s">
        <v>328</v>
      </c>
      <c r="AF1163" t="s">
        <v>256</v>
      </c>
      <c r="AG1163" s="2"/>
      <c r="AH1163" s="44">
        <f>1-COS(RADIANS(TA[[#This Row],[Avg. Target Angle during Fault Time (Radians)]]-TA[[#This Row],[Angle of affected equipment ]]))</f>
        <v>0.11705240714107301</v>
      </c>
      <c r="AI1163" s="35">
        <f>IFERROR(TA[[#This Row],[Breakdown Time]]*TA[[#This Row],[Plant Equivalent Weightage]],"")</f>
        <v>0.10675287356321835</v>
      </c>
    </row>
    <row r="1164" spans="1:35">
      <c r="A1164" s="2">
        <f t="shared" si="120"/>
        <v>1161</v>
      </c>
      <c r="B1164" s="156">
        <f t="shared" si="125"/>
        <v>2026</v>
      </c>
      <c r="C1164" s="129">
        <f t="shared" si="126"/>
        <v>2025</v>
      </c>
      <c r="D1164" s="2" t="s">
        <v>155</v>
      </c>
      <c r="E1164" s="2" t="s">
        <v>155</v>
      </c>
      <c r="F1164" s="39">
        <v>45809</v>
      </c>
      <c r="G1164" s="2">
        <f>DAY(EOMONTH(TA[[#This Row],[Month Year]],0))</f>
        <v>30</v>
      </c>
      <c r="H1164" s="21">
        <v>45826</v>
      </c>
      <c r="I1164" s="41">
        <f>IFERROR(VLOOKUP(TA[[#This Row],[Date]],Raw_Data[[Date]:[Sunset Time (POA&lt;20 W/m2)]],3,0),"")</f>
        <v>0.24444444444444444</v>
      </c>
      <c r="J1164" s="41">
        <f>IFERROR(VLOOKUP(TA[[#This Row],[Date]],Raw_Data[[Date]:[Sunset Time (POA&lt;20 W/m2)]],4,0),"")</f>
        <v>0.77430555555555558</v>
      </c>
      <c r="K1164" s="35">
        <f>IFERROR((TA[[#This Row],[Sunset Time (POA&lt;20 W/m2)]]-TA[[#This Row],[Sunrise Time (POA&gt;20 W/m2)]])*24,"")</f>
        <v>12.716666666666667</v>
      </c>
      <c r="L1164" s="2" t="s">
        <v>294</v>
      </c>
      <c r="M1164" s="42">
        <f>IFERROR(VLOOKUP(TA[[#This Row],[Affected Equipment]],'Basic Data'!$I$2:$K$40,3,0),"")</f>
        <v>1.7241379310344799E-3</v>
      </c>
      <c r="N1164">
        <v>-28</v>
      </c>
      <c r="O1164" t="s">
        <v>133</v>
      </c>
      <c r="P1164" s="127" t="s">
        <v>316</v>
      </c>
      <c r="Q1164" s="126" t="s">
        <v>317</v>
      </c>
      <c r="R1164">
        <v>7</v>
      </c>
      <c r="S1164" s="2">
        <v>32</v>
      </c>
      <c r="T1164" t="s">
        <v>295</v>
      </c>
      <c r="U1164" t="s">
        <v>300</v>
      </c>
      <c r="V1164" t="s">
        <v>298</v>
      </c>
      <c r="W1164" s="41"/>
      <c r="X1164" s="41"/>
      <c r="Y1164" s="34"/>
      <c r="Z1164" s="34"/>
      <c r="AA1164" s="35">
        <f>IF(TA[[#This Row],[Work Start time on Fault]]="NA","",(TA[[#This Row],[Fault Acknowledgement Time ]]-TA[[#This Row],[Fault Time]])*24)</f>
        <v>0</v>
      </c>
      <c r="AB1164" s="35">
        <f>(TA[[#This Row],[Work Start time on Fault]]-TA[[#This Row],[Fault Time]])*24</f>
        <v>0</v>
      </c>
      <c r="AC1164" s="34">
        <f>(TA[[#This Row],[Work Completion time on fault]]-TA[[#This Row],[Fault Time]])*24</f>
        <v>0</v>
      </c>
      <c r="AD1164" s="35">
        <f>IFERROR((TA[[#This Row],[Work Completion time on fault]]-TA[[#This Row],[Fault Time]])*24,"")</f>
        <v>0</v>
      </c>
      <c r="AE1164" t="s">
        <v>328</v>
      </c>
      <c r="AF1164" t="s">
        <v>256</v>
      </c>
      <c r="AG1164" s="2"/>
      <c r="AH1164" s="44">
        <f>1-COS(RADIANS(TA[[#This Row],[Avg. Target Angle during Fault Time (Radians)]]-TA[[#This Row],[Angle of affected equipment ]]))</f>
        <v>0.11705240714107301</v>
      </c>
      <c r="AI1164" s="35">
        <f>IFERROR(TA[[#This Row],[Breakdown Time]]*TA[[#This Row],[Plant Equivalent Weightage]],"")</f>
        <v>0</v>
      </c>
    </row>
    <row r="1165" spans="1:35">
      <c r="A1165" s="2">
        <f t="shared" si="120"/>
        <v>1162</v>
      </c>
      <c r="B1165" s="156">
        <f t="shared" si="125"/>
        <v>2026</v>
      </c>
      <c r="C1165" s="129">
        <f t="shared" si="126"/>
        <v>2025</v>
      </c>
      <c r="D1165" s="2" t="s">
        <v>155</v>
      </c>
      <c r="E1165" s="2" t="s">
        <v>155</v>
      </c>
      <c r="F1165" s="39">
        <v>45809</v>
      </c>
      <c r="G1165" s="2">
        <f>DAY(EOMONTH(TA[[#This Row],[Month Year]],0))</f>
        <v>30</v>
      </c>
      <c r="H1165" s="21">
        <v>45826</v>
      </c>
      <c r="I1165" s="41">
        <f>IFERROR(VLOOKUP(TA[[#This Row],[Date]],Raw_Data[[Date]:[Sunset Time (POA&lt;20 W/m2)]],3,0),"")</f>
        <v>0.24444444444444444</v>
      </c>
      <c r="J1165" s="41">
        <f>IFERROR(VLOOKUP(TA[[#This Row],[Date]],Raw_Data[[Date]:[Sunset Time (POA&lt;20 W/m2)]],4,0),"")</f>
        <v>0.77430555555555558</v>
      </c>
      <c r="K1165" s="35">
        <f>IFERROR((TA[[#This Row],[Sunset Time (POA&lt;20 W/m2)]]-TA[[#This Row],[Sunrise Time (POA&gt;20 W/m2)]])*24,"")</f>
        <v>12.716666666666667</v>
      </c>
      <c r="L1165" s="2" t="s">
        <v>294</v>
      </c>
      <c r="M1165" s="42">
        <f>IFERROR(VLOOKUP(TA[[#This Row],[Affected Equipment]],'Basic Data'!$I$2:$K$40,3,0),"")</f>
        <v>1.7241379310344799E-3</v>
      </c>
      <c r="N1165">
        <v>-28</v>
      </c>
      <c r="O1165" t="s">
        <v>137</v>
      </c>
      <c r="P1165" s="127" t="s">
        <v>315</v>
      </c>
      <c r="Q1165" s="126" t="s">
        <v>319</v>
      </c>
      <c r="R1165">
        <v>166</v>
      </c>
      <c r="S1165" s="2">
        <v>91</v>
      </c>
      <c r="T1165" t="s">
        <v>295</v>
      </c>
      <c r="U1165" t="s">
        <v>300</v>
      </c>
      <c r="V1165" t="s">
        <v>298</v>
      </c>
      <c r="W1165" s="41"/>
      <c r="X1165" s="41"/>
      <c r="Y1165" s="34"/>
      <c r="Z1165" s="34"/>
      <c r="AA1165" s="35">
        <f>IF(TA[[#This Row],[Work Start time on Fault]]="NA","",(TA[[#This Row],[Fault Acknowledgement Time ]]-TA[[#This Row],[Fault Time]])*24)</f>
        <v>0</v>
      </c>
      <c r="AB1165" s="35">
        <f>(TA[[#This Row],[Work Start time on Fault]]-TA[[#This Row],[Fault Time]])*24</f>
        <v>0</v>
      </c>
      <c r="AC1165" s="34">
        <f>(TA[[#This Row],[Work Completion time on fault]]-TA[[#This Row],[Fault Time]])*24</f>
        <v>0</v>
      </c>
      <c r="AD1165" s="35">
        <f>IFERROR((TA[[#This Row],[Work Completion time on fault]]-TA[[#This Row],[Fault Time]])*24,"")</f>
        <v>0</v>
      </c>
      <c r="AE1165" t="s">
        <v>328</v>
      </c>
      <c r="AF1165" t="s">
        <v>256</v>
      </c>
      <c r="AG1165" s="2"/>
      <c r="AH1165" s="44">
        <f>1-COS(RADIANS(TA[[#This Row],[Avg. Target Angle during Fault Time (Radians)]]-TA[[#This Row],[Angle of affected equipment ]]))</f>
        <v>0.11705240714107301</v>
      </c>
      <c r="AI1165" s="35">
        <f>IFERROR(TA[[#This Row],[Breakdown Time]]*TA[[#This Row],[Plant Equivalent Weightage]],"")</f>
        <v>0</v>
      </c>
    </row>
    <row r="1166" spans="1:35">
      <c r="A1166" s="2">
        <f t="shared" si="120"/>
        <v>1163</v>
      </c>
      <c r="B1166" s="156">
        <f t="shared" si="125"/>
        <v>2026</v>
      </c>
      <c r="C1166" s="129">
        <f t="shared" si="126"/>
        <v>2025</v>
      </c>
      <c r="D1166" s="2" t="s">
        <v>155</v>
      </c>
      <c r="E1166" s="2" t="s">
        <v>155</v>
      </c>
      <c r="F1166" s="39">
        <v>45809</v>
      </c>
      <c r="G1166" s="2">
        <f>DAY(EOMONTH(TA[[#This Row],[Month Year]],0))</f>
        <v>30</v>
      </c>
      <c r="H1166" s="21">
        <v>45826</v>
      </c>
      <c r="I1166" s="41">
        <f>IFERROR(VLOOKUP(TA[[#This Row],[Date]],Raw_Data[[Date]:[Sunset Time (POA&lt;20 W/m2)]],3,0),"")</f>
        <v>0.24444444444444444</v>
      </c>
      <c r="J1166" s="41">
        <f>IFERROR(VLOOKUP(TA[[#This Row],[Date]],Raw_Data[[Date]:[Sunset Time (POA&lt;20 W/m2)]],4,0),"")</f>
        <v>0.77430555555555558</v>
      </c>
      <c r="K1166" s="35">
        <f>IFERROR((TA[[#This Row],[Sunset Time (POA&lt;20 W/m2)]]-TA[[#This Row],[Sunrise Time (POA&gt;20 W/m2)]])*24,"")</f>
        <v>12.716666666666667</v>
      </c>
      <c r="L1166" s="2" t="s">
        <v>294</v>
      </c>
      <c r="M1166" s="42">
        <f>IFERROR(VLOOKUP(TA[[#This Row],[Affected Equipment]],'Basic Data'!$I$2:$K$40,3,0),"")</f>
        <v>1.7241379310344799E-3</v>
      </c>
      <c r="N1166">
        <v>-28</v>
      </c>
      <c r="O1166" t="s">
        <v>133</v>
      </c>
      <c r="P1166" s="127" t="s">
        <v>316</v>
      </c>
      <c r="Q1166" s="126" t="s">
        <v>316</v>
      </c>
      <c r="R1166">
        <v>117</v>
      </c>
      <c r="S1166" s="2">
        <v>20</v>
      </c>
      <c r="T1166" t="s">
        <v>295</v>
      </c>
      <c r="U1166" t="s">
        <v>300</v>
      </c>
      <c r="V1166" t="s">
        <v>298</v>
      </c>
      <c r="W1166" s="41"/>
      <c r="X1166" s="41"/>
      <c r="Y1166" s="34"/>
      <c r="Z1166" s="34"/>
      <c r="AA1166" s="35">
        <f>IF(TA[[#This Row],[Work Start time on Fault]]="NA","",(TA[[#This Row],[Fault Acknowledgement Time ]]-TA[[#This Row],[Fault Time]])*24)</f>
        <v>0</v>
      </c>
      <c r="AB1166" s="35">
        <f>(TA[[#This Row],[Work Start time on Fault]]-TA[[#This Row],[Fault Time]])*24</f>
        <v>0</v>
      </c>
      <c r="AC1166" s="34">
        <f>(TA[[#This Row],[Work Completion time on fault]]-TA[[#This Row],[Fault Time]])*24</f>
        <v>0</v>
      </c>
      <c r="AD1166" s="35">
        <f>IFERROR((TA[[#This Row],[Work Completion time on fault]]-TA[[#This Row],[Fault Time]])*24,"")</f>
        <v>0</v>
      </c>
      <c r="AE1166" t="s">
        <v>328</v>
      </c>
      <c r="AF1166" t="s">
        <v>256</v>
      </c>
      <c r="AG1166" s="2"/>
      <c r="AH1166" s="44">
        <f>1-COS(RADIANS(TA[[#This Row],[Avg. Target Angle during Fault Time (Radians)]]-TA[[#This Row],[Angle of affected equipment ]]))</f>
        <v>0.11705240714107301</v>
      </c>
      <c r="AI1166" s="35">
        <f>IFERROR(TA[[#This Row],[Breakdown Time]]*TA[[#This Row],[Plant Equivalent Weightage]],"")</f>
        <v>0</v>
      </c>
    </row>
    <row r="1167" spans="1:35">
      <c r="A1167" s="2">
        <f t="shared" si="120"/>
        <v>1164</v>
      </c>
      <c r="B1167" s="156">
        <f t="shared" si="125"/>
        <v>2026</v>
      </c>
      <c r="C1167" s="129">
        <f t="shared" si="126"/>
        <v>2025</v>
      </c>
      <c r="D1167" s="2" t="s">
        <v>155</v>
      </c>
      <c r="E1167" s="2" t="s">
        <v>155</v>
      </c>
      <c r="F1167" s="39">
        <v>45809</v>
      </c>
      <c r="G1167" s="2">
        <f>DAY(EOMONTH(TA[[#This Row],[Month Year]],0))</f>
        <v>30</v>
      </c>
      <c r="H1167" s="21">
        <v>45826</v>
      </c>
      <c r="I1167" s="41">
        <f>IFERROR(VLOOKUP(TA[[#This Row],[Date]],Raw_Data[[Date]:[Sunset Time (POA&lt;20 W/m2)]],3,0),"")</f>
        <v>0.24444444444444444</v>
      </c>
      <c r="J1167" s="41">
        <f>IFERROR(VLOOKUP(TA[[#This Row],[Date]],Raw_Data[[Date]:[Sunset Time (POA&lt;20 W/m2)]],4,0),"")</f>
        <v>0.77430555555555558</v>
      </c>
      <c r="K1167" s="35">
        <f>IFERROR((TA[[#This Row],[Sunset Time (POA&lt;20 W/m2)]]-TA[[#This Row],[Sunrise Time (POA&gt;20 W/m2)]])*24,"")</f>
        <v>12.716666666666667</v>
      </c>
      <c r="L1167" s="2" t="s">
        <v>294</v>
      </c>
      <c r="M1167" s="42">
        <f>IFERROR(VLOOKUP(TA[[#This Row],[Affected Equipment]],'Basic Data'!$I$2:$K$40,3,0),"")</f>
        <v>1.7241379310344799E-3</v>
      </c>
      <c r="N1167">
        <v>-28</v>
      </c>
      <c r="O1167" t="s">
        <v>133</v>
      </c>
      <c r="P1167" s="127" t="s">
        <v>316</v>
      </c>
      <c r="Q1167" s="126" t="s">
        <v>316</v>
      </c>
      <c r="R1167">
        <v>118</v>
      </c>
      <c r="S1167" s="2">
        <v>22</v>
      </c>
      <c r="T1167" t="s">
        <v>295</v>
      </c>
      <c r="U1167" t="s">
        <v>300</v>
      </c>
      <c r="V1167" t="s">
        <v>298</v>
      </c>
      <c r="W1167" s="41"/>
      <c r="X1167" s="41"/>
      <c r="Y1167" s="34"/>
      <c r="Z1167" s="34"/>
      <c r="AA1167" s="35">
        <f>IF(TA[[#This Row],[Work Start time on Fault]]="NA","",(TA[[#This Row],[Fault Acknowledgement Time ]]-TA[[#This Row],[Fault Time]])*24)</f>
        <v>0</v>
      </c>
      <c r="AB1167" s="35">
        <f>(TA[[#This Row],[Work Start time on Fault]]-TA[[#This Row],[Fault Time]])*24</f>
        <v>0</v>
      </c>
      <c r="AC1167" s="34">
        <f>(TA[[#This Row],[Work Completion time on fault]]-TA[[#This Row],[Fault Time]])*24</f>
        <v>0</v>
      </c>
      <c r="AD1167" s="35">
        <f>IFERROR((TA[[#This Row],[Work Completion time on fault]]-TA[[#This Row],[Fault Time]])*24,"")</f>
        <v>0</v>
      </c>
      <c r="AE1167" t="s">
        <v>328</v>
      </c>
      <c r="AF1167" t="s">
        <v>256</v>
      </c>
      <c r="AG1167" s="2"/>
      <c r="AH1167" s="44">
        <f>1-COS(RADIANS(TA[[#This Row],[Avg. Target Angle during Fault Time (Radians)]]-TA[[#This Row],[Angle of affected equipment ]]))</f>
        <v>0.11705240714107301</v>
      </c>
      <c r="AI1167" s="35">
        <f>IFERROR(TA[[#This Row],[Breakdown Time]]*TA[[#This Row],[Plant Equivalent Weightage]],"")</f>
        <v>0</v>
      </c>
    </row>
    <row r="1168" spans="1:35">
      <c r="A1168" s="2">
        <f t="shared" si="120"/>
        <v>1165</v>
      </c>
      <c r="B1168" s="156">
        <f t="shared" si="125"/>
        <v>2026</v>
      </c>
      <c r="C1168" s="129">
        <f t="shared" si="126"/>
        <v>2025</v>
      </c>
      <c r="D1168" s="2" t="s">
        <v>155</v>
      </c>
      <c r="E1168" s="2" t="s">
        <v>155</v>
      </c>
      <c r="F1168" s="39">
        <v>45809</v>
      </c>
      <c r="G1168" s="2">
        <f>DAY(EOMONTH(TA[[#This Row],[Month Year]],0))</f>
        <v>30</v>
      </c>
      <c r="H1168" s="21">
        <v>45826</v>
      </c>
      <c r="I1168" s="41">
        <f>IFERROR(VLOOKUP(TA[[#This Row],[Date]],Raw_Data[[Date]:[Sunset Time (POA&lt;20 W/m2)]],3,0),"")</f>
        <v>0.24444444444444444</v>
      </c>
      <c r="J1168" s="41">
        <f>IFERROR(VLOOKUP(TA[[#This Row],[Date]],Raw_Data[[Date]:[Sunset Time (POA&lt;20 W/m2)]],4,0),"")</f>
        <v>0.77430555555555558</v>
      </c>
      <c r="K1168" s="35">
        <f>IFERROR((TA[[#This Row],[Sunset Time (POA&lt;20 W/m2)]]-TA[[#This Row],[Sunrise Time (POA&gt;20 W/m2)]])*24,"")</f>
        <v>12.716666666666667</v>
      </c>
      <c r="L1168" s="2" t="s">
        <v>296</v>
      </c>
      <c r="M1168" s="42">
        <f>IFERROR(VLOOKUP(TA[[#This Row],[Affected Equipment]],'Basic Data'!$I$2:$K$40,3,0),"")</f>
        <v>8.6206896551724102E-3</v>
      </c>
      <c r="N1168">
        <v>-28</v>
      </c>
      <c r="O1168" t="s">
        <v>135</v>
      </c>
      <c r="P1168" s="22" t="s">
        <v>323</v>
      </c>
      <c r="Q1168" s="2" t="s">
        <v>329</v>
      </c>
      <c r="R1168">
        <v>45</v>
      </c>
      <c r="S1168" s="2">
        <v>8</v>
      </c>
      <c r="T1168" t="s">
        <v>297</v>
      </c>
      <c r="U1168" t="s">
        <v>300</v>
      </c>
      <c r="V1168" t="s">
        <v>301</v>
      </c>
      <c r="W1168" s="41"/>
      <c r="X1168" s="41"/>
      <c r="Y1168" s="34"/>
      <c r="Z1168" s="34"/>
      <c r="AA1168" s="35">
        <f>IF(TA[[#This Row],[Work Start time on Fault]]="NA","",(TA[[#This Row],[Fault Acknowledgement Time ]]-TA[[#This Row],[Fault Time]])*24)</f>
        <v>0</v>
      </c>
      <c r="AB1168" s="35">
        <f>(TA[[#This Row],[Work Start time on Fault]]-TA[[#This Row],[Fault Time]])*24</f>
        <v>0</v>
      </c>
      <c r="AC1168" s="34">
        <f>(TA[[#This Row],[Work Completion time on fault]]-TA[[#This Row],[Fault Time]])*24</f>
        <v>0</v>
      </c>
      <c r="AD1168" s="35">
        <f>IFERROR((TA[[#This Row],[Work Completion time on fault]]-TA[[#This Row],[Fault Time]])*24,"")</f>
        <v>0</v>
      </c>
      <c r="AE1168" t="s">
        <v>328</v>
      </c>
      <c r="AF1168" t="s">
        <v>256</v>
      </c>
      <c r="AG1168" s="2"/>
      <c r="AH1168" s="44">
        <f>1-COS(RADIANS(TA[[#This Row],[Avg. Target Angle during Fault Time (Radians)]]-TA[[#This Row],[Angle of affected equipment ]]))</f>
        <v>0.11705240714107301</v>
      </c>
      <c r="AI1168" s="35">
        <f>IFERROR(TA[[#This Row],[Breakdown Time]]*TA[[#This Row],[Plant Equivalent Weightage]],"")</f>
        <v>0</v>
      </c>
    </row>
    <row r="1169" spans="1:35">
      <c r="A1169" s="2">
        <f t="shared" si="120"/>
        <v>1166</v>
      </c>
      <c r="B1169" s="156">
        <f t="shared" si="125"/>
        <v>2026</v>
      </c>
      <c r="C1169" s="129">
        <f t="shared" si="126"/>
        <v>2025</v>
      </c>
      <c r="D1169" s="2" t="s">
        <v>155</v>
      </c>
      <c r="E1169" s="2" t="s">
        <v>155</v>
      </c>
      <c r="F1169" s="39">
        <v>45809</v>
      </c>
      <c r="G1169" s="2">
        <f>DAY(EOMONTH(TA[[#This Row],[Month Year]],0))</f>
        <v>30</v>
      </c>
      <c r="H1169" s="21">
        <v>45826</v>
      </c>
      <c r="I1169" s="41">
        <f>IFERROR(VLOOKUP(TA[[#This Row],[Date]],Raw_Data[[Date]:[Sunset Time (POA&lt;20 W/m2)]],3,0),"")</f>
        <v>0.24444444444444444</v>
      </c>
      <c r="J1169" s="41">
        <f>IFERROR(VLOOKUP(TA[[#This Row],[Date]],Raw_Data[[Date]:[Sunset Time (POA&lt;20 W/m2)]],4,0),"")</f>
        <v>0.77430555555555558</v>
      </c>
      <c r="K1169" s="35">
        <f>IFERROR((TA[[#This Row],[Sunset Time (POA&lt;20 W/m2)]]-TA[[#This Row],[Sunrise Time (POA&gt;20 W/m2)]])*24,"")</f>
        <v>12.716666666666667</v>
      </c>
      <c r="L1169" s="2" t="s">
        <v>296</v>
      </c>
      <c r="M1169" s="42">
        <f>IFERROR(VLOOKUP(TA[[#This Row],[Affected Equipment]],'Basic Data'!$I$2:$K$40,3,0),"")</f>
        <v>8.6206896551724102E-3</v>
      </c>
      <c r="N1169">
        <v>-28</v>
      </c>
      <c r="O1169" t="s">
        <v>135</v>
      </c>
      <c r="P1169" s="22" t="s">
        <v>323</v>
      </c>
      <c r="Q1169" s="2" t="s">
        <v>329</v>
      </c>
      <c r="R1169">
        <v>47</v>
      </c>
      <c r="S1169" s="2">
        <v>18</v>
      </c>
      <c r="T1169" t="s">
        <v>297</v>
      </c>
      <c r="U1169" t="s">
        <v>300</v>
      </c>
      <c r="V1169" t="s">
        <v>301</v>
      </c>
      <c r="W1169" s="41"/>
      <c r="X1169" s="41"/>
      <c r="Y1169" s="34"/>
      <c r="Z1169" s="34"/>
      <c r="AA1169" s="35">
        <f>IF(TA[[#This Row],[Work Start time on Fault]]="NA","",(TA[[#This Row],[Fault Acknowledgement Time ]]-TA[[#This Row],[Fault Time]])*24)</f>
        <v>0</v>
      </c>
      <c r="AB1169" s="35">
        <f>(TA[[#This Row],[Work Start time on Fault]]-TA[[#This Row],[Fault Time]])*24</f>
        <v>0</v>
      </c>
      <c r="AC1169" s="34">
        <f>(TA[[#This Row],[Work Completion time on fault]]-TA[[#This Row],[Fault Time]])*24</f>
        <v>0</v>
      </c>
      <c r="AD1169" s="35">
        <f>IFERROR((TA[[#This Row],[Work Completion time on fault]]-TA[[#This Row],[Fault Time]])*24,"")</f>
        <v>0</v>
      </c>
      <c r="AE1169" t="s">
        <v>328</v>
      </c>
      <c r="AF1169" t="s">
        <v>256</v>
      </c>
      <c r="AG1169" s="2"/>
      <c r="AH1169" s="44">
        <f>1-COS(RADIANS(TA[[#This Row],[Avg. Target Angle during Fault Time (Radians)]]-TA[[#This Row],[Angle of affected equipment ]]))</f>
        <v>0.11705240714107301</v>
      </c>
      <c r="AI1169" s="35">
        <f>IFERROR(TA[[#This Row],[Breakdown Time]]*TA[[#This Row],[Plant Equivalent Weightage]],"")</f>
        <v>0</v>
      </c>
    </row>
    <row r="1170" spans="1:35">
      <c r="A1170" s="2">
        <f t="shared" si="120"/>
        <v>1167</v>
      </c>
      <c r="B1170" s="156">
        <f t="shared" si="125"/>
        <v>2026</v>
      </c>
      <c r="C1170" s="129">
        <f t="shared" si="126"/>
        <v>2025</v>
      </c>
      <c r="D1170" s="2" t="s">
        <v>155</v>
      </c>
      <c r="E1170" s="2" t="s">
        <v>155</v>
      </c>
      <c r="F1170" s="39">
        <v>45809</v>
      </c>
      <c r="G1170" s="2">
        <f>DAY(EOMONTH(TA[[#This Row],[Month Year]],0))</f>
        <v>30</v>
      </c>
      <c r="H1170" s="21">
        <v>45826</v>
      </c>
      <c r="I1170" s="41">
        <f>IFERROR(VLOOKUP(TA[[#This Row],[Date]],Raw_Data[[Date]:[Sunset Time (POA&lt;20 W/m2)]],3,0),"")</f>
        <v>0.24444444444444444</v>
      </c>
      <c r="J1170" s="41">
        <f>IFERROR(VLOOKUP(TA[[#This Row],[Date]],Raw_Data[[Date]:[Sunset Time (POA&lt;20 W/m2)]],4,0),"")</f>
        <v>0.77430555555555558</v>
      </c>
      <c r="K1170" s="35">
        <f>IFERROR((TA[[#This Row],[Sunset Time (POA&lt;20 W/m2)]]-TA[[#This Row],[Sunrise Time (POA&gt;20 W/m2)]])*24,"")</f>
        <v>12.716666666666667</v>
      </c>
      <c r="L1170" s="2" t="s">
        <v>296</v>
      </c>
      <c r="M1170" s="42">
        <f>IFERROR(VLOOKUP(TA[[#This Row],[Affected Equipment]],'Basic Data'!$I$2:$K$40,3,0),"")</f>
        <v>8.6206896551724102E-3</v>
      </c>
      <c r="N1170">
        <v>-28</v>
      </c>
      <c r="O1170" t="s">
        <v>134</v>
      </c>
      <c r="P1170" s="22" t="s">
        <v>330</v>
      </c>
      <c r="Q1170" s="2" t="s">
        <v>323</v>
      </c>
      <c r="R1170">
        <v>30</v>
      </c>
      <c r="S1170" s="2">
        <v>57</v>
      </c>
      <c r="T1170" t="s">
        <v>297</v>
      </c>
      <c r="U1170" t="s">
        <v>300</v>
      </c>
      <c r="V1170" t="s">
        <v>301</v>
      </c>
      <c r="W1170" s="41"/>
      <c r="X1170" s="41"/>
      <c r="Y1170" s="34"/>
      <c r="Z1170" s="34"/>
      <c r="AA1170" s="35">
        <f>IF(TA[[#This Row],[Work Start time on Fault]]="NA","",(TA[[#This Row],[Fault Acknowledgement Time ]]-TA[[#This Row],[Fault Time]])*24)</f>
        <v>0</v>
      </c>
      <c r="AB1170" s="35">
        <f>(TA[[#This Row],[Work Start time on Fault]]-TA[[#This Row],[Fault Time]])*24</f>
        <v>0</v>
      </c>
      <c r="AC1170" s="34">
        <f>(TA[[#This Row],[Work Completion time on fault]]-TA[[#This Row],[Fault Time]])*24</f>
        <v>0</v>
      </c>
      <c r="AD1170" s="35">
        <f>IFERROR((TA[[#This Row],[Work Completion time on fault]]-TA[[#This Row],[Fault Time]])*24,"")</f>
        <v>0</v>
      </c>
      <c r="AE1170" t="s">
        <v>328</v>
      </c>
      <c r="AF1170" t="s">
        <v>256</v>
      </c>
      <c r="AG1170" s="2"/>
      <c r="AH1170" s="44">
        <f>1-COS(RADIANS(TA[[#This Row],[Avg. Target Angle during Fault Time (Radians)]]-TA[[#This Row],[Angle of affected equipment ]]))</f>
        <v>0.11705240714107301</v>
      </c>
      <c r="AI1170" s="35">
        <f>IFERROR(TA[[#This Row],[Breakdown Time]]*TA[[#This Row],[Plant Equivalent Weightage]],"")</f>
        <v>0</v>
      </c>
    </row>
    <row r="1171" spans="1:35">
      <c r="A1171" s="2">
        <f t="shared" si="120"/>
        <v>1168</v>
      </c>
      <c r="B1171" s="156">
        <f t="shared" si="125"/>
        <v>2026</v>
      </c>
      <c r="C1171" s="129">
        <f t="shared" si="126"/>
        <v>2025</v>
      </c>
      <c r="D1171" s="2" t="s">
        <v>155</v>
      </c>
      <c r="E1171" s="2" t="s">
        <v>155</v>
      </c>
      <c r="F1171" s="39">
        <v>45809</v>
      </c>
      <c r="G1171" s="2">
        <f>DAY(EOMONTH(TA[[#This Row],[Month Year]],0))</f>
        <v>30</v>
      </c>
      <c r="H1171" s="21">
        <v>45826</v>
      </c>
      <c r="I1171" s="41">
        <f>IFERROR(VLOOKUP(TA[[#This Row],[Date]],Raw_Data[[Date]:[Sunset Time (POA&lt;20 W/m2)]],3,0),"")</f>
        <v>0.24444444444444444</v>
      </c>
      <c r="J1171" s="41">
        <f>IFERROR(VLOOKUP(TA[[#This Row],[Date]],Raw_Data[[Date]:[Sunset Time (POA&lt;20 W/m2)]],4,0),"")</f>
        <v>0.77430555555555558</v>
      </c>
      <c r="K1171" s="35">
        <f>IFERROR((TA[[#This Row],[Sunset Time (POA&lt;20 W/m2)]]-TA[[#This Row],[Sunrise Time (POA&gt;20 W/m2)]])*24,"")</f>
        <v>12.716666666666667</v>
      </c>
      <c r="L1171" s="2" t="s">
        <v>296</v>
      </c>
      <c r="M1171" s="42">
        <f>IFERROR(VLOOKUP(TA[[#This Row],[Affected Equipment]],'Basic Data'!$I$2:$K$40,3,0),"")</f>
        <v>8.6206896551724102E-3</v>
      </c>
      <c r="N1171">
        <v>-28</v>
      </c>
      <c r="O1171" t="s">
        <v>134</v>
      </c>
      <c r="P1171" s="22" t="s">
        <v>330</v>
      </c>
      <c r="Q1171" s="2" t="s">
        <v>323</v>
      </c>
      <c r="R1171">
        <v>31</v>
      </c>
      <c r="S1171" s="2">
        <v>61</v>
      </c>
      <c r="T1171" t="s">
        <v>297</v>
      </c>
      <c r="U1171" t="s">
        <v>300</v>
      </c>
      <c r="V1171" t="s">
        <v>301</v>
      </c>
      <c r="W1171" s="41"/>
      <c r="X1171" s="41"/>
      <c r="Y1171" s="34"/>
      <c r="Z1171" s="34"/>
      <c r="AA1171" s="35">
        <f>IF(TA[[#This Row],[Work Start time on Fault]]="NA","",(TA[[#This Row],[Fault Acknowledgement Time ]]-TA[[#This Row],[Fault Time]])*24)</f>
        <v>0</v>
      </c>
      <c r="AB1171" s="35">
        <f>(TA[[#This Row],[Work Start time on Fault]]-TA[[#This Row],[Fault Time]])*24</f>
        <v>0</v>
      </c>
      <c r="AC1171" s="34">
        <f>(TA[[#This Row],[Work Completion time on fault]]-TA[[#This Row],[Fault Time]])*24</f>
        <v>0</v>
      </c>
      <c r="AD1171" s="35">
        <f>IFERROR((TA[[#This Row],[Work Completion time on fault]]-TA[[#This Row],[Fault Time]])*24,"")</f>
        <v>0</v>
      </c>
      <c r="AE1171" t="s">
        <v>328</v>
      </c>
      <c r="AF1171" t="s">
        <v>256</v>
      </c>
      <c r="AG1171" s="2"/>
      <c r="AH1171" s="44">
        <f>1-COS(RADIANS(TA[[#This Row],[Avg. Target Angle during Fault Time (Radians)]]-TA[[#This Row],[Angle of affected equipment ]]))</f>
        <v>0.11705240714107301</v>
      </c>
      <c r="AI1171" s="35">
        <f>IFERROR(TA[[#This Row],[Breakdown Time]]*TA[[#This Row],[Plant Equivalent Weightage]],"")</f>
        <v>0</v>
      </c>
    </row>
    <row r="1172" spans="1:35">
      <c r="A1172" s="2">
        <f t="shared" si="120"/>
        <v>1169</v>
      </c>
      <c r="B1172" s="156">
        <f t="shared" si="125"/>
        <v>2026</v>
      </c>
      <c r="C1172" s="129">
        <f t="shared" si="126"/>
        <v>2025</v>
      </c>
      <c r="D1172" s="2" t="s">
        <v>155</v>
      </c>
      <c r="E1172" s="2" t="s">
        <v>155</v>
      </c>
      <c r="F1172" s="39">
        <v>45809</v>
      </c>
      <c r="G1172" s="2">
        <f>DAY(EOMONTH(TA[[#This Row],[Month Year]],0))</f>
        <v>30</v>
      </c>
      <c r="H1172" s="21">
        <v>45826</v>
      </c>
      <c r="I1172" s="41">
        <f>IFERROR(VLOOKUP(TA[[#This Row],[Date]],Raw_Data[[Date]:[Sunset Time (POA&lt;20 W/m2)]],3,0),"")</f>
        <v>0.24444444444444444</v>
      </c>
      <c r="J1172" s="41">
        <f>IFERROR(VLOOKUP(TA[[#This Row],[Date]],Raw_Data[[Date]:[Sunset Time (POA&lt;20 W/m2)]],4,0),"")</f>
        <v>0.77430555555555558</v>
      </c>
      <c r="K1172" s="35">
        <f>IFERROR((TA[[#This Row],[Sunset Time (POA&lt;20 W/m2)]]-TA[[#This Row],[Sunrise Time (POA&gt;20 W/m2)]])*24,"")</f>
        <v>12.716666666666667</v>
      </c>
      <c r="L1172" s="2" t="s">
        <v>312</v>
      </c>
      <c r="M1172" s="42">
        <f>IFERROR(VLOOKUP(TA[[#This Row],[Affected Equipment]],'Basic Data'!$I$2:$K$40,3,0),"")</f>
        <v>5.74712643678161E-3</v>
      </c>
      <c r="N1172">
        <v>-28</v>
      </c>
      <c r="O1172" t="s">
        <v>133</v>
      </c>
      <c r="P1172" s="22" t="s">
        <v>330</v>
      </c>
      <c r="Q1172" s="2" t="s">
        <v>323</v>
      </c>
      <c r="R1172">
        <v>26</v>
      </c>
      <c r="S1172" s="2">
        <v>37</v>
      </c>
      <c r="T1172" t="s">
        <v>297</v>
      </c>
      <c r="U1172" t="s">
        <v>300</v>
      </c>
      <c r="V1172" t="s">
        <v>301</v>
      </c>
      <c r="W1172" s="41"/>
      <c r="X1172" s="41"/>
      <c r="Y1172" s="34"/>
      <c r="Z1172" s="34"/>
      <c r="AA1172" s="35">
        <f>IF(TA[[#This Row],[Work Start time on Fault]]="NA","",(TA[[#This Row],[Fault Acknowledgement Time ]]-TA[[#This Row],[Fault Time]])*24)</f>
        <v>0</v>
      </c>
      <c r="AB1172" s="35">
        <f>(TA[[#This Row],[Work Start time on Fault]]-TA[[#This Row],[Fault Time]])*24</f>
        <v>0</v>
      </c>
      <c r="AC1172" s="34">
        <f>(TA[[#This Row],[Work Completion time on fault]]-TA[[#This Row],[Fault Time]])*24</f>
        <v>0</v>
      </c>
      <c r="AD1172" s="35">
        <f>IFERROR((TA[[#This Row],[Work Completion time on fault]]-TA[[#This Row],[Fault Time]])*24,"")</f>
        <v>0</v>
      </c>
      <c r="AE1172" t="s">
        <v>328</v>
      </c>
      <c r="AF1172" t="s">
        <v>256</v>
      </c>
      <c r="AG1172" s="2"/>
      <c r="AH1172" s="44">
        <f>1-COS(RADIANS(TA[[#This Row],[Avg. Target Angle during Fault Time (Radians)]]-TA[[#This Row],[Angle of affected equipment ]]))</f>
        <v>0.11705240714107301</v>
      </c>
      <c r="AI1172" s="35">
        <f>IFERROR(TA[[#This Row],[Breakdown Time]]*TA[[#This Row],[Plant Equivalent Weightage]],"")</f>
        <v>0</v>
      </c>
    </row>
    <row r="1173" spans="1:35">
      <c r="A1173" s="2">
        <f t="shared" si="120"/>
        <v>1170</v>
      </c>
      <c r="B1173" s="156">
        <f t="shared" si="125"/>
        <v>2026</v>
      </c>
      <c r="C1173" s="129">
        <f t="shared" si="126"/>
        <v>2025</v>
      </c>
      <c r="D1173" s="2" t="s">
        <v>155</v>
      </c>
      <c r="E1173" s="2" t="s">
        <v>155</v>
      </c>
      <c r="F1173" s="39">
        <v>45809</v>
      </c>
      <c r="G1173" s="2">
        <f>DAY(EOMONTH(TA[[#This Row],[Month Year]],0))</f>
        <v>30</v>
      </c>
      <c r="H1173" s="21">
        <v>45826</v>
      </c>
      <c r="I1173" s="41">
        <f>IFERROR(VLOOKUP(TA[[#This Row],[Date]],Raw_Data[[Date]:[Sunset Time (POA&lt;20 W/m2)]],3,0),"")</f>
        <v>0.24444444444444444</v>
      </c>
      <c r="J1173" s="41">
        <f>IFERROR(VLOOKUP(TA[[#This Row],[Date]],Raw_Data[[Date]:[Sunset Time (POA&lt;20 W/m2)]],4,0),"")</f>
        <v>0.77430555555555558</v>
      </c>
      <c r="K1173" s="35">
        <f>IFERROR((TA[[#This Row],[Sunset Time (POA&lt;20 W/m2)]]-TA[[#This Row],[Sunrise Time (POA&gt;20 W/m2)]])*24,"")</f>
        <v>12.716666666666667</v>
      </c>
      <c r="L1173" s="2" t="s">
        <v>312</v>
      </c>
      <c r="M1173" s="42">
        <f>IFERROR(VLOOKUP(TA[[#This Row],[Affected Equipment]],'Basic Data'!$I$2:$K$40,3,0),"")</f>
        <v>5.74712643678161E-3</v>
      </c>
      <c r="N1173">
        <v>-28</v>
      </c>
      <c r="O1173" t="s">
        <v>133</v>
      </c>
      <c r="P1173" s="22" t="s">
        <v>330</v>
      </c>
      <c r="Q1173" s="2" t="s">
        <v>323</v>
      </c>
      <c r="R1173">
        <v>27</v>
      </c>
      <c r="S1173" s="2">
        <v>42</v>
      </c>
      <c r="T1173" t="s">
        <v>297</v>
      </c>
      <c r="U1173" t="s">
        <v>300</v>
      </c>
      <c r="V1173" t="s">
        <v>301</v>
      </c>
      <c r="W1173" s="41">
        <f>IFERROR(VLOOKUP(TA[[#This Row],[Date]],Raw_Data[[Date]:[Sunset Time (POA&lt;20 W/m2)]],3,0),"")</f>
        <v>0.24444444444444444</v>
      </c>
      <c r="X1173" s="41">
        <f>IFERROR(VLOOKUP(TA[[#This Row],[Date]],Raw_Data[[Date]:[Sunset Time (POA&lt;20 W/m2)]],3,0),"")</f>
        <v>0.24444444444444444</v>
      </c>
      <c r="Y1173" s="34"/>
      <c r="Z1173" s="34">
        <v>0.76041666666666663</v>
      </c>
      <c r="AA1173" s="35">
        <f>IF(TA[[#This Row],[Work Start time on Fault]]="NA","",(TA[[#This Row],[Fault Acknowledgement Time ]]-TA[[#This Row],[Fault Time]])*24)</f>
        <v>0</v>
      </c>
      <c r="AB1173" s="35">
        <f>(TA[[#This Row],[Work Start time on Fault]]-TA[[#This Row],[Fault Time]])*24</f>
        <v>-5.8666666666666663</v>
      </c>
      <c r="AC1173" s="34">
        <f>(TA[[#This Row],[Work Completion time on fault]]-TA[[#This Row],[Fault Time]])*24</f>
        <v>12.383333333333333</v>
      </c>
      <c r="AD1173" s="35">
        <f>IFERROR((TA[[#This Row],[Work Completion time on fault]]-TA[[#This Row],[Fault Time]])*24,"")</f>
        <v>12.383333333333333</v>
      </c>
      <c r="AE1173" t="s">
        <v>309</v>
      </c>
      <c r="AF1173" t="s">
        <v>256</v>
      </c>
      <c r="AG1173" s="2"/>
      <c r="AH1173" s="44">
        <f>1-COS(RADIANS(TA[[#This Row],[Avg. Target Angle during Fault Time (Radians)]]-TA[[#This Row],[Angle of affected equipment ]]))</f>
        <v>0.11705240714107301</v>
      </c>
      <c r="AI1173" s="35">
        <f>IFERROR(TA[[#This Row],[Breakdown Time]]*TA[[#This Row],[Plant Equivalent Weightage]],"")</f>
        <v>7.1168582375478934E-2</v>
      </c>
    </row>
    <row r="1174" spans="1:35">
      <c r="A1174" s="2">
        <f t="shared" si="120"/>
        <v>1171</v>
      </c>
      <c r="B1174" s="156">
        <f t="shared" ref="B1174:B1186" si="127">YEAR(H1174)+IF(MONTH(H1174)&gt;=4,1,0)</f>
        <v>2026</v>
      </c>
      <c r="C1174" s="129">
        <f t="shared" ref="C1174:C1186" si="128">YEAR(H1174)</f>
        <v>2025</v>
      </c>
      <c r="D1174" s="2" t="s">
        <v>155</v>
      </c>
      <c r="E1174" s="2" t="s">
        <v>155</v>
      </c>
      <c r="F1174" s="39">
        <v>45809</v>
      </c>
      <c r="G1174" s="2">
        <f>DAY(EOMONTH(TA[[#This Row],[Month Year]],0))</f>
        <v>30</v>
      </c>
      <c r="H1174" s="21">
        <v>45827</v>
      </c>
      <c r="I1174" s="41">
        <f>IFERROR(VLOOKUP(TA[[#This Row],[Date]],Raw_Data[[Date]:[Sunset Time (POA&lt;20 W/m2)]],3,0),"")</f>
        <v>0.24861111111111112</v>
      </c>
      <c r="J1174" s="41">
        <f>IFERROR(VLOOKUP(TA[[#This Row],[Date]],Raw_Data[[Date]:[Sunset Time (POA&lt;20 W/m2)]],4,0),"")</f>
        <v>0.77083333333333337</v>
      </c>
      <c r="K1174" s="35">
        <f>IFERROR((TA[[#This Row],[Sunset Time (POA&lt;20 W/m2)]]-TA[[#This Row],[Sunrise Time (POA&gt;20 W/m2)]])*24,"")</f>
        <v>12.533333333333335</v>
      </c>
      <c r="L1174" s="2" t="s">
        <v>294</v>
      </c>
      <c r="M1174" s="42">
        <f>IFERROR(VLOOKUP(TA[[#This Row],[Affected Equipment]],'Basic Data'!$I$2:$K$40,3,0),"")</f>
        <v>1.7241379310344799E-3</v>
      </c>
      <c r="N1174">
        <v>-28</v>
      </c>
      <c r="O1174" t="s">
        <v>135</v>
      </c>
      <c r="P1174" s="127" t="s">
        <v>318</v>
      </c>
      <c r="Q1174" s="126" t="s">
        <v>318</v>
      </c>
      <c r="R1174">
        <v>131</v>
      </c>
      <c r="S1174" s="2">
        <v>38</v>
      </c>
      <c r="T1174" t="s">
        <v>295</v>
      </c>
      <c r="U1174" t="s">
        <v>300</v>
      </c>
      <c r="V1174" t="s">
        <v>298</v>
      </c>
      <c r="W1174" s="41"/>
      <c r="X1174" s="41"/>
      <c r="Y1174" s="34"/>
      <c r="Z1174" s="34"/>
      <c r="AA1174" s="35">
        <f>IF(TA[[#This Row],[Work Start time on Fault]]="NA","",(TA[[#This Row],[Fault Acknowledgement Time ]]-TA[[#This Row],[Fault Time]])*24)</f>
        <v>0</v>
      </c>
      <c r="AB1174" s="35">
        <f>(TA[[#This Row],[Work Start time on Fault]]-TA[[#This Row],[Fault Time]])*24</f>
        <v>0</v>
      </c>
      <c r="AC1174" s="34">
        <f>(TA[[#This Row],[Work Completion time on fault]]-TA[[#This Row],[Fault Time]])*24</f>
        <v>0</v>
      </c>
      <c r="AD1174" s="35">
        <f>IFERROR((TA[[#This Row],[Work Completion time on fault]]-TA[[#This Row],[Fault Time]])*24,"")</f>
        <v>0</v>
      </c>
      <c r="AE1174" t="s">
        <v>328</v>
      </c>
      <c r="AF1174" t="s">
        <v>256</v>
      </c>
      <c r="AG1174" s="2"/>
      <c r="AH1174" s="44">
        <f>1-COS(RADIANS(TA[[#This Row],[Avg. Target Angle during Fault Time (Radians)]]-TA[[#This Row],[Angle of affected equipment ]]))</f>
        <v>0.11705240714107301</v>
      </c>
      <c r="AI1174" s="35">
        <f>IFERROR(TA[[#This Row],[Breakdown Time]]*TA[[#This Row],[Plant Equivalent Weightage]],"")</f>
        <v>0</v>
      </c>
    </row>
    <row r="1175" spans="1:35">
      <c r="A1175" s="2">
        <f t="shared" si="120"/>
        <v>1172</v>
      </c>
      <c r="B1175" s="156">
        <f t="shared" si="127"/>
        <v>2026</v>
      </c>
      <c r="C1175" s="129">
        <f t="shared" si="128"/>
        <v>2025</v>
      </c>
      <c r="D1175" s="2" t="s">
        <v>155</v>
      </c>
      <c r="E1175" s="2" t="s">
        <v>155</v>
      </c>
      <c r="F1175" s="39">
        <v>45809</v>
      </c>
      <c r="G1175" s="2">
        <f>DAY(EOMONTH(TA[[#This Row],[Month Year]],0))</f>
        <v>30</v>
      </c>
      <c r="H1175" s="21">
        <v>45827</v>
      </c>
      <c r="I1175" s="41">
        <f>IFERROR(VLOOKUP(TA[[#This Row],[Date]],Raw_Data[[Date]:[Sunset Time (POA&lt;20 W/m2)]],3,0),"")</f>
        <v>0.24861111111111112</v>
      </c>
      <c r="J1175" s="41">
        <f>IFERROR(VLOOKUP(TA[[#This Row],[Date]],Raw_Data[[Date]:[Sunset Time (POA&lt;20 W/m2)]],4,0),"")</f>
        <v>0.77083333333333337</v>
      </c>
      <c r="K1175" s="35">
        <f>IFERROR((TA[[#This Row],[Sunset Time (POA&lt;20 W/m2)]]-TA[[#This Row],[Sunrise Time (POA&gt;20 W/m2)]])*24,"")</f>
        <v>12.533333333333335</v>
      </c>
      <c r="L1175" s="2" t="s">
        <v>294</v>
      </c>
      <c r="M1175" s="42">
        <f>IFERROR(VLOOKUP(TA[[#This Row],[Affected Equipment]],'Basic Data'!$I$2:$K$40,3,0),"")</f>
        <v>1.7241379310344799E-3</v>
      </c>
      <c r="N1175">
        <v>-28</v>
      </c>
      <c r="O1175" t="s">
        <v>135</v>
      </c>
      <c r="P1175" s="127" t="s">
        <v>318</v>
      </c>
      <c r="Q1175" s="126" t="s">
        <v>318</v>
      </c>
      <c r="R1175">
        <v>131</v>
      </c>
      <c r="S1175" s="2">
        <v>39</v>
      </c>
      <c r="T1175" t="s">
        <v>295</v>
      </c>
      <c r="U1175" t="s">
        <v>300</v>
      </c>
      <c r="V1175" t="s">
        <v>298</v>
      </c>
      <c r="W1175" s="41"/>
      <c r="X1175" s="41"/>
      <c r="Y1175" s="34"/>
      <c r="Z1175" s="34"/>
      <c r="AA1175" s="35">
        <f>IF(TA[[#This Row],[Work Start time on Fault]]="NA","",(TA[[#This Row],[Fault Acknowledgement Time ]]-TA[[#This Row],[Fault Time]])*24)</f>
        <v>0</v>
      </c>
      <c r="AB1175" s="35">
        <f>(TA[[#This Row],[Work Start time on Fault]]-TA[[#This Row],[Fault Time]])*24</f>
        <v>0</v>
      </c>
      <c r="AC1175" s="34">
        <f>(TA[[#This Row],[Work Completion time on fault]]-TA[[#This Row],[Fault Time]])*24</f>
        <v>0</v>
      </c>
      <c r="AD1175" s="35">
        <f>IFERROR((TA[[#This Row],[Work Completion time on fault]]-TA[[#This Row],[Fault Time]])*24,"")</f>
        <v>0</v>
      </c>
      <c r="AE1175" t="s">
        <v>328</v>
      </c>
      <c r="AF1175" t="s">
        <v>256</v>
      </c>
      <c r="AG1175" s="2"/>
      <c r="AH1175" s="44">
        <f>1-COS(RADIANS(TA[[#This Row],[Avg. Target Angle during Fault Time (Radians)]]-TA[[#This Row],[Angle of affected equipment ]]))</f>
        <v>0.11705240714107301</v>
      </c>
      <c r="AI1175" s="35">
        <f>IFERROR(TA[[#This Row],[Breakdown Time]]*TA[[#This Row],[Plant Equivalent Weightage]],"")</f>
        <v>0</v>
      </c>
    </row>
    <row r="1176" spans="1:35">
      <c r="A1176" s="2">
        <f t="shared" si="120"/>
        <v>1173</v>
      </c>
      <c r="B1176" s="156">
        <f t="shared" si="127"/>
        <v>2026</v>
      </c>
      <c r="C1176" s="129">
        <f t="shared" si="128"/>
        <v>2025</v>
      </c>
      <c r="D1176" s="2" t="s">
        <v>155</v>
      </c>
      <c r="E1176" s="2" t="s">
        <v>155</v>
      </c>
      <c r="F1176" s="39">
        <v>45809</v>
      </c>
      <c r="G1176" s="2">
        <f>DAY(EOMONTH(TA[[#This Row],[Month Year]],0))</f>
        <v>30</v>
      </c>
      <c r="H1176" s="21">
        <v>45827</v>
      </c>
      <c r="I1176" s="41">
        <f>IFERROR(VLOOKUP(TA[[#This Row],[Date]],Raw_Data[[Date]:[Sunset Time (POA&lt;20 W/m2)]],3,0),"")</f>
        <v>0.24861111111111112</v>
      </c>
      <c r="J1176" s="41">
        <f>IFERROR(VLOOKUP(TA[[#This Row],[Date]],Raw_Data[[Date]:[Sunset Time (POA&lt;20 W/m2)]],4,0),"")</f>
        <v>0.77083333333333337</v>
      </c>
      <c r="K1176" s="35">
        <f>IFERROR((TA[[#This Row],[Sunset Time (POA&lt;20 W/m2)]]-TA[[#This Row],[Sunrise Time (POA&gt;20 W/m2)]])*24,"")</f>
        <v>12.533333333333335</v>
      </c>
      <c r="L1176" s="2" t="s">
        <v>296</v>
      </c>
      <c r="M1176" s="42">
        <f>IFERROR(VLOOKUP(TA[[#This Row],[Affected Equipment]],'Basic Data'!$I$2:$K$40,3,0),"")</f>
        <v>8.6206896551724102E-3</v>
      </c>
      <c r="N1176">
        <v>-28</v>
      </c>
      <c r="O1176" t="s">
        <v>135</v>
      </c>
      <c r="P1176" s="127" t="s">
        <v>318</v>
      </c>
      <c r="Q1176" s="2" t="s">
        <v>321</v>
      </c>
      <c r="R1176">
        <v>133</v>
      </c>
      <c r="S1176" s="2">
        <v>26</v>
      </c>
      <c r="T1176" t="s">
        <v>297</v>
      </c>
      <c r="U1176" t="s">
        <v>300</v>
      </c>
      <c r="V1176" t="s">
        <v>314</v>
      </c>
      <c r="W1176" s="41">
        <f>IFERROR(VLOOKUP(TA[[#This Row],[Date]],Raw_Data[[Date]:[Sunset Time (POA&lt;20 W/m2)]],3,0),"")</f>
        <v>0.24861111111111112</v>
      </c>
      <c r="X1176" s="41">
        <f>IFERROR(VLOOKUP(TA[[#This Row],[Date]],Raw_Data[[Date]:[Sunset Time (POA&lt;20 W/m2)]],3,0),"")</f>
        <v>0.24861111111111112</v>
      </c>
      <c r="Y1176" s="34"/>
      <c r="Z1176" s="34">
        <v>0.76041666666666663</v>
      </c>
      <c r="AA1176" s="35">
        <f>IF(TA[[#This Row],[Work Start time on Fault]]="NA","",(TA[[#This Row],[Fault Acknowledgement Time ]]-TA[[#This Row],[Fault Time]])*24)</f>
        <v>0</v>
      </c>
      <c r="AB1176" s="35">
        <f>(TA[[#This Row],[Work Start time on Fault]]-TA[[#This Row],[Fault Time]])*24</f>
        <v>-5.9666666666666668</v>
      </c>
      <c r="AC1176" s="34">
        <f>(TA[[#This Row],[Work Completion time on fault]]-TA[[#This Row],[Fault Time]])*24</f>
        <v>12.283333333333331</v>
      </c>
      <c r="AD1176" s="35">
        <f>IFERROR((TA[[#This Row],[Work Completion time on fault]]-TA[[#This Row],[Fault Time]])*24,"")</f>
        <v>12.283333333333331</v>
      </c>
      <c r="AE1176" t="s">
        <v>328</v>
      </c>
      <c r="AF1176" t="s">
        <v>256</v>
      </c>
      <c r="AG1176" s="2"/>
      <c r="AH1176" s="44">
        <f>1-COS(RADIANS(TA[[#This Row],[Avg. Target Angle during Fault Time (Radians)]]-TA[[#This Row],[Angle of affected equipment ]]))</f>
        <v>0.11705240714107301</v>
      </c>
      <c r="AI1176" s="35">
        <f>IFERROR(TA[[#This Row],[Breakdown Time]]*TA[[#This Row],[Plant Equivalent Weightage]],"")</f>
        <v>0.10589080459770109</v>
      </c>
    </row>
    <row r="1177" spans="1:35">
      <c r="A1177" s="2">
        <f t="shared" si="120"/>
        <v>1174</v>
      </c>
      <c r="B1177" s="156">
        <f t="shared" si="127"/>
        <v>2026</v>
      </c>
      <c r="C1177" s="129">
        <f t="shared" si="128"/>
        <v>2025</v>
      </c>
      <c r="D1177" s="2" t="s">
        <v>155</v>
      </c>
      <c r="E1177" s="2" t="s">
        <v>155</v>
      </c>
      <c r="F1177" s="39">
        <v>45809</v>
      </c>
      <c r="G1177" s="2">
        <f>DAY(EOMONTH(TA[[#This Row],[Month Year]],0))</f>
        <v>30</v>
      </c>
      <c r="H1177" s="21">
        <v>45827</v>
      </c>
      <c r="I1177" s="41">
        <f>IFERROR(VLOOKUP(TA[[#This Row],[Date]],Raw_Data[[Date]:[Sunset Time (POA&lt;20 W/m2)]],3,0),"")</f>
        <v>0.24861111111111112</v>
      </c>
      <c r="J1177" s="41">
        <f>IFERROR(VLOOKUP(TA[[#This Row],[Date]],Raw_Data[[Date]:[Sunset Time (POA&lt;20 W/m2)]],4,0),"")</f>
        <v>0.77083333333333337</v>
      </c>
      <c r="K1177" s="35">
        <f>IFERROR((TA[[#This Row],[Sunset Time (POA&lt;20 W/m2)]]-TA[[#This Row],[Sunrise Time (POA&gt;20 W/m2)]])*24,"")</f>
        <v>12.533333333333335</v>
      </c>
      <c r="L1177" s="2" t="s">
        <v>294</v>
      </c>
      <c r="M1177" s="42">
        <f>IFERROR(VLOOKUP(TA[[#This Row],[Affected Equipment]],'Basic Data'!$I$2:$K$40,3,0),"")</f>
        <v>1.7241379310344799E-3</v>
      </c>
      <c r="N1177">
        <v>-28</v>
      </c>
      <c r="O1177" t="s">
        <v>133</v>
      </c>
      <c r="P1177" s="127" t="s">
        <v>316</v>
      </c>
      <c r="Q1177" s="126" t="s">
        <v>317</v>
      </c>
      <c r="R1177">
        <v>7</v>
      </c>
      <c r="S1177" s="2">
        <v>32</v>
      </c>
      <c r="T1177" t="s">
        <v>295</v>
      </c>
      <c r="U1177" t="s">
        <v>300</v>
      </c>
      <c r="V1177" t="s">
        <v>298</v>
      </c>
      <c r="W1177" s="41"/>
      <c r="X1177" s="41"/>
      <c r="Y1177" s="34"/>
      <c r="Z1177" s="34"/>
      <c r="AA1177" s="35">
        <f>IF(TA[[#This Row],[Work Start time on Fault]]="NA","",(TA[[#This Row],[Fault Acknowledgement Time ]]-TA[[#This Row],[Fault Time]])*24)</f>
        <v>0</v>
      </c>
      <c r="AB1177" s="35">
        <f>(TA[[#This Row],[Work Start time on Fault]]-TA[[#This Row],[Fault Time]])*24</f>
        <v>0</v>
      </c>
      <c r="AC1177" s="34">
        <f>(TA[[#This Row],[Work Completion time on fault]]-TA[[#This Row],[Fault Time]])*24</f>
        <v>0</v>
      </c>
      <c r="AD1177" s="35">
        <f>IFERROR((TA[[#This Row],[Work Completion time on fault]]-TA[[#This Row],[Fault Time]])*24,"")</f>
        <v>0</v>
      </c>
      <c r="AE1177" t="s">
        <v>328</v>
      </c>
      <c r="AF1177" t="s">
        <v>256</v>
      </c>
      <c r="AG1177" s="2"/>
      <c r="AH1177" s="44">
        <f>1-COS(RADIANS(TA[[#This Row],[Avg. Target Angle during Fault Time (Radians)]]-TA[[#This Row],[Angle of affected equipment ]]))</f>
        <v>0.11705240714107301</v>
      </c>
      <c r="AI1177" s="35">
        <f>IFERROR(TA[[#This Row],[Breakdown Time]]*TA[[#This Row],[Plant Equivalent Weightage]],"")</f>
        <v>0</v>
      </c>
    </row>
    <row r="1178" spans="1:35">
      <c r="A1178" s="2">
        <f t="shared" si="120"/>
        <v>1175</v>
      </c>
      <c r="B1178" s="156">
        <f t="shared" si="127"/>
        <v>2026</v>
      </c>
      <c r="C1178" s="129">
        <f t="shared" si="128"/>
        <v>2025</v>
      </c>
      <c r="D1178" s="2" t="s">
        <v>155</v>
      </c>
      <c r="E1178" s="2" t="s">
        <v>155</v>
      </c>
      <c r="F1178" s="39">
        <v>45809</v>
      </c>
      <c r="G1178" s="2">
        <f>DAY(EOMONTH(TA[[#This Row],[Month Year]],0))</f>
        <v>30</v>
      </c>
      <c r="H1178" s="21">
        <v>45827</v>
      </c>
      <c r="I1178" s="41">
        <f>IFERROR(VLOOKUP(TA[[#This Row],[Date]],Raw_Data[[Date]:[Sunset Time (POA&lt;20 W/m2)]],3,0),"")</f>
        <v>0.24861111111111112</v>
      </c>
      <c r="J1178" s="41">
        <f>IFERROR(VLOOKUP(TA[[#This Row],[Date]],Raw_Data[[Date]:[Sunset Time (POA&lt;20 W/m2)]],4,0),"")</f>
        <v>0.77083333333333337</v>
      </c>
      <c r="K1178" s="35">
        <f>IFERROR((TA[[#This Row],[Sunset Time (POA&lt;20 W/m2)]]-TA[[#This Row],[Sunrise Time (POA&gt;20 W/m2)]])*24,"")</f>
        <v>12.533333333333335</v>
      </c>
      <c r="L1178" s="2" t="s">
        <v>294</v>
      </c>
      <c r="M1178" s="42">
        <f>IFERROR(VLOOKUP(TA[[#This Row],[Affected Equipment]],'Basic Data'!$I$2:$K$40,3,0),"")</f>
        <v>1.7241379310344799E-3</v>
      </c>
      <c r="N1178">
        <v>-28</v>
      </c>
      <c r="O1178" t="s">
        <v>137</v>
      </c>
      <c r="P1178" s="127" t="s">
        <v>315</v>
      </c>
      <c r="Q1178" s="126" t="s">
        <v>319</v>
      </c>
      <c r="R1178">
        <v>166</v>
      </c>
      <c r="S1178" s="2">
        <v>91</v>
      </c>
      <c r="T1178" t="s">
        <v>295</v>
      </c>
      <c r="U1178" t="s">
        <v>300</v>
      </c>
      <c r="V1178" t="s">
        <v>298</v>
      </c>
      <c r="W1178" s="41"/>
      <c r="X1178" s="41"/>
      <c r="Y1178" s="34"/>
      <c r="Z1178" s="34"/>
      <c r="AA1178" s="35">
        <f>IF(TA[[#This Row],[Work Start time on Fault]]="NA","",(TA[[#This Row],[Fault Acknowledgement Time ]]-TA[[#This Row],[Fault Time]])*24)</f>
        <v>0</v>
      </c>
      <c r="AB1178" s="35">
        <f>(TA[[#This Row],[Work Start time on Fault]]-TA[[#This Row],[Fault Time]])*24</f>
        <v>0</v>
      </c>
      <c r="AC1178" s="34">
        <f>(TA[[#This Row],[Work Completion time on fault]]-TA[[#This Row],[Fault Time]])*24</f>
        <v>0</v>
      </c>
      <c r="AD1178" s="35">
        <f>IFERROR((TA[[#This Row],[Work Completion time on fault]]-TA[[#This Row],[Fault Time]])*24,"")</f>
        <v>0</v>
      </c>
      <c r="AE1178" t="s">
        <v>328</v>
      </c>
      <c r="AF1178" t="s">
        <v>256</v>
      </c>
      <c r="AG1178" s="2"/>
      <c r="AH1178" s="44">
        <f>1-COS(RADIANS(TA[[#This Row],[Avg. Target Angle during Fault Time (Radians)]]-TA[[#This Row],[Angle of affected equipment ]]))</f>
        <v>0.11705240714107301</v>
      </c>
      <c r="AI1178" s="35">
        <f>IFERROR(TA[[#This Row],[Breakdown Time]]*TA[[#This Row],[Plant Equivalent Weightage]],"")</f>
        <v>0</v>
      </c>
    </row>
    <row r="1179" spans="1:35">
      <c r="A1179" s="2">
        <f t="shared" si="120"/>
        <v>1176</v>
      </c>
      <c r="B1179" s="156">
        <f t="shared" si="127"/>
        <v>2026</v>
      </c>
      <c r="C1179" s="129">
        <f t="shared" si="128"/>
        <v>2025</v>
      </c>
      <c r="D1179" s="2" t="s">
        <v>155</v>
      </c>
      <c r="E1179" s="2" t="s">
        <v>155</v>
      </c>
      <c r="F1179" s="39">
        <v>45809</v>
      </c>
      <c r="G1179" s="2">
        <f>DAY(EOMONTH(TA[[#This Row],[Month Year]],0))</f>
        <v>30</v>
      </c>
      <c r="H1179" s="21">
        <v>45827</v>
      </c>
      <c r="I1179" s="41">
        <f>IFERROR(VLOOKUP(TA[[#This Row],[Date]],Raw_Data[[Date]:[Sunset Time (POA&lt;20 W/m2)]],3,0),"")</f>
        <v>0.24861111111111112</v>
      </c>
      <c r="J1179" s="41">
        <f>IFERROR(VLOOKUP(TA[[#This Row],[Date]],Raw_Data[[Date]:[Sunset Time (POA&lt;20 W/m2)]],4,0),"")</f>
        <v>0.77083333333333337</v>
      </c>
      <c r="K1179" s="35">
        <f>IFERROR((TA[[#This Row],[Sunset Time (POA&lt;20 W/m2)]]-TA[[#This Row],[Sunrise Time (POA&gt;20 W/m2)]])*24,"")</f>
        <v>12.533333333333335</v>
      </c>
      <c r="L1179" s="2" t="s">
        <v>294</v>
      </c>
      <c r="M1179" s="42">
        <f>IFERROR(VLOOKUP(TA[[#This Row],[Affected Equipment]],'Basic Data'!$I$2:$K$40,3,0),"")</f>
        <v>1.7241379310344799E-3</v>
      </c>
      <c r="N1179">
        <v>-28</v>
      </c>
      <c r="O1179" t="s">
        <v>133</v>
      </c>
      <c r="P1179" s="127" t="s">
        <v>316</v>
      </c>
      <c r="Q1179" s="126" t="s">
        <v>316</v>
      </c>
      <c r="R1179">
        <v>117</v>
      </c>
      <c r="S1179" s="2">
        <v>20</v>
      </c>
      <c r="T1179" t="s">
        <v>295</v>
      </c>
      <c r="U1179" t="s">
        <v>300</v>
      </c>
      <c r="V1179" t="s">
        <v>298</v>
      </c>
      <c r="W1179" s="41"/>
      <c r="X1179" s="41"/>
      <c r="Y1179" s="34"/>
      <c r="Z1179" s="34"/>
      <c r="AA1179" s="35">
        <f>IF(TA[[#This Row],[Work Start time on Fault]]="NA","",(TA[[#This Row],[Fault Acknowledgement Time ]]-TA[[#This Row],[Fault Time]])*24)</f>
        <v>0</v>
      </c>
      <c r="AB1179" s="35">
        <f>(TA[[#This Row],[Work Start time on Fault]]-TA[[#This Row],[Fault Time]])*24</f>
        <v>0</v>
      </c>
      <c r="AC1179" s="34">
        <f>(TA[[#This Row],[Work Completion time on fault]]-TA[[#This Row],[Fault Time]])*24</f>
        <v>0</v>
      </c>
      <c r="AD1179" s="35">
        <f>IFERROR((TA[[#This Row],[Work Completion time on fault]]-TA[[#This Row],[Fault Time]])*24,"")</f>
        <v>0</v>
      </c>
      <c r="AE1179" t="s">
        <v>328</v>
      </c>
      <c r="AF1179" t="s">
        <v>256</v>
      </c>
      <c r="AG1179" s="2"/>
      <c r="AH1179" s="44">
        <f>1-COS(RADIANS(TA[[#This Row],[Avg. Target Angle during Fault Time (Radians)]]-TA[[#This Row],[Angle of affected equipment ]]))</f>
        <v>0.11705240714107301</v>
      </c>
      <c r="AI1179" s="35">
        <f>IFERROR(TA[[#This Row],[Breakdown Time]]*TA[[#This Row],[Plant Equivalent Weightage]],"")</f>
        <v>0</v>
      </c>
    </row>
    <row r="1180" spans="1:35">
      <c r="A1180" s="2">
        <f t="shared" si="120"/>
        <v>1177</v>
      </c>
      <c r="B1180" s="156">
        <f t="shared" si="127"/>
        <v>2026</v>
      </c>
      <c r="C1180" s="129">
        <f t="shared" si="128"/>
        <v>2025</v>
      </c>
      <c r="D1180" s="2" t="s">
        <v>155</v>
      </c>
      <c r="E1180" s="2" t="s">
        <v>155</v>
      </c>
      <c r="F1180" s="39">
        <v>45809</v>
      </c>
      <c r="G1180" s="2">
        <f>DAY(EOMONTH(TA[[#This Row],[Month Year]],0))</f>
        <v>30</v>
      </c>
      <c r="H1180" s="21">
        <v>45827</v>
      </c>
      <c r="I1180" s="41">
        <f>IFERROR(VLOOKUP(TA[[#This Row],[Date]],Raw_Data[[Date]:[Sunset Time (POA&lt;20 W/m2)]],3,0),"")</f>
        <v>0.24861111111111112</v>
      </c>
      <c r="J1180" s="41">
        <f>IFERROR(VLOOKUP(TA[[#This Row],[Date]],Raw_Data[[Date]:[Sunset Time (POA&lt;20 W/m2)]],4,0),"")</f>
        <v>0.77083333333333337</v>
      </c>
      <c r="K1180" s="35">
        <f>IFERROR((TA[[#This Row],[Sunset Time (POA&lt;20 W/m2)]]-TA[[#This Row],[Sunrise Time (POA&gt;20 W/m2)]])*24,"")</f>
        <v>12.533333333333335</v>
      </c>
      <c r="L1180" s="2" t="s">
        <v>294</v>
      </c>
      <c r="M1180" s="42">
        <f>IFERROR(VLOOKUP(TA[[#This Row],[Affected Equipment]],'Basic Data'!$I$2:$K$40,3,0),"")</f>
        <v>1.7241379310344799E-3</v>
      </c>
      <c r="N1180">
        <v>-28</v>
      </c>
      <c r="O1180" t="s">
        <v>133</v>
      </c>
      <c r="P1180" s="127" t="s">
        <v>316</v>
      </c>
      <c r="Q1180" s="126" t="s">
        <v>316</v>
      </c>
      <c r="R1180">
        <v>118</v>
      </c>
      <c r="S1180" s="2">
        <v>22</v>
      </c>
      <c r="T1180" t="s">
        <v>295</v>
      </c>
      <c r="U1180" t="s">
        <v>300</v>
      </c>
      <c r="V1180" t="s">
        <v>298</v>
      </c>
      <c r="W1180" s="41"/>
      <c r="X1180" s="41"/>
      <c r="Y1180" s="34"/>
      <c r="Z1180" s="34"/>
      <c r="AA1180" s="35">
        <f>IF(TA[[#This Row],[Work Start time on Fault]]="NA","",(TA[[#This Row],[Fault Acknowledgement Time ]]-TA[[#This Row],[Fault Time]])*24)</f>
        <v>0</v>
      </c>
      <c r="AB1180" s="35">
        <f>(TA[[#This Row],[Work Start time on Fault]]-TA[[#This Row],[Fault Time]])*24</f>
        <v>0</v>
      </c>
      <c r="AC1180" s="34">
        <f>(TA[[#This Row],[Work Completion time on fault]]-TA[[#This Row],[Fault Time]])*24</f>
        <v>0</v>
      </c>
      <c r="AD1180" s="35">
        <f>IFERROR((TA[[#This Row],[Work Completion time on fault]]-TA[[#This Row],[Fault Time]])*24,"")</f>
        <v>0</v>
      </c>
      <c r="AE1180" t="s">
        <v>328</v>
      </c>
      <c r="AF1180" t="s">
        <v>256</v>
      </c>
      <c r="AG1180" s="2"/>
      <c r="AH1180" s="44">
        <f>1-COS(RADIANS(TA[[#This Row],[Avg. Target Angle during Fault Time (Radians)]]-TA[[#This Row],[Angle of affected equipment ]]))</f>
        <v>0.11705240714107301</v>
      </c>
      <c r="AI1180" s="35">
        <f>IFERROR(TA[[#This Row],[Breakdown Time]]*TA[[#This Row],[Plant Equivalent Weightage]],"")</f>
        <v>0</v>
      </c>
    </row>
    <row r="1181" spans="1:35">
      <c r="A1181" s="2">
        <f t="shared" si="120"/>
        <v>1178</v>
      </c>
      <c r="B1181" s="156">
        <f t="shared" si="127"/>
        <v>2026</v>
      </c>
      <c r="C1181" s="129">
        <f t="shared" si="128"/>
        <v>2025</v>
      </c>
      <c r="D1181" s="2" t="s">
        <v>155</v>
      </c>
      <c r="E1181" s="2" t="s">
        <v>155</v>
      </c>
      <c r="F1181" s="39">
        <v>45809</v>
      </c>
      <c r="G1181" s="2">
        <f>DAY(EOMONTH(TA[[#This Row],[Month Year]],0))</f>
        <v>30</v>
      </c>
      <c r="H1181" s="21">
        <v>45827</v>
      </c>
      <c r="I1181" s="41">
        <f>IFERROR(VLOOKUP(TA[[#This Row],[Date]],Raw_Data[[Date]:[Sunset Time (POA&lt;20 W/m2)]],3,0),"")</f>
        <v>0.24861111111111112</v>
      </c>
      <c r="J1181" s="41">
        <f>IFERROR(VLOOKUP(TA[[#This Row],[Date]],Raw_Data[[Date]:[Sunset Time (POA&lt;20 W/m2)]],4,0),"")</f>
        <v>0.77083333333333337</v>
      </c>
      <c r="K1181" s="35">
        <f>IFERROR((TA[[#This Row],[Sunset Time (POA&lt;20 W/m2)]]-TA[[#This Row],[Sunrise Time (POA&gt;20 W/m2)]])*24,"")</f>
        <v>12.533333333333335</v>
      </c>
      <c r="L1181" s="2" t="s">
        <v>296</v>
      </c>
      <c r="M1181" s="42">
        <f>IFERROR(VLOOKUP(TA[[#This Row],[Affected Equipment]],'Basic Data'!$I$2:$K$40,3,0),"")</f>
        <v>8.6206896551724102E-3</v>
      </c>
      <c r="N1181">
        <v>-28</v>
      </c>
      <c r="O1181" t="s">
        <v>135</v>
      </c>
      <c r="P1181" s="22" t="s">
        <v>323</v>
      </c>
      <c r="Q1181" s="2" t="s">
        <v>329</v>
      </c>
      <c r="R1181">
        <v>45</v>
      </c>
      <c r="S1181" s="2">
        <v>8</v>
      </c>
      <c r="T1181" t="s">
        <v>297</v>
      </c>
      <c r="U1181" t="s">
        <v>300</v>
      </c>
      <c r="V1181" t="s">
        <v>301</v>
      </c>
      <c r="W1181" s="41"/>
      <c r="X1181" s="41"/>
      <c r="Y1181" s="34"/>
      <c r="Z1181" s="34"/>
      <c r="AA1181" s="35">
        <f>IF(TA[[#This Row],[Work Start time on Fault]]="NA","",(TA[[#This Row],[Fault Acknowledgement Time ]]-TA[[#This Row],[Fault Time]])*24)</f>
        <v>0</v>
      </c>
      <c r="AB1181" s="35">
        <f>(TA[[#This Row],[Work Start time on Fault]]-TA[[#This Row],[Fault Time]])*24</f>
        <v>0</v>
      </c>
      <c r="AC1181" s="34">
        <f>(TA[[#This Row],[Work Completion time on fault]]-TA[[#This Row],[Fault Time]])*24</f>
        <v>0</v>
      </c>
      <c r="AD1181" s="35">
        <f>IFERROR((TA[[#This Row],[Work Completion time on fault]]-TA[[#This Row],[Fault Time]])*24,"")</f>
        <v>0</v>
      </c>
      <c r="AE1181" t="s">
        <v>328</v>
      </c>
      <c r="AF1181" t="s">
        <v>256</v>
      </c>
      <c r="AG1181" s="2"/>
      <c r="AH1181" s="44">
        <f>1-COS(RADIANS(TA[[#This Row],[Avg. Target Angle during Fault Time (Radians)]]-TA[[#This Row],[Angle of affected equipment ]]))</f>
        <v>0.11705240714107301</v>
      </c>
      <c r="AI1181" s="35">
        <f>IFERROR(TA[[#This Row],[Breakdown Time]]*TA[[#This Row],[Plant Equivalent Weightage]],"")</f>
        <v>0</v>
      </c>
    </row>
    <row r="1182" spans="1:35">
      <c r="A1182" s="2">
        <f t="shared" si="120"/>
        <v>1179</v>
      </c>
      <c r="B1182" s="156">
        <f t="shared" si="127"/>
        <v>2026</v>
      </c>
      <c r="C1182" s="129">
        <f t="shared" si="128"/>
        <v>2025</v>
      </c>
      <c r="D1182" s="2" t="s">
        <v>155</v>
      </c>
      <c r="E1182" s="2" t="s">
        <v>155</v>
      </c>
      <c r="F1182" s="39">
        <v>45809</v>
      </c>
      <c r="G1182" s="2">
        <f>DAY(EOMONTH(TA[[#This Row],[Month Year]],0))</f>
        <v>30</v>
      </c>
      <c r="H1182" s="21">
        <v>45827</v>
      </c>
      <c r="I1182" s="41">
        <f>IFERROR(VLOOKUP(TA[[#This Row],[Date]],Raw_Data[[Date]:[Sunset Time (POA&lt;20 W/m2)]],3,0),"")</f>
        <v>0.24861111111111112</v>
      </c>
      <c r="J1182" s="41">
        <f>IFERROR(VLOOKUP(TA[[#This Row],[Date]],Raw_Data[[Date]:[Sunset Time (POA&lt;20 W/m2)]],4,0),"")</f>
        <v>0.77083333333333337</v>
      </c>
      <c r="K1182" s="35">
        <f>IFERROR((TA[[#This Row],[Sunset Time (POA&lt;20 W/m2)]]-TA[[#This Row],[Sunrise Time (POA&gt;20 W/m2)]])*24,"")</f>
        <v>12.533333333333335</v>
      </c>
      <c r="L1182" s="2" t="s">
        <v>296</v>
      </c>
      <c r="M1182" s="42">
        <f>IFERROR(VLOOKUP(TA[[#This Row],[Affected Equipment]],'Basic Data'!$I$2:$K$40,3,0),"")</f>
        <v>8.6206896551724102E-3</v>
      </c>
      <c r="N1182">
        <v>-28</v>
      </c>
      <c r="O1182" t="s">
        <v>135</v>
      </c>
      <c r="P1182" s="22" t="s">
        <v>323</v>
      </c>
      <c r="Q1182" s="2" t="s">
        <v>329</v>
      </c>
      <c r="R1182">
        <v>47</v>
      </c>
      <c r="S1182" s="2">
        <v>18</v>
      </c>
      <c r="T1182" t="s">
        <v>297</v>
      </c>
      <c r="U1182" t="s">
        <v>300</v>
      </c>
      <c r="V1182" t="s">
        <v>301</v>
      </c>
      <c r="W1182" s="41"/>
      <c r="X1182" s="41"/>
      <c r="Y1182" s="34"/>
      <c r="Z1182" s="34"/>
      <c r="AA1182" s="35">
        <f>IF(TA[[#This Row],[Work Start time on Fault]]="NA","",(TA[[#This Row],[Fault Acknowledgement Time ]]-TA[[#This Row],[Fault Time]])*24)</f>
        <v>0</v>
      </c>
      <c r="AB1182" s="35">
        <f>(TA[[#This Row],[Work Start time on Fault]]-TA[[#This Row],[Fault Time]])*24</f>
        <v>0</v>
      </c>
      <c r="AC1182" s="34">
        <f>(TA[[#This Row],[Work Completion time on fault]]-TA[[#This Row],[Fault Time]])*24</f>
        <v>0</v>
      </c>
      <c r="AD1182" s="35">
        <f>IFERROR((TA[[#This Row],[Work Completion time on fault]]-TA[[#This Row],[Fault Time]])*24,"")</f>
        <v>0</v>
      </c>
      <c r="AE1182" t="s">
        <v>328</v>
      </c>
      <c r="AF1182" t="s">
        <v>256</v>
      </c>
      <c r="AG1182" s="2"/>
      <c r="AH1182" s="44">
        <f>1-COS(RADIANS(TA[[#This Row],[Avg. Target Angle during Fault Time (Radians)]]-TA[[#This Row],[Angle of affected equipment ]]))</f>
        <v>0.11705240714107301</v>
      </c>
      <c r="AI1182" s="35">
        <f>IFERROR(TA[[#This Row],[Breakdown Time]]*TA[[#This Row],[Plant Equivalent Weightage]],"")</f>
        <v>0</v>
      </c>
    </row>
    <row r="1183" spans="1:35">
      <c r="A1183" s="2">
        <f t="shared" si="120"/>
        <v>1180</v>
      </c>
      <c r="B1183" s="156">
        <f t="shared" si="127"/>
        <v>2026</v>
      </c>
      <c r="C1183" s="129">
        <f t="shared" si="128"/>
        <v>2025</v>
      </c>
      <c r="D1183" s="2" t="s">
        <v>155</v>
      </c>
      <c r="E1183" s="2" t="s">
        <v>155</v>
      </c>
      <c r="F1183" s="39">
        <v>45809</v>
      </c>
      <c r="G1183" s="2">
        <f>DAY(EOMONTH(TA[[#This Row],[Month Year]],0))</f>
        <v>30</v>
      </c>
      <c r="H1183" s="21">
        <v>45827</v>
      </c>
      <c r="I1183" s="41">
        <f>IFERROR(VLOOKUP(TA[[#This Row],[Date]],Raw_Data[[Date]:[Sunset Time (POA&lt;20 W/m2)]],3,0),"")</f>
        <v>0.24861111111111112</v>
      </c>
      <c r="J1183" s="41">
        <f>IFERROR(VLOOKUP(TA[[#This Row],[Date]],Raw_Data[[Date]:[Sunset Time (POA&lt;20 W/m2)]],4,0),"")</f>
        <v>0.77083333333333337</v>
      </c>
      <c r="K1183" s="35">
        <f>IFERROR((TA[[#This Row],[Sunset Time (POA&lt;20 W/m2)]]-TA[[#This Row],[Sunrise Time (POA&gt;20 W/m2)]])*24,"")</f>
        <v>12.533333333333335</v>
      </c>
      <c r="L1183" s="2" t="s">
        <v>296</v>
      </c>
      <c r="M1183" s="42">
        <f>IFERROR(VLOOKUP(TA[[#This Row],[Affected Equipment]],'Basic Data'!$I$2:$K$40,3,0),"")</f>
        <v>8.6206896551724102E-3</v>
      </c>
      <c r="N1183">
        <v>-28</v>
      </c>
      <c r="O1183" t="s">
        <v>134</v>
      </c>
      <c r="P1183" s="22" t="s">
        <v>330</v>
      </c>
      <c r="Q1183" s="2" t="s">
        <v>323</v>
      </c>
      <c r="R1183">
        <v>30</v>
      </c>
      <c r="S1183" s="2">
        <v>57</v>
      </c>
      <c r="T1183" t="s">
        <v>297</v>
      </c>
      <c r="U1183" t="s">
        <v>300</v>
      </c>
      <c r="V1183" t="s">
        <v>301</v>
      </c>
      <c r="W1183" s="41"/>
      <c r="X1183" s="41"/>
      <c r="Y1183" s="34"/>
      <c r="Z1183" s="34"/>
      <c r="AA1183" s="35">
        <f>IF(TA[[#This Row],[Work Start time on Fault]]="NA","",(TA[[#This Row],[Fault Acknowledgement Time ]]-TA[[#This Row],[Fault Time]])*24)</f>
        <v>0</v>
      </c>
      <c r="AB1183" s="35">
        <f>(TA[[#This Row],[Work Start time on Fault]]-TA[[#This Row],[Fault Time]])*24</f>
        <v>0</v>
      </c>
      <c r="AC1183" s="34">
        <f>(TA[[#This Row],[Work Completion time on fault]]-TA[[#This Row],[Fault Time]])*24</f>
        <v>0</v>
      </c>
      <c r="AD1183" s="35">
        <f>IFERROR((TA[[#This Row],[Work Completion time on fault]]-TA[[#This Row],[Fault Time]])*24,"")</f>
        <v>0</v>
      </c>
      <c r="AE1183" t="s">
        <v>328</v>
      </c>
      <c r="AF1183" t="s">
        <v>256</v>
      </c>
      <c r="AG1183" s="2"/>
      <c r="AH1183" s="44">
        <f>1-COS(RADIANS(TA[[#This Row],[Avg. Target Angle during Fault Time (Radians)]]-TA[[#This Row],[Angle of affected equipment ]]))</f>
        <v>0.11705240714107301</v>
      </c>
      <c r="AI1183" s="35">
        <f>IFERROR(TA[[#This Row],[Breakdown Time]]*TA[[#This Row],[Plant Equivalent Weightage]],"")</f>
        <v>0</v>
      </c>
    </row>
    <row r="1184" spans="1:35">
      <c r="A1184" s="2">
        <f t="shared" si="120"/>
        <v>1181</v>
      </c>
      <c r="B1184" s="156">
        <f t="shared" si="127"/>
        <v>2026</v>
      </c>
      <c r="C1184" s="129">
        <f t="shared" si="128"/>
        <v>2025</v>
      </c>
      <c r="D1184" s="2" t="s">
        <v>155</v>
      </c>
      <c r="E1184" s="2" t="s">
        <v>155</v>
      </c>
      <c r="F1184" s="39">
        <v>45809</v>
      </c>
      <c r="G1184" s="2">
        <f>DAY(EOMONTH(TA[[#This Row],[Month Year]],0))</f>
        <v>30</v>
      </c>
      <c r="H1184" s="21">
        <v>45827</v>
      </c>
      <c r="I1184" s="41">
        <f>IFERROR(VLOOKUP(TA[[#This Row],[Date]],Raw_Data[[Date]:[Sunset Time (POA&lt;20 W/m2)]],3,0),"")</f>
        <v>0.24861111111111112</v>
      </c>
      <c r="J1184" s="41">
        <f>IFERROR(VLOOKUP(TA[[#This Row],[Date]],Raw_Data[[Date]:[Sunset Time (POA&lt;20 W/m2)]],4,0),"")</f>
        <v>0.77083333333333337</v>
      </c>
      <c r="K1184" s="35">
        <f>IFERROR((TA[[#This Row],[Sunset Time (POA&lt;20 W/m2)]]-TA[[#This Row],[Sunrise Time (POA&gt;20 W/m2)]])*24,"")</f>
        <v>12.533333333333335</v>
      </c>
      <c r="L1184" s="2" t="s">
        <v>296</v>
      </c>
      <c r="M1184" s="42">
        <f>IFERROR(VLOOKUP(TA[[#This Row],[Affected Equipment]],'Basic Data'!$I$2:$K$40,3,0),"")</f>
        <v>8.6206896551724102E-3</v>
      </c>
      <c r="N1184">
        <v>-28</v>
      </c>
      <c r="O1184" t="s">
        <v>134</v>
      </c>
      <c r="P1184" s="22" t="s">
        <v>330</v>
      </c>
      <c r="Q1184" s="2" t="s">
        <v>323</v>
      </c>
      <c r="R1184">
        <v>31</v>
      </c>
      <c r="S1184" s="2">
        <v>61</v>
      </c>
      <c r="T1184" t="s">
        <v>297</v>
      </c>
      <c r="U1184" t="s">
        <v>300</v>
      </c>
      <c r="V1184" t="s">
        <v>301</v>
      </c>
      <c r="W1184" s="41"/>
      <c r="X1184" s="41"/>
      <c r="Y1184" s="34"/>
      <c r="Z1184" s="34"/>
      <c r="AA1184" s="35">
        <f>IF(TA[[#This Row],[Work Start time on Fault]]="NA","",(TA[[#This Row],[Fault Acknowledgement Time ]]-TA[[#This Row],[Fault Time]])*24)</f>
        <v>0</v>
      </c>
      <c r="AB1184" s="35">
        <f>(TA[[#This Row],[Work Start time on Fault]]-TA[[#This Row],[Fault Time]])*24</f>
        <v>0</v>
      </c>
      <c r="AC1184" s="34">
        <f>(TA[[#This Row],[Work Completion time on fault]]-TA[[#This Row],[Fault Time]])*24</f>
        <v>0</v>
      </c>
      <c r="AD1184" s="35">
        <f>IFERROR((TA[[#This Row],[Work Completion time on fault]]-TA[[#This Row],[Fault Time]])*24,"")</f>
        <v>0</v>
      </c>
      <c r="AE1184" t="s">
        <v>328</v>
      </c>
      <c r="AF1184" t="s">
        <v>256</v>
      </c>
      <c r="AG1184" s="2"/>
      <c r="AH1184" s="44">
        <f>1-COS(RADIANS(TA[[#This Row],[Avg. Target Angle during Fault Time (Radians)]]-TA[[#This Row],[Angle of affected equipment ]]))</f>
        <v>0.11705240714107301</v>
      </c>
      <c r="AI1184" s="35">
        <f>IFERROR(TA[[#This Row],[Breakdown Time]]*TA[[#This Row],[Plant Equivalent Weightage]],"")</f>
        <v>0</v>
      </c>
    </row>
    <row r="1185" spans="1:35">
      <c r="A1185" s="2">
        <f t="shared" si="120"/>
        <v>1182</v>
      </c>
      <c r="B1185" s="156">
        <f t="shared" si="127"/>
        <v>2026</v>
      </c>
      <c r="C1185" s="129">
        <f t="shared" si="128"/>
        <v>2025</v>
      </c>
      <c r="D1185" s="2" t="s">
        <v>155</v>
      </c>
      <c r="E1185" s="2" t="s">
        <v>155</v>
      </c>
      <c r="F1185" s="39">
        <v>45809</v>
      </c>
      <c r="G1185" s="2">
        <f>DAY(EOMONTH(TA[[#This Row],[Month Year]],0))</f>
        <v>30</v>
      </c>
      <c r="H1185" s="21">
        <v>45827</v>
      </c>
      <c r="I1185" s="41">
        <f>IFERROR(VLOOKUP(TA[[#This Row],[Date]],Raw_Data[[Date]:[Sunset Time (POA&lt;20 W/m2)]],3,0),"")</f>
        <v>0.24861111111111112</v>
      </c>
      <c r="J1185" s="41">
        <f>IFERROR(VLOOKUP(TA[[#This Row],[Date]],Raw_Data[[Date]:[Sunset Time (POA&lt;20 W/m2)]],4,0),"")</f>
        <v>0.77083333333333337</v>
      </c>
      <c r="K1185" s="35">
        <f>IFERROR((TA[[#This Row],[Sunset Time (POA&lt;20 W/m2)]]-TA[[#This Row],[Sunrise Time (POA&gt;20 W/m2)]])*24,"")</f>
        <v>12.533333333333335</v>
      </c>
      <c r="L1185" s="2" t="s">
        <v>312</v>
      </c>
      <c r="M1185" s="42">
        <f>IFERROR(VLOOKUP(TA[[#This Row],[Affected Equipment]],'Basic Data'!$I$2:$K$40,3,0),"")</f>
        <v>5.74712643678161E-3</v>
      </c>
      <c r="N1185">
        <v>-28</v>
      </c>
      <c r="O1185" t="s">
        <v>133</v>
      </c>
      <c r="P1185" s="22" t="s">
        <v>330</v>
      </c>
      <c r="Q1185" s="2" t="s">
        <v>323</v>
      </c>
      <c r="R1185">
        <v>26</v>
      </c>
      <c r="S1185" s="2">
        <v>37</v>
      </c>
      <c r="T1185" t="s">
        <v>297</v>
      </c>
      <c r="U1185" t="s">
        <v>300</v>
      </c>
      <c r="V1185" t="s">
        <v>301</v>
      </c>
      <c r="W1185" s="41"/>
      <c r="X1185" s="41"/>
      <c r="Y1185" s="34"/>
      <c r="Z1185" s="34"/>
      <c r="AA1185" s="35">
        <f>IF(TA[[#This Row],[Work Start time on Fault]]="NA","",(TA[[#This Row],[Fault Acknowledgement Time ]]-TA[[#This Row],[Fault Time]])*24)</f>
        <v>0</v>
      </c>
      <c r="AB1185" s="35">
        <f>(TA[[#This Row],[Work Start time on Fault]]-TA[[#This Row],[Fault Time]])*24</f>
        <v>0</v>
      </c>
      <c r="AC1185" s="34">
        <f>(TA[[#This Row],[Work Completion time on fault]]-TA[[#This Row],[Fault Time]])*24</f>
        <v>0</v>
      </c>
      <c r="AD1185" s="35">
        <f>IFERROR((TA[[#This Row],[Work Completion time on fault]]-TA[[#This Row],[Fault Time]])*24,"")</f>
        <v>0</v>
      </c>
      <c r="AE1185" t="s">
        <v>328</v>
      </c>
      <c r="AF1185" t="s">
        <v>256</v>
      </c>
      <c r="AG1185" s="2"/>
      <c r="AH1185" s="44">
        <f>1-COS(RADIANS(TA[[#This Row],[Avg. Target Angle during Fault Time (Radians)]]-TA[[#This Row],[Angle of affected equipment ]]))</f>
        <v>0.11705240714107301</v>
      </c>
      <c r="AI1185" s="35">
        <f>IFERROR(TA[[#This Row],[Breakdown Time]]*TA[[#This Row],[Plant Equivalent Weightage]],"")</f>
        <v>0</v>
      </c>
    </row>
    <row r="1186" spans="1:35">
      <c r="A1186" s="2">
        <f t="shared" si="120"/>
        <v>1183</v>
      </c>
      <c r="B1186" s="156">
        <f t="shared" si="127"/>
        <v>2026</v>
      </c>
      <c r="C1186" s="129">
        <f t="shared" si="128"/>
        <v>2025</v>
      </c>
      <c r="D1186" s="2" t="s">
        <v>155</v>
      </c>
      <c r="E1186" s="2" t="s">
        <v>155</v>
      </c>
      <c r="F1186" s="39">
        <v>45809</v>
      </c>
      <c r="G1186" s="2">
        <f>DAY(EOMONTH(TA[[#This Row],[Month Year]],0))</f>
        <v>30</v>
      </c>
      <c r="H1186" s="21">
        <v>45827</v>
      </c>
      <c r="I1186" s="41">
        <f>IFERROR(VLOOKUP(TA[[#This Row],[Date]],Raw_Data[[Date]:[Sunset Time (POA&lt;20 W/m2)]],3,0),"")</f>
        <v>0.24861111111111112</v>
      </c>
      <c r="J1186" s="41">
        <f>IFERROR(VLOOKUP(TA[[#This Row],[Date]],Raw_Data[[Date]:[Sunset Time (POA&lt;20 W/m2)]],4,0),"")</f>
        <v>0.77083333333333337</v>
      </c>
      <c r="K1186" s="35">
        <f>IFERROR((TA[[#This Row],[Sunset Time (POA&lt;20 W/m2)]]-TA[[#This Row],[Sunrise Time (POA&gt;20 W/m2)]])*24,"")</f>
        <v>12.533333333333335</v>
      </c>
      <c r="L1186" s="2" t="s">
        <v>312</v>
      </c>
      <c r="M1186" s="42">
        <f>IFERROR(VLOOKUP(TA[[#This Row],[Affected Equipment]],'Basic Data'!$I$2:$K$40,3,0),"")</f>
        <v>5.74712643678161E-3</v>
      </c>
      <c r="N1186">
        <v>-28</v>
      </c>
      <c r="O1186" t="s">
        <v>133</v>
      </c>
      <c r="P1186" s="22" t="s">
        <v>330</v>
      </c>
      <c r="Q1186" s="2" t="s">
        <v>323</v>
      </c>
      <c r="R1186">
        <v>27</v>
      </c>
      <c r="S1186" s="2">
        <v>42</v>
      </c>
      <c r="T1186" t="s">
        <v>297</v>
      </c>
      <c r="U1186" t="s">
        <v>300</v>
      </c>
      <c r="V1186" t="s">
        <v>301</v>
      </c>
      <c r="W1186" s="41">
        <f>IFERROR(VLOOKUP(TA[[#This Row],[Date]],Raw_Data[[Date]:[Sunset Time (POA&lt;20 W/m2)]],3,0),"")</f>
        <v>0.24861111111111112</v>
      </c>
      <c r="X1186" s="41">
        <f>IFERROR(VLOOKUP(TA[[#This Row],[Date]],Raw_Data[[Date]:[Sunset Time (POA&lt;20 W/m2)]],3,0),"")</f>
        <v>0.24861111111111112</v>
      </c>
      <c r="Y1186" s="34"/>
      <c r="Z1186" s="34">
        <v>0.76041666666666663</v>
      </c>
      <c r="AA1186" s="35">
        <f>IF(TA[[#This Row],[Work Start time on Fault]]="NA","",(TA[[#This Row],[Fault Acknowledgement Time ]]-TA[[#This Row],[Fault Time]])*24)</f>
        <v>0</v>
      </c>
      <c r="AB1186" s="35">
        <f>(TA[[#This Row],[Work Start time on Fault]]-TA[[#This Row],[Fault Time]])*24</f>
        <v>-5.9666666666666668</v>
      </c>
      <c r="AC1186" s="34">
        <f>(TA[[#This Row],[Work Completion time on fault]]-TA[[#This Row],[Fault Time]])*24</f>
        <v>12.283333333333331</v>
      </c>
      <c r="AD1186" s="35">
        <f>IFERROR((TA[[#This Row],[Work Completion time on fault]]-TA[[#This Row],[Fault Time]])*24,"")</f>
        <v>12.283333333333331</v>
      </c>
      <c r="AE1186" t="s">
        <v>309</v>
      </c>
      <c r="AF1186" t="s">
        <v>256</v>
      </c>
      <c r="AG1186" s="2"/>
      <c r="AH1186" s="44">
        <f>1-COS(RADIANS(TA[[#This Row],[Avg. Target Angle during Fault Time (Radians)]]-TA[[#This Row],[Angle of affected equipment ]]))</f>
        <v>0.11705240714107301</v>
      </c>
      <c r="AI1186" s="35">
        <f>IFERROR(TA[[#This Row],[Breakdown Time]]*TA[[#This Row],[Plant Equivalent Weightage]],"")</f>
        <v>7.0593869731800762E-2</v>
      </c>
    </row>
    <row r="1187" spans="1:35">
      <c r="A1187" s="2">
        <f t="shared" si="120"/>
        <v>1184</v>
      </c>
      <c r="B1187" s="156">
        <f t="shared" ref="B1187:B1199" si="129">YEAR(H1187)+IF(MONTH(H1187)&gt;=4,1,0)</f>
        <v>2026</v>
      </c>
      <c r="C1187" s="129">
        <f t="shared" ref="C1187:C1199" si="130">YEAR(H1187)</f>
        <v>2025</v>
      </c>
      <c r="D1187" s="2" t="s">
        <v>155</v>
      </c>
      <c r="E1187" s="2" t="s">
        <v>155</v>
      </c>
      <c r="F1187" s="39">
        <v>45809</v>
      </c>
      <c r="G1187" s="2">
        <f>DAY(EOMONTH(TA[[#This Row],[Month Year]],0))</f>
        <v>30</v>
      </c>
      <c r="H1187" s="21">
        <v>45828</v>
      </c>
      <c r="I1187" s="41">
        <f>IFERROR(VLOOKUP(TA[[#This Row],[Date]],Raw_Data[[Date]:[Sunset Time (POA&lt;20 W/m2)]],3,0),"")</f>
        <v>0.25138888888888888</v>
      </c>
      <c r="J1187" s="41">
        <f>IFERROR(VLOOKUP(TA[[#This Row],[Date]],Raw_Data[[Date]:[Sunset Time (POA&lt;20 W/m2)]],4,0),"")</f>
        <v>0.77638888888888891</v>
      </c>
      <c r="K1187" s="35">
        <f>IFERROR((TA[[#This Row],[Sunset Time (POA&lt;20 W/m2)]]-TA[[#This Row],[Sunrise Time (POA&gt;20 W/m2)]])*24,"")</f>
        <v>12.600000000000001</v>
      </c>
      <c r="L1187" s="2" t="s">
        <v>294</v>
      </c>
      <c r="M1187" s="42">
        <f>IFERROR(VLOOKUP(TA[[#This Row],[Affected Equipment]],'Basic Data'!$I$2:$K$40,3,0),"")</f>
        <v>1.7241379310344799E-3</v>
      </c>
      <c r="N1187">
        <v>-28</v>
      </c>
      <c r="O1187" t="s">
        <v>135</v>
      </c>
      <c r="P1187" s="127" t="s">
        <v>318</v>
      </c>
      <c r="Q1187" s="126" t="s">
        <v>318</v>
      </c>
      <c r="R1187">
        <v>131</v>
      </c>
      <c r="S1187" s="2">
        <v>38</v>
      </c>
      <c r="T1187" t="s">
        <v>295</v>
      </c>
      <c r="U1187" t="s">
        <v>300</v>
      </c>
      <c r="V1187" t="s">
        <v>298</v>
      </c>
      <c r="W1187" s="41"/>
      <c r="X1187" s="41"/>
      <c r="Y1187" s="34"/>
      <c r="Z1187" s="34"/>
      <c r="AA1187" s="35">
        <f>IF(TA[[#This Row],[Work Start time on Fault]]="NA","",(TA[[#This Row],[Fault Acknowledgement Time ]]-TA[[#This Row],[Fault Time]])*24)</f>
        <v>0</v>
      </c>
      <c r="AB1187" s="35">
        <f>(TA[[#This Row],[Work Start time on Fault]]-TA[[#This Row],[Fault Time]])*24</f>
        <v>0</v>
      </c>
      <c r="AC1187" s="34">
        <f>(TA[[#This Row],[Work Completion time on fault]]-TA[[#This Row],[Fault Time]])*24</f>
        <v>0</v>
      </c>
      <c r="AD1187" s="35">
        <f>IFERROR((TA[[#This Row],[Work Completion time on fault]]-TA[[#This Row],[Fault Time]])*24,"")</f>
        <v>0</v>
      </c>
      <c r="AE1187" t="s">
        <v>328</v>
      </c>
      <c r="AF1187" t="s">
        <v>256</v>
      </c>
      <c r="AG1187" s="2"/>
      <c r="AH1187" s="44">
        <f>1-COS(RADIANS(TA[[#This Row],[Avg. Target Angle during Fault Time (Radians)]]-TA[[#This Row],[Angle of affected equipment ]]))</f>
        <v>0.11705240714107301</v>
      </c>
      <c r="AI1187" s="35">
        <f>IFERROR(TA[[#This Row],[Breakdown Time]]*TA[[#This Row],[Plant Equivalent Weightage]],"")</f>
        <v>0</v>
      </c>
    </row>
    <row r="1188" spans="1:35">
      <c r="A1188" s="2">
        <f t="shared" si="120"/>
        <v>1185</v>
      </c>
      <c r="B1188" s="156">
        <f t="shared" si="129"/>
        <v>2026</v>
      </c>
      <c r="C1188" s="129">
        <f t="shared" si="130"/>
        <v>2025</v>
      </c>
      <c r="D1188" s="2" t="s">
        <v>155</v>
      </c>
      <c r="E1188" s="2" t="s">
        <v>155</v>
      </c>
      <c r="F1188" s="39">
        <v>45809</v>
      </c>
      <c r="G1188" s="2">
        <f>DAY(EOMONTH(TA[[#This Row],[Month Year]],0))</f>
        <v>30</v>
      </c>
      <c r="H1188" s="21">
        <v>45828</v>
      </c>
      <c r="I1188" s="41">
        <f>IFERROR(VLOOKUP(TA[[#This Row],[Date]],Raw_Data[[Date]:[Sunset Time (POA&lt;20 W/m2)]],3,0),"")</f>
        <v>0.25138888888888888</v>
      </c>
      <c r="J1188" s="41">
        <f>IFERROR(VLOOKUP(TA[[#This Row],[Date]],Raw_Data[[Date]:[Sunset Time (POA&lt;20 W/m2)]],4,0),"")</f>
        <v>0.77638888888888891</v>
      </c>
      <c r="K1188" s="35">
        <f>IFERROR((TA[[#This Row],[Sunset Time (POA&lt;20 W/m2)]]-TA[[#This Row],[Sunrise Time (POA&gt;20 W/m2)]])*24,"")</f>
        <v>12.600000000000001</v>
      </c>
      <c r="L1188" s="2" t="s">
        <v>294</v>
      </c>
      <c r="M1188" s="42">
        <f>IFERROR(VLOOKUP(TA[[#This Row],[Affected Equipment]],'Basic Data'!$I$2:$K$40,3,0),"")</f>
        <v>1.7241379310344799E-3</v>
      </c>
      <c r="N1188">
        <v>-28</v>
      </c>
      <c r="O1188" t="s">
        <v>135</v>
      </c>
      <c r="P1188" s="127" t="s">
        <v>318</v>
      </c>
      <c r="Q1188" s="126" t="s">
        <v>318</v>
      </c>
      <c r="R1188">
        <v>131</v>
      </c>
      <c r="S1188" s="2">
        <v>39</v>
      </c>
      <c r="T1188" t="s">
        <v>295</v>
      </c>
      <c r="U1188" t="s">
        <v>300</v>
      </c>
      <c r="V1188" t="s">
        <v>298</v>
      </c>
      <c r="W1188" s="41"/>
      <c r="X1188" s="41"/>
      <c r="Y1188" s="34"/>
      <c r="Z1188" s="34"/>
      <c r="AA1188" s="35">
        <f>IF(TA[[#This Row],[Work Start time on Fault]]="NA","",(TA[[#This Row],[Fault Acknowledgement Time ]]-TA[[#This Row],[Fault Time]])*24)</f>
        <v>0</v>
      </c>
      <c r="AB1188" s="35">
        <f>(TA[[#This Row],[Work Start time on Fault]]-TA[[#This Row],[Fault Time]])*24</f>
        <v>0</v>
      </c>
      <c r="AC1188" s="34">
        <f>(TA[[#This Row],[Work Completion time on fault]]-TA[[#This Row],[Fault Time]])*24</f>
        <v>0</v>
      </c>
      <c r="AD1188" s="35">
        <f>IFERROR((TA[[#This Row],[Work Completion time on fault]]-TA[[#This Row],[Fault Time]])*24,"")</f>
        <v>0</v>
      </c>
      <c r="AE1188" t="s">
        <v>328</v>
      </c>
      <c r="AF1188" t="s">
        <v>256</v>
      </c>
      <c r="AG1188" s="2"/>
      <c r="AH1188" s="44">
        <f>1-COS(RADIANS(TA[[#This Row],[Avg. Target Angle during Fault Time (Radians)]]-TA[[#This Row],[Angle of affected equipment ]]))</f>
        <v>0.11705240714107301</v>
      </c>
      <c r="AI1188" s="35">
        <f>IFERROR(TA[[#This Row],[Breakdown Time]]*TA[[#This Row],[Plant Equivalent Weightage]],"")</f>
        <v>0</v>
      </c>
    </row>
    <row r="1189" spans="1:35">
      <c r="A1189" s="2">
        <f t="shared" si="120"/>
        <v>1186</v>
      </c>
      <c r="B1189" s="156">
        <f t="shared" si="129"/>
        <v>2026</v>
      </c>
      <c r="C1189" s="129">
        <f t="shared" si="130"/>
        <v>2025</v>
      </c>
      <c r="D1189" s="2" t="s">
        <v>155</v>
      </c>
      <c r="E1189" s="2" t="s">
        <v>155</v>
      </c>
      <c r="F1189" s="39">
        <v>45809</v>
      </c>
      <c r="G1189" s="2">
        <f>DAY(EOMONTH(TA[[#This Row],[Month Year]],0))</f>
        <v>30</v>
      </c>
      <c r="H1189" s="21">
        <v>45828</v>
      </c>
      <c r="I1189" s="41">
        <f>IFERROR(VLOOKUP(TA[[#This Row],[Date]],Raw_Data[[Date]:[Sunset Time (POA&lt;20 W/m2)]],3,0),"")</f>
        <v>0.25138888888888888</v>
      </c>
      <c r="J1189" s="41">
        <f>IFERROR(VLOOKUP(TA[[#This Row],[Date]],Raw_Data[[Date]:[Sunset Time (POA&lt;20 W/m2)]],4,0),"")</f>
        <v>0.77638888888888891</v>
      </c>
      <c r="K1189" s="35">
        <f>IFERROR((TA[[#This Row],[Sunset Time (POA&lt;20 W/m2)]]-TA[[#This Row],[Sunrise Time (POA&gt;20 W/m2)]])*24,"")</f>
        <v>12.600000000000001</v>
      </c>
      <c r="L1189" s="2" t="s">
        <v>296</v>
      </c>
      <c r="M1189" s="42">
        <f>IFERROR(VLOOKUP(TA[[#This Row],[Affected Equipment]],'Basic Data'!$I$2:$K$40,3,0),"")</f>
        <v>8.6206896551724102E-3</v>
      </c>
      <c r="N1189">
        <v>-28</v>
      </c>
      <c r="O1189" t="s">
        <v>135</v>
      </c>
      <c r="P1189" s="127" t="s">
        <v>318</v>
      </c>
      <c r="Q1189" s="2" t="s">
        <v>321</v>
      </c>
      <c r="R1189">
        <v>133</v>
      </c>
      <c r="S1189" s="2">
        <v>26</v>
      </c>
      <c r="T1189" t="s">
        <v>297</v>
      </c>
      <c r="U1189" t="s">
        <v>300</v>
      </c>
      <c r="V1189" t="s">
        <v>314</v>
      </c>
      <c r="W1189" s="41">
        <f>IFERROR(VLOOKUP(TA[[#This Row],[Date]],Raw_Data[[Date]:[Sunset Time (POA&lt;20 W/m2)]],3,0),"")</f>
        <v>0.25138888888888888</v>
      </c>
      <c r="X1189" s="41">
        <f>IFERROR(VLOOKUP(TA[[#This Row],[Date]],Raw_Data[[Date]:[Sunset Time (POA&lt;20 W/m2)]],3,0),"")</f>
        <v>0.25138888888888888</v>
      </c>
      <c r="Y1189" s="34"/>
      <c r="Z1189" s="34">
        <v>0.76041666666666663</v>
      </c>
      <c r="AA1189" s="35">
        <f>IF(TA[[#This Row],[Work Start time on Fault]]="NA","",(TA[[#This Row],[Fault Acknowledgement Time ]]-TA[[#This Row],[Fault Time]])*24)</f>
        <v>0</v>
      </c>
      <c r="AB1189" s="35">
        <f>(TA[[#This Row],[Work Start time on Fault]]-TA[[#This Row],[Fault Time]])*24</f>
        <v>-6.0333333333333332</v>
      </c>
      <c r="AC1189" s="34">
        <f>(TA[[#This Row],[Work Completion time on fault]]-TA[[#This Row],[Fault Time]])*24</f>
        <v>12.216666666666665</v>
      </c>
      <c r="AD1189" s="35">
        <f>IFERROR((TA[[#This Row],[Work Completion time on fault]]-TA[[#This Row],[Fault Time]])*24,"")</f>
        <v>12.216666666666665</v>
      </c>
      <c r="AE1189" t="s">
        <v>328</v>
      </c>
      <c r="AF1189" t="s">
        <v>256</v>
      </c>
      <c r="AG1189" s="2"/>
      <c r="AH1189" s="44">
        <f>1-COS(RADIANS(TA[[#This Row],[Avg. Target Angle during Fault Time (Radians)]]-TA[[#This Row],[Angle of affected equipment ]]))</f>
        <v>0.11705240714107301</v>
      </c>
      <c r="AI1189" s="35">
        <f>IFERROR(TA[[#This Row],[Breakdown Time]]*TA[[#This Row],[Plant Equivalent Weightage]],"")</f>
        <v>0.10531609195402293</v>
      </c>
    </row>
    <row r="1190" spans="1:35">
      <c r="A1190" s="2">
        <f t="shared" si="120"/>
        <v>1187</v>
      </c>
      <c r="B1190" s="156">
        <f t="shared" si="129"/>
        <v>2026</v>
      </c>
      <c r="C1190" s="129">
        <f t="shared" si="130"/>
        <v>2025</v>
      </c>
      <c r="D1190" s="2" t="s">
        <v>155</v>
      </c>
      <c r="E1190" s="2" t="s">
        <v>155</v>
      </c>
      <c r="F1190" s="39">
        <v>45809</v>
      </c>
      <c r="G1190" s="2">
        <f>DAY(EOMONTH(TA[[#This Row],[Month Year]],0))</f>
        <v>30</v>
      </c>
      <c r="H1190" s="21">
        <v>45828</v>
      </c>
      <c r="I1190" s="41">
        <f>IFERROR(VLOOKUP(TA[[#This Row],[Date]],Raw_Data[[Date]:[Sunset Time (POA&lt;20 W/m2)]],3,0),"")</f>
        <v>0.25138888888888888</v>
      </c>
      <c r="J1190" s="41">
        <f>IFERROR(VLOOKUP(TA[[#This Row],[Date]],Raw_Data[[Date]:[Sunset Time (POA&lt;20 W/m2)]],4,0),"")</f>
        <v>0.77638888888888891</v>
      </c>
      <c r="K1190" s="35">
        <f>IFERROR((TA[[#This Row],[Sunset Time (POA&lt;20 W/m2)]]-TA[[#This Row],[Sunrise Time (POA&gt;20 W/m2)]])*24,"")</f>
        <v>12.600000000000001</v>
      </c>
      <c r="L1190" s="2" t="s">
        <v>294</v>
      </c>
      <c r="M1190" s="42">
        <f>IFERROR(VLOOKUP(TA[[#This Row],[Affected Equipment]],'Basic Data'!$I$2:$K$40,3,0),"")</f>
        <v>1.7241379310344799E-3</v>
      </c>
      <c r="N1190">
        <v>-28</v>
      </c>
      <c r="O1190" t="s">
        <v>133</v>
      </c>
      <c r="P1190" s="127" t="s">
        <v>316</v>
      </c>
      <c r="Q1190" s="126" t="s">
        <v>317</v>
      </c>
      <c r="R1190">
        <v>7</v>
      </c>
      <c r="S1190" s="2">
        <v>32</v>
      </c>
      <c r="T1190" t="s">
        <v>295</v>
      </c>
      <c r="U1190" t="s">
        <v>300</v>
      </c>
      <c r="V1190" t="s">
        <v>298</v>
      </c>
      <c r="W1190" s="41"/>
      <c r="X1190" s="41"/>
      <c r="Y1190" s="34"/>
      <c r="Z1190" s="34"/>
      <c r="AA1190" s="35">
        <f>IF(TA[[#This Row],[Work Start time on Fault]]="NA","",(TA[[#This Row],[Fault Acknowledgement Time ]]-TA[[#This Row],[Fault Time]])*24)</f>
        <v>0</v>
      </c>
      <c r="AB1190" s="35">
        <f>(TA[[#This Row],[Work Start time on Fault]]-TA[[#This Row],[Fault Time]])*24</f>
        <v>0</v>
      </c>
      <c r="AC1190" s="34">
        <f>(TA[[#This Row],[Work Completion time on fault]]-TA[[#This Row],[Fault Time]])*24</f>
        <v>0</v>
      </c>
      <c r="AD1190" s="35">
        <f>IFERROR((TA[[#This Row],[Work Completion time on fault]]-TA[[#This Row],[Fault Time]])*24,"")</f>
        <v>0</v>
      </c>
      <c r="AE1190" t="s">
        <v>328</v>
      </c>
      <c r="AF1190" t="s">
        <v>256</v>
      </c>
      <c r="AG1190" s="2"/>
      <c r="AH1190" s="44">
        <f>1-COS(RADIANS(TA[[#This Row],[Avg. Target Angle during Fault Time (Radians)]]-TA[[#This Row],[Angle of affected equipment ]]))</f>
        <v>0.11705240714107301</v>
      </c>
      <c r="AI1190" s="35">
        <f>IFERROR(TA[[#This Row],[Breakdown Time]]*TA[[#This Row],[Plant Equivalent Weightage]],"")</f>
        <v>0</v>
      </c>
    </row>
    <row r="1191" spans="1:35">
      <c r="A1191" s="2">
        <f t="shared" ref="A1191:A1254" si="131">A1190+1</f>
        <v>1188</v>
      </c>
      <c r="B1191" s="156">
        <f t="shared" si="129"/>
        <v>2026</v>
      </c>
      <c r="C1191" s="129">
        <f t="shared" si="130"/>
        <v>2025</v>
      </c>
      <c r="D1191" s="2" t="s">
        <v>155</v>
      </c>
      <c r="E1191" s="2" t="s">
        <v>155</v>
      </c>
      <c r="F1191" s="39">
        <v>45809</v>
      </c>
      <c r="G1191" s="2">
        <f>DAY(EOMONTH(TA[[#This Row],[Month Year]],0))</f>
        <v>30</v>
      </c>
      <c r="H1191" s="21">
        <v>45828</v>
      </c>
      <c r="I1191" s="41">
        <f>IFERROR(VLOOKUP(TA[[#This Row],[Date]],Raw_Data[[Date]:[Sunset Time (POA&lt;20 W/m2)]],3,0),"")</f>
        <v>0.25138888888888888</v>
      </c>
      <c r="J1191" s="41">
        <f>IFERROR(VLOOKUP(TA[[#This Row],[Date]],Raw_Data[[Date]:[Sunset Time (POA&lt;20 W/m2)]],4,0),"")</f>
        <v>0.77638888888888891</v>
      </c>
      <c r="K1191" s="35">
        <f>IFERROR((TA[[#This Row],[Sunset Time (POA&lt;20 W/m2)]]-TA[[#This Row],[Sunrise Time (POA&gt;20 W/m2)]])*24,"")</f>
        <v>12.600000000000001</v>
      </c>
      <c r="L1191" s="2" t="s">
        <v>294</v>
      </c>
      <c r="M1191" s="42">
        <f>IFERROR(VLOOKUP(TA[[#This Row],[Affected Equipment]],'Basic Data'!$I$2:$K$40,3,0),"")</f>
        <v>1.7241379310344799E-3</v>
      </c>
      <c r="N1191">
        <v>-28</v>
      </c>
      <c r="O1191" t="s">
        <v>137</v>
      </c>
      <c r="P1191" s="127" t="s">
        <v>315</v>
      </c>
      <c r="Q1191" s="126" t="s">
        <v>319</v>
      </c>
      <c r="R1191">
        <v>166</v>
      </c>
      <c r="S1191" s="2">
        <v>91</v>
      </c>
      <c r="T1191" t="s">
        <v>295</v>
      </c>
      <c r="U1191" t="s">
        <v>300</v>
      </c>
      <c r="V1191" t="s">
        <v>298</v>
      </c>
      <c r="W1191" s="41"/>
      <c r="X1191" s="41"/>
      <c r="Y1191" s="34"/>
      <c r="Z1191" s="34"/>
      <c r="AA1191" s="35">
        <f>IF(TA[[#This Row],[Work Start time on Fault]]="NA","",(TA[[#This Row],[Fault Acknowledgement Time ]]-TA[[#This Row],[Fault Time]])*24)</f>
        <v>0</v>
      </c>
      <c r="AB1191" s="35">
        <f>(TA[[#This Row],[Work Start time on Fault]]-TA[[#This Row],[Fault Time]])*24</f>
        <v>0</v>
      </c>
      <c r="AC1191" s="34">
        <f>(TA[[#This Row],[Work Completion time on fault]]-TA[[#This Row],[Fault Time]])*24</f>
        <v>0</v>
      </c>
      <c r="AD1191" s="35">
        <f>IFERROR((TA[[#This Row],[Work Completion time on fault]]-TA[[#This Row],[Fault Time]])*24,"")</f>
        <v>0</v>
      </c>
      <c r="AE1191" t="s">
        <v>328</v>
      </c>
      <c r="AF1191" t="s">
        <v>256</v>
      </c>
      <c r="AG1191" s="2"/>
      <c r="AH1191" s="44">
        <f>1-COS(RADIANS(TA[[#This Row],[Avg. Target Angle during Fault Time (Radians)]]-TA[[#This Row],[Angle of affected equipment ]]))</f>
        <v>0.11705240714107301</v>
      </c>
      <c r="AI1191" s="35">
        <f>IFERROR(TA[[#This Row],[Breakdown Time]]*TA[[#This Row],[Plant Equivalent Weightage]],"")</f>
        <v>0</v>
      </c>
    </row>
    <row r="1192" spans="1:35">
      <c r="A1192" s="2">
        <f t="shared" si="131"/>
        <v>1189</v>
      </c>
      <c r="B1192" s="156">
        <f t="shared" si="129"/>
        <v>2026</v>
      </c>
      <c r="C1192" s="129">
        <f t="shared" si="130"/>
        <v>2025</v>
      </c>
      <c r="D1192" s="2" t="s">
        <v>155</v>
      </c>
      <c r="E1192" s="2" t="s">
        <v>155</v>
      </c>
      <c r="F1192" s="39">
        <v>45809</v>
      </c>
      <c r="G1192" s="2">
        <f>DAY(EOMONTH(TA[[#This Row],[Month Year]],0))</f>
        <v>30</v>
      </c>
      <c r="H1192" s="21">
        <v>45828</v>
      </c>
      <c r="I1192" s="41">
        <f>IFERROR(VLOOKUP(TA[[#This Row],[Date]],Raw_Data[[Date]:[Sunset Time (POA&lt;20 W/m2)]],3,0),"")</f>
        <v>0.25138888888888888</v>
      </c>
      <c r="J1192" s="41">
        <f>IFERROR(VLOOKUP(TA[[#This Row],[Date]],Raw_Data[[Date]:[Sunset Time (POA&lt;20 W/m2)]],4,0),"")</f>
        <v>0.77638888888888891</v>
      </c>
      <c r="K1192" s="35">
        <f>IFERROR((TA[[#This Row],[Sunset Time (POA&lt;20 W/m2)]]-TA[[#This Row],[Sunrise Time (POA&gt;20 W/m2)]])*24,"")</f>
        <v>12.600000000000001</v>
      </c>
      <c r="L1192" s="2" t="s">
        <v>294</v>
      </c>
      <c r="M1192" s="42">
        <f>IFERROR(VLOOKUP(TA[[#This Row],[Affected Equipment]],'Basic Data'!$I$2:$K$40,3,0),"")</f>
        <v>1.7241379310344799E-3</v>
      </c>
      <c r="N1192">
        <v>-28</v>
      </c>
      <c r="O1192" t="s">
        <v>133</v>
      </c>
      <c r="P1192" s="127" t="s">
        <v>316</v>
      </c>
      <c r="Q1192" s="126" t="s">
        <v>316</v>
      </c>
      <c r="R1192">
        <v>117</v>
      </c>
      <c r="S1192" s="2">
        <v>20</v>
      </c>
      <c r="T1192" t="s">
        <v>295</v>
      </c>
      <c r="U1192" t="s">
        <v>300</v>
      </c>
      <c r="V1192" t="s">
        <v>298</v>
      </c>
      <c r="W1192" s="41"/>
      <c r="X1192" s="41"/>
      <c r="Y1192" s="34"/>
      <c r="Z1192" s="34"/>
      <c r="AA1192" s="35">
        <f>IF(TA[[#This Row],[Work Start time on Fault]]="NA","",(TA[[#This Row],[Fault Acknowledgement Time ]]-TA[[#This Row],[Fault Time]])*24)</f>
        <v>0</v>
      </c>
      <c r="AB1192" s="35">
        <f>(TA[[#This Row],[Work Start time on Fault]]-TA[[#This Row],[Fault Time]])*24</f>
        <v>0</v>
      </c>
      <c r="AC1192" s="34">
        <f>(TA[[#This Row],[Work Completion time on fault]]-TA[[#This Row],[Fault Time]])*24</f>
        <v>0</v>
      </c>
      <c r="AD1192" s="35">
        <f>IFERROR((TA[[#This Row],[Work Completion time on fault]]-TA[[#This Row],[Fault Time]])*24,"")</f>
        <v>0</v>
      </c>
      <c r="AE1192" t="s">
        <v>328</v>
      </c>
      <c r="AF1192" t="s">
        <v>256</v>
      </c>
      <c r="AG1192" s="2"/>
      <c r="AH1192" s="44">
        <f>1-COS(RADIANS(TA[[#This Row],[Avg. Target Angle during Fault Time (Radians)]]-TA[[#This Row],[Angle of affected equipment ]]))</f>
        <v>0.11705240714107301</v>
      </c>
      <c r="AI1192" s="35">
        <f>IFERROR(TA[[#This Row],[Breakdown Time]]*TA[[#This Row],[Plant Equivalent Weightage]],"")</f>
        <v>0</v>
      </c>
    </row>
    <row r="1193" spans="1:35">
      <c r="A1193" s="2">
        <f t="shared" si="131"/>
        <v>1190</v>
      </c>
      <c r="B1193" s="156">
        <f t="shared" si="129"/>
        <v>2026</v>
      </c>
      <c r="C1193" s="129">
        <f t="shared" si="130"/>
        <v>2025</v>
      </c>
      <c r="D1193" s="2" t="s">
        <v>155</v>
      </c>
      <c r="E1193" s="2" t="s">
        <v>155</v>
      </c>
      <c r="F1193" s="39">
        <v>45809</v>
      </c>
      <c r="G1193" s="2">
        <f>DAY(EOMONTH(TA[[#This Row],[Month Year]],0))</f>
        <v>30</v>
      </c>
      <c r="H1193" s="21">
        <v>45828</v>
      </c>
      <c r="I1193" s="41">
        <f>IFERROR(VLOOKUP(TA[[#This Row],[Date]],Raw_Data[[Date]:[Sunset Time (POA&lt;20 W/m2)]],3,0),"")</f>
        <v>0.25138888888888888</v>
      </c>
      <c r="J1193" s="41">
        <f>IFERROR(VLOOKUP(TA[[#This Row],[Date]],Raw_Data[[Date]:[Sunset Time (POA&lt;20 W/m2)]],4,0),"")</f>
        <v>0.77638888888888891</v>
      </c>
      <c r="K1193" s="35">
        <f>IFERROR((TA[[#This Row],[Sunset Time (POA&lt;20 W/m2)]]-TA[[#This Row],[Sunrise Time (POA&gt;20 W/m2)]])*24,"")</f>
        <v>12.600000000000001</v>
      </c>
      <c r="L1193" s="2" t="s">
        <v>294</v>
      </c>
      <c r="M1193" s="42">
        <f>IFERROR(VLOOKUP(TA[[#This Row],[Affected Equipment]],'Basic Data'!$I$2:$K$40,3,0),"")</f>
        <v>1.7241379310344799E-3</v>
      </c>
      <c r="N1193">
        <v>-28</v>
      </c>
      <c r="O1193" t="s">
        <v>133</v>
      </c>
      <c r="P1193" s="127" t="s">
        <v>316</v>
      </c>
      <c r="Q1193" s="126" t="s">
        <v>316</v>
      </c>
      <c r="R1193">
        <v>118</v>
      </c>
      <c r="S1193" s="2">
        <v>22</v>
      </c>
      <c r="T1193" t="s">
        <v>295</v>
      </c>
      <c r="U1193" t="s">
        <v>300</v>
      </c>
      <c r="V1193" t="s">
        <v>298</v>
      </c>
      <c r="W1193" s="41"/>
      <c r="X1193" s="41"/>
      <c r="Y1193" s="34"/>
      <c r="Z1193" s="34"/>
      <c r="AA1193" s="35">
        <f>IF(TA[[#This Row],[Work Start time on Fault]]="NA","",(TA[[#This Row],[Fault Acknowledgement Time ]]-TA[[#This Row],[Fault Time]])*24)</f>
        <v>0</v>
      </c>
      <c r="AB1193" s="35">
        <f>(TA[[#This Row],[Work Start time on Fault]]-TA[[#This Row],[Fault Time]])*24</f>
        <v>0</v>
      </c>
      <c r="AC1193" s="34">
        <f>(TA[[#This Row],[Work Completion time on fault]]-TA[[#This Row],[Fault Time]])*24</f>
        <v>0</v>
      </c>
      <c r="AD1193" s="35">
        <f>IFERROR((TA[[#This Row],[Work Completion time on fault]]-TA[[#This Row],[Fault Time]])*24,"")</f>
        <v>0</v>
      </c>
      <c r="AE1193" t="s">
        <v>328</v>
      </c>
      <c r="AF1193" t="s">
        <v>256</v>
      </c>
      <c r="AG1193" s="2"/>
      <c r="AH1193" s="44">
        <f>1-COS(RADIANS(TA[[#This Row],[Avg. Target Angle during Fault Time (Radians)]]-TA[[#This Row],[Angle of affected equipment ]]))</f>
        <v>0.11705240714107301</v>
      </c>
      <c r="AI1193" s="35">
        <f>IFERROR(TA[[#This Row],[Breakdown Time]]*TA[[#This Row],[Plant Equivalent Weightage]],"")</f>
        <v>0</v>
      </c>
    </row>
    <row r="1194" spans="1:35">
      <c r="A1194" s="2">
        <f t="shared" si="131"/>
        <v>1191</v>
      </c>
      <c r="B1194" s="156">
        <f t="shared" si="129"/>
        <v>2026</v>
      </c>
      <c r="C1194" s="129">
        <f t="shared" si="130"/>
        <v>2025</v>
      </c>
      <c r="D1194" s="2" t="s">
        <v>155</v>
      </c>
      <c r="E1194" s="2" t="s">
        <v>155</v>
      </c>
      <c r="F1194" s="39">
        <v>45809</v>
      </c>
      <c r="G1194" s="2">
        <f>DAY(EOMONTH(TA[[#This Row],[Month Year]],0))</f>
        <v>30</v>
      </c>
      <c r="H1194" s="21">
        <v>45828</v>
      </c>
      <c r="I1194" s="41">
        <f>IFERROR(VLOOKUP(TA[[#This Row],[Date]],Raw_Data[[Date]:[Sunset Time (POA&lt;20 W/m2)]],3,0),"")</f>
        <v>0.25138888888888888</v>
      </c>
      <c r="J1194" s="41">
        <f>IFERROR(VLOOKUP(TA[[#This Row],[Date]],Raw_Data[[Date]:[Sunset Time (POA&lt;20 W/m2)]],4,0),"")</f>
        <v>0.77638888888888891</v>
      </c>
      <c r="K1194" s="35">
        <f>IFERROR((TA[[#This Row],[Sunset Time (POA&lt;20 W/m2)]]-TA[[#This Row],[Sunrise Time (POA&gt;20 W/m2)]])*24,"")</f>
        <v>12.600000000000001</v>
      </c>
      <c r="L1194" s="2" t="s">
        <v>296</v>
      </c>
      <c r="M1194" s="42">
        <f>IFERROR(VLOOKUP(TA[[#This Row],[Affected Equipment]],'Basic Data'!$I$2:$K$40,3,0),"")</f>
        <v>8.6206896551724102E-3</v>
      </c>
      <c r="N1194">
        <v>-28</v>
      </c>
      <c r="O1194" t="s">
        <v>135</v>
      </c>
      <c r="P1194" s="22" t="s">
        <v>323</v>
      </c>
      <c r="Q1194" s="2" t="s">
        <v>329</v>
      </c>
      <c r="R1194">
        <v>45</v>
      </c>
      <c r="S1194" s="2">
        <v>8</v>
      </c>
      <c r="T1194" t="s">
        <v>297</v>
      </c>
      <c r="U1194" t="s">
        <v>300</v>
      </c>
      <c r="V1194" t="s">
        <v>301</v>
      </c>
      <c r="W1194" s="41"/>
      <c r="X1194" s="41"/>
      <c r="Y1194" s="34"/>
      <c r="Z1194" s="34"/>
      <c r="AA1194" s="35">
        <f>IF(TA[[#This Row],[Work Start time on Fault]]="NA","",(TA[[#This Row],[Fault Acknowledgement Time ]]-TA[[#This Row],[Fault Time]])*24)</f>
        <v>0</v>
      </c>
      <c r="AB1194" s="35">
        <f>(TA[[#This Row],[Work Start time on Fault]]-TA[[#This Row],[Fault Time]])*24</f>
        <v>0</v>
      </c>
      <c r="AC1194" s="34">
        <f>(TA[[#This Row],[Work Completion time on fault]]-TA[[#This Row],[Fault Time]])*24</f>
        <v>0</v>
      </c>
      <c r="AD1194" s="35">
        <f>IFERROR((TA[[#This Row],[Work Completion time on fault]]-TA[[#This Row],[Fault Time]])*24,"")</f>
        <v>0</v>
      </c>
      <c r="AE1194" t="s">
        <v>328</v>
      </c>
      <c r="AF1194" t="s">
        <v>256</v>
      </c>
      <c r="AG1194" s="2"/>
      <c r="AH1194" s="44">
        <f>1-COS(RADIANS(TA[[#This Row],[Avg. Target Angle during Fault Time (Radians)]]-TA[[#This Row],[Angle of affected equipment ]]))</f>
        <v>0.11705240714107301</v>
      </c>
      <c r="AI1194" s="35">
        <f>IFERROR(TA[[#This Row],[Breakdown Time]]*TA[[#This Row],[Plant Equivalent Weightage]],"")</f>
        <v>0</v>
      </c>
    </row>
    <row r="1195" spans="1:35">
      <c r="A1195" s="2">
        <f t="shared" si="131"/>
        <v>1192</v>
      </c>
      <c r="B1195" s="156">
        <f t="shared" si="129"/>
        <v>2026</v>
      </c>
      <c r="C1195" s="129">
        <f t="shared" si="130"/>
        <v>2025</v>
      </c>
      <c r="D1195" s="2" t="s">
        <v>155</v>
      </c>
      <c r="E1195" s="2" t="s">
        <v>155</v>
      </c>
      <c r="F1195" s="39">
        <v>45809</v>
      </c>
      <c r="G1195" s="2">
        <f>DAY(EOMONTH(TA[[#This Row],[Month Year]],0))</f>
        <v>30</v>
      </c>
      <c r="H1195" s="21">
        <v>45828</v>
      </c>
      <c r="I1195" s="41">
        <f>IFERROR(VLOOKUP(TA[[#This Row],[Date]],Raw_Data[[Date]:[Sunset Time (POA&lt;20 W/m2)]],3,0),"")</f>
        <v>0.25138888888888888</v>
      </c>
      <c r="J1195" s="41">
        <f>IFERROR(VLOOKUP(TA[[#This Row],[Date]],Raw_Data[[Date]:[Sunset Time (POA&lt;20 W/m2)]],4,0),"")</f>
        <v>0.77638888888888891</v>
      </c>
      <c r="K1195" s="35">
        <f>IFERROR((TA[[#This Row],[Sunset Time (POA&lt;20 W/m2)]]-TA[[#This Row],[Sunrise Time (POA&gt;20 W/m2)]])*24,"")</f>
        <v>12.600000000000001</v>
      </c>
      <c r="L1195" s="2" t="s">
        <v>296</v>
      </c>
      <c r="M1195" s="42">
        <f>IFERROR(VLOOKUP(TA[[#This Row],[Affected Equipment]],'Basic Data'!$I$2:$K$40,3,0),"")</f>
        <v>8.6206896551724102E-3</v>
      </c>
      <c r="N1195">
        <v>-28</v>
      </c>
      <c r="O1195" t="s">
        <v>135</v>
      </c>
      <c r="P1195" s="22" t="s">
        <v>323</v>
      </c>
      <c r="Q1195" s="2" t="s">
        <v>329</v>
      </c>
      <c r="R1195">
        <v>47</v>
      </c>
      <c r="S1195" s="2">
        <v>18</v>
      </c>
      <c r="T1195" t="s">
        <v>297</v>
      </c>
      <c r="U1195" t="s">
        <v>300</v>
      </c>
      <c r="V1195" t="s">
        <v>301</v>
      </c>
      <c r="W1195" s="41"/>
      <c r="X1195" s="41"/>
      <c r="Y1195" s="34"/>
      <c r="Z1195" s="34"/>
      <c r="AA1195" s="35">
        <f>IF(TA[[#This Row],[Work Start time on Fault]]="NA","",(TA[[#This Row],[Fault Acknowledgement Time ]]-TA[[#This Row],[Fault Time]])*24)</f>
        <v>0</v>
      </c>
      <c r="AB1195" s="35">
        <f>(TA[[#This Row],[Work Start time on Fault]]-TA[[#This Row],[Fault Time]])*24</f>
        <v>0</v>
      </c>
      <c r="AC1195" s="34">
        <f>(TA[[#This Row],[Work Completion time on fault]]-TA[[#This Row],[Fault Time]])*24</f>
        <v>0</v>
      </c>
      <c r="AD1195" s="35">
        <f>IFERROR((TA[[#This Row],[Work Completion time on fault]]-TA[[#This Row],[Fault Time]])*24,"")</f>
        <v>0</v>
      </c>
      <c r="AE1195" t="s">
        <v>328</v>
      </c>
      <c r="AF1195" t="s">
        <v>256</v>
      </c>
      <c r="AG1195" s="2"/>
      <c r="AH1195" s="44">
        <f>1-COS(RADIANS(TA[[#This Row],[Avg. Target Angle during Fault Time (Radians)]]-TA[[#This Row],[Angle of affected equipment ]]))</f>
        <v>0.11705240714107301</v>
      </c>
      <c r="AI1195" s="35">
        <f>IFERROR(TA[[#This Row],[Breakdown Time]]*TA[[#This Row],[Plant Equivalent Weightage]],"")</f>
        <v>0</v>
      </c>
    </row>
    <row r="1196" spans="1:35">
      <c r="A1196" s="2">
        <f t="shared" si="131"/>
        <v>1193</v>
      </c>
      <c r="B1196" s="156">
        <f t="shared" si="129"/>
        <v>2026</v>
      </c>
      <c r="C1196" s="129">
        <f t="shared" si="130"/>
        <v>2025</v>
      </c>
      <c r="D1196" s="2" t="s">
        <v>155</v>
      </c>
      <c r="E1196" s="2" t="s">
        <v>155</v>
      </c>
      <c r="F1196" s="39">
        <v>45809</v>
      </c>
      <c r="G1196" s="2">
        <f>DAY(EOMONTH(TA[[#This Row],[Month Year]],0))</f>
        <v>30</v>
      </c>
      <c r="H1196" s="21">
        <v>45828</v>
      </c>
      <c r="I1196" s="41">
        <f>IFERROR(VLOOKUP(TA[[#This Row],[Date]],Raw_Data[[Date]:[Sunset Time (POA&lt;20 W/m2)]],3,0),"")</f>
        <v>0.25138888888888888</v>
      </c>
      <c r="J1196" s="41">
        <f>IFERROR(VLOOKUP(TA[[#This Row],[Date]],Raw_Data[[Date]:[Sunset Time (POA&lt;20 W/m2)]],4,0),"")</f>
        <v>0.77638888888888891</v>
      </c>
      <c r="K1196" s="35">
        <f>IFERROR((TA[[#This Row],[Sunset Time (POA&lt;20 W/m2)]]-TA[[#This Row],[Sunrise Time (POA&gt;20 W/m2)]])*24,"")</f>
        <v>12.600000000000001</v>
      </c>
      <c r="L1196" s="2" t="s">
        <v>296</v>
      </c>
      <c r="M1196" s="42">
        <f>IFERROR(VLOOKUP(TA[[#This Row],[Affected Equipment]],'Basic Data'!$I$2:$K$40,3,0),"")</f>
        <v>8.6206896551724102E-3</v>
      </c>
      <c r="N1196">
        <v>-28</v>
      </c>
      <c r="O1196" t="s">
        <v>134</v>
      </c>
      <c r="P1196" s="22" t="s">
        <v>330</v>
      </c>
      <c r="Q1196" s="2" t="s">
        <v>323</v>
      </c>
      <c r="R1196">
        <v>30</v>
      </c>
      <c r="S1196" s="2">
        <v>57</v>
      </c>
      <c r="T1196" t="s">
        <v>297</v>
      </c>
      <c r="U1196" t="s">
        <v>300</v>
      </c>
      <c r="V1196" t="s">
        <v>301</v>
      </c>
      <c r="W1196" s="41"/>
      <c r="X1196" s="41"/>
      <c r="Y1196" s="34"/>
      <c r="Z1196" s="34"/>
      <c r="AA1196" s="35">
        <f>IF(TA[[#This Row],[Work Start time on Fault]]="NA","",(TA[[#This Row],[Fault Acknowledgement Time ]]-TA[[#This Row],[Fault Time]])*24)</f>
        <v>0</v>
      </c>
      <c r="AB1196" s="35">
        <f>(TA[[#This Row],[Work Start time on Fault]]-TA[[#This Row],[Fault Time]])*24</f>
        <v>0</v>
      </c>
      <c r="AC1196" s="34">
        <f>(TA[[#This Row],[Work Completion time on fault]]-TA[[#This Row],[Fault Time]])*24</f>
        <v>0</v>
      </c>
      <c r="AD1196" s="35">
        <f>IFERROR((TA[[#This Row],[Work Completion time on fault]]-TA[[#This Row],[Fault Time]])*24,"")</f>
        <v>0</v>
      </c>
      <c r="AE1196" t="s">
        <v>328</v>
      </c>
      <c r="AF1196" t="s">
        <v>256</v>
      </c>
      <c r="AG1196" s="2"/>
      <c r="AH1196" s="44">
        <f>1-COS(RADIANS(TA[[#This Row],[Avg. Target Angle during Fault Time (Radians)]]-TA[[#This Row],[Angle of affected equipment ]]))</f>
        <v>0.11705240714107301</v>
      </c>
      <c r="AI1196" s="35">
        <f>IFERROR(TA[[#This Row],[Breakdown Time]]*TA[[#This Row],[Plant Equivalent Weightage]],"")</f>
        <v>0</v>
      </c>
    </row>
    <row r="1197" spans="1:35">
      <c r="A1197" s="2">
        <f t="shared" si="131"/>
        <v>1194</v>
      </c>
      <c r="B1197" s="156">
        <f t="shared" si="129"/>
        <v>2026</v>
      </c>
      <c r="C1197" s="129">
        <f t="shared" si="130"/>
        <v>2025</v>
      </c>
      <c r="D1197" s="2" t="s">
        <v>155</v>
      </c>
      <c r="E1197" s="2" t="s">
        <v>155</v>
      </c>
      <c r="F1197" s="39">
        <v>45809</v>
      </c>
      <c r="G1197" s="2">
        <f>DAY(EOMONTH(TA[[#This Row],[Month Year]],0))</f>
        <v>30</v>
      </c>
      <c r="H1197" s="21">
        <v>45828</v>
      </c>
      <c r="I1197" s="41">
        <f>IFERROR(VLOOKUP(TA[[#This Row],[Date]],Raw_Data[[Date]:[Sunset Time (POA&lt;20 W/m2)]],3,0),"")</f>
        <v>0.25138888888888888</v>
      </c>
      <c r="J1197" s="41">
        <f>IFERROR(VLOOKUP(TA[[#This Row],[Date]],Raw_Data[[Date]:[Sunset Time (POA&lt;20 W/m2)]],4,0),"")</f>
        <v>0.77638888888888891</v>
      </c>
      <c r="K1197" s="35">
        <f>IFERROR((TA[[#This Row],[Sunset Time (POA&lt;20 W/m2)]]-TA[[#This Row],[Sunrise Time (POA&gt;20 W/m2)]])*24,"")</f>
        <v>12.600000000000001</v>
      </c>
      <c r="L1197" s="2" t="s">
        <v>296</v>
      </c>
      <c r="M1197" s="42">
        <f>IFERROR(VLOOKUP(TA[[#This Row],[Affected Equipment]],'Basic Data'!$I$2:$K$40,3,0),"")</f>
        <v>8.6206896551724102E-3</v>
      </c>
      <c r="N1197">
        <v>-28</v>
      </c>
      <c r="O1197" t="s">
        <v>134</v>
      </c>
      <c r="P1197" s="22" t="s">
        <v>330</v>
      </c>
      <c r="Q1197" s="2" t="s">
        <v>323</v>
      </c>
      <c r="R1197">
        <v>31</v>
      </c>
      <c r="S1197" s="2">
        <v>61</v>
      </c>
      <c r="T1197" t="s">
        <v>297</v>
      </c>
      <c r="U1197" t="s">
        <v>300</v>
      </c>
      <c r="V1197" t="s">
        <v>301</v>
      </c>
      <c r="W1197" s="41"/>
      <c r="X1197" s="41"/>
      <c r="Y1197" s="34"/>
      <c r="Z1197" s="34"/>
      <c r="AA1197" s="35">
        <f>IF(TA[[#This Row],[Work Start time on Fault]]="NA","",(TA[[#This Row],[Fault Acknowledgement Time ]]-TA[[#This Row],[Fault Time]])*24)</f>
        <v>0</v>
      </c>
      <c r="AB1197" s="35">
        <f>(TA[[#This Row],[Work Start time on Fault]]-TA[[#This Row],[Fault Time]])*24</f>
        <v>0</v>
      </c>
      <c r="AC1197" s="34">
        <f>(TA[[#This Row],[Work Completion time on fault]]-TA[[#This Row],[Fault Time]])*24</f>
        <v>0</v>
      </c>
      <c r="AD1197" s="35">
        <f>IFERROR((TA[[#This Row],[Work Completion time on fault]]-TA[[#This Row],[Fault Time]])*24,"")</f>
        <v>0</v>
      </c>
      <c r="AE1197" t="s">
        <v>328</v>
      </c>
      <c r="AF1197" t="s">
        <v>256</v>
      </c>
      <c r="AG1197" s="2"/>
      <c r="AH1197" s="44">
        <f>1-COS(RADIANS(TA[[#This Row],[Avg. Target Angle during Fault Time (Radians)]]-TA[[#This Row],[Angle of affected equipment ]]))</f>
        <v>0.11705240714107301</v>
      </c>
      <c r="AI1197" s="35">
        <f>IFERROR(TA[[#This Row],[Breakdown Time]]*TA[[#This Row],[Plant Equivalent Weightage]],"")</f>
        <v>0</v>
      </c>
    </row>
    <row r="1198" spans="1:35">
      <c r="A1198" s="2">
        <f t="shared" si="131"/>
        <v>1195</v>
      </c>
      <c r="B1198" s="156">
        <f t="shared" si="129"/>
        <v>2026</v>
      </c>
      <c r="C1198" s="129">
        <f t="shared" si="130"/>
        <v>2025</v>
      </c>
      <c r="D1198" s="2" t="s">
        <v>155</v>
      </c>
      <c r="E1198" s="2" t="s">
        <v>155</v>
      </c>
      <c r="F1198" s="39">
        <v>45809</v>
      </c>
      <c r="G1198" s="2">
        <f>DAY(EOMONTH(TA[[#This Row],[Month Year]],0))</f>
        <v>30</v>
      </c>
      <c r="H1198" s="21">
        <v>45828</v>
      </c>
      <c r="I1198" s="41">
        <f>IFERROR(VLOOKUP(TA[[#This Row],[Date]],Raw_Data[[Date]:[Sunset Time (POA&lt;20 W/m2)]],3,0),"")</f>
        <v>0.25138888888888888</v>
      </c>
      <c r="J1198" s="41">
        <f>IFERROR(VLOOKUP(TA[[#This Row],[Date]],Raw_Data[[Date]:[Sunset Time (POA&lt;20 W/m2)]],4,0),"")</f>
        <v>0.77638888888888891</v>
      </c>
      <c r="K1198" s="35">
        <f>IFERROR((TA[[#This Row],[Sunset Time (POA&lt;20 W/m2)]]-TA[[#This Row],[Sunrise Time (POA&gt;20 W/m2)]])*24,"")</f>
        <v>12.600000000000001</v>
      </c>
      <c r="L1198" s="2" t="s">
        <v>312</v>
      </c>
      <c r="M1198" s="42">
        <f>IFERROR(VLOOKUP(TA[[#This Row],[Affected Equipment]],'Basic Data'!$I$2:$K$40,3,0),"")</f>
        <v>5.74712643678161E-3</v>
      </c>
      <c r="N1198">
        <v>-28</v>
      </c>
      <c r="O1198" t="s">
        <v>133</v>
      </c>
      <c r="P1198" s="22" t="s">
        <v>330</v>
      </c>
      <c r="Q1198" s="2" t="s">
        <v>323</v>
      </c>
      <c r="R1198">
        <v>26</v>
      </c>
      <c r="S1198" s="2">
        <v>37</v>
      </c>
      <c r="T1198" t="s">
        <v>297</v>
      </c>
      <c r="U1198" t="s">
        <v>300</v>
      </c>
      <c r="V1198" t="s">
        <v>301</v>
      </c>
      <c r="W1198" s="41"/>
      <c r="X1198" s="41"/>
      <c r="Y1198" s="34"/>
      <c r="Z1198" s="34"/>
      <c r="AA1198" s="35">
        <f>IF(TA[[#This Row],[Work Start time on Fault]]="NA","",(TA[[#This Row],[Fault Acknowledgement Time ]]-TA[[#This Row],[Fault Time]])*24)</f>
        <v>0</v>
      </c>
      <c r="AB1198" s="35">
        <f>(TA[[#This Row],[Work Start time on Fault]]-TA[[#This Row],[Fault Time]])*24</f>
        <v>0</v>
      </c>
      <c r="AC1198" s="34">
        <f>(TA[[#This Row],[Work Completion time on fault]]-TA[[#This Row],[Fault Time]])*24</f>
        <v>0</v>
      </c>
      <c r="AD1198" s="35">
        <f>IFERROR((TA[[#This Row],[Work Completion time on fault]]-TA[[#This Row],[Fault Time]])*24,"")</f>
        <v>0</v>
      </c>
      <c r="AE1198" t="s">
        <v>328</v>
      </c>
      <c r="AF1198" t="s">
        <v>256</v>
      </c>
      <c r="AG1198" s="2"/>
      <c r="AH1198" s="44">
        <f>1-COS(RADIANS(TA[[#This Row],[Avg. Target Angle during Fault Time (Radians)]]-TA[[#This Row],[Angle of affected equipment ]]))</f>
        <v>0.11705240714107301</v>
      </c>
      <c r="AI1198" s="35">
        <f>IFERROR(TA[[#This Row],[Breakdown Time]]*TA[[#This Row],[Plant Equivalent Weightage]],"")</f>
        <v>0</v>
      </c>
    </row>
    <row r="1199" spans="1:35">
      <c r="A1199" s="2">
        <f t="shared" si="131"/>
        <v>1196</v>
      </c>
      <c r="B1199" s="156">
        <f t="shared" si="129"/>
        <v>2026</v>
      </c>
      <c r="C1199" s="129">
        <f t="shared" si="130"/>
        <v>2025</v>
      </c>
      <c r="D1199" s="2" t="s">
        <v>155</v>
      </c>
      <c r="E1199" s="2" t="s">
        <v>155</v>
      </c>
      <c r="F1199" s="39">
        <v>45809</v>
      </c>
      <c r="G1199" s="2">
        <f>DAY(EOMONTH(TA[[#This Row],[Month Year]],0))</f>
        <v>30</v>
      </c>
      <c r="H1199" s="21">
        <v>45828</v>
      </c>
      <c r="I1199" s="41">
        <f>IFERROR(VLOOKUP(TA[[#This Row],[Date]],Raw_Data[[Date]:[Sunset Time (POA&lt;20 W/m2)]],3,0),"")</f>
        <v>0.25138888888888888</v>
      </c>
      <c r="J1199" s="41">
        <f>IFERROR(VLOOKUP(TA[[#This Row],[Date]],Raw_Data[[Date]:[Sunset Time (POA&lt;20 W/m2)]],4,0),"")</f>
        <v>0.77638888888888891</v>
      </c>
      <c r="K1199" s="35">
        <f>IFERROR((TA[[#This Row],[Sunset Time (POA&lt;20 W/m2)]]-TA[[#This Row],[Sunrise Time (POA&gt;20 W/m2)]])*24,"")</f>
        <v>12.600000000000001</v>
      </c>
      <c r="L1199" s="2" t="s">
        <v>312</v>
      </c>
      <c r="M1199" s="42">
        <f>IFERROR(VLOOKUP(TA[[#This Row],[Affected Equipment]],'Basic Data'!$I$2:$K$40,3,0),"")</f>
        <v>5.74712643678161E-3</v>
      </c>
      <c r="N1199">
        <v>-28</v>
      </c>
      <c r="O1199" t="s">
        <v>133</v>
      </c>
      <c r="P1199" s="22" t="s">
        <v>330</v>
      </c>
      <c r="Q1199" s="2" t="s">
        <v>323</v>
      </c>
      <c r="R1199">
        <v>27</v>
      </c>
      <c r="S1199" s="2">
        <v>42</v>
      </c>
      <c r="T1199" t="s">
        <v>297</v>
      </c>
      <c r="U1199" t="s">
        <v>300</v>
      </c>
      <c r="V1199" t="s">
        <v>301</v>
      </c>
      <c r="W1199" s="41">
        <f>IFERROR(VLOOKUP(TA[[#This Row],[Date]],Raw_Data[[Date]:[Sunset Time (POA&lt;20 W/m2)]],3,0),"")</f>
        <v>0.25138888888888888</v>
      </c>
      <c r="X1199" s="41">
        <f>IFERROR(VLOOKUP(TA[[#This Row],[Date]],Raw_Data[[Date]:[Sunset Time (POA&lt;20 W/m2)]],3,0),"")</f>
        <v>0.25138888888888888</v>
      </c>
      <c r="Y1199" s="34"/>
      <c r="Z1199" s="34">
        <v>0.76041666666666663</v>
      </c>
      <c r="AA1199" s="35">
        <f>IF(TA[[#This Row],[Work Start time on Fault]]="NA","",(TA[[#This Row],[Fault Acknowledgement Time ]]-TA[[#This Row],[Fault Time]])*24)</f>
        <v>0</v>
      </c>
      <c r="AB1199" s="35">
        <f>(TA[[#This Row],[Work Start time on Fault]]-TA[[#This Row],[Fault Time]])*24</f>
        <v>-6.0333333333333332</v>
      </c>
      <c r="AC1199" s="34">
        <f>(TA[[#This Row],[Work Completion time on fault]]-TA[[#This Row],[Fault Time]])*24</f>
        <v>12.216666666666665</v>
      </c>
      <c r="AD1199" s="35">
        <f>IFERROR((TA[[#This Row],[Work Completion time on fault]]-TA[[#This Row],[Fault Time]])*24,"")</f>
        <v>12.216666666666665</v>
      </c>
      <c r="AE1199" t="s">
        <v>309</v>
      </c>
      <c r="AF1199" t="s">
        <v>256</v>
      </c>
      <c r="AG1199" s="2"/>
      <c r="AH1199" s="44">
        <f>1-COS(RADIANS(TA[[#This Row],[Avg. Target Angle during Fault Time (Radians)]]-TA[[#This Row],[Angle of affected equipment ]]))</f>
        <v>0.11705240714107301</v>
      </c>
      <c r="AI1199" s="35">
        <f>IFERROR(TA[[#This Row],[Breakdown Time]]*TA[[#This Row],[Plant Equivalent Weightage]],"")</f>
        <v>7.0210727969348657E-2</v>
      </c>
    </row>
    <row r="1200" spans="1:35">
      <c r="A1200" s="2">
        <f t="shared" si="131"/>
        <v>1197</v>
      </c>
      <c r="B1200" s="156">
        <f t="shared" ref="B1200:B1212" si="132">YEAR(H1200)+IF(MONTH(H1200)&gt;=4,1,0)</f>
        <v>2026</v>
      </c>
      <c r="C1200" s="129">
        <f t="shared" ref="C1200:C1212" si="133">YEAR(H1200)</f>
        <v>2025</v>
      </c>
      <c r="D1200" s="2" t="s">
        <v>155</v>
      </c>
      <c r="E1200" s="2" t="s">
        <v>155</v>
      </c>
      <c r="F1200" s="39">
        <v>45809</v>
      </c>
      <c r="G1200" s="2">
        <f>DAY(EOMONTH(TA[[#This Row],[Month Year]],0))</f>
        <v>30</v>
      </c>
      <c r="H1200" s="21">
        <v>45829</v>
      </c>
      <c r="I1200" s="41">
        <f>IFERROR(VLOOKUP(TA[[#This Row],[Date]],Raw_Data[[Date]:[Sunset Time (POA&lt;20 W/m2)]],3,0),"")</f>
        <v>0.25069444444444444</v>
      </c>
      <c r="J1200" s="41">
        <f>IFERROR(VLOOKUP(TA[[#This Row],[Date]],Raw_Data[[Date]:[Sunset Time (POA&lt;20 W/m2)]],4,0),"")</f>
        <v>0.77638888888888891</v>
      </c>
      <c r="K1200" s="35">
        <f>IFERROR((TA[[#This Row],[Sunset Time (POA&lt;20 W/m2)]]-TA[[#This Row],[Sunrise Time (POA&gt;20 W/m2)]])*24,"")</f>
        <v>12.616666666666667</v>
      </c>
      <c r="L1200" s="2" t="s">
        <v>294</v>
      </c>
      <c r="M1200" s="42">
        <f>IFERROR(VLOOKUP(TA[[#This Row],[Affected Equipment]],'Basic Data'!$I$2:$K$40,3,0),"")</f>
        <v>1.7241379310344799E-3</v>
      </c>
      <c r="N1200">
        <v>-28</v>
      </c>
      <c r="O1200" t="s">
        <v>135</v>
      </c>
      <c r="P1200" s="127" t="s">
        <v>318</v>
      </c>
      <c r="Q1200" s="126" t="s">
        <v>318</v>
      </c>
      <c r="R1200">
        <v>131</v>
      </c>
      <c r="S1200" s="2">
        <v>38</v>
      </c>
      <c r="T1200" t="s">
        <v>295</v>
      </c>
      <c r="U1200" t="s">
        <v>300</v>
      </c>
      <c r="V1200" t="s">
        <v>298</v>
      </c>
      <c r="W1200" s="41"/>
      <c r="X1200" s="41"/>
      <c r="Y1200" s="34"/>
      <c r="Z1200" s="34"/>
      <c r="AA1200" s="35">
        <f>IF(TA[[#This Row],[Work Start time on Fault]]="NA","",(TA[[#This Row],[Fault Acknowledgement Time ]]-TA[[#This Row],[Fault Time]])*24)</f>
        <v>0</v>
      </c>
      <c r="AB1200" s="35">
        <f>(TA[[#This Row],[Work Start time on Fault]]-TA[[#This Row],[Fault Time]])*24</f>
        <v>0</v>
      </c>
      <c r="AC1200" s="34">
        <f>(TA[[#This Row],[Work Completion time on fault]]-TA[[#This Row],[Fault Time]])*24</f>
        <v>0</v>
      </c>
      <c r="AD1200" s="35">
        <f>IFERROR((TA[[#This Row],[Work Completion time on fault]]-TA[[#This Row],[Fault Time]])*24,"")</f>
        <v>0</v>
      </c>
      <c r="AE1200" t="s">
        <v>328</v>
      </c>
      <c r="AF1200" t="s">
        <v>256</v>
      </c>
      <c r="AG1200" s="2"/>
      <c r="AH1200" s="44">
        <f>1-COS(RADIANS(TA[[#This Row],[Avg. Target Angle during Fault Time (Radians)]]-TA[[#This Row],[Angle of affected equipment ]]))</f>
        <v>0.11705240714107301</v>
      </c>
      <c r="AI1200" s="35">
        <f>IFERROR(TA[[#This Row],[Breakdown Time]]*TA[[#This Row],[Plant Equivalent Weightage]],"")</f>
        <v>0</v>
      </c>
    </row>
    <row r="1201" spans="1:35">
      <c r="A1201" s="2">
        <f t="shared" si="131"/>
        <v>1198</v>
      </c>
      <c r="B1201" s="156">
        <f t="shared" si="132"/>
        <v>2026</v>
      </c>
      <c r="C1201" s="129">
        <f t="shared" si="133"/>
        <v>2025</v>
      </c>
      <c r="D1201" s="2" t="s">
        <v>155</v>
      </c>
      <c r="E1201" s="2" t="s">
        <v>155</v>
      </c>
      <c r="F1201" s="39">
        <v>45809</v>
      </c>
      <c r="G1201" s="2">
        <f>DAY(EOMONTH(TA[[#This Row],[Month Year]],0))</f>
        <v>30</v>
      </c>
      <c r="H1201" s="21">
        <v>45829</v>
      </c>
      <c r="I1201" s="41">
        <f>IFERROR(VLOOKUP(TA[[#This Row],[Date]],Raw_Data[[Date]:[Sunset Time (POA&lt;20 W/m2)]],3,0),"")</f>
        <v>0.25069444444444444</v>
      </c>
      <c r="J1201" s="41">
        <f>IFERROR(VLOOKUP(TA[[#This Row],[Date]],Raw_Data[[Date]:[Sunset Time (POA&lt;20 W/m2)]],4,0),"")</f>
        <v>0.77638888888888891</v>
      </c>
      <c r="K1201" s="35">
        <f>IFERROR((TA[[#This Row],[Sunset Time (POA&lt;20 W/m2)]]-TA[[#This Row],[Sunrise Time (POA&gt;20 W/m2)]])*24,"")</f>
        <v>12.616666666666667</v>
      </c>
      <c r="L1201" s="2" t="s">
        <v>294</v>
      </c>
      <c r="M1201" s="42">
        <f>IFERROR(VLOOKUP(TA[[#This Row],[Affected Equipment]],'Basic Data'!$I$2:$K$40,3,0),"")</f>
        <v>1.7241379310344799E-3</v>
      </c>
      <c r="N1201">
        <v>-28</v>
      </c>
      <c r="O1201" t="s">
        <v>135</v>
      </c>
      <c r="P1201" s="127" t="s">
        <v>318</v>
      </c>
      <c r="Q1201" s="126" t="s">
        <v>318</v>
      </c>
      <c r="R1201">
        <v>131</v>
      </c>
      <c r="S1201" s="2">
        <v>39</v>
      </c>
      <c r="T1201" t="s">
        <v>295</v>
      </c>
      <c r="U1201" t="s">
        <v>300</v>
      </c>
      <c r="V1201" t="s">
        <v>298</v>
      </c>
      <c r="W1201" s="41"/>
      <c r="X1201" s="41"/>
      <c r="Y1201" s="34"/>
      <c r="Z1201" s="34"/>
      <c r="AA1201" s="35">
        <f>IF(TA[[#This Row],[Work Start time on Fault]]="NA","",(TA[[#This Row],[Fault Acknowledgement Time ]]-TA[[#This Row],[Fault Time]])*24)</f>
        <v>0</v>
      </c>
      <c r="AB1201" s="35">
        <f>(TA[[#This Row],[Work Start time on Fault]]-TA[[#This Row],[Fault Time]])*24</f>
        <v>0</v>
      </c>
      <c r="AC1201" s="34">
        <f>(TA[[#This Row],[Work Completion time on fault]]-TA[[#This Row],[Fault Time]])*24</f>
        <v>0</v>
      </c>
      <c r="AD1201" s="35">
        <f>IFERROR((TA[[#This Row],[Work Completion time on fault]]-TA[[#This Row],[Fault Time]])*24,"")</f>
        <v>0</v>
      </c>
      <c r="AE1201" t="s">
        <v>328</v>
      </c>
      <c r="AF1201" t="s">
        <v>256</v>
      </c>
      <c r="AG1201" s="2"/>
      <c r="AH1201" s="44">
        <f>1-COS(RADIANS(TA[[#This Row],[Avg. Target Angle during Fault Time (Radians)]]-TA[[#This Row],[Angle of affected equipment ]]))</f>
        <v>0.11705240714107301</v>
      </c>
      <c r="AI1201" s="35">
        <f>IFERROR(TA[[#This Row],[Breakdown Time]]*TA[[#This Row],[Plant Equivalent Weightage]],"")</f>
        <v>0</v>
      </c>
    </row>
    <row r="1202" spans="1:35">
      <c r="A1202" s="2">
        <f t="shared" si="131"/>
        <v>1199</v>
      </c>
      <c r="B1202" s="156">
        <f t="shared" si="132"/>
        <v>2026</v>
      </c>
      <c r="C1202" s="129">
        <f t="shared" si="133"/>
        <v>2025</v>
      </c>
      <c r="D1202" s="2" t="s">
        <v>155</v>
      </c>
      <c r="E1202" s="2" t="s">
        <v>155</v>
      </c>
      <c r="F1202" s="39">
        <v>45809</v>
      </c>
      <c r="G1202" s="2">
        <f>DAY(EOMONTH(TA[[#This Row],[Month Year]],0))</f>
        <v>30</v>
      </c>
      <c r="H1202" s="21">
        <v>45829</v>
      </c>
      <c r="I1202" s="41">
        <f>IFERROR(VLOOKUP(TA[[#This Row],[Date]],Raw_Data[[Date]:[Sunset Time (POA&lt;20 W/m2)]],3,0),"")</f>
        <v>0.25069444444444444</v>
      </c>
      <c r="J1202" s="41">
        <f>IFERROR(VLOOKUP(TA[[#This Row],[Date]],Raw_Data[[Date]:[Sunset Time (POA&lt;20 W/m2)]],4,0),"")</f>
        <v>0.77638888888888891</v>
      </c>
      <c r="K1202" s="35">
        <f>IFERROR((TA[[#This Row],[Sunset Time (POA&lt;20 W/m2)]]-TA[[#This Row],[Sunrise Time (POA&gt;20 W/m2)]])*24,"")</f>
        <v>12.616666666666667</v>
      </c>
      <c r="L1202" s="2" t="s">
        <v>296</v>
      </c>
      <c r="M1202" s="42">
        <f>IFERROR(VLOOKUP(TA[[#This Row],[Affected Equipment]],'Basic Data'!$I$2:$K$40,3,0),"")</f>
        <v>8.6206896551724102E-3</v>
      </c>
      <c r="N1202">
        <v>-28</v>
      </c>
      <c r="O1202" t="s">
        <v>135</v>
      </c>
      <c r="P1202" s="127" t="s">
        <v>318</v>
      </c>
      <c r="Q1202" s="2" t="s">
        <v>321</v>
      </c>
      <c r="R1202">
        <v>133</v>
      </c>
      <c r="S1202" s="2">
        <v>26</v>
      </c>
      <c r="T1202" t="s">
        <v>297</v>
      </c>
      <c r="U1202" t="s">
        <v>300</v>
      </c>
      <c r="V1202" t="s">
        <v>314</v>
      </c>
      <c r="W1202" s="41">
        <f>IFERROR(VLOOKUP(TA[[#This Row],[Date]],Raw_Data[[Date]:[Sunset Time (POA&lt;20 W/m2)]],3,0),"")</f>
        <v>0.25069444444444444</v>
      </c>
      <c r="X1202" s="41">
        <f>IFERROR(VLOOKUP(TA[[#This Row],[Date]],Raw_Data[[Date]:[Sunset Time (POA&lt;20 W/m2)]],3,0),"")</f>
        <v>0.25069444444444444</v>
      </c>
      <c r="Y1202" s="34"/>
      <c r="Z1202" s="34">
        <v>0.76041666666666663</v>
      </c>
      <c r="AA1202" s="35">
        <f>IF(TA[[#This Row],[Work Start time on Fault]]="NA","",(TA[[#This Row],[Fault Acknowledgement Time ]]-TA[[#This Row],[Fault Time]])*24)</f>
        <v>0</v>
      </c>
      <c r="AB1202" s="35">
        <f>(TA[[#This Row],[Work Start time on Fault]]-TA[[#This Row],[Fault Time]])*24</f>
        <v>-6.0166666666666666</v>
      </c>
      <c r="AC1202" s="34">
        <f>(TA[[#This Row],[Work Completion time on fault]]-TA[[#This Row],[Fault Time]])*24</f>
        <v>12.233333333333333</v>
      </c>
      <c r="AD1202" s="35">
        <f>IFERROR((TA[[#This Row],[Work Completion time on fault]]-TA[[#This Row],[Fault Time]])*24,"")</f>
        <v>12.233333333333333</v>
      </c>
      <c r="AE1202" t="s">
        <v>328</v>
      </c>
      <c r="AF1202" t="s">
        <v>256</v>
      </c>
      <c r="AG1202" s="2"/>
      <c r="AH1202" s="44">
        <f>1-COS(RADIANS(TA[[#This Row],[Avg. Target Angle during Fault Time (Radians)]]-TA[[#This Row],[Angle of affected equipment ]]))</f>
        <v>0.11705240714107301</v>
      </c>
      <c r="AI1202" s="35">
        <f>IFERROR(TA[[#This Row],[Breakdown Time]]*TA[[#This Row],[Plant Equivalent Weightage]],"")</f>
        <v>0.10545977011494248</v>
      </c>
    </row>
    <row r="1203" spans="1:35">
      <c r="A1203" s="2">
        <f t="shared" si="131"/>
        <v>1200</v>
      </c>
      <c r="B1203" s="156">
        <f t="shared" si="132"/>
        <v>2026</v>
      </c>
      <c r="C1203" s="129">
        <f t="shared" si="133"/>
        <v>2025</v>
      </c>
      <c r="D1203" s="2" t="s">
        <v>155</v>
      </c>
      <c r="E1203" s="2" t="s">
        <v>155</v>
      </c>
      <c r="F1203" s="39">
        <v>45809</v>
      </c>
      <c r="G1203" s="2">
        <f>DAY(EOMONTH(TA[[#This Row],[Month Year]],0))</f>
        <v>30</v>
      </c>
      <c r="H1203" s="21">
        <v>45829</v>
      </c>
      <c r="I1203" s="41">
        <f>IFERROR(VLOOKUP(TA[[#This Row],[Date]],Raw_Data[[Date]:[Sunset Time (POA&lt;20 W/m2)]],3,0),"")</f>
        <v>0.25069444444444444</v>
      </c>
      <c r="J1203" s="41">
        <f>IFERROR(VLOOKUP(TA[[#This Row],[Date]],Raw_Data[[Date]:[Sunset Time (POA&lt;20 W/m2)]],4,0),"")</f>
        <v>0.77638888888888891</v>
      </c>
      <c r="K1203" s="35">
        <f>IFERROR((TA[[#This Row],[Sunset Time (POA&lt;20 W/m2)]]-TA[[#This Row],[Sunrise Time (POA&gt;20 W/m2)]])*24,"")</f>
        <v>12.616666666666667</v>
      </c>
      <c r="L1203" s="2" t="s">
        <v>294</v>
      </c>
      <c r="M1203" s="42">
        <f>IFERROR(VLOOKUP(TA[[#This Row],[Affected Equipment]],'Basic Data'!$I$2:$K$40,3,0),"")</f>
        <v>1.7241379310344799E-3</v>
      </c>
      <c r="N1203">
        <v>-28</v>
      </c>
      <c r="O1203" t="s">
        <v>133</v>
      </c>
      <c r="P1203" s="127" t="s">
        <v>316</v>
      </c>
      <c r="Q1203" s="126" t="s">
        <v>317</v>
      </c>
      <c r="R1203">
        <v>7</v>
      </c>
      <c r="S1203" s="2">
        <v>32</v>
      </c>
      <c r="T1203" t="s">
        <v>295</v>
      </c>
      <c r="U1203" t="s">
        <v>300</v>
      </c>
      <c r="V1203" t="s">
        <v>298</v>
      </c>
      <c r="W1203" s="41"/>
      <c r="X1203" s="41"/>
      <c r="Y1203" s="34"/>
      <c r="Z1203" s="34"/>
      <c r="AA1203" s="35">
        <f>IF(TA[[#This Row],[Work Start time on Fault]]="NA","",(TA[[#This Row],[Fault Acknowledgement Time ]]-TA[[#This Row],[Fault Time]])*24)</f>
        <v>0</v>
      </c>
      <c r="AB1203" s="35">
        <f>(TA[[#This Row],[Work Start time on Fault]]-TA[[#This Row],[Fault Time]])*24</f>
        <v>0</v>
      </c>
      <c r="AC1203" s="34">
        <f>(TA[[#This Row],[Work Completion time on fault]]-TA[[#This Row],[Fault Time]])*24</f>
        <v>0</v>
      </c>
      <c r="AD1203" s="35">
        <f>IFERROR((TA[[#This Row],[Work Completion time on fault]]-TA[[#This Row],[Fault Time]])*24,"")</f>
        <v>0</v>
      </c>
      <c r="AE1203" t="s">
        <v>328</v>
      </c>
      <c r="AF1203" t="s">
        <v>256</v>
      </c>
      <c r="AG1203" s="2"/>
      <c r="AH1203" s="44">
        <f>1-COS(RADIANS(TA[[#This Row],[Avg. Target Angle during Fault Time (Radians)]]-TA[[#This Row],[Angle of affected equipment ]]))</f>
        <v>0.11705240714107301</v>
      </c>
      <c r="AI1203" s="35">
        <f>IFERROR(TA[[#This Row],[Breakdown Time]]*TA[[#This Row],[Plant Equivalent Weightage]],"")</f>
        <v>0</v>
      </c>
    </row>
    <row r="1204" spans="1:35">
      <c r="A1204" s="2">
        <f t="shared" si="131"/>
        <v>1201</v>
      </c>
      <c r="B1204" s="156">
        <f t="shared" si="132"/>
        <v>2026</v>
      </c>
      <c r="C1204" s="129">
        <f t="shared" si="133"/>
        <v>2025</v>
      </c>
      <c r="D1204" s="2" t="s">
        <v>155</v>
      </c>
      <c r="E1204" s="2" t="s">
        <v>155</v>
      </c>
      <c r="F1204" s="39">
        <v>45809</v>
      </c>
      <c r="G1204" s="2">
        <f>DAY(EOMONTH(TA[[#This Row],[Month Year]],0))</f>
        <v>30</v>
      </c>
      <c r="H1204" s="21">
        <v>45829</v>
      </c>
      <c r="I1204" s="41">
        <f>IFERROR(VLOOKUP(TA[[#This Row],[Date]],Raw_Data[[Date]:[Sunset Time (POA&lt;20 W/m2)]],3,0),"")</f>
        <v>0.25069444444444444</v>
      </c>
      <c r="J1204" s="41">
        <f>IFERROR(VLOOKUP(TA[[#This Row],[Date]],Raw_Data[[Date]:[Sunset Time (POA&lt;20 W/m2)]],4,0),"")</f>
        <v>0.77638888888888891</v>
      </c>
      <c r="K1204" s="35">
        <f>IFERROR((TA[[#This Row],[Sunset Time (POA&lt;20 W/m2)]]-TA[[#This Row],[Sunrise Time (POA&gt;20 W/m2)]])*24,"")</f>
        <v>12.616666666666667</v>
      </c>
      <c r="L1204" s="2" t="s">
        <v>294</v>
      </c>
      <c r="M1204" s="42">
        <f>IFERROR(VLOOKUP(TA[[#This Row],[Affected Equipment]],'Basic Data'!$I$2:$K$40,3,0),"")</f>
        <v>1.7241379310344799E-3</v>
      </c>
      <c r="N1204">
        <v>-28</v>
      </c>
      <c r="O1204" t="s">
        <v>137</v>
      </c>
      <c r="P1204" s="127" t="s">
        <v>315</v>
      </c>
      <c r="Q1204" s="126" t="s">
        <v>319</v>
      </c>
      <c r="R1204">
        <v>166</v>
      </c>
      <c r="S1204" s="2">
        <v>91</v>
      </c>
      <c r="T1204" t="s">
        <v>295</v>
      </c>
      <c r="U1204" t="s">
        <v>300</v>
      </c>
      <c r="V1204" t="s">
        <v>298</v>
      </c>
      <c r="W1204" s="41"/>
      <c r="X1204" s="41"/>
      <c r="Y1204" s="34"/>
      <c r="Z1204" s="34"/>
      <c r="AA1204" s="35">
        <f>IF(TA[[#This Row],[Work Start time on Fault]]="NA","",(TA[[#This Row],[Fault Acknowledgement Time ]]-TA[[#This Row],[Fault Time]])*24)</f>
        <v>0</v>
      </c>
      <c r="AB1204" s="35">
        <f>(TA[[#This Row],[Work Start time on Fault]]-TA[[#This Row],[Fault Time]])*24</f>
        <v>0</v>
      </c>
      <c r="AC1204" s="34">
        <f>(TA[[#This Row],[Work Completion time on fault]]-TA[[#This Row],[Fault Time]])*24</f>
        <v>0</v>
      </c>
      <c r="AD1204" s="35">
        <f>IFERROR((TA[[#This Row],[Work Completion time on fault]]-TA[[#This Row],[Fault Time]])*24,"")</f>
        <v>0</v>
      </c>
      <c r="AE1204" t="s">
        <v>328</v>
      </c>
      <c r="AF1204" t="s">
        <v>256</v>
      </c>
      <c r="AG1204" s="2"/>
      <c r="AH1204" s="44">
        <f>1-COS(RADIANS(TA[[#This Row],[Avg. Target Angle during Fault Time (Radians)]]-TA[[#This Row],[Angle of affected equipment ]]))</f>
        <v>0.11705240714107301</v>
      </c>
      <c r="AI1204" s="35">
        <f>IFERROR(TA[[#This Row],[Breakdown Time]]*TA[[#This Row],[Plant Equivalent Weightage]],"")</f>
        <v>0</v>
      </c>
    </row>
    <row r="1205" spans="1:35">
      <c r="A1205" s="2">
        <f t="shared" si="131"/>
        <v>1202</v>
      </c>
      <c r="B1205" s="156">
        <f t="shared" si="132"/>
        <v>2026</v>
      </c>
      <c r="C1205" s="129">
        <f t="shared" si="133"/>
        <v>2025</v>
      </c>
      <c r="D1205" s="2" t="s">
        <v>155</v>
      </c>
      <c r="E1205" s="2" t="s">
        <v>155</v>
      </c>
      <c r="F1205" s="39">
        <v>45809</v>
      </c>
      <c r="G1205" s="2">
        <f>DAY(EOMONTH(TA[[#This Row],[Month Year]],0))</f>
        <v>30</v>
      </c>
      <c r="H1205" s="21">
        <v>45829</v>
      </c>
      <c r="I1205" s="41">
        <f>IFERROR(VLOOKUP(TA[[#This Row],[Date]],Raw_Data[[Date]:[Sunset Time (POA&lt;20 W/m2)]],3,0),"")</f>
        <v>0.25069444444444444</v>
      </c>
      <c r="J1205" s="41">
        <f>IFERROR(VLOOKUP(TA[[#This Row],[Date]],Raw_Data[[Date]:[Sunset Time (POA&lt;20 W/m2)]],4,0),"")</f>
        <v>0.77638888888888891</v>
      </c>
      <c r="K1205" s="35">
        <f>IFERROR((TA[[#This Row],[Sunset Time (POA&lt;20 W/m2)]]-TA[[#This Row],[Sunrise Time (POA&gt;20 W/m2)]])*24,"")</f>
        <v>12.616666666666667</v>
      </c>
      <c r="L1205" s="2" t="s">
        <v>294</v>
      </c>
      <c r="M1205" s="42">
        <f>IFERROR(VLOOKUP(TA[[#This Row],[Affected Equipment]],'Basic Data'!$I$2:$K$40,3,0),"")</f>
        <v>1.7241379310344799E-3</v>
      </c>
      <c r="N1205">
        <v>-28</v>
      </c>
      <c r="O1205" t="s">
        <v>133</v>
      </c>
      <c r="P1205" s="127" t="s">
        <v>316</v>
      </c>
      <c r="Q1205" s="126" t="s">
        <v>316</v>
      </c>
      <c r="R1205">
        <v>117</v>
      </c>
      <c r="S1205" s="2">
        <v>20</v>
      </c>
      <c r="T1205" t="s">
        <v>295</v>
      </c>
      <c r="U1205" t="s">
        <v>300</v>
      </c>
      <c r="V1205" t="s">
        <v>298</v>
      </c>
      <c r="W1205" s="41"/>
      <c r="X1205" s="41"/>
      <c r="Y1205" s="34"/>
      <c r="Z1205" s="34"/>
      <c r="AA1205" s="35">
        <f>IF(TA[[#This Row],[Work Start time on Fault]]="NA","",(TA[[#This Row],[Fault Acknowledgement Time ]]-TA[[#This Row],[Fault Time]])*24)</f>
        <v>0</v>
      </c>
      <c r="AB1205" s="35">
        <f>(TA[[#This Row],[Work Start time on Fault]]-TA[[#This Row],[Fault Time]])*24</f>
        <v>0</v>
      </c>
      <c r="AC1205" s="34">
        <f>(TA[[#This Row],[Work Completion time on fault]]-TA[[#This Row],[Fault Time]])*24</f>
        <v>0</v>
      </c>
      <c r="AD1205" s="35">
        <f>IFERROR((TA[[#This Row],[Work Completion time on fault]]-TA[[#This Row],[Fault Time]])*24,"")</f>
        <v>0</v>
      </c>
      <c r="AE1205" t="s">
        <v>328</v>
      </c>
      <c r="AF1205" t="s">
        <v>256</v>
      </c>
      <c r="AG1205" s="2"/>
      <c r="AH1205" s="44">
        <f>1-COS(RADIANS(TA[[#This Row],[Avg. Target Angle during Fault Time (Radians)]]-TA[[#This Row],[Angle of affected equipment ]]))</f>
        <v>0.11705240714107301</v>
      </c>
      <c r="AI1205" s="35">
        <f>IFERROR(TA[[#This Row],[Breakdown Time]]*TA[[#This Row],[Plant Equivalent Weightage]],"")</f>
        <v>0</v>
      </c>
    </row>
    <row r="1206" spans="1:35">
      <c r="A1206" s="2">
        <f t="shared" si="131"/>
        <v>1203</v>
      </c>
      <c r="B1206" s="156">
        <f t="shared" si="132"/>
        <v>2026</v>
      </c>
      <c r="C1206" s="129">
        <f t="shared" si="133"/>
        <v>2025</v>
      </c>
      <c r="D1206" s="2" t="s">
        <v>155</v>
      </c>
      <c r="E1206" s="2" t="s">
        <v>155</v>
      </c>
      <c r="F1206" s="39">
        <v>45809</v>
      </c>
      <c r="G1206" s="2">
        <f>DAY(EOMONTH(TA[[#This Row],[Month Year]],0))</f>
        <v>30</v>
      </c>
      <c r="H1206" s="21">
        <v>45829</v>
      </c>
      <c r="I1206" s="41">
        <f>IFERROR(VLOOKUP(TA[[#This Row],[Date]],Raw_Data[[Date]:[Sunset Time (POA&lt;20 W/m2)]],3,0),"")</f>
        <v>0.25069444444444444</v>
      </c>
      <c r="J1206" s="41">
        <f>IFERROR(VLOOKUP(TA[[#This Row],[Date]],Raw_Data[[Date]:[Sunset Time (POA&lt;20 W/m2)]],4,0),"")</f>
        <v>0.77638888888888891</v>
      </c>
      <c r="K1206" s="35">
        <f>IFERROR((TA[[#This Row],[Sunset Time (POA&lt;20 W/m2)]]-TA[[#This Row],[Sunrise Time (POA&gt;20 W/m2)]])*24,"")</f>
        <v>12.616666666666667</v>
      </c>
      <c r="L1206" s="2" t="s">
        <v>294</v>
      </c>
      <c r="M1206" s="42">
        <f>IFERROR(VLOOKUP(TA[[#This Row],[Affected Equipment]],'Basic Data'!$I$2:$K$40,3,0),"")</f>
        <v>1.7241379310344799E-3</v>
      </c>
      <c r="N1206">
        <v>-28</v>
      </c>
      <c r="O1206" t="s">
        <v>133</v>
      </c>
      <c r="P1206" s="127" t="s">
        <v>316</v>
      </c>
      <c r="Q1206" s="126" t="s">
        <v>316</v>
      </c>
      <c r="R1206">
        <v>118</v>
      </c>
      <c r="S1206" s="2">
        <v>22</v>
      </c>
      <c r="T1206" t="s">
        <v>295</v>
      </c>
      <c r="U1206" t="s">
        <v>300</v>
      </c>
      <c r="V1206" t="s">
        <v>298</v>
      </c>
      <c r="W1206" s="41"/>
      <c r="X1206" s="41"/>
      <c r="Y1206" s="34"/>
      <c r="Z1206" s="34"/>
      <c r="AA1206" s="35">
        <f>IF(TA[[#This Row],[Work Start time on Fault]]="NA","",(TA[[#This Row],[Fault Acknowledgement Time ]]-TA[[#This Row],[Fault Time]])*24)</f>
        <v>0</v>
      </c>
      <c r="AB1206" s="35">
        <f>(TA[[#This Row],[Work Start time on Fault]]-TA[[#This Row],[Fault Time]])*24</f>
        <v>0</v>
      </c>
      <c r="AC1206" s="34">
        <f>(TA[[#This Row],[Work Completion time on fault]]-TA[[#This Row],[Fault Time]])*24</f>
        <v>0</v>
      </c>
      <c r="AD1206" s="35">
        <f>IFERROR((TA[[#This Row],[Work Completion time on fault]]-TA[[#This Row],[Fault Time]])*24,"")</f>
        <v>0</v>
      </c>
      <c r="AE1206" t="s">
        <v>328</v>
      </c>
      <c r="AF1206" t="s">
        <v>256</v>
      </c>
      <c r="AG1206" s="2"/>
      <c r="AH1206" s="44">
        <f>1-COS(RADIANS(TA[[#This Row],[Avg. Target Angle during Fault Time (Radians)]]-TA[[#This Row],[Angle of affected equipment ]]))</f>
        <v>0.11705240714107301</v>
      </c>
      <c r="AI1206" s="35">
        <f>IFERROR(TA[[#This Row],[Breakdown Time]]*TA[[#This Row],[Plant Equivalent Weightage]],"")</f>
        <v>0</v>
      </c>
    </row>
    <row r="1207" spans="1:35">
      <c r="A1207" s="2">
        <f t="shared" si="131"/>
        <v>1204</v>
      </c>
      <c r="B1207" s="156">
        <f t="shared" si="132"/>
        <v>2026</v>
      </c>
      <c r="C1207" s="129">
        <f t="shared" si="133"/>
        <v>2025</v>
      </c>
      <c r="D1207" s="2" t="s">
        <v>155</v>
      </c>
      <c r="E1207" s="2" t="s">
        <v>155</v>
      </c>
      <c r="F1207" s="39">
        <v>45809</v>
      </c>
      <c r="G1207" s="2">
        <f>DAY(EOMONTH(TA[[#This Row],[Month Year]],0))</f>
        <v>30</v>
      </c>
      <c r="H1207" s="21">
        <v>45829</v>
      </c>
      <c r="I1207" s="41">
        <f>IFERROR(VLOOKUP(TA[[#This Row],[Date]],Raw_Data[[Date]:[Sunset Time (POA&lt;20 W/m2)]],3,0),"")</f>
        <v>0.25069444444444444</v>
      </c>
      <c r="J1207" s="41">
        <f>IFERROR(VLOOKUP(TA[[#This Row],[Date]],Raw_Data[[Date]:[Sunset Time (POA&lt;20 W/m2)]],4,0),"")</f>
        <v>0.77638888888888891</v>
      </c>
      <c r="K1207" s="35">
        <f>IFERROR((TA[[#This Row],[Sunset Time (POA&lt;20 W/m2)]]-TA[[#This Row],[Sunrise Time (POA&gt;20 W/m2)]])*24,"")</f>
        <v>12.616666666666667</v>
      </c>
      <c r="L1207" s="2" t="s">
        <v>296</v>
      </c>
      <c r="M1207" s="42">
        <f>IFERROR(VLOOKUP(TA[[#This Row],[Affected Equipment]],'Basic Data'!$I$2:$K$40,3,0),"")</f>
        <v>8.6206896551724102E-3</v>
      </c>
      <c r="N1207">
        <v>-28</v>
      </c>
      <c r="O1207" t="s">
        <v>135</v>
      </c>
      <c r="P1207" s="22" t="s">
        <v>323</v>
      </c>
      <c r="Q1207" s="2" t="s">
        <v>329</v>
      </c>
      <c r="R1207">
        <v>45</v>
      </c>
      <c r="S1207" s="2">
        <v>8</v>
      </c>
      <c r="T1207" t="s">
        <v>297</v>
      </c>
      <c r="U1207" t="s">
        <v>300</v>
      </c>
      <c r="V1207" t="s">
        <v>301</v>
      </c>
      <c r="W1207" s="41"/>
      <c r="X1207" s="41"/>
      <c r="Y1207" s="34"/>
      <c r="Z1207" s="34"/>
      <c r="AA1207" s="35">
        <f>IF(TA[[#This Row],[Work Start time on Fault]]="NA","",(TA[[#This Row],[Fault Acknowledgement Time ]]-TA[[#This Row],[Fault Time]])*24)</f>
        <v>0</v>
      </c>
      <c r="AB1207" s="35">
        <f>(TA[[#This Row],[Work Start time on Fault]]-TA[[#This Row],[Fault Time]])*24</f>
        <v>0</v>
      </c>
      <c r="AC1207" s="34">
        <f>(TA[[#This Row],[Work Completion time on fault]]-TA[[#This Row],[Fault Time]])*24</f>
        <v>0</v>
      </c>
      <c r="AD1207" s="35">
        <f>IFERROR((TA[[#This Row],[Work Completion time on fault]]-TA[[#This Row],[Fault Time]])*24,"")</f>
        <v>0</v>
      </c>
      <c r="AE1207" t="s">
        <v>328</v>
      </c>
      <c r="AF1207" t="s">
        <v>256</v>
      </c>
      <c r="AG1207" s="2"/>
      <c r="AH1207" s="44">
        <f>1-COS(RADIANS(TA[[#This Row],[Avg. Target Angle during Fault Time (Radians)]]-TA[[#This Row],[Angle of affected equipment ]]))</f>
        <v>0.11705240714107301</v>
      </c>
      <c r="AI1207" s="35">
        <f>IFERROR(TA[[#This Row],[Breakdown Time]]*TA[[#This Row],[Plant Equivalent Weightage]],"")</f>
        <v>0</v>
      </c>
    </row>
    <row r="1208" spans="1:35">
      <c r="A1208" s="2">
        <f t="shared" si="131"/>
        <v>1205</v>
      </c>
      <c r="B1208" s="156">
        <f t="shared" si="132"/>
        <v>2026</v>
      </c>
      <c r="C1208" s="129">
        <f t="shared" si="133"/>
        <v>2025</v>
      </c>
      <c r="D1208" s="2" t="s">
        <v>155</v>
      </c>
      <c r="E1208" s="2" t="s">
        <v>155</v>
      </c>
      <c r="F1208" s="39">
        <v>45809</v>
      </c>
      <c r="G1208" s="2">
        <f>DAY(EOMONTH(TA[[#This Row],[Month Year]],0))</f>
        <v>30</v>
      </c>
      <c r="H1208" s="21">
        <v>45829</v>
      </c>
      <c r="I1208" s="41">
        <f>IFERROR(VLOOKUP(TA[[#This Row],[Date]],Raw_Data[[Date]:[Sunset Time (POA&lt;20 W/m2)]],3,0),"")</f>
        <v>0.25069444444444444</v>
      </c>
      <c r="J1208" s="41">
        <f>IFERROR(VLOOKUP(TA[[#This Row],[Date]],Raw_Data[[Date]:[Sunset Time (POA&lt;20 W/m2)]],4,0),"")</f>
        <v>0.77638888888888891</v>
      </c>
      <c r="K1208" s="35">
        <f>IFERROR((TA[[#This Row],[Sunset Time (POA&lt;20 W/m2)]]-TA[[#This Row],[Sunrise Time (POA&gt;20 W/m2)]])*24,"")</f>
        <v>12.616666666666667</v>
      </c>
      <c r="L1208" s="2" t="s">
        <v>296</v>
      </c>
      <c r="M1208" s="42">
        <f>IFERROR(VLOOKUP(TA[[#This Row],[Affected Equipment]],'Basic Data'!$I$2:$K$40,3,0),"")</f>
        <v>8.6206896551724102E-3</v>
      </c>
      <c r="N1208">
        <v>-28</v>
      </c>
      <c r="O1208" t="s">
        <v>135</v>
      </c>
      <c r="P1208" s="22" t="s">
        <v>323</v>
      </c>
      <c r="Q1208" s="2" t="s">
        <v>329</v>
      </c>
      <c r="R1208">
        <v>47</v>
      </c>
      <c r="S1208" s="2">
        <v>18</v>
      </c>
      <c r="T1208" t="s">
        <v>297</v>
      </c>
      <c r="U1208" t="s">
        <v>300</v>
      </c>
      <c r="V1208" t="s">
        <v>301</v>
      </c>
      <c r="W1208" s="41"/>
      <c r="X1208" s="41"/>
      <c r="Y1208" s="34"/>
      <c r="Z1208" s="34"/>
      <c r="AA1208" s="35">
        <f>IF(TA[[#This Row],[Work Start time on Fault]]="NA","",(TA[[#This Row],[Fault Acknowledgement Time ]]-TA[[#This Row],[Fault Time]])*24)</f>
        <v>0</v>
      </c>
      <c r="AB1208" s="35">
        <f>(TA[[#This Row],[Work Start time on Fault]]-TA[[#This Row],[Fault Time]])*24</f>
        <v>0</v>
      </c>
      <c r="AC1208" s="34">
        <f>(TA[[#This Row],[Work Completion time on fault]]-TA[[#This Row],[Fault Time]])*24</f>
        <v>0</v>
      </c>
      <c r="AD1208" s="35">
        <f>IFERROR((TA[[#This Row],[Work Completion time on fault]]-TA[[#This Row],[Fault Time]])*24,"")</f>
        <v>0</v>
      </c>
      <c r="AE1208" t="s">
        <v>328</v>
      </c>
      <c r="AF1208" t="s">
        <v>256</v>
      </c>
      <c r="AG1208" s="2"/>
      <c r="AH1208" s="44">
        <f>1-COS(RADIANS(TA[[#This Row],[Avg. Target Angle during Fault Time (Radians)]]-TA[[#This Row],[Angle of affected equipment ]]))</f>
        <v>0.11705240714107301</v>
      </c>
      <c r="AI1208" s="35">
        <f>IFERROR(TA[[#This Row],[Breakdown Time]]*TA[[#This Row],[Plant Equivalent Weightage]],"")</f>
        <v>0</v>
      </c>
    </row>
    <row r="1209" spans="1:35">
      <c r="A1209" s="2">
        <f t="shared" si="131"/>
        <v>1206</v>
      </c>
      <c r="B1209" s="156">
        <f t="shared" si="132"/>
        <v>2026</v>
      </c>
      <c r="C1209" s="129">
        <f t="shared" si="133"/>
        <v>2025</v>
      </c>
      <c r="D1209" s="2" t="s">
        <v>155</v>
      </c>
      <c r="E1209" s="2" t="s">
        <v>155</v>
      </c>
      <c r="F1209" s="39">
        <v>45809</v>
      </c>
      <c r="G1209" s="2">
        <f>DAY(EOMONTH(TA[[#This Row],[Month Year]],0))</f>
        <v>30</v>
      </c>
      <c r="H1209" s="21">
        <v>45829</v>
      </c>
      <c r="I1209" s="41">
        <f>IFERROR(VLOOKUP(TA[[#This Row],[Date]],Raw_Data[[Date]:[Sunset Time (POA&lt;20 W/m2)]],3,0),"")</f>
        <v>0.25069444444444444</v>
      </c>
      <c r="J1209" s="41">
        <f>IFERROR(VLOOKUP(TA[[#This Row],[Date]],Raw_Data[[Date]:[Sunset Time (POA&lt;20 W/m2)]],4,0),"")</f>
        <v>0.77638888888888891</v>
      </c>
      <c r="K1209" s="35">
        <f>IFERROR((TA[[#This Row],[Sunset Time (POA&lt;20 W/m2)]]-TA[[#This Row],[Sunrise Time (POA&gt;20 W/m2)]])*24,"")</f>
        <v>12.616666666666667</v>
      </c>
      <c r="L1209" s="2" t="s">
        <v>296</v>
      </c>
      <c r="M1209" s="42">
        <f>IFERROR(VLOOKUP(TA[[#This Row],[Affected Equipment]],'Basic Data'!$I$2:$K$40,3,0),"")</f>
        <v>8.6206896551724102E-3</v>
      </c>
      <c r="N1209">
        <v>-28</v>
      </c>
      <c r="O1209" t="s">
        <v>134</v>
      </c>
      <c r="P1209" s="22" t="s">
        <v>330</v>
      </c>
      <c r="Q1209" s="2" t="s">
        <v>323</v>
      </c>
      <c r="R1209">
        <v>30</v>
      </c>
      <c r="S1209" s="2">
        <v>57</v>
      </c>
      <c r="T1209" t="s">
        <v>297</v>
      </c>
      <c r="U1209" t="s">
        <v>300</v>
      </c>
      <c r="V1209" t="s">
        <v>301</v>
      </c>
      <c r="W1209" s="41"/>
      <c r="X1209" s="41"/>
      <c r="Y1209" s="34"/>
      <c r="Z1209" s="34"/>
      <c r="AA1209" s="35">
        <f>IF(TA[[#This Row],[Work Start time on Fault]]="NA","",(TA[[#This Row],[Fault Acknowledgement Time ]]-TA[[#This Row],[Fault Time]])*24)</f>
        <v>0</v>
      </c>
      <c r="AB1209" s="35">
        <f>(TA[[#This Row],[Work Start time on Fault]]-TA[[#This Row],[Fault Time]])*24</f>
        <v>0</v>
      </c>
      <c r="AC1209" s="34">
        <f>(TA[[#This Row],[Work Completion time on fault]]-TA[[#This Row],[Fault Time]])*24</f>
        <v>0</v>
      </c>
      <c r="AD1209" s="35">
        <f>IFERROR((TA[[#This Row],[Work Completion time on fault]]-TA[[#This Row],[Fault Time]])*24,"")</f>
        <v>0</v>
      </c>
      <c r="AE1209" t="s">
        <v>328</v>
      </c>
      <c r="AF1209" t="s">
        <v>256</v>
      </c>
      <c r="AG1209" s="2"/>
      <c r="AH1209" s="44">
        <f>1-COS(RADIANS(TA[[#This Row],[Avg. Target Angle during Fault Time (Radians)]]-TA[[#This Row],[Angle of affected equipment ]]))</f>
        <v>0.11705240714107301</v>
      </c>
      <c r="AI1209" s="35">
        <f>IFERROR(TA[[#This Row],[Breakdown Time]]*TA[[#This Row],[Plant Equivalent Weightage]],"")</f>
        <v>0</v>
      </c>
    </row>
    <row r="1210" spans="1:35">
      <c r="A1210" s="2">
        <f t="shared" si="131"/>
        <v>1207</v>
      </c>
      <c r="B1210" s="156">
        <f t="shared" si="132"/>
        <v>2026</v>
      </c>
      <c r="C1210" s="129">
        <f t="shared" si="133"/>
        <v>2025</v>
      </c>
      <c r="D1210" s="2" t="s">
        <v>155</v>
      </c>
      <c r="E1210" s="2" t="s">
        <v>155</v>
      </c>
      <c r="F1210" s="39">
        <v>45809</v>
      </c>
      <c r="G1210" s="2">
        <f>DAY(EOMONTH(TA[[#This Row],[Month Year]],0))</f>
        <v>30</v>
      </c>
      <c r="H1210" s="21">
        <v>45829</v>
      </c>
      <c r="I1210" s="41">
        <f>IFERROR(VLOOKUP(TA[[#This Row],[Date]],Raw_Data[[Date]:[Sunset Time (POA&lt;20 W/m2)]],3,0),"")</f>
        <v>0.25069444444444444</v>
      </c>
      <c r="J1210" s="41">
        <f>IFERROR(VLOOKUP(TA[[#This Row],[Date]],Raw_Data[[Date]:[Sunset Time (POA&lt;20 W/m2)]],4,0),"")</f>
        <v>0.77638888888888891</v>
      </c>
      <c r="K1210" s="35">
        <f>IFERROR((TA[[#This Row],[Sunset Time (POA&lt;20 W/m2)]]-TA[[#This Row],[Sunrise Time (POA&gt;20 W/m2)]])*24,"")</f>
        <v>12.616666666666667</v>
      </c>
      <c r="L1210" s="2" t="s">
        <v>296</v>
      </c>
      <c r="M1210" s="42">
        <f>IFERROR(VLOOKUP(TA[[#This Row],[Affected Equipment]],'Basic Data'!$I$2:$K$40,3,0),"")</f>
        <v>8.6206896551724102E-3</v>
      </c>
      <c r="N1210">
        <v>-28</v>
      </c>
      <c r="O1210" t="s">
        <v>134</v>
      </c>
      <c r="P1210" s="22" t="s">
        <v>330</v>
      </c>
      <c r="Q1210" s="2" t="s">
        <v>323</v>
      </c>
      <c r="R1210">
        <v>31</v>
      </c>
      <c r="S1210" s="2">
        <v>61</v>
      </c>
      <c r="T1210" t="s">
        <v>297</v>
      </c>
      <c r="U1210" t="s">
        <v>300</v>
      </c>
      <c r="V1210" t="s">
        <v>301</v>
      </c>
      <c r="W1210" s="41"/>
      <c r="X1210" s="41"/>
      <c r="Y1210" s="34"/>
      <c r="Z1210" s="34"/>
      <c r="AA1210" s="35">
        <f>IF(TA[[#This Row],[Work Start time on Fault]]="NA","",(TA[[#This Row],[Fault Acknowledgement Time ]]-TA[[#This Row],[Fault Time]])*24)</f>
        <v>0</v>
      </c>
      <c r="AB1210" s="35">
        <f>(TA[[#This Row],[Work Start time on Fault]]-TA[[#This Row],[Fault Time]])*24</f>
        <v>0</v>
      </c>
      <c r="AC1210" s="34">
        <f>(TA[[#This Row],[Work Completion time on fault]]-TA[[#This Row],[Fault Time]])*24</f>
        <v>0</v>
      </c>
      <c r="AD1210" s="35">
        <f>IFERROR((TA[[#This Row],[Work Completion time on fault]]-TA[[#This Row],[Fault Time]])*24,"")</f>
        <v>0</v>
      </c>
      <c r="AE1210" t="s">
        <v>328</v>
      </c>
      <c r="AF1210" t="s">
        <v>256</v>
      </c>
      <c r="AG1210" s="2"/>
      <c r="AH1210" s="44">
        <f>1-COS(RADIANS(TA[[#This Row],[Avg. Target Angle during Fault Time (Radians)]]-TA[[#This Row],[Angle of affected equipment ]]))</f>
        <v>0.11705240714107301</v>
      </c>
      <c r="AI1210" s="35">
        <f>IFERROR(TA[[#This Row],[Breakdown Time]]*TA[[#This Row],[Plant Equivalent Weightage]],"")</f>
        <v>0</v>
      </c>
    </row>
    <row r="1211" spans="1:35">
      <c r="A1211" s="2">
        <f t="shared" si="131"/>
        <v>1208</v>
      </c>
      <c r="B1211" s="156">
        <f t="shared" si="132"/>
        <v>2026</v>
      </c>
      <c r="C1211" s="129">
        <f t="shared" si="133"/>
        <v>2025</v>
      </c>
      <c r="D1211" s="2" t="s">
        <v>155</v>
      </c>
      <c r="E1211" s="2" t="s">
        <v>155</v>
      </c>
      <c r="F1211" s="39">
        <v>45809</v>
      </c>
      <c r="G1211" s="2">
        <f>DAY(EOMONTH(TA[[#This Row],[Month Year]],0))</f>
        <v>30</v>
      </c>
      <c r="H1211" s="21">
        <v>45829</v>
      </c>
      <c r="I1211" s="41">
        <f>IFERROR(VLOOKUP(TA[[#This Row],[Date]],Raw_Data[[Date]:[Sunset Time (POA&lt;20 W/m2)]],3,0),"")</f>
        <v>0.25069444444444444</v>
      </c>
      <c r="J1211" s="41">
        <f>IFERROR(VLOOKUP(TA[[#This Row],[Date]],Raw_Data[[Date]:[Sunset Time (POA&lt;20 W/m2)]],4,0),"")</f>
        <v>0.77638888888888891</v>
      </c>
      <c r="K1211" s="35">
        <f>IFERROR((TA[[#This Row],[Sunset Time (POA&lt;20 W/m2)]]-TA[[#This Row],[Sunrise Time (POA&gt;20 W/m2)]])*24,"")</f>
        <v>12.616666666666667</v>
      </c>
      <c r="L1211" s="2" t="s">
        <v>312</v>
      </c>
      <c r="M1211" s="42">
        <f>IFERROR(VLOOKUP(TA[[#This Row],[Affected Equipment]],'Basic Data'!$I$2:$K$40,3,0),"")</f>
        <v>5.74712643678161E-3</v>
      </c>
      <c r="N1211">
        <v>-28</v>
      </c>
      <c r="O1211" t="s">
        <v>133</v>
      </c>
      <c r="P1211" s="22" t="s">
        <v>330</v>
      </c>
      <c r="Q1211" s="2" t="s">
        <v>323</v>
      </c>
      <c r="R1211">
        <v>26</v>
      </c>
      <c r="S1211" s="2">
        <v>37</v>
      </c>
      <c r="T1211" t="s">
        <v>297</v>
      </c>
      <c r="U1211" t="s">
        <v>300</v>
      </c>
      <c r="V1211" t="s">
        <v>301</v>
      </c>
      <c r="W1211" s="41"/>
      <c r="X1211" s="41"/>
      <c r="Y1211" s="34"/>
      <c r="Z1211" s="34"/>
      <c r="AA1211" s="35">
        <f>IF(TA[[#This Row],[Work Start time on Fault]]="NA","",(TA[[#This Row],[Fault Acknowledgement Time ]]-TA[[#This Row],[Fault Time]])*24)</f>
        <v>0</v>
      </c>
      <c r="AB1211" s="35">
        <f>(TA[[#This Row],[Work Start time on Fault]]-TA[[#This Row],[Fault Time]])*24</f>
        <v>0</v>
      </c>
      <c r="AC1211" s="34">
        <f>(TA[[#This Row],[Work Completion time on fault]]-TA[[#This Row],[Fault Time]])*24</f>
        <v>0</v>
      </c>
      <c r="AD1211" s="35">
        <f>IFERROR((TA[[#This Row],[Work Completion time on fault]]-TA[[#This Row],[Fault Time]])*24,"")</f>
        <v>0</v>
      </c>
      <c r="AE1211" t="s">
        <v>328</v>
      </c>
      <c r="AF1211" t="s">
        <v>256</v>
      </c>
      <c r="AG1211" s="2"/>
      <c r="AH1211" s="44">
        <f>1-COS(RADIANS(TA[[#This Row],[Avg. Target Angle during Fault Time (Radians)]]-TA[[#This Row],[Angle of affected equipment ]]))</f>
        <v>0.11705240714107301</v>
      </c>
      <c r="AI1211" s="35">
        <f>IFERROR(TA[[#This Row],[Breakdown Time]]*TA[[#This Row],[Plant Equivalent Weightage]],"")</f>
        <v>0</v>
      </c>
    </row>
    <row r="1212" spans="1:35">
      <c r="A1212" s="2">
        <f t="shared" si="131"/>
        <v>1209</v>
      </c>
      <c r="B1212" s="156">
        <f t="shared" si="132"/>
        <v>2026</v>
      </c>
      <c r="C1212" s="129">
        <f t="shared" si="133"/>
        <v>2025</v>
      </c>
      <c r="D1212" s="2" t="s">
        <v>155</v>
      </c>
      <c r="E1212" s="2" t="s">
        <v>155</v>
      </c>
      <c r="F1212" s="39">
        <v>45809</v>
      </c>
      <c r="G1212" s="2">
        <f>DAY(EOMONTH(TA[[#This Row],[Month Year]],0))</f>
        <v>30</v>
      </c>
      <c r="H1212" s="21">
        <v>45829</v>
      </c>
      <c r="I1212" s="41">
        <f>IFERROR(VLOOKUP(TA[[#This Row],[Date]],Raw_Data[[Date]:[Sunset Time (POA&lt;20 W/m2)]],3,0),"")</f>
        <v>0.25069444444444444</v>
      </c>
      <c r="J1212" s="41">
        <f>IFERROR(VLOOKUP(TA[[#This Row],[Date]],Raw_Data[[Date]:[Sunset Time (POA&lt;20 W/m2)]],4,0),"")</f>
        <v>0.77638888888888891</v>
      </c>
      <c r="K1212" s="35">
        <f>IFERROR((TA[[#This Row],[Sunset Time (POA&lt;20 W/m2)]]-TA[[#This Row],[Sunrise Time (POA&gt;20 W/m2)]])*24,"")</f>
        <v>12.616666666666667</v>
      </c>
      <c r="L1212" s="2" t="s">
        <v>312</v>
      </c>
      <c r="M1212" s="42">
        <f>IFERROR(VLOOKUP(TA[[#This Row],[Affected Equipment]],'Basic Data'!$I$2:$K$40,3,0),"")</f>
        <v>5.74712643678161E-3</v>
      </c>
      <c r="N1212">
        <v>-28</v>
      </c>
      <c r="O1212" t="s">
        <v>133</v>
      </c>
      <c r="P1212" s="22" t="s">
        <v>330</v>
      </c>
      <c r="Q1212" s="2" t="s">
        <v>323</v>
      </c>
      <c r="R1212">
        <v>27</v>
      </c>
      <c r="S1212" s="2">
        <v>42</v>
      </c>
      <c r="T1212" t="s">
        <v>297</v>
      </c>
      <c r="U1212" t="s">
        <v>300</v>
      </c>
      <c r="V1212" t="s">
        <v>301</v>
      </c>
      <c r="W1212" s="41">
        <f>IFERROR(VLOOKUP(TA[[#This Row],[Date]],Raw_Data[[Date]:[Sunset Time (POA&lt;20 W/m2)]],3,0),"")</f>
        <v>0.25069444444444444</v>
      </c>
      <c r="X1212" s="41">
        <f>IFERROR(VLOOKUP(TA[[#This Row],[Date]],Raw_Data[[Date]:[Sunset Time (POA&lt;20 W/m2)]],3,0),"")</f>
        <v>0.25069444444444444</v>
      </c>
      <c r="Y1212" s="34"/>
      <c r="Z1212" s="34">
        <v>0.76041666666666663</v>
      </c>
      <c r="AA1212" s="35">
        <f>IF(TA[[#This Row],[Work Start time on Fault]]="NA","",(TA[[#This Row],[Fault Acknowledgement Time ]]-TA[[#This Row],[Fault Time]])*24)</f>
        <v>0</v>
      </c>
      <c r="AB1212" s="35">
        <f>(TA[[#This Row],[Work Start time on Fault]]-TA[[#This Row],[Fault Time]])*24</f>
        <v>-6.0166666666666666</v>
      </c>
      <c r="AC1212" s="34">
        <f>(TA[[#This Row],[Work Completion time on fault]]-TA[[#This Row],[Fault Time]])*24</f>
        <v>12.233333333333333</v>
      </c>
      <c r="AD1212" s="35">
        <f>IFERROR((TA[[#This Row],[Work Completion time on fault]]-TA[[#This Row],[Fault Time]])*24,"")</f>
        <v>12.233333333333333</v>
      </c>
      <c r="AE1212" t="s">
        <v>309</v>
      </c>
      <c r="AF1212" t="s">
        <v>256</v>
      </c>
      <c r="AG1212" s="2"/>
      <c r="AH1212" s="44">
        <f>1-COS(RADIANS(TA[[#This Row],[Avg. Target Angle during Fault Time (Radians)]]-TA[[#This Row],[Angle of affected equipment ]]))</f>
        <v>0.11705240714107301</v>
      </c>
      <c r="AI1212" s="35">
        <f>IFERROR(TA[[#This Row],[Breakdown Time]]*TA[[#This Row],[Plant Equivalent Weightage]],"")</f>
        <v>7.0306513409961691E-2</v>
      </c>
    </row>
    <row r="1213" spans="1:35">
      <c r="A1213" s="2">
        <f t="shared" si="131"/>
        <v>1210</v>
      </c>
      <c r="B1213" s="156">
        <f t="shared" ref="B1213:B1225" si="134">YEAR(H1213)+IF(MONTH(H1213)&gt;=4,1,0)</f>
        <v>2026</v>
      </c>
      <c r="C1213" s="129">
        <f t="shared" ref="C1213:C1225" si="135">YEAR(H1213)</f>
        <v>2025</v>
      </c>
      <c r="D1213" s="2" t="s">
        <v>155</v>
      </c>
      <c r="E1213" s="2" t="s">
        <v>155</v>
      </c>
      <c r="F1213" s="39">
        <v>45809</v>
      </c>
      <c r="G1213" s="2">
        <f>DAY(EOMONTH(TA[[#This Row],[Month Year]],0))</f>
        <v>30</v>
      </c>
      <c r="H1213" s="21">
        <v>45830</v>
      </c>
      <c r="I1213" s="41">
        <f>IFERROR(VLOOKUP(TA[[#This Row],[Date]],Raw_Data[[Date]:[Sunset Time (POA&lt;20 W/m2)]],3,0),"")</f>
        <v>0.24652777777777779</v>
      </c>
      <c r="J1213" s="41">
        <f>IFERROR(VLOOKUP(TA[[#This Row],[Date]],Raw_Data[[Date]:[Sunset Time (POA&lt;20 W/m2)]],4,0),"")</f>
        <v>0.77430555555555558</v>
      </c>
      <c r="K1213" s="35">
        <f>IFERROR((TA[[#This Row],[Sunset Time (POA&lt;20 W/m2)]]-TA[[#This Row],[Sunrise Time (POA&gt;20 W/m2)]])*24,"")</f>
        <v>12.666666666666668</v>
      </c>
      <c r="L1213" s="2" t="s">
        <v>294</v>
      </c>
      <c r="M1213" s="42">
        <f>IFERROR(VLOOKUP(TA[[#This Row],[Affected Equipment]],'Basic Data'!$I$2:$K$40,3,0),"")</f>
        <v>1.7241379310344799E-3</v>
      </c>
      <c r="N1213">
        <v>-28</v>
      </c>
      <c r="O1213" t="s">
        <v>135</v>
      </c>
      <c r="P1213" s="127" t="s">
        <v>318</v>
      </c>
      <c r="Q1213" s="126" t="s">
        <v>318</v>
      </c>
      <c r="R1213">
        <v>131</v>
      </c>
      <c r="S1213" s="2">
        <v>38</v>
      </c>
      <c r="T1213" t="s">
        <v>295</v>
      </c>
      <c r="U1213" t="s">
        <v>300</v>
      </c>
      <c r="V1213" t="s">
        <v>298</v>
      </c>
      <c r="W1213" s="41"/>
      <c r="X1213" s="41"/>
      <c r="Y1213" s="34"/>
      <c r="Z1213" s="34"/>
      <c r="AA1213" s="35">
        <f>IF(TA[[#This Row],[Work Start time on Fault]]="NA","",(TA[[#This Row],[Fault Acknowledgement Time ]]-TA[[#This Row],[Fault Time]])*24)</f>
        <v>0</v>
      </c>
      <c r="AB1213" s="35">
        <f>(TA[[#This Row],[Work Start time on Fault]]-TA[[#This Row],[Fault Time]])*24</f>
        <v>0</v>
      </c>
      <c r="AC1213" s="34">
        <f>(TA[[#This Row],[Work Completion time on fault]]-TA[[#This Row],[Fault Time]])*24</f>
        <v>0</v>
      </c>
      <c r="AD1213" s="35">
        <f>IFERROR((TA[[#This Row],[Work Completion time on fault]]-TA[[#This Row],[Fault Time]])*24,"")</f>
        <v>0</v>
      </c>
      <c r="AE1213" t="s">
        <v>328</v>
      </c>
      <c r="AF1213" t="s">
        <v>256</v>
      </c>
      <c r="AG1213" s="2"/>
      <c r="AH1213" s="44">
        <f>1-COS(RADIANS(TA[[#This Row],[Avg. Target Angle during Fault Time (Radians)]]-TA[[#This Row],[Angle of affected equipment ]]))</f>
        <v>0.11705240714107301</v>
      </c>
      <c r="AI1213" s="35">
        <f>IFERROR(TA[[#This Row],[Breakdown Time]]*TA[[#This Row],[Plant Equivalent Weightage]],"")</f>
        <v>0</v>
      </c>
    </row>
    <row r="1214" spans="1:35">
      <c r="A1214" s="2">
        <f t="shared" si="131"/>
        <v>1211</v>
      </c>
      <c r="B1214" s="156">
        <f t="shared" si="134"/>
        <v>2026</v>
      </c>
      <c r="C1214" s="129">
        <f t="shared" si="135"/>
        <v>2025</v>
      </c>
      <c r="D1214" s="2" t="s">
        <v>155</v>
      </c>
      <c r="E1214" s="2" t="s">
        <v>155</v>
      </c>
      <c r="F1214" s="39">
        <v>45809</v>
      </c>
      <c r="G1214" s="2">
        <f>DAY(EOMONTH(TA[[#This Row],[Month Year]],0))</f>
        <v>30</v>
      </c>
      <c r="H1214" s="21">
        <v>45830</v>
      </c>
      <c r="I1214" s="41">
        <f>IFERROR(VLOOKUP(TA[[#This Row],[Date]],Raw_Data[[Date]:[Sunset Time (POA&lt;20 W/m2)]],3,0),"")</f>
        <v>0.24652777777777779</v>
      </c>
      <c r="J1214" s="41">
        <f>IFERROR(VLOOKUP(TA[[#This Row],[Date]],Raw_Data[[Date]:[Sunset Time (POA&lt;20 W/m2)]],4,0),"")</f>
        <v>0.77430555555555558</v>
      </c>
      <c r="K1214" s="35">
        <f>IFERROR((TA[[#This Row],[Sunset Time (POA&lt;20 W/m2)]]-TA[[#This Row],[Sunrise Time (POA&gt;20 W/m2)]])*24,"")</f>
        <v>12.666666666666668</v>
      </c>
      <c r="L1214" s="2" t="s">
        <v>294</v>
      </c>
      <c r="M1214" s="42">
        <f>IFERROR(VLOOKUP(TA[[#This Row],[Affected Equipment]],'Basic Data'!$I$2:$K$40,3,0),"")</f>
        <v>1.7241379310344799E-3</v>
      </c>
      <c r="N1214">
        <v>-28</v>
      </c>
      <c r="O1214" t="s">
        <v>135</v>
      </c>
      <c r="P1214" s="127" t="s">
        <v>318</v>
      </c>
      <c r="Q1214" s="126" t="s">
        <v>318</v>
      </c>
      <c r="R1214">
        <v>131</v>
      </c>
      <c r="S1214" s="2">
        <v>39</v>
      </c>
      <c r="T1214" t="s">
        <v>295</v>
      </c>
      <c r="U1214" t="s">
        <v>300</v>
      </c>
      <c r="V1214" t="s">
        <v>298</v>
      </c>
      <c r="W1214" s="41"/>
      <c r="X1214" s="41"/>
      <c r="Y1214" s="34"/>
      <c r="Z1214" s="34"/>
      <c r="AA1214" s="35">
        <f>IF(TA[[#This Row],[Work Start time on Fault]]="NA","",(TA[[#This Row],[Fault Acknowledgement Time ]]-TA[[#This Row],[Fault Time]])*24)</f>
        <v>0</v>
      </c>
      <c r="AB1214" s="35">
        <f>(TA[[#This Row],[Work Start time on Fault]]-TA[[#This Row],[Fault Time]])*24</f>
        <v>0</v>
      </c>
      <c r="AC1214" s="34">
        <f>(TA[[#This Row],[Work Completion time on fault]]-TA[[#This Row],[Fault Time]])*24</f>
        <v>0</v>
      </c>
      <c r="AD1214" s="35">
        <f>IFERROR((TA[[#This Row],[Work Completion time on fault]]-TA[[#This Row],[Fault Time]])*24,"")</f>
        <v>0</v>
      </c>
      <c r="AE1214" t="s">
        <v>328</v>
      </c>
      <c r="AF1214" t="s">
        <v>256</v>
      </c>
      <c r="AG1214" s="2"/>
      <c r="AH1214" s="44">
        <f>1-COS(RADIANS(TA[[#This Row],[Avg. Target Angle during Fault Time (Radians)]]-TA[[#This Row],[Angle of affected equipment ]]))</f>
        <v>0.11705240714107301</v>
      </c>
      <c r="AI1214" s="35">
        <f>IFERROR(TA[[#This Row],[Breakdown Time]]*TA[[#This Row],[Plant Equivalent Weightage]],"")</f>
        <v>0</v>
      </c>
    </row>
    <row r="1215" spans="1:35">
      <c r="A1215" s="2">
        <f t="shared" si="131"/>
        <v>1212</v>
      </c>
      <c r="B1215" s="156">
        <f t="shared" si="134"/>
        <v>2026</v>
      </c>
      <c r="C1215" s="129">
        <f t="shared" si="135"/>
        <v>2025</v>
      </c>
      <c r="D1215" s="2" t="s">
        <v>155</v>
      </c>
      <c r="E1215" s="2" t="s">
        <v>155</v>
      </c>
      <c r="F1215" s="39">
        <v>45809</v>
      </c>
      <c r="G1215" s="2">
        <f>DAY(EOMONTH(TA[[#This Row],[Month Year]],0))</f>
        <v>30</v>
      </c>
      <c r="H1215" s="21">
        <v>45830</v>
      </c>
      <c r="I1215" s="41">
        <f>IFERROR(VLOOKUP(TA[[#This Row],[Date]],Raw_Data[[Date]:[Sunset Time (POA&lt;20 W/m2)]],3,0),"")</f>
        <v>0.24652777777777779</v>
      </c>
      <c r="J1215" s="41">
        <f>IFERROR(VLOOKUP(TA[[#This Row],[Date]],Raw_Data[[Date]:[Sunset Time (POA&lt;20 W/m2)]],4,0),"")</f>
        <v>0.77430555555555558</v>
      </c>
      <c r="K1215" s="35">
        <f>IFERROR((TA[[#This Row],[Sunset Time (POA&lt;20 W/m2)]]-TA[[#This Row],[Sunrise Time (POA&gt;20 W/m2)]])*24,"")</f>
        <v>12.666666666666668</v>
      </c>
      <c r="L1215" s="2" t="s">
        <v>296</v>
      </c>
      <c r="M1215" s="42">
        <f>IFERROR(VLOOKUP(TA[[#This Row],[Affected Equipment]],'Basic Data'!$I$2:$K$40,3,0),"")</f>
        <v>8.6206896551724102E-3</v>
      </c>
      <c r="N1215">
        <v>-28</v>
      </c>
      <c r="O1215" t="s">
        <v>135</v>
      </c>
      <c r="P1215" s="127" t="s">
        <v>318</v>
      </c>
      <c r="Q1215" s="2" t="s">
        <v>321</v>
      </c>
      <c r="R1215">
        <v>133</v>
      </c>
      <c r="S1215" s="2">
        <v>26</v>
      </c>
      <c r="T1215" t="s">
        <v>297</v>
      </c>
      <c r="U1215" t="s">
        <v>300</v>
      </c>
      <c r="V1215" t="s">
        <v>314</v>
      </c>
      <c r="W1215" s="41">
        <f>IFERROR(VLOOKUP(TA[[#This Row],[Date]],Raw_Data[[Date]:[Sunset Time (POA&lt;20 W/m2)]],3,0),"")</f>
        <v>0.24652777777777779</v>
      </c>
      <c r="X1215" s="41">
        <f>IFERROR(VLOOKUP(TA[[#This Row],[Date]],Raw_Data[[Date]:[Sunset Time (POA&lt;20 W/m2)]],3,0),"")</f>
        <v>0.24652777777777779</v>
      </c>
      <c r="Y1215" s="34"/>
      <c r="Z1215" s="34">
        <v>0.76041666666666663</v>
      </c>
      <c r="AA1215" s="35">
        <f>IF(TA[[#This Row],[Work Start time on Fault]]="NA","",(TA[[#This Row],[Fault Acknowledgement Time ]]-TA[[#This Row],[Fault Time]])*24)</f>
        <v>0</v>
      </c>
      <c r="AB1215" s="35">
        <f>(TA[[#This Row],[Work Start time on Fault]]-TA[[#This Row],[Fault Time]])*24</f>
        <v>-5.916666666666667</v>
      </c>
      <c r="AC1215" s="34">
        <f>(TA[[#This Row],[Work Completion time on fault]]-TA[[#This Row],[Fault Time]])*24</f>
        <v>12.333333333333332</v>
      </c>
      <c r="AD1215" s="35">
        <f>IFERROR((TA[[#This Row],[Work Completion time on fault]]-TA[[#This Row],[Fault Time]])*24,"")</f>
        <v>12.333333333333332</v>
      </c>
      <c r="AE1215" t="s">
        <v>328</v>
      </c>
      <c r="AF1215" t="s">
        <v>256</v>
      </c>
      <c r="AG1215" s="2"/>
      <c r="AH1215" s="44">
        <f>1-COS(RADIANS(TA[[#This Row],[Avg. Target Angle during Fault Time (Radians)]]-TA[[#This Row],[Angle of affected equipment ]]))</f>
        <v>0.11705240714107301</v>
      </c>
      <c r="AI1215" s="35">
        <f>IFERROR(TA[[#This Row],[Breakdown Time]]*TA[[#This Row],[Plant Equivalent Weightage]],"")</f>
        <v>0.10632183908045971</v>
      </c>
    </row>
    <row r="1216" spans="1:35">
      <c r="A1216" s="2">
        <f t="shared" si="131"/>
        <v>1213</v>
      </c>
      <c r="B1216" s="156">
        <f t="shared" si="134"/>
        <v>2026</v>
      </c>
      <c r="C1216" s="129">
        <f t="shared" si="135"/>
        <v>2025</v>
      </c>
      <c r="D1216" s="2" t="s">
        <v>155</v>
      </c>
      <c r="E1216" s="2" t="s">
        <v>155</v>
      </c>
      <c r="F1216" s="39">
        <v>45809</v>
      </c>
      <c r="G1216" s="2">
        <f>DAY(EOMONTH(TA[[#This Row],[Month Year]],0))</f>
        <v>30</v>
      </c>
      <c r="H1216" s="21">
        <v>45830</v>
      </c>
      <c r="I1216" s="41">
        <f>IFERROR(VLOOKUP(TA[[#This Row],[Date]],Raw_Data[[Date]:[Sunset Time (POA&lt;20 W/m2)]],3,0),"")</f>
        <v>0.24652777777777779</v>
      </c>
      <c r="J1216" s="41">
        <f>IFERROR(VLOOKUP(TA[[#This Row],[Date]],Raw_Data[[Date]:[Sunset Time (POA&lt;20 W/m2)]],4,0),"")</f>
        <v>0.77430555555555558</v>
      </c>
      <c r="K1216" s="35">
        <f>IFERROR((TA[[#This Row],[Sunset Time (POA&lt;20 W/m2)]]-TA[[#This Row],[Sunrise Time (POA&gt;20 W/m2)]])*24,"")</f>
        <v>12.666666666666668</v>
      </c>
      <c r="L1216" s="2" t="s">
        <v>294</v>
      </c>
      <c r="M1216" s="42">
        <f>IFERROR(VLOOKUP(TA[[#This Row],[Affected Equipment]],'Basic Data'!$I$2:$K$40,3,0),"")</f>
        <v>1.7241379310344799E-3</v>
      </c>
      <c r="N1216">
        <v>-28</v>
      </c>
      <c r="O1216" t="s">
        <v>133</v>
      </c>
      <c r="P1216" s="127" t="s">
        <v>316</v>
      </c>
      <c r="Q1216" s="126" t="s">
        <v>317</v>
      </c>
      <c r="R1216">
        <v>7</v>
      </c>
      <c r="S1216" s="2">
        <v>32</v>
      </c>
      <c r="T1216" t="s">
        <v>295</v>
      </c>
      <c r="U1216" t="s">
        <v>300</v>
      </c>
      <c r="V1216" t="s">
        <v>298</v>
      </c>
      <c r="W1216" s="41"/>
      <c r="X1216" s="41"/>
      <c r="Y1216" s="34"/>
      <c r="Z1216" s="34"/>
      <c r="AA1216" s="35">
        <f>IF(TA[[#This Row],[Work Start time on Fault]]="NA","",(TA[[#This Row],[Fault Acknowledgement Time ]]-TA[[#This Row],[Fault Time]])*24)</f>
        <v>0</v>
      </c>
      <c r="AB1216" s="35">
        <f>(TA[[#This Row],[Work Start time on Fault]]-TA[[#This Row],[Fault Time]])*24</f>
        <v>0</v>
      </c>
      <c r="AC1216" s="34">
        <f>(TA[[#This Row],[Work Completion time on fault]]-TA[[#This Row],[Fault Time]])*24</f>
        <v>0</v>
      </c>
      <c r="AD1216" s="35">
        <f>IFERROR((TA[[#This Row],[Work Completion time on fault]]-TA[[#This Row],[Fault Time]])*24,"")</f>
        <v>0</v>
      </c>
      <c r="AE1216" t="s">
        <v>328</v>
      </c>
      <c r="AF1216" t="s">
        <v>256</v>
      </c>
      <c r="AG1216" s="2"/>
      <c r="AH1216" s="44">
        <f>1-COS(RADIANS(TA[[#This Row],[Avg. Target Angle during Fault Time (Radians)]]-TA[[#This Row],[Angle of affected equipment ]]))</f>
        <v>0.11705240714107301</v>
      </c>
      <c r="AI1216" s="35">
        <f>IFERROR(TA[[#This Row],[Breakdown Time]]*TA[[#This Row],[Plant Equivalent Weightage]],"")</f>
        <v>0</v>
      </c>
    </row>
    <row r="1217" spans="1:35">
      <c r="A1217" s="2">
        <f t="shared" si="131"/>
        <v>1214</v>
      </c>
      <c r="B1217" s="156">
        <f t="shared" si="134"/>
        <v>2026</v>
      </c>
      <c r="C1217" s="129">
        <f t="shared" si="135"/>
        <v>2025</v>
      </c>
      <c r="D1217" s="2" t="s">
        <v>155</v>
      </c>
      <c r="E1217" s="2" t="s">
        <v>155</v>
      </c>
      <c r="F1217" s="39">
        <v>45809</v>
      </c>
      <c r="G1217" s="2">
        <f>DAY(EOMONTH(TA[[#This Row],[Month Year]],0))</f>
        <v>30</v>
      </c>
      <c r="H1217" s="21">
        <v>45830</v>
      </c>
      <c r="I1217" s="41">
        <f>IFERROR(VLOOKUP(TA[[#This Row],[Date]],Raw_Data[[Date]:[Sunset Time (POA&lt;20 W/m2)]],3,0),"")</f>
        <v>0.24652777777777779</v>
      </c>
      <c r="J1217" s="41">
        <f>IFERROR(VLOOKUP(TA[[#This Row],[Date]],Raw_Data[[Date]:[Sunset Time (POA&lt;20 W/m2)]],4,0),"")</f>
        <v>0.77430555555555558</v>
      </c>
      <c r="K1217" s="35">
        <f>IFERROR((TA[[#This Row],[Sunset Time (POA&lt;20 W/m2)]]-TA[[#This Row],[Sunrise Time (POA&gt;20 W/m2)]])*24,"")</f>
        <v>12.666666666666668</v>
      </c>
      <c r="L1217" s="2" t="s">
        <v>294</v>
      </c>
      <c r="M1217" s="42">
        <f>IFERROR(VLOOKUP(TA[[#This Row],[Affected Equipment]],'Basic Data'!$I$2:$K$40,3,0),"")</f>
        <v>1.7241379310344799E-3</v>
      </c>
      <c r="N1217">
        <v>-28</v>
      </c>
      <c r="O1217" t="s">
        <v>137</v>
      </c>
      <c r="P1217" s="127" t="s">
        <v>315</v>
      </c>
      <c r="Q1217" s="126" t="s">
        <v>319</v>
      </c>
      <c r="R1217">
        <v>166</v>
      </c>
      <c r="S1217" s="2">
        <v>91</v>
      </c>
      <c r="T1217" t="s">
        <v>295</v>
      </c>
      <c r="U1217" t="s">
        <v>300</v>
      </c>
      <c r="V1217" t="s">
        <v>298</v>
      </c>
      <c r="W1217" s="41"/>
      <c r="X1217" s="41"/>
      <c r="Y1217" s="34"/>
      <c r="Z1217" s="34"/>
      <c r="AA1217" s="35">
        <f>IF(TA[[#This Row],[Work Start time on Fault]]="NA","",(TA[[#This Row],[Fault Acknowledgement Time ]]-TA[[#This Row],[Fault Time]])*24)</f>
        <v>0</v>
      </c>
      <c r="AB1217" s="35">
        <f>(TA[[#This Row],[Work Start time on Fault]]-TA[[#This Row],[Fault Time]])*24</f>
        <v>0</v>
      </c>
      <c r="AC1217" s="34">
        <f>(TA[[#This Row],[Work Completion time on fault]]-TA[[#This Row],[Fault Time]])*24</f>
        <v>0</v>
      </c>
      <c r="AD1217" s="35">
        <f>IFERROR((TA[[#This Row],[Work Completion time on fault]]-TA[[#This Row],[Fault Time]])*24,"")</f>
        <v>0</v>
      </c>
      <c r="AE1217" t="s">
        <v>328</v>
      </c>
      <c r="AF1217" t="s">
        <v>256</v>
      </c>
      <c r="AG1217" s="2"/>
      <c r="AH1217" s="44">
        <f>1-COS(RADIANS(TA[[#This Row],[Avg. Target Angle during Fault Time (Radians)]]-TA[[#This Row],[Angle of affected equipment ]]))</f>
        <v>0.11705240714107301</v>
      </c>
      <c r="AI1217" s="35">
        <f>IFERROR(TA[[#This Row],[Breakdown Time]]*TA[[#This Row],[Plant Equivalent Weightage]],"")</f>
        <v>0</v>
      </c>
    </row>
    <row r="1218" spans="1:35">
      <c r="A1218" s="2">
        <f t="shared" si="131"/>
        <v>1215</v>
      </c>
      <c r="B1218" s="156">
        <f t="shared" si="134"/>
        <v>2026</v>
      </c>
      <c r="C1218" s="129">
        <f t="shared" si="135"/>
        <v>2025</v>
      </c>
      <c r="D1218" s="2" t="s">
        <v>155</v>
      </c>
      <c r="E1218" s="2" t="s">
        <v>155</v>
      </c>
      <c r="F1218" s="39">
        <v>45809</v>
      </c>
      <c r="G1218" s="2">
        <f>DAY(EOMONTH(TA[[#This Row],[Month Year]],0))</f>
        <v>30</v>
      </c>
      <c r="H1218" s="21">
        <v>45830</v>
      </c>
      <c r="I1218" s="41">
        <f>IFERROR(VLOOKUP(TA[[#This Row],[Date]],Raw_Data[[Date]:[Sunset Time (POA&lt;20 W/m2)]],3,0),"")</f>
        <v>0.24652777777777779</v>
      </c>
      <c r="J1218" s="41">
        <f>IFERROR(VLOOKUP(TA[[#This Row],[Date]],Raw_Data[[Date]:[Sunset Time (POA&lt;20 W/m2)]],4,0),"")</f>
        <v>0.77430555555555558</v>
      </c>
      <c r="K1218" s="35">
        <f>IFERROR((TA[[#This Row],[Sunset Time (POA&lt;20 W/m2)]]-TA[[#This Row],[Sunrise Time (POA&gt;20 W/m2)]])*24,"")</f>
        <v>12.666666666666668</v>
      </c>
      <c r="L1218" s="2" t="s">
        <v>294</v>
      </c>
      <c r="M1218" s="42">
        <f>IFERROR(VLOOKUP(TA[[#This Row],[Affected Equipment]],'Basic Data'!$I$2:$K$40,3,0),"")</f>
        <v>1.7241379310344799E-3</v>
      </c>
      <c r="N1218">
        <v>-28</v>
      </c>
      <c r="O1218" t="s">
        <v>133</v>
      </c>
      <c r="P1218" s="127" t="s">
        <v>316</v>
      </c>
      <c r="Q1218" s="126" t="s">
        <v>316</v>
      </c>
      <c r="R1218">
        <v>117</v>
      </c>
      <c r="S1218" s="2">
        <v>20</v>
      </c>
      <c r="T1218" t="s">
        <v>295</v>
      </c>
      <c r="U1218" t="s">
        <v>300</v>
      </c>
      <c r="V1218" t="s">
        <v>298</v>
      </c>
      <c r="W1218" s="41"/>
      <c r="X1218" s="41"/>
      <c r="Y1218" s="34"/>
      <c r="Z1218" s="34"/>
      <c r="AA1218" s="35">
        <f>IF(TA[[#This Row],[Work Start time on Fault]]="NA","",(TA[[#This Row],[Fault Acknowledgement Time ]]-TA[[#This Row],[Fault Time]])*24)</f>
        <v>0</v>
      </c>
      <c r="AB1218" s="35">
        <f>(TA[[#This Row],[Work Start time on Fault]]-TA[[#This Row],[Fault Time]])*24</f>
        <v>0</v>
      </c>
      <c r="AC1218" s="34">
        <f>(TA[[#This Row],[Work Completion time on fault]]-TA[[#This Row],[Fault Time]])*24</f>
        <v>0</v>
      </c>
      <c r="AD1218" s="35">
        <f>IFERROR((TA[[#This Row],[Work Completion time on fault]]-TA[[#This Row],[Fault Time]])*24,"")</f>
        <v>0</v>
      </c>
      <c r="AE1218" t="s">
        <v>328</v>
      </c>
      <c r="AF1218" t="s">
        <v>256</v>
      </c>
      <c r="AG1218" s="2"/>
      <c r="AH1218" s="44">
        <f>1-COS(RADIANS(TA[[#This Row],[Avg. Target Angle during Fault Time (Radians)]]-TA[[#This Row],[Angle of affected equipment ]]))</f>
        <v>0.11705240714107301</v>
      </c>
      <c r="AI1218" s="35">
        <f>IFERROR(TA[[#This Row],[Breakdown Time]]*TA[[#This Row],[Plant Equivalent Weightage]],"")</f>
        <v>0</v>
      </c>
    </row>
    <row r="1219" spans="1:35">
      <c r="A1219" s="2">
        <f t="shared" si="131"/>
        <v>1216</v>
      </c>
      <c r="B1219" s="156">
        <f t="shared" si="134"/>
        <v>2026</v>
      </c>
      <c r="C1219" s="129">
        <f t="shared" si="135"/>
        <v>2025</v>
      </c>
      <c r="D1219" s="2" t="s">
        <v>155</v>
      </c>
      <c r="E1219" s="2" t="s">
        <v>155</v>
      </c>
      <c r="F1219" s="39">
        <v>45809</v>
      </c>
      <c r="G1219" s="2">
        <f>DAY(EOMONTH(TA[[#This Row],[Month Year]],0))</f>
        <v>30</v>
      </c>
      <c r="H1219" s="21">
        <v>45830</v>
      </c>
      <c r="I1219" s="41">
        <f>IFERROR(VLOOKUP(TA[[#This Row],[Date]],Raw_Data[[Date]:[Sunset Time (POA&lt;20 W/m2)]],3,0),"")</f>
        <v>0.24652777777777779</v>
      </c>
      <c r="J1219" s="41">
        <f>IFERROR(VLOOKUP(TA[[#This Row],[Date]],Raw_Data[[Date]:[Sunset Time (POA&lt;20 W/m2)]],4,0),"")</f>
        <v>0.77430555555555558</v>
      </c>
      <c r="K1219" s="35">
        <f>IFERROR((TA[[#This Row],[Sunset Time (POA&lt;20 W/m2)]]-TA[[#This Row],[Sunrise Time (POA&gt;20 W/m2)]])*24,"")</f>
        <v>12.666666666666668</v>
      </c>
      <c r="L1219" s="2" t="s">
        <v>294</v>
      </c>
      <c r="M1219" s="42">
        <f>IFERROR(VLOOKUP(TA[[#This Row],[Affected Equipment]],'Basic Data'!$I$2:$K$40,3,0),"")</f>
        <v>1.7241379310344799E-3</v>
      </c>
      <c r="N1219">
        <v>-28</v>
      </c>
      <c r="O1219" t="s">
        <v>133</v>
      </c>
      <c r="P1219" s="127" t="s">
        <v>316</v>
      </c>
      <c r="Q1219" s="126" t="s">
        <v>316</v>
      </c>
      <c r="R1219">
        <v>118</v>
      </c>
      <c r="S1219" s="2">
        <v>22</v>
      </c>
      <c r="T1219" t="s">
        <v>295</v>
      </c>
      <c r="U1219" t="s">
        <v>300</v>
      </c>
      <c r="V1219" t="s">
        <v>298</v>
      </c>
      <c r="W1219" s="41"/>
      <c r="X1219" s="41"/>
      <c r="Y1219" s="34"/>
      <c r="Z1219" s="34"/>
      <c r="AA1219" s="35">
        <f>IF(TA[[#This Row],[Work Start time on Fault]]="NA","",(TA[[#This Row],[Fault Acknowledgement Time ]]-TA[[#This Row],[Fault Time]])*24)</f>
        <v>0</v>
      </c>
      <c r="AB1219" s="35">
        <f>(TA[[#This Row],[Work Start time on Fault]]-TA[[#This Row],[Fault Time]])*24</f>
        <v>0</v>
      </c>
      <c r="AC1219" s="34">
        <f>(TA[[#This Row],[Work Completion time on fault]]-TA[[#This Row],[Fault Time]])*24</f>
        <v>0</v>
      </c>
      <c r="AD1219" s="35">
        <f>IFERROR((TA[[#This Row],[Work Completion time on fault]]-TA[[#This Row],[Fault Time]])*24,"")</f>
        <v>0</v>
      </c>
      <c r="AE1219" t="s">
        <v>328</v>
      </c>
      <c r="AF1219" t="s">
        <v>256</v>
      </c>
      <c r="AG1219" s="2"/>
      <c r="AH1219" s="44">
        <f>1-COS(RADIANS(TA[[#This Row],[Avg. Target Angle during Fault Time (Radians)]]-TA[[#This Row],[Angle of affected equipment ]]))</f>
        <v>0.11705240714107301</v>
      </c>
      <c r="AI1219" s="35">
        <f>IFERROR(TA[[#This Row],[Breakdown Time]]*TA[[#This Row],[Plant Equivalent Weightage]],"")</f>
        <v>0</v>
      </c>
    </row>
    <row r="1220" spans="1:35">
      <c r="A1220" s="2">
        <f t="shared" si="131"/>
        <v>1217</v>
      </c>
      <c r="B1220" s="156">
        <f t="shared" si="134"/>
        <v>2026</v>
      </c>
      <c r="C1220" s="129">
        <f t="shared" si="135"/>
        <v>2025</v>
      </c>
      <c r="D1220" s="2" t="s">
        <v>155</v>
      </c>
      <c r="E1220" s="2" t="s">
        <v>155</v>
      </c>
      <c r="F1220" s="39">
        <v>45809</v>
      </c>
      <c r="G1220" s="2">
        <f>DAY(EOMONTH(TA[[#This Row],[Month Year]],0))</f>
        <v>30</v>
      </c>
      <c r="H1220" s="21">
        <v>45830</v>
      </c>
      <c r="I1220" s="41">
        <f>IFERROR(VLOOKUP(TA[[#This Row],[Date]],Raw_Data[[Date]:[Sunset Time (POA&lt;20 W/m2)]],3,0),"")</f>
        <v>0.24652777777777779</v>
      </c>
      <c r="J1220" s="41">
        <f>IFERROR(VLOOKUP(TA[[#This Row],[Date]],Raw_Data[[Date]:[Sunset Time (POA&lt;20 W/m2)]],4,0),"")</f>
        <v>0.77430555555555558</v>
      </c>
      <c r="K1220" s="35">
        <f>IFERROR((TA[[#This Row],[Sunset Time (POA&lt;20 W/m2)]]-TA[[#This Row],[Sunrise Time (POA&gt;20 W/m2)]])*24,"")</f>
        <v>12.666666666666668</v>
      </c>
      <c r="L1220" s="2" t="s">
        <v>296</v>
      </c>
      <c r="M1220" s="42">
        <f>IFERROR(VLOOKUP(TA[[#This Row],[Affected Equipment]],'Basic Data'!$I$2:$K$40,3,0),"")</f>
        <v>8.6206896551724102E-3</v>
      </c>
      <c r="N1220">
        <v>-28</v>
      </c>
      <c r="O1220" t="s">
        <v>135</v>
      </c>
      <c r="P1220" s="22" t="s">
        <v>323</v>
      </c>
      <c r="Q1220" s="2" t="s">
        <v>329</v>
      </c>
      <c r="R1220">
        <v>45</v>
      </c>
      <c r="S1220" s="2">
        <v>8</v>
      </c>
      <c r="T1220" t="s">
        <v>297</v>
      </c>
      <c r="U1220" t="s">
        <v>300</v>
      </c>
      <c r="V1220" t="s">
        <v>301</v>
      </c>
      <c r="W1220" s="41"/>
      <c r="X1220" s="41"/>
      <c r="Y1220" s="34"/>
      <c r="Z1220" s="34"/>
      <c r="AA1220" s="35">
        <f>IF(TA[[#This Row],[Work Start time on Fault]]="NA","",(TA[[#This Row],[Fault Acknowledgement Time ]]-TA[[#This Row],[Fault Time]])*24)</f>
        <v>0</v>
      </c>
      <c r="AB1220" s="35">
        <f>(TA[[#This Row],[Work Start time on Fault]]-TA[[#This Row],[Fault Time]])*24</f>
        <v>0</v>
      </c>
      <c r="AC1220" s="34">
        <f>(TA[[#This Row],[Work Completion time on fault]]-TA[[#This Row],[Fault Time]])*24</f>
        <v>0</v>
      </c>
      <c r="AD1220" s="35">
        <f>IFERROR((TA[[#This Row],[Work Completion time on fault]]-TA[[#This Row],[Fault Time]])*24,"")</f>
        <v>0</v>
      </c>
      <c r="AE1220" t="s">
        <v>328</v>
      </c>
      <c r="AF1220" t="s">
        <v>256</v>
      </c>
      <c r="AG1220" s="2"/>
      <c r="AH1220" s="44">
        <f>1-COS(RADIANS(TA[[#This Row],[Avg. Target Angle during Fault Time (Radians)]]-TA[[#This Row],[Angle of affected equipment ]]))</f>
        <v>0.11705240714107301</v>
      </c>
      <c r="AI1220" s="35">
        <f>IFERROR(TA[[#This Row],[Breakdown Time]]*TA[[#This Row],[Plant Equivalent Weightage]],"")</f>
        <v>0</v>
      </c>
    </row>
    <row r="1221" spans="1:35">
      <c r="A1221" s="2">
        <f t="shared" si="131"/>
        <v>1218</v>
      </c>
      <c r="B1221" s="156">
        <f t="shared" si="134"/>
        <v>2026</v>
      </c>
      <c r="C1221" s="129">
        <f t="shared" si="135"/>
        <v>2025</v>
      </c>
      <c r="D1221" s="2" t="s">
        <v>155</v>
      </c>
      <c r="E1221" s="2" t="s">
        <v>155</v>
      </c>
      <c r="F1221" s="39">
        <v>45809</v>
      </c>
      <c r="G1221" s="2">
        <f>DAY(EOMONTH(TA[[#This Row],[Month Year]],0))</f>
        <v>30</v>
      </c>
      <c r="H1221" s="21">
        <v>45830</v>
      </c>
      <c r="I1221" s="41">
        <f>IFERROR(VLOOKUP(TA[[#This Row],[Date]],Raw_Data[[Date]:[Sunset Time (POA&lt;20 W/m2)]],3,0),"")</f>
        <v>0.24652777777777779</v>
      </c>
      <c r="J1221" s="41">
        <f>IFERROR(VLOOKUP(TA[[#This Row],[Date]],Raw_Data[[Date]:[Sunset Time (POA&lt;20 W/m2)]],4,0),"")</f>
        <v>0.77430555555555558</v>
      </c>
      <c r="K1221" s="35">
        <f>IFERROR((TA[[#This Row],[Sunset Time (POA&lt;20 W/m2)]]-TA[[#This Row],[Sunrise Time (POA&gt;20 W/m2)]])*24,"")</f>
        <v>12.666666666666668</v>
      </c>
      <c r="L1221" s="2" t="s">
        <v>296</v>
      </c>
      <c r="M1221" s="42">
        <f>IFERROR(VLOOKUP(TA[[#This Row],[Affected Equipment]],'Basic Data'!$I$2:$K$40,3,0),"")</f>
        <v>8.6206896551724102E-3</v>
      </c>
      <c r="N1221">
        <v>-28</v>
      </c>
      <c r="O1221" t="s">
        <v>135</v>
      </c>
      <c r="P1221" s="22" t="s">
        <v>323</v>
      </c>
      <c r="Q1221" s="2" t="s">
        <v>329</v>
      </c>
      <c r="R1221">
        <v>47</v>
      </c>
      <c r="S1221" s="2">
        <v>18</v>
      </c>
      <c r="T1221" t="s">
        <v>297</v>
      </c>
      <c r="U1221" t="s">
        <v>300</v>
      </c>
      <c r="V1221" t="s">
        <v>301</v>
      </c>
      <c r="W1221" s="41"/>
      <c r="X1221" s="41"/>
      <c r="Y1221" s="34"/>
      <c r="Z1221" s="34"/>
      <c r="AA1221" s="35">
        <f>IF(TA[[#This Row],[Work Start time on Fault]]="NA","",(TA[[#This Row],[Fault Acknowledgement Time ]]-TA[[#This Row],[Fault Time]])*24)</f>
        <v>0</v>
      </c>
      <c r="AB1221" s="35">
        <f>(TA[[#This Row],[Work Start time on Fault]]-TA[[#This Row],[Fault Time]])*24</f>
        <v>0</v>
      </c>
      <c r="AC1221" s="34">
        <f>(TA[[#This Row],[Work Completion time on fault]]-TA[[#This Row],[Fault Time]])*24</f>
        <v>0</v>
      </c>
      <c r="AD1221" s="35">
        <f>IFERROR((TA[[#This Row],[Work Completion time on fault]]-TA[[#This Row],[Fault Time]])*24,"")</f>
        <v>0</v>
      </c>
      <c r="AE1221" t="s">
        <v>328</v>
      </c>
      <c r="AF1221" t="s">
        <v>256</v>
      </c>
      <c r="AG1221" s="2"/>
      <c r="AH1221" s="44">
        <f>1-COS(RADIANS(TA[[#This Row],[Avg. Target Angle during Fault Time (Radians)]]-TA[[#This Row],[Angle of affected equipment ]]))</f>
        <v>0.11705240714107301</v>
      </c>
      <c r="AI1221" s="35">
        <f>IFERROR(TA[[#This Row],[Breakdown Time]]*TA[[#This Row],[Plant Equivalent Weightage]],"")</f>
        <v>0</v>
      </c>
    </row>
    <row r="1222" spans="1:35">
      <c r="A1222" s="2">
        <f t="shared" si="131"/>
        <v>1219</v>
      </c>
      <c r="B1222" s="156">
        <f t="shared" si="134"/>
        <v>2026</v>
      </c>
      <c r="C1222" s="129">
        <f t="shared" si="135"/>
        <v>2025</v>
      </c>
      <c r="D1222" s="2" t="s">
        <v>155</v>
      </c>
      <c r="E1222" s="2" t="s">
        <v>155</v>
      </c>
      <c r="F1222" s="39">
        <v>45809</v>
      </c>
      <c r="G1222" s="2">
        <f>DAY(EOMONTH(TA[[#This Row],[Month Year]],0))</f>
        <v>30</v>
      </c>
      <c r="H1222" s="21">
        <v>45830</v>
      </c>
      <c r="I1222" s="41">
        <f>IFERROR(VLOOKUP(TA[[#This Row],[Date]],Raw_Data[[Date]:[Sunset Time (POA&lt;20 W/m2)]],3,0),"")</f>
        <v>0.24652777777777779</v>
      </c>
      <c r="J1222" s="41">
        <f>IFERROR(VLOOKUP(TA[[#This Row],[Date]],Raw_Data[[Date]:[Sunset Time (POA&lt;20 W/m2)]],4,0),"")</f>
        <v>0.77430555555555558</v>
      </c>
      <c r="K1222" s="35">
        <f>IFERROR((TA[[#This Row],[Sunset Time (POA&lt;20 W/m2)]]-TA[[#This Row],[Sunrise Time (POA&gt;20 W/m2)]])*24,"")</f>
        <v>12.666666666666668</v>
      </c>
      <c r="L1222" s="2" t="s">
        <v>296</v>
      </c>
      <c r="M1222" s="42">
        <f>IFERROR(VLOOKUP(TA[[#This Row],[Affected Equipment]],'Basic Data'!$I$2:$K$40,3,0),"")</f>
        <v>8.6206896551724102E-3</v>
      </c>
      <c r="N1222">
        <v>-28</v>
      </c>
      <c r="O1222" t="s">
        <v>134</v>
      </c>
      <c r="P1222" s="22" t="s">
        <v>330</v>
      </c>
      <c r="Q1222" s="2" t="s">
        <v>323</v>
      </c>
      <c r="R1222">
        <v>30</v>
      </c>
      <c r="S1222" s="2">
        <v>57</v>
      </c>
      <c r="T1222" t="s">
        <v>297</v>
      </c>
      <c r="U1222" t="s">
        <v>300</v>
      </c>
      <c r="V1222" t="s">
        <v>301</v>
      </c>
      <c r="W1222" s="41"/>
      <c r="X1222" s="41"/>
      <c r="Y1222" s="34"/>
      <c r="Z1222" s="34"/>
      <c r="AA1222" s="35">
        <f>IF(TA[[#This Row],[Work Start time on Fault]]="NA","",(TA[[#This Row],[Fault Acknowledgement Time ]]-TA[[#This Row],[Fault Time]])*24)</f>
        <v>0</v>
      </c>
      <c r="AB1222" s="35">
        <f>(TA[[#This Row],[Work Start time on Fault]]-TA[[#This Row],[Fault Time]])*24</f>
        <v>0</v>
      </c>
      <c r="AC1222" s="34">
        <f>(TA[[#This Row],[Work Completion time on fault]]-TA[[#This Row],[Fault Time]])*24</f>
        <v>0</v>
      </c>
      <c r="AD1222" s="35">
        <f>IFERROR((TA[[#This Row],[Work Completion time on fault]]-TA[[#This Row],[Fault Time]])*24,"")</f>
        <v>0</v>
      </c>
      <c r="AE1222" t="s">
        <v>328</v>
      </c>
      <c r="AF1222" t="s">
        <v>256</v>
      </c>
      <c r="AG1222" s="2"/>
      <c r="AH1222" s="44">
        <f>1-COS(RADIANS(TA[[#This Row],[Avg. Target Angle during Fault Time (Radians)]]-TA[[#This Row],[Angle of affected equipment ]]))</f>
        <v>0.11705240714107301</v>
      </c>
      <c r="AI1222" s="35">
        <f>IFERROR(TA[[#This Row],[Breakdown Time]]*TA[[#This Row],[Plant Equivalent Weightage]],"")</f>
        <v>0</v>
      </c>
    </row>
    <row r="1223" spans="1:35">
      <c r="A1223" s="2">
        <f t="shared" si="131"/>
        <v>1220</v>
      </c>
      <c r="B1223" s="156">
        <f t="shared" si="134"/>
        <v>2026</v>
      </c>
      <c r="C1223" s="129">
        <f t="shared" si="135"/>
        <v>2025</v>
      </c>
      <c r="D1223" s="2" t="s">
        <v>155</v>
      </c>
      <c r="E1223" s="2" t="s">
        <v>155</v>
      </c>
      <c r="F1223" s="39">
        <v>45809</v>
      </c>
      <c r="G1223" s="2">
        <f>DAY(EOMONTH(TA[[#This Row],[Month Year]],0))</f>
        <v>30</v>
      </c>
      <c r="H1223" s="21">
        <v>45830</v>
      </c>
      <c r="I1223" s="41">
        <f>IFERROR(VLOOKUP(TA[[#This Row],[Date]],Raw_Data[[Date]:[Sunset Time (POA&lt;20 W/m2)]],3,0),"")</f>
        <v>0.24652777777777779</v>
      </c>
      <c r="J1223" s="41">
        <f>IFERROR(VLOOKUP(TA[[#This Row],[Date]],Raw_Data[[Date]:[Sunset Time (POA&lt;20 W/m2)]],4,0),"")</f>
        <v>0.77430555555555558</v>
      </c>
      <c r="K1223" s="35">
        <f>IFERROR((TA[[#This Row],[Sunset Time (POA&lt;20 W/m2)]]-TA[[#This Row],[Sunrise Time (POA&gt;20 W/m2)]])*24,"")</f>
        <v>12.666666666666668</v>
      </c>
      <c r="L1223" s="2" t="s">
        <v>296</v>
      </c>
      <c r="M1223" s="42">
        <f>IFERROR(VLOOKUP(TA[[#This Row],[Affected Equipment]],'Basic Data'!$I$2:$K$40,3,0),"")</f>
        <v>8.6206896551724102E-3</v>
      </c>
      <c r="N1223">
        <v>-28</v>
      </c>
      <c r="O1223" t="s">
        <v>134</v>
      </c>
      <c r="P1223" s="22" t="s">
        <v>330</v>
      </c>
      <c r="Q1223" s="2" t="s">
        <v>323</v>
      </c>
      <c r="R1223">
        <v>31</v>
      </c>
      <c r="S1223" s="2">
        <v>61</v>
      </c>
      <c r="T1223" t="s">
        <v>297</v>
      </c>
      <c r="U1223" t="s">
        <v>300</v>
      </c>
      <c r="V1223" t="s">
        <v>301</v>
      </c>
      <c r="W1223" s="41"/>
      <c r="X1223" s="41"/>
      <c r="Y1223" s="34"/>
      <c r="Z1223" s="34"/>
      <c r="AA1223" s="35">
        <f>IF(TA[[#This Row],[Work Start time on Fault]]="NA","",(TA[[#This Row],[Fault Acknowledgement Time ]]-TA[[#This Row],[Fault Time]])*24)</f>
        <v>0</v>
      </c>
      <c r="AB1223" s="35">
        <f>(TA[[#This Row],[Work Start time on Fault]]-TA[[#This Row],[Fault Time]])*24</f>
        <v>0</v>
      </c>
      <c r="AC1223" s="34">
        <f>(TA[[#This Row],[Work Completion time on fault]]-TA[[#This Row],[Fault Time]])*24</f>
        <v>0</v>
      </c>
      <c r="AD1223" s="35">
        <f>IFERROR((TA[[#This Row],[Work Completion time on fault]]-TA[[#This Row],[Fault Time]])*24,"")</f>
        <v>0</v>
      </c>
      <c r="AE1223" t="s">
        <v>328</v>
      </c>
      <c r="AF1223" t="s">
        <v>256</v>
      </c>
      <c r="AG1223" s="2"/>
      <c r="AH1223" s="44">
        <f>1-COS(RADIANS(TA[[#This Row],[Avg. Target Angle during Fault Time (Radians)]]-TA[[#This Row],[Angle of affected equipment ]]))</f>
        <v>0.11705240714107301</v>
      </c>
      <c r="AI1223" s="35">
        <f>IFERROR(TA[[#This Row],[Breakdown Time]]*TA[[#This Row],[Plant Equivalent Weightage]],"")</f>
        <v>0</v>
      </c>
    </row>
    <row r="1224" spans="1:35">
      <c r="A1224" s="2">
        <f t="shared" si="131"/>
        <v>1221</v>
      </c>
      <c r="B1224" s="156">
        <f t="shared" si="134"/>
        <v>2026</v>
      </c>
      <c r="C1224" s="129">
        <f t="shared" si="135"/>
        <v>2025</v>
      </c>
      <c r="D1224" s="2" t="s">
        <v>155</v>
      </c>
      <c r="E1224" s="2" t="s">
        <v>155</v>
      </c>
      <c r="F1224" s="39">
        <v>45809</v>
      </c>
      <c r="G1224" s="2">
        <f>DAY(EOMONTH(TA[[#This Row],[Month Year]],0))</f>
        <v>30</v>
      </c>
      <c r="H1224" s="21">
        <v>45830</v>
      </c>
      <c r="I1224" s="41">
        <f>IFERROR(VLOOKUP(TA[[#This Row],[Date]],Raw_Data[[Date]:[Sunset Time (POA&lt;20 W/m2)]],3,0),"")</f>
        <v>0.24652777777777779</v>
      </c>
      <c r="J1224" s="41">
        <f>IFERROR(VLOOKUP(TA[[#This Row],[Date]],Raw_Data[[Date]:[Sunset Time (POA&lt;20 W/m2)]],4,0),"")</f>
        <v>0.77430555555555558</v>
      </c>
      <c r="K1224" s="35">
        <f>IFERROR((TA[[#This Row],[Sunset Time (POA&lt;20 W/m2)]]-TA[[#This Row],[Sunrise Time (POA&gt;20 W/m2)]])*24,"")</f>
        <v>12.666666666666668</v>
      </c>
      <c r="L1224" s="2" t="s">
        <v>312</v>
      </c>
      <c r="M1224" s="42">
        <f>IFERROR(VLOOKUP(TA[[#This Row],[Affected Equipment]],'Basic Data'!$I$2:$K$40,3,0),"")</f>
        <v>5.74712643678161E-3</v>
      </c>
      <c r="N1224">
        <v>-28</v>
      </c>
      <c r="O1224" t="s">
        <v>133</v>
      </c>
      <c r="P1224" s="22" t="s">
        <v>330</v>
      </c>
      <c r="Q1224" s="2" t="s">
        <v>323</v>
      </c>
      <c r="R1224">
        <v>26</v>
      </c>
      <c r="S1224" s="2">
        <v>37</v>
      </c>
      <c r="T1224" t="s">
        <v>297</v>
      </c>
      <c r="U1224" t="s">
        <v>300</v>
      </c>
      <c r="V1224" t="s">
        <v>301</v>
      </c>
      <c r="W1224" s="41"/>
      <c r="X1224" s="41"/>
      <c r="Y1224" s="34"/>
      <c r="Z1224" s="34"/>
      <c r="AA1224" s="35">
        <f>IF(TA[[#This Row],[Work Start time on Fault]]="NA","",(TA[[#This Row],[Fault Acknowledgement Time ]]-TA[[#This Row],[Fault Time]])*24)</f>
        <v>0</v>
      </c>
      <c r="AB1224" s="35">
        <f>(TA[[#This Row],[Work Start time on Fault]]-TA[[#This Row],[Fault Time]])*24</f>
        <v>0</v>
      </c>
      <c r="AC1224" s="34">
        <f>(TA[[#This Row],[Work Completion time on fault]]-TA[[#This Row],[Fault Time]])*24</f>
        <v>0</v>
      </c>
      <c r="AD1224" s="35">
        <f>IFERROR((TA[[#This Row],[Work Completion time on fault]]-TA[[#This Row],[Fault Time]])*24,"")</f>
        <v>0</v>
      </c>
      <c r="AE1224" t="s">
        <v>328</v>
      </c>
      <c r="AF1224" t="s">
        <v>256</v>
      </c>
      <c r="AG1224" s="2"/>
      <c r="AH1224" s="44">
        <f>1-COS(RADIANS(TA[[#This Row],[Avg. Target Angle during Fault Time (Radians)]]-TA[[#This Row],[Angle of affected equipment ]]))</f>
        <v>0.11705240714107301</v>
      </c>
      <c r="AI1224" s="35">
        <f>IFERROR(TA[[#This Row],[Breakdown Time]]*TA[[#This Row],[Plant Equivalent Weightage]],"")</f>
        <v>0</v>
      </c>
    </row>
    <row r="1225" spans="1:35">
      <c r="A1225" s="2">
        <f t="shared" si="131"/>
        <v>1222</v>
      </c>
      <c r="B1225" s="156">
        <f t="shared" si="134"/>
        <v>2026</v>
      </c>
      <c r="C1225" s="129">
        <f t="shared" si="135"/>
        <v>2025</v>
      </c>
      <c r="D1225" s="2" t="s">
        <v>155</v>
      </c>
      <c r="E1225" s="2" t="s">
        <v>155</v>
      </c>
      <c r="F1225" s="39">
        <v>45809</v>
      </c>
      <c r="G1225" s="2">
        <f>DAY(EOMONTH(TA[[#This Row],[Month Year]],0))</f>
        <v>30</v>
      </c>
      <c r="H1225" s="21">
        <v>45830</v>
      </c>
      <c r="I1225" s="41">
        <f>IFERROR(VLOOKUP(TA[[#This Row],[Date]],Raw_Data[[Date]:[Sunset Time (POA&lt;20 W/m2)]],3,0),"")</f>
        <v>0.24652777777777779</v>
      </c>
      <c r="J1225" s="41">
        <f>IFERROR(VLOOKUP(TA[[#This Row],[Date]],Raw_Data[[Date]:[Sunset Time (POA&lt;20 W/m2)]],4,0),"")</f>
        <v>0.77430555555555558</v>
      </c>
      <c r="K1225" s="35">
        <f>IFERROR((TA[[#This Row],[Sunset Time (POA&lt;20 W/m2)]]-TA[[#This Row],[Sunrise Time (POA&gt;20 W/m2)]])*24,"")</f>
        <v>12.666666666666668</v>
      </c>
      <c r="L1225" s="2" t="s">
        <v>312</v>
      </c>
      <c r="M1225" s="42">
        <f>IFERROR(VLOOKUP(TA[[#This Row],[Affected Equipment]],'Basic Data'!$I$2:$K$40,3,0),"")</f>
        <v>5.74712643678161E-3</v>
      </c>
      <c r="N1225">
        <v>-28</v>
      </c>
      <c r="O1225" t="s">
        <v>133</v>
      </c>
      <c r="P1225" s="22" t="s">
        <v>330</v>
      </c>
      <c r="Q1225" s="2" t="s">
        <v>323</v>
      </c>
      <c r="R1225">
        <v>27</v>
      </c>
      <c r="S1225" s="2">
        <v>42</v>
      </c>
      <c r="T1225" t="s">
        <v>297</v>
      </c>
      <c r="U1225" t="s">
        <v>300</v>
      </c>
      <c r="V1225" t="s">
        <v>301</v>
      </c>
      <c r="W1225" s="41">
        <f>IFERROR(VLOOKUP(TA[[#This Row],[Date]],Raw_Data[[Date]:[Sunset Time (POA&lt;20 W/m2)]],3,0),"")</f>
        <v>0.24652777777777779</v>
      </c>
      <c r="X1225" s="41">
        <f>IFERROR(VLOOKUP(TA[[#This Row],[Date]],Raw_Data[[Date]:[Sunset Time (POA&lt;20 W/m2)]],3,0),"")</f>
        <v>0.24652777777777779</v>
      </c>
      <c r="Y1225" s="34"/>
      <c r="Z1225" s="34">
        <v>0.76041666666666663</v>
      </c>
      <c r="AA1225" s="35">
        <f>IF(TA[[#This Row],[Work Start time on Fault]]="NA","",(TA[[#This Row],[Fault Acknowledgement Time ]]-TA[[#This Row],[Fault Time]])*24)</f>
        <v>0</v>
      </c>
      <c r="AB1225" s="35">
        <f>(TA[[#This Row],[Work Start time on Fault]]-TA[[#This Row],[Fault Time]])*24</f>
        <v>-5.916666666666667</v>
      </c>
      <c r="AC1225" s="34">
        <f>(TA[[#This Row],[Work Completion time on fault]]-TA[[#This Row],[Fault Time]])*24</f>
        <v>12.333333333333332</v>
      </c>
      <c r="AD1225" s="35">
        <f>IFERROR((TA[[#This Row],[Work Completion time on fault]]-TA[[#This Row],[Fault Time]])*24,"")</f>
        <v>12.333333333333332</v>
      </c>
      <c r="AE1225" t="s">
        <v>309</v>
      </c>
      <c r="AF1225" t="s">
        <v>256</v>
      </c>
      <c r="AG1225" s="2"/>
      <c r="AH1225" s="44">
        <f>1-COS(RADIANS(TA[[#This Row],[Avg. Target Angle during Fault Time (Radians)]]-TA[[#This Row],[Angle of affected equipment ]]))</f>
        <v>0.11705240714107301</v>
      </c>
      <c r="AI1225" s="35">
        <f>IFERROR(TA[[#This Row],[Breakdown Time]]*TA[[#This Row],[Plant Equivalent Weightage]],"")</f>
        <v>7.0881226053639848E-2</v>
      </c>
    </row>
    <row r="1226" spans="1:35">
      <c r="A1226" s="2">
        <f t="shared" si="131"/>
        <v>1223</v>
      </c>
      <c r="B1226" s="156">
        <f t="shared" ref="B1226:B1238" si="136">YEAR(H1226)+IF(MONTH(H1226)&gt;=4,1,0)</f>
        <v>2026</v>
      </c>
      <c r="C1226" s="129">
        <f t="shared" ref="C1226:C1238" si="137">YEAR(H1226)</f>
        <v>2025</v>
      </c>
      <c r="D1226" s="2" t="s">
        <v>155</v>
      </c>
      <c r="E1226" s="2" t="s">
        <v>155</v>
      </c>
      <c r="F1226" s="39">
        <v>45809</v>
      </c>
      <c r="G1226" s="2">
        <f>DAY(EOMONTH(TA[[#This Row],[Month Year]],0))</f>
        <v>30</v>
      </c>
      <c r="H1226" s="21">
        <v>45831</v>
      </c>
      <c r="I1226" s="41">
        <f>IFERROR(VLOOKUP(TA[[#This Row],[Date]],Raw_Data[[Date]:[Sunset Time (POA&lt;20 W/m2)]],3,0),"")</f>
        <v>0.24791666666666667</v>
      </c>
      <c r="J1226" s="41">
        <f>IFERROR(VLOOKUP(TA[[#This Row],[Date]],Raw_Data[[Date]:[Sunset Time (POA&lt;20 W/m2)]],4,0),"")</f>
        <v>0.77083333333333337</v>
      </c>
      <c r="K1226" s="35">
        <f>IFERROR((TA[[#This Row],[Sunset Time (POA&lt;20 W/m2)]]-TA[[#This Row],[Sunrise Time (POA&gt;20 W/m2)]])*24,"")</f>
        <v>12.55</v>
      </c>
      <c r="L1226" s="2" t="s">
        <v>294</v>
      </c>
      <c r="M1226" s="42">
        <f>IFERROR(VLOOKUP(TA[[#This Row],[Affected Equipment]],'Basic Data'!$I$2:$K$40,3,0),"")</f>
        <v>1.7241379310344799E-3</v>
      </c>
      <c r="N1226">
        <v>-28</v>
      </c>
      <c r="O1226" t="s">
        <v>135</v>
      </c>
      <c r="P1226" s="127" t="s">
        <v>318</v>
      </c>
      <c r="Q1226" s="126" t="s">
        <v>318</v>
      </c>
      <c r="R1226">
        <v>131</v>
      </c>
      <c r="S1226" s="2">
        <v>38</v>
      </c>
      <c r="T1226" t="s">
        <v>295</v>
      </c>
      <c r="U1226" t="s">
        <v>300</v>
      </c>
      <c r="V1226" t="s">
        <v>298</v>
      </c>
      <c r="W1226" s="41"/>
      <c r="X1226" s="41"/>
      <c r="Y1226" s="34"/>
      <c r="Z1226" s="34"/>
      <c r="AA1226" s="35">
        <f>IF(TA[[#This Row],[Work Start time on Fault]]="NA","",(TA[[#This Row],[Fault Acknowledgement Time ]]-TA[[#This Row],[Fault Time]])*24)</f>
        <v>0</v>
      </c>
      <c r="AB1226" s="35">
        <f>(TA[[#This Row],[Work Start time on Fault]]-TA[[#This Row],[Fault Time]])*24</f>
        <v>0</v>
      </c>
      <c r="AC1226" s="34">
        <f>(TA[[#This Row],[Work Completion time on fault]]-TA[[#This Row],[Fault Time]])*24</f>
        <v>0</v>
      </c>
      <c r="AD1226" s="35">
        <f>IFERROR((TA[[#This Row],[Work Completion time on fault]]-TA[[#This Row],[Fault Time]])*24,"")</f>
        <v>0</v>
      </c>
      <c r="AE1226" t="s">
        <v>328</v>
      </c>
      <c r="AF1226" t="s">
        <v>256</v>
      </c>
      <c r="AG1226" s="2"/>
      <c r="AH1226" s="44">
        <f>1-COS(RADIANS(TA[[#This Row],[Avg. Target Angle during Fault Time (Radians)]]-TA[[#This Row],[Angle of affected equipment ]]))</f>
        <v>0.11705240714107301</v>
      </c>
      <c r="AI1226" s="35">
        <f>IFERROR(TA[[#This Row],[Breakdown Time]]*TA[[#This Row],[Plant Equivalent Weightage]],"")</f>
        <v>0</v>
      </c>
    </row>
    <row r="1227" spans="1:35">
      <c r="A1227" s="2">
        <f t="shared" si="131"/>
        <v>1224</v>
      </c>
      <c r="B1227" s="156">
        <f t="shared" si="136"/>
        <v>2026</v>
      </c>
      <c r="C1227" s="129">
        <f t="shared" si="137"/>
        <v>2025</v>
      </c>
      <c r="D1227" s="2" t="s">
        <v>155</v>
      </c>
      <c r="E1227" s="2" t="s">
        <v>155</v>
      </c>
      <c r="F1227" s="39">
        <v>45809</v>
      </c>
      <c r="G1227" s="2">
        <f>DAY(EOMONTH(TA[[#This Row],[Month Year]],0))</f>
        <v>30</v>
      </c>
      <c r="H1227" s="21">
        <v>45831</v>
      </c>
      <c r="I1227" s="41">
        <f>IFERROR(VLOOKUP(TA[[#This Row],[Date]],Raw_Data[[Date]:[Sunset Time (POA&lt;20 W/m2)]],3,0),"")</f>
        <v>0.24791666666666667</v>
      </c>
      <c r="J1227" s="41">
        <f>IFERROR(VLOOKUP(TA[[#This Row],[Date]],Raw_Data[[Date]:[Sunset Time (POA&lt;20 W/m2)]],4,0),"")</f>
        <v>0.77083333333333337</v>
      </c>
      <c r="K1227" s="35">
        <f>IFERROR((TA[[#This Row],[Sunset Time (POA&lt;20 W/m2)]]-TA[[#This Row],[Sunrise Time (POA&gt;20 W/m2)]])*24,"")</f>
        <v>12.55</v>
      </c>
      <c r="L1227" s="2" t="s">
        <v>294</v>
      </c>
      <c r="M1227" s="42">
        <f>IFERROR(VLOOKUP(TA[[#This Row],[Affected Equipment]],'Basic Data'!$I$2:$K$40,3,0),"")</f>
        <v>1.7241379310344799E-3</v>
      </c>
      <c r="N1227">
        <v>-28</v>
      </c>
      <c r="O1227" t="s">
        <v>135</v>
      </c>
      <c r="P1227" s="127" t="s">
        <v>318</v>
      </c>
      <c r="Q1227" s="126" t="s">
        <v>318</v>
      </c>
      <c r="R1227">
        <v>131</v>
      </c>
      <c r="S1227" s="2">
        <v>39</v>
      </c>
      <c r="T1227" t="s">
        <v>295</v>
      </c>
      <c r="U1227" t="s">
        <v>300</v>
      </c>
      <c r="V1227" t="s">
        <v>298</v>
      </c>
      <c r="W1227" s="41"/>
      <c r="X1227" s="41"/>
      <c r="Y1227" s="34"/>
      <c r="Z1227" s="34"/>
      <c r="AA1227" s="35">
        <f>IF(TA[[#This Row],[Work Start time on Fault]]="NA","",(TA[[#This Row],[Fault Acknowledgement Time ]]-TA[[#This Row],[Fault Time]])*24)</f>
        <v>0</v>
      </c>
      <c r="AB1227" s="35">
        <f>(TA[[#This Row],[Work Start time on Fault]]-TA[[#This Row],[Fault Time]])*24</f>
        <v>0</v>
      </c>
      <c r="AC1227" s="34">
        <f>(TA[[#This Row],[Work Completion time on fault]]-TA[[#This Row],[Fault Time]])*24</f>
        <v>0</v>
      </c>
      <c r="AD1227" s="35">
        <f>IFERROR((TA[[#This Row],[Work Completion time on fault]]-TA[[#This Row],[Fault Time]])*24,"")</f>
        <v>0</v>
      </c>
      <c r="AE1227" t="s">
        <v>328</v>
      </c>
      <c r="AF1227" t="s">
        <v>256</v>
      </c>
      <c r="AG1227" s="2"/>
      <c r="AH1227" s="44">
        <f>1-COS(RADIANS(TA[[#This Row],[Avg. Target Angle during Fault Time (Radians)]]-TA[[#This Row],[Angle of affected equipment ]]))</f>
        <v>0.11705240714107301</v>
      </c>
      <c r="AI1227" s="35">
        <f>IFERROR(TA[[#This Row],[Breakdown Time]]*TA[[#This Row],[Plant Equivalent Weightage]],"")</f>
        <v>0</v>
      </c>
    </row>
    <row r="1228" spans="1:35">
      <c r="A1228" s="2">
        <f t="shared" si="131"/>
        <v>1225</v>
      </c>
      <c r="B1228" s="156">
        <f t="shared" si="136"/>
        <v>2026</v>
      </c>
      <c r="C1228" s="129">
        <f t="shared" si="137"/>
        <v>2025</v>
      </c>
      <c r="D1228" s="2" t="s">
        <v>155</v>
      </c>
      <c r="E1228" s="2" t="s">
        <v>155</v>
      </c>
      <c r="F1228" s="39">
        <v>45809</v>
      </c>
      <c r="G1228" s="2">
        <f>DAY(EOMONTH(TA[[#This Row],[Month Year]],0))</f>
        <v>30</v>
      </c>
      <c r="H1228" s="21">
        <v>45831</v>
      </c>
      <c r="I1228" s="41">
        <f>IFERROR(VLOOKUP(TA[[#This Row],[Date]],Raw_Data[[Date]:[Sunset Time (POA&lt;20 W/m2)]],3,0),"")</f>
        <v>0.24791666666666667</v>
      </c>
      <c r="J1228" s="41">
        <f>IFERROR(VLOOKUP(TA[[#This Row],[Date]],Raw_Data[[Date]:[Sunset Time (POA&lt;20 W/m2)]],4,0),"")</f>
        <v>0.77083333333333337</v>
      </c>
      <c r="K1228" s="35">
        <f>IFERROR((TA[[#This Row],[Sunset Time (POA&lt;20 W/m2)]]-TA[[#This Row],[Sunrise Time (POA&gt;20 W/m2)]])*24,"")</f>
        <v>12.55</v>
      </c>
      <c r="L1228" s="2" t="s">
        <v>296</v>
      </c>
      <c r="M1228" s="42">
        <f>IFERROR(VLOOKUP(TA[[#This Row],[Affected Equipment]],'Basic Data'!$I$2:$K$40,3,0),"")</f>
        <v>8.6206896551724102E-3</v>
      </c>
      <c r="N1228">
        <v>-28</v>
      </c>
      <c r="O1228" t="s">
        <v>135</v>
      </c>
      <c r="P1228" s="127" t="s">
        <v>318</v>
      </c>
      <c r="Q1228" s="2" t="s">
        <v>321</v>
      </c>
      <c r="R1228">
        <v>133</v>
      </c>
      <c r="S1228" s="2">
        <v>26</v>
      </c>
      <c r="T1228" t="s">
        <v>297</v>
      </c>
      <c r="U1228" t="s">
        <v>300</v>
      </c>
      <c r="V1228" t="s">
        <v>314</v>
      </c>
      <c r="W1228" s="41">
        <f>IFERROR(VLOOKUP(TA[[#This Row],[Date]],Raw_Data[[Date]:[Sunset Time (POA&lt;20 W/m2)]],3,0),"")</f>
        <v>0.24791666666666667</v>
      </c>
      <c r="X1228" s="41">
        <f>IFERROR(VLOOKUP(TA[[#This Row],[Date]],Raw_Data[[Date]:[Sunset Time (POA&lt;20 W/m2)]],3,0),"")</f>
        <v>0.24791666666666667</v>
      </c>
      <c r="Y1228" s="34"/>
      <c r="Z1228" s="34">
        <v>0.76041666666666663</v>
      </c>
      <c r="AA1228" s="35">
        <f>IF(TA[[#This Row],[Work Start time on Fault]]="NA","",(TA[[#This Row],[Fault Acknowledgement Time ]]-TA[[#This Row],[Fault Time]])*24)</f>
        <v>0</v>
      </c>
      <c r="AB1228" s="35">
        <f>(TA[[#This Row],[Work Start time on Fault]]-TA[[#This Row],[Fault Time]])*24</f>
        <v>-5.95</v>
      </c>
      <c r="AC1228" s="34">
        <f>(TA[[#This Row],[Work Completion time on fault]]-TA[[#This Row],[Fault Time]])*24</f>
        <v>12.299999999999999</v>
      </c>
      <c r="AD1228" s="35">
        <f>IFERROR((TA[[#This Row],[Work Completion time on fault]]-TA[[#This Row],[Fault Time]])*24,"")</f>
        <v>12.299999999999999</v>
      </c>
      <c r="AE1228" t="s">
        <v>328</v>
      </c>
      <c r="AF1228" t="s">
        <v>256</v>
      </c>
      <c r="AG1228" s="2"/>
      <c r="AH1228" s="44">
        <f>1-COS(RADIANS(TA[[#This Row],[Avg. Target Angle during Fault Time (Radians)]]-TA[[#This Row],[Angle of affected equipment ]]))</f>
        <v>0.11705240714107301</v>
      </c>
      <c r="AI1228" s="35">
        <f>IFERROR(TA[[#This Row],[Breakdown Time]]*TA[[#This Row],[Plant Equivalent Weightage]],"")</f>
        <v>0.10603448275862064</v>
      </c>
    </row>
    <row r="1229" spans="1:35">
      <c r="A1229" s="2">
        <f t="shared" si="131"/>
        <v>1226</v>
      </c>
      <c r="B1229" s="156">
        <f t="shared" si="136"/>
        <v>2026</v>
      </c>
      <c r="C1229" s="129">
        <f t="shared" si="137"/>
        <v>2025</v>
      </c>
      <c r="D1229" s="2" t="s">
        <v>155</v>
      </c>
      <c r="E1229" s="2" t="s">
        <v>155</v>
      </c>
      <c r="F1229" s="39">
        <v>45809</v>
      </c>
      <c r="G1229" s="2">
        <f>DAY(EOMONTH(TA[[#This Row],[Month Year]],0))</f>
        <v>30</v>
      </c>
      <c r="H1229" s="21">
        <v>45831</v>
      </c>
      <c r="I1229" s="41">
        <f>IFERROR(VLOOKUP(TA[[#This Row],[Date]],Raw_Data[[Date]:[Sunset Time (POA&lt;20 W/m2)]],3,0),"")</f>
        <v>0.24791666666666667</v>
      </c>
      <c r="J1229" s="41">
        <f>IFERROR(VLOOKUP(TA[[#This Row],[Date]],Raw_Data[[Date]:[Sunset Time (POA&lt;20 W/m2)]],4,0),"")</f>
        <v>0.77083333333333337</v>
      </c>
      <c r="K1229" s="35">
        <f>IFERROR((TA[[#This Row],[Sunset Time (POA&lt;20 W/m2)]]-TA[[#This Row],[Sunrise Time (POA&gt;20 W/m2)]])*24,"")</f>
        <v>12.55</v>
      </c>
      <c r="L1229" s="2" t="s">
        <v>294</v>
      </c>
      <c r="M1229" s="42">
        <f>IFERROR(VLOOKUP(TA[[#This Row],[Affected Equipment]],'Basic Data'!$I$2:$K$40,3,0),"")</f>
        <v>1.7241379310344799E-3</v>
      </c>
      <c r="N1229">
        <v>-28</v>
      </c>
      <c r="O1229" t="s">
        <v>133</v>
      </c>
      <c r="P1229" s="127" t="s">
        <v>316</v>
      </c>
      <c r="Q1229" s="126" t="s">
        <v>317</v>
      </c>
      <c r="R1229">
        <v>7</v>
      </c>
      <c r="S1229" s="2">
        <v>32</v>
      </c>
      <c r="T1229" t="s">
        <v>295</v>
      </c>
      <c r="U1229" t="s">
        <v>300</v>
      </c>
      <c r="V1229" t="s">
        <v>298</v>
      </c>
      <c r="W1229" s="41"/>
      <c r="X1229" s="41"/>
      <c r="Y1229" s="34"/>
      <c r="Z1229" s="34"/>
      <c r="AA1229" s="35">
        <f>IF(TA[[#This Row],[Work Start time on Fault]]="NA","",(TA[[#This Row],[Fault Acknowledgement Time ]]-TA[[#This Row],[Fault Time]])*24)</f>
        <v>0</v>
      </c>
      <c r="AB1229" s="35">
        <f>(TA[[#This Row],[Work Start time on Fault]]-TA[[#This Row],[Fault Time]])*24</f>
        <v>0</v>
      </c>
      <c r="AC1229" s="34">
        <f>(TA[[#This Row],[Work Completion time on fault]]-TA[[#This Row],[Fault Time]])*24</f>
        <v>0</v>
      </c>
      <c r="AD1229" s="35">
        <f>IFERROR((TA[[#This Row],[Work Completion time on fault]]-TA[[#This Row],[Fault Time]])*24,"")</f>
        <v>0</v>
      </c>
      <c r="AE1229" t="s">
        <v>328</v>
      </c>
      <c r="AF1229" t="s">
        <v>256</v>
      </c>
      <c r="AG1229" s="2"/>
      <c r="AH1229" s="44">
        <f>1-COS(RADIANS(TA[[#This Row],[Avg. Target Angle during Fault Time (Radians)]]-TA[[#This Row],[Angle of affected equipment ]]))</f>
        <v>0.11705240714107301</v>
      </c>
      <c r="AI1229" s="35">
        <f>IFERROR(TA[[#This Row],[Breakdown Time]]*TA[[#This Row],[Plant Equivalent Weightage]],"")</f>
        <v>0</v>
      </c>
    </row>
    <row r="1230" spans="1:35">
      <c r="A1230" s="2">
        <f t="shared" si="131"/>
        <v>1227</v>
      </c>
      <c r="B1230" s="156">
        <f t="shared" si="136"/>
        <v>2026</v>
      </c>
      <c r="C1230" s="129">
        <f t="shared" si="137"/>
        <v>2025</v>
      </c>
      <c r="D1230" s="2" t="s">
        <v>155</v>
      </c>
      <c r="E1230" s="2" t="s">
        <v>155</v>
      </c>
      <c r="F1230" s="39">
        <v>45809</v>
      </c>
      <c r="G1230" s="2">
        <f>DAY(EOMONTH(TA[[#This Row],[Month Year]],0))</f>
        <v>30</v>
      </c>
      <c r="H1230" s="21">
        <v>45831</v>
      </c>
      <c r="I1230" s="41">
        <f>IFERROR(VLOOKUP(TA[[#This Row],[Date]],Raw_Data[[Date]:[Sunset Time (POA&lt;20 W/m2)]],3,0),"")</f>
        <v>0.24791666666666667</v>
      </c>
      <c r="J1230" s="41">
        <f>IFERROR(VLOOKUP(TA[[#This Row],[Date]],Raw_Data[[Date]:[Sunset Time (POA&lt;20 W/m2)]],4,0),"")</f>
        <v>0.77083333333333337</v>
      </c>
      <c r="K1230" s="35">
        <f>IFERROR((TA[[#This Row],[Sunset Time (POA&lt;20 W/m2)]]-TA[[#This Row],[Sunrise Time (POA&gt;20 W/m2)]])*24,"")</f>
        <v>12.55</v>
      </c>
      <c r="L1230" s="2" t="s">
        <v>294</v>
      </c>
      <c r="M1230" s="42">
        <f>IFERROR(VLOOKUP(TA[[#This Row],[Affected Equipment]],'Basic Data'!$I$2:$K$40,3,0),"")</f>
        <v>1.7241379310344799E-3</v>
      </c>
      <c r="N1230">
        <v>-28</v>
      </c>
      <c r="O1230" t="s">
        <v>137</v>
      </c>
      <c r="P1230" s="127" t="s">
        <v>315</v>
      </c>
      <c r="Q1230" s="126" t="s">
        <v>319</v>
      </c>
      <c r="R1230">
        <v>166</v>
      </c>
      <c r="S1230" s="2">
        <v>91</v>
      </c>
      <c r="T1230" t="s">
        <v>295</v>
      </c>
      <c r="U1230" t="s">
        <v>300</v>
      </c>
      <c r="V1230" t="s">
        <v>298</v>
      </c>
      <c r="W1230" s="41"/>
      <c r="X1230" s="41"/>
      <c r="Y1230" s="34"/>
      <c r="Z1230" s="34"/>
      <c r="AA1230" s="35">
        <f>IF(TA[[#This Row],[Work Start time on Fault]]="NA","",(TA[[#This Row],[Fault Acknowledgement Time ]]-TA[[#This Row],[Fault Time]])*24)</f>
        <v>0</v>
      </c>
      <c r="AB1230" s="35">
        <f>(TA[[#This Row],[Work Start time on Fault]]-TA[[#This Row],[Fault Time]])*24</f>
        <v>0</v>
      </c>
      <c r="AC1230" s="34">
        <f>(TA[[#This Row],[Work Completion time on fault]]-TA[[#This Row],[Fault Time]])*24</f>
        <v>0</v>
      </c>
      <c r="AD1230" s="35">
        <f>IFERROR((TA[[#This Row],[Work Completion time on fault]]-TA[[#This Row],[Fault Time]])*24,"")</f>
        <v>0</v>
      </c>
      <c r="AE1230" t="s">
        <v>328</v>
      </c>
      <c r="AF1230" t="s">
        <v>256</v>
      </c>
      <c r="AG1230" s="2"/>
      <c r="AH1230" s="44">
        <f>1-COS(RADIANS(TA[[#This Row],[Avg. Target Angle during Fault Time (Radians)]]-TA[[#This Row],[Angle of affected equipment ]]))</f>
        <v>0.11705240714107301</v>
      </c>
      <c r="AI1230" s="35">
        <f>IFERROR(TA[[#This Row],[Breakdown Time]]*TA[[#This Row],[Plant Equivalent Weightage]],"")</f>
        <v>0</v>
      </c>
    </row>
    <row r="1231" spans="1:35">
      <c r="A1231" s="2">
        <f t="shared" si="131"/>
        <v>1228</v>
      </c>
      <c r="B1231" s="156">
        <f t="shared" si="136"/>
        <v>2026</v>
      </c>
      <c r="C1231" s="129">
        <f t="shared" si="137"/>
        <v>2025</v>
      </c>
      <c r="D1231" s="2" t="s">
        <v>155</v>
      </c>
      <c r="E1231" s="2" t="s">
        <v>155</v>
      </c>
      <c r="F1231" s="39">
        <v>45809</v>
      </c>
      <c r="G1231" s="2">
        <f>DAY(EOMONTH(TA[[#This Row],[Month Year]],0))</f>
        <v>30</v>
      </c>
      <c r="H1231" s="21">
        <v>45831</v>
      </c>
      <c r="I1231" s="41">
        <f>IFERROR(VLOOKUP(TA[[#This Row],[Date]],Raw_Data[[Date]:[Sunset Time (POA&lt;20 W/m2)]],3,0),"")</f>
        <v>0.24791666666666667</v>
      </c>
      <c r="J1231" s="41">
        <f>IFERROR(VLOOKUP(TA[[#This Row],[Date]],Raw_Data[[Date]:[Sunset Time (POA&lt;20 W/m2)]],4,0),"")</f>
        <v>0.77083333333333337</v>
      </c>
      <c r="K1231" s="35">
        <f>IFERROR((TA[[#This Row],[Sunset Time (POA&lt;20 W/m2)]]-TA[[#This Row],[Sunrise Time (POA&gt;20 W/m2)]])*24,"")</f>
        <v>12.55</v>
      </c>
      <c r="L1231" s="2" t="s">
        <v>294</v>
      </c>
      <c r="M1231" s="42">
        <f>IFERROR(VLOOKUP(TA[[#This Row],[Affected Equipment]],'Basic Data'!$I$2:$K$40,3,0),"")</f>
        <v>1.7241379310344799E-3</v>
      </c>
      <c r="N1231">
        <v>-28</v>
      </c>
      <c r="O1231" t="s">
        <v>133</v>
      </c>
      <c r="P1231" s="127" t="s">
        <v>316</v>
      </c>
      <c r="Q1231" s="126" t="s">
        <v>316</v>
      </c>
      <c r="R1231">
        <v>117</v>
      </c>
      <c r="S1231" s="2">
        <v>20</v>
      </c>
      <c r="T1231" t="s">
        <v>295</v>
      </c>
      <c r="U1231" t="s">
        <v>300</v>
      </c>
      <c r="V1231" t="s">
        <v>298</v>
      </c>
      <c r="W1231" s="41"/>
      <c r="X1231" s="41"/>
      <c r="Y1231" s="34"/>
      <c r="Z1231" s="34"/>
      <c r="AA1231" s="35">
        <f>IF(TA[[#This Row],[Work Start time on Fault]]="NA","",(TA[[#This Row],[Fault Acknowledgement Time ]]-TA[[#This Row],[Fault Time]])*24)</f>
        <v>0</v>
      </c>
      <c r="AB1231" s="35">
        <f>(TA[[#This Row],[Work Start time on Fault]]-TA[[#This Row],[Fault Time]])*24</f>
        <v>0</v>
      </c>
      <c r="AC1231" s="34">
        <f>(TA[[#This Row],[Work Completion time on fault]]-TA[[#This Row],[Fault Time]])*24</f>
        <v>0</v>
      </c>
      <c r="AD1231" s="35">
        <f>IFERROR((TA[[#This Row],[Work Completion time on fault]]-TA[[#This Row],[Fault Time]])*24,"")</f>
        <v>0</v>
      </c>
      <c r="AE1231" t="s">
        <v>328</v>
      </c>
      <c r="AF1231" t="s">
        <v>256</v>
      </c>
      <c r="AG1231" s="2"/>
      <c r="AH1231" s="44">
        <f>1-COS(RADIANS(TA[[#This Row],[Avg. Target Angle during Fault Time (Radians)]]-TA[[#This Row],[Angle of affected equipment ]]))</f>
        <v>0.11705240714107301</v>
      </c>
      <c r="AI1231" s="35">
        <f>IFERROR(TA[[#This Row],[Breakdown Time]]*TA[[#This Row],[Plant Equivalent Weightage]],"")</f>
        <v>0</v>
      </c>
    </row>
    <row r="1232" spans="1:35">
      <c r="A1232" s="2">
        <f t="shared" si="131"/>
        <v>1229</v>
      </c>
      <c r="B1232" s="156">
        <f t="shared" si="136"/>
        <v>2026</v>
      </c>
      <c r="C1232" s="129">
        <f t="shared" si="137"/>
        <v>2025</v>
      </c>
      <c r="D1232" s="2" t="s">
        <v>155</v>
      </c>
      <c r="E1232" s="2" t="s">
        <v>155</v>
      </c>
      <c r="F1232" s="39">
        <v>45809</v>
      </c>
      <c r="G1232" s="2">
        <f>DAY(EOMONTH(TA[[#This Row],[Month Year]],0))</f>
        <v>30</v>
      </c>
      <c r="H1232" s="21">
        <v>45831</v>
      </c>
      <c r="I1232" s="41">
        <f>IFERROR(VLOOKUP(TA[[#This Row],[Date]],Raw_Data[[Date]:[Sunset Time (POA&lt;20 W/m2)]],3,0),"")</f>
        <v>0.24791666666666667</v>
      </c>
      <c r="J1232" s="41">
        <f>IFERROR(VLOOKUP(TA[[#This Row],[Date]],Raw_Data[[Date]:[Sunset Time (POA&lt;20 W/m2)]],4,0),"")</f>
        <v>0.77083333333333337</v>
      </c>
      <c r="K1232" s="35">
        <f>IFERROR((TA[[#This Row],[Sunset Time (POA&lt;20 W/m2)]]-TA[[#This Row],[Sunrise Time (POA&gt;20 W/m2)]])*24,"")</f>
        <v>12.55</v>
      </c>
      <c r="L1232" s="2" t="s">
        <v>294</v>
      </c>
      <c r="M1232" s="42">
        <f>IFERROR(VLOOKUP(TA[[#This Row],[Affected Equipment]],'Basic Data'!$I$2:$K$40,3,0),"")</f>
        <v>1.7241379310344799E-3</v>
      </c>
      <c r="N1232">
        <v>-28</v>
      </c>
      <c r="O1232" t="s">
        <v>133</v>
      </c>
      <c r="P1232" s="127" t="s">
        <v>316</v>
      </c>
      <c r="Q1232" s="126" t="s">
        <v>316</v>
      </c>
      <c r="R1232">
        <v>118</v>
      </c>
      <c r="S1232" s="2">
        <v>22</v>
      </c>
      <c r="T1232" t="s">
        <v>295</v>
      </c>
      <c r="U1232" t="s">
        <v>300</v>
      </c>
      <c r="V1232" t="s">
        <v>298</v>
      </c>
      <c r="W1232" s="41"/>
      <c r="X1232" s="41"/>
      <c r="Y1232" s="34"/>
      <c r="Z1232" s="34"/>
      <c r="AA1232" s="35">
        <f>IF(TA[[#This Row],[Work Start time on Fault]]="NA","",(TA[[#This Row],[Fault Acknowledgement Time ]]-TA[[#This Row],[Fault Time]])*24)</f>
        <v>0</v>
      </c>
      <c r="AB1232" s="35">
        <f>(TA[[#This Row],[Work Start time on Fault]]-TA[[#This Row],[Fault Time]])*24</f>
        <v>0</v>
      </c>
      <c r="AC1232" s="34">
        <f>(TA[[#This Row],[Work Completion time on fault]]-TA[[#This Row],[Fault Time]])*24</f>
        <v>0</v>
      </c>
      <c r="AD1232" s="35">
        <f>IFERROR((TA[[#This Row],[Work Completion time on fault]]-TA[[#This Row],[Fault Time]])*24,"")</f>
        <v>0</v>
      </c>
      <c r="AE1232" t="s">
        <v>328</v>
      </c>
      <c r="AF1232" t="s">
        <v>256</v>
      </c>
      <c r="AG1232" s="2"/>
      <c r="AH1232" s="44">
        <f>1-COS(RADIANS(TA[[#This Row],[Avg. Target Angle during Fault Time (Radians)]]-TA[[#This Row],[Angle of affected equipment ]]))</f>
        <v>0.11705240714107301</v>
      </c>
      <c r="AI1232" s="35">
        <f>IFERROR(TA[[#This Row],[Breakdown Time]]*TA[[#This Row],[Plant Equivalent Weightage]],"")</f>
        <v>0</v>
      </c>
    </row>
    <row r="1233" spans="1:35">
      <c r="A1233" s="2">
        <f t="shared" si="131"/>
        <v>1230</v>
      </c>
      <c r="B1233" s="156">
        <f t="shared" si="136"/>
        <v>2026</v>
      </c>
      <c r="C1233" s="129">
        <f t="shared" si="137"/>
        <v>2025</v>
      </c>
      <c r="D1233" s="2" t="s">
        <v>155</v>
      </c>
      <c r="E1233" s="2" t="s">
        <v>155</v>
      </c>
      <c r="F1233" s="39">
        <v>45809</v>
      </c>
      <c r="G1233" s="2">
        <f>DAY(EOMONTH(TA[[#This Row],[Month Year]],0))</f>
        <v>30</v>
      </c>
      <c r="H1233" s="21">
        <v>45831</v>
      </c>
      <c r="I1233" s="41">
        <f>IFERROR(VLOOKUP(TA[[#This Row],[Date]],Raw_Data[[Date]:[Sunset Time (POA&lt;20 W/m2)]],3,0),"")</f>
        <v>0.24791666666666667</v>
      </c>
      <c r="J1233" s="41">
        <f>IFERROR(VLOOKUP(TA[[#This Row],[Date]],Raw_Data[[Date]:[Sunset Time (POA&lt;20 W/m2)]],4,0),"")</f>
        <v>0.77083333333333337</v>
      </c>
      <c r="K1233" s="35">
        <f>IFERROR((TA[[#This Row],[Sunset Time (POA&lt;20 W/m2)]]-TA[[#This Row],[Sunrise Time (POA&gt;20 W/m2)]])*24,"")</f>
        <v>12.55</v>
      </c>
      <c r="L1233" s="2" t="s">
        <v>296</v>
      </c>
      <c r="M1233" s="42">
        <f>IFERROR(VLOOKUP(TA[[#This Row],[Affected Equipment]],'Basic Data'!$I$2:$K$40,3,0),"")</f>
        <v>8.6206896551724102E-3</v>
      </c>
      <c r="N1233">
        <v>-28</v>
      </c>
      <c r="O1233" t="s">
        <v>135</v>
      </c>
      <c r="P1233" s="22" t="s">
        <v>323</v>
      </c>
      <c r="Q1233" s="2" t="s">
        <v>329</v>
      </c>
      <c r="R1233">
        <v>45</v>
      </c>
      <c r="S1233" s="2">
        <v>8</v>
      </c>
      <c r="T1233" t="s">
        <v>297</v>
      </c>
      <c r="U1233" t="s">
        <v>300</v>
      </c>
      <c r="V1233" t="s">
        <v>301</v>
      </c>
      <c r="W1233" s="41"/>
      <c r="X1233" s="41"/>
      <c r="Y1233" s="34"/>
      <c r="Z1233" s="34"/>
      <c r="AA1233" s="35">
        <f>IF(TA[[#This Row],[Work Start time on Fault]]="NA","",(TA[[#This Row],[Fault Acknowledgement Time ]]-TA[[#This Row],[Fault Time]])*24)</f>
        <v>0</v>
      </c>
      <c r="AB1233" s="35">
        <f>(TA[[#This Row],[Work Start time on Fault]]-TA[[#This Row],[Fault Time]])*24</f>
        <v>0</v>
      </c>
      <c r="AC1233" s="34">
        <f>(TA[[#This Row],[Work Completion time on fault]]-TA[[#This Row],[Fault Time]])*24</f>
        <v>0</v>
      </c>
      <c r="AD1233" s="35">
        <f>IFERROR((TA[[#This Row],[Work Completion time on fault]]-TA[[#This Row],[Fault Time]])*24,"")</f>
        <v>0</v>
      </c>
      <c r="AE1233" t="s">
        <v>328</v>
      </c>
      <c r="AF1233" t="s">
        <v>256</v>
      </c>
      <c r="AG1233" s="2"/>
      <c r="AH1233" s="44">
        <f>1-COS(RADIANS(TA[[#This Row],[Avg. Target Angle during Fault Time (Radians)]]-TA[[#This Row],[Angle of affected equipment ]]))</f>
        <v>0.11705240714107301</v>
      </c>
      <c r="AI1233" s="35">
        <f>IFERROR(TA[[#This Row],[Breakdown Time]]*TA[[#This Row],[Plant Equivalent Weightage]],"")</f>
        <v>0</v>
      </c>
    </row>
    <row r="1234" spans="1:35">
      <c r="A1234" s="2">
        <f t="shared" si="131"/>
        <v>1231</v>
      </c>
      <c r="B1234" s="156">
        <f t="shared" si="136"/>
        <v>2026</v>
      </c>
      <c r="C1234" s="129">
        <f t="shared" si="137"/>
        <v>2025</v>
      </c>
      <c r="D1234" s="2" t="s">
        <v>155</v>
      </c>
      <c r="E1234" s="2" t="s">
        <v>155</v>
      </c>
      <c r="F1234" s="39">
        <v>45809</v>
      </c>
      <c r="G1234" s="2">
        <f>DAY(EOMONTH(TA[[#This Row],[Month Year]],0))</f>
        <v>30</v>
      </c>
      <c r="H1234" s="21">
        <v>45831</v>
      </c>
      <c r="I1234" s="41">
        <f>IFERROR(VLOOKUP(TA[[#This Row],[Date]],Raw_Data[[Date]:[Sunset Time (POA&lt;20 W/m2)]],3,0),"")</f>
        <v>0.24791666666666667</v>
      </c>
      <c r="J1234" s="41">
        <f>IFERROR(VLOOKUP(TA[[#This Row],[Date]],Raw_Data[[Date]:[Sunset Time (POA&lt;20 W/m2)]],4,0),"")</f>
        <v>0.77083333333333337</v>
      </c>
      <c r="K1234" s="35">
        <f>IFERROR((TA[[#This Row],[Sunset Time (POA&lt;20 W/m2)]]-TA[[#This Row],[Sunrise Time (POA&gt;20 W/m2)]])*24,"")</f>
        <v>12.55</v>
      </c>
      <c r="L1234" s="2" t="s">
        <v>296</v>
      </c>
      <c r="M1234" s="42">
        <f>IFERROR(VLOOKUP(TA[[#This Row],[Affected Equipment]],'Basic Data'!$I$2:$K$40,3,0),"")</f>
        <v>8.6206896551724102E-3</v>
      </c>
      <c r="N1234">
        <v>-28</v>
      </c>
      <c r="O1234" t="s">
        <v>135</v>
      </c>
      <c r="P1234" s="22" t="s">
        <v>323</v>
      </c>
      <c r="Q1234" s="2" t="s">
        <v>329</v>
      </c>
      <c r="R1234">
        <v>47</v>
      </c>
      <c r="S1234" s="2">
        <v>18</v>
      </c>
      <c r="T1234" t="s">
        <v>297</v>
      </c>
      <c r="U1234" t="s">
        <v>300</v>
      </c>
      <c r="V1234" t="s">
        <v>301</v>
      </c>
      <c r="W1234" s="41"/>
      <c r="X1234" s="41"/>
      <c r="Y1234" s="34"/>
      <c r="Z1234" s="34"/>
      <c r="AA1234" s="35">
        <f>IF(TA[[#This Row],[Work Start time on Fault]]="NA","",(TA[[#This Row],[Fault Acknowledgement Time ]]-TA[[#This Row],[Fault Time]])*24)</f>
        <v>0</v>
      </c>
      <c r="AB1234" s="35">
        <f>(TA[[#This Row],[Work Start time on Fault]]-TA[[#This Row],[Fault Time]])*24</f>
        <v>0</v>
      </c>
      <c r="AC1234" s="34">
        <f>(TA[[#This Row],[Work Completion time on fault]]-TA[[#This Row],[Fault Time]])*24</f>
        <v>0</v>
      </c>
      <c r="AD1234" s="35">
        <f>IFERROR((TA[[#This Row],[Work Completion time on fault]]-TA[[#This Row],[Fault Time]])*24,"")</f>
        <v>0</v>
      </c>
      <c r="AE1234" t="s">
        <v>328</v>
      </c>
      <c r="AF1234" t="s">
        <v>256</v>
      </c>
      <c r="AG1234" s="2"/>
      <c r="AH1234" s="44">
        <f>1-COS(RADIANS(TA[[#This Row],[Avg. Target Angle during Fault Time (Radians)]]-TA[[#This Row],[Angle of affected equipment ]]))</f>
        <v>0.11705240714107301</v>
      </c>
      <c r="AI1234" s="35">
        <f>IFERROR(TA[[#This Row],[Breakdown Time]]*TA[[#This Row],[Plant Equivalent Weightage]],"")</f>
        <v>0</v>
      </c>
    </row>
    <row r="1235" spans="1:35">
      <c r="A1235" s="2">
        <f t="shared" si="131"/>
        <v>1232</v>
      </c>
      <c r="B1235" s="156">
        <f t="shared" si="136"/>
        <v>2026</v>
      </c>
      <c r="C1235" s="129">
        <f t="shared" si="137"/>
        <v>2025</v>
      </c>
      <c r="D1235" s="2" t="s">
        <v>155</v>
      </c>
      <c r="E1235" s="2" t="s">
        <v>155</v>
      </c>
      <c r="F1235" s="39">
        <v>45809</v>
      </c>
      <c r="G1235" s="2">
        <f>DAY(EOMONTH(TA[[#This Row],[Month Year]],0))</f>
        <v>30</v>
      </c>
      <c r="H1235" s="21">
        <v>45831</v>
      </c>
      <c r="I1235" s="41">
        <f>IFERROR(VLOOKUP(TA[[#This Row],[Date]],Raw_Data[[Date]:[Sunset Time (POA&lt;20 W/m2)]],3,0),"")</f>
        <v>0.24791666666666667</v>
      </c>
      <c r="J1235" s="41">
        <f>IFERROR(VLOOKUP(TA[[#This Row],[Date]],Raw_Data[[Date]:[Sunset Time (POA&lt;20 W/m2)]],4,0),"")</f>
        <v>0.77083333333333337</v>
      </c>
      <c r="K1235" s="35">
        <f>IFERROR((TA[[#This Row],[Sunset Time (POA&lt;20 W/m2)]]-TA[[#This Row],[Sunrise Time (POA&gt;20 W/m2)]])*24,"")</f>
        <v>12.55</v>
      </c>
      <c r="L1235" s="2" t="s">
        <v>296</v>
      </c>
      <c r="M1235" s="42">
        <f>IFERROR(VLOOKUP(TA[[#This Row],[Affected Equipment]],'Basic Data'!$I$2:$K$40,3,0),"")</f>
        <v>8.6206896551724102E-3</v>
      </c>
      <c r="N1235">
        <v>-28</v>
      </c>
      <c r="O1235" t="s">
        <v>134</v>
      </c>
      <c r="P1235" s="22" t="s">
        <v>330</v>
      </c>
      <c r="Q1235" s="2" t="s">
        <v>323</v>
      </c>
      <c r="R1235">
        <v>30</v>
      </c>
      <c r="S1235" s="2">
        <v>57</v>
      </c>
      <c r="T1235" t="s">
        <v>297</v>
      </c>
      <c r="U1235" t="s">
        <v>300</v>
      </c>
      <c r="V1235" t="s">
        <v>301</v>
      </c>
      <c r="W1235" s="41"/>
      <c r="X1235" s="41"/>
      <c r="Y1235" s="34"/>
      <c r="Z1235" s="34"/>
      <c r="AA1235" s="35">
        <f>IF(TA[[#This Row],[Work Start time on Fault]]="NA","",(TA[[#This Row],[Fault Acknowledgement Time ]]-TA[[#This Row],[Fault Time]])*24)</f>
        <v>0</v>
      </c>
      <c r="AB1235" s="35">
        <f>(TA[[#This Row],[Work Start time on Fault]]-TA[[#This Row],[Fault Time]])*24</f>
        <v>0</v>
      </c>
      <c r="AC1235" s="34">
        <f>(TA[[#This Row],[Work Completion time on fault]]-TA[[#This Row],[Fault Time]])*24</f>
        <v>0</v>
      </c>
      <c r="AD1235" s="35">
        <f>IFERROR((TA[[#This Row],[Work Completion time on fault]]-TA[[#This Row],[Fault Time]])*24,"")</f>
        <v>0</v>
      </c>
      <c r="AE1235" t="s">
        <v>328</v>
      </c>
      <c r="AF1235" t="s">
        <v>256</v>
      </c>
      <c r="AG1235" s="2"/>
      <c r="AH1235" s="44">
        <f>1-COS(RADIANS(TA[[#This Row],[Avg. Target Angle during Fault Time (Radians)]]-TA[[#This Row],[Angle of affected equipment ]]))</f>
        <v>0.11705240714107301</v>
      </c>
      <c r="AI1235" s="35">
        <f>IFERROR(TA[[#This Row],[Breakdown Time]]*TA[[#This Row],[Plant Equivalent Weightage]],"")</f>
        <v>0</v>
      </c>
    </row>
    <row r="1236" spans="1:35">
      <c r="A1236" s="2">
        <f t="shared" si="131"/>
        <v>1233</v>
      </c>
      <c r="B1236" s="156">
        <f t="shared" si="136"/>
        <v>2026</v>
      </c>
      <c r="C1236" s="129">
        <f t="shared" si="137"/>
        <v>2025</v>
      </c>
      <c r="D1236" s="2" t="s">
        <v>155</v>
      </c>
      <c r="E1236" s="2" t="s">
        <v>155</v>
      </c>
      <c r="F1236" s="39">
        <v>45809</v>
      </c>
      <c r="G1236" s="2">
        <f>DAY(EOMONTH(TA[[#This Row],[Month Year]],0))</f>
        <v>30</v>
      </c>
      <c r="H1236" s="21">
        <v>45831</v>
      </c>
      <c r="I1236" s="41">
        <f>IFERROR(VLOOKUP(TA[[#This Row],[Date]],Raw_Data[[Date]:[Sunset Time (POA&lt;20 W/m2)]],3,0),"")</f>
        <v>0.24791666666666667</v>
      </c>
      <c r="J1236" s="41">
        <f>IFERROR(VLOOKUP(TA[[#This Row],[Date]],Raw_Data[[Date]:[Sunset Time (POA&lt;20 W/m2)]],4,0),"")</f>
        <v>0.77083333333333337</v>
      </c>
      <c r="K1236" s="35">
        <f>IFERROR((TA[[#This Row],[Sunset Time (POA&lt;20 W/m2)]]-TA[[#This Row],[Sunrise Time (POA&gt;20 W/m2)]])*24,"")</f>
        <v>12.55</v>
      </c>
      <c r="L1236" s="2" t="s">
        <v>296</v>
      </c>
      <c r="M1236" s="42">
        <f>IFERROR(VLOOKUP(TA[[#This Row],[Affected Equipment]],'Basic Data'!$I$2:$K$40,3,0),"")</f>
        <v>8.6206896551724102E-3</v>
      </c>
      <c r="N1236">
        <v>-28</v>
      </c>
      <c r="O1236" t="s">
        <v>134</v>
      </c>
      <c r="P1236" s="22" t="s">
        <v>330</v>
      </c>
      <c r="Q1236" s="2" t="s">
        <v>323</v>
      </c>
      <c r="R1236">
        <v>31</v>
      </c>
      <c r="S1236" s="2">
        <v>61</v>
      </c>
      <c r="T1236" t="s">
        <v>297</v>
      </c>
      <c r="U1236" t="s">
        <v>300</v>
      </c>
      <c r="V1236" t="s">
        <v>301</v>
      </c>
      <c r="W1236" s="41"/>
      <c r="X1236" s="41"/>
      <c r="Y1236" s="34"/>
      <c r="Z1236" s="34"/>
      <c r="AA1236" s="35">
        <f>IF(TA[[#This Row],[Work Start time on Fault]]="NA","",(TA[[#This Row],[Fault Acknowledgement Time ]]-TA[[#This Row],[Fault Time]])*24)</f>
        <v>0</v>
      </c>
      <c r="AB1236" s="35">
        <f>(TA[[#This Row],[Work Start time on Fault]]-TA[[#This Row],[Fault Time]])*24</f>
        <v>0</v>
      </c>
      <c r="AC1236" s="34">
        <f>(TA[[#This Row],[Work Completion time on fault]]-TA[[#This Row],[Fault Time]])*24</f>
        <v>0</v>
      </c>
      <c r="AD1236" s="35">
        <f>IFERROR((TA[[#This Row],[Work Completion time on fault]]-TA[[#This Row],[Fault Time]])*24,"")</f>
        <v>0</v>
      </c>
      <c r="AE1236" t="s">
        <v>328</v>
      </c>
      <c r="AF1236" t="s">
        <v>256</v>
      </c>
      <c r="AG1236" s="2"/>
      <c r="AH1236" s="44">
        <f>1-COS(RADIANS(TA[[#This Row],[Avg. Target Angle during Fault Time (Radians)]]-TA[[#This Row],[Angle of affected equipment ]]))</f>
        <v>0.11705240714107301</v>
      </c>
      <c r="AI1236" s="35">
        <f>IFERROR(TA[[#This Row],[Breakdown Time]]*TA[[#This Row],[Plant Equivalent Weightage]],"")</f>
        <v>0</v>
      </c>
    </row>
    <row r="1237" spans="1:35">
      <c r="A1237" s="2">
        <f t="shared" si="131"/>
        <v>1234</v>
      </c>
      <c r="B1237" s="156">
        <f t="shared" si="136"/>
        <v>2026</v>
      </c>
      <c r="C1237" s="129">
        <f t="shared" si="137"/>
        <v>2025</v>
      </c>
      <c r="D1237" s="2" t="s">
        <v>155</v>
      </c>
      <c r="E1237" s="2" t="s">
        <v>155</v>
      </c>
      <c r="F1237" s="39">
        <v>45809</v>
      </c>
      <c r="G1237" s="2">
        <f>DAY(EOMONTH(TA[[#This Row],[Month Year]],0))</f>
        <v>30</v>
      </c>
      <c r="H1237" s="21">
        <v>45831</v>
      </c>
      <c r="I1237" s="41">
        <f>IFERROR(VLOOKUP(TA[[#This Row],[Date]],Raw_Data[[Date]:[Sunset Time (POA&lt;20 W/m2)]],3,0),"")</f>
        <v>0.24791666666666667</v>
      </c>
      <c r="J1237" s="41">
        <f>IFERROR(VLOOKUP(TA[[#This Row],[Date]],Raw_Data[[Date]:[Sunset Time (POA&lt;20 W/m2)]],4,0),"")</f>
        <v>0.77083333333333337</v>
      </c>
      <c r="K1237" s="35">
        <f>IFERROR((TA[[#This Row],[Sunset Time (POA&lt;20 W/m2)]]-TA[[#This Row],[Sunrise Time (POA&gt;20 W/m2)]])*24,"")</f>
        <v>12.55</v>
      </c>
      <c r="L1237" s="2" t="s">
        <v>312</v>
      </c>
      <c r="M1237" s="42">
        <f>IFERROR(VLOOKUP(TA[[#This Row],[Affected Equipment]],'Basic Data'!$I$2:$K$40,3,0),"")</f>
        <v>5.74712643678161E-3</v>
      </c>
      <c r="N1237">
        <v>-28</v>
      </c>
      <c r="O1237" t="s">
        <v>133</v>
      </c>
      <c r="P1237" s="22" t="s">
        <v>330</v>
      </c>
      <c r="Q1237" s="2" t="s">
        <v>323</v>
      </c>
      <c r="R1237">
        <v>26</v>
      </c>
      <c r="S1237" s="2">
        <v>37</v>
      </c>
      <c r="T1237" t="s">
        <v>297</v>
      </c>
      <c r="U1237" t="s">
        <v>300</v>
      </c>
      <c r="V1237" t="s">
        <v>301</v>
      </c>
      <c r="W1237" s="41"/>
      <c r="X1237" s="41"/>
      <c r="Y1237" s="34"/>
      <c r="Z1237" s="34"/>
      <c r="AA1237" s="35">
        <f>IF(TA[[#This Row],[Work Start time on Fault]]="NA","",(TA[[#This Row],[Fault Acknowledgement Time ]]-TA[[#This Row],[Fault Time]])*24)</f>
        <v>0</v>
      </c>
      <c r="AB1237" s="35">
        <f>(TA[[#This Row],[Work Start time on Fault]]-TA[[#This Row],[Fault Time]])*24</f>
        <v>0</v>
      </c>
      <c r="AC1237" s="34">
        <f>(TA[[#This Row],[Work Completion time on fault]]-TA[[#This Row],[Fault Time]])*24</f>
        <v>0</v>
      </c>
      <c r="AD1237" s="35">
        <f>IFERROR((TA[[#This Row],[Work Completion time on fault]]-TA[[#This Row],[Fault Time]])*24,"")</f>
        <v>0</v>
      </c>
      <c r="AE1237" t="s">
        <v>328</v>
      </c>
      <c r="AF1237" t="s">
        <v>256</v>
      </c>
      <c r="AG1237" s="2"/>
      <c r="AH1237" s="44">
        <f>1-COS(RADIANS(TA[[#This Row],[Avg. Target Angle during Fault Time (Radians)]]-TA[[#This Row],[Angle of affected equipment ]]))</f>
        <v>0.11705240714107301</v>
      </c>
      <c r="AI1237" s="35">
        <f>IFERROR(TA[[#This Row],[Breakdown Time]]*TA[[#This Row],[Plant Equivalent Weightage]],"")</f>
        <v>0</v>
      </c>
    </row>
    <row r="1238" spans="1:35">
      <c r="A1238" s="2">
        <f t="shared" si="131"/>
        <v>1235</v>
      </c>
      <c r="B1238" s="156">
        <f t="shared" si="136"/>
        <v>2026</v>
      </c>
      <c r="C1238" s="129">
        <f t="shared" si="137"/>
        <v>2025</v>
      </c>
      <c r="D1238" s="2" t="s">
        <v>155</v>
      </c>
      <c r="E1238" s="2" t="s">
        <v>155</v>
      </c>
      <c r="F1238" s="39">
        <v>45809</v>
      </c>
      <c r="G1238" s="2">
        <f>DAY(EOMONTH(TA[[#This Row],[Month Year]],0))</f>
        <v>30</v>
      </c>
      <c r="H1238" s="21">
        <v>45831</v>
      </c>
      <c r="I1238" s="41">
        <f>IFERROR(VLOOKUP(TA[[#This Row],[Date]],Raw_Data[[Date]:[Sunset Time (POA&lt;20 W/m2)]],3,0),"")</f>
        <v>0.24791666666666667</v>
      </c>
      <c r="J1238" s="41">
        <f>IFERROR(VLOOKUP(TA[[#This Row],[Date]],Raw_Data[[Date]:[Sunset Time (POA&lt;20 W/m2)]],4,0),"")</f>
        <v>0.77083333333333337</v>
      </c>
      <c r="K1238" s="35">
        <f>IFERROR((TA[[#This Row],[Sunset Time (POA&lt;20 W/m2)]]-TA[[#This Row],[Sunrise Time (POA&gt;20 W/m2)]])*24,"")</f>
        <v>12.55</v>
      </c>
      <c r="L1238" s="2" t="s">
        <v>312</v>
      </c>
      <c r="M1238" s="42">
        <f>IFERROR(VLOOKUP(TA[[#This Row],[Affected Equipment]],'Basic Data'!$I$2:$K$40,3,0),"")</f>
        <v>5.74712643678161E-3</v>
      </c>
      <c r="N1238">
        <v>-28</v>
      </c>
      <c r="O1238" t="s">
        <v>133</v>
      </c>
      <c r="P1238" s="22" t="s">
        <v>330</v>
      </c>
      <c r="Q1238" s="2" t="s">
        <v>323</v>
      </c>
      <c r="R1238">
        <v>27</v>
      </c>
      <c r="S1238" s="2">
        <v>42</v>
      </c>
      <c r="T1238" t="s">
        <v>297</v>
      </c>
      <c r="U1238" t="s">
        <v>300</v>
      </c>
      <c r="V1238" t="s">
        <v>301</v>
      </c>
      <c r="W1238" s="41">
        <f>IFERROR(VLOOKUP(TA[[#This Row],[Date]],Raw_Data[[Date]:[Sunset Time (POA&lt;20 W/m2)]],3,0),"")</f>
        <v>0.24791666666666667</v>
      </c>
      <c r="X1238" s="41">
        <f>IFERROR(VLOOKUP(TA[[#This Row],[Date]],Raw_Data[[Date]:[Sunset Time (POA&lt;20 W/m2)]],3,0),"")</f>
        <v>0.24791666666666667</v>
      </c>
      <c r="Y1238" s="34"/>
      <c r="Z1238" s="34">
        <v>0.76041666666666663</v>
      </c>
      <c r="AA1238" s="35">
        <f>IF(TA[[#This Row],[Work Start time on Fault]]="NA","",(TA[[#This Row],[Fault Acknowledgement Time ]]-TA[[#This Row],[Fault Time]])*24)</f>
        <v>0</v>
      </c>
      <c r="AB1238" s="35">
        <f>(TA[[#This Row],[Work Start time on Fault]]-TA[[#This Row],[Fault Time]])*24</f>
        <v>-5.95</v>
      </c>
      <c r="AC1238" s="34">
        <f>(TA[[#This Row],[Work Completion time on fault]]-TA[[#This Row],[Fault Time]])*24</f>
        <v>12.299999999999999</v>
      </c>
      <c r="AD1238" s="35">
        <f>IFERROR((TA[[#This Row],[Work Completion time on fault]]-TA[[#This Row],[Fault Time]])*24,"")</f>
        <v>12.299999999999999</v>
      </c>
      <c r="AE1238" t="s">
        <v>309</v>
      </c>
      <c r="AF1238" t="s">
        <v>256</v>
      </c>
      <c r="AG1238" s="2"/>
      <c r="AH1238" s="44">
        <f>1-COS(RADIANS(TA[[#This Row],[Avg. Target Angle during Fault Time (Radians)]]-TA[[#This Row],[Angle of affected equipment ]]))</f>
        <v>0.11705240714107301</v>
      </c>
      <c r="AI1238" s="35">
        <f>IFERROR(TA[[#This Row],[Breakdown Time]]*TA[[#This Row],[Plant Equivalent Weightage]],"")</f>
        <v>7.0689655172413796E-2</v>
      </c>
    </row>
    <row r="1239" spans="1:35">
      <c r="A1239" s="2">
        <f t="shared" si="131"/>
        <v>1236</v>
      </c>
      <c r="B1239" s="156">
        <f t="shared" ref="B1239:B1251" si="138">YEAR(H1239)+IF(MONTH(H1239)&gt;=4,1,0)</f>
        <v>2026</v>
      </c>
      <c r="C1239" s="129">
        <f t="shared" ref="C1239:C1251" si="139">YEAR(H1239)</f>
        <v>2025</v>
      </c>
      <c r="D1239" s="2" t="s">
        <v>155</v>
      </c>
      <c r="E1239" s="2" t="s">
        <v>155</v>
      </c>
      <c r="F1239" s="39">
        <v>45809</v>
      </c>
      <c r="G1239" s="2">
        <f>DAY(EOMONTH(TA[[#This Row],[Month Year]],0))</f>
        <v>30</v>
      </c>
      <c r="H1239" s="21">
        <v>45832</v>
      </c>
      <c r="I1239" s="41">
        <f>IFERROR(VLOOKUP(TA[[#This Row],[Date]],Raw_Data[[Date]:[Sunset Time (POA&lt;20 W/m2)]],3,0),"")</f>
        <v>0.25347222222222221</v>
      </c>
      <c r="J1239" s="41">
        <f>IFERROR(VLOOKUP(TA[[#This Row],[Date]],Raw_Data[[Date]:[Sunset Time (POA&lt;20 W/m2)]],4,0),"")</f>
        <v>0.77083333333333337</v>
      </c>
      <c r="K1239" s="35">
        <f>IFERROR((TA[[#This Row],[Sunset Time (POA&lt;20 W/m2)]]-TA[[#This Row],[Sunrise Time (POA&gt;20 W/m2)]])*24,"")</f>
        <v>12.416666666666668</v>
      </c>
      <c r="L1239" s="2" t="s">
        <v>294</v>
      </c>
      <c r="M1239" s="42">
        <f>IFERROR(VLOOKUP(TA[[#This Row],[Affected Equipment]],'Basic Data'!$I$2:$K$40,3,0),"")</f>
        <v>1.7241379310344799E-3</v>
      </c>
      <c r="N1239">
        <v>-28</v>
      </c>
      <c r="O1239" t="s">
        <v>135</v>
      </c>
      <c r="P1239" s="127" t="s">
        <v>318</v>
      </c>
      <c r="Q1239" s="126" t="s">
        <v>318</v>
      </c>
      <c r="R1239">
        <v>131</v>
      </c>
      <c r="S1239" s="2">
        <v>38</v>
      </c>
      <c r="T1239" t="s">
        <v>295</v>
      </c>
      <c r="U1239" t="s">
        <v>300</v>
      </c>
      <c r="V1239" t="s">
        <v>298</v>
      </c>
      <c r="W1239" s="41"/>
      <c r="X1239" s="41"/>
      <c r="Y1239" s="34"/>
      <c r="Z1239" s="34"/>
      <c r="AA1239" s="35">
        <f>IF(TA[[#This Row],[Work Start time on Fault]]="NA","",(TA[[#This Row],[Fault Acknowledgement Time ]]-TA[[#This Row],[Fault Time]])*24)</f>
        <v>0</v>
      </c>
      <c r="AB1239" s="35">
        <f>(TA[[#This Row],[Work Start time on Fault]]-TA[[#This Row],[Fault Time]])*24</f>
        <v>0</v>
      </c>
      <c r="AC1239" s="34">
        <f>(TA[[#This Row],[Work Completion time on fault]]-TA[[#This Row],[Fault Time]])*24</f>
        <v>0</v>
      </c>
      <c r="AD1239" s="35">
        <f>IFERROR((TA[[#This Row],[Work Completion time on fault]]-TA[[#This Row],[Fault Time]])*24,"")</f>
        <v>0</v>
      </c>
      <c r="AE1239" t="s">
        <v>328</v>
      </c>
      <c r="AF1239" t="s">
        <v>256</v>
      </c>
      <c r="AG1239" s="2"/>
      <c r="AH1239" s="44">
        <f>1-COS(RADIANS(TA[[#This Row],[Avg. Target Angle during Fault Time (Radians)]]-TA[[#This Row],[Angle of affected equipment ]]))</f>
        <v>0.11705240714107301</v>
      </c>
      <c r="AI1239" s="35">
        <f>IFERROR(TA[[#This Row],[Breakdown Time]]*TA[[#This Row],[Plant Equivalent Weightage]],"")</f>
        <v>0</v>
      </c>
    </row>
    <row r="1240" spans="1:35">
      <c r="A1240" s="2">
        <f t="shared" si="131"/>
        <v>1237</v>
      </c>
      <c r="B1240" s="156">
        <f t="shared" si="138"/>
        <v>2026</v>
      </c>
      <c r="C1240" s="129">
        <f t="shared" si="139"/>
        <v>2025</v>
      </c>
      <c r="D1240" s="2" t="s">
        <v>155</v>
      </c>
      <c r="E1240" s="2" t="s">
        <v>155</v>
      </c>
      <c r="F1240" s="39">
        <v>45809</v>
      </c>
      <c r="G1240" s="2">
        <f>DAY(EOMONTH(TA[[#This Row],[Month Year]],0))</f>
        <v>30</v>
      </c>
      <c r="H1240" s="21">
        <v>45832</v>
      </c>
      <c r="I1240" s="41">
        <f>IFERROR(VLOOKUP(TA[[#This Row],[Date]],Raw_Data[[Date]:[Sunset Time (POA&lt;20 W/m2)]],3,0),"")</f>
        <v>0.25347222222222221</v>
      </c>
      <c r="J1240" s="41">
        <f>IFERROR(VLOOKUP(TA[[#This Row],[Date]],Raw_Data[[Date]:[Sunset Time (POA&lt;20 W/m2)]],4,0),"")</f>
        <v>0.77083333333333337</v>
      </c>
      <c r="K1240" s="35">
        <f>IFERROR((TA[[#This Row],[Sunset Time (POA&lt;20 W/m2)]]-TA[[#This Row],[Sunrise Time (POA&gt;20 W/m2)]])*24,"")</f>
        <v>12.416666666666668</v>
      </c>
      <c r="L1240" s="2" t="s">
        <v>294</v>
      </c>
      <c r="M1240" s="42">
        <f>IFERROR(VLOOKUP(TA[[#This Row],[Affected Equipment]],'Basic Data'!$I$2:$K$40,3,0),"")</f>
        <v>1.7241379310344799E-3</v>
      </c>
      <c r="N1240">
        <v>-28</v>
      </c>
      <c r="O1240" t="s">
        <v>135</v>
      </c>
      <c r="P1240" s="127" t="s">
        <v>318</v>
      </c>
      <c r="Q1240" s="126" t="s">
        <v>318</v>
      </c>
      <c r="R1240">
        <v>131</v>
      </c>
      <c r="S1240" s="2">
        <v>39</v>
      </c>
      <c r="T1240" t="s">
        <v>295</v>
      </c>
      <c r="U1240" t="s">
        <v>300</v>
      </c>
      <c r="V1240" t="s">
        <v>298</v>
      </c>
      <c r="W1240" s="41"/>
      <c r="X1240" s="41"/>
      <c r="Y1240" s="34"/>
      <c r="Z1240" s="34"/>
      <c r="AA1240" s="35">
        <f>IF(TA[[#This Row],[Work Start time on Fault]]="NA","",(TA[[#This Row],[Fault Acknowledgement Time ]]-TA[[#This Row],[Fault Time]])*24)</f>
        <v>0</v>
      </c>
      <c r="AB1240" s="35">
        <f>(TA[[#This Row],[Work Start time on Fault]]-TA[[#This Row],[Fault Time]])*24</f>
        <v>0</v>
      </c>
      <c r="AC1240" s="34">
        <f>(TA[[#This Row],[Work Completion time on fault]]-TA[[#This Row],[Fault Time]])*24</f>
        <v>0</v>
      </c>
      <c r="AD1240" s="35">
        <f>IFERROR((TA[[#This Row],[Work Completion time on fault]]-TA[[#This Row],[Fault Time]])*24,"")</f>
        <v>0</v>
      </c>
      <c r="AE1240" t="s">
        <v>328</v>
      </c>
      <c r="AF1240" t="s">
        <v>256</v>
      </c>
      <c r="AG1240" s="2"/>
      <c r="AH1240" s="44">
        <f>1-COS(RADIANS(TA[[#This Row],[Avg. Target Angle during Fault Time (Radians)]]-TA[[#This Row],[Angle of affected equipment ]]))</f>
        <v>0.11705240714107301</v>
      </c>
      <c r="AI1240" s="35">
        <f>IFERROR(TA[[#This Row],[Breakdown Time]]*TA[[#This Row],[Plant Equivalent Weightage]],"")</f>
        <v>0</v>
      </c>
    </row>
    <row r="1241" spans="1:35">
      <c r="A1241" s="2">
        <f t="shared" si="131"/>
        <v>1238</v>
      </c>
      <c r="B1241" s="156">
        <f t="shared" si="138"/>
        <v>2026</v>
      </c>
      <c r="C1241" s="129">
        <f t="shared" si="139"/>
        <v>2025</v>
      </c>
      <c r="D1241" s="2" t="s">
        <v>155</v>
      </c>
      <c r="E1241" s="2" t="s">
        <v>155</v>
      </c>
      <c r="F1241" s="39">
        <v>45809</v>
      </c>
      <c r="G1241" s="2">
        <f>DAY(EOMONTH(TA[[#This Row],[Month Year]],0))</f>
        <v>30</v>
      </c>
      <c r="H1241" s="21">
        <v>45832</v>
      </c>
      <c r="I1241" s="41">
        <f>IFERROR(VLOOKUP(TA[[#This Row],[Date]],Raw_Data[[Date]:[Sunset Time (POA&lt;20 W/m2)]],3,0),"")</f>
        <v>0.25347222222222221</v>
      </c>
      <c r="J1241" s="41">
        <f>IFERROR(VLOOKUP(TA[[#This Row],[Date]],Raw_Data[[Date]:[Sunset Time (POA&lt;20 W/m2)]],4,0),"")</f>
        <v>0.77083333333333337</v>
      </c>
      <c r="K1241" s="35">
        <f>IFERROR((TA[[#This Row],[Sunset Time (POA&lt;20 W/m2)]]-TA[[#This Row],[Sunrise Time (POA&gt;20 W/m2)]])*24,"")</f>
        <v>12.416666666666668</v>
      </c>
      <c r="L1241" s="2" t="s">
        <v>296</v>
      </c>
      <c r="M1241" s="42">
        <f>IFERROR(VLOOKUP(TA[[#This Row],[Affected Equipment]],'Basic Data'!$I$2:$K$40,3,0),"")</f>
        <v>8.6206896551724102E-3</v>
      </c>
      <c r="N1241">
        <v>-28</v>
      </c>
      <c r="O1241" t="s">
        <v>135</v>
      </c>
      <c r="P1241" s="127" t="s">
        <v>318</v>
      </c>
      <c r="Q1241" s="2" t="s">
        <v>321</v>
      </c>
      <c r="R1241">
        <v>133</v>
      </c>
      <c r="S1241" s="2">
        <v>26</v>
      </c>
      <c r="T1241" t="s">
        <v>297</v>
      </c>
      <c r="U1241" t="s">
        <v>300</v>
      </c>
      <c r="V1241" t="s">
        <v>314</v>
      </c>
      <c r="W1241" s="41">
        <f>IFERROR(VLOOKUP(TA[[#This Row],[Date]],Raw_Data[[Date]:[Sunset Time (POA&lt;20 W/m2)]],3,0),"")</f>
        <v>0.25347222222222221</v>
      </c>
      <c r="X1241" s="41">
        <f>IFERROR(VLOOKUP(TA[[#This Row],[Date]],Raw_Data[[Date]:[Sunset Time (POA&lt;20 W/m2)]],3,0),"")</f>
        <v>0.25347222222222221</v>
      </c>
      <c r="Y1241" s="34"/>
      <c r="Z1241" s="34">
        <v>0.76041666666666663</v>
      </c>
      <c r="AA1241" s="35">
        <f>IF(TA[[#This Row],[Work Start time on Fault]]="NA","",(TA[[#This Row],[Fault Acknowledgement Time ]]-TA[[#This Row],[Fault Time]])*24)</f>
        <v>0</v>
      </c>
      <c r="AB1241" s="35">
        <f>(TA[[#This Row],[Work Start time on Fault]]-TA[[#This Row],[Fault Time]])*24</f>
        <v>-6.083333333333333</v>
      </c>
      <c r="AC1241" s="34">
        <f>(TA[[#This Row],[Work Completion time on fault]]-TA[[#This Row],[Fault Time]])*24</f>
        <v>12.166666666666666</v>
      </c>
      <c r="AD1241" s="35">
        <f>IFERROR((TA[[#This Row],[Work Completion time on fault]]-TA[[#This Row],[Fault Time]])*24,"")</f>
        <v>12.166666666666666</v>
      </c>
      <c r="AE1241" t="s">
        <v>328</v>
      </c>
      <c r="AF1241" t="s">
        <v>256</v>
      </c>
      <c r="AG1241" s="2"/>
      <c r="AH1241" s="44">
        <f>1-COS(RADIANS(TA[[#This Row],[Avg. Target Angle during Fault Time (Radians)]]-TA[[#This Row],[Angle of affected equipment ]]))</f>
        <v>0.11705240714107301</v>
      </c>
      <c r="AI1241" s="35">
        <f>IFERROR(TA[[#This Row],[Breakdown Time]]*TA[[#This Row],[Plant Equivalent Weightage]],"")</f>
        <v>0.10488505747126432</v>
      </c>
    </row>
    <row r="1242" spans="1:35">
      <c r="A1242" s="2">
        <f t="shared" si="131"/>
        <v>1239</v>
      </c>
      <c r="B1242" s="156">
        <f t="shared" si="138"/>
        <v>2026</v>
      </c>
      <c r="C1242" s="129">
        <f t="shared" si="139"/>
        <v>2025</v>
      </c>
      <c r="D1242" s="2" t="s">
        <v>155</v>
      </c>
      <c r="E1242" s="2" t="s">
        <v>155</v>
      </c>
      <c r="F1242" s="39">
        <v>45809</v>
      </c>
      <c r="G1242" s="2">
        <f>DAY(EOMONTH(TA[[#This Row],[Month Year]],0))</f>
        <v>30</v>
      </c>
      <c r="H1242" s="21">
        <v>45832</v>
      </c>
      <c r="I1242" s="41">
        <f>IFERROR(VLOOKUP(TA[[#This Row],[Date]],Raw_Data[[Date]:[Sunset Time (POA&lt;20 W/m2)]],3,0),"")</f>
        <v>0.25347222222222221</v>
      </c>
      <c r="J1242" s="41">
        <f>IFERROR(VLOOKUP(TA[[#This Row],[Date]],Raw_Data[[Date]:[Sunset Time (POA&lt;20 W/m2)]],4,0),"")</f>
        <v>0.77083333333333337</v>
      </c>
      <c r="K1242" s="35">
        <f>IFERROR((TA[[#This Row],[Sunset Time (POA&lt;20 W/m2)]]-TA[[#This Row],[Sunrise Time (POA&gt;20 W/m2)]])*24,"")</f>
        <v>12.416666666666668</v>
      </c>
      <c r="L1242" s="2" t="s">
        <v>294</v>
      </c>
      <c r="M1242" s="42">
        <f>IFERROR(VLOOKUP(TA[[#This Row],[Affected Equipment]],'Basic Data'!$I$2:$K$40,3,0),"")</f>
        <v>1.7241379310344799E-3</v>
      </c>
      <c r="N1242">
        <v>-28</v>
      </c>
      <c r="O1242" t="s">
        <v>133</v>
      </c>
      <c r="P1242" s="127" t="s">
        <v>316</v>
      </c>
      <c r="Q1242" s="126" t="s">
        <v>317</v>
      </c>
      <c r="R1242">
        <v>7</v>
      </c>
      <c r="S1242" s="2">
        <v>32</v>
      </c>
      <c r="T1242" t="s">
        <v>295</v>
      </c>
      <c r="U1242" t="s">
        <v>300</v>
      </c>
      <c r="V1242" t="s">
        <v>298</v>
      </c>
      <c r="W1242" s="41"/>
      <c r="X1242" s="41"/>
      <c r="Y1242" s="34"/>
      <c r="Z1242" s="34"/>
      <c r="AA1242" s="35">
        <f>IF(TA[[#This Row],[Work Start time on Fault]]="NA","",(TA[[#This Row],[Fault Acknowledgement Time ]]-TA[[#This Row],[Fault Time]])*24)</f>
        <v>0</v>
      </c>
      <c r="AB1242" s="35">
        <f>(TA[[#This Row],[Work Start time on Fault]]-TA[[#This Row],[Fault Time]])*24</f>
        <v>0</v>
      </c>
      <c r="AC1242" s="34">
        <f>(TA[[#This Row],[Work Completion time on fault]]-TA[[#This Row],[Fault Time]])*24</f>
        <v>0</v>
      </c>
      <c r="AD1242" s="35">
        <f>IFERROR((TA[[#This Row],[Work Completion time on fault]]-TA[[#This Row],[Fault Time]])*24,"")</f>
        <v>0</v>
      </c>
      <c r="AE1242" t="s">
        <v>328</v>
      </c>
      <c r="AF1242" t="s">
        <v>256</v>
      </c>
      <c r="AG1242" s="2"/>
      <c r="AH1242" s="44">
        <f>1-COS(RADIANS(TA[[#This Row],[Avg. Target Angle during Fault Time (Radians)]]-TA[[#This Row],[Angle of affected equipment ]]))</f>
        <v>0.11705240714107301</v>
      </c>
      <c r="AI1242" s="35">
        <f>IFERROR(TA[[#This Row],[Breakdown Time]]*TA[[#This Row],[Plant Equivalent Weightage]],"")</f>
        <v>0</v>
      </c>
    </row>
    <row r="1243" spans="1:35">
      <c r="A1243" s="2">
        <f t="shared" si="131"/>
        <v>1240</v>
      </c>
      <c r="B1243" s="156">
        <f t="shared" si="138"/>
        <v>2026</v>
      </c>
      <c r="C1243" s="129">
        <f t="shared" si="139"/>
        <v>2025</v>
      </c>
      <c r="D1243" s="2" t="s">
        <v>155</v>
      </c>
      <c r="E1243" s="2" t="s">
        <v>155</v>
      </c>
      <c r="F1243" s="39">
        <v>45809</v>
      </c>
      <c r="G1243" s="2">
        <f>DAY(EOMONTH(TA[[#This Row],[Month Year]],0))</f>
        <v>30</v>
      </c>
      <c r="H1243" s="21">
        <v>45832</v>
      </c>
      <c r="I1243" s="41">
        <f>IFERROR(VLOOKUP(TA[[#This Row],[Date]],Raw_Data[[Date]:[Sunset Time (POA&lt;20 W/m2)]],3,0),"")</f>
        <v>0.25347222222222221</v>
      </c>
      <c r="J1243" s="41">
        <f>IFERROR(VLOOKUP(TA[[#This Row],[Date]],Raw_Data[[Date]:[Sunset Time (POA&lt;20 W/m2)]],4,0),"")</f>
        <v>0.77083333333333337</v>
      </c>
      <c r="K1243" s="35">
        <f>IFERROR((TA[[#This Row],[Sunset Time (POA&lt;20 W/m2)]]-TA[[#This Row],[Sunrise Time (POA&gt;20 W/m2)]])*24,"")</f>
        <v>12.416666666666668</v>
      </c>
      <c r="L1243" s="2" t="s">
        <v>294</v>
      </c>
      <c r="M1243" s="42">
        <f>IFERROR(VLOOKUP(TA[[#This Row],[Affected Equipment]],'Basic Data'!$I$2:$K$40,3,0),"")</f>
        <v>1.7241379310344799E-3</v>
      </c>
      <c r="N1243">
        <v>-28</v>
      </c>
      <c r="O1243" t="s">
        <v>137</v>
      </c>
      <c r="P1243" s="127" t="s">
        <v>315</v>
      </c>
      <c r="Q1243" s="126" t="s">
        <v>319</v>
      </c>
      <c r="R1243">
        <v>166</v>
      </c>
      <c r="S1243" s="2">
        <v>91</v>
      </c>
      <c r="T1243" t="s">
        <v>295</v>
      </c>
      <c r="U1243" t="s">
        <v>300</v>
      </c>
      <c r="V1243" t="s">
        <v>298</v>
      </c>
      <c r="W1243" s="41"/>
      <c r="X1243" s="41"/>
      <c r="Y1243" s="34"/>
      <c r="Z1243" s="34"/>
      <c r="AA1243" s="35">
        <f>IF(TA[[#This Row],[Work Start time on Fault]]="NA","",(TA[[#This Row],[Fault Acknowledgement Time ]]-TA[[#This Row],[Fault Time]])*24)</f>
        <v>0</v>
      </c>
      <c r="AB1243" s="35">
        <f>(TA[[#This Row],[Work Start time on Fault]]-TA[[#This Row],[Fault Time]])*24</f>
        <v>0</v>
      </c>
      <c r="AC1243" s="34">
        <f>(TA[[#This Row],[Work Completion time on fault]]-TA[[#This Row],[Fault Time]])*24</f>
        <v>0</v>
      </c>
      <c r="AD1243" s="35">
        <f>IFERROR((TA[[#This Row],[Work Completion time on fault]]-TA[[#This Row],[Fault Time]])*24,"")</f>
        <v>0</v>
      </c>
      <c r="AE1243" t="s">
        <v>328</v>
      </c>
      <c r="AF1243" t="s">
        <v>256</v>
      </c>
      <c r="AG1243" s="2"/>
      <c r="AH1243" s="44">
        <f>1-COS(RADIANS(TA[[#This Row],[Avg. Target Angle during Fault Time (Radians)]]-TA[[#This Row],[Angle of affected equipment ]]))</f>
        <v>0.11705240714107301</v>
      </c>
      <c r="AI1243" s="35">
        <f>IFERROR(TA[[#This Row],[Breakdown Time]]*TA[[#This Row],[Plant Equivalent Weightage]],"")</f>
        <v>0</v>
      </c>
    </row>
    <row r="1244" spans="1:35">
      <c r="A1244" s="2">
        <f t="shared" si="131"/>
        <v>1241</v>
      </c>
      <c r="B1244" s="156">
        <f t="shared" si="138"/>
        <v>2026</v>
      </c>
      <c r="C1244" s="129">
        <f t="shared" si="139"/>
        <v>2025</v>
      </c>
      <c r="D1244" s="2" t="s">
        <v>155</v>
      </c>
      <c r="E1244" s="2" t="s">
        <v>155</v>
      </c>
      <c r="F1244" s="39">
        <v>45809</v>
      </c>
      <c r="G1244" s="2">
        <f>DAY(EOMONTH(TA[[#This Row],[Month Year]],0))</f>
        <v>30</v>
      </c>
      <c r="H1244" s="21">
        <v>45832</v>
      </c>
      <c r="I1244" s="41">
        <f>IFERROR(VLOOKUP(TA[[#This Row],[Date]],Raw_Data[[Date]:[Sunset Time (POA&lt;20 W/m2)]],3,0),"")</f>
        <v>0.25347222222222221</v>
      </c>
      <c r="J1244" s="41">
        <f>IFERROR(VLOOKUP(TA[[#This Row],[Date]],Raw_Data[[Date]:[Sunset Time (POA&lt;20 W/m2)]],4,0),"")</f>
        <v>0.77083333333333337</v>
      </c>
      <c r="K1244" s="35">
        <f>IFERROR((TA[[#This Row],[Sunset Time (POA&lt;20 W/m2)]]-TA[[#This Row],[Sunrise Time (POA&gt;20 W/m2)]])*24,"")</f>
        <v>12.416666666666668</v>
      </c>
      <c r="L1244" s="2" t="s">
        <v>294</v>
      </c>
      <c r="M1244" s="42">
        <f>IFERROR(VLOOKUP(TA[[#This Row],[Affected Equipment]],'Basic Data'!$I$2:$K$40,3,0),"")</f>
        <v>1.7241379310344799E-3</v>
      </c>
      <c r="N1244">
        <v>-28</v>
      </c>
      <c r="O1244" t="s">
        <v>133</v>
      </c>
      <c r="P1244" s="127" t="s">
        <v>316</v>
      </c>
      <c r="Q1244" s="126" t="s">
        <v>316</v>
      </c>
      <c r="R1244">
        <v>117</v>
      </c>
      <c r="S1244" s="2">
        <v>20</v>
      </c>
      <c r="T1244" t="s">
        <v>295</v>
      </c>
      <c r="U1244" t="s">
        <v>300</v>
      </c>
      <c r="V1244" t="s">
        <v>298</v>
      </c>
      <c r="W1244" s="41"/>
      <c r="X1244" s="41"/>
      <c r="Y1244" s="34"/>
      <c r="Z1244" s="34"/>
      <c r="AA1244" s="35">
        <f>IF(TA[[#This Row],[Work Start time on Fault]]="NA","",(TA[[#This Row],[Fault Acknowledgement Time ]]-TA[[#This Row],[Fault Time]])*24)</f>
        <v>0</v>
      </c>
      <c r="AB1244" s="35">
        <f>(TA[[#This Row],[Work Start time on Fault]]-TA[[#This Row],[Fault Time]])*24</f>
        <v>0</v>
      </c>
      <c r="AC1244" s="34">
        <f>(TA[[#This Row],[Work Completion time on fault]]-TA[[#This Row],[Fault Time]])*24</f>
        <v>0</v>
      </c>
      <c r="AD1244" s="35">
        <f>IFERROR((TA[[#This Row],[Work Completion time on fault]]-TA[[#This Row],[Fault Time]])*24,"")</f>
        <v>0</v>
      </c>
      <c r="AE1244" t="s">
        <v>328</v>
      </c>
      <c r="AF1244" t="s">
        <v>256</v>
      </c>
      <c r="AG1244" s="2"/>
      <c r="AH1244" s="44">
        <f>1-COS(RADIANS(TA[[#This Row],[Avg. Target Angle during Fault Time (Radians)]]-TA[[#This Row],[Angle of affected equipment ]]))</f>
        <v>0.11705240714107301</v>
      </c>
      <c r="AI1244" s="35">
        <f>IFERROR(TA[[#This Row],[Breakdown Time]]*TA[[#This Row],[Plant Equivalent Weightage]],"")</f>
        <v>0</v>
      </c>
    </row>
    <row r="1245" spans="1:35">
      <c r="A1245" s="2">
        <f t="shared" si="131"/>
        <v>1242</v>
      </c>
      <c r="B1245" s="156">
        <f t="shared" si="138"/>
        <v>2026</v>
      </c>
      <c r="C1245" s="129">
        <f t="shared" si="139"/>
        <v>2025</v>
      </c>
      <c r="D1245" s="2" t="s">
        <v>155</v>
      </c>
      <c r="E1245" s="2" t="s">
        <v>155</v>
      </c>
      <c r="F1245" s="39">
        <v>45809</v>
      </c>
      <c r="G1245" s="2">
        <f>DAY(EOMONTH(TA[[#This Row],[Month Year]],0))</f>
        <v>30</v>
      </c>
      <c r="H1245" s="21">
        <v>45832</v>
      </c>
      <c r="I1245" s="41">
        <f>IFERROR(VLOOKUP(TA[[#This Row],[Date]],Raw_Data[[Date]:[Sunset Time (POA&lt;20 W/m2)]],3,0),"")</f>
        <v>0.25347222222222221</v>
      </c>
      <c r="J1245" s="41">
        <f>IFERROR(VLOOKUP(TA[[#This Row],[Date]],Raw_Data[[Date]:[Sunset Time (POA&lt;20 W/m2)]],4,0),"")</f>
        <v>0.77083333333333337</v>
      </c>
      <c r="K1245" s="35">
        <f>IFERROR((TA[[#This Row],[Sunset Time (POA&lt;20 W/m2)]]-TA[[#This Row],[Sunrise Time (POA&gt;20 W/m2)]])*24,"")</f>
        <v>12.416666666666668</v>
      </c>
      <c r="L1245" s="2" t="s">
        <v>294</v>
      </c>
      <c r="M1245" s="42">
        <f>IFERROR(VLOOKUP(TA[[#This Row],[Affected Equipment]],'Basic Data'!$I$2:$K$40,3,0),"")</f>
        <v>1.7241379310344799E-3</v>
      </c>
      <c r="N1245">
        <v>-28</v>
      </c>
      <c r="O1245" t="s">
        <v>133</v>
      </c>
      <c r="P1245" s="127" t="s">
        <v>316</v>
      </c>
      <c r="Q1245" s="126" t="s">
        <v>316</v>
      </c>
      <c r="R1245">
        <v>118</v>
      </c>
      <c r="S1245" s="2">
        <v>22</v>
      </c>
      <c r="T1245" t="s">
        <v>295</v>
      </c>
      <c r="U1245" t="s">
        <v>300</v>
      </c>
      <c r="V1245" t="s">
        <v>298</v>
      </c>
      <c r="W1245" s="41"/>
      <c r="X1245" s="41"/>
      <c r="Y1245" s="34"/>
      <c r="Z1245" s="34"/>
      <c r="AA1245" s="35">
        <f>IF(TA[[#This Row],[Work Start time on Fault]]="NA","",(TA[[#This Row],[Fault Acknowledgement Time ]]-TA[[#This Row],[Fault Time]])*24)</f>
        <v>0</v>
      </c>
      <c r="AB1245" s="35">
        <f>(TA[[#This Row],[Work Start time on Fault]]-TA[[#This Row],[Fault Time]])*24</f>
        <v>0</v>
      </c>
      <c r="AC1245" s="34">
        <f>(TA[[#This Row],[Work Completion time on fault]]-TA[[#This Row],[Fault Time]])*24</f>
        <v>0</v>
      </c>
      <c r="AD1245" s="35">
        <f>IFERROR((TA[[#This Row],[Work Completion time on fault]]-TA[[#This Row],[Fault Time]])*24,"")</f>
        <v>0</v>
      </c>
      <c r="AE1245" t="s">
        <v>328</v>
      </c>
      <c r="AF1245" t="s">
        <v>256</v>
      </c>
      <c r="AG1245" s="2"/>
      <c r="AH1245" s="44">
        <f>1-COS(RADIANS(TA[[#This Row],[Avg. Target Angle during Fault Time (Radians)]]-TA[[#This Row],[Angle of affected equipment ]]))</f>
        <v>0.11705240714107301</v>
      </c>
      <c r="AI1245" s="35">
        <f>IFERROR(TA[[#This Row],[Breakdown Time]]*TA[[#This Row],[Plant Equivalent Weightage]],"")</f>
        <v>0</v>
      </c>
    </row>
    <row r="1246" spans="1:35">
      <c r="A1246" s="2">
        <f t="shared" si="131"/>
        <v>1243</v>
      </c>
      <c r="B1246" s="156">
        <f t="shared" si="138"/>
        <v>2026</v>
      </c>
      <c r="C1246" s="129">
        <f t="shared" si="139"/>
        <v>2025</v>
      </c>
      <c r="D1246" s="2" t="s">
        <v>155</v>
      </c>
      <c r="E1246" s="2" t="s">
        <v>155</v>
      </c>
      <c r="F1246" s="39">
        <v>45809</v>
      </c>
      <c r="G1246" s="2">
        <f>DAY(EOMONTH(TA[[#This Row],[Month Year]],0))</f>
        <v>30</v>
      </c>
      <c r="H1246" s="21">
        <v>45832</v>
      </c>
      <c r="I1246" s="41">
        <f>IFERROR(VLOOKUP(TA[[#This Row],[Date]],Raw_Data[[Date]:[Sunset Time (POA&lt;20 W/m2)]],3,0),"")</f>
        <v>0.25347222222222221</v>
      </c>
      <c r="J1246" s="41">
        <f>IFERROR(VLOOKUP(TA[[#This Row],[Date]],Raw_Data[[Date]:[Sunset Time (POA&lt;20 W/m2)]],4,0),"")</f>
        <v>0.77083333333333337</v>
      </c>
      <c r="K1246" s="35">
        <f>IFERROR((TA[[#This Row],[Sunset Time (POA&lt;20 W/m2)]]-TA[[#This Row],[Sunrise Time (POA&gt;20 W/m2)]])*24,"")</f>
        <v>12.416666666666668</v>
      </c>
      <c r="L1246" s="2" t="s">
        <v>296</v>
      </c>
      <c r="M1246" s="42">
        <f>IFERROR(VLOOKUP(TA[[#This Row],[Affected Equipment]],'Basic Data'!$I$2:$K$40,3,0),"")</f>
        <v>8.6206896551724102E-3</v>
      </c>
      <c r="N1246">
        <v>-28</v>
      </c>
      <c r="O1246" t="s">
        <v>135</v>
      </c>
      <c r="P1246" s="22" t="s">
        <v>323</v>
      </c>
      <c r="Q1246" s="2" t="s">
        <v>329</v>
      </c>
      <c r="R1246">
        <v>45</v>
      </c>
      <c r="S1246" s="2">
        <v>8</v>
      </c>
      <c r="T1246" t="s">
        <v>297</v>
      </c>
      <c r="U1246" t="s">
        <v>300</v>
      </c>
      <c r="V1246" t="s">
        <v>301</v>
      </c>
      <c r="W1246" s="41"/>
      <c r="X1246" s="41"/>
      <c r="Y1246" s="34"/>
      <c r="Z1246" s="34"/>
      <c r="AA1246" s="35">
        <f>IF(TA[[#This Row],[Work Start time on Fault]]="NA","",(TA[[#This Row],[Fault Acknowledgement Time ]]-TA[[#This Row],[Fault Time]])*24)</f>
        <v>0</v>
      </c>
      <c r="AB1246" s="35">
        <f>(TA[[#This Row],[Work Start time on Fault]]-TA[[#This Row],[Fault Time]])*24</f>
        <v>0</v>
      </c>
      <c r="AC1246" s="34">
        <f>(TA[[#This Row],[Work Completion time on fault]]-TA[[#This Row],[Fault Time]])*24</f>
        <v>0</v>
      </c>
      <c r="AD1246" s="35">
        <f>IFERROR((TA[[#This Row],[Work Completion time on fault]]-TA[[#This Row],[Fault Time]])*24,"")</f>
        <v>0</v>
      </c>
      <c r="AE1246" t="s">
        <v>328</v>
      </c>
      <c r="AF1246" t="s">
        <v>256</v>
      </c>
      <c r="AG1246" s="2"/>
      <c r="AH1246" s="44">
        <f>1-COS(RADIANS(TA[[#This Row],[Avg. Target Angle during Fault Time (Radians)]]-TA[[#This Row],[Angle of affected equipment ]]))</f>
        <v>0.11705240714107301</v>
      </c>
      <c r="AI1246" s="35">
        <f>IFERROR(TA[[#This Row],[Breakdown Time]]*TA[[#This Row],[Plant Equivalent Weightage]],"")</f>
        <v>0</v>
      </c>
    </row>
    <row r="1247" spans="1:35">
      <c r="A1247" s="2">
        <f t="shared" si="131"/>
        <v>1244</v>
      </c>
      <c r="B1247" s="156">
        <f t="shared" si="138"/>
        <v>2026</v>
      </c>
      <c r="C1247" s="129">
        <f t="shared" si="139"/>
        <v>2025</v>
      </c>
      <c r="D1247" s="2" t="s">
        <v>155</v>
      </c>
      <c r="E1247" s="2" t="s">
        <v>155</v>
      </c>
      <c r="F1247" s="39">
        <v>45809</v>
      </c>
      <c r="G1247" s="2">
        <f>DAY(EOMONTH(TA[[#This Row],[Month Year]],0))</f>
        <v>30</v>
      </c>
      <c r="H1247" s="21">
        <v>45832</v>
      </c>
      <c r="I1247" s="41">
        <f>IFERROR(VLOOKUP(TA[[#This Row],[Date]],Raw_Data[[Date]:[Sunset Time (POA&lt;20 W/m2)]],3,0),"")</f>
        <v>0.25347222222222221</v>
      </c>
      <c r="J1247" s="41">
        <f>IFERROR(VLOOKUP(TA[[#This Row],[Date]],Raw_Data[[Date]:[Sunset Time (POA&lt;20 W/m2)]],4,0),"")</f>
        <v>0.77083333333333337</v>
      </c>
      <c r="K1247" s="35">
        <f>IFERROR((TA[[#This Row],[Sunset Time (POA&lt;20 W/m2)]]-TA[[#This Row],[Sunrise Time (POA&gt;20 W/m2)]])*24,"")</f>
        <v>12.416666666666668</v>
      </c>
      <c r="L1247" s="2" t="s">
        <v>296</v>
      </c>
      <c r="M1247" s="42">
        <f>IFERROR(VLOOKUP(TA[[#This Row],[Affected Equipment]],'Basic Data'!$I$2:$K$40,3,0),"")</f>
        <v>8.6206896551724102E-3</v>
      </c>
      <c r="N1247">
        <v>-28</v>
      </c>
      <c r="O1247" t="s">
        <v>135</v>
      </c>
      <c r="P1247" s="22" t="s">
        <v>323</v>
      </c>
      <c r="Q1247" s="2" t="s">
        <v>329</v>
      </c>
      <c r="R1247">
        <v>47</v>
      </c>
      <c r="S1247" s="2">
        <v>18</v>
      </c>
      <c r="T1247" t="s">
        <v>297</v>
      </c>
      <c r="U1247" t="s">
        <v>300</v>
      </c>
      <c r="V1247" t="s">
        <v>301</v>
      </c>
      <c r="W1247" s="41"/>
      <c r="X1247" s="41"/>
      <c r="Y1247" s="34"/>
      <c r="Z1247" s="34"/>
      <c r="AA1247" s="35">
        <f>IF(TA[[#This Row],[Work Start time on Fault]]="NA","",(TA[[#This Row],[Fault Acknowledgement Time ]]-TA[[#This Row],[Fault Time]])*24)</f>
        <v>0</v>
      </c>
      <c r="AB1247" s="35">
        <f>(TA[[#This Row],[Work Start time on Fault]]-TA[[#This Row],[Fault Time]])*24</f>
        <v>0</v>
      </c>
      <c r="AC1247" s="34">
        <f>(TA[[#This Row],[Work Completion time on fault]]-TA[[#This Row],[Fault Time]])*24</f>
        <v>0</v>
      </c>
      <c r="AD1247" s="35">
        <f>IFERROR((TA[[#This Row],[Work Completion time on fault]]-TA[[#This Row],[Fault Time]])*24,"")</f>
        <v>0</v>
      </c>
      <c r="AE1247" t="s">
        <v>328</v>
      </c>
      <c r="AF1247" t="s">
        <v>256</v>
      </c>
      <c r="AG1247" s="2"/>
      <c r="AH1247" s="44">
        <f>1-COS(RADIANS(TA[[#This Row],[Avg. Target Angle during Fault Time (Radians)]]-TA[[#This Row],[Angle of affected equipment ]]))</f>
        <v>0.11705240714107301</v>
      </c>
      <c r="AI1247" s="35">
        <f>IFERROR(TA[[#This Row],[Breakdown Time]]*TA[[#This Row],[Plant Equivalent Weightage]],"")</f>
        <v>0</v>
      </c>
    </row>
    <row r="1248" spans="1:35">
      <c r="A1248" s="2">
        <f t="shared" si="131"/>
        <v>1245</v>
      </c>
      <c r="B1248" s="156">
        <f t="shared" si="138"/>
        <v>2026</v>
      </c>
      <c r="C1248" s="129">
        <f t="shared" si="139"/>
        <v>2025</v>
      </c>
      <c r="D1248" s="2" t="s">
        <v>155</v>
      </c>
      <c r="E1248" s="2" t="s">
        <v>155</v>
      </c>
      <c r="F1248" s="39">
        <v>45809</v>
      </c>
      <c r="G1248" s="2">
        <f>DAY(EOMONTH(TA[[#This Row],[Month Year]],0))</f>
        <v>30</v>
      </c>
      <c r="H1248" s="21">
        <v>45832</v>
      </c>
      <c r="I1248" s="41">
        <f>IFERROR(VLOOKUP(TA[[#This Row],[Date]],Raw_Data[[Date]:[Sunset Time (POA&lt;20 W/m2)]],3,0),"")</f>
        <v>0.25347222222222221</v>
      </c>
      <c r="J1248" s="41">
        <f>IFERROR(VLOOKUP(TA[[#This Row],[Date]],Raw_Data[[Date]:[Sunset Time (POA&lt;20 W/m2)]],4,0),"")</f>
        <v>0.77083333333333337</v>
      </c>
      <c r="K1248" s="35">
        <f>IFERROR((TA[[#This Row],[Sunset Time (POA&lt;20 W/m2)]]-TA[[#This Row],[Sunrise Time (POA&gt;20 W/m2)]])*24,"")</f>
        <v>12.416666666666668</v>
      </c>
      <c r="L1248" s="2" t="s">
        <v>296</v>
      </c>
      <c r="M1248" s="42">
        <f>IFERROR(VLOOKUP(TA[[#This Row],[Affected Equipment]],'Basic Data'!$I$2:$K$40,3,0),"")</f>
        <v>8.6206896551724102E-3</v>
      </c>
      <c r="N1248">
        <v>-28</v>
      </c>
      <c r="O1248" t="s">
        <v>134</v>
      </c>
      <c r="P1248" s="22" t="s">
        <v>330</v>
      </c>
      <c r="Q1248" s="2" t="s">
        <v>323</v>
      </c>
      <c r="R1248">
        <v>30</v>
      </c>
      <c r="S1248" s="2">
        <v>57</v>
      </c>
      <c r="T1248" t="s">
        <v>297</v>
      </c>
      <c r="U1248" t="s">
        <v>300</v>
      </c>
      <c r="V1248" t="s">
        <v>301</v>
      </c>
      <c r="W1248" s="41"/>
      <c r="X1248" s="41"/>
      <c r="Y1248" s="34"/>
      <c r="Z1248" s="34"/>
      <c r="AA1248" s="35">
        <f>IF(TA[[#This Row],[Work Start time on Fault]]="NA","",(TA[[#This Row],[Fault Acknowledgement Time ]]-TA[[#This Row],[Fault Time]])*24)</f>
        <v>0</v>
      </c>
      <c r="AB1248" s="35">
        <f>(TA[[#This Row],[Work Start time on Fault]]-TA[[#This Row],[Fault Time]])*24</f>
        <v>0</v>
      </c>
      <c r="AC1248" s="34">
        <f>(TA[[#This Row],[Work Completion time on fault]]-TA[[#This Row],[Fault Time]])*24</f>
        <v>0</v>
      </c>
      <c r="AD1248" s="35">
        <f>IFERROR((TA[[#This Row],[Work Completion time on fault]]-TA[[#This Row],[Fault Time]])*24,"")</f>
        <v>0</v>
      </c>
      <c r="AE1248" t="s">
        <v>328</v>
      </c>
      <c r="AF1248" t="s">
        <v>256</v>
      </c>
      <c r="AG1248" s="2"/>
      <c r="AH1248" s="44">
        <f>1-COS(RADIANS(TA[[#This Row],[Avg. Target Angle during Fault Time (Radians)]]-TA[[#This Row],[Angle of affected equipment ]]))</f>
        <v>0.11705240714107301</v>
      </c>
      <c r="AI1248" s="35">
        <f>IFERROR(TA[[#This Row],[Breakdown Time]]*TA[[#This Row],[Plant Equivalent Weightage]],"")</f>
        <v>0</v>
      </c>
    </row>
    <row r="1249" spans="1:35">
      <c r="A1249" s="2">
        <f t="shared" si="131"/>
        <v>1246</v>
      </c>
      <c r="B1249" s="156">
        <f t="shared" si="138"/>
        <v>2026</v>
      </c>
      <c r="C1249" s="129">
        <f t="shared" si="139"/>
        <v>2025</v>
      </c>
      <c r="D1249" s="2" t="s">
        <v>155</v>
      </c>
      <c r="E1249" s="2" t="s">
        <v>155</v>
      </c>
      <c r="F1249" s="39">
        <v>45809</v>
      </c>
      <c r="G1249" s="2">
        <f>DAY(EOMONTH(TA[[#This Row],[Month Year]],0))</f>
        <v>30</v>
      </c>
      <c r="H1249" s="21">
        <v>45832</v>
      </c>
      <c r="I1249" s="41">
        <f>IFERROR(VLOOKUP(TA[[#This Row],[Date]],Raw_Data[[Date]:[Sunset Time (POA&lt;20 W/m2)]],3,0),"")</f>
        <v>0.25347222222222221</v>
      </c>
      <c r="J1249" s="41">
        <f>IFERROR(VLOOKUP(TA[[#This Row],[Date]],Raw_Data[[Date]:[Sunset Time (POA&lt;20 W/m2)]],4,0),"")</f>
        <v>0.77083333333333337</v>
      </c>
      <c r="K1249" s="35">
        <f>IFERROR((TA[[#This Row],[Sunset Time (POA&lt;20 W/m2)]]-TA[[#This Row],[Sunrise Time (POA&gt;20 W/m2)]])*24,"")</f>
        <v>12.416666666666668</v>
      </c>
      <c r="L1249" s="2" t="s">
        <v>296</v>
      </c>
      <c r="M1249" s="42">
        <f>IFERROR(VLOOKUP(TA[[#This Row],[Affected Equipment]],'Basic Data'!$I$2:$K$40,3,0),"")</f>
        <v>8.6206896551724102E-3</v>
      </c>
      <c r="N1249">
        <v>-28</v>
      </c>
      <c r="O1249" t="s">
        <v>134</v>
      </c>
      <c r="P1249" s="22" t="s">
        <v>330</v>
      </c>
      <c r="Q1249" s="2" t="s">
        <v>323</v>
      </c>
      <c r="R1249">
        <v>31</v>
      </c>
      <c r="S1249" s="2">
        <v>61</v>
      </c>
      <c r="T1249" t="s">
        <v>297</v>
      </c>
      <c r="U1249" t="s">
        <v>300</v>
      </c>
      <c r="V1249" t="s">
        <v>301</v>
      </c>
      <c r="W1249" s="41"/>
      <c r="X1249" s="41"/>
      <c r="Y1249" s="34"/>
      <c r="Z1249" s="34"/>
      <c r="AA1249" s="35">
        <f>IF(TA[[#This Row],[Work Start time on Fault]]="NA","",(TA[[#This Row],[Fault Acknowledgement Time ]]-TA[[#This Row],[Fault Time]])*24)</f>
        <v>0</v>
      </c>
      <c r="AB1249" s="35">
        <f>(TA[[#This Row],[Work Start time on Fault]]-TA[[#This Row],[Fault Time]])*24</f>
        <v>0</v>
      </c>
      <c r="AC1249" s="34">
        <f>(TA[[#This Row],[Work Completion time on fault]]-TA[[#This Row],[Fault Time]])*24</f>
        <v>0</v>
      </c>
      <c r="AD1249" s="35">
        <f>IFERROR((TA[[#This Row],[Work Completion time on fault]]-TA[[#This Row],[Fault Time]])*24,"")</f>
        <v>0</v>
      </c>
      <c r="AE1249" t="s">
        <v>328</v>
      </c>
      <c r="AF1249" t="s">
        <v>256</v>
      </c>
      <c r="AG1249" s="2"/>
      <c r="AH1249" s="44">
        <f>1-COS(RADIANS(TA[[#This Row],[Avg. Target Angle during Fault Time (Radians)]]-TA[[#This Row],[Angle of affected equipment ]]))</f>
        <v>0.11705240714107301</v>
      </c>
      <c r="AI1249" s="35">
        <f>IFERROR(TA[[#This Row],[Breakdown Time]]*TA[[#This Row],[Plant Equivalent Weightage]],"")</f>
        <v>0</v>
      </c>
    </row>
    <row r="1250" spans="1:35">
      <c r="A1250" s="2">
        <f t="shared" si="131"/>
        <v>1247</v>
      </c>
      <c r="B1250" s="156">
        <f t="shared" si="138"/>
        <v>2026</v>
      </c>
      <c r="C1250" s="129">
        <f t="shared" si="139"/>
        <v>2025</v>
      </c>
      <c r="D1250" s="2" t="s">
        <v>155</v>
      </c>
      <c r="E1250" s="2" t="s">
        <v>155</v>
      </c>
      <c r="F1250" s="39">
        <v>45809</v>
      </c>
      <c r="G1250" s="2">
        <f>DAY(EOMONTH(TA[[#This Row],[Month Year]],0))</f>
        <v>30</v>
      </c>
      <c r="H1250" s="21">
        <v>45832</v>
      </c>
      <c r="I1250" s="41">
        <f>IFERROR(VLOOKUP(TA[[#This Row],[Date]],Raw_Data[[Date]:[Sunset Time (POA&lt;20 W/m2)]],3,0),"")</f>
        <v>0.25347222222222221</v>
      </c>
      <c r="J1250" s="41">
        <f>IFERROR(VLOOKUP(TA[[#This Row],[Date]],Raw_Data[[Date]:[Sunset Time (POA&lt;20 W/m2)]],4,0),"")</f>
        <v>0.77083333333333337</v>
      </c>
      <c r="K1250" s="35">
        <f>IFERROR((TA[[#This Row],[Sunset Time (POA&lt;20 W/m2)]]-TA[[#This Row],[Sunrise Time (POA&gt;20 W/m2)]])*24,"")</f>
        <v>12.416666666666668</v>
      </c>
      <c r="L1250" s="2" t="s">
        <v>312</v>
      </c>
      <c r="M1250" s="42">
        <f>IFERROR(VLOOKUP(TA[[#This Row],[Affected Equipment]],'Basic Data'!$I$2:$K$40,3,0),"")</f>
        <v>5.74712643678161E-3</v>
      </c>
      <c r="N1250">
        <v>-28</v>
      </c>
      <c r="O1250" t="s">
        <v>133</v>
      </c>
      <c r="P1250" s="22" t="s">
        <v>330</v>
      </c>
      <c r="Q1250" s="2" t="s">
        <v>323</v>
      </c>
      <c r="R1250">
        <v>26</v>
      </c>
      <c r="S1250" s="2">
        <v>37</v>
      </c>
      <c r="T1250" t="s">
        <v>297</v>
      </c>
      <c r="U1250" t="s">
        <v>300</v>
      </c>
      <c r="V1250" t="s">
        <v>301</v>
      </c>
      <c r="W1250" s="41"/>
      <c r="X1250" s="41"/>
      <c r="Y1250" s="34"/>
      <c r="Z1250" s="34"/>
      <c r="AA1250" s="35">
        <f>IF(TA[[#This Row],[Work Start time on Fault]]="NA","",(TA[[#This Row],[Fault Acknowledgement Time ]]-TA[[#This Row],[Fault Time]])*24)</f>
        <v>0</v>
      </c>
      <c r="AB1250" s="35">
        <f>(TA[[#This Row],[Work Start time on Fault]]-TA[[#This Row],[Fault Time]])*24</f>
        <v>0</v>
      </c>
      <c r="AC1250" s="34">
        <f>(TA[[#This Row],[Work Completion time on fault]]-TA[[#This Row],[Fault Time]])*24</f>
        <v>0</v>
      </c>
      <c r="AD1250" s="35">
        <f>IFERROR((TA[[#This Row],[Work Completion time on fault]]-TA[[#This Row],[Fault Time]])*24,"")</f>
        <v>0</v>
      </c>
      <c r="AE1250" t="s">
        <v>328</v>
      </c>
      <c r="AF1250" t="s">
        <v>256</v>
      </c>
      <c r="AG1250" s="2"/>
      <c r="AH1250" s="44">
        <f>1-COS(RADIANS(TA[[#This Row],[Avg. Target Angle during Fault Time (Radians)]]-TA[[#This Row],[Angle of affected equipment ]]))</f>
        <v>0.11705240714107301</v>
      </c>
      <c r="AI1250" s="35">
        <f>IFERROR(TA[[#This Row],[Breakdown Time]]*TA[[#This Row],[Plant Equivalent Weightage]],"")</f>
        <v>0</v>
      </c>
    </row>
    <row r="1251" spans="1:35">
      <c r="A1251" s="2">
        <f t="shared" si="131"/>
        <v>1248</v>
      </c>
      <c r="B1251" s="156">
        <f t="shared" si="138"/>
        <v>2026</v>
      </c>
      <c r="C1251" s="129">
        <f t="shared" si="139"/>
        <v>2025</v>
      </c>
      <c r="D1251" s="2" t="s">
        <v>155</v>
      </c>
      <c r="E1251" s="2" t="s">
        <v>155</v>
      </c>
      <c r="F1251" s="39">
        <v>45809</v>
      </c>
      <c r="G1251" s="2">
        <f>DAY(EOMONTH(TA[[#This Row],[Month Year]],0))</f>
        <v>30</v>
      </c>
      <c r="H1251" s="21">
        <v>45832</v>
      </c>
      <c r="I1251" s="41">
        <f>IFERROR(VLOOKUP(TA[[#This Row],[Date]],Raw_Data[[Date]:[Sunset Time (POA&lt;20 W/m2)]],3,0),"")</f>
        <v>0.25347222222222221</v>
      </c>
      <c r="J1251" s="41">
        <f>IFERROR(VLOOKUP(TA[[#This Row],[Date]],Raw_Data[[Date]:[Sunset Time (POA&lt;20 W/m2)]],4,0),"")</f>
        <v>0.77083333333333337</v>
      </c>
      <c r="K1251" s="35">
        <f>IFERROR((TA[[#This Row],[Sunset Time (POA&lt;20 W/m2)]]-TA[[#This Row],[Sunrise Time (POA&gt;20 W/m2)]])*24,"")</f>
        <v>12.416666666666668</v>
      </c>
      <c r="L1251" s="2" t="s">
        <v>312</v>
      </c>
      <c r="M1251" s="42">
        <f>IFERROR(VLOOKUP(TA[[#This Row],[Affected Equipment]],'Basic Data'!$I$2:$K$40,3,0),"")</f>
        <v>5.74712643678161E-3</v>
      </c>
      <c r="N1251">
        <v>-28</v>
      </c>
      <c r="O1251" t="s">
        <v>133</v>
      </c>
      <c r="P1251" s="22" t="s">
        <v>330</v>
      </c>
      <c r="Q1251" s="2" t="s">
        <v>323</v>
      </c>
      <c r="R1251">
        <v>27</v>
      </c>
      <c r="S1251" s="2">
        <v>42</v>
      </c>
      <c r="T1251" t="s">
        <v>297</v>
      </c>
      <c r="U1251" t="s">
        <v>300</v>
      </c>
      <c r="V1251" t="s">
        <v>301</v>
      </c>
      <c r="W1251" s="41">
        <f>IFERROR(VLOOKUP(TA[[#This Row],[Date]],Raw_Data[[Date]:[Sunset Time (POA&lt;20 W/m2)]],3,0),"")</f>
        <v>0.25347222222222221</v>
      </c>
      <c r="X1251" s="41">
        <f>IFERROR(VLOOKUP(TA[[#This Row],[Date]],Raw_Data[[Date]:[Sunset Time (POA&lt;20 W/m2)]],3,0),"")</f>
        <v>0.25347222222222221</v>
      </c>
      <c r="Y1251" s="34"/>
      <c r="Z1251" s="34">
        <v>0.76041666666666663</v>
      </c>
      <c r="AA1251" s="35">
        <f>IF(TA[[#This Row],[Work Start time on Fault]]="NA","",(TA[[#This Row],[Fault Acknowledgement Time ]]-TA[[#This Row],[Fault Time]])*24)</f>
        <v>0</v>
      </c>
      <c r="AB1251" s="35">
        <f>(TA[[#This Row],[Work Start time on Fault]]-TA[[#This Row],[Fault Time]])*24</f>
        <v>-6.083333333333333</v>
      </c>
      <c r="AC1251" s="34">
        <f>(TA[[#This Row],[Work Completion time on fault]]-TA[[#This Row],[Fault Time]])*24</f>
        <v>12.166666666666666</v>
      </c>
      <c r="AD1251" s="35">
        <f>IFERROR((TA[[#This Row],[Work Completion time on fault]]-TA[[#This Row],[Fault Time]])*24,"")</f>
        <v>12.166666666666666</v>
      </c>
      <c r="AE1251" t="s">
        <v>309</v>
      </c>
      <c r="AF1251" t="s">
        <v>256</v>
      </c>
      <c r="AG1251" s="2"/>
      <c r="AH1251" s="44">
        <f>1-COS(RADIANS(TA[[#This Row],[Avg. Target Angle during Fault Time (Radians)]]-TA[[#This Row],[Angle of affected equipment ]]))</f>
        <v>0.11705240714107301</v>
      </c>
      <c r="AI1251" s="35">
        <f>IFERROR(TA[[#This Row],[Breakdown Time]]*TA[[#This Row],[Plant Equivalent Weightage]],"")</f>
        <v>6.9923371647509586E-2</v>
      </c>
    </row>
    <row r="1252" spans="1:35">
      <c r="A1252" s="2">
        <f t="shared" si="131"/>
        <v>1249</v>
      </c>
      <c r="B1252" s="156">
        <f t="shared" ref="B1252:B1264" si="140">YEAR(H1252)+IF(MONTH(H1252)&gt;=4,1,0)</f>
        <v>2026</v>
      </c>
      <c r="C1252" s="129">
        <f t="shared" ref="C1252:C1264" si="141">YEAR(H1252)</f>
        <v>2025</v>
      </c>
      <c r="D1252" s="2" t="s">
        <v>155</v>
      </c>
      <c r="E1252" s="2" t="s">
        <v>155</v>
      </c>
      <c r="F1252" s="39">
        <v>45809</v>
      </c>
      <c r="G1252" s="2">
        <f>DAY(EOMONTH(TA[[#This Row],[Month Year]],0))</f>
        <v>30</v>
      </c>
      <c r="H1252" s="21">
        <v>45833</v>
      </c>
      <c r="I1252" s="41">
        <f>IFERROR(VLOOKUP(TA[[#This Row],[Date]],Raw_Data[[Date]:[Sunset Time (POA&lt;20 W/m2)]],3,0),"")</f>
        <v>0.25416666666666665</v>
      </c>
      <c r="J1252" s="41">
        <f>IFERROR(VLOOKUP(TA[[#This Row],[Date]],Raw_Data[[Date]:[Sunset Time (POA&lt;20 W/m2)]],4,0),"")</f>
        <v>0.77777777777777779</v>
      </c>
      <c r="K1252" s="35">
        <f>IFERROR((TA[[#This Row],[Sunset Time (POA&lt;20 W/m2)]]-TA[[#This Row],[Sunrise Time (POA&gt;20 W/m2)]])*24,"")</f>
        <v>12.566666666666666</v>
      </c>
      <c r="L1252" s="2" t="s">
        <v>294</v>
      </c>
      <c r="M1252" s="42">
        <f>IFERROR(VLOOKUP(TA[[#This Row],[Affected Equipment]],'Basic Data'!$I$2:$K$40,3,0),"")</f>
        <v>1.7241379310344799E-3</v>
      </c>
      <c r="N1252">
        <v>-28</v>
      </c>
      <c r="O1252" t="s">
        <v>135</v>
      </c>
      <c r="P1252" s="127" t="s">
        <v>318</v>
      </c>
      <c r="Q1252" s="126" t="s">
        <v>318</v>
      </c>
      <c r="R1252">
        <v>131</v>
      </c>
      <c r="S1252" s="2">
        <v>38</v>
      </c>
      <c r="T1252" t="s">
        <v>295</v>
      </c>
      <c r="U1252" t="s">
        <v>300</v>
      </c>
      <c r="V1252" t="s">
        <v>298</v>
      </c>
      <c r="W1252" s="41"/>
      <c r="X1252" s="41"/>
      <c r="Y1252" s="34"/>
      <c r="Z1252" s="34"/>
      <c r="AA1252" s="35">
        <f>IF(TA[[#This Row],[Work Start time on Fault]]="NA","",(TA[[#This Row],[Fault Acknowledgement Time ]]-TA[[#This Row],[Fault Time]])*24)</f>
        <v>0</v>
      </c>
      <c r="AB1252" s="35">
        <f>(TA[[#This Row],[Work Start time on Fault]]-TA[[#This Row],[Fault Time]])*24</f>
        <v>0</v>
      </c>
      <c r="AC1252" s="34">
        <f>(TA[[#This Row],[Work Completion time on fault]]-TA[[#This Row],[Fault Time]])*24</f>
        <v>0</v>
      </c>
      <c r="AD1252" s="35">
        <f>IFERROR((TA[[#This Row],[Work Completion time on fault]]-TA[[#This Row],[Fault Time]])*24,"")</f>
        <v>0</v>
      </c>
      <c r="AE1252" t="s">
        <v>328</v>
      </c>
      <c r="AF1252" t="s">
        <v>256</v>
      </c>
      <c r="AG1252" s="2"/>
      <c r="AH1252" s="44">
        <f>1-COS(RADIANS(TA[[#This Row],[Avg. Target Angle during Fault Time (Radians)]]-TA[[#This Row],[Angle of affected equipment ]]))</f>
        <v>0.11705240714107301</v>
      </c>
      <c r="AI1252" s="35">
        <f>IFERROR(TA[[#This Row],[Breakdown Time]]*TA[[#This Row],[Plant Equivalent Weightage]],"")</f>
        <v>0</v>
      </c>
    </row>
    <row r="1253" spans="1:35">
      <c r="A1253" s="2">
        <f t="shared" si="131"/>
        <v>1250</v>
      </c>
      <c r="B1253" s="156">
        <f t="shared" si="140"/>
        <v>2026</v>
      </c>
      <c r="C1253" s="129">
        <f t="shared" si="141"/>
        <v>2025</v>
      </c>
      <c r="D1253" s="2" t="s">
        <v>155</v>
      </c>
      <c r="E1253" s="2" t="s">
        <v>155</v>
      </c>
      <c r="F1253" s="39">
        <v>45809</v>
      </c>
      <c r="G1253" s="2">
        <f>DAY(EOMONTH(TA[[#This Row],[Month Year]],0))</f>
        <v>30</v>
      </c>
      <c r="H1253" s="21">
        <v>45833</v>
      </c>
      <c r="I1253" s="41">
        <f>IFERROR(VLOOKUP(TA[[#This Row],[Date]],Raw_Data[[Date]:[Sunset Time (POA&lt;20 W/m2)]],3,0),"")</f>
        <v>0.25416666666666665</v>
      </c>
      <c r="J1253" s="41">
        <f>IFERROR(VLOOKUP(TA[[#This Row],[Date]],Raw_Data[[Date]:[Sunset Time (POA&lt;20 W/m2)]],4,0),"")</f>
        <v>0.77777777777777779</v>
      </c>
      <c r="K1253" s="35">
        <f>IFERROR((TA[[#This Row],[Sunset Time (POA&lt;20 W/m2)]]-TA[[#This Row],[Sunrise Time (POA&gt;20 W/m2)]])*24,"")</f>
        <v>12.566666666666666</v>
      </c>
      <c r="L1253" s="2" t="s">
        <v>294</v>
      </c>
      <c r="M1253" s="42">
        <f>IFERROR(VLOOKUP(TA[[#This Row],[Affected Equipment]],'Basic Data'!$I$2:$K$40,3,0),"")</f>
        <v>1.7241379310344799E-3</v>
      </c>
      <c r="N1253">
        <v>-28</v>
      </c>
      <c r="O1253" t="s">
        <v>135</v>
      </c>
      <c r="P1253" s="127" t="s">
        <v>318</v>
      </c>
      <c r="Q1253" s="126" t="s">
        <v>318</v>
      </c>
      <c r="R1253">
        <v>131</v>
      </c>
      <c r="S1253" s="2">
        <v>39</v>
      </c>
      <c r="T1253" t="s">
        <v>295</v>
      </c>
      <c r="U1253" t="s">
        <v>300</v>
      </c>
      <c r="V1253" t="s">
        <v>298</v>
      </c>
      <c r="W1253" s="41"/>
      <c r="X1253" s="41"/>
      <c r="Y1253" s="34"/>
      <c r="Z1253" s="34"/>
      <c r="AA1253" s="35">
        <f>IF(TA[[#This Row],[Work Start time on Fault]]="NA","",(TA[[#This Row],[Fault Acknowledgement Time ]]-TA[[#This Row],[Fault Time]])*24)</f>
        <v>0</v>
      </c>
      <c r="AB1253" s="35">
        <f>(TA[[#This Row],[Work Start time on Fault]]-TA[[#This Row],[Fault Time]])*24</f>
        <v>0</v>
      </c>
      <c r="AC1253" s="34">
        <f>(TA[[#This Row],[Work Completion time on fault]]-TA[[#This Row],[Fault Time]])*24</f>
        <v>0</v>
      </c>
      <c r="AD1253" s="35">
        <f>IFERROR((TA[[#This Row],[Work Completion time on fault]]-TA[[#This Row],[Fault Time]])*24,"")</f>
        <v>0</v>
      </c>
      <c r="AE1253" t="s">
        <v>328</v>
      </c>
      <c r="AF1253" t="s">
        <v>256</v>
      </c>
      <c r="AG1253" s="2"/>
      <c r="AH1253" s="44">
        <f>1-COS(RADIANS(TA[[#This Row],[Avg. Target Angle during Fault Time (Radians)]]-TA[[#This Row],[Angle of affected equipment ]]))</f>
        <v>0.11705240714107301</v>
      </c>
      <c r="AI1253" s="35">
        <f>IFERROR(TA[[#This Row],[Breakdown Time]]*TA[[#This Row],[Plant Equivalent Weightage]],"")</f>
        <v>0</v>
      </c>
    </row>
    <row r="1254" spans="1:35">
      <c r="A1254" s="2">
        <f t="shared" si="131"/>
        <v>1251</v>
      </c>
      <c r="B1254" s="156">
        <f t="shared" si="140"/>
        <v>2026</v>
      </c>
      <c r="C1254" s="129">
        <f t="shared" si="141"/>
        <v>2025</v>
      </c>
      <c r="D1254" s="2" t="s">
        <v>155</v>
      </c>
      <c r="E1254" s="2" t="s">
        <v>155</v>
      </c>
      <c r="F1254" s="39">
        <v>45809</v>
      </c>
      <c r="G1254" s="2">
        <f>DAY(EOMONTH(TA[[#This Row],[Month Year]],0))</f>
        <v>30</v>
      </c>
      <c r="H1254" s="21">
        <v>45833</v>
      </c>
      <c r="I1254" s="41">
        <f>IFERROR(VLOOKUP(TA[[#This Row],[Date]],Raw_Data[[Date]:[Sunset Time (POA&lt;20 W/m2)]],3,0),"")</f>
        <v>0.25416666666666665</v>
      </c>
      <c r="J1254" s="41">
        <f>IFERROR(VLOOKUP(TA[[#This Row],[Date]],Raw_Data[[Date]:[Sunset Time (POA&lt;20 W/m2)]],4,0),"")</f>
        <v>0.77777777777777779</v>
      </c>
      <c r="K1254" s="35">
        <f>IFERROR((TA[[#This Row],[Sunset Time (POA&lt;20 W/m2)]]-TA[[#This Row],[Sunrise Time (POA&gt;20 W/m2)]])*24,"")</f>
        <v>12.566666666666666</v>
      </c>
      <c r="L1254" s="2" t="s">
        <v>296</v>
      </c>
      <c r="M1254" s="42">
        <f>IFERROR(VLOOKUP(TA[[#This Row],[Affected Equipment]],'Basic Data'!$I$2:$K$40,3,0),"")</f>
        <v>8.6206896551724102E-3</v>
      </c>
      <c r="N1254">
        <v>-28</v>
      </c>
      <c r="O1254" t="s">
        <v>135</v>
      </c>
      <c r="P1254" s="127" t="s">
        <v>318</v>
      </c>
      <c r="Q1254" s="2" t="s">
        <v>321</v>
      </c>
      <c r="R1254">
        <v>133</v>
      </c>
      <c r="S1254" s="2">
        <v>26</v>
      </c>
      <c r="T1254" t="s">
        <v>297</v>
      </c>
      <c r="U1254" t="s">
        <v>300</v>
      </c>
      <c r="V1254" t="s">
        <v>314</v>
      </c>
      <c r="W1254" s="41">
        <f>IFERROR(VLOOKUP(TA[[#This Row],[Date]],Raw_Data[[Date]:[Sunset Time (POA&lt;20 W/m2)]],3,0),"")</f>
        <v>0.25416666666666665</v>
      </c>
      <c r="X1254" s="41">
        <f>IFERROR(VLOOKUP(TA[[#This Row],[Date]],Raw_Data[[Date]:[Sunset Time (POA&lt;20 W/m2)]],3,0),"")</f>
        <v>0.25416666666666665</v>
      </c>
      <c r="Y1254" s="34"/>
      <c r="Z1254" s="34">
        <v>0.76041666666666663</v>
      </c>
      <c r="AA1254" s="35">
        <f>IF(TA[[#This Row],[Work Start time on Fault]]="NA","",(TA[[#This Row],[Fault Acknowledgement Time ]]-TA[[#This Row],[Fault Time]])*24)</f>
        <v>0</v>
      </c>
      <c r="AB1254" s="35">
        <f>(TA[[#This Row],[Work Start time on Fault]]-TA[[#This Row],[Fault Time]])*24</f>
        <v>-6.1</v>
      </c>
      <c r="AC1254" s="34">
        <f>(TA[[#This Row],[Work Completion time on fault]]-TA[[#This Row],[Fault Time]])*24</f>
        <v>12.149999999999999</v>
      </c>
      <c r="AD1254" s="35">
        <f>IFERROR((TA[[#This Row],[Work Completion time on fault]]-TA[[#This Row],[Fault Time]])*24,"")</f>
        <v>12.149999999999999</v>
      </c>
      <c r="AE1254" t="s">
        <v>328</v>
      </c>
      <c r="AF1254" t="s">
        <v>256</v>
      </c>
      <c r="AG1254" s="2"/>
      <c r="AH1254" s="44">
        <f>1-COS(RADIANS(TA[[#This Row],[Avg. Target Angle during Fault Time (Radians)]]-TA[[#This Row],[Angle of affected equipment ]]))</f>
        <v>0.11705240714107301</v>
      </c>
      <c r="AI1254" s="35">
        <f>IFERROR(TA[[#This Row],[Breakdown Time]]*TA[[#This Row],[Plant Equivalent Weightage]],"")</f>
        <v>0.10474137931034477</v>
      </c>
    </row>
    <row r="1255" spans="1:35">
      <c r="A1255" s="2">
        <f t="shared" ref="A1255:A1316" si="142">A1254+1</f>
        <v>1252</v>
      </c>
      <c r="B1255" s="156">
        <f t="shared" si="140"/>
        <v>2026</v>
      </c>
      <c r="C1255" s="129">
        <f t="shared" si="141"/>
        <v>2025</v>
      </c>
      <c r="D1255" s="2" t="s">
        <v>155</v>
      </c>
      <c r="E1255" s="2" t="s">
        <v>155</v>
      </c>
      <c r="F1255" s="39">
        <v>45809</v>
      </c>
      <c r="G1255" s="2">
        <f>DAY(EOMONTH(TA[[#This Row],[Month Year]],0))</f>
        <v>30</v>
      </c>
      <c r="H1255" s="21">
        <v>45833</v>
      </c>
      <c r="I1255" s="41">
        <f>IFERROR(VLOOKUP(TA[[#This Row],[Date]],Raw_Data[[Date]:[Sunset Time (POA&lt;20 W/m2)]],3,0),"")</f>
        <v>0.25416666666666665</v>
      </c>
      <c r="J1255" s="41">
        <f>IFERROR(VLOOKUP(TA[[#This Row],[Date]],Raw_Data[[Date]:[Sunset Time (POA&lt;20 W/m2)]],4,0),"")</f>
        <v>0.77777777777777779</v>
      </c>
      <c r="K1255" s="35">
        <f>IFERROR((TA[[#This Row],[Sunset Time (POA&lt;20 W/m2)]]-TA[[#This Row],[Sunrise Time (POA&gt;20 W/m2)]])*24,"")</f>
        <v>12.566666666666666</v>
      </c>
      <c r="L1255" s="2" t="s">
        <v>294</v>
      </c>
      <c r="M1255" s="42">
        <f>IFERROR(VLOOKUP(TA[[#This Row],[Affected Equipment]],'Basic Data'!$I$2:$K$40,3,0),"")</f>
        <v>1.7241379310344799E-3</v>
      </c>
      <c r="N1255">
        <v>-28</v>
      </c>
      <c r="O1255" t="s">
        <v>133</v>
      </c>
      <c r="P1255" s="127" t="s">
        <v>316</v>
      </c>
      <c r="Q1255" s="126" t="s">
        <v>317</v>
      </c>
      <c r="R1255">
        <v>7</v>
      </c>
      <c r="S1255" s="2">
        <v>32</v>
      </c>
      <c r="T1255" t="s">
        <v>295</v>
      </c>
      <c r="U1255" t="s">
        <v>300</v>
      </c>
      <c r="V1255" t="s">
        <v>298</v>
      </c>
      <c r="W1255" s="41"/>
      <c r="X1255" s="41"/>
      <c r="Y1255" s="34"/>
      <c r="Z1255" s="34"/>
      <c r="AA1255" s="35">
        <f>IF(TA[[#This Row],[Work Start time on Fault]]="NA","",(TA[[#This Row],[Fault Acknowledgement Time ]]-TA[[#This Row],[Fault Time]])*24)</f>
        <v>0</v>
      </c>
      <c r="AB1255" s="35">
        <f>(TA[[#This Row],[Work Start time on Fault]]-TA[[#This Row],[Fault Time]])*24</f>
        <v>0</v>
      </c>
      <c r="AC1255" s="34">
        <f>(TA[[#This Row],[Work Completion time on fault]]-TA[[#This Row],[Fault Time]])*24</f>
        <v>0</v>
      </c>
      <c r="AD1255" s="35">
        <f>IFERROR((TA[[#This Row],[Work Completion time on fault]]-TA[[#This Row],[Fault Time]])*24,"")</f>
        <v>0</v>
      </c>
      <c r="AE1255" t="s">
        <v>328</v>
      </c>
      <c r="AF1255" t="s">
        <v>256</v>
      </c>
      <c r="AG1255" s="2"/>
      <c r="AH1255" s="44">
        <f>1-COS(RADIANS(TA[[#This Row],[Avg. Target Angle during Fault Time (Radians)]]-TA[[#This Row],[Angle of affected equipment ]]))</f>
        <v>0.11705240714107301</v>
      </c>
      <c r="AI1255" s="35">
        <f>IFERROR(TA[[#This Row],[Breakdown Time]]*TA[[#This Row],[Plant Equivalent Weightage]],"")</f>
        <v>0</v>
      </c>
    </row>
    <row r="1256" spans="1:35">
      <c r="A1256" s="2">
        <f t="shared" si="142"/>
        <v>1253</v>
      </c>
      <c r="B1256" s="156">
        <f t="shared" si="140"/>
        <v>2026</v>
      </c>
      <c r="C1256" s="129">
        <f t="shared" si="141"/>
        <v>2025</v>
      </c>
      <c r="D1256" s="2" t="s">
        <v>155</v>
      </c>
      <c r="E1256" s="2" t="s">
        <v>155</v>
      </c>
      <c r="F1256" s="39">
        <v>45809</v>
      </c>
      <c r="G1256" s="2">
        <f>DAY(EOMONTH(TA[[#This Row],[Month Year]],0))</f>
        <v>30</v>
      </c>
      <c r="H1256" s="21">
        <v>45833</v>
      </c>
      <c r="I1256" s="41">
        <f>IFERROR(VLOOKUP(TA[[#This Row],[Date]],Raw_Data[[Date]:[Sunset Time (POA&lt;20 W/m2)]],3,0),"")</f>
        <v>0.25416666666666665</v>
      </c>
      <c r="J1256" s="41">
        <f>IFERROR(VLOOKUP(TA[[#This Row],[Date]],Raw_Data[[Date]:[Sunset Time (POA&lt;20 W/m2)]],4,0),"")</f>
        <v>0.77777777777777779</v>
      </c>
      <c r="K1256" s="35">
        <f>IFERROR((TA[[#This Row],[Sunset Time (POA&lt;20 W/m2)]]-TA[[#This Row],[Sunrise Time (POA&gt;20 W/m2)]])*24,"")</f>
        <v>12.566666666666666</v>
      </c>
      <c r="L1256" s="2" t="s">
        <v>294</v>
      </c>
      <c r="M1256" s="42">
        <f>IFERROR(VLOOKUP(TA[[#This Row],[Affected Equipment]],'Basic Data'!$I$2:$K$40,3,0),"")</f>
        <v>1.7241379310344799E-3</v>
      </c>
      <c r="N1256">
        <v>-28</v>
      </c>
      <c r="O1256" t="s">
        <v>137</v>
      </c>
      <c r="P1256" s="127" t="s">
        <v>315</v>
      </c>
      <c r="Q1256" s="126" t="s">
        <v>319</v>
      </c>
      <c r="R1256">
        <v>166</v>
      </c>
      <c r="S1256" s="2">
        <v>91</v>
      </c>
      <c r="T1256" t="s">
        <v>295</v>
      </c>
      <c r="U1256" t="s">
        <v>300</v>
      </c>
      <c r="V1256" t="s">
        <v>298</v>
      </c>
      <c r="W1256" s="41"/>
      <c r="X1256" s="41"/>
      <c r="Y1256" s="34"/>
      <c r="Z1256" s="34"/>
      <c r="AA1256" s="35">
        <f>IF(TA[[#This Row],[Work Start time on Fault]]="NA","",(TA[[#This Row],[Fault Acknowledgement Time ]]-TA[[#This Row],[Fault Time]])*24)</f>
        <v>0</v>
      </c>
      <c r="AB1256" s="35">
        <f>(TA[[#This Row],[Work Start time on Fault]]-TA[[#This Row],[Fault Time]])*24</f>
        <v>0</v>
      </c>
      <c r="AC1256" s="34">
        <f>(TA[[#This Row],[Work Completion time on fault]]-TA[[#This Row],[Fault Time]])*24</f>
        <v>0</v>
      </c>
      <c r="AD1256" s="35">
        <f>IFERROR((TA[[#This Row],[Work Completion time on fault]]-TA[[#This Row],[Fault Time]])*24,"")</f>
        <v>0</v>
      </c>
      <c r="AE1256" t="s">
        <v>328</v>
      </c>
      <c r="AF1256" t="s">
        <v>256</v>
      </c>
      <c r="AG1256" s="2"/>
      <c r="AH1256" s="44">
        <f>1-COS(RADIANS(TA[[#This Row],[Avg. Target Angle during Fault Time (Radians)]]-TA[[#This Row],[Angle of affected equipment ]]))</f>
        <v>0.11705240714107301</v>
      </c>
      <c r="AI1256" s="35">
        <f>IFERROR(TA[[#This Row],[Breakdown Time]]*TA[[#This Row],[Plant Equivalent Weightage]],"")</f>
        <v>0</v>
      </c>
    </row>
    <row r="1257" spans="1:35">
      <c r="A1257" s="2">
        <f t="shared" si="142"/>
        <v>1254</v>
      </c>
      <c r="B1257" s="156">
        <f t="shared" si="140"/>
        <v>2026</v>
      </c>
      <c r="C1257" s="129">
        <f t="shared" si="141"/>
        <v>2025</v>
      </c>
      <c r="D1257" s="2" t="s">
        <v>155</v>
      </c>
      <c r="E1257" s="2" t="s">
        <v>155</v>
      </c>
      <c r="F1257" s="39">
        <v>45809</v>
      </c>
      <c r="G1257" s="2">
        <f>DAY(EOMONTH(TA[[#This Row],[Month Year]],0))</f>
        <v>30</v>
      </c>
      <c r="H1257" s="21">
        <v>45833</v>
      </c>
      <c r="I1257" s="41">
        <f>IFERROR(VLOOKUP(TA[[#This Row],[Date]],Raw_Data[[Date]:[Sunset Time (POA&lt;20 W/m2)]],3,0),"")</f>
        <v>0.25416666666666665</v>
      </c>
      <c r="J1257" s="41">
        <f>IFERROR(VLOOKUP(TA[[#This Row],[Date]],Raw_Data[[Date]:[Sunset Time (POA&lt;20 W/m2)]],4,0),"")</f>
        <v>0.77777777777777779</v>
      </c>
      <c r="K1257" s="35">
        <f>IFERROR((TA[[#This Row],[Sunset Time (POA&lt;20 W/m2)]]-TA[[#This Row],[Sunrise Time (POA&gt;20 W/m2)]])*24,"")</f>
        <v>12.566666666666666</v>
      </c>
      <c r="L1257" s="2" t="s">
        <v>294</v>
      </c>
      <c r="M1257" s="42">
        <f>IFERROR(VLOOKUP(TA[[#This Row],[Affected Equipment]],'Basic Data'!$I$2:$K$40,3,0),"")</f>
        <v>1.7241379310344799E-3</v>
      </c>
      <c r="N1257">
        <v>-28</v>
      </c>
      <c r="O1257" t="s">
        <v>133</v>
      </c>
      <c r="P1257" s="127" t="s">
        <v>316</v>
      </c>
      <c r="Q1257" s="126" t="s">
        <v>316</v>
      </c>
      <c r="R1257">
        <v>117</v>
      </c>
      <c r="S1257" s="2">
        <v>20</v>
      </c>
      <c r="T1257" t="s">
        <v>295</v>
      </c>
      <c r="U1257" t="s">
        <v>300</v>
      </c>
      <c r="V1257" t="s">
        <v>298</v>
      </c>
      <c r="W1257" s="41"/>
      <c r="X1257" s="41"/>
      <c r="Y1257" s="34"/>
      <c r="Z1257" s="34"/>
      <c r="AA1257" s="35">
        <f>IF(TA[[#This Row],[Work Start time on Fault]]="NA","",(TA[[#This Row],[Fault Acknowledgement Time ]]-TA[[#This Row],[Fault Time]])*24)</f>
        <v>0</v>
      </c>
      <c r="AB1257" s="35">
        <f>(TA[[#This Row],[Work Start time on Fault]]-TA[[#This Row],[Fault Time]])*24</f>
        <v>0</v>
      </c>
      <c r="AC1257" s="34">
        <f>(TA[[#This Row],[Work Completion time on fault]]-TA[[#This Row],[Fault Time]])*24</f>
        <v>0</v>
      </c>
      <c r="AD1257" s="35">
        <f>IFERROR((TA[[#This Row],[Work Completion time on fault]]-TA[[#This Row],[Fault Time]])*24,"")</f>
        <v>0</v>
      </c>
      <c r="AE1257" t="s">
        <v>328</v>
      </c>
      <c r="AF1257" t="s">
        <v>256</v>
      </c>
      <c r="AG1257" s="2"/>
      <c r="AH1257" s="44">
        <f>1-COS(RADIANS(TA[[#This Row],[Avg. Target Angle during Fault Time (Radians)]]-TA[[#This Row],[Angle of affected equipment ]]))</f>
        <v>0.11705240714107301</v>
      </c>
      <c r="AI1257" s="35">
        <f>IFERROR(TA[[#This Row],[Breakdown Time]]*TA[[#This Row],[Plant Equivalent Weightage]],"")</f>
        <v>0</v>
      </c>
    </row>
    <row r="1258" spans="1:35">
      <c r="A1258" s="2">
        <f t="shared" si="142"/>
        <v>1255</v>
      </c>
      <c r="B1258" s="156">
        <f t="shared" si="140"/>
        <v>2026</v>
      </c>
      <c r="C1258" s="129">
        <f t="shared" si="141"/>
        <v>2025</v>
      </c>
      <c r="D1258" s="2" t="s">
        <v>155</v>
      </c>
      <c r="E1258" s="2" t="s">
        <v>155</v>
      </c>
      <c r="F1258" s="39">
        <v>45809</v>
      </c>
      <c r="G1258" s="2">
        <f>DAY(EOMONTH(TA[[#This Row],[Month Year]],0))</f>
        <v>30</v>
      </c>
      <c r="H1258" s="21">
        <v>45833</v>
      </c>
      <c r="I1258" s="41">
        <f>IFERROR(VLOOKUP(TA[[#This Row],[Date]],Raw_Data[[Date]:[Sunset Time (POA&lt;20 W/m2)]],3,0),"")</f>
        <v>0.25416666666666665</v>
      </c>
      <c r="J1258" s="41">
        <f>IFERROR(VLOOKUP(TA[[#This Row],[Date]],Raw_Data[[Date]:[Sunset Time (POA&lt;20 W/m2)]],4,0),"")</f>
        <v>0.77777777777777779</v>
      </c>
      <c r="K1258" s="35">
        <f>IFERROR((TA[[#This Row],[Sunset Time (POA&lt;20 W/m2)]]-TA[[#This Row],[Sunrise Time (POA&gt;20 W/m2)]])*24,"")</f>
        <v>12.566666666666666</v>
      </c>
      <c r="L1258" s="2" t="s">
        <v>294</v>
      </c>
      <c r="M1258" s="42">
        <f>IFERROR(VLOOKUP(TA[[#This Row],[Affected Equipment]],'Basic Data'!$I$2:$K$40,3,0),"")</f>
        <v>1.7241379310344799E-3</v>
      </c>
      <c r="N1258">
        <v>-28</v>
      </c>
      <c r="O1258" t="s">
        <v>133</v>
      </c>
      <c r="P1258" s="127" t="s">
        <v>316</v>
      </c>
      <c r="Q1258" s="126" t="s">
        <v>316</v>
      </c>
      <c r="R1258">
        <v>118</v>
      </c>
      <c r="S1258" s="2">
        <v>22</v>
      </c>
      <c r="T1258" t="s">
        <v>295</v>
      </c>
      <c r="U1258" t="s">
        <v>300</v>
      </c>
      <c r="V1258" t="s">
        <v>298</v>
      </c>
      <c r="W1258" s="41"/>
      <c r="X1258" s="41"/>
      <c r="Y1258" s="34"/>
      <c r="Z1258" s="34"/>
      <c r="AA1258" s="35">
        <f>IF(TA[[#This Row],[Work Start time on Fault]]="NA","",(TA[[#This Row],[Fault Acknowledgement Time ]]-TA[[#This Row],[Fault Time]])*24)</f>
        <v>0</v>
      </c>
      <c r="AB1258" s="35">
        <f>(TA[[#This Row],[Work Start time on Fault]]-TA[[#This Row],[Fault Time]])*24</f>
        <v>0</v>
      </c>
      <c r="AC1258" s="34">
        <f>(TA[[#This Row],[Work Completion time on fault]]-TA[[#This Row],[Fault Time]])*24</f>
        <v>0</v>
      </c>
      <c r="AD1258" s="35">
        <f>IFERROR((TA[[#This Row],[Work Completion time on fault]]-TA[[#This Row],[Fault Time]])*24,"")</f>
        <v>0</v>
      </c>
      <c r="AE1258" t="s">
        <v>328</v>
      </c>
      <c r="AF1258" t="s">
        <v>256</v>
      </c>
      <c r="AG1258" s="2"/>
      <c r="AH1258" s="44">
        <f>1-COS(RADIANS(TA[[#This Row],[Avg. Target Angle during Fault Time (Radians)]]-TA[[#This Row],[Angle of affected equipment ]]))</f>
        <v>0.11705240714107301</v>
      </c>
      <c r="AI1258" s="35">
        <f>IFERROR(TA[[#This Row],[Breakdown Time]]*TA[[#This Row],[Plant Equivalent Weightage]],"")</f>
        <v>0</v>
      </c>
    </row>
    <row r="1259" spans="1:35">
      <c r="A1259" s="2">
        <f t="shared" si="142"/>
        <v>1256</v>
      </c>
      <c r="B1259" s="156">
        <f t="shared" si="140"/>
        <v>2026</v>
      </c>
      <c r="C1259" s="129">
        <f t="shared" si="141"/>
        <v>2025</v>
      </c>
      <c r="D1259" s="2" t="s">
        <v>155</v>
      </c>
      <c r="E1259" s="2" t="s">
        <v>155</v>
      </c>
      <c r="F1259" s="39">
        <v>45809</v>
      </c>
      <c r="G1259" s="2">
        <f>DAY(EOMONTH(TA[[#This Row],[Month Year]],0))</f>
        <v>30</v>
      </c>
      <c r="H1259" s="21">
        <v>45833</v>
      </c>
      <c r="I1259" s="41">
        <f>IFERROR(VLOOKUP(TA[[#This Row],[Date]],Raw_Data[[Date]:[Sunset Time (POA&lt;20 W/m2)]],3,0),"")</f>
        <v>0.25416666666666665</v>
      </c>
      <c r="J1259" s="41">
        <f>IFERROR(VLOOKUP(TA[[#This Row],[Date]],Raw_Data[[Date]:[Sunset Time (POA&lt;20 W/m2)]],4,0),"")</f>
        <v>0.77777777777777779</v>
      </c>
      <c r="K1259" s="35">
        <f>IFERROR((TA[[#This Row],[Sunset Time (POA&lt;20 W/m2)]]-TA[[#This Row],[Sunrise Time (POA&gt;20 W/m2)]])*24,"")</f>
        <v>12.566666666666666</v>
      </c>
      <c r="L1259" s="2" t="s">
        <v>296</v>
      </c>
      <c r="M1259" s="42">
        <f>IFERROR(VLOOKUP(TA[[#This Row],[Affected Equipment]],'Basic Data'!$I$2:$K$40,3,0),"")</f>
        <v>8.6206896551724102E-3</v>
      </c>
      <c r="N1259">
        <v>-28</v>
      </c>
      <c r="O1259" t="s">
        <v>135</v>
      </c>
      <c r="P1259" s="22" t="s">
        <v>323</v>
      </c>
      <c r="Q1259" s="2" t="s">
        <v>329</v>
      </c>
      <c r="R1259">
        <v>45</v>
      </c>
      <c r="S1259" s="2">
        <v>8</v>
      </c>
      <c r="T1259" t="s">
        <v>297</v>
      </c>
      <c r="U1259" t="s">
        <v>300</v>
      </c>
      <c r="V1259" t="s">
        <v>301</v>
      </c>
      <c r="W1259" s="41"/>
      <c r="X1259" s="41"/>
      <c r="Y1259" s="34"/>
      <c r="Z1259" s="34"/>
      <c r="AA1259" s="35">
        <f>IF(TA[[#This Row],[Work Start time on Fault]]="NA","",(TA[[#This Row],[Fault Acknowledgement Time ]]-TA[[#This Row],[Fault Time]])*24)</f>
        <v>0</v>
      </c>
      <c r="AB1259" s="35">
        <f>(TA[[#This Row],[Work Start time on Fault]]-TA[[#This Row],[Fault Time]])*24</f>
        <v>0</v>
      </c>
      <c r="AC1259" s="34">
        <f>(TA[[#This Row],[Work Completion time on fault]]-TA[[#This Row],[Fault Time]])*24</f>
        <v>0</v>
      </c>
      <c r="AD1259" s="35">
        <f>IFERROR((TA[[#This Row],[Work Completion time on fault]]-TA[[#This Row],[Fault Time]])*24,"")</f>
        <v>0</v>
      </c>
      <c r="AE1259" t="s">
        <v>328</v>
      </c>
      <c r="AF1259" t="s">
        <v>256</v>
      </c>
      <c r="AG1259" s="2"/>
      <c r="AH1259" s="44">
        <f>1-COS(RADIANS(TA[[#This Row],[Avg. Target Angle during Fault Time (Radians)]]-TA[[#This Row],[Angle of affected equipment ]]))</f>
        <v>0.11705240714107301</v>
      </c>
      <c r="AI1259" s="35">
        <f>IFERROR(TA[[#This Row],[Breakdown Time]]*TA[[#This Row],[Plant Equivalent Weightage]],"")</f>
        <v>0</v>
      </c>
    </row>
    <row r="1260" spans="1:35">
      <c r="A1260" s="2">
        <f t="shared" si="142"/>
        <v>1257</v>
      </c>
      <c r="B1260" s="156">
        <f t="shared" si="140"/>
        <v>2026</v>
      </c>
      <c r="C1260" s="129">
        <f t="shared" si="141"/>
        <v>2025</v>
      </c>
      <c r="D1260" s="2" t="s">
        <v>155</v>
      </c>
      <c r="E1260" s="2" t="s">
        <v>155</v>
      </c>
      <c r="F1260" s="39">
        <v>45809</v>
      </c>
      <c r="G1260" s="2">
        <f>DAY(EOMONTH(TA[[#This Row],[Month Year]],0))</f>
        <v>30</v>
      </c>
      <c r="H1260" s="21">
        <v>45833</v>
      </c>
      <c r="I1260" s="41">
        <f>IFERROR(VLOOKUP(TA[[#This Row],[Date]],Raw_Data[[Date]:[Sunset Time (POA&lt;20 W/m2)]],3,0),"")</f>
        <v>0.25416666666666665</v>
      </c>
      <c r="J1260" s="41">
        <f>IFERROR(VLOOKUP(TA[[#This Row],[Date]],Raw_Data[[Date]:[Sunset Time (POA&lt;20 W/m2)]],4,0),"")</f>
        <v>0.77777777777777779</v>
      </c>
      <c r="K1260" s="35">
        <f>IFERROR((TA[[#This Row],[Sunset Time (POA&lt;20 W/m2)]]-TA[[#This Row],[Sunrise Time (POA&gt;20 W/m2)]])*24,"")</f>
        <v>12.566666666666666</v>
      </c>
      <c r="L1260" s="2" t="s">
        <v>296</v>
      </c>
      <c r="M1260" s="42">
        <f>IFERROR(VLOOKUP(TA[[#This Row],[Affected Equipment]],'Basic Data'!$I$2:$K$40,3,0),"")</f>
        <v>8.6206896551724102E-3</v>
      </c>
      <c r="N1260">
        <v>-28</v>
      </c>
      <c r="O1260" t="s">
        <v>135</v>
      </c>
      <c r="P1260" s="22" t="s">
        <v>323</v>
      </c>
      <c r="Q1260" s="2" t="s">
        <v>329</v>
      </c>
      <c r="R1260">
        <v>47</v>
      </c>
      <c r="S1260" s="2">
        <v>18</v>
      </c>
      <c r="T1260" t="s">
        <v>297</v>
      </c>
      <c r="U1260" t="s">
        <v>300</v>
      </c>
      <c r="V1260" t="s">
        <v>301</v>
      </c>
      <c r="W1260" s="41"/>
      <c r="X1260" s="41"/>
      <c r="Y1260" s="34"/>
      <c r="Z1260" s="34"/>
      <c r="AA1260" s="35">
        <f>IF(TA[[#This Row],[Work Start time on Fault]]="NA","",(TA[[#This Row],[Fault Acknowledgement Time ]]-TA[[#This Row],[Fault Time]])*24)</f>
        <v>0</v>
      </c>
      <c r="AB1260" s="35">
        <f>(TA[[#This Row],[Work Start time on Fault]]-TA[[#This Row],[Fault Time]])*24</f>
        <v>0</v>
      </c>
      <c r="AC1260" s="34">
        <f>(TA[[#This Row],[Work Completion time on fault]]-TA[[#This Row],[Fault Time]])*24</f>
        <v>0</v>
      </c>
      <c r="AD1260" s="35">
        <f>IFERROR((TA[[#This Row],[Work Completion time on fault]]-TA[[#This Row],[Fault Time]])*24,"")</f>
        <v>0</v>
      </c>
      <c r="AE1260" t="s">
        <v>328</v>
      </c>
      <c r="AF1260" t="s">
        <v>256</v>
      </c>
      <c r="AG1260" s="2"/>
      <c r="AH1260" s="44">
        <f>1-COS(RADIANS(TA[[#This Row],[Avg. Target Angle during Fault Time (Radians)]]-TA[[#This Row],[Angle of affected equipment ]]))</f>
        <v>0.11705240714107301</v>
      </c>
      <c r="AI1260" s="35">
        <f>IFERROR(TA[[#This Row],[Breakdown Time]]*TA[[#This Row],[Plant Equivalent Weightage]],"")</f>
        <v>0</v>
      </c>
    </row>
    <row r="1261" spans="1:35">
      <c r="A1261" s="2">
        <f t="shared" si="142"/>
        <v>1258</v>
      </c>
      <c r="B1261" s="156">
        <f t="shared" si="140"/>
        <v>2026</v>
      </c>
      <c r="C1261" s="129">
        <f t="shared" si="141"/>
        <v>2025</v>
      </c>
      <c r="D1261" s="2" t="s">
        <v>155</v>
      </c>
      <c r="E1261" s="2" t="s">
        <v>155</v>
      </c>
      <c r="F1261" s="39">
        <v>45809</v>
      </c>
      <c r="G1261" s="2">
        <f>DAY(EOMONTH(TA[[#This Row],[Month Year]],0))</f>
        <v>30</v>
      </c>
      <c r="H1261" s="21">
        <v>45833</v>
      </c>
      <c r="I1261" s="41">
        <f>IFERROR(VLOOKUP(TA[[#This Row],[Date]],Raw_Data[[Date]:[Sunset Time (POA&lt;20 W/m2)]],3,0),"")</f>
        <v>0.25416666666666665</v>
      </c>
      <c r="J1261" s="41">
        <f>IFERROR(VLOOKUP(TA[[#This Row],[Date]],Raw_Data[[Date]:[Sunset Time (POA&lt;20 W/m2)]],4,0),"")</f>
        <v>0.77777777777777779</v>
      </c>
      <c r="K1261" s="35">
        <f>IFERROR((TA[[#This Row],[Sunset Time (POA&lt;20 W/m2)]]-TA[[#This Row],[Sunrise Time (POA&gt;20 W/m2)]])*24,"")</f>
        <v>12.566666666666666</v>
      </c>
      <c r="L1261" s="2" t="s">
        <v>296</v>
      </c>
      <c r="M1261" s="42">
        <f>IFERROR(VLOOKUP(TA[[#This Row],[Affected Equipment]],'Basic Data'!$I$2:$K$40,3,0),"")</f>
        <v>8.6206896551724102E-3</v>
      </c>
      <c r="N1261">
        <v>-28</v>
      </c>
      <c r="O1261" t="s">
        <v>134</v>
      </c>
      <c r="P1261" s="22" t="s">
        <v>330</v>
      </c>
      <c r="Q1261" s="2" t="s">
        <v>323</v>
      </c>
      <c r="R1261">
        <v>30</v>
      </c>
      <c r="S1261" s="2">
        <v>57</v>
      </c>
      <c r="T1261" t="s">
        <v>297</v>
      </c>
      <c r="U1261" t="s">
        <v>300</v>
      </c>
      <c r="V1261" t="s">
        <v>301</v>
      </c>
      <c r="W1261" s="41"/>
      <c r="X1261" s="41"/>
      <c r="Y1261" s="34"/>
      <c r="Z1261" s="34"/>
      <c r="AA1261" s="35">
        <f>IF(TA[[#This Row],[Work Start time on Fault]]="NA","",(TA[[#This Row],[Fault Acknowledgement Time ]]-TA[[#This Row],[Fault Time]])*24)</f>
        <v>0</v>
      </c>
      <c r="AB1261" s="35">
        <f>(TA[[#This Row],[Work Start time on Fault]]-TA[[#This Row],[Fault Time]])*24</f>
        <v>0</v>
      </c>
      <c r="AC1261" s="34">
        <f>(TA[[#This Row],[Work Completion time on fault]]-TA[[#This Row],[Fault Time]])*24</f>
        <v>0</v>
      </c>
      <c r="AD1261" s="35">
        <f>IFERROR((TA[[#This Row],[Work Completion time on fault]]-TA[[#This Row],[Fault Time]])*24,"")</f>
        <v>0</v>
      </c>
      <c r="AE1261" t="s">
        <v>328</v>
      </c>
      <c r="AF1261" t="s">
        <v>256</v>
      </c>
      <c r="AG1261" s="2"/>
      <c r="AH1261" s="44">
        <f>1-COS(RADIANS(TA[[#This Row],[Avg. Target Angle during Fault Time (Radians)]]-TA[[#This Row],[Angle of affected equipment ]]))</f>
        <v>0.11705240714107301</v>
      </c>
      <c r="AI1261" s="35">
        <f>IFERROR(TA[[#This Row],[Breakdown Time]]*TA[[#This Row],[Plant Equivalent Weightage]],"")</f>
        <v>0</v>
      </c>
    </row>
    <row r="1262" spans="1:35">
      <c r="A1262" s="2">
        <f t="shared" si="142"/>
        <v>1259</v>
      </c>
      <c r="B1262" s="156">
        <f t="shared" si="140"/>
        <v>2026</v>
      </c>
      <c r="C1262" s="129">
        <f t="shared" si="141"/>
        <v>2025</v>
      </c>
      <c r="D1262" s="2" t="s">
        <v>155</v>
      </c>
      <c r="E1262" s="2" t="s">
        <v>155</v>
      </c>
      <c r="F1262" s="39">
        <v>45809</v>
      </c>
      <c r="G1262" s="2">
        <f>DAY(EOMONTH(TA[[#This Row],[Month Year]],0))</f>
        <v>30</v>
      </c>
      <c r="H1262" s="21">
        <v>45833</v>
      </c>
      <c r="I1262" s="41">
        <f>IFERROR(VLOOKUP(TA[[#This Row],[Date]],Raw_Data[[Date]:[Sunset Time (POA&lt;20 W/m2)]],3,0),"")</f>
        <v>0.25416666666666665</v>
      </c>
      <c r="J1262" s="41">
        <f>IFERROR(VLOOKUP(TA[[#This Row],[Date]],Raw_Data[[Date]:[Sunset Time (POA&lt;20 W/m2)]],4,0),"")</f>
        <v>0.77777777777777779</v>
      </c>
      <c r="K1262" s="35">
        <f>IFERROR((TA[[#This Row],[Sunset Time (POA&lt;20 W/m2)]]-TA[[#This Row],[Sunrise Time (POA&gt;20 W/m2)]])*24,"")</f>
        <v>12.566666666666666</v>
      </c>
      <c r="L1262" s="2" t="s">
        <v>296</v>
      </c>
      <c r="M1262" s="42">
        <f>IFERROR(VLOOKUP(TA[[#This Row],[Affected Equipment]],'Basic Data'!$I$2:$K$40,3,0),"")</f>
        <v>8.6206896551724102E-3</v>
      </c>
      <c r="N1262">
        <v>-28</v>
      </c>
      <c r="O1262" t="s">
        <v>134</v>
      </c>
      <c r="P1262" s="22" t="s">
        <v>330</v>
      </c>
      <c r="Q1262" s="2" t="s">
        <v>323</v>
      </c>
      <c r="R1262">
        <v>31</v>
      </c>
      <c r="S1262" s="2">
        <v>61</v>
      </c>
      <c r="T1262" t="s">
        <v>297</v>
      </c>
      <c r="U1262" t="s">
        <v>300</v>
      </c>
      <c r="V1262" t="s">
        <v>301</v>
      </c>
      <c r="W1262" s="41"/>
      <c r="X1262" s="41"/>
      <c r="Y1262" s="34"/>
      <c r="Z1262" s="34"/>
      <c r="AA1262" s="35">
        <f>IF(TA[[#This Row],[Work Start time on Fault]]="NA","",(TA[[#This Row],[Fault Acknowledgement Time ]]-TA[[#This Row],[Fault Time]])*24)</f>
        <v>0</v>
      </c>
      <c r="AB1262" s="35">
        <f>(TA[[#This Row],[Work Start time on Fault]]-TA[[#This Row],[Fault Time]])*24</f>
        <v>0</v>
      </c>
      <c r="AC1262" s="34">
        <f>(TA[[#This Row],[Work Completion time on fault]]-TA[[#This Row],[Fault Time]])*24</f>
        <v>0</v>
      </c>
      <c r="AD1262" s="35">
        <f>IFERROR((TA[[#This Row],[Work Completion time on fault]]-TA[[#This Row],[Fault Time]])*24,"")</f>
        <v>0</v>
      </c>
      <c r="AE1262" t="s">
        <v>328</v>
      </c>
      <c r="AF1262" t="s">
        <v>256</v>
      </c>
      <c r="AG1262" s="2"/>
      <c r="AH1262" s="44">
        <f>1-COS(RADIANS(TA[[#This Row],[Avg. Target Angle during Fault Time (Radians)]]-TA[[#This Row],[Angle of affected equipment ]]))</f>
        <v>0.11705240714107301</v>
      </c>
      <c r="AI1262" s="35">
        <f>IFERROR(TA[[#This Row],[Breakdown Time]]*TA[[#This Row],[Plant Equivalent Weightage]],"")</f>
        <v>0</v>
      </c>
    </row>
    <row r="1263" spans="1:35">
      <c r="A1263" s="2">
        <f t="shared" si="142"/>
        <v>1260</v>
      </c>
      <c r="B1263" s="156">
        <f t="shared" si="140"/>
        <v>2026</v>
      </c>
      <c r="C1263" s="129">
        <f t="shared" si="141"/>
        <v>2025</v>
      </c>
      <c r="D1263" s="2" t="s">
        <v>155</v>
      </c>
      <c r="E1263" s="2" t="s">
        <v>155</v>
      </c>
      <c r="F1263" s="39">
        <v>45809</v>
      </c>
      <c r="G1263" s="2">
        <f>DAY(EOMONTH(TA[[#This Row],[Month Year]],0))</f>
        <v>30</v>
      </c>
      <c r="H1263" s="21">
        <v>45833</v>
      </c>
      <c r="I1263" s="41">
        <f>IFERROR(VLOOKUP(TA[[#This Row],[Date]],Raw_Data[[Date]:[Sunset Time (POA&lt;20 W/m2)]],3,0),"")</f>
        <v>0.25416666666666665</v>
      </c>
      <c r="J1263" s="41">
        <f>IFERROR(VLOOKUP(TA[[#This Row],[Date]],Raw_Data[[Date]:[Sunset Time (POA&lt;20 W/m2)]],4,0),"")</f>
        <v>0.77777777777777779</v>
      </c>
      <c r="K1263" s="35">
        <f>IFERROR((TA[[#This Row],[Sunset Time (POA&lt;20 W/m2)]]-TA[[#This Row],[Sunrise Time (POA&gt;20 W/m2)]])*24,"")</f>
        <v>12.566666666666666</v>
      </c>
      <c r="L1263" s="2" t="s">
        <v>312</v>
      </c>
      <c r="M1263" s="42">
        <f>IFERROR(VLOOKUP(TA[[#This Row],[Affected Equipment]],'Basic Data'!$I$2:$K$40,3,0),"")</f>
        <v>5.74712643678161E-3</v>
      </c>
      <c r="N1263">
        <v>-28</v>
      </c>
      <c r="O1263" t="s">
        <v>133</v>
      </c>
      <c r="P1263" s="22" t="s">
        <v>330</v>
      </c>
      <c r="Q1263" s="2" t="s">
        <v>323</v>
      </c>
      <c r="R1263">
        <v>26</v>
      </c>
      <c r="S1263" s="2">
        <v>37</v>
      </c>
      <c r="T1263" t="s">
        <v>297</v>
      </c>
      <c r="U1263" t="s">
        <v>300</v>
      </c>
      <c r="V1263" t="s">
        <v>301</v>
      </c>
      <c r="W1263" s="41"/>
      <c r="X1263" s="41"/>
      <c r="Y1263" s="34"/>
      <c r="Z1263" s="34"/>
      <c r="AA1263" s="35">
        <f>IF(TA[[#This Row],[Work Start time on Fault]]="NA","",(TA[[#This Row],[Fault Acknowledgement Time ]]-TA[[#This Row],[Fault Time]])*24)</f>
        <v>0</v>
      </c>
      <c r="AB1263" s="35">
        <f>(TA[[#This Row],[Work Start time on Fault]]-TA[[#This Row],[Fault Time]])*24</f>
        <v>0</v>
      </c>
      <c r="AC1263" s="34">
        <f>(TA[[#This Row],[Work Completion time on fault]]-TA[[#This Row],[Fault Time]])*24</f>
        <v>0</v>
      </c>
      <c r="AD1263" s="35">
        <f>IFERROR((TA[[#This Row],[Work Completion time on fault]]-TA[[#This Row],[Fault Time]])*24,"")</f>
        <v>0</v>
      </c>
      <c r="AE1263" t="s">
        <v>328</v>
      </c>
      <c r="AF1263" t="s">
        <v>256</v>
      </c>
      <c r="AG1263" s="2"/>
      <c r="AH1263" s="44">
        <f>1-COS(RADIANS(TA[[#This Row],[Avg. Target Angle during Fault Time (Radians)]]-TA[[#This Row],[Angle of affected equipment ]]))</f>
        <v>0.11705240714107301</v>
      </c>
      <c r="AI1263" s="35">
        <f>IFERROR(TA[[#This Row],[Breakdown Time]]*TA[[#This Row],[Plant Equivalent Weightage]],"")</f>
        <v>0</v>
      </c>
    </row>
    <row r="1264" spans="1:35">
      <c r="A1264" s="2">
        <f t="shared" si="142"/>
        <v>1261</v>
      </c>
      <c r="B1264" s="156">
        <f t="shared" si="140"/>
        <v>2026</v>
      </c>
      <c r="C1264" s="129">
        <f t="shared" si="141"/>
        <v>2025</v>
      </c>
      <c r="D1264" s="2" t="s">
        <v>155</v>
      </c>
      <c r="E1264" s="2" t="s">
        <v>155</v>
      </c>
      <c r="F1264" s="39">
        <v>45809</v>
      </c>
      <c r="G1264" s="2">
        <f>DAY(EOMONTH(TA[[#This Row],[Month Year]],0))</f>
        <v>30</v>
      </c>
      <c r="H1264" s="21">
        <v>45833</v>
      </c>
      <c r="I1264" s="41">
        <f>IFERROR(VLOOKUP(TA[[#This Row],[Date]],Raw_Data[[Date]:[Sunset Time (POA&lt;20 W/m2)]],3,0),"")</f>
        <v>0.25416666666666665</v>
      </c>
      <c r="J1264" s="41">
        <f>IFERROR(VLOOKUP(TA[[#This Row],[Date]],Raw_Data[[Date]:[Sunset Time (POA&lt;20 W/m2)]],4,0),"")</f>
        <v>0.77777777777777779</v>
      </c>
      <c r="K1264" s="35">
        <f>IFERROR((TA[[#This Row],[Sunset Time (POA&lt;20 W/m2)]]-TA[[#This Row],[Sunrise Time (POA&gt;20 W/m2)]])*24,"")</f>
        <v>12.566666666666666</v>
      </c>
      <c r="L1264" s="2" t="s">
        <v>312</v>
      </c>
      <c r="M1264" s="42">
        <f>IFERROR(VLOOKUP(TA[[#This Row],[Affected Equipment]],'Basic Data'!$I$2:$K$40,3,0),"")</f>
        <v>5.74712643678161E-3</v>
      </c>
      <c r="N1264">
        <v>-28</v>
      </c>
      <c r="O1264" t="s">
        <v>133</v>
      </c>
      <c r="P1264" s="22" t="s">
        <v>330</v>
      </c>
      <c r="Q1264" s="2" t="s">
        <v>323</v>
      </c>
      <c r="R1264">
        <v>27</v>
      </c>
      <c r="S1264" s="2">
        <v>42</v>
      </c>
      <c r="T1264" t="s">
        <v>297</v>
      </c>
      <c r="U1264" t="s">
        <v>300</v>
      </c>
      <c r="V1264" t="s">
        <v>301</v>
      </c>
      <c r="W1264" s="41">
        <f>IFERROR(VLOOKUP(TA[[#This Row],[Date]],Raw_Data[[Date]:[Sunset Time (POA&lt;20 W/m2)]],3,0),"")</f>
        <v>0.25416666666666665</v>
      </c>
      <c r="X1264" s="41">
        <f>IFERROR(VLOOKUP(TA[[#This Row],[Date]],Raw_Data[[Date]:[Sunset Time (POA&lt;20 W/m2)]],3,0),"")</f>
        <v>0.25416666666666665</v>
      </c>
      <c r="Y1264" s="34"/>
      <c r="Z1264" s="34">
        <v>0.76041666666666663</v>
      </c>
      <c r="AA1264" s="35">
        <f>IF(TA[[#This Row],[Work Start time on Fault]]="NA","",(TA[[#This Row],[Fault Acknowledgement Time ]]-TA[[#This Row],[Fault Time]])*24)</f>
        <v>0</v>
      </c>
      <c r="AB1264" s="35">
        <f>(TA[[#This Row],[Work Start time on Fault]]-TA[[#This Row],[Fault Time]])*24</f>
        <v>-6.1</v>
      </c>
      <c r="AC1264" s="34">
        <f>(TA[[#This Row],[Work Completion time on fault]]-TA[[#This Row],[Fault Time]])*24</f>
        <v>12.149999999999999</v>
      </c>
      <c r="AD1264" s="35">
        <f>IFERROR((TA[[#This Row],[Work Completion time on fault]]-TA[[#This Row],[Fault Time]])*24,"")</f>
        <v>12.149999999999999</v>
      </c>
      <c r="AE1264" t="s">
        <v>309</v>
      </c>
      <c r="AF1264" t="s">
        <v>256</v>
      </c>
      <c r="AG1264" s="2"/>
      <c r="AH1264" s="44">
        <f>1-COS(RADIANS(TA[[#This Row],[Avg. Target Angle during Fault Time (Radians)]]-TA[[#This Row],[Angle of affected equipment ]]))</f>
        <v>0.11705240714107301</v>
      </c>
      <c r="AI1264" s="35">
        <f>IFERROR(TA[[#This Row],[Breakdown Time]]*TA[[#This Row],[Plant Equivalent Weightage]],"")</f>
        <v>6.9827586206896552E-2</v>
      </c>
    </row>
    <row r="1265" spans="1:35">
      <c r="A1265" s="2">
        <f t="shared" si="142"/>
        <v>1262</v>
      </c>
      <c r="B1265" s="156">
        <f t="shared" ref="B1265:B1277" si="143">YEAR(H1265)+IF(MONTH(H1265)&gt;=4,1,0)</f>
        <v>2026</v>
      </c>
      <c r="C1265" s="129">
        <f t="shared" ref="C1265:C1277" si="144">YEAR(H1265)</f>
        <v>2025</v>
      </c>
      <c r="D1265" s="2" t="s">
        <v>155</v>
      </c>
      <c r="E1265" s="2" t="s">
        <v>155</v>
      </c>
      <c r="F1265" s="39">
        <v>45809</v>
      </c>
      <c r="G1265" s="2">
        <f>DAY(EOMONTH(TA[[#This Row],[Month Year]],0))</f>
        <v>30</v>
      </c>
      <c r="H1265" s="21">
        <v>45834</v>
      </c>
      <c r="I1265" s="41">
        <f>IFERROR(VLOOKUP(TA[[#This Row],[Date]],Raw_Data[[Date]:[Sunset Time (POA&lt;20 W/m2)]],3,0),"")</f>
        <v>0.25694444444444442</v>
      </c>
      <c r="J1265" s="41">
        <f>IFERROR(VLOOKUP(TA[[#This Row],[Date]],Raw_Data[[Date]:[Sunset Time (POA&lt;20 W/m2)]],4,0),"")</f>
        <v>0.78125</v>
      </c>
      <c r="K1265" s="35">
        <f>IFERROR((TA[[#This Row],[Sunset Time (POA&lt;20 W/m2)]]-TA[[#This Row],[Sunrise Time (POA&gt;20 W/m2)]])*24,"")</f>
        <v>12.583333333333334</v>
      </c>
      <c r="L1265" s="2" t="s">
        <v>294</v>
      </c>
      <c r="M1265" s="42">
        <f>IFERROR(VLOOKUP(TA[[#This Row],[Affected Equipment]],'Basic Data'!$I$2:$K$40,3,0),"")</f>
        <v>1.7241379310344799E-3</v>
      </c>
      <c r="N1265">
        <v>-28</v>
      </c>
      <c r="O1265" t="s">
        <v>135</v>
      </c>
      <c r="P1265" s="127" t="s">
        <v>318</v>
      </c>
      <c r="Q1265" s="126" t="s">
        <v>318</v>
      </c>
      <c r="R1265">
        <v>131</v>
      </c>
      <c r="S1265" s="2">
        <v>38</v>
      </c>
      <c r="T1265" t="s">
        <v>295</v>
      </c>
      <c r="U1265" t="s">
        <v>300</v>
      </c>
      <c r="V1265" t="s">
        <v>298</v>
      </c>
      <c r="W1265" s="41"/>
      <c r="X1265" s="41"/>
      <c r="Y1265" s="34"/>
      <c r="Z1265" s="34"/>
      <c r="AA1265" s="35">
        <f>IF(TA[[#This Row],[Work Start time on Fault]]="NA","",(TA[[#This Row],[Fault Acknowledgement Time ]]-TA[[#This Row],[Fault Time]])*24)</f>
        <v>0</v>
      </c>
      <c r="AB1265" s="35">
        <f>(TA[[#This Row],[Work Start time on Fault]]-TA[[#This Row],[Fault Time]])*24</f>
        <v>0</v>
      </c>
      <c r="AC1265" s="34">
        <f>(TA[[#This Row],[Work Completion time on fault]]-TA[[#This Row],[Fault Time]])*24</f>
        <v>0</v>
      </c>
      <c r="AD1265" s="35">
        <f>IFERROR((TA[[#This Row],[Work Completion time on fault]]-TA[[#This Row],[Fault Time]])*24,"")</f>
        <v>0</v>
      </c>
      <c r="AE1265" t="s">
        <v>328</v>
      </c>
      <c r="AF1265" t="s">
        <v>256</v>
      </c>
      <c r="AG1265" s="2"/>
      <c r="AH1265" s="44">
        <f>1-COS(RADIANS(TA[[#This Row],[Avg. Target Angle during Fault Time (Radians)]]-TA[[#This Row],[Angle of affected equipment ]]))</f>
        <v>0.11705240714107301</v>
      </c>
      <c r="AI1265" s="35">
        <f>IFERROR(TA[[#This Row],[Breakdown Time]]*TA[[#This Row],[Plant Equivalent Weightage]],"")</f>
        <v>0</v>
      </c>
    </row>
    <row r="1266" spans="1:35">
      <c r="A1266" s="2">
        <f t="shared" si="142"/>
        <v>1263</v>
      </c>
      <c r="B1266" s="156">
        <f t="shared" si="143"/>
        <v>2026</v>
      </c>
      <c r="C1266" s="129">
        <f t="shared" si="144"/>
        <v>2025</v>
      </c>
      <c r="D1266" s="2" t="s">
        <v>155</v>
      </c>
      <c r="E1266" s="2" t="s">
        <v>155</v>
      </c>
      <c r="F1266" s="39">
        <v>45809</v>
      </c>
      <c r="G1266" s="2">
        <f>DAY(EOMONTH(TA[[#This Row],[Month Year]],0))</f>
        <v>30</v>
      </c>
      <c r="H1266" s="21">
        <v>45834</v>
      </c>
      <c r="I1266" s="41">
        <f>IFERROR(VLOOKUP(TA[[#This Row],[Date]],Raw_Data[[Date]:[Sunset Time (POA&lt;20 W/m2)]],3,0),"")</f>
        <v>0.25694444444444442</v>
      </c>
      <c r="J1266" s="41">
        <f>IFERROR(VLOOKUP(TA[[#This Row],[Date]],Raw_Data[[Date]:[Sunset Time (POA&lt;20 W/m2)]],4,0),"")</f>
        <v>0.78125</v>
      </c>
      <c r="K1266" s="35">
        <f>IFERROR((TA[[#This Row],[Sunset Time (POA&lt;20 W/m2)]]-TA[[#This Row],[Sunrise Time (POA&gt;20 W/m2)]])*24,"")</f>
        <v>12.583333333333334</v>
      </c>
      <c r="L1266" s="2" t="s">
        <v>294</v>
      </c>
      <c r="M1266" s="42">
        <f>IFERROR(VLOOKUP(TA[[#This Row],[Affected Equipment]],'Basic Data'!$I$2:$K$40,3,0),"")</f>
        <v>1.7241379310344799E-3</v>
      </c>
      <c r="N1266">
        <v>-28</v>
      </c>
      <c r="O1266" t="s">
        <v>135</v>
      </c>
      <c r="P1266" s="127" t="s">
        <v>318</v>
      </c>
      <c r="Q1266" s="126" t="s">
        <v>318</v>
      </c>
      <c r="R1266">
        <v>131</v>
      </c>
      <c r="S1266" s="2">
        <v>39</v>
      </c>
      <c r="T1266" t="s">
        <v>295</v>
      </c>
      <c r="U1266" t="s">
        <v>300</v>
      </c>
      <c r="V1266" t="s">
        <v>298</v>
      </c>
      <c r="W1266" s="41"/>
      <c r="X1266" s="41"/>
      <c r="Y1266" s="34"/>
      <c r="Z1266" s="34"/>
      <c r="AA1266" s="35">
        <f>IF(TA[[#This Row],[Work Start time on Fault]]="NA","",(TA[[#This Row],[Fault Acknowledgement Time ]]-TA[[#This Row],[Fault Time]])*24)</f>
        <v>0</v>
      </c>
      <c r="AB1266" s="35">
        <f>(TA[[#This Row],[Work Start time on Fault]]-TA[[#This Row],[Fault Time]])*24</f>
        <v>0</v>
      </c>
      <c r="AC1266" s="34">
        <f>(TA[[#This Row],[Work Completion time on fault]]-TA[[#This Row],[Fault Time]])*24</f>
        <v>0</v>
      </c>
      <c r="AD1266" s="35">
        <f>IFERROR((TA[[#This Row],[Work Completion time on fault]]-TA[[#This Row],[Fault Time]])*24,"")</f>
        <v>0</v>
      </c>
      <c r="AE1266" t="s">
        <v>328</v>
      </c>
      <c r="AF1266" t="s">
        <v>256</v>
      </c>
      <c r="AG1266" s="2"/>
      <c r="AH1266" s="44">
        <f>1-COS(RADIANS(TA[[#This Row],[Avg. Target Angle during Fault Time (Radians)]]-TA[[#This Row],[Angle of affected equipment ]]))</f>
        <v>0.11705240714107301</v>
      </c>
      <c r="AI1266" s="35">
        <f>IFERROR(TA[[#This Row],[Breakdown Time]]*TA[[#This Row],[Plant Equivalent Weightage]],"")</f>
        <v>0</v>
      </c>
    </row>
    <row r="1267" spans="1:35">
      <c r="A1267" s="2">
        <f t="shared" si="142"/>
        <v>1264</v>
      </c>
      <c r="B1267" s="156">
        <f t="shared" si="143"/>
        <v>2026</v>
      </c>
      <c r="C1267" s="129">
        <f t="shared" si="144"/>
        <v>2025</v>
      </c>
      <c r="D1267" s="2" t="s">
        <v>155</v>
      </c>
      <c r="E1267" s="2" t="s">
        <v>155</v>
      </c>
      <c r="F1267" s="39">
        <v>45809</v>
      </c>
      <c r="G1267" s="2">
        <f>DAY(EOMONTH(TA[[#This Row],[Month Year]],0))</f>
        <v>30</v>
      </c>
      <c r="H1267" s="21">
        <v>45834</v>
      </c>
      <c r="I1267" s="41">
        <f>IFERROR(VLOOKUP(TA[[#This Row],[Date]],Raw_Data[[Date]:[Sunset Time (POA&lt;20 W/m2)]],3,0),"")</f>
        <v>0.25694444444444442</v>
      </c>
      <c r="J1267" s="41">
        <f>IFERROR(VLOOKUP(TA[[#This Row],[Date]],Raw_Data[[Date]:[Sunset Time (POA&lt;20 W/m2)]],4,0),"")</f>
        <v>0.78125</v>
      </c>
      <c r="K1267" s="35">
        <f>IFERROR((TA[[#This Row],[Sunset Time (POA&lt;20 W/m2)]]-TA[[#This Row],[Sunrise Time (POA&gt;20 W/m2)]])*24,"")</f>
        <v>12.583333333333334</v>
      </c>
      <c r="L1267" s="2" t="s">
        <v>296</v>
      </c>
      <c r="M1267" s="42">
        <f>IFERROR(VLOOKUP(TA[[#This Row],[Affected Equipment]],'Basic Data'!$I$2:$K$40,3,0),"")</f>
        <v>8.6206896551724102E-3</v>
      </c>
      <c r="N1267">
        <v>-28</v>
      </c>
      <c r="O1267" t="s">
        <v>135</v>
      </c>
      <c r="P1267" s="127" t="s">
        <v>318</v>
      </c>
      <c r="Q1267" s="2" t="s">
        <v>321</v>
      </c>
      <c r="R1267">
        <v>133</v>
      </c>
      <c r="S1267" s="2">
        <v>26</v>
      </c>
      <c r="T1267" t="s">
        <v>297</v>
      </c>
      <c r="U1267" t="s">
        <v>300</v>
      </c>
      <c r="V1267" t="s">
        <v>314</v>
      </c>
      <c r="W1267" s="41">
        <f>IFERROR(VLOOKUP(TA[[#This Row],[Date]],Raw_Data[[Date]:[Sunset Time (POA&lt;20 W/m2)]],3,0),"")</f>
        <v>0.25694444444444442</v>
      </c>
      <c r="X1267" s="41">
        <f>IFERROR(VLOOKUP(TA[[#This Row],[Date]],Raw_Data[[Date]:[Sunset Time (POA&lt;20 W/m2)]],3,0),"")</f>
        <v>0.25694444444444442</v>
      </c>
      <c r="Y1267" s="34"/>
      <c r="Z1267" s="34">
        <v>0.76041666666666663</v>
      </c>
      <c r="AA1267" s="35">
        <f>IF(TA[[#This Row],[Work Start time on Fault]]="NA","",(TA[[#This Row],[Fault Acknowledgement Time ]]-TA[[#This Row],[Fault Time]])*24)</f>
        <v>0</v>
      </c>
      <c r="AB1267" s="35">
        <f>(TA[[#This Row],[Work Start time on Fault]]-TA[[#This Row],[Fault Time]])*24</f>
        <v>-6.1666666666666661</v>
      </c>
      <c r="AC1267" s="34">
        <f>(TA[[#This Row],[Work Completion time on fault]]-TA[[#This Row],[Fault Time]])*24</f>
        <v>12.083333333333332</v>
      </c>
      <c r="AD1267" s="35">
        <f>IFERROR((TA[[#This Row],[Work Completion time on fault]]-TA[[#This Row],[Fault Time]])*24,"")</f>
        <v>12.083333333333332</v>
      </c>
      <c r="AE1267" t="s">
        <v>328</v>
      </c>
      <c r="AF1267" t="s">
        <v>256</v>
      </c>
      <c r="AG1267" s="2"/>
      <c r="AH1267" s="44">
        <f>1-COS(RADIANS(TA[[#This Row],[Avg. Target Angle during Fault Time (Radians)]]-TA[[#This Row],[Angle of affected equipment ]]))</f>
        <v>0.11705240714107301</v>
      </c>
      <c r="AI1267" s="35">
        <f>IFERROR(TA[[#This Row],[Breakdown Time]]*TA[[#This Row],[Plant Equivalent Weightage]],"")</f>
        <v>0.10416666666666662</v>
      </c>
    </row>
    <row r="1268" spans="1:35">
      <c r="A1268" s="2">
        <f t="shared" si="142"/>
        <v>1265</v>
      </c>
      <c r="B1268" s="156">
        <f t="shared" si="143"/>
        <v>2026</v>
      </c>
      <c r="C1268" s="129">
        <f t="shared" si="144"/>
        <v>2025</v>
      </c>
      <c r="D1268" s="2" t="s">
        <v>155</v>
      </c>
      <c r="E1268" s="2" t="s">
        <v>155</v>
      </c>
      <c r="F1268" s="39">
        <v>45809</v>
      </c>
      <c r="G1268" s="2">
        <f>DAY(EOMONTH(TA[[#This Row],[Month Year]],0))</f>
        <v>30</v>
      </c>
      <c r="H1268" s="21">
        <v>45834</v>
      </c>
      <c r="I1268" s="41">
        <f>IFERROR(VLOOKUP(TA[[#This Row],[Date]],Raw_Data[[Date]:[Sunset Time (POA&lt;20 W/m2)]],3,0),"")</f>
        <v>0.25694444444444442</v>
      </c>
      <c r="J1268" s="41">
        <f>IFERROR(VLOOKUP(TA[[#This Row],[Date]],Raw_Data[[Date]:[Sunset Time (POA&lt;20 W/m2)]],4,0),"")</f>
        <v>0.78125</v>
      </c>
      <c r="K1268" s="35">
        <f>IFERROR((TA[[#This Row],[Sunset Time (POA&lt;20 W/m2)]]-TA[[#This Row],[Sunrise Time (POA&gt;20 W/m2)]])*24,"")</f>
        <v>12.583333333333334</v>
      </c>
      <c r="L1268" s="2" t="s">
        <v>294</v>
      </c>
      <c r="M1268" s="42">
        <f>IFERROR(VLOOKUP(TA[[#This Row],[Affected Equipment]],'Basic Data'!$I$2:$K$40,3,0),"")</f>
        <v>1.7241379310344799E-3</v>
      </c>
      <c r="N1268">
        <v>-28</v>
      </c>
      <c r="O1268" t="s">
        <v>133</v>
      </c>
      <c r="P1268" s="127" t="s">
        <v>316</v>
      </c>
      <c r="Q1268" s="126" t="s">
        <v>317</v>
      </c>
      <c r="R1268">
        <v>7</v>
      </c>
      <c r="S1268" s="2">
        <v>32</v>
      </c>
      <c r="T1268" t="s">
        <v>295</v>
      </c>
      <c r="U1268" t="s">
        <v>300</v>
      </c>
      <c r="V1268" t="s">
        <v>298</v>
      </c>
      <c r="W1268" s="41"/>
      <c r="X1268" s="41"/>
      <c r="Y1268" s="34"/>
      <c r="Z1268" s="34"/>
      <c r="AA1268" s="35">
        <f>IF(TA[[#This Row],[Work Start time on Fault]]="NA","",(TA[[#This Row],[Fault Acknowledgement Time ]]-TA[[#This Row],[Fault Time]])*24)</f>
        <v>0</v>
      </c>
      <c r="AB1268" s="35">
        <f>(TA[[#This Row],[Work Start time on Fault]]-TA[[#This Row],[Fault Time]])*24</f>
        <v>0</v>
      </c>
      <c r="AC1268" s="34">
        <f>(TA[[#This Row],[Work Completion time on fault]]-TA[[#This Row],[Fault Time]])*24</f>
        <v>0</v>
      </c>
      <c r="AD1268" s="35">
        <f>IFERROR((TA[[#This Row],[Work Completion time on fault]]-TA[[#This Row],[Fault Time]])*24,"")</f>
        <v>0</v>
      </c>
      <c r="AE1268" t="s">
        <v>328</v>
      </c>
      <c r="AF1268" t="s">
        <v>256</v>
      </c>
      <c r="AG1268" s="2"/>
      <c r="AH1268" s="44">
        <f>1-COS(RADIANS(TA[[#This Row],[Avg. Target Angle during Fault Time (Radians)]]-TA[[#This Row],[Angle of affected equipment ]]))</f>
        <v>0.11705240714107301</v>
      </c>
      <c r="AI1268" s="35">
        <f>IFERROR(TA[[#This Row],[Breakdown Time]]*TA[[#This Row],[Plant Equivalent Weightage]],"")</f>
        <v>0</v>
      </c>
    </row>
    <row r="1269" spans="1:35">
      <c r="A1269" s="2">
        <f t="shared" si="142"/>
        <v>1266</v>
      </c>
      <c r="B1269" s="156">
        <f t="shared" si="143"/>
        <v>2026</v>
      </c>
      <c r="C1269" s="129">
        <f t="shared" si="144"/>
        <v>2025</v>
      </c>
      <c r="D1269" s="2" t="s">
        <v>155</v>
      </c>
      <c r="E1269" s="2" t="s">
        <v>155</v>
      </c>
      <c r="F1269" s="39">
        <v>45809</v>
      </c>
      <c r="G1269" s="2">
        <f>DAY(EOMONTH(TA[[#This Row],[Month Year]],0))</f>
        <v>30</v>
      </c>
      <c r="H1269" s="21">
        <v>45834</v>
      </c>
      <c r="I1269" s="41">
        <f>IFERROR(VLOOKUP(TA[[#This Row],[Date]],Raw_Data[[Date]:[Sunset Time (POA&lt;20 W/m2)]],3,0),"")</f>
        <v>0.25694444444444442</v>
      </c>
      <c r="J1269" s="41">
        <f>IFERROR(VLOOKUP(TA[[#This Row],[Date]],Raw_Data[[Date]:[Sunset Time (POA&lt;20 W/m2)]],4,0),"")</f>
        <v>0.78125</v>
      </c>
      <c r="K1269" s="35">
        <f>IFERROR((TA[[#This Row],[Sunset Time (POA&lt;20 W/m2)]]-TA[[#This Row],[Sunrise Time (POA&gt;20 W/m2)]])*24,"")</f>
        <v>12.583333333333334</v>
      </c>
      <c r="L1269" s="2" t="s">
        <v>294</v>
      </c>
      <c r="M1269" s="42">
        <f>IFERROR(VLOOKUP(TA[[#This Row],[Affected Equipment]],'Basic Data'!$I$2:$K$40,3,0),"")</f>
        <v>1.7241379310344799E-3</v>
      </c>
      <c r="N1269">
        <v>-28</v>
      </c>
      <c r="O1269" t="s">
        <v>137</v>
      </c>
      <c r="P1269" s="127" t="s">
        <v>315</v>
      </c>
      <c r="Q1269" s="126" t="s">
        <v>319</v>
      </c>
      <c r="R1269">
        <v>166</v>
      </c>
      <c r="S1269" s="2">
        <v>91</v>
      </c>
      <c r="T1269" t="s">
        <v>295</v>
      </c>
      <c r="U1269" t="s">
        <v>300</v>
      </c>
      <c r="V1269" t="s">
        <v>298</v>
      </c>
      <c r="W1269" s="41"/>
      <c r="X1269" s="41"/>
      <c r="Y1269" s="34"/>
      <c r="Z1269" s="34"/>
      <c r="AA1269" s="35">
        <f>IF(TA[[#This Row],[Work Start time on Fault]]="NA","",(TA[[#This Row],[Fault Acknowledgement Time ]]-TA[[#This Row],[Fault Time]])*24)</f>
        <v>0</v>
      </c>
      <c r="AB1269" s="35">
        <f>(TA[[#This Row],[Work Start time on Fault]]-TA[[#This Row],[Fault Time]])*24</f>
        <v>0</v>
      </c>
      <c r="AC1269" s="34">
        <f>(TA[[#This Row],[Work Completion time on fault]]-TA[[#This Row],[Fault Time]])*24</f>
        <v>0</v>
      </c>
      <c r="AD1269" s="35">
        <f>IFERROR((TA[[#This Row],[Work Completion time on fault]]-TA[[#This Row],[Fault Time]])*24,"")</f>
        <v>0</v>
      </c>
      <c r="AE1269" t="s">
        <v>328</v>
      </c>
      <c r="AF1269" t="s">
        <v>256</v>
      </c>
      <c r="AG1269" s="2"/>
      <c r="AH1269" s="44">
        <f>1-COS(RADIANS(TA[[#This Row],[Avg. Target Angle during Fault Time (Radians)]]-TA[[#This Row],[Angle of affected equipment ]]))</f>
        <v>0.11705240714107301</v>
      </c>
      <c r="AI1269" s="35">
        <f>IFERROR(TA[[#This Row],[Breakdown Time]]*TA[[#This Row],[Plant Equivalent Weightage]],"")</f>
        <v>0</v>
      </c>
    </row>
    <row r="1270" spans="1:35">
      <c r="A1270" s="2">
        <f t="shared" si="142"/>
        <v>1267</v>
      </c>
      <c r="B1270" s="156">
        <f t="shared" si="143"/>
        <v>2026</v>
      </c>
      <c r="C1270" s="129">
        <f t="shared" si="144"/>
        <v>2025</v>
      </c>
      <c r="D1270" s="2" t="s">
        <v>155</v>
      </c>
      <c r="E1270" s="2" t="s">
        <v>155</v>
      </c>
      <c r="F1270" s="39">
        <v>45809</v>
      </c>
      <c r="G1270" s="2">
        <f>DAY(EOMONTH(TA[[#This Row],[Month Year]],0))</f>
        <v>30</v>
      </c>
      <c r="H1270" s="21">
        <v>45834</v>
      </c>
      <c r="I1270" s="41">
        <f>IFERROR(VLOOKUP(TA[[#This Row],[Date]],Raw_Data[[Date]:[Sunset Time (POA&lt;20 W/m2)]],3,0),"")</f>
        <v>0.25694444444444442</v>
      </c>
      <c r="J1270" s="41">
        <f>IFERROR(VLOOKUP(TA[[#This Row],[Date]],Raw_Data[[Date]:[Sunset Time (POA&lt;20 W/m2)]],4,0),"")</f>
        <v>0.78125</v>
      </c>
      <c r="K1270" s="35">
        <f>IFERROR((TA[[#This Row],[Sunset Time (POA&lt;20 W/m2)]]-TA[[#This Row],[Sunrise Time (POA&gt;20 W/m2)]])*24,"")</f>
        <v>12.583333333333334</v>
      </c>
      <c r="L1270" s="2" t="s">
        <v>294</v>
      </c>
      <c r="M1270" s="42">
        <f>IFERROR(VLOOKUP(TA[[#This Row],[Affected Equipment]],'Basic Data'!$I$2:$K$40,3,0),"")</f>
        <v>1.7241379310344799E-3</v>
      </c>
      <c r="N1270">
        <v>-28</v>
      </c>
      <c r="O1270" t="s">
        <v>133</v>
      </c>
      <c r="P1270" s="127" t="s">
        <v>316</v>
      </c>
      <c r="Q1270" s="126" t="s">
        <v>316</v>
      </c>
      <c r="R1270">
        <v>117</v>
      </c>
      <c r="S1270" s="2">
        <v>20</v>
      </c>
      <c r="T1270" t="s">
        <v>295</v>
      </c>
      <c r="U1270" t="s">
        <v>300</v>
      </c>
      <c r="V1270" t="s">
        <v>298</v>
      </c>
      <c r="W1270" s="41"/>
      <c r="X1270" s="41"/>
      <c r="Y1270" s="34"/>
      <c r="Z1270" s="34"/>
      <c r="AA1270" s="35">
        <f>IF(TA[[#This Row],[Work Start time on Fault]]="NA","",(TA[[#This Row],[Fault Acknowledgement Time ]]-TA[[#This Row],[Fault Time]])*24)</f>
        <v>0</v>
      </c>
      <c r="AB1270" s="35">
        <f>(TA[[#This Row],[Work Start time on Fault]]-TA[[#This Row],[Fault Time]])*24</f>
        <v>0</v>
      </c>
      <c r="AC1270" s="34">
        <f>(TA[[#This Row],[Work Completion time on fault]]-TA[[#This Row],[Fault Time]])*24</f>
        <v>0</v>
      </c>
      <c r="AD1270" s="35">
        <f>IFERROR((TA[[#This Row],[Work Completion time on fault]]-TA[[#This Row],[Fault Time]])*24,"")</f>
        <v>0</v>
      </c>
      <c r="AE1270" t="s">
        <v>328</v>
      </c>
      <c r="AF1270" t="s">
        <v>256</v>
      </c>
      <c r="AG1270" s="2"/>
      <c r="AH1270" s="44">
        <f>1-COS(RADIANS(TA[[#This Row],[Avg. Target Angle during Fault Time (Radians)]]-TA[[#This Row],[Angle of affected equipment ]]))</f>
        <v>0.11705240714107301</v>
      </c>
      <c r="AI1270" s="35">
        <f>IFERROR(TA[[#This Row],[Breakdown Time]]*TA[[#This Row],[Plant Equivalent Weightage]],"")</f>
        <v>0</v>
      </c>
    </row>
    <row r="1271" spans="1:35">
      <c r="A1271" s="2">
        <f t="shared" si="142"/>
        <v>1268</v>
      </c>
      <c r="B1271" s="156">
        <f t="shared" si="143"/>
        <v>2026</v>
      </c>
      <c r="C1271" s="129">
        <f t="shared" si="144"/>
        <v>2025</v>
      </c>
      <c r="D1271" s="2" t="s">
        <v>155</v>
      </c>
      <c r="E1271" s="2" t="s">
        <v>155</v>
      </c>
      <c r="F1271" s="39">
        <v>45809</v>
      </c>
      <c r="G1271" s="2">
        <f>DAY(EOMONTH(TA[[#This Row],[Month Year]],0))</f>
        <v>30</v>
      </c>
      <c r="H1271" s="21">
        <v>45834</v>
      </c>
      <c r="I1271" s="41">
        <f>IFERROR(VLOOKUP(TA[[#This Row],[Date]],Raw_Data[[Date]:[Sunset Time (POA&lt;20 W/m2)]],3,0),"")</f>
        <v>0.25694444444444442</v>
      </c>
      <c r="J1271" s="41">
        <f>IFERROR(VLOOKUP(TA[[#This Row],[Date]],Raw_Data[[Date]:[Sunset Time (POA&lt;20 W/m2)]],4,0),"")</f>
        <v>0.78125</v>
      </c>
      <c r="K1271" s="35">
        <f>IFERROR((TA[[#This Row],[Sunset Time (POA&lt;20 W/m2)]]-TA[[#This Row],[Sunrise Time (POA&gt;20 W/m2)]])*24,"")</f>
        <v>12.583333333333334</v>
      </c>
      <c r="L1271" s="2" t="s">
        <v>294</v>
      </c>
      <c r="M1271" s="42">
        <f>IFERROR(VLOOKUP(TA[[#This Row],[Affected Equipment]],'Basic Data'!$I$2:$K$40,3,0),"")</f>
        <v>1.7241379310344799E-3</v>
      </c>
      <c r="N1271">
        <v>-28</v>
      </c>
      <c r="O1271" t="s">
        <v>133</v>
      </c>
      <c r="P1271" s="127" t="s">
        <v>316</v>
      </c>
      <c r="Q1271" s="126" t="s">
        <v>316</v>
      </c>
      <c r="R1271">
        <v>118</v>
      </c>
      <c r="S1271" s="2">
        <v>22</v>
      </c>
      <c r="T1271" t="s">
        <v>295</v>
      </c>
      <c r="U1271" t="s">
        <v>300</v>
      </c>
      <c r="V1271" t="s">
        <v>298</v>
      </c>
      <c r="W1271" s="41"/>
      <c r="X1271" s="41"/>
      <c r="Y1271" s="34"/>
      <c r="Z1271" s="34"/>
      <c r="AA1271" s="35">
        <f>IF(TA[[#This Row],[Work Start time on Fault]]="NA","",(TA[[#This Row],[Fault Acknowledgement Time ]]-TA[[#This Row],[Fault Time]])*24)</f>
        <v>0</v>
      </c>
      <c r="AB1271" s="35">
        <f>(TA[[#This Row],[Work Start time on Fault]]-TA[[#This Row],[Fault Time]])*24</f>
        <v>0</v>
      </c>
      <c r="AC1271" s="34">
        <f>(TA[[#This Row],[Work Completion time on fault]]-TA[[#This Row],[Fault Time]])*24</f>
        <v>0</v>
      </c>
      <c r="AD1271" s="35">
        <f>IFERROR((TA[[#This Row],[Work Completion time on fault]]-TA[[#This Row],[Fault Time]])*24,"")</f>
        <v>0</v>
      </c>
      <c r="AE1271" t="s">
        <v>328</v>
      </c>
      <c r="AF1271" t="s">
        <v>256</v>
      </c>
      <c r="AG1271" s="2"/>
      <c r="AH1271" s="44">
        <f>1-COS(RADIANS(TA[[#This Row],[Avg. Target Angle during Fault Time (Radians)]]-TA[[#This Row],[Angle of affected equipment ]]))</f>
        <v>0.11705240714107301</v>
      </c>
      <c r="AI1271" s="35">
        <f>IFERROR(TA[[#This Row],[Breakdown Time]]*TA[[#This Row],[Plant Equivalent Weightage]],"")</f>
        <v>0</v>
      </c>
    </row>
    <row r="1272" spans="1:35">
      <c r="A1272" s="2">
        <f t="shared" si="142"/>
        <v>1269</v>
      </c>
      <c r="B1272" s="156">
        <f t="shared" si="143"/>
        <v>2026</v>
      </c>
      <c r="C1272" s="129">
        <f t="shared" si="144"/>
        <v>2025</v>
      </c>
      <c r="D1272" s="2" t="s">
        <v>155</v>
      </c>
      <c r="E1272" s="2" t="s">
        <v>155</v>
      </c>
      <c r="F1272" s="39">
        <v>45809</v>
      </c>
      <c r="G1272" s="2">
        <f>DAY(EOMONTH(TA[[#This Row],[Month Year]],0))</f>
        <v>30</v>
      </c>
      <c r="H1272" s="21">
        <v>45834</v>
      </c>
      <c r="I1272" s="41">
        <f>IFERROR(VLOOKUP(TA[[#This Row],[Date]],Raw_Data[[Date]:[Sunset Time (POA&lt;20 W/m2)]],3,0),"")</f>
        <v>0.25694444444444442</v>
      </c>
      <c r="J1272" s="41">
        <f>IFERROR(VLOOKUP(TA[[#This Row],[Date]],Raw_Data[[Date]:[Sunset Time (POA&lt;20 W/m2)]],4,0),"")</f>
        <v>0.78125</v>
      </c>
      <c r="K1272" s="35">
        <f>IFERROR((TA[[#This Row],[Sunset Time (POA&lt;20 W/m2)]]-TA[[#This Row],[Sunrise Time (POA&gt;20 W/m2)]])*24,"")</f>
        <v>12.583333333333334</v>
      </c>
      <c r="L1272" s="2" t="s">
        <v>296</v>
      </c>
      <c r="M1272" s="42">
        <f>IFERROR(VLOOKUP(TA[[#This Row],[Affected Equipment]],'Basic Data'!$I$2:$K$40,3,0),"")</f>
        <v>8.6206896551724102E-3</v>
      </c>
      <c r="N1272">
        <v>-28</v>
      </c>
      <c r="O1272" t="s">
        <v>135</v>
      </c>
      <c r="P1272" s="22" t="s">
        <v>323</v>
      </c>
      <c r="Q1272" s="2" t="s">
        <v>329</v>
      </c>
      <c r="R1272">
        <v>45</v>
      </c>
      <c r="S1272" s="2">
        <v>8</v>
      </c>
      <c r="T1272" t="s">
        <v>297</v>
      </c>
      <c r="U1272" t="s">
        <v>300</v>
      </c>
      <c r="V1272" t="s">
        <v>301</v>
      </c>
      <c r="W1272" s="41"/>
      <c r="X1272" s="41"/>
      <c r="Y1272" s="34"/>
      <c r="Z1272" s="34"/>
      <c r="AA1272" s="35">
        <f>IF(TA[[#This Row],[Work Start time on Fault]]="NA","",(TA[[#This Row],[Fault Acknowledgement Time ]]-TA[[#This Row],[Fault Time]])*24)</f>
        <v>0</v>
      </c>
      <c r="AB1272" s="35">
        <f>(TA[[#This Row],[Work Start time on Fault]]-TA[[#This Row],[Fault Time]])*24</f>
        <v>0</v>
      </c>
      <c r="AC1272" s="34">
        <f>(TA[[#This Row],[Work Completion time on fault]]-TA[[#This Row],[Fault Time]])*24</f>
        <v>0</v>
      </c>
      <c r="AD1272" s="35">
        <f>IFERROR((TA[[#This Row],[Work Completion time on fault]]-TA[[#This Row],[Fault Time]])*24,"")</f>
        <v>0</v>
      </c>
      <c r="AE1272" t="s">
        <v>328</v>
      </c>
      <c r="AF1272" t="s">
        <v>256</v>
      </c>
      <c r="AG1272" s="2"/>
      <c r="AH1272" s="44">
        <f>1-COS(RADIANS(TA[[#This Row],[Avg. Target Angle during Fault Time (Radians)]]-TA[[#This Row],[Angle of affected equipment ]]))</f>
        <v>0.11705240714107301</v>
      </c>
      <c r="AI1272" s="35">
        <f>IFERROR(TA[[#This Row],[Breakdown Time]]*TA[[#This Row],[Plant Equivalent Weightage]],"")</f>
        <v>0</v>
      </c>
    </row>
    <row r="1273" spans="1:35">
      <c r="A1273" s="2">
        <f t="shared" si="142"/>
        <v>1270</v>
      </c>
      <c r="B1273" s="156">
        <f t="shared" si="143"/>
        <v>2026</v>
      </c>
      <c r="C1273" s="129">
        <f t="shared" si="144"/>
        <v>2025</v>
      </c>
      <c r="D1273" s="2" t="s">
        <v>155</v>
      </c>
      <c r="E1273" s="2" t="s">
        <v>155</v>
      </c>
      <c r="F1273" s="39">
        <v>45809</v>
      </c>
      <c r="G1273" s="2">
        <f>DAY(EOMONTH(TA[[#This Row],[Month Year]],0))</f>
        <v>30</v>
      </c>
      <c r="H1273" s="21">
        <v>45834</v>
      </c>
      <c r="I1273" s="41">
        <f>IFERROR(VLOOKUP(TA[[#This Row],[Date]],Raw_Data[[Date]:[Sunset Time (POA&lt;20 W/m2)]],3,0),"")</f>
        <v>0.25694444444444442</v>
      </c>
      <c r="J1273" s="41">
        <f>IFERROR(VLOOKUP(TA[[#This Row],[Date]],Raw_Data[[Date]:[Sunset Time (POA&lt;20 W/m2)]],4,0),"")</f>
        <v>0.78125</v>
      </c>
      <c r="K1273" s="35">
        <f>IFERROR((TA[[#This Row],[Sunset Time (POA&lt;20 W/m2)]]-TA[[#This Row],[Sunrise Time (POA&gt;20 W/m2)]])*24,"")</f>
        <v>12.583333333333334</v>
      </c>
      <c r="L1273" s="2" t="s">
        <v>296</v>
      </c>
      <c r="M1273" s="42">
        <f>IFERROR(VLOOKUP(TA[[#This Row],[Affected Equipment]],'Basic Data'!$I$2:$K$40,3,0),"")</f>
        <v>8.6206896551724102E-3</v>
      </c>
      <c r="N1273">
        <v>-28</v>
      </c>
      <c r="O1273" t="s">
        <v>135</v>
      </c>
      <c r="P1273" s="22" t="s">
        <v>323</v>
      </c>
      <c r="Q1273" s="2" t="s">
        <v>329</v>
      </c>
      <c r="R1273">
        <v>47</v>
      </c>
      <c r="S1273" s="2">
        <v>18</v>
      </c>
      <c r="T1273" t="s">
        <v>297</v>
      </c>
      <c r="U1273" t="s">
        <v>300</v>
      </c>
      <c r="V1273" t="s">
        <v>301</v>
      </c>
      <c r="W1273" s="41"/>
      <c r="X1273" s="41"/>
      <c r="Y1273" s="34"/>
      <c r="Z1273" s="34"/>
      <c r="AA1273" s="35">
        <f>IF(TA[[#This Row],[Work Start time on Fault]]="NA","",(TA[[#This Row],[Fault Acknowledgement Time ]]-TA[[#This Row],[Fault Time]])*24)</f>
        <v>0</v>
      </c>
      <c r="AB1273" s="35">
        <f>(TA[[#This Row],[Work Start time on Fault]]-TA[[#This Row],[Fault Time]])*24</f>
        <v>0</v>
      </c>
      <c r="AC1273" s="34">
        <f>(TA[[#This Row],[Work Completion time on fault]]-TA[[#This Row],[Fault Time]])*24</f>
        <v>0</v>
      </c>
      <c r="AD1273" s="35">
        <f>IFERROR((TA[[#This Row],[Work Completion time on fault]]-TA[[#This Row],[Fault Time]])*24,"")</f>
        <v>0</v>
      </c>
      <c r="AE1273" t="s">
        <v>328</v>
      </c>
      <c r="AF1273" t="s">
        <v>256</v>
      </c>
      <c r="AG1273" s="2"/>
      <c r="AH1273" s="44">
        <f>1-COS(RADIANS(TA[[#This Row],[Avg. Target Angle during Fault Time (Radians)]]-TA[[#This Row],[Angle of affected equipment ]]))</f>
        <v>0.11705240714107301</v>
      </c>
      <c r="AI1273" s="35">
        <f>IFERROR(TA[[#This Row],[Breakdown Time]]*TA[[#This Row],[Plant Equivalent Weightage]],"")</f>
        <v>0</v>
      </c>
    </row>
    <row r="1274" spans="1:35">
      <c r="A1274" s="2">
        <f t="shared" si="142"/>
        <v>1271</v>
      </c>
      <c r="B1274" s="156">
        <f t="shared" si="143"/>
        <v>2026</v>
      </c>
      <c r="C1274" s="129">
        <f t="shared" si="144"/>
        <v>2025</v>
      </c>
      <c r="D1274" s="2" t="s">
        <v>155</v>
      </c>
      <c r="E1274" s="2" t="s">
        <v>155</v>
      </c>
      <c r="F1274" s="39">
        <v>45809</v>
      </c>
      <c r="G1274" s="2">
        <f>DAY(EOMONTH(TA[[#This Row],[Month Year]],0))</f>
        <v>30</v>
      </c>
      <c r="H1274" s="21">
        <v>45834</v>
      </c>
      <c r="I1274" s="41">
        <f>IFERROR(VLOOKUP(TA[[#This Row],[Date]],Raw_Data[[Date]:[Sunset Time (POA&lt;20 W/m2)]],3,0),"")</f>
        <v>0.25694444444444442</v>
      </c>
      <c r="J1274" s="41">
        <f>IFERROR(VLOOKUP(TA[[#This Row],[Date]],Raw_Data[[Date]:[Sunset Time (POA&lt;20 W/m2)]],4,0),"")</f>
        <v>0.78125</v>
      </c>
      <c r="K1274" s="35">
        <f>IFERROR((TA[[#This Row],[Sunset Time (POA&lt;20 W/m2)]]-TA[[#This Row],[Sunrise Time (POA&gt;20 W/m2)]])*24,"")</f>
        <v>12.583333333333334</v>
      </c>
      <c r="L1274" s="2" t="s">
        <v>296</v>
      </c>
      <c r="M1274" s="42">
        <f>IFERROR(VLOOKUP(TA[[#This Row],[Affected Equipment]],'Basic Data'!$I$2:$K$40,3,0),"")</f>
        <v>8.6206896551724102E-3</v>
      </c>
      <c r="N1274">
        <v>-28</v>
      </c>
      <c r="O1274" t="s">
        <v>134</v>
      </c>
      <c r="P1274" s="22" t="s">
        <v>330</v>
      </c>
      <c r="Q1274" s="2" t="s">
        <v>323</v>
      </c>
      <c r="R1274">
        <v>30</v>
      </c>
      <c r="S1274" s="2">
        <v>57</v>
      </c>
      <c r="T1274" t="s">
        <v>297</v>
      </c>
      <c r="U1274" t="s">
        <v>300</v>
      </c>
      <c r="V1274" t="s">
        <v>301</v>
      </c>
      <c r="W1274" s="41"/>
      <c r="X1274" s="41"/>
      <c r="Y1274" s="34"/>
      <c r="Z1274" s="34"/>
      <c r="AA1274" s="35">
        <f>IF(TA[[#This Row],[Work Start time on Fault]]="NA","",(TA[[#This Row],[Fault Acknowledgement Time ]]-TA[[#This Row],[Fault Time]])*24)</f>
        <v>0</v>
      </c>
      <c r="AB1274" s="35">
        <f>(TA[[#This Row],[Work Start time on Fault]]-TA[[#This Row],[Fault Time]])*24</f>
        <v>0</v>
      </c>
      <c r="AC1274" s="34">
        <f>(TA[[#This Row],[Work Completion time on fault]]-TA[[#This Row],[Fault Time]])*24</f>
        <v>0</v>
      </c>
      <c r="AD1274" s="35">
        <f>IFERROR((TA[[#This Row],[Work Completion time on fault]]-TA[[#This Row],[Fault Time]])*24,"")</f>
        <v>0</v>
      </c>
      <c r="AE1274" t="s">
        <v>328</v>
      </c>
      <c r="AF1274" t="s">
        <v>256</v>
      </c>
      <c r="AG1274" s="2"/>
      <c r="AH1274" s="44">
        <f>1-COS(RADIANS(TA[[#This Row],[Avg. Target Angle during Fault Time (Radians)]]-TA[[#This Row],[Angle of affected equipment ]]))</f>
        <v>0.11705240714107301</v>
      </c>
      <c r="AI1274" s="35">
        <f>IFERROR(TA[[#This Row],[Breakdown Time]]*TA[[#This Row],[Plant Equivalent Weightage]],"")</f>
        <v>0</v>
      </c>
    </row>
    <row r="1275" spans="1:35">
      <c r="A1275" s="2">
        <f t="shared" si="142"/>
        <v>1272</v>
      </c>
      <c r="B1275" s="156">
        <f t="shared" si="143"/>
        <v>2026</v>
      </c>
      <c r="C1275" s="129">
        <f t="shared" si="144"/>
        <v>2025</v>
      </c>
      <c r="D1275" s="2" t="s">
        <v>155</v>
      </c>
      <c r="E1275" s="2" t="s">
        <v>155</v>
      </c>
      <c r="F1275" s="39">
        <v>45809</v>
      </c>
      <c r="G1275" s="2">
        <f>DAY(EOMONTH(TA[[#This Row],[Month Year]],0))</f>
        <v>30</v>
      </c>
      <c r="H1275" s="21">
        <v>45834</v>
      </c>
      <c r="I1275" s="41">
        <f>IFERROR(VLOOKUP(TA[[#This Row],[Date]],Raw_Data[[Date]:[Sunset Time (POA&lt;20 W/m2)]],3,0),"")</f>
        <v>0.25694444444444442</v>
      </c>
      <c r="J1275" s="41">
        <f>IFERROR(VLOOKUP(TA[[#This Row],[Date]],Raw_Data[[Date]:[Sunset Time (POA&lt;20 W/m2)]],4,0),"")</f>
        <v>0.78125</v>
      </c>
      <c r="K1275" s="35">
        <f>IFERROR((TA[[#This Row],[Sunset Time (POA&lt;20 W/m2)]]-TA[[#This Row],[Sunrise Time (POA&gt;20 W/m2)]])*24,"")</f>
        <v>12.583333333333334</v>
      </c>
      <c r="L1275" s="2" t="s">
        <v>296</v>
      </c>
      <c r="M1275" s="42">
        <f>IFERROR(VLOOKUP(TA[[#This Row],[Affected Equipment]],'Basic Data'!$I$2:$K$40,3,0),"")</f>
        <v>8.6206896551724102E-3</v>
      </c>
      <c r="N1275">
        <v>-28</v>
      </c>
      <c r="O1275" t="s">
        <v>134</v>
      </c>
      <c r="P1275" s="22" t="s">
        <v>330</v>
      </c>
      <c r="Q1275" s="2" t="s">
        <v>323</v>
      </c>
      <c r="R1275">
        <v>31</v>
      </c>
      <c r="S1275" s="2">
        <v>61</v>
      </c>
      <c r="T1275" t="s">
        <v>297</v>
      </c>
      <c r="U1275" t="s">
        <v>300</v>
      </c>
      <c r="V1275" t="s">
        <v>301</v>
      </c>
      <c r="W1275" s="41"/>
      <c r="X1275" s="41"/>
      <c r="Y1275" s="34"/>
      <c r="Z1275" s="34"/>
      <c r="AA1275" s="35">
        <f>IF(TA[[#This Row],[Work Start time on Fault]]="NA","",(TA[[#This Row],[Fault Acknowledgement Time ]]-TA[[#This Row],[Fault Time]])*24)</f>
        <v>0</v>
      </c>
      <c r="AB1275" s="35">
        <f>(TA[[#This Row],[Work Start time on Fault]]-TA[[#This Row],[Fault Time]])*24</f>
        <v>0</v>
      </c>
      <c r="AC1275" s="34">
        <f>(TA[[#This Row],[Work Completion time on fault]]-TA[[#This Row],[Fault Time]])*24</f>
        <v>0</v>
      </c>
      <c r="AD1275" s="35">
        <f>IFERROR((TA[[#This Row],[Work Completion time on fault]]-TA[[#This Row],[Fault Time]])*24,"")</f>
        <v>0</v>
      </c>
      <c r="AE1275" t="s">
        <v>328</v>
      </c>
      <c r="AF1275" t="s">
        <v>256</v>
      </c>
      <c r="AG1275" s="2"/>
      <c r="AH1275" s="44">
        <f>1-COS(RADIANS(TA[[#This Row],[Avg. Target Angle during Fault Time (Radians)]]-TA[[#This Row],[Angle of affected equipment ]]))</f>
        <v>0.11705240714107301</v>
      </c>
      <c r="AI1275" s="35">
        <f>IFERROR(TA[[#This Row],[Breakdown Time]]*TA[[#This Row],[Plant Equivalent Weightage]],"")</f>
        <v>0</v>
      </c>
    </row>
    <row r="1276" spans="1:35">
      <c r="A1276" s="2">
        <f t="shared" si="142"/>
        <v>1273</v>
      </c>
      <c r="B1276" s="156">
        <f t="shared" si="143"/>
        <v>2026</v>
      </c>
      <c r="C1276" s="129">
        <f t="shared" si="144"/>
        <v>2025</v>
      </c>
      <c r="D1276" s="2" t="s">
        <v>155</v>
      </c>
      <c r="E1276" s="2" t="s">
        <v>155</v>
      </c>
      <c r="F1276" s="39">
        <v>45809</v>
      </c>
      <c r="G1276" s="2">
        <f>DAY(EOMONTH(TA[[#This Row],[Month Year]],0))</f>
        <v>30</v>
      </c>
      <c r="H1276" s="21">
        <v>45834</v>
      </c>
      <c r="I1276" s="41">
        <f>IFERROR(VLOOKUP(TA[[#This Row],[Date]],Raw_Data[[Date]:[Sunset Time (POA&lt;20 W/m2)]],3,0),"")</f>
        <v>0.25694444444444442</v>
      </c>
      <c r="J1276" s="41">
        <f>IFERROR(VLOOKUP(TA[[#This Row],[Date]],Raw_Data[[Date]:[Sunset Time (POA&lt;20 W/m2)]],4,0),"")</f>
        <v>0.78125</v>
      </c>
      <c r="K1276" s="35">
        <f>IFERROR((TA[[#This Row],[Sunset Time (POA&lt;20 W/m2)]]-TA[[#This Row],[Sunrise Time (POA&gt;20 W/m2)]])*24,"")</f>
        <v>12.583333333333334</v>
      </c>
      <c r="L1276" s="2" t="s">
        <v>312</v>
      </c>
      <c r="M1276" s="42">
        <f>IFERROR(VLOOKUP(TA[[#This Row],[Affected Equipment]],'Basic Data'!$I$2:$K$40,3,0),"")</f>
        <v>5.74712643678161E-3</v>
      </c>
      <c r="N1276">
        <v>-28</v>
      </c>
      <c r="O1276" t="s">
        <v>133</v>
      </c>
      <c r="P1276" s="22" t="s">
        <v>330</v>
      </c>
      <c r="Q1276" s="2" t="s">
        <v>323</v>
      </c>
      <c r="R1276">
        <v>26</v>
      </c>
      <c r="S1276" s="2">
        <v>37</v>
      </c>
      <c r="T1276" t="s">
        <v>297</v>
      </c>
      <c r="U1276" t="s">
        <v>300</v>
      </c>
      <c r="V1276" t="s">
        <v>301</v>
      </c>
      <c r="W1276" s="41"/>
      <c r="X1276" s="41"/>
      <c r="Y1276" s="34"/>
      <c r="Z1276" s="34"/>
      <c r="AA1276" s="35">
        <f>IF(TA[[#This Row],[Work Start time on Fault]]="NA","",(TA[[#This Row],[Fault Acknowledgement Time ]]-TA[[#This Row],[Fault Time]])*24)</f>
        <v>0</v>
      </c>
      <c r="AB1276" s="35">
        <f>(TA[[#This Row],[Work Start time on Fault]]-TA[[#This Row],[Fault Time]])*24</f>
        <v>0</v>
      </c>
      <c r="AC1276" s="34">
        <f>(TA[[#This Row],[Work Completion time on fault]]-TA[[#This Row],[Fault Time]])*24</f>
        <v>0</v>
      </c>
      <c r="AD1276" s="35">
        <f>IFERROR((TA[[#This Row],[Work Completion time on fault]]-TA[[#This Row],[Fault Time]])*24,"")</f>
        <v>0</v>
      </c>
      <c r="AE1276" t="s">
        <v>328</v>
      </c>
      <c r="AF1276" t="s">
        <v>256</v>
      </c>
      <c r="AG1276" s="2"/>
      <c r="AH1276" s="44">
        <f>1-COS(RADIANS(TA[[#This Row],[Avg. Target Angle during Fault Time (Radians)]]-TA[[#This Row],[Angle of affected equipment ]]))</f>
        <v>0.11705240714107301</v>
      </c>
      <c r="AI1276" s="35">
        <f>IFERROR(TA[[#This Row],[Breakdown Time]]*TA[[#This Row],[Plant Equivalent Weightage]],"")</f>
        <v>0</v>
      </c>
    </row>
    <row r="1277" spans="1:35">
      <c r="A1277" s="2">
        <f t="shared" si="142"/>
        <v>1274</v>
      </c>
      <c r="B1277" s="156">
        <f t="shared" si="143"/>
        <v>2026</v>
      </c>
      <c r="C1277" s="129">
        <f t="shared" si="144"/>
        <v>2025</v>
      </c>
      <c r="D1277" s="2" t="s">
        <v>155</v>
      </c>
      <c r="E1277" s="2" t="s">
        <v>155</v>
      </c>
      <c r="F1277" s="39">
        <v>45809</v>
      </c>
      <c r="G1277" s="2">
        <f>DAY(EOMONTH(TA[[#This Row],[Month Year]],0))</f>
        <v>30</v>
      </c>
      <c r="H1277" s="21">
        <v>45834</v>
      </c>
      <c r="I1277" s="41">
        <f>IFERROR(VLOOKUP(TA[[#This Row],[Date]],Raw_Data[[Date]:[Sunset Time (POA&lt;20 W/m2)]],3,0),"")</f>
        <v>0.25694444444444442</v>
      </c>
      <c r="J1277" s="41">
        <f>IFERROR(VLOOKUP(TA[[#This Row],[Date]],Raw_Data[[Date]:[Sunset Time (POA&lt;20 W/m2)]],4,0),"")</f>
        <v>0.78125</v>
      </c>
      <c r="K1277" s="35">
        <f>IFERROR((TA[[#This Row],[Sunset Time (POA&lt;20 W/m2)]]-TA[[#This Row],[Sunrise Time (POA&gt;20 W/m2)]])*24,"")</f>
        <v>12.583333333333334</v>
      </c>
      <c r="L1277" s="2" t="s">
        <v>312</v>
      </c>
      <c r="M1277" s="42">
        <f>IFERROR(VLOOKUP(TA[[#This Row],[Affected Equipment]],'Basic Data'!$I$2:$K$40,3,0),"")</f>
        <v>5.74712643678161E-3</v>
      </c>
      <c r="N1277">
        <v>-28</v>
      </c>
      <c r="O1277" t="s">
        <v>133</v>
      </c>
      <c r="P1277" s="22" t="s">
        <v>330</v>
      </c>
      <c r="Q1277" s="2" t="s">
        <v>323</v>
      </c>
      <c r="R1277">
        <v>27</v>
      </c>
      <c r="S1277" s="2">
        <v>42</v>
      </c>
      <c r="T1277" t="s">
        <v>297</v>
      </c>
      <c r="U1277" t="s">
        <v>300</v>
      </c>
      <c r="V1277" t="s">
        <v>301</v>
      </c>
      <c r="W1277" s="41">
        <f>IFERROR(VLOOKUP(TA[[#This Row],[Date]],Raw_Data[[Date]:[Sunset Time (POA&lt;20 W/m2)]],3,0),"")</f>
        <v>0.25694444444444442</v>
      </c>
      <c r="X1277" s="41">
        <f>IFERROR(VLOOKUP(TA[[#This Row],[Date]],Raw_Data[[Date]:[Sunset Time (POA&lt;20 W/m2)]],3,0),"")</f>
        <v>0.25694444444444442</v>
      </c>
      <c r="Y1277" s="34"/>
      <c r="Z1277" s="34">
        <v>0.76041666666666663</v>
      </c>
      <c r="AA1277" s="35">
        <f>IF(TA[[#This Row],[Work Start time on Fault]]="NA","",(TA[[#This Row],[Fault Acknowledgement Time ]]-TA[[#This Row],[Fault Time]])*24)</f>
        <v>0</v>
      </c>
      <c r="AB1277" s="35">
        <f>(TA[[#This Row],[Work Start time on Fault]]-TA[[#This Row],[Fault Time]])*24</f>
        <v>-6.1666666666666661</v>
      </c>
      <c r="AC1277" s="34">
        <f>(TA[[#This Row],[Work Completion time on fault]]-TA[[#This Row],[Fault Time]])*24</f>
        <v>12.083333333333332</v>
      </c>
      <c r="AD1277" s="35">
        <f>IFERROR((TA[[#This Row],[Work Completion time on fault]]-TA[[#This Row],[Fault Time]])*24,"")</f>
        <v>12.083333333333332</v>
      </c>
      <c r="AE1277" t="s">
        <v>309</v>
      </c>
      <c r="AF1277" t="s">
        <v>256</v>
      </c>
      <c r="AG1277" s="2"/>
      <c r="AH1277" s="44">
        <f>1-COS(RADIANS(TA[[#This Row],[Avg. Target Angle during Fault Time (Radians)]]-TA[[#This Row],[Angle of affected equipment ]]))</f>
        <v>0.11705240714107301</v>
      </c>
      <c r="AI1277" s="35">
        <f>IFERROR(TA[[#This Row],[Breakdown Time]]*TA[[#This Row],[Plant Equivalent Weightage]],"")</f>
        <v>6.9444444444444448E-2</v>
      </c>
    </row>
    <row r="1278" spans="1:35">
      <c r="A1278" s="2">
        <f t="shared" si="142"/>
        <v>1275</v>
      </c>
      <c r="B1278" s="156">
        <f t="shared" ref="B1278:B1290" si="145">YEAR(H1278)+IF(MONTH(H1278)&gt;=4,1,0)</f>
        <v>2026</v>
      </c>
      <c r="C1278" s="129">
        <f t="shared" ref="C1278:C1290" si="146">YEAR(H1278)</f>
        <v>2025</v>
      </c>
      <c r="D1278" s="2" t="s">
        <v>155</v>
      </c>
      <c r="E1278" s="2" t="s">
        <v>155</v>
      </c>
      <c r="F1278" s="39">
        <v>45809</v>
      </c>
      <c r="G1278" s="2">
        <f>DAY(EOMONTH(TA[[#This Row],[Month Year]],0))</f>
        <v>30</v>
      </c>
      <c r="H1278" s="21">
        <v>45835</v>
      </c>
      <c r="I1278" s="41">
        <f>IFERROR(VLOOKUP(TA[[#This Row],[Date]],Raw_Data[[Date]:[Sunset Time (POA&lt;20 W/m2)]],3,0),"")</f>
        <v>0.25138888888888888</v>
      </c>
      <c r="J1278" s="41">
        <f>IFERROR(VLOOKUP(TA[[#This Row],[Date]],Raw_Data[[Date]:[Sunset Time (POA&lt;20 W/m2)]],4,0),"")</f>
        <v>0.78333333333333333</v>
      </c>
      <c r="K1278" s="35">
        <f>IFERROR((TA[[#This Row],[Sunset Time (POA&lt;20 W/m2)]]-TA[[#This Row],[Sunrise Time (POA&gt;20 W/m2)]])*24,"")</f>
        <v>12.766666666666666</v>
      </c>
      <c r="L1278" s="2" t="s">
        <v>294</v>
      </c>
      <c r="M1278" s="42">
        <f>IFERROR(VLOOKUP(TA[[#This Row],[Affected Equipment]],'Basic Data'!$I$2:$K$40,3,0),"")</f>
        <v>1.7241379310344799E-3</v>
      </c>
      <c r="N1278">
        <v>-28</v>
      </c>
      <c r="O1278" t="s">
        <v>135</v>
      </c>
      <c r="P1278" s="127" t="s">
        <v>318</v>
      </c>
      <c r="Q1278" s="126" t="s">
        <v>318</v>
      </c>
      <c r="R1278">
        <v>131</v>
      </c>
      <c r="S1278" s="2">
        <v>38</v>
      </c>
      <c r="T1278" t="s">
        <v>295</v>
      </c>
      <c r="U1278" t="s">
        <v>300</v>
      </c>
      <c r="V1278" t="s">
        <v>298</v>
      </c>
      <c r="W1278" s="41"/>
      <c r="X1278" s="41"/>
      <c r="Y1278" s="34"/>
      <c r="Z1278" s="34"/>
      <c r="AA1278" s="35">
        <f>IF(TA[[#This Row],[Work Start time on Fault]]="NA","",(TA[[#This Row],[Fault Acknowledgement Time ]]-TA[[#This Row],[Fault Time]])*24)</f>
        <v>0</v>
      </c>
      <c r="AB1278" s="35">
        <f>(TA[[#This Row],[Work Start time on Fault]]-TA[[#This Row],[Fault Time]])*24</f>
        <v>0</v>
      </c>
      <c r="AC1278" s="34">
        <f>(TA[[#This Row],[Work Completion time on fault]]-TA[[#This Row],[Fault Time]])*24</f>
        <v>0</v>
      </c>
      <c r="AD1278" s="35">
        <f>IFERROR((TA[[#This Row],[Work Completion time on fault]]-TA[[#This Row],[Fault Time]])*24,"")</f>
        <v>0</v>
      </c>
      <c r="AE1278" t="s">
        <v>328</v>
      </c>
      <c r="AF1278" t="s">
        <v>256</v>
      </c>
      <c r="AG1278" s="2"/>
      <c r="AH1278" s="44">
        <f>1-COS(RADIANS(TA[[#This Row],[Avg. Target Angle during Fault Time (Radians)]]-TA[[#This Row],[Angle of affected equipment ]]))</f>
        <v>0.11705240714107301</v>
      </c>
      <c r="AI1278" s="35">
        <f>IFERROR(TA[[#This Row],[Breakdown Time]]*TA[[#This Row],[Plant Equivalent Weightage]],"")</f>
        <v>0</v>
      </c>
    </row>
    <row r="1279" spans="1:35">
      <c r="A1279" s="2">
        <f t="shared" si="142"/>
        <v>1276</v>
      </c>
      <c r="B1279" s="156">
        <f t="shared" si="145"/>
        <v>2026</v>
      </c>
      <c r="C1279" s="129">
        <f t="shared" si="146"/>
        <v>2025</v>
      </c>
      <c r="D1279" s="2" t="s">
        <v>155</v>
      </c>
      <c r="E1279" s="2" t="s">
        <v>155</v>
      </c>
      <c r="F1279" s="39">
        <v>45809</v>
      </c>
      <c r="G1279" s="2">
        <f>DAY(EOMONTH(TA[[#This Row],[Month Year]],0))</f>
        <v>30</v>
      </c>
      <c r="H1279" s="21">
        <v>45835</v>
      </c>
      <c r="I1279" s="41">
        <f>IFERROR(VLOOKUP(TA[[#This Row],[Date]],Raw_Data[[Date]:[Sunset Time (POA&lt;20 W/m2)]],3,0),"")</f>
        <v>0.25138888888888888</v>
      </c>
      <c r="J1279" s="41">
        <f>IFERROR(VLOOKUP(TA[[#This Row],[Date]],Raw_Data[[Date]:[Sunset Time (POA&lt;20 W/m2)]],4,0),"")</f>
        <v>0.78333333333333333</v>
      </c>
      <c r="K1279" s="35">
        <f>IFERROR((TA[[#This Row],[Sunset Time (POA&lt;20 W/m2)]]-TA[[#This Row],[Sunrise Time (POA&gt;20 W/m2)]])*24,"")</f>
        <v>12.766666666666666</v>
      </c>
      <c r="L1279" s="2" t="s">
        <v>294</v>
      </c>
      <c r="M1279" s="42">
        <f>IFERROR(VLOOKUP(TA[[#This Row],[Affected Equipment]],'Basic Data'!$I$2:$K$40,3,0),"")</f>
        <v>1.7241379310344799E-3</v>
      </c>
      <c r="N1279">
        <v>-28</v>
      </c>
      <c r="O1279" t="s">
        <v>135</v>
      </c>
      <c r="P1279" s="127" t="s">
        <v>318</v>
      </c>
      <c r="Q1279" s="126" t="s">
        <v>318</v>
      </c>
      <c r="R1279">
        <v>131</v>
      </c>
      <c r="S1279" s="2">
        <v>39</v>
      </c>
      <c r="T1279" t="s">
        <v>295</v>
      </c>
      <c r="U1279" t="s">
        <v>300</v>
      </c>
      <c r="V1279" t="s">
        <v>298</v>
      </c>
      <c r="W1279" s="41"/>
      <c r="X1279" s="41"/>
      <c r="Y1279" s="34"/>
      <c r="Z1279" s="34"/>
      <c r="AA1279" s="35">
        <f>IF(TA[[#This Row],[Work Start time on Fault]]="NA","",(TA[[#This Row],[Fault Acknowledgement Time ]]-TA[[#This Row],[Fault Time]])*24)</f>
        <v>0</v>
      </c>
      <c r="AB1279" s="35">
        <f>(TA[[#This Row],[Work Start time on Fault]]-TA[[#This Row],[Fault Time]])*24</f>
        <v>0</v>
      </c>
      <c r="AC1279" s="34">
        <f>(TA[[#This Row],[Work Completion time on fault]]-TA[[#This Row],[Fault Time]])*24</f>
        <v>0</v>
      </c>
      <c r="AD1279" s="35">
        <f>IFERROR((TA[[#This Row],[Work Completion time on fault]]-TA[[#This Row],[Fault Time]])*24,"")</f>
        <v>0</v>
      </c>
      <c r="AE1279" t="s">
        <v>328</v>
      </c>
      <c r="AF1279" t="s">
        <v>256</v>
      </c>
      <c r="AG1279" s="2"/>
      <c r="AH1279" s="44">
        <f>1-COS(RADIANS(TA[[#This Row],[Avg. Target Angle during Fault Time (Radians)]]-TA[[#This Row],[Angle of affected equipment ]]))</f>
        <v>0.11705240714107301</v>
      </c>
      <c r="AI1279" s="35">
        <f>IFERROR(TA[[#This Row],[Breakdown Time]]*TA[[#This Row],[Plant Equivalent Weightage]],"")</f>
        <v>0</v>
      </c>
    </row>
    <row r="1280" spans="1:35">
      <c r="A1280" s="2">
        <f t="shared" si="142"/>
        <v>1277</v>
      </c>
      <c r="B1280" s="156">
        <f t="shared" si="145"/>
        <v>2026</v>
      </c>
      <c r="C1280" s="129">
        <f t="shared" si="146"/>
        <v>2025</v>
      </c>
      <c r="D1280" s="2" t="s">
        <v>155</v>
      </c>
      <c r="E1280" s="2" t="s">
        <v>155</v>
      </c>
      <c r="F1280" s="39">
        <v>45809</v>
      </c>
      <c r="G1280" s="2">
        <f>DAY(EOMONTH(TA[[#This Row],[Month Year]],0))</f>
        <v>30</v>
      </c>
      <c r="H1280" s="21">
        <v>45835</v>
      </c>
      <c r="I1280" s="41">
        <f>IFERROR(VLOOKUP(TA[[#This Row],[Date]],Raw_Data[[Date]:[Sunset Time (POA&lt;20 W/m2)]],3,0),"")</f>
        <v>0.25138888888888888</v>
      </c>
      <c r="J1280" s="41">
        <f>IFERROR(VLOOKUP(TA[[#This Row],[Date]],Raw_Data[[Date]:[Sunset Time (POA&lt;20 W/m2)]],4,0),"")</f>
        <v>0.78333333333333333</v>
      </c>
      <c r="K1280" s="35">
        <f>IFERROR((TA[[#This Row],[Sunset Time (POA&lt;20 W/m2)]]-TA[[#This Row],[Sunrise Time (POA&gt;20 W/m2)]])*24,"")</f>
        <v>12.766666666666666</v>
      </c>
      <c r="L1280" s="2" t="s">
        <v>296</v>
      </c>
      <c r="M1280" s="42">
        <f>IFERROR(VLOOKUP(TA[[#This Row],[Affected Equipment]],'Basic Data'!$I$2:$K$40,3,0),"")</f>
        <v>8.6206896551724102E-3</v>
      </c>
      <c r="N1280">
        <v>-28</v>
      </c>
      <c r="O1280" t="s">
        <v>135</v>
      </c>
      <c r="P1280" s="127" t="s">
        <v>318</v>
      </c>
      <c r="Q1280" s="2" t="s">
        <v>321</v>
      </c>
      <c r="R1280">
        <v>133</v>
      </c>
      <c r="S1280" s="2">
        <v>26</v>
      </c>
      <c r="T1280" t="s">
        <v>297</v>
      </c>
      <c r="U1280" t="s">
        <v>300</v>
      </c>
      <c r="V1280" t="s">
        <v>314</v>
      </c>
      <c r="W1280" s="41">
        <f>IFERROR(VLOOKUP(TA[[#This Row],[Date]],Raw_Data[[Date]:[Sunset Time (POA&lt;20 W/m2)]],3,0),"")</f>
        <v>0.25138888888888888</v>
      </c>
      <c r="X1280" s="41">
        <f>IFERROR(VLOOKUP(TA[[#This Row],[Date]],Raw_Data[[Date]:[Sunset Time (POA&lt;20 W/m2)]],3,0),"")</f>
        <v>0.25138888888888888</v>
      </c>
      <c r="Y1280" s="34"/>
      <c r="Z1280" s="34">
        <v>0.76041666666666663</v>
      </c>
      <c r="AA1280" s="35">
        <f>IF(TA[[#This Row],[Work Start time on Fault]]="NA","",(TA[[#This Row],[Fault Acknowledgement Time ]]-TA[[#This Row],[Fault Time]])*24)</f>
        <v>0</v>
      </c>
      <c r="AB1280" s="35">
        <f>(TA[[#This Row],[Work Start time on Fault]]-TA[[#This Row],[Fault Time]])*24</f>
        <v>-6.0333333333333332</v>
      </c>
      <c r="AC1280" s="34">
        <f>(TA[[#This Row],[Work Completion time on fault]]-TA[[#This Row],[Fault Time]])*24</f>
        <v>12.216666666666665</v>
      </c>
      <c r="AD1280" s="35">
        <f>IFERROR((TA[[#This Row],[Work Completion time on fault]]-TA[[#This Row],[Fault Time]])*24,"")</f>
        <v>12.216666666666665</v>
      </c>
      <c r="AE1280" t="s">
        <v>328</v>
      </c>
      <c r="AF1280" t="s">
        <v>256</v>
      </c>
      <c r="AG1280" s="2"/>
      <c r="AH1280" s="44">
        <f>1-COS(RADIANS(TA[[#This Row],[Avg. Target Angle during Fault Time (Radians)]]-TA[[#This Row],[Angle of affected equipment ]]))</f>
        <v>0.11705240714107301</v>
      </c>
      <c r="AI1280" s="35">
        <f>IFERROR(TA[[#This Row],[Breakdown Time]]*TA[[#This Row],[Plant Equivalent Weightage]],"")</f>
        <v>0.10531609195402293</v>
      </c>
    </row>
    <row r="1281" spans="1:35">
      <c r="A1281" s="2">
        <f t="shared" si="142"/>
        <v>1278</v>
      </c>
      <c r="B1281" s="156">
        <f t="shared" si="145"/>
        <v>2026</v>
      </c>
      <c r="C1281" s="129">
        <f t="shared" si="146"/>
        <v>2025</v>
      </c>
      <c r="D1281" s="2" t="s">
        <v>155</v>
      </c>
      <c r="E1281" s="2" t="s">
        <v>155</v>
      </c>
      <c r="F1281" s="39">
        <v>45809</v>
      </c>
      <c r="G1281" s="2">
        <f>DAY(EOMONTH(TA[[#This Row],[Month Year]],0))</f>
        <v>30</v>
      </c>
      <c r="H1281" s="21">
        <v>45835</v>
      </c>
      <c r="I1281" s="41">
        <f>IFERROR(VLOOKUP(TA[[#This Row],[Date]],Raw_Data[[Date]:[Sunset Time (POA&lt;20 W/m2)]],3,0),"")</f>
        <v>0.25138888888888888</v>
      </c>
      <c r="J1281" s="41">
        <f>IFERROR(VLOOKUP(TA[[#This Row],[Date]],Raw_Data[[Date]:[Sunset Time (POA&lt;20 W/m2)]],4,0),"")</f>
        <v>0.78333333333333333</v>
      </c>
      <c r="K1281" s="35">
        <f>IFERROR((TA[[#This Row],[Sunset Time (POA&lt;20 W/m2)]]-TA[[#This Row],[Sunrise Time (POA&gt;20 W/m2)]])*24,"")</f>
        <v>12.766666666666666</v>
      </c>
      <c r="L1281" s="2" t="s">
        <v>294</v>
      </c>
      <c r="M1281" s="42">
        <f>IFERROR(VLOOKUP(TA[[#This Row],[Affected Equipment]],'Basic Data'!$I$2:$K$40,3,0),"")</f>
        <v>1.7241379310344799E-3</v>
      </c>
      <c r="N1281">
        <v>-28</v>
      </c>
      <c r="O1281" t="s">
        <v>133</v>
      </c>
      <c r="P1281" s="127" t="s">
        <v>316</v>
      </c>
      <c r="Q1281" s="126" t="s">
        <v>317</v>
      </c>
      <c r="R1281">
        <v>7</v>
      </c>
      <c r="S1281" s="2">
        <v>32</v>
      </c>
      <c r="T1281" t="s">
        <v>295</v>
      </c>
      <c r="U1281" t="s">
        <v>300</v>
      </c>
      <c r="V1281" t="s">
        <v>298</v>
      </c>
      <c r="W1281" s="41"/>
      <c r="X1281" s="41"/>
      <c r="Y1281" s="34"/>
      <c r="Z1281" s="34"/>
      <c r="AA1281" s="35">
        <f>IF(TA[[#This Row],[Work Start time on Fault]]="NA","",(TA[[#This Row],[Fault Acknowledgement Time ]]-TA[[#This Row],[Fault Time]])*24)</f>
        <v>0</v>
      </c>
      <c r="AB1281" s="35">
        <f>(TA[[#This Row],[Work Start time on Fault]]-TA[[#This Row],[Fault Time]])*24</f>
        <v>0</v>
      </c>
      <c r="AC1281" s="34">
        <f>(TA[[#This Row],[Work Completion time on fault]]-TA[[#This Row],[Fault Time]])*24</f>
        <v>0</v>
      </c>
      <c r="AD1281" s="35">
        <f>IFERROR((TA[[#This Row],[Work Completion time on fault]]-TA[[#This Row],[Fault Time]])*24,"")</f>
        <v>0</v>
      </c>
      <c r="AE1281" t="s">
        <v>328</v>
      </c>
      <c r="AF1281" t="s">
        <v>256</v>
      </c>
      <c r="AG1281" s="2"/>
      <c r="AH1281" s="44">
        <f>1-COS(RADIANS(TA[[#This Row],[Avg. Target Angle during Fault Time (Radians)]]-TA[[#This Row],[Angle of affected equipment ]]))</f>
        <v>0.11705240714107301</v>
      </c>
      <c r="AI1281" s="35">
        <f>IFERROR(TA[[#This Row],[Breakdown Time]]*TA[[#This Row],[Plant Equivalent Weightage]],"")</f>
        <v>0</v>
      </c>
    </row>
    <row r="1282" spans="1:35">
      <c r="A1282" s="2">
        <f t="shared" si="142"/>
        <v>1279</v>
      </c>
      <c r="B1282" s="156">
        <f t="shared" si="145"/>
        <v>2026</v>
      </c>
      <c r="C1282" s="129">
        <f t="shared" si="146"/>
        <v>2025</v>
      </c>
      <c r="D1282" s="2" t="s">
        <v>155</v>
      </c>
      <c r="E1282" s="2" t="s">
        <v>155</v>
      </c>
      <c r="F1282" s="39">
        <v>45809</v>
      </c>
      <c r="G1282" s="2">
        <f>DAY(EOMONTH(TA[[#This Row],[Month Year]],0))</f>
        <v>30</v>
      </c>
      <c r="H1282" s="21">
        <v>45835</v>
      </c>
      <c r="I1282" s="41">
        <f>IFERROR(VLOOKUP(TA[[#This Row],[Date]],Raw_Data[[Date]:[Sunset Time (POA&lt;20 W/m2)]],3,0),"")</f>
        <v>0.25138888888888888</v>
      </c>
      <c r="J1282" s="41">
        <f>IFERROR(VLOOKUP(TA[[#This Row],[Date]],Raw_Data[[Date]:[Sunset Time (POA&lt;20 W/m2)]],4,0),"")</f>
        <v>0.78333333333333333</v>
      </c>
      <c r="K1282" s="35">
        <f>IFERROR((TA[[#This Row],[Sunset Time (POA&lt;20 W/m2)]]-TA[[#This Row],[Sunrise Time (POA&gt;20 W/m2)]])*24,"")</f>
        <v>12.766666666666666</v>
      </c>
      <c r="L1282" s="2" t="s">
        <v>294</v>
      </c>
      <c r="M1282" s="42">
        <f>IFERROR(VLOOKUP(TA[[#This Row],[Affected Equipment]],'Basic Data'!$I$2:$K$40,3,0),"")</f>
        <v>1.7241379310344799E-3</v>
      </c>
      <c r="N1282">
        <v>-28</v>
      </c>
      <c r="O1282" t="s">
        <v>137</v>
      </c>
      <c r="P1282" s="127" t="s">
        <v>315</v>
      </c>
      <c r="Q1282" s="126" t="s">
        <v>319</v>
      </c>
      <c r="R1282">
        <v>166</v>
      </c>
      <c r="S1282" s="2">
        <v>91</v>
      </c>
      <c r="T1282" t="s">
        <v>295</v>
      </c>
      <c r="U1282" t="s">
        <v>300</v>
      </c>
      <c r="V1282" t="s">
        <v>298</v>
      </c>
      <c r="W1282" s="41"/>
      <c r="X1282" s="41"/>
      <c r="Y1282" s="34"/>
      <c r="Z1282" s="34"/>
      <c r="AA1282" s="35">
        <f>IF(TA[[#This Row],[Work Start time on Fault]]="NA","",(TA[[#This Row],[Fault Acknowledgement Time ]]-TA[[#This Row],[Fault Time]])*24)</f>
        <v>0</v>
      </c>
      <c r="AB1282" s="35">
        <f>(TA[[#This Row],[Work Start time on Fault]]-TA[[#This Row],[Fault Time]])*24</f>
        <v>0</v>
      </c>
      <c r="AC1282" s="34">
        <f>(TA[[#This Row],[Work Completion time on fault]]-TA[[#This Row],[Fault Time]])*24</f>
        <v>0</v>
      </c>
      <c r="AD1282" s="35">
        <f>IFERROR((TA[[#This Row],[Work Completion time on fault]]-TA[[#This Row],[Fault Time]])*24,"")</f>
        <v>0</v>
      </c>
      <c r="AE1282" t="s">
        <v>328</v>
      </c>
      <c r="AF1282" t="s">
        <v>256</v>
      </c>
      <c r="AG1282" s="2"/>
      <c r="AH1282" s="44">
        <f>1-COS(RADIANS(TA[[#This Row],[Avg. Target Angle during Fault Time (Radians)]]-TA[[#This Row],[Angle of affected equipment ]]))</f>
        <v>0.11705240714107301</v>
      </c>
      <c r="AI1282" s="35">
        <f>IFERROR(TA[[#This Row],[Breakdown Time]]*TA[[#This Row],[Plant Equivalent Weightage]],"")</f>
        <v>0</v>
      </c>
    </row>
    <row r="1283" spans="1:35">
      <c r="A1283" s="2">
        <f t="shared" si="142"/>
        <v>1280</v>
      </c>
      <c r="B1283" s="156">
        <f t="shared" si="145"/>
        <v>2026</v>
      </c>
      <c r="C1283" s="129">
        <f t="shared" si="146"/>
        <v>2025</v>
      </c>
      <c r="D1283" s="2" t="s">
        <v>155</v>
      </c>
      <c r="E1283" s="2" t="s">
        <v>155</v>
      </c>
      <c r="F1283" s="39">
        <v>45809</v>
      </c>
      <c r="G1283" s="2">
        <f>DAY(EOMONTH(TA[[#This Row],[Month Year]],0))</f>
        <v>30</v>
      </c>
      <c r="H1283" s="21">
        <v>45835</v>
      </c>
      <c r="I1283" s="41">
        <f>IFERROR(VLOOKUP(TA[[#This Row],[Date]],Raw_Data[[Date]:[Sunset Time (POA&lt;20 W/m2)]],3,0),"")</f>
        <v>0.25138888888888888</v>
      </c>
      <c r="J1283" s="41">
        <f>IFERROR(VLOOKUP(TA[[#This Row],[Date]],Raw_Data[[Date]:[Sunset Time (POA&lt;20 W/m2)]],4,0),"")</f>
        <v>0.78333333333333333</v>
      </c>
      <c r="K1283" s="35">
        <f>IFERROR((TA[[#This Row],[Sunset Time (POA&lt;20 W/m2)]]-TA[[#This Row],[Sunrise Time (POA&gt;20 W/m2)]])*24,"")</f>
        <v>12.766666666666666</v>
      </c>
      <c r="L1283" s="2" t="s">
        <v>294</v>
      </c>
      <c r="M1283" s="42">
        <f>IFERROR(VLOOKUP(TA[[#This Row],[Affected Equipment]],'Basic Data'!$I$2:$K$40,3,0),"")</f>
        <v>1.7241379310344799E-3</v>
      </c>
      <c r="N1283">
        <v>-28</v>
      </c>
      <c r="O1283" t="s">
        <v>133</v>
      </c>
      <c r="P1283" s="127" t="s">
        <v>316</v>
      </c>
      <c r="Q1283" s="126" t="s">
        <v>316</v>
      </c>
      <c r="R1283">
        <v>117</v>
      </c>
      <c r="S1283" s="2">
        <v>20</v>
      </c>
      <c r="T1283" t="s">
        <v>295</v>
      </c>
      <c r="U1283" t="s">
        <v>300</v>
      </c>
      <c r="V1283" t="s">
        <v>298</v>
      </c>
      <c r="W1283" s="41"/>
      <c r="X1283" s="41"/>
      <c r="Y1283" s="34"/>
      <c r="Z1283" s="34"/>
      <c r="AA1283" s="35">
        <f>IF(TA[[#This Row],[Work Start time on Fault]]="NA","",(TA[[#This Row],[Fault Acknowledgement Time ]]-TA[[#This Row],[Fault Time]])*24)</f>
        <v>0</v>
      </c>
      <c r="AB1283" s="35">
        <f>(TA[[#This Row],[Work Start time on Fault]]-TA[[#This Row],[Fault Time]])*24</f>
        <v>0</v>
      </c>
      <c r="AC1283" s="34">
        <f>(TA[[#This Row],[Work Completion time on fault]]-TA[[#This Row],[Fault Time]])*24</f>
        <v>0</v>
      </c>
      <c r="AD1283" s="35">
        <f>IFERROR((TA[[#This Row],[Work Completion time on fault]]-TA[[#This Row],[Fault Time]])*24,"")</f>
        <v>0</v>
      </c>
      <c r="AE1283" t="s">
        <v>328</v>
      </c>
      <c r="AF1283" t="s">
        <v>256</v>
      </c>
      <c r="AG1283" s="2"/>
      <c r="AH1283" s="44">
        <f>1-COS(RADIANS(TA[[#This Row],[Avg. Target Angle during Fault Time (Radians)]]-TA[[#This Row],[Angle of affected equipment ]]))</f>
        <v>0.11705240714107301</v>
      </c>
      <c r="AI1283" s="35">
        <f>IFERROR(TA[[#This Row],[Breakdown Time]]*TA[[#This Row],[Plant Equivalent Weightage]],"")</f>
        <v>0</v>
      </c>
    </row>
    <row r="1284" spans="1:35">
      <c r="A1284" s="2">
        <f t="shared" si="142"/>
        <v>1281</v>
      </c>
      <c r="B1284" s="156">
        <f t="shared" si="145"/>
        <v>2026</v>
      </c>
      <c r="C1284" s="129">
        <f t="shared" si="146"/>
        <v>2025</v>
      </c>
      <c r="D1284" s="2" t="s">
        <v>155</v>
      </c>
      <c r="E1284" s="2" t="s">
        <v>155</v>
      </c>
      <c r="F1284" s="39">
        <v>45809</v>
      </c>
      <c r="G1284" s="2">
        <f>DAY(EOMONTH(TA[[#This Row],[Month Year]],0))</f>
        <v>30</v>
      </c>
      <c r="H1284" s="21">
        <v>45835</v>
      </c>
      <c r="I1284" s="41">
        <f>IFERROR(VLOOKUP(TA[[#This Row],[Date]],Raw_Data[[Date]:[Sunset Time (POA&lt;20 W/m2)]],3,0),"")</f>
        <v>0.25138888888888888</v>
      </c>
      <c r="J1284" s="41">
        <f>IFERROR(VLOOKUP(TA[[#This Row],[Date]],Raw_Data[[Date]:[Sunset Time (POA&lt;20 W/m2)]],4,0),"")</f>
        <v>0.78333333333333333</v>
      </c>
      <c r="K1284" s="35">
        <f>IFERROR((TA[[#This Row],[Sunset Time (POA&lt;20 W/m2)]]-TA[[#This Row],[Sunrise Time (POA&gt;20 W/m2)]])*24,"")</f>
        <v>12.766666666666666</v>
      </c>
      <c r="L1284" s="2" t="s">
        <v>294</v>
      </c>
      <c r="M1284" s="42">
        <f>IFERROR(VLOOKUP(TA[[#This Row],[Affected Equipment]],'Basic Data'!$I$2:$K$40,3,0),"")</f>
        <v>1.7241379310344799E-3</v>
      </c>
      <c r="N1284">
        <v>-28</v>
      </c>
      <c r="O1284" t="s">
        <v>133</v>
      </c>
      <c r="P1284" s="127" t="s">
        <v>316</v>
      </c>
      <c r="Q1284" s="126" t="s">
        <v>316</v>
      </c>
      <c r="R1284">
        <v>118</v>
      </c>
      <c r="S1284" s="2">
        <v>22</v>
      </c>
      <c r="T1284" t="s">
        <v>295</v>
      </c>
      <c r="U1284" t="s">
        <v>300</v>
      </c>
      <c r="V1284" t="s">
        <v>298</v>
      </c>
      <c r="W1284" s="41"/>
      <c r="X1284" s="41"/>
      <c r="Y1284" s="34"/>
      <c r="Z1284" s="34"/>
      <c r="AA1284" s="35">
        <f>IF(TA[[#This Row],[Work Start time on Fault]]="NA","",(TA[[#This Row],[Fault Acknowledgement Time ]]-TA[[#This Row],[Fault Time]])*24)</f>
        <v>0</v>
      </c>
      <c r="AB1284" s="35">
        <f>(TA[[#This Row],[Work Start time on Fault]]-TA[[#This Row],[Fault Time]])*24</f>
        <v>0</v>
      </c>
      <c r="AC1284" s="34">
        <f>(TA[[#This Row],[Work Completion time on fault]]-TA[[#This Row],[Fault Time]])*24</f>
        <v>0</v>
      </c>
      <c r="AD1284" s="35">
        <f>IFERROR((TA[[#This Row],[Work Completion time on fault]]-TA[[#This Row],[Fault Time]])*24,"")</f>
        <v>0</v>
      </c>
      <c r="AE1284" t="s">
        <v>328</v>
      </c>
      <c r="AF1284" t="s">
        <v>256</v>
      </c>
      <c r="AG1284" s="2"/>
      <c r="AH1284" s="44">
        <f>1-COS(RADIANS(TA[[#This Row],[Avg. Target Angle during Fault Time (Radians)]]-TA[[#This Row],[Angle of affected equipment ]]))</f>
        <v>0.11705240714107301</v>
      </c>
      <c r="AI1284" s="35">
        <f>IFERROR(TA[[#This Row],[Breakdown Time]]*TA[[#This Row],[Plant Equivalent Weightage]],"")</f>
        <v>0</v>
      </c>
    </row>
    <row r="1285" spans="1:35">
      <c r="A1285" s="2">
        <f t="shared" si="142"/>
        <v>1282</v>
      </c>
      <c r="B1285" s="156">
        <f t="shared" si="145"/>
        <v>2026</v>
      </c>
      <c r="C1285" s="129">
        <f t="shared" si="146"/>
        <v>2025</v>
      </c>
      <c r="D1285" s="2" t="s">
        <v>155</v>
      </c>
      <c r="E1285" s="2" t="s">
        <v>155</v>
      </c>
      <c r="F1285" s="39">
        <v>45809</v>
      </c>
      <c r="G1285" s="2">
        <f>DAY(EOMONTH(TA[[#This Row],[Month Year]],0))</f>
        <v>30</v>
      </c>
      <c r="H1285" s="21">
        <v>45835</v>
      </c>
      <c r="I1285" s="41">
        <f>IFERROR(VLOOKUP(TA[[#This Row],[Date]],Raw_Data[[Date]:[Sunset Time (POA&lt;20 W/m2)]],3,0),"")</f>
        <v>0.25138888888888888</v>
      </c>
      <c r="J1285" s="41">
        <f>IFERROR(VLOOKUP(TA[[#This Row],[Date]],Raw_Data[[Date]:[Sunset Time (POA&lt;20 W/m2)]],4,0),"")</f>
        <v>0.78333333333333333</v>
      </c>
      <c r="K1285" s="35">
        <f>IFERROR((TA[[#This Row],[Sunset Time (POA&lt;20 W/m2)]]-TA[[#This Row],[Sunrise Time (POA&gt;20 W/m2)]])*24,"")</f>
        <v>12.766666666666666</v>
      </c>
      <c r="L1285" s="2" t="s">
        <v>296</v>
      </c>
      <c r="M1285" s="42">
        <f>IFERROR(VLOOKUP(TA[[#This Row],[Affected Equipment]],'Basic Data'!$I$2:$K$40,3,0),"")</f>
        <v>8.6206896551724102E-3</v>
      </c>
      <c r="N1285">
        <v>-28</v>
      </c>
      <c r="O1285" t="s">
        <v>135</v>
      </c>
      <c r="P1285" s="22" t="s">
        <v>323</v>
      </c>
      <c r="Q1285" s="2" t="s">
        <v>329</v>
      </c>
      <c r="R1285">
        <v>45</v>
      </c>
      <c r="S1285" s="2">
        <v>8</v>
      </c>
      <c r="T1285" t="s">
        <v>297</v>
      </c>
      <c r="U1285" t="s">
        <v>300</v>
      </c>
      <c r="V1285" t="s">
        <v>301</v>
      </c>
      <c r="W1285" s="41"/>
      <c r="X1285" s="41"/>
      <c r="Y1285" s="34"/>
      <c r="Z1285" s="34"/>
      <c r="AA1285" s="35">
        <f>IF(TA[[#This Row],[Work Start time on Fault]]="NA","",(TA[[#This Row],[Fault Acknowledgement Time ]]-TA[[#This Row],[Fault Time]])*24)</f>
        <v>0</v>
      </c>
      <c r="AB1285" s="35">
        <f>(TA[[#This Row],[Work Start time on Fault]]-TA[[#This Row],[Fault Time]])*24</f>
        <v>0</v>
      </c>
      <c r="AC1285" s="34">
        <f>(TA[[#This Row],[Work Completion time on fault]]-TA[[#This Row],[Fault Time]])*24</f>
        <v>0</v>
      </c>
      <c r="AD1285" s="35">
        <f>IFERROR((TA[[#This Row],[Work Completion time on fault]]-TA[[#This Row],[Fault Time]])*24,"")</f>
        <v>0</v>
      </c>
      <c r="AE1285" t="s">
        <v>328</v>
      </c>
      <c r="AF1285" t="s">
        <v>256</v>
      </c>
      <c r="AG1285" s="2"/>
      <c r="AH1285" s="44">
        <f>1-COS(RADIANS(TA[[#This Row],[Avg. Target Angle during Fault Time (Radians)]]-TA[[#This Row],[Angle of affected equipment ]]))</f>
        <v>0.11705240714107301</v>
      </c>
      <c r="AI1285" s="35">
        <f>IFERROR(TA[[#This Row],[Breakdown Time]]*TA[[#This Row],[Plant Equivalent Weightage]],"")</f>
        <v>0</v>
      </c>
    </row>
    <row r="1286" spans="1:35">
      <c r="A1286" s="2">
        <f t="shared" si="142"/>
        <v>1283</v>
      </c>
      <c r="B1286" s="156">
        <f t="shared" si="145"/>
        <v>2026</v>
      </c>
      <c r="C1286" s="129">
        <f t="shared" si="146"/>
        <v>2025</v>
      </c>
      <c r="D1286" s="2" t="s">
        <v>155</v>
      </c>
      <c r="E1286" s="2" t="s">
        <v>155</v>
      </c>
      <c r="F1286" s="39">
        <v>45809</v>
      </c>
      <c r="G1286" s="2">
        <f>DAY(EOMONTH(TA[[#This Row],[Month Year]],0))</f>
        <v>30</v>
      </c>
      <c r="H1286" s="21">
        <v>45835</v>
      </c>
      <c r="I1286" s="41">
        <f>IFERROR(VLOOKUP(TA[[#This Row],[Date]],Raw_Data[[Date]:[Sunset Time (POA&lt;20 W/m2)]],3,0),"")</f>
        <v>0.25138888888888888</v>
      </c>
      <c r="J1286" s="41">
        <f>IFERROR(VLOOKUP(TA[[#This Row],[Date]],Raw_Data[[Date]:[Sunset Time (POA&lt;20 W/m2)]],4,0),"")</f>
        <v>0.78333333333333333</v>
      </c>
      <c r="K1286" s="35">
        <f>IFERROR((TA[[#This Row],[Sunset Time (POA&lt;20 W/m2)]]-TA[[#This Row],[Sunrise Time (POA&gt;20 W/m2)]])*24,"")</f>
        <v>12.766666666666666</v>
      </c>
      <c r="L1286" s="2" t="s">
        <v>296</v>
      </c>
      <c r="M1286" s="42">
        <f>IFERROR(VLOOKUP(TA[[#This Row],[Affected Equipment]],'Basic Data'!$I$2:$K$40,3,0),"")</f>
        <v>8.6206896551724102E-3</v>
      </c>
      <c r="N1286">
        <v>-28</v>
      </c>
      <c r="O1286" t="s">
        <v>135</v>
      </c>
      <c r="P1286" s="22" t="s">
        <v>323</v>
      </c>
      <c r="Q1286" s="2" t="s">
        <v>329</v>
      </c>
      <c r="R1286">
        <v>47</v>
      </c>
      <c r="S1286" s="2">
        <v>18</v>
      </c>
      <c r="T1286" t="s">
        <v>297</v>
      </c>
      <c r="U1286" t="s">
        <v>300</v>
      </c>
      <c r="V1286" t="s">
        <v>301</v>
      </c>
      <c r="W1286" s="41"/>
      <c r="X1286" s="41"/>
      <c r="Y1286" s="34"/>
      <c r="Z1286" s="34"/>
      <c r="AA1286" s="35">
        <f>IF(TA[[#This Row],[Work Start time on Fault]]="NA","",(TA[[#This Row],[Fault Acknowledgement Time ]]-TA[[#This Row],[Fault Time]])*24)</f>
        <v>0</v>
      </c>
      <c r="AB1286" s="35">
        <f>(TA[[#This Row],[Work Start time on Fault]]-TA[[#This Row],[Fault Time]])*24</f>
        <v>0</v>
      </c>
      <c r="AC1286" s="34">
        <f>(TA[[#This Row],[Work Completion time on fault]]-TA[[#This Row],[Fault Time]])*24</f>
        <v>0</v>
      </c>
      <c r="AD1286" s="35">
        <f>IFERROR((TA[[#This Row],[Work Completion time on fault]]-TA[[#This Row],[Fault Time]])*24,"")</f>
        <v>0</v>
      </c>
      <c r="AE1286" t="s">
        <v>328</v>
      </c>
      <c r="AF1286" t="s">
        <v>256</v>
      </c>
      <c r="AG1286" s="2"/>
      <c r="AH1286" s="44">
        <f>1-COS(RADIANS(TA[[#This Row],[Avg. Target Angle during Fault Time (Radians)]]-TA[[#This Row],[Angle of affected equipment ]]))</f>
        <v>0.11705240714107301</v>
      </c>
      <c r="AI1286" s="35">
        <f>IFERROR(TA[[#This Row],[Breakdown Time]]*TA[[#This Row],[Plant Equivalent Weightage]],"")</f>
        <v>0</v>
      </c>
    </row>
    <row r="1287" spans="1:35">
      <c r="A1287" s="2">
        <f t="shared" si="142"/>
        <v>1284</v>
      </c>
      <c r="B1287" s="156">
        <f t="shared" si="145"/>
        <v>2026</v>
      </c>
      <c r="C1287" s="129">
        <f t="shared" si="146"/>
        <v>2025</v>
      </c>
      <c r="D1287" s="2" t="s">
        <v>155</v>
      </c>
      <c r="E1287" s="2" t="s">
        <v>155</v>
      </c>
      <c r="F1287" s="39">
        <v>45809</v>
      </c>
      <c r="G1287" s="2">
        <f>DAY(EOMONTH(TA[[#This Row],[Month Year]],0))</f>
        <v>30</v>
      </c>
      <c r="H1287" s="21">
        <v>45835</v>
      </c>
      <c r="I1287" s="41">
        <f>IFERROR(VLOOKUP(TA[[#This Row],[Date]],Raw_Data[[Date]:[Sunset Time (POA&lt;20 W/m2)]],3,0),"")</f>
        <v>0.25138888888888888</v>
      </c>
      <c r="J1287" s="41">
        <f>IFERROR(VLOOKUP(TA[[#This Row],[Date]],Raw_Data[[Date]:[Sunset Time (POA&lt;20 W/m2)]],4,0),"")</f>
        <v>0.78333333333333333</v>
      </c>
      <c r="K1287" s="35">
        <f>IFERROR((TA[[#This Row],[Sunset Time (POA&lt;20 W/m2)]]-TA[[#This Row],[Sunrise Time (POA&gt;20 W/m2)]])*24,"")</f>
        <v>12.766666666666666</v>
      </c>
      <c r="L1287" s="2" t="s">
        <v>296</v>
      </c>
      <c r="M1287" s="42">
        <f>IFERROR(VLOOKUP(TA[[#This Row],[Affected Equipment]],'Basic Data'!$I$2:$K$40,3,0),"")</f>
        <v>8.6206896551724102E-3</v>
      </c>
      <c r="N1287">
        <v>-28</v>
      </c>
      <c r="O1287" t="s">
        <v>134</v>
      </c>
      <c r="P1287" s="22" t="s">
        <v>330</v>
      </c>
      <c r="Q1287" s="2" t="s">
        <v>323</v>
      </c>
      <c r="R1287">
        <v>30</v>
      </c>
      <c r="S1287" s="2">
        <v>57</v>
      </c>
      <c r="T1287" t="s">
        <v>297</v>
      </c>
      <c r="U1287" t="s">
        <v>300</v>
      </c>
      <c r="V1287" t="s">
        <v>301</v>
      </c>
      <c r="W1287" s="41"/>
      <c r="X1287" s="41"/>
      <c r="Y1287" s="34"/>
      <c r="Z1287" s="34"/>
      <c r="AA1287" s="35">
        <f>IF(TA[[#This Row],[Work Start time on Fault]]="NA","",(TA[[#This Row],[Fault Acknowledgement Time ]]-TA[[#This Row],[Fault Time]])*24)</f>
        <v>0</v>
      </c>
      <c r="AB1287" s="35">
        <f>(TA[[#This Row],[Work Start time on Fault]]-TA[[#This Row],[Fault Time]])*24</f>
        <v>0</v>
      </c>
      <c r="AC1287" s="34">
        <f>(TA[[#This Row],[Work Completion time on fault]]-TA[[#This Row],[Fault Time]])*24</f>
        <v>0</v>
      </c>
      <c r="AD1287" s="35">
        <f>IFERROR((TA[[#This Row],[Work Completion time on fault]]-TA[[#This Row],[Fault Time]])*24,"")</f>
        <v>0</v>
      </c>
      <c r="AE1287" t="s">
        <v>328</v>
      </c>
      <c r="AF1287" t="s">
        <v>256</v>
      </c>
      <c r="AG1287" s="2"/>
      <c r="AH1287" s="44">
        <f>1-COS(RADIANS(TA[[#This Row],[Avg. Target Angle during Fault Time (Radians)]]-TA[[#This Row],[Angle of affected equipment ]]))</f>
        <v>0.11705240714107301</v>
      </c>
      <c r="AI1287" s="35">
        <f>IFERROR(TA[[#This Row],[Breakdown Time]]*TA[[#This Row],[Plant Equivalent Weightage]],"")</f>
        <v>0</v>
      </c>
    </row>
    <row r="1288" spans="1:35">
      <c r="A1288" s="2">
        <f t="shared" si="142"/>
        <v>1285</v>
      </c>
      <c r="B1288" s="156">
        <f t="shared" si="145"/>
        <v>2026</v>
      </c>
      <c r="C1288" s="129">
        <f t="shared" si="146"/>
        <v>2025</v>
      </c>
      <c r="D1288" s="2" t="s">
        <v>155</v>
      </c>
      <c r="E1288" s="2" t="s">
        <v>155</v>
      </c>
      <c r="F1288" s="39">
        <v>45809</v>
      </c>
      <c r="G1288" s="2">
        <f>DAY(EOMONTH(TA[[#This Row],[Month Year]],0))</f>
        <v>30</v>
      </c>
      <c r="H1288" s="21">
        <v>45835</v>
      </c>
      <c r="I1288" s="41">
        <f>IFERROR(VLOOKUP(TA[[#This Row],[Date]],Raw_Data[[Date]:[Sunset Time (POA&lt;20 W/m2)]],3,0),"")</f>
        <v>0.25138888888888888</v>
      </c>
      <c r="J1288" s="41">
        <f>IFERROR(VLOOKUP(TA[[#This Row],[Date]],Raw_Data[[Date]:[Sunset Time (POA&lt;20 W/m2)]],4,0),"")</f>
        <v>0.78333333333333333</v>
      </c>
      <c r="K1288" s="35">
        <f>IFERROR((TA[[#This Row],[Sunset Time (POA&lt;20 W/m2)]]-TA[[#This Row],[Sunrise Time (POA&gt;20 W/m2)]])*24,"")</f>
        <v>12.766666666666666</v>
      </c>
      <c r="L1288" s="2" t="s">
        <v>296</v>
      </c>
      <c r="M1288" s="42">
        <f>IFERROR(VLOOKUP(TA[[#This Row],[Affected Equipment]],'Basic Data'!$I$2:$K$40,3,0),"")</f>
        <v>8.6206896551724102E-3</v>
      </c>
      <c r="N1288">
        <v>-28</v>
      </c>
      <c r="O1288" t="s">
        <v>134</v>
      </c>
      <c r="P1288" s="22" t="s">
        <v>330</v>
      </c>
      <c r="Q1288" s="2" t="s">
        <v>323</v>
      </c>
      <c r="R1288">
        <v>31</v>
      </c>
      <c r="S1288" s="2">
        <v>61</v>
      </c>
      <c r="T1288" t="s">
        <v>297</v>
      </c>
      <c r="U1288" t="s">
        <v>300</v>
      </c>
      <c r="V1288" t="s">
        <v>301</v>
      </c>
      <c r="W1288" s="41"/>
      <c r="X1288" s="41"/>
      <c r="Y1288" s="34"/>
      <c r="Z1288" s="34"/>
      <c r="AA1288" s="35">
        <f>IF(TA[[#This Row],[Work Start time on Fault]]="NA","",(TA[[#This Row],[Fault Acknowledgement Time ]]-TA[[#This Row],[Fault Time]])*24)</f>
        <v>0</v>
      </c>
      <c r="AB1288" s="35">
        <f>(TA[[#This Row],[Work Start time on Fault]]-TA[[#This Row],[Fault Time]])*24</f>
        <v>0</v>
      </c>
      <c r="AC1288" s="34">
        <f>(TA[[#This Row],[Work Completion time on fault]]-TA[[#This Row],[Fault Time]])*24</f>
        <v>0</v>
      </c>
      <c r="AD1288" s="35">
        <f>IFERROR((TA[[#This Row],[Work Completion time on fault]]-TA[[#This Row],[Fault Time]])*24,"")</f>
        <v>0</v>
      </c>
      <c r="AE1288" t="s">
        <v>328</v>
      </c>
      <c r="AF1288" t="s">
        <v>256</v>
      </c>
      <c r="AG1288" s="2"/>
      <c r="AH1288" s="44">
        <f>1-COS(RADIANS(TA[[#This Row],[Avg. Target Angle during Fault Time (Radians)]]-TA[[#This Row],[Angle of affected equipment ]]))</f>
        <v>0.11705240714107301</v>
      </c>
      <c r="AI1288" s="35">
        <f>IFERROR(TA[[#This Row],[Breakdown Time]]*TA[[#This Row],[Plant Equivalent Weightage]],"")</f>
        <v>0</v>
      </c>
    </row>
    <row r="1289" spans="1:35">
      <c r="A1289" s="2">
        <f t="shared" si="142"/>
        <v>1286</v>
      </c>
      <c r="B1289" s="156">
        <f t="shared" si="145"/>
        <v>2026</v>
      </c>
      <c r="C1289" s="129">
        <f t="shared" si="146"/>
        <v>2025</v>
      </c>
      <c r="D1289" s="2" t="s">
        <v>155</v>
      </c>
      <c r="E1289" s="2" t="s">
        <v>155</v>
      </c>
      <c r="F1289" s="39">
        <v>45809</v>
      </c>
      <c r="G1289" s="2">
        <f>DAY(EOMONTH(TA[[#This Row],[Month Year]],0))</f>
        <v>30</v>
      </c>
      <c r="H1289" s="21">
        <v>45835</v>
      </c>
      <c r="I1289" s="41">
        <f>IFERROR(VLOOKUP(TA[[#This Row],[Date]],Raw_Data[[Date]:[Sunset Time (POA&lt;20 W/m2)]],3,0),"")</f>
        <v>0.25138888888888888</v>
      </c>
      <c r="J1289" s="41">
        <f>IFERROR(VLOOKUP(TA[[#This Row],[Date]],Raw_Data[[Date]:[Sunset Time (POA&lt;20 W/m2)]],4,0),"")</f>
        <v>0.78333333333333333</v>
      </c>
      <c r="K1289" s="35">
        <f>IFERROR((TA[[#This Row],[Sunset Time (POA&lt;20 W/m2)]]-TA[[#This Row],[Sunrise Time (POA&gt;20 W/m2)]])*24,"")</f>
        <v>12.766666666666666</v>
      </c>
      <c r="L1289" s="2" t="s">
        <v>312</v>
      </c>
      <c r="M1289" s="42">
        <f>IFERROR(VLOOKUP(TA[[#This Row],[Affected Equipment]],'Basic Data'!$I$2:$K$40,3,0),"")</f>
        <v>5.74712643678161E-3</v>
      </c>
      <c r="N1289">
        <v>-28</v>
      </c>
      <c r="O1289" t="s">
        <v>133</v>
      </c>
      <c r="P1289" s="22" t="s">
        <v>330</v>
      </c>
      <c r="Q1289" s="2" t="s">
        <v>323</v>
      </c>
      <c r="R1289">
        <v>26</v>
      </c>
      <c r="S1289" s="2">
        <v>37</v>
      </c>
      <c r="T1289" t="s">
        <v>297</v>
      </c>
      <c r="U1289" t="s">
        <v>300</v>
      </c>
      <c r="V1289" t="s">
        <v>301</v>
      </c>
      <c r="W1289" s="41"/>
      <c r="X1289" s="41"/>
      <c r="Y1289" s="34"/>
      <c r="Z1289" s="34"/>
      <c r="AA1289" s="35">
        <f>IF(TA[[#This Row],[Work Start time on Fault]]="NA","",(TA[[#This Row],[Fault Acknowledgement Time ]]-TA[[#This Row],[Fault Time]])*24)</f>
        <v>0</v>
      </c>
      <c r="AB1289" s="35">
        <f>(TA[[#This Row],[Work Start time on Fault]]-TA[[#This Row],[Fault Time]])*24</f>
        <v>0</v>
      </c>
      <c r="AC1289" s="34">
        <f>(TA[[#This Row],[Work Completion time on fault]]-TA[[#This Row],[Fault Time]])*24</f>
        <v>0</v>
      </c>
      <c r="AD1289" s="35">
        <f>IFERROR((TA[[#This Row],[Work Completion time on fault]]-TA[[#This Row],[Fault Time]])*24,"")</f>
        <v>0</v>
      </c>
      <c r="AE1289" t="s">
        <v>328</v>
      </c>
      <c r="AF1289" t="s">
        <v>256</v>
      </c>
      <c r="AG1289" s="2"/>
      <c r="AH1289" s="44">
        <f>1-COS(RADIANS(TA[[#This Row],[Avg. Target Angle during Fault Time (Radians)]]-TA[[#This Row],[Angle of affected equipment ]]))</f>
        <v>0.11705240714107301</v>
      </c>
      <c r="AI1289" s="35">
        <f>IFERROR(TA[[#This Row],[Breakdown Time]]*TA[[#This Row],[Plant Equivalent Weightage]],"")</f>
        <v>0</v>
      </c>
    </row>
    <row r="1290" spans="1:35">
      <c r="A1290" s="2">
        <f t="shared" si="142"/>
        <v>1287</v>
      </c>
      <c r="B1290" s="156">
        <f t="shared" si="145"/>
        <v>2026</v>
      </c>
      <c r="C1290" s="129">
        <f t="shared" si="146"/>
        <v>2025</v>
      </c>
      <c r="D1290" s="2" t="s">
        <v>155</v>
      </c>
      <c r="E1290" s="2" t="s">
        <v>155</v>
      </c>
      <c r="F1290" s="39">
        <v>45809</v>
      </c>
      <c r="G1290" s="2">
        <f>DAY(EOMONTH(TA[[#This Row],[Month Year]],0))</f>
        <v>30</v>
      </c>
      <c r="H1290" s="21">
        <v>45835</v>
      </c>
      <c r="I1290" s="41">
        <f>IFERROR(VLOOKUP(TA[[#This Row],[Date]],Raw_Data[[Date]:[Sunset Time (POA&lt;20 W/m2)]],3,0),"")</f>
        <v>0.25138888888888888</v>
      </c>
      <c r="J1290" s="41">
        <f>IFERROR(VLOOKUP(TA[[#This Row],[Date]],Raw_Data[[Date]:[Sunset Time (POA&lt;20 W/m2)]],4,0),"")</f>
        <v>0.78333333333333333</v>
      </c>
      <c r="K1290" s="35">
        <f>IFERROR((TA[[#This Row],[Sunset Time (POA&lt;20 W/m2)]]-TA[[#This Row],[Sunrise Time (POA&gt;20 W/m2)]])*24,"")</f>
        <v>12.766666666666666</v>
      </c>
      <c r="L1290" s="2" t="s">
        <v>312</v>
      </c>
      <c r="M1290" s="42">
        <f>IFERROR(VLOOKUP(TA[[#This Row],[Affected Equipment]],'Basic Data'!$I$2:$K$40,3,0),"")</f>
        <v>5.74712643678161E-3</v>
      </c>
      <c r="N1290">
        <v>-28</v>
      </c>
      <c r="O1290" t="s">
        <v>133</v>
      </c>
      <c r="P1290" s="22" t="s">
        <v>330</v>
      </c>
      <c r="Q1290" s="2" t="s">
        <v>323</v>
      </c>
      <c r="R1290">
        <v>27</v>
      </c>
      <c r="S1290" s="2">
        <v>42</v>
      </c>
      <c r="T1290" t="s">
        <v>297</v>
      </c>
      <c r="U1290" t="s">
        <v>300</v>
      </c>
      <c r="V1290" t="s">
        <v>301</v>
      </c>
      <c r="W1290" s="41">
        <f>IFERROR(VLOOKUP(TA[[#This Row],[Date]],Raw_Data[[Date]:[Sunset Time (POA&lt;20 W/m2)]],3,0),"")</f>
        <v>0.25138888888888888</v>
      </c>
      <c r="X1290" s="41">
        <f>IFERROR(VLOOKUP(TA[[#This Row],[Date]],Raw_Data[[Date]:[Sunset Time (POA&lt;20 W/m2)]],3,0),"")</f>
        <v>0.25138888888888888</v>
      </c>
      <c r="Y1290" s="34"/>
      <c r="Z1290" s="34">
        <v>0.76041666666666663</v>
      </c>
      <c r="AA1290" s="35">
        <f>IF(TA[[#This Row],[Work Start time on Fault]]="NA","",(TA[[#This Row],[Fault Acknowledgement Time ]]-TA[[#This Row],[Fault Time]])*24)</f>
        <v>0</v>
      </c>
      <c r="AB1290" s="35">
        <f>(TA[[#This Row],[Work Start time on Fault]]-TA[[#This Row],[Fault Time]])*24</f>
        <v>-6.0333333333333332</v>
      </c>
      <c r="AC1290" s="34">
        <f>(TA[[#This Row],[Work Completion time on fault]]-TA[[#This Row],[Fault Time]])*24</f>
        <v>12.216666666666665</v>
      </c>
      <c r="AD1290" s="35">
        <f>IFERROR((TA[[#This Row],[Work Completion time on fault]]-TA[[#This Row],[Fault Time]])*24,"")</f>
        <v>12.216666666666665</v>
      </c>
      <c r="AE1290" t="s">
        <v>309</v>
      </c>
      <c r="AF1290" t="s">
        <v>256</v>
      </c>
      <c r="AG1290" s="2"/>
      <c r="AH1290" s="44">
        <f>1-COS(RADIANS(TA[[#This Row],[Avg. Target Angle during Fault Time (Radians)]]-TA[[#This Row],[Angle of affected equipment ]]))</f>
        <v>0.11705240714107301</v>
      </c>
      <c r="AI1290" s="35">
        <f>IFERROR(TA[[#This Row],[Breakdown Time]]*TA[[#This Row],[Plant Equivalent Weightage]],"")</f>
        <v>7.0210727969348657E-2</v>
      </c>
    </row>
    <row r="1291" spans="1:35">
      <c r="A1291" s="2">
        <f t="shared" si="142"/>
        <v>1288</v>
      </c>
      <c r="B1291" s="156">
        <f t="shared" ref="B1291:B1303" si="147">YEAR(H1291)+IF(MONTH(H1291)&gt;=4,1,0)</f>
        <v>2026</v>
      </c>
      <c r="C1291" s="129">
        <f t="shared" ref="C1291:C1303" si="148">YEAR(H1291)</f>
        <v>2025</v>
      </c>
      <c r="D1291" s="2" t="s">
        <v>155</v>
      </c>
      <c r="E1291" s="2" t="s">
        <v>155</v>
      </c>
      <c r="F1291" s="39">
        <v>45809</v>
      </c>
      <c r="G1291" s="2">
        <f>DAY(EOMONTH(TA[[#This Row],[Month Year]],0))</f>
        <v>30</v>
      </c>
      <c r="H1291" s="21">
        <v>45836</v>
      </c>
      <c r="I1291" s="41">
        <f>IFERROR(VLOOKUP(TA[[#This Row],[Date]],Raw_Data[[Date]:[Sunset Time (POA&lt;20 W/m2)]],3,0),"")</f>
        <v>0.25138888888888888</v>
      </c>
      <c r="J1291" s="41">
        <f>IFERROR(VLOOKUP(TA[[#This Row],[Date]],Raw_Data[[Date]:[Sunset Time (POA&lt;20 W/m2)]],4,0),"")</f>
        <v>0.78472222222222221</v>
      </c>
      <c r="K1291" s="35">
        <f>IFERROR((TA[[#This Row],[Sunset Time (POA&lt;20 W/m2)]]-TA[[#This Row],[Sunrise Time (POA&gt;20 W/m2)]])*24,"")</f>
        <v>12.8</v>
      </c>
      <c r="L1291" s="2" t="s">
        <v>294</v>
      </c>
      <c r="M1291" s="42">
        <f>IFERROR(VLOOKUP(TA[[#This Row],[Affected Equipment]],'Basic Data'!$I$2:$K$40,3,0),"")</f>
        <v>1.7241379310344799E-3</v>
      </c>
      <c r="N1291">
        <v>-28</v>
      </c>
      <c r="O1291" t="s">
        <v>135</v>
      </c>
      <c r="P1291" s="127" t="s">
        <v>318</v>
      </c>
      <c r="Q1291" s="126" t="s">
        <v>318</v>
      </c>
      <c r="R1291">
        <v>131</v>
      </c>
      <c r="S1291" s="2">
        <v>38</v>
      </c>
      <c r="T1291" t="s">
        <v>295</v>
      </c>
      <c r="U1291" t="s">
        <v>300</v>
      </c>
      <c r="V1291" t="s">
        <v>298</v>
      </c>
      <c r="W1291" s="41"/>
      <c r="X1291" s="41"/>
      <c r="Y1291" s="34"/>
      <c r="Z1291" s="34"/>
      <c r="AA1291" s="35">
        <f>IF(TA[[#This Row],[Work Start time on Fault]]="NA","",(TA[[#This Row],[Fault Acknowledgement Time ]]-TA[[#This Row],[Fault Time]])*24)</f>
        <v>0</v>
      </c>
      <c r="AB1291" s="35">
        <f>(TA[[#This Row],[Work Start time on Fault]]-TA[[#This Row],[Fault Time]])*24</f>
        <v>0</v>
      </c>
      <c r="AC1291" s="34">
        <f>(TA[[#This Row],[Work Completion time on fault]]-TA[[#This Row],[Fault Time]])*24</f>
        <v>0</v>
      </c>
      <c r="AD1291" s="35">
        <f>IFERROR((TA[[#This Row],[Work Completion time on fault]]-TA[[#This Row],[Fault Time]])*24,"")</f>
        <v>0</v>
      </c>
      <c r="AE1291" t="s">
        <v>328</v>
      </c>
      <c r="AF1291" t="s">
        <v>256</v>
      </c>
      <c r="AG1291" s="2"/>
      <c r="AH1291" s="44">
        <f>1-COS(RADIANS(TA[[#This Row],[Avg. Target Angle during Fault Time (Radians)]]-TA[[#This Row],[Angle of affected equipment ]]))</f>
        <v>0.11705240714107301</v>
      </c>
      <c r="AI1291" s="35">
        <f>IFERROR(TA[[#This Row],[Breakdown Time]]*TA[[#This Row],[Plant Equivalent Weightage]],"")</f>
        <v>0</v>
      </c>
    </row>
    <row r="1292" spans="1:35">
      <c r="A1292" s="2">
        <f t="shared" si="142"/>
        <v>1289</v>
      </c>
      <c r="B1292" s="156">
        <f t="shared" si="147"/>
        <v>2026</v>
      </c>
      <c r="C1292" s="129">
        <f t="shared" si="148"/>
        <v>2025</v>
      </c>
      <c r="D1292" s="2" t="s">
        <v>155</v>
      </c>
      <c r="E1292" s="2" t="s">
        <v>155</v>
      </c>
      <c r="F1292" s="39">
        <v>45809</v>
      </c>
      <c r="G1292" s="2">
        <f>DAY(EOMONTH(TA[[#This Row],[Month Year]],0))</f>
        <v>30</v>
      </c>
      <c r="H1292" s="21">
        <v>45836</v>
      </c>
      <c r="I1292" s="41">
        <f>IFERROR(VLOOKUP(TA[[#This Row],[Date]],Raw_Data[[Date]:[Sunset Time (POA&lt;20 W/m2)]],3,0),"")</f>
        <v>0.25138888888888888</v>
      </c>
      <c r="J1292" s="41">
        <f>IFERROR(VLOOKUP(TA[[#This Row],[Date]],Raw_Data[[Date]:[Sunset Time (POA&lt;20 W/m2)]],4,0),"")</f>
        <v>0.78472222222222221</v>
      </c>
      <c r="K1292" s="35">
        <f>IFERROR((TA[[#This Row],[Sunset Time (POA&lt;20 W/m2)]]-TA[[#This Row],[Sunrise Time (POA&gt;20 W/m2)]])*24,"")</f>
        <v>12.8</v>
      </c>
      <c r="L1292" s="2" t="s">
        <v>294</v>
      </c>
      <c r="M1292" s="42">
        <f>IFERROR(VLOOKUP(TA[[#This Row],[Affected Equipment]],'Basic Data'!$I$2:$K$40,3,0),"")</f>
        <v>1.7241379310344799E-3</v>
      </c>
      <c r="N1292">
        <v>-28</v>
      </c>
      <c r="O1292" t="s">
        <v>135</v>
      </c>
      <c r="P1292" s="127" t="s">
        <v>318</v>
      </c>
      <c r="Q1292" s="126" t="s">
        <v>318</v>
      </c>
      <c r="R1292">
        <v>131</v>
      </c>
      <c r="S1292" s="2">
        <v>39</v>
      </c>
      <c r="T1292" t="s">
        <v>295</v>
      </c>
      <c r="U1292" t="s">
        <v>300</v>
      </c>
      <c r="V1292" t="s">
        <v>298</v>
      </c>
      <c r="W1292" s="41"/>
      <c r="X1292" s="41"/>
      <c r="Y1292" s="34"/>
      <c r="Z1292" s="34"/>
      <c r="AA1292" s="35">
        <f>IF(TA[[#This Row],[Work Start time on Fault]]="NA","",(TA[[#This Row],[Fault Acknowledgement Time ]]-TA[[#This Row],[Fault Time]])*24)</f>
        <v>0</v>
      </c>
      <c r="AB1292" s="35">
        <f>(TA[[#This Row],[Work Start time on Fault]]-TA[[#This Row],[Fault Time]])*24</f>
        <v>0</v>
      </c>
      <c r="AC1292" s="34">
        <f>(TA[[#This Row],[Work Completion time on fault]]-TA[[#This Row],[Fault Time]])*24</f>
        <v>0</v>
      </c>
      <c r="AD1292" s="35">
        <f>IFERROR((TA[[#This Row],[Work Completion time on fault]]-TA[[#This Row],[Fault Time]])*24,"")</f>
        <v>0</v>
      </c>
      <c r="AE1292" t="s">
        <v>328</v>
      </c>
      <c r="AF1292" t="s">
        <v>256</v>
      </c>
      <c r="AG1292" s="2"/>
      <c r="AH1292" s="44">
        <f>1-COS(RADIANS(TA[[#This Row],[Avg. Target Angle during Fault Time (Radians)]]-TA[[#This Row],[Angle of affected equipment ]]))</f>
        <v>0.11705240714107301</v>
      </c>
      <c r="AI1292" s="35">
        <f>IFERROR(TA[[#This Row],[Breakdown Time]]*TA[[#This Row],[Plant Equivalent Weightage]],"")</f>
        <v>0</v>
      </c>
    </row>
    <row r="1293" spans="1:35">
      <c r="A1293" s="2">
        <f t="shared" si="142"/>
        <v>1290</v>
      </c>
      <c r="B1293" s="156">
        <f t="shared" si="147"/>
        <v>2026</v>
      </c>
      <c r="C1293" s="129">
        <f t="shared" si="148"/>
        <v>2025</v>
      </c>
      <c r="D1293" s="2" t="s">
        <v>155</v>
      </c>
      <c r="E1293" s="2" t="s">
        <v>155</v>
      </c>
      <c r="F1293" s="39">
        <v>45809</v>
      </c>
      <c r="G1293" s="2">
        <f>DAY(EOMONTH(TA[[#This Row],[Month Year]],0))</f>
        <v>30</v>
      </c>
      <c r="H1293" s="21">
        <v>45836</v>
      </c>
      <c r="I1293" s="41">
        <f>IFERROR(VLOOKUP(TA[[#This Row],[Date]],Raw_Data[[Date]:[Sunset Time (POA&lt;20 W/m2)]],3,0),"")</f>
        <v>0.25138888888888888</v>
      </c>
      <c r="J1293" s="41">
        <f>IFERROR(VLOOKUP(TA[[#This Row],[Date]],Raw_Data[[Date]:[Sunset Time (POA&lt;20 W/m2)]],4,0),"")</f>
        <v>0.78472222222222221</v>
      </c>
      <c r="K1293" s="35">
        <f>IFERROR((TA[[#This Row],[Sunset Time (POA&lt;20 W/m2)]]-TA[[#This Row],[Sunrise Time (POA&gt;20 W/m2)]])*24,"")</f>
        <v>12.8</v>
      </c>
      <c r="L1293" s="2" t="s">
        <v>296</v>
      </c>
      <c r="M1293" s="42">
        <f>IFERROR(VLOOKUP(TA[[#This Row],[Affected Equipment]],'Basic Data'!$I$2:$K$40,3,0),"")</f>
        <v>8.6206896551724102E-3</v>
      </c>
      <c r="N1293">
        <v>-28</v>
      </c>
      <c r="O1293" t="s">
        <v>135</v>
      </c>
      <c r="P1293" s="127" t="s">
        <v>318</v>
      </c>
      <c r="Q1293" s="2" t="s">
        <v>321</v>
      </c>
      <c r="R1293">
        <v>133</v>
      </c>
      <c r="S1293" s="2">
        <v>26</v>
      </c>
      <c r="T1293" t="s">
        <v>297</v>
      </c>
      <c r="U1293" t="s">
        <v>300</v>
      </c>
      <c r="V1293" t="s">
        <v>314</v>
      </c>
      <c r="W1293" s="41">
        <f>IFERROR(VLOOKUP(TA[[#This Row],[Date]],Raw_Data[[Date]:[Sunset Time (POA&lt;20 W/m2)]],3,0),"")</f>
        <v>0.25138888888888888</v>
      </c>
      <c r="X1293" s="41">
        <f>IFERROR(VLOOKUP(TA[[#This Row],[Date]],Raw_Data[[Date]:[Sunset Time (POA&lt;20 W/m2)]],3,0),"")</f>
        <v>0.25138888888888888</v>
      </c>
      <c r="Y1293" s="34"/>
      <c r="Z1293" s="34">
        <v>0.76041666666666663</v>
      </c>
      <c r="AA1293" s="35">
        <f>IF(TA[[#This Row],[Work Start time on Fault]]="NA","",(TA[[#This Row],[Fault Acknowledgement Time ]]-TA[[#This Row],[Fault Time]])*24)</f>
        <v>0</v>
      </c>
      <c r="AB1293" s="35">
        <f>(TA[[#This Row],[Work Start time on Fault]]-TA[[#This Row],[Fault Time]])*24</f>
        <v>-6.0333333333333332</v>
      </c>
      <c r="AC1293" s="34">
        <f>(TA[[#This Row],[Work Completion time on fault]]-TA[[#This Row],[Fault Time]])*24</f>
        <v>12.216666666666665</v>
      </c>
      <c r="AD1293" s="35">
        <f>IFERROR((TA[[#This Row],[Work Completion time on fault]]-TA[[#This Row],[Fault Time]])*24,"")</f>
        <v>12.216666666666665</v>
      </c>
      <c r="AE1293" t="s">
        <v>328</v>
      </c>
      <c r="AF1293" t="s">
        <v>256</v>
      </c>
      <c r="AG1293" s="2"/>
      <c r="AH1293" s="44">
        <f>1-COS(RADIANS(TA[[#This Row],[Avg. Target Angle during Fault Time (Radians)]]-TA[[#This Row],[Angle of affected equipment ]]))</f>
        <v>0.11705240714107301</v>
      </c>
      <c r="AI1293" s="35">
        <f>IFERROR(TA[[#This Row],[Breakdown Time]]*TA[[#This Row],[Plant Equivalent Weightage]],"")</f>
        <v>0.10531609195402293</v>
      </c>
    </row>
    <row r="1294" spans="1:35">
      <c r="A1294" s="2">
        <f t="shared" si="142"/>
        <v>1291</v>
      </c>
      <c r="B1294" s="156">
        <f t="shared" si="147"/>
        <v>2026</v>
      </c>
      <c r="C1294" s="129">
        <f t="shared" si="148"/>
        <v>2025</v>
      </c>
      <c r="D1294" s="2" t="s">
        <v>155</v>
      </c>
      <c r="E1294" s="2" t="s">
        <v>155</v>
      </c>
      <c r="F1294" s="39">
        <v>45809</v>
      </c>
      <c r="G1294" s="2">
        <f>DAY(EOMONTH(TA[[#This Row],[Month Year]],0))</f>
        <v>30</v>
      </c>
      <c r="H1294" s="21">
        <v>45836</v>
      </c>
      <c r="I1294" s="41">
        <f>IFERROR(VLOOKUP(TA[[#This Row],[Date]],Raw_Data[[Date]:[Sunset Time (POA&lt;20 W/m2)]],3,0),"")</f>
        <v>0.25138888888888888</v>
      </c>
      <c r="J1294" s="41">
        <f>IFERROR(VLOOKUP(TA[[#This Row],[Date]],Raw_Data[[Date]:[Sunset Time (POA&lt;20 W/m2)]],4,0),"")</f>
        <v>0.78472222222222221</v>
      </c>
      <c r="K1294" s="35">
        <f>IFERROR((TA[[#This Row],[Sunset Time (POA&lt;20 W/m2)]]-TA[[#This Row],[Sunrise Time (POA&gt;20 W/m2)]])*24,"")</f>
        <v>12.8</v>
      </c>
      <c r="L1294" s="2" t="s">
        <v>294</v>
      </c>
      <c r="M1294" s="42">
        <f>IFERROR(VLOOKUP(TA[[#This Row],[Affected Equipment]],'Basic Data'!$I$2:$K$40,3,0),"")</f>
        <v>1.7241379310344799E-3</v>
      </c>
      <c r="N1294">
        <v>-28</v>
      </c>
      <c r="O1294" t="s">
        <v>133</v>
      </c>
      <c r="P1294" s="127" t="s">
        <v>316</v>
      </c>
      <c r="Q1294" s="126" t="s">
        <v>317</v>
      </c>
      <c r="R1294">
        <v>7</v>
      </c>
      <c r="S1294" s="2">
        <v>32</v>
      </c>
      <c r="T1294" t="s">
        <v>295</v>
      </c>
      <c r="U1294" t="s">
        <v>300</v>
      </c>
      <c r="V1294" t="s">
        <v>298</v>
      </c>
      <c r="W1294" s="41"/>
      <c r="X1294" s="41"/>
      <c r="Y1294" s="34"/>
      <c r="Z1294" s="34"/>
      <c r="AA1294" s="35">
        <f>IF(TA[[#This Row],[Work Start time on Fault]]="NA","",(TA[[#This Row],[Fault Acknowledgement Time ]]-TA[[#This Row],[Fault Time]])*24)</f>
        <v>0</v>
      </c>
      <c r="AB1294" s="35">
        <f>(TA[[#This Row],[Work Start time on Fault]]-TA[[#This Row],[Fault Time]])*24</f>
        <v>0</v>
      </c>
      <c r="AC1294" s="34">
        <f>(TA[[#This Row],[Work Completion time on fault]]-TA[[#This Row],[Fault Time]])*24</f>
        <v>0</v>
      </c>
      <c r="AD1294" s="35">
        <f>IFERROR((TA[[#This Row],[Work Completion time on fault]]-TA[[#This Row],[Fault Time]])*24,"")</f>
        <v>0</v>
      </c>
      <c r="AE1294" t="s">
        <v>328</v>
      </c>
      <c r="AF1294" t="s">
        <v>256</v>
      </c>
      <c r="AG1294" s="2"/>
      <c r="AH1294" s="44">
        <f>1-COS(RADIANS(TA[[#This Row],[Avg. Target Angle during Fault Time (Radians)]]-TA[[#This Row],[Angle of affected equipment ]]))</f>
        <v>0.11705240714107301</v>
      </c>
      <c r="AI1294" s="35">
        <f>IFERROR(TA[[#This Row],[Breakdown Time]]*TA[[#This Row],[Plant Equivalent Weightage]],"")</f>
        <v>0</v>
      </c>
    </row>
    <row r="1295" spans="1:35">
      <c r="A1295" s="2">
        <f t="shared" si="142"/>
        <v>1292</v>
      </c>
      <c r="B1295" s="156">
        <f t="shared" si="147"/>
        <v>2026</v>
      </c>
      <c r="C1295" s="129">
        <f t="shared" si="148"/>
        <v>2025</v>
      </c>
      <c r="D1295" s="2" t="s">
        <v>155</v>
      </c>
      <c r="E1295" s="2" t="s">
        <v>155</v>
      </c>
      <c r="F1295" s="39">
        <v>45809</v>
      </c>
      <c r="G1295" s="2">
        <f>DAY(EOMONTH(TA[[#This Row],[Month Year]],0))</f>
        <v>30</v>
      </c>
      <c r="H1295" s="21">
        <v>45836</v>
      </c>
      <c r="I1295" s="41">
        <f>IFERROR(VLOOKUP(TA[[#This Row],[Date]],Raw_Data[[Date]:[Sunset Time (POA&lt;20 W/m2)]],3,0),"")</f>
        <v>0.25138888888888888</v>
      </c>
      <c r="J1295" s="41">
        <f>IFERROR(VLOOKUP(TA[[#This Row],[Date]],Raw_Data[[Date]:[Sunset Time (POA&lt;20 W/m2)]],4,0),"")</f>
        <v>0.78472222222222221</v>
      </c>
      <c r="K1295" s="35">
        <f>IFERROR((TA[[#This Row],[Sunset Time (POA&lt;20 W/m2)]]-TA[[#This Row],[Sunrise Time (POA&gt;20 W/m2)]])*24,"")</f>
        <v>12.8</v>
      </c>
      <c r="L1295" s="2" t="s">
        <v>294</v>
      </c>
      <c r="M1295" s="42">
        <f>IFERROR(VLOOKUP(TA[[#This Row],[Affected Equipment]],'Basic Data'!$I$2:$K$40,3,0),"")</f>
        <v>1.7241379310344799E-3</v>
      </c>
      <c r="N1295">
        <v>-28</v>
      </c>
      <c r="O1295" t="s">
        <v>137</v>
      </c>
      <c r="P1295" s="127" t="s">
        <v>315</v>
      </c>
      <c r="Q1295" s="126" t="s">
        <v>319</v>
      </c>
      <c r="R1295">
        <v>166</v>
      </c>
      <c r="S1295" s="2">
        <v>91</v>
      </c>
      <c r="T1295" t="s">
        <v>295</v>
      </c>
      <c r="U1295" t="s">
        <v>300</v>
      </c>
      <c r="V1295" t="s">
        <v>298</v>
      </c>
      <c r="W1295" s="41"/>
      <c r="X1295" s="41"/>
      <c r="Y1295" s="34"/>
      <c r="Z1295" s="34"/>
      <c r="AA1295" s="35">
        <f>IF(TA[[#This Row],[Work Start time on Fault]]="NA","",(TA[[#This Row],[Fault Acknowledgement Time ]]-TA[[#This Row],[Fault Time]])*24)</f>
        <v>0</v>
      </c>
      <c r="AB1295" s="35">
        <f>(TA[[#This Row],[Work Start time on Fault]]-TA[[#This Row],[Fault Time]])*24</f>
        <v>0</v>
      </c>
      <c r="AC1295" s="34">
        <f>(TA[[#This Row],[Work Completion time on fault]]-TA[[#This Row],[Fault Time]])*24</f>
        <v>0</v>
      </c>
      <c r="AD1295" s="35">
        <f>IFERROR((TA[[#This Row],[Work Completion time on fault]]-TA[[#This Row],[Fault Time]])*24,"")</f>
        <v>0</v>
      </c>
      <c r="AE1295" t="s">
        <v>328</v>
      </c>
      <c r="AF1295" t="s">
        <v>256</v>
      </c>
      <c r="AG1295" s="2"/>
      <c r="AH1295" s="44">
        <f>1-COS(RADIANS(TA[[#This Row],[Avg. Target Angle during Fault Time (Radians)]]-TA[[#This Row],[Angle of affected equipment ]]))</f>
        <v>0.11705240714107301</v>
      </c>
      <c r="AI1295" s="35">
        <f>IFERROR(TA[[#This Row],[Breakdown Time]]*TA[[#This Row],[Plant Equivalent Weightage]],"")</f>
        <v>0</v>
      </c>
    </row>
    <row r="1296" spans="1:35">
      <c r="A1296" s="2">
        <f t="shared" si="142"/>
        <v>1293</v>
      </c>
      <c r="B1296" s="156">
        <f t="shared" si="147"/>
        <v>2026</v>
      </c>
      <c r="C1296" s="129">
        <f t="shared" si="148"/>
        <v>2025</v>
      </c>
      <c r="D1296" s="2" t="s">
        <v>155</v>
      </c>
      <c r="E1296" s="2" t="s">
        <v>155</v>
      </c>
      <c r="F1296" s="39">
        <v>45809</v>
      </c>
      <c r="G1296" s="2">
        <f>DAY(EOMONTH(TA[[#This Row],[Month Year]],0))</f>
        <v>30</v>
      </c>
      <c r="H1296" s="21">
        <v>45836</v>
      </c>
      <c r="I1296" s="41">
        <f>IFERROR(VLOOKUP(TA[[#This Row],[Date]],Raw_Data[[Date]:[Sunset Time (POA&lt;20 W/m2)]],3,0),"")</f>
        <v>0.25138888888888888</v>
      </c>
      <c r="J1296" s="41">
        <f>IFERROR(VLOOKUP(TA[[#This Row],[Date]],Raw_Data[[Date]:[Sunset Time (POA&lt;20 W/m2)]],4,0),"")</f>
        <v>0.78472222222222221</v>
      </c>
      <c r="K1296" s="35">
        <f>IFERROR((TA[[#This Row],[Sunset Time (POA&lt;20 W/m2)]]-TA[[#This Row],[Sunrise Time (POA&gt;20 W/m2)]])*24,"")</f>
        <v>12.8</v>
      </c>
      <c r="L1296" s="2" t="s">
        <v>294</v>
      </c>
      <c r="M1296" s="42">
        <f>IFERROR(VLOOKUP(TA[[#This Row],[Affected Equipment]],'Basic Data'!$I$2:$K$40,3,0),"")</f>
        <v>1.7241379310344799E-3</v>
      </c>
      <c r="N1296">
        <v>-28</v>
      </c>
      <c r="O1296" t="s">
        <v>133</v>
      </c>
      <c r="P1296" s="127" t="s">
        <v>316</v>
      </c>
      <c r="Q1296" s="126" t="s">
        <v>316</v>
      </c>
      <c r="R1296">
        <v>117</v>
      </c>
      <c r="S1296" s="2">
        <v>20</v>
      </c>
      <c r="T1296" t="s">
        <v>295</v>
      </c>
      <c r="U1296" t="s">
        <v>300</v>
      </c>
      <c r="V1296" t="s">
        <v>298</v>
      </c>
      <c r="W1296" s="41"/>
      <c r="X1296" s="41"/>
      <c r="Y1296" s="34"/>
      <c r="Z1296" s="34"/>
      <c r="AA1296" s="35">
        <f>IF(TA[[#This Row],[Work Start time on Fault]]="NA","",(TA[[#This Row],[Fault Acknowledgement Time ]]-TA[[#This Row],[Fault Time]])*24)</f>
        <v>0</v>
      </c>
      <c r="AB1296" s="35">
        <f>(TA[[#This Row],[Work Start time on Fault]]-TA[[#This Row],[Fault Time]])*24</f>
        <v>0</v>
      </c>
      <c r="AC1296" s="34">
        <f>(TA[[#This Row],[Work Completion time on fault]]-TA[[#This Row],[Fault Time]])*24</f>
        <v>0</v>
      </c>
      <c r="AD1296" s="35">
        <f>IFERROR((TA[[#This Row],[Work Completion time on fault]]-TA[[#This Row],[Fault Time]])*24,"")</f>
        <v>0</v>
      </c>
      <c r="AE1296" t="s">
        <v>328</v>
      </c>
      <c r="AF1296" t="s">
        <v>256</v>
      </c>
      <c r="AG1296" s="2"/>
      <c r="AH1296" s="44">
        <f>1-COS(RADIANS(TA[[#This Row],[Avg. Target Angle during Fault Time (Radians)]]-TA[[#This Row],[Angle of affected equipment ]]))</f>
        <v>0.11705240714107301</v>
      </c>
      <c r="AI1296" s="35">
        <f>IFERROR(TA[[#This Row],[Breakdown Time]]*TA[[#This Row],[Plant Equivalent Weightage]],"")</f>
        <v>0</v>
      </c>
    </row>
    <row r="1297" spans="1:35">
      <c r="A1297" s="2">
        <f t="shared" si="142"/>
        <v>1294</v>
      </c>
      <c r="B1297" s="156">
        <f t="shared" si="147"/>
        <v>2026</v>
      </c>
      <c r="C1297" s="129">
        <f t="shared" si="148"/>
        <v>2025</v>
      </c>
      <c r="D1297" s="2" t="s">
        <v>155</v>
      </c>
      <c r="E1297" s="2" t="s">
        <v>155</v>
      </c>
      <c r="F1297" s="39">
        <v>45809</v>
      </c>
      <c r="G1297" s="2">
        <f>DAY(EOMONTH(TA[[#This Row],[Month Year]],0))</f>
        <v>30</v>
      </c>
      <c r="H1297" s="21">
        <v>45836</v>
      </c>
      <c r="I1297" s="41">
        <f>IFERROR(VLOOKUP(TA[[#This Row],[Date]],Raw_Data[[Date]:[Sunset Time (POA&lt;20 W/m2)]],3,0),"")</f>
        <v>0.25138888888888888</v>
      </c>
      <c r="J1297" s="41">
        <f>IFERROR(VLOOKUP(TA[[#This Row],[Date]],Raw_Data[[Date]:[Sunset Time (POA&lt;20 W/m2)]],4,0),"")</f>
        <v>0.78472222222222221</v>
      </c>
      <c r="K1297" s="35">
        <f>IFERROR((TA[[#This Row],[Sunset Time (POA&lt;20 W/m2)]]-TA[[#This Row],[Sunrise Time (POA&gt;20 W/m2)]])*24,"")</f>
        <v>12.8</v>
      </c>
      <c r="L1297" s="2" t="s">
        <v>294</v>
      </c>
      <c r="M1297" s="42">
        <f>IFERROR(VLOOKUP(TA[[#This Row],[Affected Equipment]],'Basic Data'!$I$2:$K$40,3,0),"")</f>
        <v>1.7241379310344799E-3</v>
      </c>
      <c r="N1297">
        <v>-28</v>
      </c>
      <c r="O1297" t="s">
        <v>133</v>
      </c>
      <c r="P1297" s="127" t="s">
        <v>316</v>
      </c>
      <c r="Q1297" s="126" t="s">
        <v>316</v>
      </c>
      <c r="R1297">
        <v>118</v>
      </c>
      <c r="S1297" s="2">
        <v>22</v>
      </c>
      <c r="T1297" t="s">
        <v>295</v>
      </c>
      <c r="U1297" t="s">
        <v>300</v>
      </c>
      <c r="V1297" t="s">
        <v>298</v>
      </c>
      <c r="W1297" s="41"/>
      <c r="X1297" s="41"/>
      <c r="Y1297" s="34"/>
      <c r="Z1297" s="34"/>
      <c r="AA1297" s="35">
        <f>IF(TA[[#This Row],[Work Start time on Fault]]="NA","",(TA[[#This Row],[Fault Acknowledgement Time ]]-TA[[#This Row],[Fault Time]])*24)</f>
        <v>0</v>
      </c>
      <c r="AB1297" s="35">
        <f>(TA[[#This Row],[Work Start time on Fault]]-TA[[#This Row],[Fault Time]])*24</f>
        <v>0</v>
      </c>
      <c r="AC1297" s="34">
        <f>(TA[[#This Row],[Work Completion time on fault]]-TA[[#This Row],[Fault Time]])*24</f>
        <v>0</v>
      </c>
      <c r="AD1297" s="35">
        <f>IFERROR((TA[[#This Row],[Work Completion time on fault]]-TA[[#This Row],[Fault Time]])*24,"")</f>
        <v>0</v>
      </c>
      <c r="AE1297" t="s">
        <v>328</v>
      </c>
      <c r="AF1297" t="s">
        <v>256</v>
      </c>
      <c r="AG1297" s="2"/>
      <c r="AH1297" s="44">
        <f>1-COS(RADIANS(TA[[#This Row],[Avg. Target Angle during Fault Time (Radians)]]-TA[[#This Row],[Angle of affected equipment ]]))</f>
        <v>0.11705240714107301</v>
      </c>
      <c r="AI1297" s="35">
        <f>IFERROR(TA[[#This Row],[Breakdown Time]]*TA[[#This Row],[Plant Equivalent Weightage]],"")</f>
        <v>0</v>
      </c>
    </row>
    <row r="1298" spans="1:35">
      <c r="A1298" s="2">
        <f t="shared" si="142"/>
        <v>1295</v>
      </c>
      <c r="B1298" s="156">
        <f t="shared" si="147"/>
        <v>2026</v>
      </c>
      <c r="C1298" s="129">
        <f t="shared" si="148"/>
        <v>2025</v>
      </c>
      <c r="D1298" s="2" t="s">
        <v>155</v>
      </c>
      <c r="E1298" s="2" t="s">
        <v>155</v>
      </c>
      <c r="F1298" s="39">
        <v>45809</v>
      </c>
      <c r="G1298" s="2">
        <f>DAY(EOMONTH(TA[[#This Row],[Month Year]],0))</f>
        <v>30</v>
      </c>
      <c r="H1298" s="21">
        <v>45836</v>
      </c>
      <c r="I1298" s="41">
        <f>IFERROR(VLOOKUP(TA[[#This Row],[Date]],Raw_Data[[Date]:[Sunset Time (POA&lt;20 W/m2)]],3,0),"")</f>
        <v>0.25138888888888888</v>
      </c>
      <c r="J1298" s="41">
        <f>IFERROR(VLOOKUP(TA[[#This Row],[Date]],Raw_Data[[Date]:[Sunset Time (POA&lt;20 W/m2)]],4,0),"")</f>
        <v>0.78472222222222221</v>
      </c>
      <c r="K1298" s="35">
        <f>IFERROR((TA[[#This Row],[Sunset Time (POA&lt;20 W/m2)]]-TA[[#This Row],[Sunrise Time (POA&gt;20 W/m2)]])*24,"")</f>
        <v>12.8</v>
      </c>
      <c r="L1298" s="2" t="s">
        <v>296</v>
      </c>
      <c r="M1298" s="42">
        <f>IFERROR(VLOOKUP(TA[[#This Row],[Affected Equipment]],'Basic Data'!$I$2:$K$40,3,0),"")</f>
        <v>8.6206896551724102E-3</v>
      </c>
      <c r="N1298">
        <v>-28</v>
      </c>
      <c r="O1298" t="s">
        <v>135</v>
      </c>
      <c r="P1298" s="22" t="s">
        <v>323</v>
      </c>
      <c r="Q1298" s="2" t="s">
        <v>329</v>
      </c>
      <c r="R1298">
        <v>45</v>
      </c>
      <c r="S1298" s="2">
        <v>8</v>
      </c>
      <c r="T1298" t="s">
        <v>297</v>
      </c>
      <c r="U1298" t="s">
        <v>300</v>
      </c>
      <c r="V1298" t="s">
        <v>301</v>
      </c>
      <c r="W1298" s="41"/>
      <c r="X1298" s="41"/>
      <c r="Y1298" s="34"/>
      <c r="Z1298" s="34"/>
      <c r="AA1298" s="35">
        <f>IF(TA[[#This Row],[Work Start time on Fault]]="NA","",(TA[[#This Row],[Fault Acknowledgement Time ]]-TA[[#This Row],[Fault Time]])*24)</f>
        <v>0</v>
      </c>
      <c r="AB1298" s="35">
        <f>(TA[[#This Row],[Work Start time on Fault]]-TA[[#This Row],[Fault Time]])*24</f>
        <v>0</v>
      </c>
      <c r="AC1298" s="34">
        <f>(TA[[#This Row],[Work Completion time on fault]]-TA[[#This Row],[Fault Time]])*24</f>
        <v>0</v>
      </c>
      <c r="AD1298" s="35">
        <f>IFERROR((TA[[#This Row],[Work Completion time on fault]]-TA[[#This Row],[Fault Time]])*24,"")</f>
        <v>0</v>
      </c>
      <c r="AE1298" t="s">
        <v>328</v>
      </c>
      <c r="AF1298" t="s">
        <v>256</v>
      </c>
      <c r="AG1298" s="2"/>
      <c r="AH1298" s="44">
        <f>1-COS(RADIANS(TA[[#This Row],[Avg. Target Angle during Fault Time (Radians)]]-TA[[#This Row],[Angle of affected equipment ]]))</f>
        <v>0.11705240714107301</v>
      </c>
      <c r="AI1298" s="35">
        <f>IFERROR(TA[[#This Row],[Breakdown Time]]*TA[[#This Row],[Plant Equivalent Weightage]],"")</f>
        <v>0</v>
      </c>
    </row>
    <row r="1299" spans="1:35">
      <c r="A1299" s="2">
        <f t="shared" si="142"/>
        <v>1296</v>
      </c>
      <c r="B1299" s="156">
        <f t="shared" si="147"/>
        <v>2026</v>
      </c>
      <c r="C1299" s="129">
        <f t="shared" si="148"/>
        <v>2025</v>
      </c>
      <c r="D1299" s="2" t="s">
        <v>155</v>
      </c>
      <c r="E1299" s="2" t="s">
        <v>155</v>
      </c>
      <c r="F1299" s="39">
        <v>45809</v>
      </c>
      <c r="G1299" s="2">
        <f>DAY(EOMONTH(TA[[#This Row],[Month Year]],0))</f>
        <v>30</v>
      </c>
      <c r="H1299" s="21">
        <v>45836</v>
      </c>
      <c r="I1299" s="41">
        <f>IFERROR(VLOOKUP(TA[[#This Row],[Date]],Raw_Data[[Date]:[Sunset Time (POA&lt;20 W/m2)]],3,0),"")</f>
        <v>0.25138888888888888</v>
      </c>
      <c r="J1299" s="41">
        <f>IFERROR(VLOOKUP(TA[[#This Row],[Date]],Raw_Data[[Date]:[Sunset Time (POA&lt;20 W/m2)]],4,0),"")</f>
        <v>0.78472222222222221</v>
      </c>
      <c r="K1299" s="35">
        <f>IFERROR((TA[[#This Row],[Sunset Time (POA&lt;20 W/m2)]]-TA[[#This Row],[Sunrise Time (POA&gt;20 W/m2)]])*24,"")</f>
        <v>12.8</v>
      </c>
      <c r="L1299" s="2" t="s">
        <v>296</v>
      </c>
      <c r="M1299" s="42">
        <f>IFERROR(VLOOKUP(TA[[#This Row],[Affected Equipment]],'Basic Data'!$I$2:$K$40,3,0),"")</f>
        <v>8.6206896551724102E-3</v>
      </c>
      <c r="N1299">
        <v>-28</v>
      </c>
      <c r="O1299" t="s">
        <v>135</v>
      </c>
      <c r="P1299" s="22" t="s">
        <v>323</v>
      </c>
      <c r="Q1299" s="2" t="s">
        <v>329</v>
      </c>
      <c r="R1299">
        <v>47</v>
      </c>
      <c r="S1299" s="2">
        <v>18</v>
      </c>
      <c r="T1299" t="s">
        <v>297</v>
      </c>
      <c r="U1299" t="s">
        <v>300</v>
      </c>
      <c r="V1299" t="s">
        <v>301</v>
      </c>
      <c r="W1299" s="41"/>
      <c r="X1299" s="41"/>
      <c r="Y1299" s="34"/>
      <c r="Z1299" s="34"/>
      <c r="AA1299" s="35">
        <f>IF(TA[[#This Row],[Work Start time on Fault]]="NA","",(TA[[#This Row],[Fault Acknowledgement Time ]]-TA[[#This Row],[Fault Time]])*24)</f>
        <v>0</v>
      </c>
      <c r="AB1299" s="35">
        <f>(TA[[#This Row],[Work Start time on Fault]]-TA[[#This Row],[Fault Time]])*24</f>
        <v>0</v>
      </c>
      <c r="AC1299" s="34">
        <f>(TA[[#This Row],[Work Completion time on fault]]-TA[[#This Row],[Fault Time]])*24</f>
        <v>0</v>
      </c>
      <c r="AD1299" s="35">
        <f>IFERROR((TA[[#This Row],[Work Completion time on fault]]-TA[[#This Row],[Fault Time]])*24,"")</f>
        <v>0</v>
      </c>
      <c r="AE1299" t="s">
        <v>328</v>
      </c>
      <c r="AF1299" t="s">
        <v>256</v>
      </c>
      <c r="AG1299" s="2"/>
      <c r="AH1299" s="44">
        <f>1-COS(RADIANS(TA[[#This Row],[Avg. Target Angle during Fault Time (Radians)]]-TA[[#This Row],[Angle of affected equipment ]]))</f>
        <v>0.11705240714107301</v>
      </c>
      <c r="AI1299" s="35">
        <f>IFERROR(TA[[#This Row],[Breakdown Time]]*TA[[#This Row],[Plant Equivalent Weightage]],"")</f>
        <v>0</v>
      </c>
    </row>
    <row r="1300" spans="1:35">
      <c r="A1300" s="2">
        <f t="shared" si="142"/>
        <v>1297</v>
      </c>
      <c r="B1300" s="156">
        <f t="shared" si="147"/>
        <v>2026</v>
      </c>
      <c r="C1300" s="129">
        <f t="shared" si="148"/>
        <v>2025</v>
      </c>
      <c r="D1300" s="2" t="s">
        <v>155</v>
      </c>
      <c r="E1300" s="2" t="s">
        <v>155</v>
      </c>
      <c r="F1300" s="39">
        <v>45809</v>
      </c>
      <c r="G1300" s="2">
        <f>DAY(EOMONTH(TA[[#This Row],[Month Year]],0))</f>
        <v>30</v>
      </c>
      <c r="H1300" s="21">
        <v>45836</v>
      </c>
      <c r="I1300" s="41">
        <f>IFERROR(VLOOKUP(TA[[#This Row],[Date]],Raw_Data[[Date]:[Sunset Time (POA&lt;20 W/m2)]],3,0),"")</f>
        <v>0.25138888888888888</v>
      </c>
      <c r="J1300" s="41">
        <f>IFERROR(VLOOKUP(TA[[#This Row],[Date]],Raw_Data[[Date]:[Sunset Time (POA&lt;20 W/m2)]],4,0),"")</f>
        <v>0.78472222222222221</v>
      </c>
      <c r="K1300" s="35">
        <f>IFERROR((TA[[#This Row],[Sunset Time (POA&lt;20 W/m2)]]-TA[[#This Row],[Sunrise Time (POA&gt;20 W/m2)]])*24,"")</f>
        <v>12.8</v>
      </c>
      <c r="L1300" s="2" t="s">
        <v>296</v>
      </c>
      <c r="M1300" s="42">
        <f>IFERROR(VLOOKUP(TA[[#This Row],[Affected Equipment]],'Basic Data'!$I$2:$K$40,3,0),"")</f>
        <v>8.6206896551724102E-3</v>
      </c>
      <c r="N1300">
        <v>-28</v>
      </c>
      <c r="O1300" t="s">
        <v>134</v>
      </c>
      <c r="P1300" s="22" t="s">
        <v>330</v>
      </c>
      <c r="Q1300" s="2" t="s">
        <v>323</v>
      </c>
      <c r="R1300">
        <v>30</v>
      </c>
      <c r="S1300" s="2">
        <v>57</v>
      </c>
      <c r="T1300" t="s">
        <v>297</v>
      </c>
      <c r="U1300" t="s">
        <v>300</v>
      </c>
      <c r="V1300" t="s">
        <v>301</v>
      </c>
      <c r="W1300" s="41"/>
      <c r="X1300" s="41"/>
      <c r="Y1300" s="34"/>
      <c r="Z1300" s="34"/>
      <c r="AA1300" s="35">
        <f>IF(TA[[#This Row],[Work Start time on Fault]]="NA","",(TA[[#This Row],[Fault Acknowledgement Time ]]-TA[[#This Row],[Fault Time]])*24)</f>
        <v>0</v>
      </c>
      <c r="AB1300" s="35">
        <f>(TA[[#This Row],[Work Start time on Fault]]-TA[[#This Row],[Fault Time]])*24</f>
        <v>0</v>
      </c>
      <c r="AC1300" s="34">
        <f>(TA[[#This Row],[Work Completion time on fault]]-TA[[#This Row],[Fault Time]])*24</f>
        <v>0</v>
      </c>
      <c r="AD1300" s="35">
        <f>IFERROR((TA[[#This Row],[Work Completion time on fault]]-TA[[#This Row],[Fault Time]])*24,"")</f>
        <v>0</v>
      </c>
      <c r="AE1300" t="s">
        <v>328</v>
      </c>
      <c r="AF1300" t="s">
        <v>256</v>
      </c>
      <c r="AG1300" s="2"/>
      <c r="AH1300" s="44">
        <f>1-COS(RADIANS(TA[[#This Row],[Avg. Target Angle during Fault Time (Radians)]]-TA[[#This Row],[Angle of affected equipment ]]))</f>
        <v>0.11705240714107301</v>
      </c>
      <c r="AI1300" s="35">
        <f>IFERROR(TA[[#This Row],[Breakdown Time]]*TA[[#This Row],[Plant Equivalent Weightage]],"")</f>
        <v>0</v>
      </c>
    </row>
    <row r="1301" spans="1:35">
      <c r="A1301" s="2">
        <f t="shared" si="142"/>
        <v>1298</v>
      </c>
      <c r="B1301" s="156">
        <f t="shared" si="147"/>
        <v>2026</v>
      </c>
      <c r="C1301" s="129">
        <f t="shared" si="148"/>
        <v>2025</v>
      </c>
      <c r="D1301" s="2" t="s">
        <v>155</v>
      </c>
      <c r="E1301" s="2" t="s">
        <v>155</v>
      </c>
      <c r="F1301" s="39">
        <v>45809</v>
      </c>
      <c r="G1301" s="2">
        <f>DAY(EOMONTH(TA[[#This Row],[Month Year]],0))</f>
        <v>30</v>
      </c>
      <c r="H1301" s="21">
        <v>45836</v>
      </c>
      <c r="I1301" s="41">
        <f>IFERROR(VLOOKUP(TA[[#This Row],[Date]],Raw_Data[[Date]:[Sunset Time (POA&lt;20 W/m2)]],3,0),"")</f>
        <v>0.25138888888888888</v>
      </c>
      <c r="J1301" s="41">
        <f>IFERROR(VLOOKUP(TA[[#This Row],[Date]],Raw_Data[[Date]:[Sunset Time (POA&lt;20 W/m2)]],4,0),"")</f>
        <v>0.78472222222222221</v>
      </c>
      <c r="K1301" s="35">
        <f>IFERROR((TA[[#This Row],[Sunset Time (POA&lt;20 W/m2)]]-TA[[#This Row],[Sunrise Time (POA&gt;20 W/m2)]])*24,"")</f>
        <v>12.8</v>
      </c>
      <c r="L1301" s="2" t="s">
        <v>296</v>
      </c>
      <c r="M1301" s="42">
        <f>IFERROR(VLOOKUP(TA[[#This Row],[Affected Equipment]],'Basic Data'!$I$2:$K$40,3,0),"")</f>
        <v>8.6206896551724102E-3</v>
      </c>
      <c r="N1301">
        <v>-28</v>
      </c>
      <c r="O1301" t="s">
        <v>134</v>
      </c>
      <c r="P1301" s="22" t="s">
        <v>330</v>
      </c>
      <c r="Q1301" s="2" t="s">
        <v>323</v>
      </c>
      <c r="R1301">
        <v>31</v>
      </c>
      <c r="S1301" s="2">
        <v>61</v>
      </c>
      <c r="T1301" t="s">
        <v>297</v>
      </c>
      <c r="U1301" t="s">
        <v>300</v>
      </c>
      <c r="V1301" t="s">
        <v>301</v>
      </c>
      <c r="W1301" s="41"/>
      <c r="X1301" s="41"/>
      <c r="Y1301" s="34"/>
      <c r="Z1301" s="34"/>
      <c r="AA1301" s="35">
        <f>IF(TA[[#This Row],[Work Start time on Fault]]="NA","",(TA[[#This Row],[Fault Acknowledgement Time ]]-TA[[#This Row],[Fault Time]])*24)</f>
        <v>0</v>
      </c>
      <c r="AB1301" s="35">
        <f>(TA[[#This Row],[Work Start time on Fault]]-TA[[#This Row],[Fault Time]])*24</f>
        <v>0</v>
      </c>
      <c r="AC1301" s="34">
        <f>(TA[[#This Row],[Work Completion time on fault]]-TA[[#This Row],[Fault Time]])*24</f>
        <v>0</v>
      </c>
      <c r="AD1301" s="35">
        <f>IFERROR((TA[[#This Row],[Work Completion time on fault]]-TA[[#This Row],[Fault Time]])*24,"")</f>
        <v>0</v>
      </c>
      <c r="AE1301" t="s">
        <v>328</v>
      </c>
      <c r="AF1301" t="s">
        <v>256</v>
      </c>
      <c r="AG1301" s="2"/>
      <c r="AH1301" s="44">
        <f>1-COS(RADIANS(TA[[#This Row],[Avg. Target Angle during Fault Time (Radians)]]-TA[[#This Row],[Angle of affected equipment ]]))</f>
        <v>0.11705240714107301</v>
      </c>
      <c r="AI1301" s="35">
        <f>IFERROR(TA[[#This Row],[Breakdown Time]]*TA[[#This Row],[Plant Equivalent Weightage]],"")</f>
        <v>0</v>
      </c>
    </row>
    <row r="1302" spans="1:35">
      <c r="A1302" s="2">
        <f t="shared" si="142"/>
        <v>1299</v>
      </c>
      <c r="B1302" s="156">
        <f t="shared" si="147"/>
        <v>2026</v>
      </c>
      <c r="C1302" s="129">
        <f t="shared" si="148"/>
        <v>2025</v>
      </c>
      <c r="D1302" s="2" t="s">
        <v>155</v>
      </c>
      <c r="E1302" s="2" t="s">
        <v>155</v>
      </c>
      <c r="F1302" s="39">
        <v>45809</v>
      </c>
      <c r="G1302" s="2">
        <f>DAY(EOMONTH(TA[[#This Row],[Month Year]],0))</f>
        <v>30</v>
      </c>
      <c r="H1302" s="21">
        <v>45836</v>
      </c>
      <c r="I1302" s="41">
        <f>IFERROR(VLOOKUP(TA[[#This Row],[Date]],Raw_Data[[Date]:[Sunset Time (POA&lt;20 W/m2)]],3,0),"")</f>
        <v>0.25138888888888888</v>
      </c>
      <c r="J1302" s="41">
        <f>IFERROR(VLOOKUP(TA[[#This Row],[Date]],Raw_Data[[Date]:[Sunset Time (POA&lt;20 W/m2)]],4,0),"")</f>
        <v>0.78472222222222221</v>
      </c>
      <c r="K1302" s="35">
        <f>IFERROR((TA[[#This Row],[Sunset Time (POA&lt;20 W/m2)]]-TA[[#This Row],[Sunrise Time (POA&gt;20 W/m2)]])*24,"")</f>
        <v>12.8</v>
      </c>
      <c r="L1302" s="2" t="s">
        <v>312</v>
      </c>
      <c r="M1302" s="42">
        <f>IFERROR(VLOOKUP(TA[[#This Row],[Affected Equipment]],'Basic Data'!$I$2:$K$40,3,0),"")</f>
        <v>5.74712643678161E-3</v>
      </c>
      <c r="N1302">
        <v>-28</v>
      </c>
      <c r="O1302" t="s">
        <v>133</v>
      </c>
      <c r="P1302" s="22" t="s">
        <v>330</v>
      </c>
      <c r="Q1302" s="2" t="s">
        <v>323</v>
      </c>
      <c r="R1302">
        <v>26</v>
      </c>
      <c r="S1302" s="2">
        <v>37</v>
      </c>
      <c r="T1302" t="s">
        <v>297</v>
      </c>
      <c r="U1302" t="s">
        <v>300</v>
      </c>
      <c r="V1302" t="s">
        <v>301</v>
      </c>
      <c r="W1302" s="41"/>
      <c r="X1302" s="41"/>
      <c r="Y1302" s="34"/>
      <c r="Z1302" s="34"/>
      <c r="AA1302" s="35">
        <f>IF(TA[[#This Row],[Work Start time on Fault]]="NA","",(TA[[#This Row],[Fault Acknowledgement Time ]]-TA[[#This Row],[Fault Time]])*24)</f>
        <v>0</v>
      </c>
      <c r="AB1302" s="35">
        <f>(TA[[#This Row],[Work Start time on Fault]]-TA[[#This Row],[Fault Time]])*24</f>
        <v>0</v>
      </c>
      <c r="AC1302" s="34">
        <f>(TA[[#This Row],[Work Completion time on fault]]-TA[[#This Row],[Fault Time]])*24</f>
        <v>0</v>
      </c>
      <c r="AD1302" s="35">
        <f>IFERROR((TA[[#This Row],[Work Completion time on fault]]-TA[[#This Row],[Fault Time]])*24,"")</f>
        <v>0</v>
      </c>
      <c r="AE1302" t="s">
        <v>328</v>
      </c>
      <c r="AF1302" t="s">
        <v>256</v>
      </c>
      <c r="AG1302" s="2"/>
      <c r="AH1302" s="44">
        <f>1-COS(RADIANS(TA[[#This Row],[Avg. Target Angle during Fault Time (Radians)]]-TA[[#This Row],[Angle of affected equipment ]]))</f>
        <v>0.11705240714107301</v>
      </c>
      <c r="AI1302" s="35">
        <f>IFERROR(TA[[#This Row],[Breakdown Time]]*TA[[#This Row],[Plant Equivalent Weightage]],"")</f>
        <v>0</v>
      </c>
    </row>
    <row r="1303" spans="1:35">
      <c r="A1303" s="2">
        <f t="shared" si="142"/>
        <v>1300</v>
      </c>
      <c r="B1303" s="156">
        <f t="shared" si="147"/>
        <v>2026</v>
      </c>
      <c r="C1303" s="129">
        <f t="shared" si="148"/>
        <v>2025</v>
      </c>
      <c r="D1303" s="2" t="s">
        <v>155</v>
      </c>
      <c r="E1303" s="2" t="s">
        <v>155</v>
      </c>
      <c r="F1303" s="39">
        <v>45809</v>
      </c>
      <c r="G1303" s="2">
        <f>DAY(EOMONTH(TA[[#This Row],[Month Year]],0))</f>
        <v>30</v>
      </c>
      <c r="H1303" s="21">
        <v>45836</v>
      </c>
      <c r="I1303" s="41">
        <f>IFERROR(VLOOKUP(TA[[#This Row],[Date]],Raw_Data[[Date]:[Sunset Time (POA&lt;20 W/m2)]],3,0),"")</f>
        <v>0.25138888888888888</v>
      </c>
      <c r="J1303" s="41">
        <f>IFERROR(VLOOKUP(TA[[#This Row],[Date]],Raw_Data[[Date]:[Sunset Time (POA&lt;20 W/m2)]],4,0),"")</f>
        <v>0.78472222222222221</v>
      </c>
      <c r="K1303" s="35">
        <f>IFERROR((TA[[#This Row],[Sunset Time (POA&lt;20 W/m2)]]-TA[[#This Row],[Sunrise Time (POA&gt;20 W/m2)]])*24,"")</f>
        <v>12.8</v>
      </c>
      <c r="L1303" s="2" t="s">
        <v>312</v>
      </c>
      <c r="M1303" s="42">
        <f>IFERROR(VLOOKUP(TA[[#This Row],[Affected Equipment]],'Basic Data'!$I$2:$K$40,3,0),"")</f>
        <v>5.74712643678161E-3</v>
      </c>
      <c r="N1303">
        <v>-28</v>
      </c>
      <c r="O1303" t="s">
        <v>133</v>
      </c>
      <c r="P1303" s="22" t="s">
        <v>330</v>
      </c>
      <c r="Q1303" s="2" t="s">
        <v>323</v>
      </c>
      <c r="R1303">
        <v>27</v>
      </c>
      <c r="S1303" s="2">
        <v>42</v>
      </c>
      <c r="T1303" t="s">
        <v>297</v>
      </c>
      <c r="U1303" t="s">
        <v>300</v>
      </c>
      <c r="V1303" t="s">
        <v>301</v>
      </c>
      <c r="W1303" s="41">
        <f>IFERROR(VLOOKUP(TA[[#This Row],[Date]],Raw_Data[[Date]:[Sunset Time (POA&lt;20 W/m2)]],3,0),"")</f>
        <v>0.25138888888888888</v>
      </c>
      <c r="X1303" s="41">
        <f>IFERROR(VLOOKUP(TA[[#This Row],[Date]],Raw_Data[[Date]:[Sunset Time (POA&lt;20 W/m2)]],3,0),"")</f>
        <v>0.25138888888888888</v>
      </c>
      <c r="Y1303" s="34"/>
      <c r="Z1303" s="34">
        <v>0.76041666666666663</v>
      </c>
      <c r="AA1303" s="35">
        <f>IF(TA[[#This Row],[Work Start time on Fault]]="NA","",(TA[[#This Row],[Fault Acknowledgement Time ]]-TA[[#This Row],[Fault Time]])*24)</f>
        <v>0</v>
      </c>
      <c r="AB1303" s="35">
        <f>(TA[[#This Row],[Work Start time on Fault]]-TA[[#This Row],[Fault Time]])*24</f>
        <v>-6.0333333333333332</v>
      </c>
      <c r="AC1303" s="34">
        <f>(TA[[#This Row],[Work Completion time on fault]]-TA[[#This Row],[Fault Time]])*24</f>
        <v>12.216666666666665</v>
      </c>
      <c r="AD1303" s="35">
        <f>IFERROR((TA[[#This Row],[Work Completion time on fault]]-TA[[#This Row],[Fault Time]])*24,"")</f>
        <v>12.216666666666665</v>
      </c>
      <c r="AE1303" t="s">
        <v>309</v>
      </c>
      <c r="AF1303" t="s">
        <v>256</v>
      </c>
      <c r="AG1303" s="2"/>
      <c r="AH1303" s="44">
        <f>1-COS(RADIANS(TA[[#This Row],[Avg. Target Angle during Fault Time (Radians)]]-TA[[#This Row],[Angle of affected equipment ]]))</f>
        <v>0.11705240714107301</v>
      </c>
      <c r="AI1303" s="35">
        <f>IFERROR(TA[[#This Row],[Breakdown Time]]*TA[[#This Row],[Plant Equivalent Weightage]],"")</f>
        <v>7.0210727969348657E-2</v>
      </c>
    </row>
    <row r="1304" spans="1:35">
      <c r="A1304" s="2">
        <f t="shared" si="142"/>
        <v>1301</v>
      </c>
      <c r="B1304" s="156">
        <f t="shared" ref="B1304:B1316" si="149">YEAR(H1304)+IF(MONTH(H1304)&gt;=4,1,0)</f>
        <v>2026</v>
      </c>
      <c r="C1304" s="129">
        <f t="shared" ref="C1304:C1316" si="150">YEAR(H1304)</f>
        <v>2025</v>
      </c>
      <c r="D1304" s="2" t="s">
        <v>155</v>
      </c>
      <c r="E1304" s="2" t="s">
        <v>155</v>
      </c>
      <c r="F1304" s="39">
        <v>45809</v>
      </c>
      <c r="G1304" s="2">
        <f>DAY(EOMONTH(TA[[#This Row],[Month Year]],0))</f>
        <v>30</v>
      </c>
      <c r="H1304" s="21">
        <v>45837</v>
      </c>
      <c r="I1304" s="41">
        <f>IFERROR(VLOOKUP(TA[[#This Row],[Date]],Raw_Data[[Date]:[Sunset Time (POA&lt;20 W/m2)]],3,0),"")</f>
        <v>0.24930555555555556</v>
      </c>
      <c r="J1304" s="41">
        <f>IFERROR(VLOOKUP(TA[[#This Row],[Date]],Raw_Data[[Date]:[Sunset Time (POA&lt;20 W/m2)]],4,0),"")</f>
        <v>0.77638888888888891</v>
      </c>
      <c r="K1304" s="35">
        <f>IFERROR((TA[[#This Row],[Sunset Time (POA&lt;20 W/m2)]]-TA[[#This Row],[Sunrise Time (POA&gt;20 W/m2)]])*24,"")</f>
        <v>12.65</v>
      </c>
      <c r="L1304" s="2" t="s">
        <v>294</v>
      </c>
      <c r="M1304" s="42">
        <f>IFERROR(VLOOKUP(TA[[#This Row],[Affected Equipment]],'Basic Data'!$I$2:$K$40,3,0),"")</f>
        <v>1.7241379310344799E-3</v>
      </c>
      <c r="N1304">
        <v>-28</v>
      </c>
      <c r="O1304" t="s">
        <v>135</v>
      </c>
      <c r="P1304" s="127" t="s">
        <v>318</v>
      </c>
      <c r="Q1304" s="126" t="s">
        <v>318</v>
      </c>
      <c r="R1304">
        <v>131</v>
      </c>
      <c r="S1304" s="2">
        <v>38</v>
      </c>
      <c r="T1304" t="s">
        <v>295</v>
      </c>
      <c r="U1304" t="s">
        <v>300</v>
      </c>
      <c r="V1304" t="s">
        <v>298</v>
      </c>
      <c r="W1304" s="41"/>
      <c r="X1304" s="41"/>
      <c r="Y1304" s="34"/>
      <c r="Z1304" s="34"/>
      <c r="AA1304" s="35">
        <f>IF(TA[[#This Row],[Work Start time on Fault]]="NA","",(TA[[#This Row],[Fault Acknowledgement Time ]]-TA[[#This Row],[Fault Time]])*24)</f>
        <v>0</v>
      </c>
      <c r="AB1304" s="35">
        <f>(TA[[#This Row],[Work Start time on Fault]]-TA[[#This Row],[Fault Time]])*24</f>
        <v>0</v>
      </c>
      <c r="AC1304" s="34">
        <f>(TA[[#This Row],[Work Completion time on fault]]-TA[[#This Row],[Fault Time]])*24</f>
        <v>0</v>
      </c>
      <c r="AD1304" s="35">
        <f>IFERROR((TA[[#This Row],[Work Completion time on fault]]-TA[[#This Row],[Fault Time]])*24,"")</f>
        <v>0</v>
      </c>
      <c r="AE1304" t="s">
        <v>328</v>
      </c>
      <c r="AF1304" t="s">
        <v>256</v>
      </c>
      <c r="AG1304" s="2"/>
      <c r="AH1304" s="44">
        <f>1-COS(RADIANS(TA[[#This Row],[Avg. Target Angle during Fault Time (Radians)]]-TA[[#This Row],[Angle of affected equipment ]]))</f>
        <v>0.11705240714107301</v>
      </c>
      <c r="AI1304" s="35">
        <f>IFERROR(TA[[#This Row],[Breakdown Time]]*TA[[#This Row],[Plant Equivalent Weightage]],"")</f>
        <v>0</v>
      </c>
    </row>
    <row r="1305" spans="1:35">
      <c r="A1305" s="2">
        <f t="shared" si="142"/>
        <v>1302</v>
      </c>
      <c r="B1305" s="156">
        <f t="shared" si="149"/>
        <v>2026</v>
      </c>
      <c r="C1305" s="129">
        <f t="shared" si="150"/>
        <v>2025</v>
      </c>
      <c r="D1305" s="2" t="s">
        <v>155</v>
      </c>
      <c r="E1305" s="2" t="s">
        <v>155</v>
      </c>
      <c r="F1305" s="39">
        <v>45809</v>
      </c>
      <c r="G1305" s="2">
        <f>DAY(EOMONTH(TA[[#This Row],[Month Year]],0))</f>
        <v>30</v>
      </c>
      <c r="H1305" s="21">
        <v>45837</v>
      </c>
      <c r="I1305" s="41">
        <f>IFERROR(VLOOKUP(TA[[#This Row],[Date]],Raw_Data[[Date]:[Sunset Time (POA&lt;20 W/m2)]],3,0),"")</f>
        <v>0.24930555555555556</v>
      </c>
      <c r="J1305" s="41">
        <f>IFERROR(VLOOKUP(TA[[#This Row],[Date]],Raw_Data[[Date]:[Sunset Time (POA&lt;20 W/m2)]],4,0),"")</f>
        <v>0.77638888888888891</v>
      </c>
      <c r="K1305" s="35">
        <f>IFERROR((TA[[#This Row],[Sunset Time (POA&lt;20 W/m2)]]-TA[[#This Row],[Sunrise Time (POA&gt;20 W/m2)]])*24,"")</f>
        <v>12.65</v>
      </c>
      <c r="L1305" s="2" t="s">
        <v>294</v>
      </c>
      <c r="M1305" s="42">
        <f>IFERROR(VLOOKUP(TA[[#This Row],[Affected Equipment]],'Basic Data'!$I$2:$K$40,3,0),"")</f>
        <v>1.7241379310344799E-3</v>
      </c>
      <c r="N1305">
        <v>-28</v>
      </c>
      <c r="O1305" t="s">
        <v>135</v>
      </c>
      <c r="P1305" s="127" t="s">
        <v>318</v>
      </c>
      <c r="Q1305" s="126" t="s">
        <v>318</v>
      </c>
      <c r="R1305">
        <v>131</v>
      </c>
      <c r="S1305" s="2">
        <v>39</v>
      </c>
      <c r="T1305" t="s">
        <v>295</v>
      </c>
      <c r="U1305" t="s">
        <v>300</v>
      </c>
      <c r="V1305" t="s">
        <v>298</v>
      </c>
      <c r="W1305" s="41"/>
      <c r="X1305" s="41"/>
      <c r="Y1305" s="34"/>
      <c r="Z1305" s="34"/>
      <c r="AA1305" s="35">
        <f>IF(TA[[#This Row],[Work Start time on Fault]]="NA","",(TA[[#This Row],[Fault Acknowledgement Time ]]-TA[[#This Row],[Fault Time]])*24)</f>
        <v>0</v>
      </c>
      <c r="AB1305" s="35">
        <f>(TA[[#This Row],[Work Start time on Fault]]-TA[[#This Row],[Fault Time]])*24</f>
        <v>0</v>
      </c>
      <c r="AC1305" s="34">
        <f>(TA[[#This Row],[Work Completion time on fault]]-TA[[#This Row],[Fault Time]])*24</f>
        <v>0</v>
      </c>
      <c r="AD1305" s="35">
        <f>IFERROR((TA[[#This Row],[Work Completion time on fault]]-TA[[#This Row],[Fault Time]])*24,"")</f>
        <v>0</v>
      </c>
      <c r="AE1305" t="s">
        <v>328</v>
      </c>
      <c r="AF1305" t="s">
        <v>256</v>
      </c>
      <c r="AG1305" s="2"/>
      <c r="AH1305" s="44">
        <f>1-COS(RADIANS(TA[[#This Row],[Avg. Target Angle during Fault Time (Radians)]]-TA[[#This Row],[Angle of affected equipment ]]))</f>
        <v>0.11705240714107301</v>
      </c>
      <c r="AI1305" s="35">
        <f>IFERROR(TA[[#This Row],[Breakdown Time]]*TA[[#This Row],[Plant Equivalent Weightage]],"")</f>
        <v>0</v>
      </c>
    </row>
    <row r="1306" spans="1:35">
      <c r="A1306" s="2">
        <f t="shared" si="142"/>
        <v>1303</v>
      </c>
      <c r="B1306" s="156">
        <f t="shared" si="149"/>
        <v>2026</v>
      </c>
      <c r="C1306" s="129">
        <f t="shared" si="150"/>
        <v>2025</v>
      </c>
      <c r="D1306" s="2" t="s">
        <v>155</v>
      </c>
      <c r="E1306" s="2" t="s">
        <v>155</v>
      </c>
      <c r="F1306" s="39">
        <v>45809</v>
      </c>
      <c r="G1306" s="2">
        <f>DAY(EOMONTH(TA[[#This Row],[Month Year]],0))</f>
        <v>30</v>
      </c>
      <c r="H1306" s="21">
        <v>45837</v>
      </c>
      <c r="I1306" s="41">
        <f>IFERROR(VLOOKUP(TA[[#This Row],[Date]],Raw_Data[[Date]:[Sunset Time (POA&lt;20 W/m2)]],3,0),"")</f>
        <v>0.24930555555555556</v>
      </c>
      <c r="J1306" s="41">
        <f>IFERROR(VLOOKUP(TA[[#This Row],[Date]],Raw_Data[[Date]:[Sunset Time (POA&lt;20 W/m2)]],4,0),"")</f>
        <v>0.77638888888888891</v>
      </c>
      <c r="K1306" s="35">
        <f>IFERROR((TA[[#This Row],[Sunset Time (POA&lt;20 W/m2)]]-TA[[#This Row],[Sunrise Time (POA&gt;20 W/m2)]])*24,"")</f>
        <v>12.65</v>
      </c>
      <c r="L1306" s="2" t="s">
        <v>296</v>
      </c>
      <c r="M1306" s="42">
        <f>IFERROR(VLOOKUP(TA[[#This Row],[Affected Equipment]],'Basic Data'!$I$2:$K$40,3,0),"")</f>
        <v>8.6206896551724102E-3</v>
      </c>
      <c r="N1306">
        <v>-28</v>
      </c>
      <c r="O1306" t="s">
        <v>135</v>
      </c>
      <c r="P1306" s="127" t="s">
        <v>318</v>
      </c>
      <c r="Q1306" s="2" t="s">
        <v>321</v>
      </c>
      <c r="R1306">
        <v>133</v>
      </c>
      <c r="S1306" s="2">
        <v>26</v>
      </c>
      <c r="T1306" t="s">
        <v>297</v>
      </c>
      <c r="U1306" t="s">
        <v>300</v>
      </c>
      <c r="V1306" t="s">
        <v>314</v>
      </c>
      <c r="W1306" s="41">
        <f>IFERROR(VLOOKUP(TA[[#This Row],[Date]],Raw_Data[[Date]:[Sunset Time (POA&lt;20 W/m2)]],3,0),"")</f>
        <v>0.24930555555555556</v>
      </c>
      <c r="X1306" s="41">
        <f>IFERROR(VLOOKUP(TA[[#This Row],[Date]],Raw_Data[[Date]:[Sunset Time (POA&lt;20 W/m2)]],3,0),"")</f>
        <v>0.24930555555555556</v>
      </c>
      <c r="Y1306" s="34"/>
      <c r="Z1306" s="34">
        <v>0.76041666666666663</v>
      </c>
      <c r="AA1306" s="35">
        <f>IF(TA[[#This Row],[Work Start time on Fault]]="NA","",(TA[[#This Row],[Fault Acknowledgement Time ]]-TA[[#This Row],[Fault Time]])*24)</f>
        <v>0</v>
      </c>
      <c r="AB1306" s="35">
        <f>(TA[[#This Row],[Work Start time on Fault]]-TA[[#This Row],[Fault Time]])*24</f>
        <v>-5.9833333333333334</v>
      </c>
      <c r="AC1306" s="34">
        <f>(TA[[#This Row],[Work Completion time on fault]]-TA[[#This Row],[Fault Time]])*24</f>
        <v>12.266666666666666</v>
      </c>
      <c r="AD1306" s="35">
        <f>IFERROR((TA[[#This Row],[Work Completion time on fault]]-TA[[#This Row],[Fault Time]])*24,"")</f>
        <v>12.266666666666666</v>
      </c>
      <c r="AE1306" t="s">
        <v>328</v>
      </c>
      <c r="AF1306" t="s">
        <v>256</v>
      </c>
      <c r="AG1306" s="2"/>
      <c r="AH1306" s="44">
        <f>1-COS(RADIANS(TA[[#This Row],[Avg. Target Angle during Fault Time (Radians)]]-TA[[#This Row],[Angle of affected equipment ]]))</f>
        <v>0.11705240714107301</v>
      </c>
      <c r="AI1306" s="35">
        <f>IFERROR(TA[[#This Row],[Breakdown Time]]*TA[[#This Row],[Plant Equivalent Weightage]],"")</f>
        <v>0.10574712643678155</v>
      </c>
    </row>
    <row r="1307" spans="1:35">
      <c r="A1307" s="2">
        <f t="shared" si="142"/>
        <v>1304</v>
      </c>
      <c r="B1307" s="156">
        <f t="shared" si="149"/>
        <v>2026</v>
      </c>
      <c r="C1307" s="129">
        <f t="shared" si="150"/>
        <v>2025</v>
      </c>
      <c r="D1307" s="2" t="s">
        <v>155</v>
      </c>
      <c r="E1307" s="2" t="s">
        <v>155</v>
      </c>
      <c r="F1307" s="39">
        <v>45809</v>
      </c>
      <c r="G1307" s="2">
        <f>DAY(EOMONTH(TA[[#This Row],[Month Year]],0))</f>
        <v>30</v>
      </c>
      <c r="H1307" s="21">
        <v>45837</v>
      </c>
      <c r="I1307" s="41">
        <f>IFERROR(VLOOKUP(TA[[#This Row],[Date]],Raw_Data[[Date]:[Sunset Time (POA&lt;20 W/m2)]],3,0),"")</f>
        <v>0.24930555555555556</v>
      </c>
      <c r="J1307" s="41">
        <f>IFERROR(VLOOKUP(TA[[#This Row],[Date]],Raw_Data[[Date]:[Sunset Time (POA&lt;20 W/m2)]],4,0),"")</f>
        <v>0.77638888888888891</v>
      </c>
      <c r="K1307" s="35">
        <f>IFERROR((TA[[#This Row],[Sunset Time (POA&lt;20 W/m2)]]-TA[[#This Row],[Sunrise Time (POA&gt;20 W/m2)]])*24,"")</f>
        <v>12.65</v>
      </c>
      <c r="L1307" s="2" t="s">
        <v>294</v>
      </c>
      <c r="M1307" s="42">
        <f>IFERROR(VLOOKUP(TA[[#This Row],[Affected Equipment]],'Basic Data'!$I$2:$K$40,3,0),"")</f>
        <v>1.7241379310344799E-3</v>
      </c>
      <c r="N1307">
        <v>-28</v>
      </c>
      <c r="O1307" t="s">
        <v>133</v>
      </c>
      <c r="P1307" s="127" t="s">
        <v>316</v>
      </c>
      <c r="Q1307" s="126" t="s">
        <v>317</v>
      </c>
      <c r="R1307">
        <v>7</v>
      </c>
      <c r="S1307" s="2">
        <v>32</v>
      </c>
      <c r="T1307" t="s">
        <v>295</v>
      </c>
      <c r="U1307" t="s">
        <v>300</v>
      </c>
      <c r="V1307" t="s">
        <v>298</v>
      </c>
      <c r="W1307" s="41"/>
      <c r="X1307" s="41"/>
      <c r="Y1307" s="34"/>
      <c r="Z1307" s="34"/>
      <c r="AA1307" s="35">
        <f>IF(TA[[#This Row],[Work Start time on Fault]]="NA","",(TA[[#This Row],[Fault Acknowledgement Time ]]-TA[[#This Row],[Fault Time]])*24)</f>
        <v>0</v>
      </c>
      <c r="AB1307" s="35">
        <f>(TA[[#This Row],[Work Start time on Fault]]-TA[[#This Row],[Fault Time]])*24</f>
        <v>0</v>
      </c>
      <c r="AC1307" s="34">
        <f>(TA[[#This Row],[Work Completion time on fault]]-TA[[#This Row],[Fault Time]])*24</f>
        <v>0</v>
      </c>
      <c r="AD1307" s="35">
        <f>IFERROR((TA[[#This Row],[Work Completion time on fault]]-TA[[#This Row],[Fault Time]])*24,"")</f>
        <v>0</v>
      </c>
      <c r="AE1307" t="s">
        <v>328</v>
      </c>
      <c r="AF1307" t="s">
        <v>256</v>
      </c>
      <c r="AG1307" s="2"/>
      <c r="AH1307" s="44">
        <f>1-COS(RADIANS(TA[[#This Row],[Avg. Target Angle during Fault Time (Radians)]]-TA[[#This Row],[Angle of affected equipment ]]))</f>
        <v>0.11705240714107301</v>
      </c>
      <c r="AI1307" s="35">
        <f>IFERROR(TA[[#This Row],[Breakdown Time]]*TA[[#This Row],[Plant Equivalent Weightage]],"")</f>
        <v>0</v>
      </c>
    </row>
    <row r="1308" spans="1:35">
      <c r="A1308" s="2">
        <f t="shared" si="142"/>
        <v>1305</v>
      </c>
      <c r="B1308" s="156">
        <f t="shared" si="149"/>
        <v>2026</v>
      </c>
      <c r="C1308" s="129">
        <f t="shared" si="150"/>
        <v>2025</v>
      </c>
      <c r="D1308" s="2" t="s">
        <v>155</v>
      </c>
      <c r="E1308" s="2" t="s">
        <v>155</v>
      </c>
      <c r="F1308" s="39">
        <v>45809</v>
      </c>
      <c r="G1308" s="2">
        <f>DAY(EOMONTH(TA[[#This Row],[Month Year]],0))</f>
        <v>30</v>
      </c>
      <c r="H1308" s="21">
        <v>45837</v>
      </c>
      <c r="I1308" s="41">
        <f>IFERROR(VLOOKUP(TA[[#This Row],[Date]],Raw_Data[[Date]:[Sunset Time (POA&lt;20 W/m2)]],3,0),"")</f>
        <v>0.24930555555555556</v>
      </c>
      <c r="J1308" s="41">
        <f>IFERROR(VLOOKUP(TA[[#This Row],[Date]],Raw_Data[[Date]:[Sunset Time (POA&lt;20 W/m2)]],4,0),"")</f>
        <v>0.77638888888888891</v>
      </c>
      <c r="K1308" s="35">
        <f>IFERROR((TA[[#This Row],[Sunset Time (POA&lt;20 W/m2)]]-TA[[#This Row],[Sunrise Time (POA&gt;20 W/m2)]])*24,"")</f>
        <v>12.65</v>
      </c>
      <c r="L1308" s="2" t="s">
        <v>294</v>
      </c>
      <c r="M1308" s="42">
        <f>IFERROR(VLOOKUP(TA[[#This Row],[Affected Equipment]],'Basic Data'!$I$2:$K$40,3,0),"")</f>
        <v>1.7241379310344799E-3</v>
      </c>
      <c r="N1308">
        <v>-28</v>
      </c>
      <c r="O1308" t="s">
        <v>137</v>
      </c>
      <c r="P1308" s="127" t="s">
        <v>315</v>
      </c>
      <c r="Q1308" s="126" t="s">
        <v>319</v>
      </c>
      <c r="R1308">
        <v>166</v>
      </c>
      <c r="S1308" s="2">
        <v>91</v>
      </c>
      <c r="T1308" t="s">
        <v>295</v>
      </c>
      <c r="U1308" t="s">
        <v>300</v>
      </c>
      <c r="V1308" t="s">
        <v>298</v>
      </c>
      <c r="W1308" s="41"/>
      <c r="X1308" s="41"/>
      <c r="Y1308" s="34"/>
      <c r="Z1308" s="34"/>
      <c r="AA1308" s="35">
        <f>IF(TA[[#This Row],[Work Start time on Fault]]="NA","",(TA[[#This Row],[Fault Acknowledgement Time ]]-TA[[#This Row],[Fault Time]])*24)</f>
        <v>0</v>
      </c>
      <c r="AB1308" s="35">
        <f>(TA[[#This Row],[Work Start time on Fault]]-TA[[#This Row],[Fault Time]])*24</f>
        <v>0</v>
      </c>
      <c r="AC1308" s="34">
        <f>(TA[[#This Row],[Work Completion time on fault]]-TA[[#This Row],[Fault Time]])*24</f>
        <v>0</v>
      </c>
      <c r="AD1308" s="35">
        <f>IFERROR((TA[[#This Row],[Work Completion time on fault]]-TA[[#This Row],[Fault Time]])*24,"")</f>
        <v>0</v>
      </c>
      <c r="AE1308" t="s">
        <v>328</v>
      </c>
      <c r="AF1308" t="s">
        <v>256</v>
      </c>
      <c r="AG1308" s="2"/>
      <c r="AH1308" s="44">
        <f>1-COS(RADIANS(TA[[#This Row],[Avg. Target Angle during Fault Time (Radians)]]-TA[[#This Row],[Angle of affected equipment ]]))</f>
        <v>0.11705240714107301</v>
      </c>
      <c r="AI1308" s="35">
        <f>IFERROR(TA[[#This Row],[Breakdown Time]]*TA[[#This Row],[Plant Equivalent Weightage]],"")</f>
        <v>0</v>
      </c>
    </row>
    <row r="1309" spans="1:35">
      <c r="A1309" s="2">
        <f t="shared" si="142"/>
        <v>1306</v>
      </c>
      <c r="B1309" s="156">
        <f t="shared" si="149"/>
        <v>2026</v>
      </c>
      <c r="C1309" s="129">
        <f t="shared" si="150"/>
        <v>2025</v>
      </c>
      <c r="D1309" s="2" t="s">
        <v>155</v>
      </c>
      <c r="E1309" s="2" t="s">
        <v>155</v>
      </c>
      <c r="F1309" s="39">
        <v>45809</v>
      </c>
      <c r="G1309" s="2">
        <f>DAY(EOMONTH(TA[[#This Row],[Month Year]],0))</f>
        <v>30</v>
      </c>
      <c r="H1309" s="21">
        <v>45837</v>
      </c>
      <c r="I1309" s="41">
        <f>IFERROR(VLOOKUP(TA[[#This Row],[Date]],Raw_Data[[Date]:[Sunset Time (POA&lt;20 W/m2)]],3,0),"")</f>
        <v>0.24930555555555556</v>
      </c>
      <c r="J1309" s="41">
        <f>IFERROR(VLOOKUP(TA[[#This Row],[Date]],Raw_Data[[Date]:[Sunset Time (POA&lt;20 W/m2)]],4,0),"")</f>
        <v>0.77638888888888891</v>
      </c>
      <c r="K1309" s="35">
        <f>IFERROR((TA[[#This Row],[Sunset Time (POA&lt;20 W/m2)]]-TA[[#This Row],[Sunrise Time (POA&gt;20 W/m2)]])*24,"")</f>
        <v>12.65</v>
      </c>
      <c r="L1309" s="2" t="s">
        <v>294</v>
      </c>
      <c r="M1309" s="42">
        <f>IFERROR(VLOOKUP(TA[[#This Row],[Affected Equipment]],'Basic Data'!$I$2:$K$40,3,0),"")</f>
        <v>1.7241379310344799E-3</v>
      </c>
      <c r="N1309">
        <v>-28</v>
      </c>
      <c r="O1309" t="s">
        <v>133</v>
      </c>
      <c r="P1309" s="127" t="s">
        <v>316</v>
      </c>
      <c r="Q1309" s="126" t="s">
        <v>316</v>
      </c>
      <c r="R1309">
        <v>117</v>
      </c>
      <c r="S1309" s="2">
        <v>20</v>
      </c>
      <c r="T1309" t="s">
        <v>295</v>
      </c>
      <c r="U1309" t="s">
        <v>300</v>
      </c>
      <c r="V1309" t="s">
        <v>298</v>
      </c>
      <c r="W1309" s="41"/>
      <c r="X1309" s="41"/>
      <c r="Y1309" s="34"/>
      <c r="Z1309" s="34"/>
      <c r="AA1309" s="35">
        <f>IF(TA[[#This Row],[Work Start time on Fault]]="NA","",(TA[[#This Row],[Fault Acknowledgement Time ]]-TA[[#This Row],[Fault Time]])*24)</f>
        <v>0</v>
      </c>
      <c r="AB1309" s="35">
        <f>(TA[[#This Row],[Work Start time on Fault]]-TA[[#This Row],[Fault Time]])*24</f>
        <v>0</v>
      </c>
      <c r="AC1309" s="34">
        <f>(TA[[#This Row],[Work Completion time on fault]]-TA[[#This Row],[Fault Time]])*24</f>
        <v>0</v>
      </c>
      <c r="AD1309" s="35">
        <f>IFERROR((TA[[#This Row],[Work Completion time on fault]]-TA[[#This Row],[Fault Time]])*24,"")</f>
        <v>0</v>
      </c>
      <c r="AE1309" t="s">
        <v>328</v>
      </c>
      <c r="AF1309" t="s">
        <v>256</v>
      </c>
      <c r="AG1309" s="2"/>
      <c r="AH1309" s="44">
        <f>1-COS(RADIANS(TA[[#This Row],[Avg. Target Angle during Fault Time (Radians)]]-TA[[#This Row],[Angle of affected equipment ]]))</f>
        <v>0.11705240714107301</v>
      </c>
      <c r="AI1309" s="35">
        <f>IFERROR(TA[[#This Row],[Breakdown Time]]*TA[[#This Row],[Plant Equivalent Weightage]],"")</f>
        <v>0</v>
      </c>
    </row>
    <row r="1310" spans="1:35">
      <c r="A1310" s="2">
        <f t="shared" si="142"/>
        <v>1307</v>
      </c>
      <c r="B1310" s="156">
        <f t="shared" si="149"/>
        <v>2026</v>
      </c>
      <c r="C1310" s="129">
        <f t="shared" si="150"/>
        <v>2025</v>
      </c>
      <c r="D1310" s="2" t="s">
        <v>155</v>
      </c>
      <c r="E1310" s="2" t="s">
        <v>155</v>
      </c>
      <c r="F1310" s="39">
        <v>45809</v>
      </c>
      <c r="G1310" s="2">
        <f>DAY(EOMONTH(TA[[#This Row],[Month Year]],0))</f>
        <v>30</v>
      </c>
      <c r="H1310" s="21">
        <v>45837</v>
      </c>
      <c r="I1310" s="41">
        <f>IFERROR(VLOOKUP(TA[[#This Row],[Date]],Raw_Data[[Date]:[Sunset Time (POA&lt;20 W/m2)]],3,0),"")</f>
        <v>0.24930555555555556</v>
      </c>
      <c r="J1310" s="41">
        <f>IFERROR(VLOOKUP(TA[[#This Row],[Date]],Raw_Data[[Date]:[Sunset Time (POA&lt;20 W/m2)]],4,0),"")</f>
        <v>0.77638888888888891</v>
      </c>
      <c r="K1310" s="35">
        <f>IFERROR((TA[[#This Row],[Sunset Time (POA&lt;20 W/m2)]]-TA[[#This Row],[Sunrise Time (POA&gt;20 W/m2)]])*24,"")</f>
        <v>12.65</v>
      </c>
      <c r="L1310" s="2" t="s">
        <v>294</v>
      </c>
      <c r="M1310" s="42">
        <f>IFERROR(VLOOKUP(TA[[#This Row],[Affected Equipment]],'Basic Data'!$I$2:$K$40,3,0),"")</f>
        <v>1.7241379310344799E-3</v>
      </c>
      <c r="N1310">
        <v>-28</v>
      </c>
      <c r="O1310" t="s">
        <v>133</v>
      </c>
      <c r="P1310" s="127" t="s">
        <v>316</v>
      </c>
      <c r="Q1310" s="126" t="s">
        <v>316</v>
      </c>
      <c r="R1310">
        <v>118</v>
      </c>
      <c r="S1310" s="2">
        <v>22</v>
      </c>
      <c r="T1310" t="s">
        <v>295</v>
      </c>
      <c r="U1310" t="s">
        <v>300</v>
      </c>
      <c r="V1310" t="s">
        <v>298</v>
      </c>
      <c r="W1310" s="41"/>
      <c r="X1310" s="41"/>
      <c r="Y1310" s="34"/>
      <c r="Z1310" s="34"/>
      <c r="AA1310" s="35">
        <f>IF(TA[[#This Row],[Work Start time on Fault]]="NA","",(TA[[#This Row],[Fault Acknowledgement Time ]]-TA[[#This Row],[Fault Time]])*24)</f>
        <v>0</v>
      </c>
      <c r="AB1310" s="35">
        <f>(TA[[#This Row],[Work Start time on Fault]]-TA[[#This Row],[Fault Time]])*24</f>
        <v>0</v>
      </c>
      <c r="AC1310" s="34">
        <f>(TA[[#This Row],[Work Completion time on fault]]-TA[[#This Row],[Fault Time]])*24</f>
        <v>0</v>
      </c>
      <c r="AD1310" s="35">
        <f>IFERROR((TA[[#This Row],[Work Completion time on fault]]-TA[[#This Row],[Fault Time]])*24,"")</f>
        <v>0</v>
      </c>
      <c r="AE1310" t="s">
        <v>328</v>
      </c>
      <c r="AF1310" t="s">
        <v>256</v>
      </c>
      <c r="AG1310" s="2"/>
      <c r="AH1310" s="44">
        <f>1-COS(RADIANS(TA[[#This Row],[Avg. Target Angle during Fault Time (Radians)]]-TA[[#This Row],[Angle of affected equipment ]]))</f>
        <v>0.11705240714107301</v>
      </c>
      <c r="AI1310" s="35">
        <f>IFERROR(TA[[#This Row],[Breakdown Time]]*TA[[#This Row],[Plant Equivalent Weightage]],"")</f>
        <v>0</v>
      </c>
    </row>
    <row r="1311" spans="1:35">
      <c r="A1311" s="2">
        <f t="shared" si="142"/>
        <v>1308</v>
      </c>
      <c r="B1311" s="156">
        <f t="shared" si="149"/>
        <v>2026</v>
      </c>
      <c r="C1311" s="129">
        <f t="shared" si="150"/>
        <v>2025</v>
      </c>
      <c r="D1311" s="2" t="s">
        <v>155</v>
      </c>
      <c r="E1311" s="2" t="s">
        <v>155</v>
      </c>
      <c r="F1311" s="39">
        <v>45809</v>
      </c>
      <c r="G1311" s="2">
        <f>DAY(EOMONTH(TA[[#This Row],[Month Year]],0))</f>
        <v>30</v>
      </c>
      <c r="H1311" s="21">
        <v>45837</v>
      </c>
      <c r="I1311" s="41">
        <f>IFERROR(VLOOKUP(TA[[#This Row],[Date]],Raw_Data[[Date]:[Sunset Time (POA&lt;20 W/m2)]],3,0),"")</f>
        <v>0.24930555555555556</v>
      </c>
      <c r="J1311" s="41">
        <f>IFERROR(VLOOKUP(TA[[#This Row],[Date]],Raw_Data[[Date]:[Sunset Time (POA&lt;20 W/m2)]],4,0),"")</f>
        <v>0.77638888888888891</v>
      </c>
      <c r="K1311" s="35">
        <f>IFERROR((TA[[#This Row],[Sunset Time (POA&lt;20 W/m2)]]-TA[[#This Row],[Sunrise Time (POA&gt;20 W/m2)]])*24,"")</f>
        <v>12.65</v>
      </c>
      <c r="L1311" s="2" t="s">
        <v>296</v>
      </c>
      <c r="M1311" s="42">
        <f>IFERROR(VLOOKUP(TA[[#This Row],[Affected Equipment]],'Basic Data'!$I$2:$K$40,3,0),"")</f>
        <v>8.6206896551724102E-3</v>
      </c>
      <c r="N1311">
        <v>-28</v>
      </c>
      <c r="O1311" t="s">
        <v>135</v>
      </c>
      <c r="P1311" s="22" t="s">
        <v>323</v>
      </c>
      <c r="Q1311" s="2" t="s">
        <v>329</v>
      </c>
      <c r="R1311">
        <v>45</v>
      </c>
      <c r="S1311" s="2">
        <v>8</v>
      </c>
      <c r="T1311" t="s">
        <v>297</v>
      </c>
      <c r="U1311" t="s">
        <v>300</v>
      </c>
      <c r="V1311" t="s">
        <v>301</v>
      </c>
      <c r="W1311" s="41"/>
      <c r="X1311" s="41"/>
      <c r="Y1311" s="34"/>
      <c r="Z1311" s="34"/>
      <c r="AA1311" s="35">
        <f>IF(TA[[#This Row],[Work Start time on Fault]]="NA","",(TA[[#This Row],[Fault Acknowledgement Time ]]-TA[[#This Row],[Fault Time]])*24)</f>
        <v>0</v>
      </c>
      <c r="AB1311" s="35">
        <f>(TA[[#This Row],[Work Start time on Fault]]-TA[[#This Row],[Fault Time]])*24</f>
        <v>0</v>
      </c>
      <c r="AC1311" s="34">
        <f>(TA[[#This Row],[Work Completion time on fault]]-TA[[#This Row],[Fault Time]])*24</f>
        <v>0</v>
      </c>
      <c r="AD1311" s="35">
        <f>IFERROR((TA[[#This Row],[Work Completion time on fault]]-TA[[#This Row],[Fault Time]])*24,"")</f>
        <v>0</v>
      </c>
      <c r="AE1311" t="s">
        <v>328</v>
      </c>
      <c r="AF1311" t="s">
        <v>256</v>
      </c>
      <c r="AG1311" s="2"/>
      <c r="AH1311" s="44">
        <f>1-COS(RADIANS(TA[[#This Row],[Avg. Target Angle during Fault Time (Radians)]]-TA[[#This Row],[Angle of affected equipment ]]))</f>
        <v>0.11705240714107301</v>
      </c>
      <c r="AI1311" s="35">
        <f>IFERROR(TA[[#This Row],[Breakdown Time]]*TA[[#This Row],[Plant Equivalent Weightage]],"")</f>
        <v>0</v>
      </c>
    </row>
    <row r="1312" spans="1:35">
      <c r="A1312" s="2">
        <f t="shared" si="142"/>
        <v>1309</v>
      </c>
      <c r="B1312" s="156">
        <f t="shared" si="149"/>
        <v>2026</v>
      </c>
      <c r="C1312" s="129">
        <f t="shared" si="150"/>
        <v>2025</v>
      </c>
      <c r="D1312" s="2" t="s">
        <v>155</v>
      </c>
      <c r="E1312" s="2" t="s">
        <v>155</v>
      </c>
      <c r="F1312" s="39">
        <v>45809</v>
      </c>
      <c r="G1312" s="2">
        <f>DAY(EOMONTH(TA[[#This Row],[Month Year]],0))</f>
        <v>30</v>
      </c>
      <c r="H1312" s="21">
        <v>45837</v>
      </c>
      <c r="I1312" s="41">
        <f>IFERROR(VLOOKUP(TA[[#This Row],[Date]],Raw_Data[[Date]:[Sunset Time (POA&lt;20 W/m2)]],3,0),"")</f>
        <v>0.24930555555555556</v>
      </c>
      <c r="J1312" s="41">
        <f>IFERROR(VLOOKUP(TA[[#This Row],[Date]],Raw_Data[[Date]:[Sunset Time (POA&lt;20 W/m2)]],4,0),"")</f>
        <v>0.77638888888888891</v>
      </c>
      <c r="K1312" s="35">
        <f>IFERROR((TA[[#This Row],[Sunset Time (POA&lt;20 W/m2)]]-TA[[#This Row],[Sunrise Time (POA&gt;20 W/m2)]])*24,"")</f>
        <v>12.65</v>
      </c>
      <c r="L1312" s="2" t="s">
        <v>296</v>
      </c>
      <c r="M1312" s="42">
        <f>IFERROR(VLOOKUP(TA[[#This Row],[Affected Equipment]],'Basic Data'!$I$2:$K$40,3,0),"")</f>
        <v>8.6206896551724102E-3</v>
      </c>
      <c r="N1312">
        <v>-28</v>
      </c>
      <c r="O1312" t="s">
        <v>135</v>
      </c>
      <c r="P1312" s="22" t="s">
        <v>323</v>
      </c>
      <c r="Q1312" s="2" t="s">
        <v>329</v>
      </c>
      <c r="R1312">
        <v>47</v>
      </c>
      <c r="S1312" s="2">
        <v>18</v>
      </c>
      <c r="T1312" t="s">
        <v>297</v>
      </c>
      <c r="U1312" t="s">
        <v>300</v>
      </c>
      <c r="V1312" t="s">
        <v>301</v>
      </c>
      <c r="W1312" s="41"/>
      <c r="X1312" s="41"/>
      <c r="Y1312" s="34"/>
      <c r="Z1312" s="34"/>
      <c r="AA1312" s="35">
        <f>IF(TA[[#This Row],[Work Start time on Fault]]="NA","",(TA[[#This Row],[Fault Acknowledgement Time ]]-TA[[#This Row],[Fault Time]])*24)</f>
        <v>0</v>
      </c>
      <c r="AB1312" s="35">
        <f>(TA[[#This Row],[Work Start time on Fault]]-TA[[#This Row],[Fault Time]])*24</f>
        <v>0</v>
      </c>
      <c r="AC1312" s="34">
        <f>(TA[[#This Row],[Work Completion time on fault]]-TA[[#This Row],[Fault Time]])*24</f>
        <v>0</v>
      </c>
      <c r="AD1312" s="35">
        <f>IFERROR((TA[[#This Row],[Work Completion time on fault]]-TA[[#This Row],[Fault Time]])*24,"")</f>
        <v>0</v>
      </c>
      <c r="AE1312" t="s">
        <v>328</v>
      </c>
      <c r="AF1312" t="s">
        <v>256</v>
      </c>
      <c r="AG1312" s="2"/>
      <c r="AH1312" s="44">
        <f>1-COS(RADIANS(TA[[#This Row],[Avg. Target Angle during Fault Time (Radians)]]-TA[[#This Row],[Angle of affected equipment ]]))</f>
        <v>0.11705240714107301</v>
      </c>
      <c r="AI1312" s="35">
        <f>IFERROR(TA[[#This Row],[Breakdown Time]]*TA[[#This Row],[Plant Equivalent Weightage]],"")</f>
        <v>0</v>
      </c>
    </row>
    <row r="1313" spans="1:35">
      <c r="A1313" s="2">
        <f t="shared" si="142"/>
        <v>1310</v>
      </c>
      <c r="B1313" s="156">
        <f t="shared" si="149"/>
        <v>2026</v>
      </c>
      <c r="C1313" s="129">
        <f t="shared" si="150"/>
        <v>2025</v>
      </c>
      <c r="D1313" s="2" t="s">
        <v>155</v>
      </c>
      <c r="E1313" s="2" t="s">
        <v>155</v>
      </c>
      <c r="F1313" s="39">
        <v>45809</v>
      </c>
      <c r="G1313" s="2">
        <f>DAY(EOMONTH(TA[[#This Row],[Month Year]],0))</f>
        <v>30</v>
      </c>
      <c r="H1313" s="21">
        <v>45837</v>
      </c>
      <c r="I1313" s="41">
        <f>IFERROR(VLOOKUP(TA[[#This Row],[Date]],Raw_Data[[Date]:[Sunset Time (POA&lt;20 W/m2)]],3,0),"")</f>
        <v>0.24930555555555556</v>
      </c>
      <c r="J1313" s="41">
        <f>IFERROR(VLOOKUP(TA[[#This Row],[Date]],Raw_Data[[Date]:[Sunset Time (POA&lt;20 W/m2)]],4,0),"")</f>
        <v>0.77638888888888891</v>
      </c>
      <c r="K1313" s="35">
        <f>IFERROR((TA[[#This Row],[Sunset Time (POA&lt;20 W/m2)]]-TA[[#This Row],[Sunrise Time (POA&gt;20 W/m2)]])*24,"")</f>
        <v>12.65</v>
      </c>
      <c r="L1313" s="2" t="s">
        <v>296</v>
      </c>
      <c r="M1313" s="42">
        <f>IFERROR(VLOOKUP(TA[[#This Row],[Affected Equipment]],'Basic Data'!$I$2:$K$40,3,0),"")</f>
        <v>8.6206896551724102E-3</v>
      </c>
      <c r="N1313">
        <v>-28</v>
      </c>
      <c r="O1313" t="s">
        <v>134</v>
      </c>
      <c r="P1313" s="22" t="s">
        <v>330</v>
      </c>
      <c r="Q1313" s="2" t="s">
        <v>323</v>
      </c>
      <c r="R1313">
        <v>30</v>
      </c>
      <c r="S1313" s="2">
        <v>57</v>
      </c>
      <c r="T1313" t="s">
        <v>297</v>
      </c>
      <c r="U1313" t="s">
        <v>300</v>
      </c>
      <c r="V1313" t="s">
        <v>301</v>
      </c>
      <c r="W1313" s="41"/>
      <c r="X1313" s="41"/>
      <c r="Y1313" s="34"/>
      <c r="Z1313" s="34"/>
      <c r="AA1313" s="35">
        <f>IF(TA[[#This Row],[Work Start time on Fault]]="NA","",(TA[[#This Row],[Fault Acknowledgement Time ]]-TA[[#This Row],[Fault Time]])*24)</f>
        <v>0</v>
      </c>
      <c r="AB1313" s="35">
        <f>(TA[[#This Row],[Work Start time on Fault]]-TA[[#This Row],[Fault Time]])*24</f>
        <v>0</v>
      </c>
      <c r="AC1313" s="34">
        <f>(TA[[#This Row],[Work Completion time on fault]]-TA[[#This Row],[Fault Time]])*24</f>
        <v>0</v>
      </c>
      <c r="AD1313" s="35">
        <f>IFERROR((TA[[#This Row],[Work Completion time on fault]]-TA[[#This Row],[Fault Time]])*24,"")</f>
        <v>0</v>
      </c>
      <c r="AE1313" t="s">
        <v>328</v>
      </c>
      <c r="AF1313" t="s">
        <v>256</v>
      </c>
      <c r="AG1313" s="2"/>
      <c r="AH1313" s="44">
        <f>1-COS(RADIANS(TA[[#This Row],[Avg. Target Angle during Fault Time (Radians)]]-TA[[#This Row],[Angle of affected equipment ]]))</f>
        <v>0.11705240714107301</v>
      </c>
      <c r="AI1313" s="35">
        <f>IFERROR(TA[[#This Row],[Breakdown Time]]*TA[[#This Row],[Plant Equivalent Weightage]],"")</f>
        <v>0</v>
      </c>
    </row>
    <row r="1314" spans="1:35">
      <c r="A1314" s="2">
        <f t="shared" si="142"/>
        <v>1311</v>
      </c>
      <c r="B1314" s="156">
        <f t="shared" si="149"/>
        <v>2026</v>
      </c>
      <c r="C1314" s="129">
        <f t="shared" si="150"/>
        <v>2025</v>
      </c>
      <c r="D1314" s="2" t="s">
        <v>155</v>
      </c>
      <c r="E1314" s="2" t="s">
        <v>155</v>
      </c>
      <c r="F1314" s="39">
        <v>45809</v>
      </c>
      <c r="G1314" s="2">
        <f>DAY(EOMONTH(TA[[#This Row],[Month Year]],0))</f>
        <v>30</v>
      </c>
      <c r="H1314" s="21">
        <v>45837</v>
      </c>
      <c r="I1314" s="41">
        <f>IFERROR(VLOOKUP(TA[[#This Row],[Date]],Raw_Data[[Date]:[Sunset Time (POA&lt;20 W/m2)]],3,0),"")</f>
        <v>0.24930555555555556</v>
      </c>
      <c r="J1314" s="41">
        <f>IFERROR(VLOOKUP(TA[[#This Row],[Date]],Raw_Data[[Date]:[Sunset Time (POA&lt;20 W/m2)]],4,0),"")</f>
        <v>0.77638888888888891</v>
      </c>
      <c r="K1314" s="35">
        <f>IFERROR((TA[[#This Row],[Sunset Time (POA&lt;20 W/m2)]]-TA[[#This Row],[Sunrise Time (POA&gt;20 W/m2)]])*24,"")</f>
        <v>12.65</v>
      </c>
      <c r="L1314" s="2" t="s">
        <v>296</v>
      </c>
      <c r="M1314" s="42">
        <f>IFERROR(VLOOKUP(TA[[#This Row],[Affected Equipment]],'Basic Data'!$I$2:$K$40,3,0),"")</f>
        <v>8.6206896551724102E-3</v>
      </c>
      <c r="N1314">
        <v>-28</v>
      </c>
      <c r="O1314" t="s">
        <v>134</v>
      </c>
      <c r="P1314" s="22" t="s">
        <v>330</v>
      </c>
      <c r="Q1314" s="2" t="s">
        <v>323</v>
      </c>
      <c r="R1314">
        <v>31</v>
      </c>
      <c r="S1314" s="2">
        <v>61</v>
      </c>
      <c r="T1314" t="s">
        <v>297</v>
      </c>
      <c r="U1314" t="s">
        <v>300</v>
      </c>
      <c r="V1314" t="s">
        <v>301</v>
      </c>
      <c r="W1314" s="41"/>
      <c r="X1314" s="41"/>
      <c r="Y1314" s="34"/>
      <c r="Z1314" s="34"/>
      <c r="AA1314" s="35">
        <f>IF(TA[[#This Row],[Work Start time on Fault]]="NA","",(TA[[#This Row],[Fault Acknowledgement Time ]]-TA[[#This Row],[Fault Time]])*24)</f>
        <v>0</v>
      </c>
      <c r="AB1314" s="35">
        <f>(TA[[#This Row],[Work Start time on Fault]]-TA[[#This Row],[Fault Time]])*24</f>
        <v>0</v>
      </c>
      <c r="AC1314" s="34">
        <f>(TA[[#This Row],[Work Completion time on fault]]-TA[[#This Row],[Fault Time]])*24</f>
        <v>0</v>
      </c>
      <c r="AD1314" s="35">
        <f>IFERROR((TA[[#This Row],[Work Completion time on fault]]-TA[[#This Row],[Fault Time]])*24,"")</f>
        <v>0</v>
      </c>
      <c r="AE1314" t="s">
        <v>328</v>
      </c>
      <c r="AF1314" t="s">
        <v>256</v>
      </c>
      <c r="AG1314" s="2"/>
      <c r="AH1314" s="44">
        <f>1-COS(RADIANS(TA[[#This Row],[Avg. Target Angle during Fault Time (Radians)]]-TA[[#This Row],[Angle of affected equipment ]]))</f>
        <v>0.11705240714107301</v>
      </c>
      <c r="AI1314" s="35">
        <f>IFERROR(TA[[#This Row],[Breakdown Time]]*TA[[#This Row],[Plant Equivalent Weightage]],"")</f>
        <v>0</v>
      </c>
    </row>
    <row r="1315" spans="1:35">
      <c r="A1315" s="2">
        <f t="shared" si="142"/>
        <v>1312</v>
      </c>
      <c r="B1315" s="156">
        <f t="shared" si="149"/>
        <v>2026</v>
      </c>
      <c r="C1315" s="129">
        <f t="shared" si="150"/>
        <v>2025</v>
      </c>
      <c r="D1315" s="2" t="s">
        <v>155</v>
      </c>
      <c r="E1315" s="2" t="s">
        <v>155</v>
      </c>
      <c r="F1315" s="39">
        <v>45809</v>
      </c>
      <c r="G1315" s="2">
        <f>DAY(EOMONTH(TA[[#This Row],[Month Year]],0))</f>
        <v>30</v>
      </c>
      <c r="H1315" s="21">
        <v>45837</v>
      </c>
      <c r="I1315" s="41">
        <f>IFERROR(VLOOKUP(TA[[#This Row],[Date]],Raw_Data[[Date]:[Sunset Time (POA&lt;20 W/m2)]],3,0),"")</f>
        <v>0.24930555555555556</v>
      </c>
      <c r="J1315" s="41">
        <f>IFERROR(VLOOKUP(TA[[#This Row],[Date]],Raw_Data[[Date]:[Sunset Time (POA&lt;20 W/m2)]],4,0),"")</f>
        <v>0.77638888888888891</v>
      </c>
      <c r="K1315" s="35">
        <f>IFERROR((TA[[#This Row],[Sunset Time (POA&lt;20 W/m2)]]-TA[[#This Row],[Sunrise Time (POA&gt;20 W/m2)]])*24,"")</f>
        <v>12.65</v>
      </c>
      <c r="L1315" s="2" t="s">
        <v>312</v>
      </c>
      <c r="M1315" s="42">
        <f>IFERROR(VLOOKUP(TA[[#This Row],[Affected Equipment]],'Basic Data'!$I$2:$K$40,3,0),"")</f>
        <v>5.74712643678161E-3</v>
      </c>
      <c r="N1315">
        <v>-28</v>
      </c>
      <c r="O1315" t="s">
        <v>133</v>
      </c>
      <c r="P1315" s="22" t="s">
        <v>330</v>
      </c>
      <c r="Q1315" s="2" t="s">
        <v>323</v>
      </c>
      <c r="R1315">
        <v>26</v>
      </c>
      <c r="S1315" s="2">
        <v>37</v>
      </c>
      <c r="T1315" t="s">
        <v>297</v>
      </c>
      <c r="U1315" t="s">
        <v>300</v>
      </c>
      <c r="V1315" t="s">
        <v>301</v>
      </c>
      <c r="W1315" s="41"/>
      <c r="X1315" s="41"/>
      <c r="Y1315" s="34"/>
      <c r="Z1315" s="34"/>
      <c r="AA1315" s="35">
        <f>IF(TA[[#This Row],[Work Start time on Fault]]="NA","",(TA[[#This Row],[Fault Acknowledgement Time ]]-TA[[#This Row],[Fault Time]])*24)</f>
        <v>0</v>
      </c>
      <c r="AB1315" s="35">
        <f>(TA[[#This Row],[Work Start time on Fault]]-TA[[#This Row],[Fault Time]])*24</f>
        <v>0</v>
      </c>
      <c r="AC1315" s="34">
        <f>(TA[[#This Row],[Work Completion time on fault]]-TA[[#This Row],[Fault Time]])*24</f>
        <v>0</v>
      </c>
      <c r="AD1315" s="35">
        <f>IFERROR((TA[[#This Row],[Work Completion time on fault]]-TA[[#This Row],[Fault Time]])*24,"")</f>
        <v>0</v>
      </c>
      <c r="AE1315" t="s">
        <v>328</v>
      </c>
      <c r="AF1315" t="s">
        <v>256</v>
      </c>
      <c r="AG1315" s="2"/>
      <c r="AH1315" s="44">
        <f>1-COS(RADIANS(TA[[#This Row],[Avg. Target Angle during Fault Time (Radians)]]-TA[[#This Row],[Angle of affected equipment ]]))</f>
        <v>0.11705240714107301</v>
      </c>
      <c r="AI1315" s="35">
        <f>IFERROR(TA[[#This Row],[Breakdown Time]]*TA[[#This Row],[Plant Equivalent Weightage]],"")</f>
        <v>0</v>
      </c>
    </row>
    <row r="1316" spans="1:35">
      <c r="A1316" s="2">
        <f t="shared" si="142"/>
        <v>1313</v>
      </c>
      <c r="B1316" s="156">
        <f t="shared" si="149"/>
        <v>2026</v>
      </c>
      <c r="C1316" s="129">
        <f t="shared" si="150"/>
        <v>2025</v>
      </c>
      <c r="D1316" s="2" t="s">
        <v>155</v>
      </c>
      <c r="E1316" s="2" t="s">
        <v>155</v>
      </c>
      <c r="F1316" s="39">
        <v>45809</v>
      </c>
      <c r="G1316" s="2">
        <f>DAY(EOMONTH(TA[[#This Row],[Month Year]],0))</f>
        <v>30</v>
      </c>
      <c r="H1316" s="21">
        <v>45837</v>
      </c>
      <c r="I1316" s="41">
        <f>IFERROR(VLOOKUP(TA[[#This Row],[Date]],Raw_Data[[Date]:[Sunset Time (POA&lt;20 W/m2)]],3,0),"")</f>
        <v>0.24930555555555556</v>
      </c>
      <c r="J1316" s="41">
        <f>IFERROR(VLOOKUP(TA[[#This Row],[Date]],Raw_Data[[Date]:[Sunset Time (POA&lt;20 W/m2)]],4,0),"")</f>
        <v>0.77638888888888891</v>
      </c>
      <c r="K1316" s="35">
        <f>IFERROR((TA[[#This Row],[Sunset Time (POA&lt;20 W/m2)]]-TA[[#This Row],[Sunrise Time (POA&gt;20 W/m2)]])*24,"")</f>
        <v>12.65</v>
      </c>
      <c r="L1316" s="2" t="s">
        <v>312</v>
      </c>
      <c r="M1316" s="42">
        <f>IFERROR(VLOOKUP(TA[[#This Row],[Affected Equipment]],'Basic Data'!$I$2:$K$40,3,0),"")</f>
        <v>5.74712643678161E-3</v>
      </c>
      <c r="N1316">
        <v>-28</v>
      </c>
      <c r="O1316" t="s">
        <v>133</v>
      </c>
      <c r="P1316" s="22" t="s">
        <v>330</v>
      </c>
      <c r="Q1316" s="2" t="s">
        <v>323</v>
      </c>
      <c r="R1316">
        <v>27</v>
      </c>
      <c r="S1316" s="2">
        <v>42</v>
      </c>
      <c r="T1316" t="s">
        <v>297</v>
      </c>
      <c r="U1316" t="s">
        <v>300</v>
      </c>
      <c r="V1316" t="s">
        <v>301</v>
      </c>
      <c r="W1316" s="41">
        <f>IFERROR(VLOOKUP(TA[[#This Row],[Date]],Raw_Data[[Date]:[Sunset Time (POA&lt;20 W/m2)]],3,0),"")</f>
        <v>0.24930555555555556</v>
      </c>
      <c r="X1316" s="41">
        <f>IFERROR(VLOOKUP(TA[[#This Row],[Date]],Raw_Data[[Date]:[Sunset Time (POA&lt;20 W/m2)]],3,0),"")</f>
        <v>0.24930555555555556</v>
      </c>
      <c r="Y1316" s="34"/>
      <c r="Z1316" s="34">
        <v>0.76041666666666663</v>
      </c>
      <c r="AA1316" s="35">
        <f>IF(TA[[#This Row],[Work Start time on Fault]]="NA","",(TA[[#This Row],[Fault Acknowledgement Time ]]-TA[[#This Row],[Fault Time]])*24)</f>
        <v>0</v>
      </c>
      <c r="AB1316" s="35">
        <f>(TA[[#This Row],[Work Start time on Fault]]-TA[[#This Row],[Fault Time]])*24</f>
        <v>-5.9833333333333334</v>
      </c>
      <c r="AC1316" s="34">
        <f>(TA[[#This Row],[Work Completion time on fault]]-TA[[#This Row],[Fault Time]])*24</f>
        <v>12.266666666666666</v>
      </c>
      <c r="AD1316" s="35">
        <f>IFERROR((TA[[#This Row],[Work Completion time on fault]]-TA[[#This Row],[Fault Time]])*24,"")</f>
        <v>12.266666666666666</v>
      </c>
      <c r="AE1316" t="s">
        <v>309</v>
      </c>
      <c r="AF1316" t="s">
        <v>256</v>
      </c>
      <c r="AG1316" s="2"/>
      <c r="AH1316" s="44">
        <f>1-COS(RADIANS(TA[[#This Row],[Avg. Target Angle during Fault Time (Radians)]]-TA[[#This Row],[Angle of affected equipment ]]))</f>
        <v>0.11705240714107301</v>
      </c>
      <c r="AI1316" s="35">
        <f>IFERROR(TA[[#This Row],[Breakdown Time]]*TA[[#This Row],[Plant Equivalent Weightage]],"")</f>
        <v>7.0498084291187743E-2</v>
      </c>
    </row>
    <row r="1317" spans="1:35">
      <c r="A1317" s="2">
        <f t="shared" ref="A1317:A1382" si="151">A1316+1</f>
        <v>1314</v>
      </c>
      <c r="B1317" s="156">
        <f t="shared" ref="B1317:B1329" si="152">YEAR(H1317)+IF(MONTH(H1317)&gt;=4,1,0)</f>
        <v>2026</v>
      </c>
      <c r="C1317" s="129">
        <f t="shared" ref="C1317:C1329" si="153">YEAR(H1317)</f>
        <v>2025</v>
      </c>
      <c r="D1317" s="2" t="s">
        <v>155</v>
      </c>
      <c r="E1317" s="2" t="s">
        <v>155</v>
      </c>
      <c r="F1317" s="39">
        <v>45809</v>
      </c>
      <c r="G1317" s="2">
        <f>DAY(EOMONTH(TA[[#This Row],[Month Year]],0))</f>
        <v>30</v>
      </c>
      <c r="H1317" s="21">
        <v>45838</v>
      </c>
      <c r="I1317" s="41">
        <f>IFERROR(VLOOKUP(TA[[#This Row],[Date]],Raw_Data[[Date]:[Sunset Time (POA&lt;20 W/m2)]],3,0),"")</f>
        <v>0.26111111111111113</v>
      </c>
      <c r="J1317" s="41">
        <f>IFERROR(VLOOKUP(TA[[#This Row],[Date]],Raw_Data[[Date]:[Sunset Time (POA&lt;20 W/m2)]],4,0),"")</f>
        <v>0.74444444444444446</v>
      </c>
      <c r="K1317" s="35">
        <f>IFERROR((TA[[#This Row],[Sunset Time (POA&lt;20 W/m2)]]-TA[[#This Row],[Sunrise Time (POA&gt;20 W/m2)]])*24,"")</f>
        <v>11.6</v>
      </c>
      <c r="L1317" s="2" t="s">
        <v>294</v>
      </c>
      <c r="M1317" s="42">
        <f>IFERROR(VLOOKUP(TA[[#This Row],[Affected Equipment]],'Basic Data'!$I$2:$K$40,3,0),"")</f>
        <v>1.7241379310344799E-3</v>
      </c>
      <c r="N1317">
        <v>-28</v>
      </c>
      <c r="O1317" t="s">
        <v>135</v>
      </c>
      <c r="P1317" s="127" t="s">
        <v>318</v>
      </c>
      <c r="Q1317" s="126" t="s">
        <v>318</v>
      </c>
      <c r="R1317">
        <v>131</v>
      </c>
      <c r="S1317" s="2">
        <v>38</v>
      </c>
      <c r="T1317" t="s">
        <v>295</v>
      </c>
      <c r="U1317" t="s">
        <v>300</v>
      </c>
      <c r="V1317" t="s">
        <v>298</v>
      </c>
      <c r="W1317" s="41"/>
      <c r="X1317" s="41"/>
      <c r="Y1317" s="34"/>
      <c r="Z1317" s="34"/>
      <c r="AA1317" s="35">
        <f>IF(TA[[#This Row],[Work Start time on Fault]]="NA","",(TA[[#This Row],[Fault Acknowledgement Time ]]-TA[[#This Row],[Fault Time]])*24)</f>
        <v>0</v>
      </c>
      <c r="AB1317" s="35">
        <f>(TA[[#This Row],[Work Start time on Fault]]-TA[[#This Row],[Fault Time]])*24</f>
        <v>0</v>
      </c>
      <c r="AC1317" s="34">
        <f>(TA[[#This Row],[Work Completion time on fault]]-TA[[#This Row],[Fault Time]])*24</f>
        <v>0</v>
      </c>
      <c r="AD1317" s="35">
        <f>IFERROR((TA[[#This Row],[Work Completion time on fault]]-TA[[#This Row],[Fault Time]])*24,"")</f>
        <v>0</v>
      </c>
      <c r="AE1317" t="s">
        <v>328</v>
      </c>
      <c r="AF1317" t="s">
        <v>256</v>
      </c>
      <c r="AG1317" s="2"/>
      <c r="AH1317" s="44">
        <f>1-COS(RADIANS(TA[[#This Row],[Avg. Target Angle during Fault Time (Radians)]]-TA[[#This Row],[Angle of affected equipment ]]))</f>
        <v>0.11705240714107301</v>
      </c>
      <c r="AI1317" s="35">
        <f>IFERROR(TA[[#This Row],[Breakdown Time]]*TA[[#This Row],[Plant Equivalent Weightage]],"")</f>
        <v>0</v>
      </c>
    </row>
    <row r="1318" spans="1:35">
      <c r="A1318" s="2">
        <f t="shared" si="151"/>
        <v>1315</v>
      </c>
      <c r="B1318" s="156">
        <f t="shared" si="152"/>
        <v>2026</v>
      </c>
      <c r="C1318" s="129">
        <f t="shared" si="153"/>
        <v>2025</v>
      </c>
      <c r="D1318" s="2" t="s">
        <v>155</v>
      </c>
      <c r="E1318" s="2" t="s">
        <v>155</v>
      </c>
      <c r="F1318" s="39">
        <v>45809</v>
      </c>
      <c r="G1318" s="2">
        <f>DAY(EOMONTH(TA[[#This Row],[Month Year]],0))</f>
        <v>30</v>
      </c>
      <c r="H1318" s="21">
        <v>45838</v>
      </c>
      <c r="I1318" s="41">
        <f>IFERROR(VLOOKUP(TA[[#This Row],[Date]],Raw_Data[[Date]:[Sunset Time (POA&lt;20 W/m2)]],3,0),"")</f>
        <v>0.26111111111111113</v>
      </c>
      <c r="J1318" s="41">
        <f>IFERROR(VLOOKUP(TA[[#This Row],[Date]],Raw_Data[[Date]:[Sunset Time (POA&lt;20 W/m2)]],4,0),"")</f>
        <v>0.74444444444444446</v>
      </c>
      <c r="K1318" s="35">
        <f>IFERROR((TA[[#This Row],[Sunset Time (POA&lt;20 W/m2)]]-TA[[#This Row],[Sunrise Time (POA&gt;20 W/m2)]])*24,"")</f>
        <v>11.6</v>
      </c>
      <c r="L1318" s="2" t="s">
        <v>294</v>
      </c>
      <c r="M1318" s="42">
        <f>IFERROR(VLOOKUP(TA[[#This Row],[Affected Equipment]],'Basic Data'!$I$2:$K$40,3,0),"")</f>
        <v>1.7241379310344799E-3</v>
      </c>
      <c r="N1318">
        <v>-28</v>
      </c>
      <c r="O1318" t="s">
        <v>135</v>
      </c>
      <c r="P1318" s="127" t="s">
        <v>318</v>
      </c>
      <c r="Q1318" s="126" t="s">
        <v>318</v>
      </c>
      <c r="R1318">
        <v>131</v>
      </c>
      <c r="S1318" s="2">
        <v>39</v>
      </c>
      <c r="T1318" t="s">
        <v>295</v>
      </c>
      <c r="U1318" t="s">
        <v>300</v>
      </c>
      <c r="V1318" t="s">
        <v>298</v>
      </c>
      <c r="W1318" s="41"/>
      <c r="X1318" s="41"/>
      <c r="Y1318" s="34"/>
      <c r="Z1318" s="34"/>
      <c r="AA1318" s="35">
        <f>IF(TA[[#This Row],[Work Start time on Fault]]="NA","",(TA[[#This Row],[Fault Acknowledgement Time ]]-TA[[#This Row],[Fault Time]])*24)</f>
        <v>0</v>
      </c>
      <c r="AB1318" s="35">
        <f>(TA[[#This Row],[Work Start time on Fault]]-TA[[#This Row],[Fault Time]])*24</f>
        <v>0</v>
      </c>
      <c r="AC1318" s="34">
        <f>(TA[[#This Row],[Work Completion time on fault]]-TA[[#This Row],[Fault Time]])*24</f>
        <v>0</v>
      </c>
      <c r="AD1318" s="35">
        <f>IFERROR((TA[[#This Row],[Work Completion time on fault]]-TA[[#This Row],[Fault Time]])*24,"")</f>
        <v>0</v>
      </c>
      <c r="AE1318" t="s">
        <v>328</v>
      </c>
      <c r="AF1318" t="s">
        <v>256</v>
      </c>
      <c r="AG1318" s="2"/>
      <c r="AH1318" s="44">
        <f>1-COS(RADIANS(TA[[#This Row],[Avg. Target Angle during Fault Time (Radians)]]-TA[[#This Row],[Angle of affected equipment ]]))</f>
        <v>0.11705240714107301</v>
      </c>
      <c r="AI1318" s="35">
        <f>IFERROR(TA[[#This Row],[Breakdown Time]]*TA[[#This Row],[Plant Equivalent Weightage]],"")</f>
        <v>0</v>
      </c>
    </row>
    <row r="1319" spans="1:35">
      <c r="A1319" s="2">
        <f t="shared" si="151"/>
        <v>1316</v>
      </c>
      <c r="B1319" s="156">
        <f t="shared" si="152"/>
        <v>2026</v>
      </c>
      <c r="C1319" s="129">
        <f t="shared" si="153"/>
        <v>2025</v>
      </c>
      <c r="D1319" s="2" t="s">
        <v>155</v>
      </c>
      <c r="E1319" s="2" t="s">
        <v>155</v>
      </c>
      <c r="F1319" s="39">
        <v>45809</v>
      </c>
      <c r="G1319" s="2">
        <f>DAY(EOMONTH(TA[[#This Row],[Month Year]],0))</f>
        <v>30</v>
      </c>
      <c r="H1319" s="21">
        <v>45838</v>
      </c>
      <c r="I1319" s="41">
        <f>IFERROR(VLOOKUP(TA[[#This Row],[Date]],Raw_Data[[Date]:[Sunset Time (POA&lt;20 W/m2)]],3,0),"")</f>
        <v>0.26111111111111113</v>
      </c>
      <c r="J1319" s="41">
        <f>IFERROR(VLOOKUP(TA[[#This Row],[Date]],Raw_Data[[Date]:[Sunset Time (POA&lt;20 W/m2)]],4,0),"")</f>
        <v>0.74444444444444446</v>
      </c>
      <c r="K1319" s="35">
        <f>IFERROR((TA[[#This Row],[Sunset Time (POA&lt;20 W/m2)]]-TA[[#This Row],[Sunrise Time (POA&gt;20 W/m2)]])*24,"")</f>
        <v>11.6</v>
      </c>
      <c r="L1319" s="2" t="s">
        <v>296</v>
      </c>
      <c r="M1319" s="42">
        <f>IFERROR(VLOOKUP(TA[[#This Row],[Affected Equipment]],'Basic Data'!$I$2:$K$40,3,0),"")</f>
        <v>8.6206896551724102E-3</v>
      </c>
      <c r="N1319">
        <v>-28</v>
      </c>
      <c r="O1319" t="s">
        <v>135</v>
      </c>
      <c r="P1319" s="127" t="s">
        <v>318</v>
      </c>
      <c r="Q1319" s="2" t="s">
        <v>321</v>
      </c>
      <c r="R1319">
        <v>133</v>
      </c>
      <c r="S1319" s="2">
        <v>26</v>
      </c>
      <c r="T1319" t="s">
        <v>297</v>
      </c>
      <c r="U1319" t="s">
        <v>300</v>
      </c>
      <c r="V1319" t="s">
        <v>314</v>
      </c>
      <c r="W1319" s="41">
        <f>IFERROR(VLOOKUP(TA[[#This Row],[Date]],Raw_Data[[Date]:[Sunset Time (POA&lt;20 W/m2)]],3,0),"")</f>
        <v>0.26111111111111113</v>
      </c>
      <c r="X1319" s="41">
        <f>IFERROR(VLOOKUP(TA[[#This Row],[Date]],Raw_Data[[Date]:[Sunset Time (POA&lt;20 W/m2)]],3,0),"")</f>
        <v>0.26111111111111113</v>
      </c>
      <c r="Y1319" s="34"/>
      <c r="Z1319" s="34">
        <v>0.76041666666666663</v>
      </c>
      <c r="AA1319" s="35">
        <f>IF(TA[[#This Row],[Work Start time on Fault]]="NA","",(TA[[#This Row],[Fault Acknowledgement Time ]]-TA[[#This Row],[Fault Time]])*24)</f>
        <v>0</v>
      </c>
      <c r="AB1319" s="35">
        <f>(TA[[#This Row],[Work Start time on Fault]]-TA[[#This Row],[Fault Time]])*24</f>
        <v>-6.2666666666666675</v>
      </c>
      <c r="AC1319" s="34">
        <f>(TA[[#This Row],[Work Completion time on fault]]-TA[[#This Row],[Fault Time]])*24</f>
        <v>11.983333333333333</v>
      </c>
      <c r="AD1319" s="35">
        <f>IFERROR((TA[[#This Row],[Work Completion time on fault]]-TA[[#This Row],[Fault Time]])*24,"")</f>
        <v>11.983333333333333</v>
      </c>
      <c r="AE1319" t="s">
        <v>328</v>
      </c>
      <c r="AF1319" t="s">
        <v>256</v>
      </c>
      <c r="AG1319" s="2"/>
      <c r="AH1319" s="44">
        <f>1-COS(RADIANS(TA[[#This Row],[Avg. Target Angle during Fault Time (Radians)]]-TA[[#This Row],[Angle of affected equipment ]]))</f>
        <v>0.11705240714107301</v>
      </c>
      <c r="AI1319" s="35">
        <f>IFERROR(TA[[#This Row],[Breakdown Time]]*TA[[#This Row],[Plant Equivalent Weightage]],"")</f>
        <v>0.10330459770114937</v>
      </c>
    </row>
    <row r="1320" spans="1:35">
      <c r="A1320" s="2">
        <f t="shared" si="151"/>
        <v>1317</v>
      </c>
      <c r="B1320" s="156">
        <f t="shared" si="152"/>
        <v>2026</v>
      </c>
      <c r="C1320" s="129">
        <f t="shared" si="153"/>
        <v>2025</v>
      </c>
      <c r="D1320" s="2" t="s">
        <v>155</v>
      </c>
      <c r="E1320" s="2" t="s">
        <v>155</v>
      </c>
      <c r="F1320" s="39">
        <v>45809</v>
      </c>
      <c r="G1320" s="2">
        <f>DAY(EOMONTH(TA[[#This Row],[Month Year]],0))</f>
        <v>30</v>
      </c>
      <c r="H1320" s="21">
        <v>45838</v>
      </c>
      <c r="I1320" s="41">
        <f>IFERROR(VLOOKUP(TA[[#This Row],[Date]],Raw_Data[[Date]:[Sunset Time (POA&lt;20 W/m2)]],3,0),"")</f>
        <v>0.26111111111111113</v>
      </c>
      <c r="J1320" s="41">
        <f>IFERROR(VLOOKUP(TA[[#This Row],[Date]],Raw_Data[[Date]:[Sunset Time (POA&lt;20 W/m2)]],4,0),"")</f>
        <v>0.74444444444444446</v>
      </c>
      <c r="K1320" s="35">
        <f>IFERROR((TA[[#This Row],[Sunset Time (POA&lt;20 W/m2)]]-TA[[#This Row],[Sunrise Time (POA&gt;20 W/m2)]])*24,"")</f>
        <v>11.6</v>
      </c>
      <c r="L1320" s="2" t="s">
        <v>294</v>
      </c>
      <c r="M1320" s="42">
        <f>IFERROR(VLOOKUP(TA[[#This Row],[Affected Equipment]],'Basic Data'!$I$2:$K$40,3,0),"")</f>
        <v>1.7241379310344799E-3</v>
      </c>
      <c r="N1320">
        <v>-28</v>
      </c>
      <c r="O1320" t="s">
        <v>133</v>
      </c>
      <c r="P1320" s="127" t="s">
        <v>316</v>
      </c>
      <c r="Q1320" s="126" t="s">
        <v>317</v>
      </c>
      <c r="R1320">
        <v>7</v>
      </c>
      <c r="S1320" s="2">
        <v>32</v>
      </c>
      <c r="T1320" t="s">
        <v>295</v>
      </c>
      <c r="U1320" t="s">
        <v>300</v>
      </c>
      <c r="V1320" t="s">
        <v>298</v>
      </c>
      <c r="W1320" s="41"/>
      <c r="X1320" s="41"/>
      <c r="Y1320" s="34"/>
      <c r="Z1320" s="34"/>
      <c r="AA1320" s="35">
        <f>IF(TA[[#This Row],[Work Start time on Fault]]="NA","",(TA[[#This Row],[Fault Acknowledgement Time ]]-TA[[#This Row],[Fault Time]])*24)</f>
        <v>0</v>
      </c>
      <c r="AB1320" s="35">
        <f>(TA[[#This Row],[Work Start time on Fault]]-TA[[#This Row],[Fault Time]])*24</f>
        <v>0</v>
      </c>
      <c r="AC1320" s="34">
        <f>(TA[[#This Row],[Work Completion time on fault]]-TA[[#This Row],[Fault Time]])*24</f>
        <v>0</v>
      </c>
      <c r="AD1320" s="35">
        <f>IFERROR((TA[[#This Row],[Work Completion time on fault]]-TA[[#This Row],[Fault Time]])*24,"")</f>
        <v>0</v>
      </c>
      <c r="AE1320" t="s">
        <v>328</v>
      </c>
      <c r="AF1320" t="s">
        <v>256</v>
      </c>
      <c r="AG1320" s="2"/>
      <c r="AH1320" s="44">
        <f>1-COS(RADIANS(TA[[#This Row],[Avg. Target Angle during Fault Time (Radians)]]-TA[[#This Row],[Angle of affected equipment ]]))</f>
        <v>0.11705240714107301</v>
      </c>
      <c r="AI1320" s="35">
        <f>IFERROR(TA[[#This Row],[Breakdown Time]]*TA[[#This Row],[Plant Equivalent Weightage]],"")</f>
        <v>0</v>
      </c>
    </row>
    <row r="1321" spans="1:35">
      <c r="A1321" s="2">
        <f t="shared" si="151"/>
        <v>1318</v>
      </c>
      <c r="B1321" s="156">
        <f t="shared" si="152"/>
        <v>2026</v>
      </c>
      <c r="C1321" s="129">
        <f t="shared" si="153"/>
        <v>2025</v>
      </c>
      <c r="D1321" s="2" t="s">
        <v>155</v>
      </c>
      <c r="E1321" s="2" t="s">
        <v>155</v>
      </c>
      <c r="F1321" s="39">
        <v>45809</v>
      </c>
      <c r="G1321" s="2">
        <f>DAY(EOMONTH(TA[[#This Row],[Month Year]],0))</f>
        <v>30</v>
      </c>
      <c r="H1321" s="21">
        <v>45838</v>
      </c>
      <c r="I1321" s="41">
        <f>IFERROR(VLOOKUP(TA[[#This Row],[Date]],Raw_Data[[Date]:[Sunset Time (POA&lt;20 W/m2)]],3,0),"")</f>
        <v>0.26111111111111113</v>
      </c>
      <c r="J1321" s="41">
        <f>IFERROR(VLOOKUP(TA[[#This Row],[Date]],Raw_Data[[Date]:[Sunset Time (POA&lt;20 W/m2)]],4,0),"")</f>
        <v>0.74444444444444446</v>
      </c>
      <c r="K1321" s="35">
        <f>IFERROR((TA[[#This Row],[Sunset Time (POA&lt;20 W/m2)]]-TA[[#This Row],[Sunrise Time (POA&gt;20 W/m2)]])*24,"")</f>
        <v>11.6</v>
      </c>
      <c r="L1321" s="2" t="s">
        <v>294</v>
      </c>
      <c r="M1321" s="42">
        <f>IFERROR(VLOOKUP(TA[[#This Row],[Affected Equipment]],'Basic Data'!$I$2:$K$40,3,0),"")</f>
        <v>1.7241379310344799E-3</v>
      </c>
      <c r="N1321">
        <v>-28</v>
      </c>
      <c r="O1321" t="s">
        <v>137</v>
      </c>
      <c r="P1321" s="127" t="s">
        <v>315</v>
      </c>
      <c r="Q1321" s="126" t="s">
        <v>319</v>
      </c>
      <c r="R1321">
        <v>166</v>
      </c>
      <c r="S1321" s="2">
        <v>91</v>
      </c>
      <c r="T1321" t="s">
        <v>295</v>
      </c>
      <c r="U1321" t="s">
        <v>300</v>
      </c>
      <c r="V1321" t="s">
        <v>298</v>
      </c>
      <c r="W1321" s="41"/>
      <c r="X1321" s="41"/>
      <c r="Y1321" s="34"/>
      <c r="Z1321" s="34"/>
      <c r="AA1321" s="35">
        <f>IF(TA[[#This Row],[Work Start time on Fault]]="NA","",(TA[[#This Row],[Fault Acknowledgement Time ]]-TA[[#This Row],[Fault Time]])*24)</f>
        <v>0</v>
      </c>
      <c r="AB1321" s="35">
        <f>(TA[[#This Row],[Work Start time on Fault]]-TA[[#This Row],[Fault Time]])*24</f>
        <v>0</v>
      </c>
      <c r="AC1321" s="34">
        <f>(TA[[#This Row],[Work Completion time on fault]]-TA[[#This Row],[Fault Time]])*24</f>
        <v>0</v>
      </c>
      <c r="AD1321" s="35">
        <f>IFERROR((TA[[#This Row],[Work Completion time on fault]]-TA[[#This Row],[Fault Time]])*24,"")</f>
        <v>0</v>
      </c>
      <c r="AE1321" t="s">
        <v>328</v>
      </c>
      <c r="AF1321" t="s">
        <v>256</v>
      </c>
      <c r="AG1321" s="2"/>
      <c r="AH1321" s="44">
        <f>1-COS(RADIANS(TA[[#This Row],[Avg. Target Angle during Fault Time (Radians)]]-TA[[#This Row],[Angle of affected equipment ]]))</f>
        <v>0.11705240714107301</v>
      </c>
      <c r="AI1321" s="35">
        <f>IFERROR(TA[[#This Row],[Breakdown Time]]*TA[[#This Row],[Plant Equivalent Weightage]],"")</f>
        <v>0</v>
      </c>
    </row>
    <row r="1322" spans="1:35">
      <c r="A1322" s="2">
        <f t="shared" si="151"/>
        <v>1319</v>
      </c>
      <c r="B1322" s="156">
        <f t="shared" si="152"/>
        <v>2026</v>
      </c>
      <c r="C1322" s="129">
        <f t="shared" si="153"/>
        <v>2025</v>
      </c>
      <c r="D1322" s="2" t="s">
        <v>155</v>
      </c>
      <c r="E1322" s="2" t="s">
        <v>155</v>
      </c>
      <c r="F1322" s="39">
        <v>45809</v>
      </c>
      <c r="G1322" s="2">
        <f>DAY(EOMONTH(TA[[#This Row],[Month Year]],0))</f>
        <v>30</v>
      </c>
      <c r="H1322" s="21">
        <v>45838</v>
      </c>
      <c r="I1322" s="41">
        <f>IFERROR(VLOOKUP(TA[[#This Row],[Date]],Raw_Data[[Date]:[Sunset Time (POA&lt;20 W/m2)]],3,0),"")</f>
        <v>0.26111111111111113</v>
      </c>
      <c r="J1322" s="41">
        <f>IFERROR(VLOOKUP(TA[[#This Row],[Date]],Raw_Data[[Date]:[Sunset Time (POA&lt;20 W/m2)]],4,0),"")</f>
        <v>0.74444444444444446</v>
      </c>
      <c r="K1322" s="35">
        <f>IFERROR((TA[[#This Row],[Sunset Time (POA&lt;20 W/m2)]]-TA[[#This Row],[Sunrise Time (POA&gt;20 W/m2)]])*24,"")</f>
        <v>11.6</v>
      </c>
      <c r="L1322" s="2" t="s">
        <v>294</v>
      </c>
      <c r="M1322" s="42">
        <f>IFERROR(VLOOKUP(TA[[#This Row],[Affected Equipment]],'Basic Data'!$I$2:$K$40,3,0),"")</f>
        <v>1.7241379310344799E-3</v>
      </c>
      <c r="N1322">
        <v>-28</v>
      </c>
      <c r="O1322" t="s">
        <v>133</v>
      </c>
      <c r="P1322" s="127" t="s">
        <v>316</v>
      </c>
      <c r="Q1322" s="126" t="s">
        <v>316</v>
      </c>
      <c r="R1322">
        <v>117</v>
      </c>
      <c r="S1322" s="2">
        <v>20</v>
      </c>
      <c r="T1322" t="s">
        <v>295</v>
      </c>
      <c r="U1322" t="s">
        <v>300</v>
      </c>
      <c r="V1322" t="s">
        <v>298</v>
      </c>
      <c r="W1322" s="41"/>
      <c r="X1322" s="41"/>
      <c r="Y1322" s="34"/>
      <c r="Z1322" s="34"/>
      <c r="AA1322" s="35">
        <f>IF(TA[[#This Row],[Work Start time on Fault]]="NA","",(TA[[#This Row],[Fault Acknowledgement Time ]]-TA[[#This Row],[Fault Time]])*24)</f>
        <v>0</v>
      </c>
      <c r="AB1322" s="35">
        <f>(TA[[#This Row],[Work Start time on Fault]]-TA[[#This Row],[Fault Time]])*24</f>
        <v>0</v>
      </c>
      <c r="AC1322" s="34">
        <f>(TA[[#This Row],[Work Completion time on fault]]-TA[[#This Row],[Fault Time]])*24</f>
        <v>0</v>
      </c>
      <c r="AD1322" s="35">
        <f>IFERROR((TA[[#This Row],[Work Completion time on fault]]-TA[[#This Row],[Fault Time]])*24,"")</f>
        <v>0</v>
      </c>
      <c r="AE1322" t="s">
        <v>328</v>
      </c>
      <c r="AF1322" t="s">
        <v>256</v>
      </c>
      <c r="AG1322" s="2"/>
      <c r="AH1322" s="44">
        <f>1-COS(RADIANS(TA[[#This Row],[Avg. Target Angle during Fault Time (Radians)]]-TA[[#This Row],[Angle of affected equipment ]]))</f>
        <v>0.11705240714107301</v>
      </c>
      <c r="AI1322" s="35">
        <f>IFERROR(TA[[#This Row],[Breakdown Time]]*TA[[#This Row],[Plant Equivalent Weightage]],"")</f>
        <v>0</v>
      </c>
    </row>
    <row r="1323" spans="1:35">
      <c r="A1323" s="2">
        <f t="shared" si="151"/>
        <v>1320</v>
      </c>
      <c r="B1323" s="156">
        <f t="shared" si="152"/>
        <v>2026</v>
      </c>
      <c r="C1323" s="129">
        <f t="shared" si="153"/>
        <v>2025</v>
      </c>
      <c r="D1323" s="2" t="s">
        <v>155</v>
      </c>
      <c r="E1323" s="2" t="s">
        <v>155</v>
      </c>
      <c r="F1323" s="39">
        <v>45809</v>
      </c>
      <c r="G1323" s="2">
        <f>DAY(EOMONTH(TA[[#This Row],[Month Year]],0))</f>
        <v>30</v>
      </c>
      <c r="H1323" s="21">
        <v>45838</v>
      </c>
      <c r="I1323" s="41">
        <f>IFERROR(VLOOKUP(TA[[#This Row],[Date]],Raw_Data[[Date]:[Sunset Time (POA&lt;20 W/m2)]],3,0),"")</f>
        <v>0.26111111111111113</v>
      </c>
      <c r="J1323" s="41">
        <f>IFERROR(VLOOKUP(TA[[#This Row],[Date]],Raw_Data[[Date]:[Sunset Time (POA&lt;20 W/m2)]],4,0),"")</f>
        <v>0.74444444444444446</v>
      </c>
      <c r="K1323" s="35">
        <f>IFERROR((TA[[#This Row],[Sunset Time (POA&lt;20 W/m2)]]-TA[[#This Row],[Sunrise Time (POA&gt;20 W/m2)]])*24,"")</f>
        <v>11.6</v>
      </c>
      <c r="L1323" s="2" t="s">
        <v>294</v>
      </c>
      <c r="M1323" s="42">
        <f>IFERROR(VLOOKUP(TA[[#This Row],[Affected Equipment]],'Basic Data'!$I$2:$K$40,3,0),"")</f>
        <v>1.7241379310344799E-3</v>
      </c>
      <c r="N1323">
        <v>-28</v>
      </c>
      <c r="O1323" t="s">
        <v>133</v>
      </c>
      <c r="P1323" s="127" t="s">
        <v>316</v>
      </c>
      <c r="Q1323" s="126" t="s">
        <v>316</v>
      </c>
      <c r="R1323">
        <v>118</v>
      </c>
      <c r="S1323" s="2">
        <v>22</v>
      </c>
      <c r="T1323" t="s">
        <v>295</v>
      </c>
      <c r="U1323" t="s">
        <v>300</v>
      </c>
      <c r="V1323" t="s">
        <v>298</v>
      </c>
      <c r="W1323" s="41"/>
      <c r="X1323" s="41"/>
      <c r="Y1323" s="34"/>
      <c r="Z1323" s="34"/>
      <c r="AA1323" s="35">
        <f>IF(TA[[#This Row],[Work Start time on Fault]]="NA","",(TA[[#This Row],[Fault Acknowledgement Time ]]-TA[[#This Row],[Fault Time]])*24)</f>
        <v>0</v>
      </c>
      <c r="AB1323" s="35">
        <f>(TA[[#This Row],[Work Start time on Fault]]-TA[[#This Row],[Fault Time]])*24</f>
        <v>0</v>
      </c>
      <c r="AC1323" s="34">
        <f>(TA[[#This Row],[Work Completion time on fault]]-TA[[#This Row],[Fault Time]])*24</f>
        <v>0</v>
      </c>
      <c r="AD1323" s="35">
        <f>IFERROR((TA[[#This Row],[Work Completion time on fault]]-TA[[#This Row],[Fault Time]])*24,"")</f>
        <v>0</v>
      </c>
      <c r="AE1323" t="s">
        <v>328</v>
      </c>
      <c r="AF1323" t="s">
        <v>256</v>
      </c>
      <c r="AG1323" s="2"/>
      <c r="AH1323" s="44">
        <f>1-COS(RADIANS(TA[[#This Row],[Avg. Target Angle during Fault Time (Radians)]]-TA[[#This Row],[Angle of affected equipment ]]))</f>
        <v>0.11705240714107301</v>
      </c>
      <c r="AI1323" s="35">
        <f>IFERROR(TA[[#This Row],[Breakdown Time]]*TA[[#This Row],[Plant Equivalent Weightage]],"")</f>
        <v>0</v>
      </c>
    </row>
    <row r="1324" spans="1:35">
      <c r="A1324" s="2">
        <f t="shared" si="151"/>
        <v>1321</v>
      </c>
      <c r="B1324" s="156">
        <f t="shared" si="152"/>
        <v>2026</v>
      </c>
      <c r="C1324" s="129">
        <f t="shared" si="153"/>
        <v>2025</v>
      </c>
      <c r="D1324" s="2" t="s">
        <v>155</v>
      </c>
      <c r="E1324" s="2" t="s">
        <v>155</v>
      </c>
      <c r="F1324" s="39">
        <v>45809</v>
      </c>
      <c r="G1324" s="2">
        <f>DAY(EOMONTH(TA[[#This Row],[Month Year]],0))</f>
        <v>30</v>
      </c>
      <c r="H1324" s="21">
        <v>45838</v>
      </c>
      <c r="I1324" s="41">
        <f>IFERROR(VLOOKUP(TA[[#This Row],[Date]],Raw_Data[[Date]:[Sunset Time (POA&lt;20 W/m2)]],3,0),"")</f>
        <v>0.26111111111111113</v>
      </c>
      <c r="J1324" s="41">
        <f>IFERROR(VLOOKUP(TA[[#This Row],[Date]],Raw_Data[[Date]:[Sunset Time (POA&lt;20 W/m2)]],4,0),"")</f>
        <v>0.74444444444444446</v>
      </c>
      <c r="K1324" s="35">
        <f>IFERROR((TA[[#This Row],[Sunset Time (POA&lt;20 W/m2)]]-TA[[#This Row],[Sunrise Time (POA&gt;20 W/m2)]])*24,"")</f>
        <v>11.6</v>
      </c>
      <c r="L1324" s="2" t="s">
        <v>296</v>
      </c>
      <c r="M1324" s="42">
        <f>IFERROR(VLOOKUP(TA[[#This Row],[Affected Equipment]],'Basic Data'!$I$2:$K$40,3,0),"")</f>
        <v>8.6206896551724102E-3</v>
      </c>
      <c r="N1324">
        <v>-28</v>
      </c>
      <c r="O1324" t="s">
        <v>135</v>
      </c>
      <c r="P1324" s="22" t="s">
        <v>323</v>
      </c>
      <c r="Q1324" s="2" t="s">
        <v>329</v>
      </c>
      <c r="R1324">
        <v>45</v>
      </c>
      <c r="S1324" s="2">
        <v>8</v>
      </c>
      <c r="T1324" t="s">
        <v>297</v>
      </c>
      <c r="U1324" t="s">
        <v>300</v>
      </c>
      <c r="V1324" t="s">
        <v>301</v>
      </c>
      <c r="W1324" s="41"/>
      <c r="X1324" s="41"/>
      <c r="Y1324" s="34"/>
      <c r="Z1324" s="34"/>
      <c r="AA1324" s="35">
        <f>IF(TA[[#This Row],[Work Start time on Fault]]="NA","",(TA[[#This Row],[Fault Acknowledgement Time ]]-TA[[#This Row],[Fault Time]])*24)</f>
        <v>0</v>
      </c>
      <c r="AB1324" s="35">
        <f>(TA[[#This Row],[Work Start time on Fault]]-TA[[#This Row],[Fault Time]])*24</f>
        <v>0</v>
      </c>
      <c r="AC1324" s="34">
        <f>(TA[[#This Row],[Work Completion time on fault]]-TA[[#This Row],[Fault Time]])*24</f>
        <v>0</v>
      </c>
      <c r="AD1324" s="35">
        <f>IFERROR((TA[[#This Row],[Work Completion time on fault]]-TA[[#This Row],[Fault Time]])*24,"")</f>
        <v>0</v>
      </c>
      <c r="AE1324" t="s">
        <v>328</v>
      </c>
      <c r="AF1324" t="s">
        <v>256</v>
      </c>
      <c r="AG1324" s="2"/>
      <c r="AH1324" s="44">
        <f>1-COS(RADIANS(TA[[#This Row],[Avg. Target Angle during Fault Time (Radians)]]-TA[[#This Row],[Angle of affected equipment ]]))</f>
        <v>0.11705240714107301</v>
      </c>
      <c r="AI1324" s="35">
        <f>IFERROR(TA[[#This Row],[Breakdown Time]]*TA[[#This Row],[Plant Equivalent Weightage]],"")</f>
        <v>0</v>
      </c>
    </row>
    <row r="1325" spans="1:35">
      <c r="A1325" s="2">
        <f t="shared" si="151"/>
        <v>1322</v>
      </c>
      <c r="B1325" s="156">
        <f t="shared" si="152"/>
        <v>2026</v>
      </c>
      <c r="C1325" s="129">
        <f t="shared" si="153"/>
        <v>2025</v>
      </c>
      <c r="D1325" s="2" t="s">
        <v>155</v>
      </c>
      <c r="E1325" s="2" t="s">
        <v>155</v>
      </c>
      <c r="F1325" s="39">
        <v>45809</v>
      </c>
      <c r="G1325" s="2">
        <f>DAY(EOMONTH(TA[[#This Row],[Month Year]],0))</f>
        <v>30</v>
      </c>
      <c r="H1325" s="21">
        <v>45838</v>
      </c>
      <c r="I1325" s="41">
        <f>IFERROR(VLOOKUP(TA[[#This Row],[Date]],Raw_Data[[Date]:[Sunset Time (POA&lt;20 W/m2)]],3,0),"")</f>
        <v>0.26111111111111113</v>
      </c>
      <c r="J1325" s="41">
        <f>IFERROR(VLOOKUP(TA[[#This Row],[Date]],Raw_Data[[Date]:[Sunset Time (POA&lt;20 W/m2)]],4,0),"")</f>
        <v>0.74444444444444446</v>
      </c>
      <c r="K1325" s="35">
        <f>IFERROR((TA[[#This Row],[Sunset Time (POA&lt;20 W/m2)]]-TA[[#This Row],[Sunrise Time (POA&gt;20 W/m2)]])*24,"")</f>
        <v>11.6</v>
      </c>
      <c r="L1325" s="2" t="s">
        <v>296</v>
      </c>
      <c r="M1325" s="42">
        <f>IFERROR(VLOOKUP(TA[[#This Row],[Affected Equipment]],'Basic Data'!$I$2:$K$40,3,0),"")</f>
        <v>8.6206896551724102E-3</v>
      </c>
      <c r="N1325">
        <v>-28</v>
      </c>
      <c r="O1325" t="s">
        <v>135</v>
      </c>
      <c r="P1325" s="22" t="s">
        <v>323</v>
      </c>
      <c r="Q1325" s="2" t="s">
        <v>329</v>
      </c>
      <c r="R1325">
        <v>47</v>
      </c>
      <c r="S1325" s="2">
        <v>18</v>
      </c>
      <c r="T1325" t="s">
        <v>297</v>
      </c>
      <c r="U1325" t="s">
        <v>300</v>
      </c>
      <c r="V1325" t="s">
        <v>301</v>
      </c>
      <c r="W1325" s="41"/>
      <c r="X1325" s="41"/>
      <c r="Y1325" s="34"/>
      <c r="Z1325" s="34"/>
      <c r="AA1325" s="35">
        <f>IF(TA[[#This Row],[Work Start time on Fault]]="NA","",(TA[[#This Row],[Fault Acknowledgement Time ]]-TA[[#This Row],[Fault Time]])*24)</f>
        <v>0</v>
      </c>
      <c r="AB1325" s="35">
        <f>(TA[[#This Row],[Work Start time on Fault]]-TA[[#This Row],[Fault Time]])*24</f>
        <v>0</v>
      </c>
      <c r="AC1325" s="34">
        <f>(TA[[#This Row],[Work Completion time on fault]]-TA[[#This Row],[Fault Time]])*24</f>
        <v>0</v>
      </c>
      <c r="AD1325" s="35">
        <f>IFERROR((TA[[#This Row],[Work Completion time on fault]]-TA[[#This Row],[Fault Time]])*24,"")</f>
        <v>0</v>
      </c>
      <c r="AE1325" t="s">
        <v>328</v>
      </c>
      <c r="AF1325" t="s">
        <v>256</v>
      </c>
      <c r="AG1325" s="2"/>
      <c r="AH1325" s="44">
        <f>1-COS(RADIANS(TA[[#This Row],[Avg. Target Angle during Fault Time (Radians)]]-TA[[#This Row],[Angle of affected equipment ]]))</f>
        <v>0.11705240714107301</v>
      </c>
      <c r="AI1325" s="35">
        <f>IFERROR(TA[[#This Row],[Breakdown Time]]*TA[[#This Row],[Plant Equivalent Weightage]],"")</f>
        <v>0</v>
      </c>
    </row>
    <row r="1326" spans="1:35">
      <c r="A1326" s="2">
        <f t="shared" si="151"/>
        <v>1323</v>
      </c>
      <c r="B1326" s="156">
        <f t="shared" si="152"/>
        <v>2026</v>
      </c>
      <c r="C1326" s="129">
        <f t="shared" si="153"/>
        <v>2025</v>
      </c>
      <c r="D1326" s="2" t="s">
        <v>155</v>
      </c>
      <c r="E1326" s="2" t="s">
        <v>155</v>
      </c>
      <c r="F1326" s="39">
        <v>45809</v>
      </c>
      <c r="G1326" s="2">
        <f>DAY(EOMONTH(TA[[#This Row],[Month Year]],0))</f>
        <v>30</v>
      </c>
      <c r="H1326" s="21">
        <v>45838</v>
      </c>
      <c r="I1326" s="41">
        <f>IFERROR(VLOOKUP(TA[[#This Row],[Date]],Raw_Data[[Date]:[Sunset Time (POA&lt;20 W/m2)]],3,0),"")</f>
        <v>0.26111111111111113</v>
      </c>
      <c r="J1326" s="41">
        <f>IFERROR(VLOOKUP(TA[[#This Row],[Date]],Raw_Data[[Date]:[Sunset Time (POA&lt;20 W/m2)]],4,0),"")</f>
        <v>0.74444444444444446</v>
      </c>
      <c r="K1326" s="35">
        <f>IFERROR((TA[[#This Row],[Sunset Time (POA&lt;20 W/m2)]]-TA[[#This Row],[Sunrise Time (POA&gt;20 W/m2)]])*24,"")</f>
        <v>11.6</v>
      </c>
      <c r="L1326" s="2" t="s">
        <v>296</v>
      </c>
      <c r="M1326" s="42">
        <f>IFERROR(VLOOKUP(TA[[#This Row],[Affected Equipment]],'Basic Data'!$I$2:$K$40,3,0),"")</f>
        <v>8.6206896551724102E-3</v>
      </c>
      <c r="N1326">
        <v>-28</v>
      </c>
      <c r="O1326" t="s">
        <v>134</v>
      </c>
      <c r="P1326" s="22" t="s">
        <v>330</v>
      </c>
      <c r="Q1326" s="2" t="s">
        <v>323</v>
      </c>
      <c r="R1326">
        <v>30</v>
      </c>
      <c r="S1326" s="2">
        <v>57</v>
      </c>
      <c r="T1326" t="s">
        <v>297</v>
      </c>
      <c r="U1326" t="s">
        <v>300</v>
      </c>
      <c r="V1326" t="s">
        <v>301</v>
      </c>
      <c r="W1326" s="41"/>
      <c r="X1326" s="41"/>
      <c r="Y1326" s="34"/>
      <c r="Z1326" s="34"/>
      <c r="AA1326" s="35">
        <f>IF(TA[[#This Row],[Work Start time on Fault]]="NA","",(TA[[#This Row],[Fault Acknowledgement Time ]]-TA[[#This Row],[Fault Time]])*24)</f>
        <v>0</v>
      </c>
      <c r="AB1326" s="35">
        <f>(TA[[#This Row],[Work Start time on Fault]]-TA[[#This Row],[Fault Time]])*24</f>
        <v>0</v>
      </c>
      <c r="AC1326" s="34">
        <f>(TA[[#This Row],[Work Completion time on fault]]-TA[[#This Row],[Fault Time]])*24</f>
        <v>0</v>
      </c>
      <c r="AD1326" s="35">
        <f>IFERROR((TA[[#This Row],[Work Completion time on fault]]-TA[[#This Row],[Fault Time]])*24,"")</f>
        <v>0</v>
      </c>
      <c r="AE1326" t="s">
        <v>328</v>
      </c>
      <c r="AF1326" t="s">
        <v>256</v>
      </c>
      <c r="AG1326" s="2"/>
      <c r="AH1326" s="44">
        <f>1-COS(RADIANS(TA[[#This Row],[Avg. Target Angle during Fault Time (Radians)]]-TA[[#This Row],[Angle of affected equipment ]]))</f>
        <v>0.11705240714107301</v>
      </c>
      <c r="AI1326" s="35">
        <f>IFERROR(TA[[#This Row],[Breakdown Time]]*TA[[#This Row],[Plant Equivalent Weightage]],"")</f>
        <v>0</v>
      </c>
    </row>
    <row r="1327" spans="1:35">
      <c r="A1327" s="2">
        <f t="shared" si="151"/>
        <v>1324</v>
      </c>
      <c r="B1327" s="156">
        <f t="shared" si="152"/>
        <v>2026</v>
      </c>
      <c r="C1327" s="129">
        <f t="shared" si="153"/>
        <v>2025</v>
      </c>
      <c r="D1327" s="2" t="s">
        <v>155</v>
      </c>
      <c r="E1327" s="2" t="s">
        <v>155</v>
      </c>
      <c r="F1327" s="39">
        <v>45809</v>
      </c>
      <c r="G1327" s="2">
        <f>DAY(EOMONTH(TA[[#This Row],[Month Year]],0))</f>
        <v>30</v>
      </c>
      <c r="H1327" s="21">
        <v>45838</v>
      </c>
      <c r="I1327" s="41">
        <f>IFERROR(VLOOKUP(TA[[#This Row],[Date]],Raw_Data[[Date]:[Sunset Time (POA&lt;20 W/m2)]],3,0),"")</f>
        <v>0.26111111111111113</v>
      </c>
      <c r="J1327" s="41">
        <f>IFERROR(VLOOKUP(TA[[#This Row],[Date]],Raw_Data[[Date]:[Sunset Time (POA&lt;20 W/m2)]],4,0),"")</f>
        <v>0.74444444444444446</v>
      </c>
      <c r="K1327" s="35">
        <f>IFERROR((TA[[#This Row],[Sunset Time (POA&lt;20 W/m2)]]-TA[[#This Row],[Sunrise Time (POA&gt;20 W/m2)]])*24,"")</f>
        <v>11.6</v>
      </c>
      <c r="L1327" s="2" t="s">
        <v>296</v>
      </c>
      <c r="M1327" s="42">
        <f>IFERROR(VLOOKUP(TA[[#This Row],[Affected Equipment]],'Basic Data'!$I$2:$K$40,3,0),"")</f>
        <v>8.6206896551724102E-3</v>
      </c>
      <c r="N1327">
        <v>-28</v>
      </c>
      <c r="O1327" t="s">
        <v>134</v>
      </c>
      <c r="P1327" s="22" t="s">
        <v>330</v>
      </c>
      <c r="Q1327" s="2" t="s">
        <v>323</v>
      </c>
      <c r="R1327">
        <v>31</v>
      </c>
      <c r="S1327" s="2">
        <v>61</v>
      </c>
      <c r="T1327" t="s">
        <v>297</v>
      </c>
      <c r="U1327" t="s">
        <v>300</v>
      </c>
      <c r="V1327" t="s">
        <v>301</v>
      </c>
      <c r="W1327" s="41"/>
      <c r="X1327" s="41"/>
      <c r="Y1327" s="34"/>
      <c r="Z1327" s="34"/>
      <c r="AA1327" s="35">
        <f>IF(TA[[#This Row],[Work Start time on Fault]]="NA","",(TA[[#This Row],[Fault Acknowledgement Time ]]-TA[[#This Row],[Fault Time]])*24)</f>
        <v>0</v>
      </c>
      <c r="AB1327" s="35">
        <f>(TA[[#This Row],[Work Start time on Fault]]-TA[[#This Row],[Fault Time]])*24</f>
        <v>0</v>
      </c>
      <c r="AC1327" s="34">
        <f>(TA[[#This Row],[Work Completion time on fault]]-TA[[#This Row],[Fault Time]])*24</f>
        <v>0</v>
      </c>
      <c r="AD1327" s="35">
        <f>IFERROR((TA[[#This Row],[Work Completion time on fault]]-TA[[#This Row],[Fault Time]])*24,"")</f>
        <v>0</v>
      </c>
      <c r="AE1327" t="s">
        <v>328</v>
      </c>
      <c r="AF1327" t="s">
        <v>256</v>
      </c>
      <c r="AG1327" s="2"/>
      <c r="AH1327" s="44">
        <f>1-COS(RADIANS(TA[[#This Row],[Avg. Target Angle during Fault Time (Radians)]]-TA[[#This Row],[Angle of affected equipment ]]))</f>
        <v>0.11705240714107301</v>
      </c>
      <c r="AI1327" s="35">
        <f>IFERROR(TA[[#This Row],[Breakdown Time]]*TA[[#This Row],[Plant Equivalent Weightage]],"")</f>
        <v>0</v>
      </c>
    </row>
    <row r="1328" spans="1:35">
      <c r="A1328" s="2">
        <f t="shared" si="151"/>
        <v>1325</v>
      </c>
      <c r="B1328" s="156">
        <f t="shared" si="152"/>
        <v>2026</v>
      </c>
      <c r="C1328" s="129">
        <f t="shared" si="153"/>
        <v>2025</v>
      </c>
      <c r="D1328" s="2" t="s">
        <v>155</v>
      </c>
      <c r="E1328" s="2" t="s">
        <v>155</v>
      </c>
      <c r="F1328" s="39">
        <v>45809</v>
      </c>
      <c r="G1328" s="2">
        <f>DAY(EOMONTH(TA[[#This Row],[Month Year]],0))</f>
        <v>30</v>
      </c>
      <c r="H1328" s="21">
        <v>45838</v>
      </c>
      <c r="I1328" s="41">
        <f>IFERROR(VLOOKUP(TA[[#This Row],[Date]],Raw_Data[[Date]:[Sunset Time (POA&lt;20 W/m2)]],3,0),"")</f>
        <v>0.26111111111111113</v>
      </c>
      <c r="J1328" s="41">
        <f>IFERROR(VLOOKUP(TA[[#This Row],[Date]],Raw_Data[[Date]:[Sunset Time (POA&lt;20 W/m2)]],4,0),"")</f>
        <v>0.74444444444444446</v>
      </c>
      <c r="K1328" s="35">
        <f>IFERROR((TA[[#This Row],[Sunset Time (POA&lt;20 W/m2)]]-TA[[#This Row],[Sunrise Time (POA&gt;20 W/m2)]])*24,"")</f>
        <v>11.6</v>
      </c>
      <c r="L1328" s="2" t="s">
        <v>312</v>
      </c>
      <c r="M1328" s="42">
        <f>IFERROR(VLOOKUP(TA[[#This Row],[Affected Equipment]],'Basic Data'!$I$2:$K$40,3,0),"")</f>
        <v>5.74712643678161E-3</v>
      </c>
      <c r="N1328">
        <v>-28</v>
      </c>
      <c r="O1328" t="s">
        <v>133</v>
      </c>
      <c r="P1328" s="22" t="s">
        <v>330</v>
      </c>
      <c r="Q1328" s="2" t="s">
        <v>323</v>
      </c>
      <c r="R1328">
        <v>26</v>
      </c>
      <c r="S1328" s="2">
        <v>37</v>
      </c>
      <c r="T1328" t="s">
        <v>297</v>
      </c>
      <c r="U1328" t="s">
        <v>300</v>
      </c>
      <c r="V1328" t="s">
        <v>301</v>
      </c>
      <c r="W1328" s="41"/>
      <c r="X1328" s="41"/>
      <c r="Y1328" s="34"/>
      <c r="Z1328" s="34"/>
      <c r="AA1328" s="35">
        <f>IF(TA[[#This Row],[Work Start time on Fault]]="NA","",(TA[[#This Row],[Fault Acknowledgement Time ]]-TA[[#This Row],[Fault Time]])*24)</f>
        <v>0</v>
      </c>
      <c r="AB1328" s="35">
        <f>(TA[[#This Row],[Work Start time on Fault]]-TA[[#This Row],[Fault Time]])*24</f>
        <v>0</v>
      </c>
      <c r="AC1328" s="34">
        <f>(TA[[#This Row],[Work Completion time on fault]]-TA[[#This Row],[Fault Time]])*24</f>
        <v>0</v>
      </c>
      <c r="AD1328" s="35">
        <f>IFERROR((TA[[#This Row],[Work Completion time on fault]]-TA[[#This Row],[Fault Time]])*24,"")</f>
        <v>0</v>
      </c>
      <c r="AE1328" t="s">
        <v>328</v>
      </c>
      <c r="AF1328" t="s">
        <v>256</v>
      </c>
      <c r="AG1328" s="2"/>
      <c r="AH1328" s="44">
        <f>1-COS(RADIANS(TA[[#This Row],[Avg. Target Angle during Fault Time (Radians)]]-TA[[#This Row],[Angle of affected equipment ]]))</f>
        <v>0.11705240714107301</v>
      </c>
      <c r="AI1328" s="35">
        <f>IFERROR(TA[[#This Row],[Breakdown Time]]*TA[[#This Row],[Plant Equivalent Weightage]],"")</f>
        <v>0</v>
      </c>
    </row>
    <row r="1329" spans="1:35">
      <c r="A1329" s="2">
        <f t="shared" si="151"/>
        <v>1326</v>
      </c>
      <c r="B1329" s="156">
        <f t="shared" si="152"/>
        <v>2026</v>
      </c>
      <c r="C1329" s="129">
        <f t="shared" si="153"/>
        <v>2025</v>
      </c>
      <c r="D1329" s="2" t="s">
        <v>155</v>
      </c>
      <c r="E1329" s="2" t="s">
        <v>155</v>
      </c>
      <c r="F1329" s="39">
        <v>45809</v>
      </c>
      <c r="G1329" s="2">
        <f>DAY(EOMONTH(TA[[#This Row],[Month Year]],0))</f>
        <v>30</v>
      </c>
      <c r="H1329" s="21">
        <v>45838</v>
      </c>
      <c r="I1329" s="41">
        <f>IFERROR(VLOOKUP(TA[[#This Row],[Date]],Raw_Data[[Date]:[Sunset Time (POA&lt;20 W/m2)]],3,0),"")</f>
        <v>0.26111111111111113</v>
      </c>
      <c r="J1329" s="41">
        <f>IFERROR(VLOOKUP(TA[[#This Row],[Date]],Raw_Data[[Date]:[Sunset Time (POA&lt;20 W/m2)]],4,0),"")</f>
        <v>0.74444444444444446</v>
      </c>
      <c r="K1329" s="35">
        <f>IFERROR((TA[[#This Row],[Sunset Time (POA&lt;20 W/m2)]]-TA[[#This Row],[Sunrise Time (POA&gt;20 W/m2)]])*24,"")</f>
        <v>11.6</v>
      </c>
      <c r="L1329" s="2" t="s">
        <v>312</v>
      </c>
      <c r="M1329" s="42">
        <f>IFERROR(VLOOKUP(TA[[#This Row],[Affected Equipment]],'Basic Data'!$I$2:$K$40,3,0),"")</f>
        <v>5.74712643678161E-3</v>
      </c>
      <c r="N1329">
        <v>-28</v>
      </c>
      <c r="O1329" t="s">
        <v>133</v>
      </c>
      <c r="P1329" s="22" t="s">
        <v>330</v>
      </c>
      <c r="Q1329" s="2" t="s">
        <v>323</v>
      </c>
      <c r="R1329">
        <v>27</v>
      </c>
      <c r="S1329" s="2">
        <v>42</v>
      </c>
      <c r="T1329" t="s">
        <v>297</v>
      </c>
      <c r="U1329" t="s">
        <v>300</v>
      </c>
      <c r="V1329" t="s">
        <v>301</v>
      </c>
      <c r="W1329" s="41">
        <f>IFERROR(VLOOKUP(TA[[#This Row],[Date]],Raw_Data[[Date]:[Sunset Time (POA&lt;20 W/m2)]],3,0),"")</f>
        <v>0.26111111111111113</v>
      </c>
      <c r="X1329" s="41">
        <f>IFERROR(VLOOKUP(TA[[#This Row],[Date]],Raw_Data[[Date]:[Sunset Time (POA&lt;20 W/m2)]],3,0),"")</f>
        <v>0.26111111111111113</v>
      </c>
      <c r="Y1329" s="34"/>
      <c r="Z1329" s="34">
        <v>0.76041666666666663</v>
      </c>
      <c r="AA1329" s="35">
        <f>IF(TA[[#This Row],[Work Start time on Fault]]="NA","",(TA[[#This Row],[Fault Acknowledgement Time ]]-TA[[#This Row],[Fault Time]])*24)</f>
        <v>0</v>
      </c>
      <c r="AB1329" s="35">
        <f>(TA[[#This Row],[Work Start time on Fault]]-TA[[#This Row],[Fault Time]])*24</f>
        <v>-6.2666666666666675</v>
      </c>
      <c r="AC1329" s="34">
        <f>(TA[[#This Row],[Work Completion time on fault]]-TA[[#This Row],[Fault Time]])*24</f>
        <v>11.983333333333333</v>
      </c>
      <c r="AD1329" s="35">
        <f>IFERROR((TA[[#This Row],[Work Completion time on fault]]-TA[[#This Row],[Fault Time]])*24,"")</f>
        <v>11.983333333333333</v>
      </c>
      <c r="AE1329" t="s">
        <v>309</v>
      </c>
      <c r="AF1329" t="s">
        <v>256</v>
      </c>
      <c r="AG1329" s="2"/>
      <c r="AH1329" s="44">
        <f>1-COS(RADIANS(TA[[#This Row],[Avg. Target Angle during Fault Time (Radians)]]-TA[[#This Row],[Angle of affected equipment ]]))</f>
        <v>0.11705240714107301</v>
      </c>
      <c r="AI1329" s="35">
        <f>IFERROR(TA[[#This Row],[Breakdown Time]]*TA[[#This Row],[Plant Equivalent Weightage]],"")</f>
        <v>6.886973180076629E-2</v>
      </c>
    </row>
    <row r="1330" spans="1:35">
      <c r="A1330" s="2">
        <f t="shared" si="151"/>
        <v>1327</v>
      </c>
      <c r="B1330" s="156">
        <f t="shared" ref="B1330:B1342" si="154">YEAR(H1330)+IF(MONTH(H1330)&gt;=4,1,0)</f>
        <v>2026</v>
      </c>
      <c r="C1330" s="129">
        <f t="shared" ref="C1330:C1342" si="155">YEAR(H1330)</f>
        <v>2025</v>
      </c>
      <c r="D1330" s="2" t="s">
        <v>155</v>
      </c>
      <c r="E1330" s="2" t="s">
        <v>155</v>
      </c>
      <c r="F1330" s="39">
        <v>45839</v>
      </c>
      <c r="G1330" s="2">
        <f>DAY(EOMONTH(TA[[#This Row],[Month Year]],0))</f>
        <v>31</v>
      </c>
      <c r="H1330" s="21">
        <v>45839</v>
      </c>
      <c r="I1330" s="41">
        <f>IFERROR(VLOOKUP(TA[[#This Row],[Date]],Raw_Data[[Date]:[Sunset Time (POA&lt;20 W/m2)]],3,0),"")</f>
        <v>0.25833333333333336</v>
      </c>
      <c r="J1330" s="41">
        <f>IFERROR(VLOOKUP(TA[[#This Row],[Date]],Raw_Data[[Date]:[Sunset Time (POA&lt;20 W/m2)]],4,0),"")</f>
        <v>0.77083333333333337</v>
      </c>
      <c r="K1330" s="35">
        <f>IFERROR((TA[[#This Row],[Sunset Time (POA&lt;20 W/m2)]]-TA[[#This Row],[Sunrise Time (POA&gt;20 W/m2)]])*24,"")</f>
        <v>12.299999999999999</v>
      </c>
      <c r="L1330" s="2" t="s">
        <v>294</v>
      </c>
      <c r="M1330" s="42">
        <f>IFERROR(VLOOKUP(TA[[#This Row],[Affected Equipment]],'Basic Data'!$I$2:$K$40,3,0),"")</f>
        <v>1.7241379310344799E-3</v>
      </c>
      <c r="N1330">
        <v>-28</v>
      </c>
      <c r="O1330" t="s">
        <v>135</v>
      </c>
      <c r="P1330" s="127" t="s">
        <v>318</v>
      </c>
      <c r="Q1330" s="126" t="s">
        <v>318</v>
      </c>
      <c r="R1330">
        <v>131</v>
      </c>
      <c r="S1330" s="2">
        <v>38</v>
      </c>
      <c r="T1330" t="s">
        <v>295</v>
      </c>
      <c r="U1330" t="s">
        <v>300</v>
      </c>
      <c r="V1330" t="s">
        <v>298</v>
      </c>
      <c r="W1330" s="41"/>
      <c r="X1330" s="41"/>
      <c r="Y1330" s="34"/>
      <c r="Z1330" s="34"/>
      <c r="AA1330" s="35">
        <f>IF(TA[[#This Row],[Work Start time on Fault]]="NA","",(TA[[#This Row],[Fault Acknowledgement Time ]]-TA[[#This Row],[Fault Time]])*24)</f>
        <v>0</v>
      </c>
      <c r="AB1330" s="35">
        <f>(TA[[#This Row],[Work Start time on Fault]]-TA[[#This Row],[Fault Time]])*24</f>
        <v>0</v>
      </c>
      <c r="AC1330" s="34">
        <f>(TA[[#This Row],[Work Completion time on fault]]-TA[[#This Row],[Fault Time]])*24</f>
        <v>0</v>
      </c>
      <c r="AD1330" s="35">
        <f>IFERROR((TA[[#This Row],[Work Completion time on fault]]-TA[[#This Row],[Fault Time]])*24,"")</f>
        <v>0</v>
      </c>
      <c r="AE1330" t="s">
        <v>328</v>
      </c>
      <c r="AF1330" t="s">
        <v>256</v>
      </c>
      <c r="AG1330" s="2"/>
      <c r="AH1330" s="44">
        <f>1-COS(RADIANS(TA[[#This Row],[Avg. Target Angle during Fault Time (Radians)]]-TA[[#This Row],[Angle of affected equipment ]]))</f>
        <v>0.11705240714107301</v>
      </c>
      <c r="AI1330" s="35">
        <f>IFERROR(TA[[#This Row],[Breakdown Time]]*TA[[#This Row],[Plant Equivalent Weightage]],"")</f>
        <v>0</v>
      </c>
    </row>
    <row r="1331" spans="1:35">
      <c r="A1331" s="2">
        <f t="shared" si="151"/>
        <v>1328</v>
      </c>
      <c r="B1331" s="156">
        <f t="shared" si="154"/>
        <v>2026</v>
      </c>
      <c r="C1331" s="129">
        <f t="shared" si="155"/>
        <v>2025</v>
      </c>
      <c r="D1331" s="2" t="s">
        <v>155</v>
      </c>
      <c r="E1331" s="2" t="s">
        <v>155</v>
      </c>
      <c r="F1331" s="39">
        <v>45839</v>
      </c>
      <c r="G1331" s="2">
        <f>DAY(EOMONTH(TA[[#This Row],[Month Year]],0))</f>
        <v>31</v>
      </c>
      <c r="H1331" s="21">
        <v>45839</v>
      </c>
      <c r="I1331" s="41">
        <f>IFERROR(VLOOKUP(TA[[#This Row],[Date]],Raw_Data[[Date]:[Sunset Time (POA&lt;20 W/m2)]],3,0),"")</f>
        <v>0.25833333333333336</v>
      </c>
      <c r="J1331" s="41">
        <f>IFERROR(VLOOKUP(TA[[#This Row],[Date]],Raw_Data[[Date]:[Sunset Time (POA&lt;20 W/m2)]],4,0),"")</f>
        <v>0.77083333333333337</v>
      </c>
      <c r="K1331" s="35">
        <f>IFERROR((TA[[#This Row],[Sunset Time (POA&lt;20 W/m2)]]-TA[[#This Row],[Sunrise Time (POA&gt;20 W/m2)]])*24,"")</f>
        <v>12.299999999999999</v>
      </c>
      <c r="L1331" s="2" t="s">
        <v>294</v>
      </c>
      <c r="M1331" s="42">
        <f>IFERROR(VLOOKUP(TA[[#This Row],[Affected Equipment]],'Basic Data'!$I$2:$K$40,3,0),"")</f>
        <v>1.7241379310344799E-3</v>
      </c>
      <c r="N1331">
        <v>-28</v>
      </c>
      <c r="O1331" t="s">
        <v>135</v>
      </c>
      <c r="P1331" s="127" t="s">
        <v>318</v>
      </c>
      <c r="Q1331" s="126" t="s">
        <v>318</v>
      </c>
      <c r="R1331">
        <v>131</v>
      </c>
      <c r="S1331" s="2">
        <v>39</v>
      </c>
      <c r="T1331" t="s">
        <v>295</v>
      </c>
      <c r="U1331" t="s">
        <v>300</v>
      </c>
      <c r="V1331" t="s">
        <v>298</v>
      </c>
      <c r="W1331" s="41"/>
      <c r="X1331" s="41"/>
      <c r="Y1331" s="34"/>
      <c r="Z1331" s="34"/>
      <c r="AA1331" s="35">
        <f>IF(TA[[#This Row],[Work Start time on Fault]]="NA","",(TA[[#This Row],[Fault Acknowledgement Time ]]-TA[[#This Row],[Fault Time]])*24)</f>
        <v>0</v>
      </c>
      <c r="AB1331" s="35">
        <f>(TA[[#This Row],[Work Start time on Fault]]-TA[[#This Row],[Fault Time]])*24</f>
        <v>0</v>
      </c>
      <c r="AC1331" s="34">
        <f>(TA[[#This Row],[Work Completion time on fault]]-TA[[#This Row],[Fault Time]])*24</f>
        <v>0</v>
      </c>
      <c r="AD1331" s="35">
        <f>IFERROR((TA[[#This Row],[Work Completion time on fault]]-TA[[#This Row],[Fault Time]])*24,"")</f>
        <v>0</v>
      </c>
      <c r="AE1331" t="s">
        <v>328</v>
      </c>
      <c r="AF1331" t="s">
        <v>256</v>
      </c>
      <c r="AG1331" s="2"/>
      <c r="AH1331" s="44">
        <f>1-COS(RADIANS(TA[[#This Row],[Avg. Target Angle during Fault Time (Radians)]]-TA[[#This Row],[Angle of affected equipment ]]))</f>
        <v>0.11705240714107301</v>
      </c>
      <c r="AI1331" s="35">
        <f>IFERROR(TA[[#This Row],[Breakdown Time]]*TA[[#This Row],[Plant Equivalent Weightage]],"")</f>
        <v>0</v>
      </c>
    </row>
    <row r="1332" spans="1:35">
      <c r="A1332" s="2">
        <f t="shared" si="151"/>
        <v>1329</v>
      </c>
      <c r="B1332" s="156">
        <f t="shared" si="154"/>
        <v>2026</v>
      </c>
      <c r="C1332" s="129">
        <f t="shared" si="155"/>
        <v>2025</v>
      </c>
      <c r="D1332" s="2" t="s">
        <v>155</v>
      </c>
      <c r="E1332" s="2" t="s">
        <v>155</v>
      </c>
      <c r="F1332" s="39">
        <v>45839</v>
      </c>
      <c r="G1332" s="2">
        <f>DAY(EOMONTH(TA[[#This Row],[Month Year]],0))</f>
        <v>31</v>
      </c>
      <c r="H1332" s="21">
        <v>45839</v>
      </c>
      <c r="I1332" s="41">
        <f>IFERROR(VLOOKUP(TA[[#This Row],[Date]],Raw_Data[[Date]:[Sunset Time (POA&lt;20 W/m2)]],3,0),"")</f>
        <v>0.25833333333333336</v>
      </c>
      <c r="J1332" s="41">
        <f>IFERROR(VLOOKUP(TA[[#This Row],[Date]],Raw_Data[[Date]:[Sunset Time (POA&lt;20 W/m2)]],4,0),"")</f>
        <v>0.77083333333333337</v>
      </c>
      <c r="K1332" s="35">
        <f>IFERROR((TA[[#This Row],[Sunset Time (POA&lt;20 W/m2)]]-TA[[#This Row],[Sunrise Time (POA&gt;20 W/m2)]])*24,"")</f>
        <v>12.299999999999999</v>
      </c>
      <c r="L1332" s="2" t="s">
        <v>296</v>
      </c>
      <c r="M1332" s="42">
        <f>IFERROR(VLOOKUP(TA[[#This Row],[Affected Equipment]],'Basic Data'!$I$2:$K$40,3,0),"")</f>
        <v>8.6206896551724102E-3</v>
      </c>
      <c r="N1332">
        <v>-28</v>
      </c>
      <c r="O1332" t="s">
        <v>135</v>
      </c>
      <c r="P1332" s="127" t="s">
        <v>318</v>
      </c>
      <c r="Q1332" s="2" t="s">
        <v>321</v>
      </c>
      <c r="R1332">
        <v>133</v>
      </c>
      <c r="S1332" s="2">
        <v>26</v>
      </c>
      <c r="T1332" t="s">
        <v>297</v>
      </c>
      <c r="U1332" t="s">
        <v>300</v>
      </c>
      <c r="V1332" t="s">
        <v>314</v>
      </c>
      <c r="W1332" s="41">
        <f>IFERROR(VLOOKUP(TA[[#This Row],[Date]],Raw_Data[[Date]:[Sunset Time (POA&lt;20 W/m2)]],3,0),"")</f>
        <v>0.25833333333333336</v>
      </c>
      <c r="X1332" s="41">
        <f>IFERROR(VLOOKUP(TA[[#This Row],[Date]],Raw_Data[[Date]:[Sunset Time (POA&lt;20 W/m2)]],3,0),"")</f>
        <v>0.25833333333333336</v>
      </c>
      <c r="Y1332" s="34"/>
      <c r="Z1332" s="34">
        <v>0.76041666666666663</v>
      </c>
      <c r="AA1332" s="35">
        <f>IF(TA[[#This Row],[Work Start time on Fault]]="NA","",(TA[[#This Row],[Fault Acknowledgement Time ]]-TA[[#This Row],[Fault Time]])*24)</f>
        <v>0</v>
      </c>
      <c r="AB1332" s="35">
        <f>(TA[[#This Row],[Work Start time on Fault]]-TA[[#This Row],[Fault Time]])*24</f>
        <v>-6.2000000000000011</v>
      </c>
      <c r="AC1332" s="34">
        <f>(TA[[#This Row],[Work Completion time on fault]]-TA[[#This Row],[Fault Time]])*24</f>
        <v>12.049999999999997</v>
      </c>
      <c r="AD1332" s="35">
        <f>IFERROR((TA[[#This Row],[Work Completion time on fault]]-TA[[#This Row],[Fault Time]])*24,"")</f>
        <v>12.049999999999997</v>
      </c>
      <c r="AE1332" t="s">
        <v>328</v>
      </c>
      <c r="AF1332" t="s">
        <v>256</v>
      </c>
      <c r="AG1332" s="2"/>
      <c r="AH1332" s="44">
        <f>1-COS(RADIANS(TA[[#This Row],[Avg. Target Angle during Fault Time (Radians)]]-TA[[#This Row],[Angle of affected equipment ]]))</f>
        <v>0.11705240714107301</v>
      </c>
      <c r="AI1332" s="35">
        <f>IFERROR(TA[[#This Row],[Breakdown Time]]*TA[[#This Row],[Plant Equivalent Weightage]],"")</f>
        <v>0.10387931034482752</v>
      </c>
    </row>
    <row r="1333" spans="1:35">
      <c r="A1333" s="2">
        <f t="shared" si="151"/>
        <v>1330</v>
      </c>
      <c r="B1333" s="156">
        <f t="shared" si="154"/>
        <v>2026</v>
      </c>
      <c r="C1333" s="129">
        <f t="shared" si="155"/>
        <v>2025</v>
      </c>
      <c r="D1333" s="2" t="s">
        <v>155</v>
      </c>
      <c r="E1333" s="2" t="s">
        <v>155</v>
      </c>
      <c r="F1333" s="39">
        <v>45839</v>
      </c>
      <c r="G1333" s="2">
        <f>DAY(EOMONTH(TA[[#This Row],[Month Year]],0))</f>
        <v>31</v>
      </c>
      <c r="H1333" s="21">
        <v>45839</v>
      </c>
      <c r="I1333" s="41">
        <f>IFERROR(VLOOKUP(TA[[#This Row],[Date]],Raw_Data[[Date]:[Sunset Time (POA&lt;20 W/m2)]],3,0),"")</f>
        <v>0.25833333333333336</v>
      </c>
      <c r="J1333" s="41">
        <f>IFERROR(VLOOKUP(TA[[#This Row],[Date]],Raw_Data[[Date]:[Sunset Time (POA&lt;20 W/m2)]],4,0),"")</f>
        <v>0.77083333333333337</v>
      </c>
      <c r="K1333" s="35">
        <f>IFERROR((TA[[#This Row],[Sunset Time (POA&lt;20 W/m2)]]-TA[[#This Row],[Sunrise Time (POA&gt;20 W/m2)]])*24,"")</f>
        <v>12.299999999999999</v>
      </c>
      <c r="L1333" s="2" t="s">
        <v>294</v>
      </c>
      <c r="M1333" s="42">
        <f>IFERROR(VLOOKUP(TA[[#This Row],[Affected Equipment]],'Basic Data'!$I$2:$K$40,3,0),"")</f>
        <v>1.7241379310344799E-3</v>
      </c>
      <c r="N1333">
        <v>-28</v>
      </c>
      <c r="O1333" t="s">
        <v>133</v>
      </c>
      <c r="P1333" s="127" t="s">
        <v>316</v>
      </c>
      <c r="Q1333" s="126" t="s">
        <v>317</v>
      </c>
      <c r="R1333">
        <v>7</v>
      </c>
      <c r="S1333" s="2">
        <v>32</v>
      </c>
      <c r="T1333" t="s">
        <v>295</v>
      </c>
      <c r="U1333" t="s">
        <v>300</v>
      </c>
      <c r="V1333" t="s">
        <v>298</v>
      </c>
      <c r="W1333" s="41"/>
      <c r="X1333" s="41"/>
      <c r="Y1333" s="34"/>
      <c r="Z1333" s="34"/>
      <c r="AA1333" s="35">
        <f>IF(TA[[#This Row],[Work Start time on Fault]]="NA","",(TA[[#This Row],[Fault Acknowledgement Time ]]-TA[[#This Row],[Fault Time]])*24)</f>
        <v>0</v>
      </c>
      <c r="AB1333" s="35">
        <f>(TA[[#This Row],[Work Start time on Fault]]-TA[[#This Row],[Fault Time]])*24</f>
        <v>0</v>
      </c>
      <c r="AC1333" s="34">
        <f>(TA[[#This Row],[Work Completion time on fault]]-TA[[#This Row],[Fault Time]])*24</f>
        <v>0</v>
      </c>
      <c r="AD1333" s="35">
        <f>IFERROR((TA[[#This Row],[Work Completion time on fault]]-TA[[#This Row],[Fault Time]])*24,"")</f>
        <v>0</v>
      </c>
      <c r="AE1333" t="s">
        <v>328</v>
      </c>
      <c r="AF1333" t="s">
        <v>256</v>
      </c>
      <c r="AG1333" s="2"/>
      <c r="AH1333" s="44">
        <f>1-COS(RADIANS(TA[[#This Row],[Avg. Target Angle during Fault Time (Radians)]]-TA[[#This Row],[Angle of affected equipment ]]))</f>
        <v>0.11705240714107301</v>
      </c>
      <c r="AI1333" s="35">
        <f>IFERROR(TA[[#This Row],[Breakdown Time]]*TA[[#This Row],[Plant Equivalent Weightage]],"")</f>
        <v>0</v>
      </c>
    </row>
    <row r="1334" spans="1:35">
      <c r="A1334" s="2">
        <f t="shared" si="151"/>
        <v>1331</v>
      </c>
      <c r="B1334" s="156">
        <f t="shared" si="154"/>
        <v>2026</v>
      </c>
      <c r="C1334" s="129">
        <f t="shared" si="155"/>
        <v>2025</v>
      </c>
      <c r="D1334" s="2" t="s">
        <v>155</v>
      </c>
      <c r="E1334" s="2" t="s">
        <v>155</v>
      </c>
      <c r="F1334" s="39">
        <v>45839</v>
      </c>
      <c r="G1334" s="2">
        <f>DAY(EOMONTH(TA[[#This Row],[Month Year]],0))</f>
        <v>31</v>
      </c>
      <c r="H1334" s="21">
        <v>45839</v>
      </c>
      <c r="I1334" s="41">
        <f>IFERROR(VLOOKUP(TA[[#This Row],[Date]],Raw_Data[[Date]:[Sunset Time (POA&lt;20 W/m2)]],3,0),"")</f>
        <v>0.25833333333333336</v>
      </c>
      <c r="J1334" s="41">
        <f>IFERROR(VLOOKUP(TA[[#This Row],[Date]],Raw_Data[[Date]:[Sunset Time (POA&lt;20 W/m2)]],4,0),"")</f>
        <v>0.77083333333333337</v>
      </c>
      <c r="K1334" s="35">
        <f>IFERROR((TA[[#This Row],[Sunset Time (POA&lt;20 W/m2)]]-TA[[#This Row],[Sunrise Time (POA&gt;20 W/m2)]])*24,"")</f>
        <v>12.299999999999999</v>
      </c>
      <c r="L1334" s="2" t="s">
        <v>294</v>
      </c>
      <c r="M1334" s="42">
        <f>IFERROR(VLOOKUP(TA[[#This Row],[Affected Equipment]],'Basic Data'!$I$2:$K$40,3,0),"")</f>
        <v>1.7241379310344799E-3</v>
      </c>
      <c r="N1334">
        <v>-28</v>
      </c>
      <c r="O1334" t="s">
        <v>137</v>
      </c>
      <c r="P1334" s="127" t="s">
        <v>315</v>
      </c>
      <c r="Q1334" s="126" t="s">
        <v>319</v>
      </c>
      <c r="R1334">
        <v>166</v>
      </c>
      <c r="S1334" s="2">
        <v>91</v>
      </c>
      <c r="T1334" t="s">
        <v>295</v>
      </c>
      <c r="U1334" t="s">
        <v>300</v>
      </c>
      <c r="V1334" t="s">
        <v>298</v>
      </c>
      <c r="W1334" s="41"/>
      <c r="X1334" s="41"/>
      <c r="Y1334" s="34"/>
      <c r="Z1334" s="34"/>
      <c r="AA1334" s="35">
        <f>IF(TA[[#This Row],[Work Start time on Fault]]="NA","",(TA[[#This Row],[Fault Acknowledgement Time ]]-TA[[#This Row],[Fault Time]])*24)</f>
        <v>0</v>
      </c>
      <c r="AB1334" s="35">
        <f>(TA[[#This Row],[Work Start time on Fault]]-TA[[#This Row],[Fault Time]])*24</f>
        <v>0</v>
      </c>
      <c r="AC1334" s="34">
        <f>(TA[[#This Row],[Work Completion time on fault]]-TA[[#This Row],[Fault Time]])*24</f>
        <v>0</v>
      </c>
      <c r="AD1334" s="35">
        <f>IFERROR((TA[[#This Row],[Work Completion time on fault]]-TA[[#This Row],[Fault Time]])*24,"")</f>
        <v>0</v>
      </c>
      <c r="AE1334" t="s">
        <v>328</v>
      </c>
      <c r="AF1334" t="s">
        <v>256</v>
      </c>
      <c r="AG1334" s="2"/>
      <c r="AH1334" s="44">
        <f>1-COS(RADIANS(TA[[#This Row],[Avg. Target Angle during Fault Time (Radians)]]-TA[[#This Row],[Angle of affected equipment ]]))</f>
        <v>0.11705240714107301</v>
      </c>
      <c r="AI1334" s="35">
        <f>IFERROR(TA[[#This Row],[Breakdown Time]]*TA[[#This Row],[Plant Equivalent Weightage]],"")</f>
        <v>0</v>
      </c>
    </row>
    <row r="1335" spans="1:35">
      <c r="A1335" s="2">
        <f t="shared" si="151"/>
        <v>1332</v>
      </c>
      <c r="B1335" s="156">
        <f t="shared" si="154"/>
        <v>2026</v>
      </c>
      <c r="C1335" s="129">
        <f t="shared" si="155"/>
        <v>2025</v>
      </c>
      <c r="D1335" s="2" t="s">
        <v>155</v>
      </c>
      <c r="E1335" s="2" t="s">
        <v>155</v>
      </c>
      <c r="F1335" s="39">
        <v>45839</v>
      </c>
      <c r="G1335" s="2">
        <f>DAY(EOMONTH(TA[[#This Row],[Month Year]],0))</f>
        <v>31</v>
      </c>
      <c r="H1335" s="21">
        <v>45839</v>
      </c>
      <c r="I1335" s="41">
        <f>IFERROR(VLOOKUP(TA[[#This Row],[Date]],Raw_Data[[Date]:[Sunset Time (POA&lt;20 W/m2)]],3,0),"")</f>
        <v>0.25833333333333336</v>
      </c>
      <c r="J1335" s="41">
        <f>IFERROR(VLOOKUP(TA[[#This Row],[Date]],Raw_Data[[Date]:[Sunset Time (POA&lt;20 W/m2)]],4,0),"")</f>
        <v>0.77083333333333337</v>
      </c>
      <c r="K1335" s="35">
        <f>IFERROR((TA[[#This Row],[Sunset Time (POA&lt;20 W/m2)]]-TA[[#This Row],[Sunrise Time (POA&gt;20 W/m2)]])*24,"")</f>
        <v>12.299999999999999</v>
      </c>
      <c r="L1335" s="2" t="s">
        <v>294</v>
      </c>
      <c r="M1335" s="42">
        <f>IFERROR(VLOOKUP(TA[[#This Row],[Affected Equipment]],'Basic Data'!$I$2:$K$40,3,0),"")</f>
        <v>1.7241379310344799E-3</v>
      </c>
      <c r="N1335">
        <v>-28</v>
      </c>
      <c r="O1335" t="s">
        <v>133</v>
      </c>
      <c r="P1335" s="127" t="s">
        <v>316</v>
      </c>
      <c r="Q1335" s="126" t="s">
        <v>316</v>
      </c>
      <c r="R1335">
        <v>117</v>
      </c>
      <c r="S1335" s="2">
        <v>20</v>
      </c>
      <c r="T1335" t="s">
        <v>295</v>
      </c>
      <c r="U1335" t="s">
        <v>300</v>
      </c>
      <c r="V1335" t="s">
        <v>298</v>
      </c>
      <c r="W1335" s="41"/>
      <c r="X1335" s="41"/>
      <c r="Y1335" s="34"/>
      <c r="Z1335" s="34"/>
      <c r="AA1335" s="35">
        <f>IF(TA[[#This Row],[Work Start time on Fault]]="NA","",(TA[[#This Row],[Fault Acknowledgement Time ]]-TA[[#This Row],[Fault Time]])*24)</f>
        <v>0</v>
      </c>
      <c r="AB1335" s="35">
        <f>(TA[[#This Row],[Work Start time on Fault]]-TA[[#This Row],[Fault Time]])*24</f>
        <v>0</v>
      </c>
      <c r="AC1335" s="34">
        <f>(TA[[#This Row],[Work Completion time on fault]]-TA[[#This Row],[Fault Time]])*24</f>
        <v>0</v>
      </c>
      <c r="AD1335" s="35">
        <f>IFERROR((TA[[#This Row],[Work Completion time on fault]]-TA[[#This Row],[Fault Time]])*24,"")</f>
        <v>0</v>
      </c>
      <c r="AE1335" t="s">
        <v>328</v>
      </c>
      <c r="AF1335" t="s">
        <v>256</v>
      </c>
      <c r="AG1335" s="2"/>
      <c r="AH1335" s="44">
        <f>1-COS(RADIANS(TA[[#This Row],[Avg. Target Angle during Fault Time (Radians)]]-TA[[#This Row],[Angle of affected equipment ]]))</f>
        <v>0.11705240714107301</v>
      </c>
      <c r="AI1335" s="35">
        <f>IFERROR(TA[[#This Row],[Breakdown Time]]*TA[[#This Row],[Plant Equivalent Weightage]],"")</f>
        <v>0</v>
      </c>
    </row>
    <row r="1336" spans="1:35">
      <c r="A1336" s="2">
        <f t="shared" si="151"/>
        <v>1333</v>
      </c>
      <c r="B1336" s="156">
        <f t="shared" si="154"/>
        <v>2026</v>
      </c>
      <c r="C1336" s="129">
        <f t="shared" si="155"/>
        <v>2025</v>
      </c>
      <c r="D1336" s="2" t="s">
        <v>155</v>
      </c>
      <c r="E1336" s="2" t="s">
        <v>155</v>
      </c>
      <c r="F1336" s="39">
        <v>45839</v>
      </c>
      <c r="G1336" s="2">
        <f>DAY(EOMONTH(TA[[#This Row],[Month Year]],0))</f>
        <v>31</v>
      </c>
      <c r="H1336" s="21">
        <v>45839</v>
      </c>
      <c r="I1336" s="41">
        <f>IFERROR(VLOOKUP(TA[[#This Row],[Date]],Raw_Data[[Date]:[Sunset Time (POA&lt;20 W/m2)]],3,0),"")</f>
        <v>0.25833333333333336</v>
      </c>
      <c r="J1336" s="41">
        <f>IFERROR(VLOOKUP(TA[[#This Row],[Date]],Raw_Data[[Date]:[Sunset Time (POA&lt;20 W/m2)]],4,0),"")</f>
        <v>0.77083333333333337</v>
      </c>
      <c r="K1336" s="35">
        <f>IFERROR((TA[[#This Row],[Sunset Time (POA&lt;20 W/m2)]]-TA[[#This Row],[Sunrise Time (POA&gt;20 W/m2)]])*24,"")</f>
        <v>12.299999999999999</v>
      </c>
      <c r="L1336" s="2" t="s">
        <v>294</v>
      </c>
      <c r="M1336" s="42">
        <f>IFERROR(VLOOKUP(TA[[#This Row],[Affected Equipment]],'Basic Data'!$I$2:$K$40,3,0),"")</f>
        <v>1.7241379310344799E-3</v>
      </c>
      <c r="N1336">
        <v>-28</v>
      </c>
      <c r="O1336" t="s">
        <v>133</v>
      </c>
      <c r="P1336" s="127" t="s">
        <v>316</v>
      </c>
      <c r="Q1336" s="126" t="s">
        <v>316</v>
      </c>
      <c r="R1336">
        <v>118</v>
      </c>
      <c r="S1336" s="2">
        <v>22</v>
      </c>
      <c r="T1336" t="s">
        <v>295</v>
      </c>
      <c r="U1336" t="s">
        <v>300</v>
      </c>
      <c r="V1336" t="s">
        <v>298</v>
      </c>
      <c r="W1336" s="41"/>
      <c r="X1336" s="41"/>
      <c r="Y1336" s="34"/>
      <c r="Z1336" s="34"/>
      <c r="AA1336" s="35">
        <f>IF(TA[[#This Row],[Work Start time on Fault]]="NA","",(TA[[#This Row],[Fault Acknowledgement Time ]]-TA[[#This Row],[Fault Time]])*24)</f>
        <v>0</v>
      </c>
      <c r="AB1336" s="35">
        <f>(TA[[#This Row],[Work Start time on Fault]]-TA[[#This Row],[Fault Time]])*24</f>
        <v>0</v>
      </c>
      <c r="AC1336" s="34">
        <f>(TA[[#This Row],[Work Completion time on fault]]-TA[[#This Row],[Fault Time]])*24</f>
        <v>0</v>
      </c>
      <c r="AD1336" s="35">
        <f>IFERROR((TA[[#This Row],[Work Completion time on fault]]-TA[[#This Row],[Fault Time]])*24,"")</f>
        <v>0</v>
      </c>
      <c r="AE1336" t="s">
        <v>328</v>
      </c>
      <c r="AF1336" t="s">
        <v>256</v>
      </c>
      <c r="AG1336" s="2"/>
      <c r="AH1336" s="44">
        <f>1-COS(RADIANS(TA[[#This Row],[Avg. Target Angle during Fault Time (Radians)]]-TA[[#This Row],[Angle of affected equipment ]]))</f>
        <v>0.11705240714107301</v>
      </c>
      <c r="AI1336" s="35">
        <f>IFERROR(TA[[#This Row],[Breakdown Time]]*TA[[#This Row],[Plant Equivalent Weightage]],"")</f>
        <v>0</v>
      </c>
    </row>
    <row r="1337" spans="1:35">
      <c r="A1337" s="2">
        <f t="shared" si="151"/>
        <v>1334</v>
      </c>
      <c r="B1337" s="156">
        <f t="shared" si="154"/>
        <v>2026</v>
      </c>
      <c r="C1337" s="129">
        <f t="shared" si="155"/>
        <v>2025</v>
      </c>
      <c r="D1337" s="2" t="s">
        <v>155</v>
      </c>
      <c r="E1337" s="2" t="s">
        <v>155</v>
      </c>
      <c r="F1337" s="39">
        <v>45839</v>
      </c>
      <c r="G1337" s="2">
        <f>DAY(EOMONTH(TA[[#This Row],[Month Year]],0))</f>
        <v>31</v>
      </c>
      <c r="H1337" s="21">
        <v>45839</v>
      </c>
      <c r="I1337" s="41">
        <f>IFERROR(VLOOKUP(TA[[#This Row],[Date]],Raw_Data[[Date]:[Sunset Time (POA&lt;20 W/m2)]],3,0),"")</f>
        <v>0.25833333333333336</v>
      </c>
      <c r="J1337" s="41">
        <f>IFERROR(VLOOKUP(TA[[#This Row],[Date]],Raw_Data[[Date]:[Sunset Time (POA&lt;20 W/m2)]],4,0),"")</f>
        <v>0.77083333333333337</v>
      </c>
      <c r="K1337" s="35">
        <f>IFERROR((TA[[#This Row],[Sunset Time (POA&lt;20 W/m2)]]-TA[[#This Row],[Sunrise Time (POA&gt;20 W/m2)]])*24,"")</f>
        <v>12.299999999999999</v>
      </c>
      <c r="L1337" s="2" t="s">
        <v>296</v>
      </c>
      <c r="M1337" s="42">
        <f>IFERROR(VLOOKUP(TA[[#This Row],[Affected Equipment]],'Basic Data'!$I$2:$K$40,3,0),"")</f>
        <v>8.6206896551724102E-3</v>
      </c>
      <c r="N1337">
        <v>-28</v>
      </c>
      <c r="O1337" t="s">
        <v>135</v>
      </c>
      <c r="P1337" s="22" t="s">
        <v>323</v>
      </c>
      <c r="Q1337" s="2" t="s">
        <v>329</v>
      </c>
      <c r="R1337">
        <v>45</v>
      </c>
      <c r="S1337" s="2">
        <v>8</v>
      </c>
      <c r="T1337" t="s">
        <v>297</v>
      </c>
      <c r="U1337" t="s">
        <v>300</v>
      </c>
      <c r="V1337" t="s">
        <v>301</v>
      </c>
      <c r="W1337" s="41"/>
      <c r="X1337" s="41"/>
      <c r="Y1337" s="34"/>
      <c r="Z1337" s="34"/>
      <c r="AA1337" s="35">
        <f>IF(TA[[#This Row],[Work Start time on Fault]]="NA","",(TA[[#This Row],[Fault Acknowledgement Time ]]-TA[[#This Row],[Fault Time]])*24)</f>
        <v>0</v>
      </c>
      <c r="AB1337" s="35">
        <f>(TA[[#This Row],[Work Start time on Fault]]-TA[[#This Row],[Fault Time]])*24</f>
        <v>0</v>
      </c>
      <c r="AC1337" s="34">
        <f>(TA[[#This Row],[Work Completion time on fault]]-TA[[#This Row],[Fault Time]])*24</f>
        <v>0</v>
      </c>
      <c r="AD1337" s="35">
        <f>IFERROR((TA[[#This Row],[Work Completion time on fault]]-TA[[#This Row],[Fault Time]])*24,"")</f>
        <v>0</v>
      </c>
      <c r="AE1337" t="s">
        <v>328</v>
      </c>
      <c r="AF1337" t="s">
        <v>256</v>
      </c>
      <c r="AG1337" s="2"/>
      <c r="AH1337" s="44">
        <f>1-COS(RADIANS(TA[[#This Row],[Avg. Target Angle during Fault Time (Radians)]]-TA[[#This Row],[Angle of affected equipment ]]))</f>
        <v>0.11705240714107301</v>
      </c>
      <c r="AI1337" s="35">
        <f>IFERROR(TA[[#This Row],[Breakdown Time]]*TA[[#This Row],[Plant Equivalent Weightage]],"")</f>
        <v>0</v>
      </c>
    </row>
    <row r="1338" spans="1:35">
      <c r="A1338" s="2">
        <f t="shared" si="151"/>
        <v>1335</v>
      </c>
      <c r="B1338" s="156">
        <f t="shared" si="154"/>
        <v>2026</v>
      </c>
      <c r="C1338" s="129">
        <f t="shared" si="155"/>
        <v>2025</v>
      </c>
      <c r="D1338" s="2" t="s">
        <v>155</v>
      </c>
      <c r="E1338" s="2" t="s">
        <v>155</v>
      </c>
      <c r="F1338" s="39">
        <v>45839</v>
      </c>
      <c r="G1338" s="2">
        <f>DAY(EOMONTH(TA[[#This Row],[Month Year]],0))</f>
        <v>31</v>
      </c>
      <c r="H1338" s="21">
        <v>45839</v>
      </c>
      <c r="I1338" s="41">
        <f>IFERROR(VLOOKUP(TA[[#This Row],[Date]],Raw_Data[[Date]:[Sunset Time (POA&lt;20 W/m2)]],3,0),"")</f>
        <v>0.25833333333333336</v>
      </c>
      <c r="J1338" s="41">
        <f>IFERROR(VLOOKUP(TA[[#This Row],[Date]],Raw_Data[[Date]:[Sunset Time (POA&lt;20 W/m2)]],4,0),"")</f>
        <v>0.77083333333333337</v>
      </c>
      <c r="K1338" s="35">
        <f>IFERROR((TA[[#This Row],[Sunset Time (POA&lt;20 W/m2)]]-TA[[#This Row],[Sunrise Time (POA&gt;20 W/m2)]])*24,"")</f>
        <v>12.299999999999999</v>
      </c>
      <c r="L1338" s="2" t="s">
        <v>296</v>
      </c>
      <c r="M1338" s="42">
        <f>IFERROR(VLOOKUP(TA[[#This Row],[Affected Equipment]],'Basic Data'!$I$2:$K$40,3,0),"")</f>
        <v>8.6206896551724102E-3</v>
      </c>
      <c r="N1338">
        <v>-28</v>
      </c>
      <c r="O1338" t="s">
        <v>135</v>
      </c>
      <c r="P1338" s="22" t="s">
        <v>323</v>
      </c>
      <c r="Q1338" s="2" t="s">
        <v>329</v>
      </c>
      <c r="R1338">
        <v>47</v>
      </c>
      <c r="S1338" s="2">
        <v>18</v>
      </c>
      <c r="T1338" t="s">
        <v>297</v>
      </c>
      <c r="U1338" t="s">
        <v>300</v>
      </c>
      <c r="V1338" t="s">
        <v>301</v>
      </c>
      <c r="W1338" s="41"/>
      <c r="X1338" s="41"/>
      <c r="Y1338" s="34"/>
      <c r="Z1338" s="34"/>
      <c r="AA1338" s="35">
        <f>IF(TA[[#This Row],[Work Start time on Fault]]="NA","",(TA[[#This Row],[Fault Acknowledgement Time ]]-TA[[#This Row],[Fault Time]])*24)</f>
        <v>0</v>
      </c>
      <c r="AB1338" s="35">
        <f>(TA[[#This Row],[Work Start time on Fault]]-TA[[#This Row],[Fault Time]])*24</f>
        <v>0</v>
      </c>
      <c r="AC1338" s="34">
        <f>(TA[[#This Row],[Work Completion time on fault]]-TA[[#This Row],[Fault Time]])*24</f>
        <v>0</v>
      </c>
      <c r="AD1338" s="35">
        <f>IFERROR((TA[[#This Row],[Work Completion time on fault]]-TA[[#This Row],[Fault Time]])*24,"")</f>
        <v>0</v>
      </c>
      <c r="AE1338" t="s">
        <v>328</v>
      </c>
      <c r="AF1338" t="s">
        <v>256</v>
      </c>
      <c r="AG1338" s="2"/>
      <c r="AH1338" s="44">
        <f>1-COS(RADIANS(TA[[#This Row],[Avg. Target Angle during Fault Time (Radians)]]-TA[[#This Row],[Angle of affected equipment ]]))</f>
        <v>0.11705240714107301</v>
      </c>
      <c r="AI1338" s="35">
        <f>IFERROR(TA[[#This Row],[Breakdown Time]]*TA[[#This Row],[Plant Equivalent Weightage]],"")</f>
        <v>0</v>
      </c>
    </row>
    <row r="1339" spans="1:35">
      <c r="A1339" s="2">
        <f t="shared" si="151"/>
        <v>1336</v>
      </c>
      <c r="B1339" s="156">
        <f t="shared" si="154"/>
        <v>2026</v>
      </c>
      <c r="C1339" s="129">
        <f t="shared" si="155"/>
        <v>2025</v>
      </c>
      <c r="D1339" s="2" t="s">
        <v>155</v>
      </c>
      <c r="E1339" s="2" t="s">
        <v>155</v>
      </c>
      <c r="F1339" s="39">
        <v>45839</v>
      </c>
      <c r="G1339" s="2">
        <f>DAY(EOMONTH(TA[[#This Row],[Month Year]],0))</f>
        <v>31</v>
      </c>
      <c r="H1339" s="21">
        <v>45839</v>
      </c>
      <c r="I1339" s="41">
        <f>IFERROR(VLOOKUP(TA[[#This Row],[Date]],Raw_Data[[Date]:[Sunset Time (POA&lt;20 W/m2)]],3,0),"")</f>
        <v>0.25833333333333336</v>
      </c>
      <c r="J1339" s="41">
        <f>IFERROR(VLOOKUP(TA[[#This Row],[Date]],Raw_Data[[Date]:[Sunset Time (POA&lt;20 W/m2)]],4,0),"")</f>
        <v>0.77083333333333337</v>
      </c>
      <c r="K1339" s="35">
        <f>IFERROR((TA[[#This Row],[Sunset Time (POA&lt;20 W/m2)]]-TA[[#This Row],[Sunrise Time (POA&gt;20 W/m2)]])*24,"")</f>
        <v>12.299999999999999</v>
      </c>
      <c r="L1339" s="2" t="s">
        <v>296</v>
      </c>
      <c r="M1339" s="42">
        <f>IFERROR(VLOOKUP(TA[[#This Row],[Affected Equipment]],'Basic Data'!$I$2:$K$40,3,0),"")</f>
        <v>8.6206896551724102E-3</v>
      </c>
      <c r="N1339">
        <v>-28</v>
      </c>
      <c r="O1339" t="s">
        <v>134</v>
      </c>
      <c r="P1339" s="22" t="s">
        <v>330</v>
      </c>
      <c r="Q1339" s="2" t="s">
        <v>323</v>
      </c>
      <c r="R1339">
        <v>30</v>
      </c>
      <c r="S1339" s="2">
        <v>57</v>
      </c>
      <c r="T1339" t="s">
        <v>297</v>
      </c>
      <c r="U1339" t="s">
        <v>300</v>
      </c>
      <c r="V1339" t="s">
        <v>301</v>
      </c>
      <c r="W1339" s="41"/>
      <c r="X1339" s="41"/>
      <c r="Y1339" s="34"/>
      <c r="Z1339" s="34"/>
      <c r="AA1339" s="35">
        <f>IF(TA[[#This Row],[Work Start time on Fault]]="NA","",(TA[[#This Row],[Fault Acknowledgement Time ]]-TA[[#This Row],[Fault Time]])*24)</f>
        <v>0</v>
      </c>
      <c r="AB1339" s="35">
        <f>(TA[[#This Row],[Work Start time on Fault]]-TA[[#This Row],[Fault Time]])*24</f>
        <v>0</v>
      </c>
      <c r="AC1339" s="34">
        <f>(TA[[#This Row],[Work Completion time on fault]]-TA[[#This Row],[Fault Time]])*24</f>
        <v>0</v>
      </c>
      <c r="AD1339" s="35">
        <f>IFERROR((TA[[#This Row],[Work Completion time on fault]]-TA[[#This Row],[Fault Time]])*24,"")</f>
        <v>0</v>
      </c>
      <c r="AE1339" t="s">
        <v>328</v>
      </c>
      <c r="AF1339" t="s">
        <v>256</v>
      </c>
      <c r="AG1339" s="2"/>
      <c r="AH1339" s="44">
        <f>1-COS(RADIANS(TA[[#This Row],[Avg. Target Angle during Fault Time (Radians)]]-TA[[#This Row],[Angle of affected equipment ]]))</f>
        <v>0.11705240714107301</v>
      </c>
      <c r="AI1339" s="35">
        <f>IFERROR(TA[[#This Row],[Breakdown Time]]*TA[[#This Row],[Plant Equivalent Weightage]],"")</f>
        <v>0</v>
      </c>
    </row>
    <row r="1340" spans="1:35">
      <c r="A1340" s="2">
        <f t="shared" si="151"/>
        <v>1337</v>
      </c>
      <c r="B1340" s="156">
        <f t="shared" si="154"/>
        <v>2026</v>
      </c>
      <c r="C1340" s="129">
        <f t="shared" si="155"/>
        <v>2025</v>
      </c>
      <c r="D1340" s="2" t="s">
        <v>155</v>
      </c>
      <c r="E1340" s="2" t="s">
        <v>155</v>
      </c>
      <c r="F1340" s="39">
        <v>45839</v>
      </c>
      <c r="G1340" s="2">
        <f>DAY(EOMONTH(TA[[#This Row],[Month Year]],0))</f>
        <v>31</v>
      </c>
      <c r="H1340" s="21">
        <v>45839</v>
      </c>
      <c r="I1340" s="41">
        <f>IFERROR(VLOOKUP(TA[[#This Row],[Date]],Raw_Data[[Date]:[Sunset Time (POA&lt;20 W/m2)]],3,0),"")</f>
        <v>0.25833333333333336</v>
      </c>
      <c r="J1340" s="41">
        <f>IFERROR(VLOOKUP(TA[[#This Row],[Date]],Raw_Data[[Date]:[Sunset Time (POA&lt;20 W/m2)]],4,0),"")</f>
        <v>0.77083333333333337</v>
      </c>
      <c r="K1340" s="35">
        <f>IFERROR((TA[[#This Row],[Sunset Time (POA&lt;20 W/m2)]]-TA[[#This Row],[Sunrise Time (POA&gt;20 W/m2)]])*24,"")</f>
        <v>12.299999999999999</v>
      </c>
      <c r="L1340" s="2" t="s">
        <v>296</v>
      </c>
      <c r="M1340" s="42">
        <f>IFERROR(VLOOKUP(TA[[#This Row],[Affected Equipment]],'Basic Data'!$I$2:$K$40,3,0),"")</f>
        <v>8.6206896551724102E-3</v>
      </c>
      <c r="N1340">
        <v>-28</v>
      </c>
      <c r="O1340" t="s">
        <v>134</v>
      </c>
      <c r="P1340" s="22" t="s">
        <v>330</v>
      </c>
      <c r="Q1340" s="2" t="s">
        <v>323</v>
      </c>
      <c r="R1340">
        <v>31</v>
      </c>
      <c r="S1340" s="2">
        <v>61</v>
      </c>
      <c r="T1340" t="s">
        <v>297</v>
      </c>
      <c r="U1340" t="s">
        <v>300</v>
      </c>
      <c r="V1340" t="s">
        <v>301</v>
      </c>
      <c r="W1340" s="41"/>
      <c r="X1340" s="41"/>
      <c r="Y1340" s="34"/>
      <c r="Z1340" s="34"/>
      <c r="AA1340" s="35">
        <f>IF(TA[[#This Row],[Work Start time on Fault]]="NA","",(TA[[#This Row],[Fault Acknowledgement Time ]]-TA[[#This Row],[Fault Time]])*24)</f>
        <v>0</v>
      </c>
      <c r="AB1340" s="35">
        <f>(TA[[#This Row],[Work Start time on Fault]]-TA[[#This Row],[Fault Time]])*24</f>
        <v>0</v>
      </c>
      <c r="AC1340" s="34">
        <f>(TA[[#This Row],[Work Completion time on fault]]-TA[[#This Row],[Fault Time]])*24</f>
        <v>0</v>
      </c>
      <c r="AD1340" s="35">
        <f>IFERROR((TA[[#This Row],[Work Completion time on fault]]-TA[[#This Row],[Fault Time]])*24,"")</f>
        <v>0</v>
      </c>
      <c r="AE1340" t="s">
        <v>328</v>
      </c>
      <c r="AF1340" t="s">
        <v>256</v>
      </c>
      <c r="AG1340" s="2"/>
      <c r="AH1340" s="44">
        <f>1-COS(RADIANS(TA[[#This Row],[Avg. Target Angle during Fault Time (Radians)]]-TA[[#This Row],[Angle of affected equipment ]]))</f>
        <v>0.11705240714107301</v>
      </c>
      <c r="AI1340" s="35">
        <f>IFERROR(TA[[#This Row],[Breakdown Time]]*TA[[#This Row],[Plant Equivalent Weightage]],"")</f>
        <v>0</v>
      </c>
    </row>
    <row r="1341" spans="1:35">
      <c r="A1341" s="2">
        <f t="shared" si="151"/>
        <v>1338</v>
      </c>
      <c r="B1341" s="156">
        <f t="shared" si="154"/>
        <v>2026</v>
      </c>
      <c r="C1341" s="129">
        <f t="shared" si="155"/>
        <v>2025</v>
      </c>
      <c r="D1341" s="2" t="s">
        <v>155</v>
      </c>
      <c r="E1341" s="2" t="s">
        <v>155</v>
      </c>
      <c r="F1341" s="39">
        <v>45839</v>
      </c>
      <c r="G1341" s="2">
        <f>DAY(EOMONTH(TA[[#This Row],[Month Year]],0))</f>
        <v>31</v>
      </c>
      <c r="H1341" s="21">
        <v>45839</v>
      </c>
      <c r="I1341" s="41">
        <f>IFERROR(VLOOKUP(TA[[#This Row],[Date]],Raw_Data[[Date]:[Sunset Time (POA&lt;20 W/m2)]],3,0),"")</f>
        <v>0.25833333333333336</v>
      </c>
      <c r="J1341" s="41">
        <f>IFERROR(VLOOKUP(TA[[#This Row],[Date]],Raw_Data[[Date]:[Sunset Time (POA&lt;20 W/m2)]],4,0),"")</f>
        <v>0.77083333333333337</v>
      </c>
      <c r="K1341" s="35">
        <f>IFERROR((TA[[#This Row],[Sunset Time (POA&lt;20 W/m2)]]-TA[[#This Row],[Sunrise Time (POA&gt;20 W/m2)]])*24,"")</f>
        <v>12.299999999999999</v>
      </c>
      <c r="L1341" s="2" t="s">
        <v>312</v>
      </c>
      <c r="M1341" s="42">
        <f>IFERROR(VLOOKUP(TA[[#This Row],[Affected Equipment]],'Basic Data'!$I$2:$K$40,3,0),"")</f>
        <v>5.74712643678161E-3</v>
      </c>
      <c r="N1341">
        <v>-28</v>
      </c>
      <c r="O1341" t="s">
        <v>133</v>
      </c>
      <c r="P1341" s="22" t="s">
        <v>330</v>
      </c>
      <c r="Q1341" s="2" t="s">
        <v>323</v>
      </c>
      <c r="R1341">
        <v>26</v>
      </c>
      <c r="S1341" s="2">
        <v>37</v>
      </c>
      <c r="T1341" t="s">
        <v>297</v>
      </c>
      <c r="U1341" t="s">
        <v>300</v>
      </c>
      <c r="V1341" t="s">
        <v>301</v>
      </c>
      <c r="W1341" s="41"/>
      <c r="X1341" s="41"/>
      <c r="Y1341" s="34"/>
      <c r="Z1341" s="34"/>
      <c r="AA1341" s="35">
        <f>IF(TA[[#This Row],[Work Start time on Fault]]="NA","",(TA[[#This Row],[Fault Acknowledgement Time ]]-TA[[#This Row],[Fault Time]])*24)</f>
        <v>0</v>
      </c>
      <c r="AB1341" s="35">
        <f>(TA[[#This Row],[Work Start time on Fault]]-TA[[#This Row],[Fault Time]])*24</f>
        <v>0</v>
      </c>
      <c r="AC1341" s="34">
        <f>(TA[[#This Row],[Work Completion time on fault]]-TA[[#This Row],[Fault Time]])*24</f>
        <v>0</v>
      </c>
      <c r="AD1341" s="35">
        <f>IFERROR((TA[[#This Row],[Work Completion time on fault]]-TA[[#This Row],[Fault Time]])*24,"")</f>
        <v>0</v>
      </c>
      <c r="AE1341" t="s">
        <v>328</v>
      </c>
      <c r="AF1341" t="s">
        <v>256</v>
      </c>
      <c r="AG1341" s="2"/>
      <c r="AH1341" s="44">
        <f>1-COS(RADIANS(TA[[#This Row],[Avg. Target Angle during Fault Time (Radians)]]-TA[[#This Row],[Angle of affected equipment ]]))</f>
        <v>0.11705240714107301</v>
      </c>
      <c r="AI1341" s="35">
        <f>IFERROR(TA[[#This Row],[Breakdown Time]]*TA[[#This Row],[Plant Equivalent Weightage]],"")</f>
        <v>0</v>
      </c>
    </row>
    <row r="1342" spans="1:35">
      <c r="A1342" s="2">
        <f t="shared" si="151"/>
        <v>1339</v>
      </c>
      <c r="B1342" s="156">
        <f t="shared" si="154"/>
        <v>2026</v>
      </c>
      <c r="C1342" s="129">
        <f t="shared" si="155"/>
        <v>2025</v>
      </c>
      <c r="D1342" s="2" t="s">
        <v>155</v>
      </c>
      <c r="E1342" s="2" t="s">
        <v>155</v>
      </c>
      <c r="F1342" s="39">
        <v>45839</v>
      </c>
      <c r="G1342" s="2">
        <f>DAY(EOMONTH(TA[[#This Row],[Month Year]],0))</f>
        <v>31</v>
      </c>
      <c r="H1342" s="21">
        <v>45839</v>
      </c>
      <c r="I1342" s="41">
        <f>IFERROR(VLOOKUP(TA[[#This Row],[Date]],Raw_Data[[Date]:[Sunset Time (POA&lt;20 W/m2)]],3,0),"")</f>
        <v>0.25833333333333336</v>
      </c>
      <c r="J1342" s="41">
        <f>IFERROR(VLOOKUP(TA[[#This Row],[Date]],Raw_Data[[Date]:[Sunset Time (POA&lt;20 W/m2)]],4,0),"")</f>
        <v>0.77083333333333337</v>
      </c>
      <c r="K1342" s="35">
        <f>IFERROR((TA[[#This Row],[Sunset Time (POA&lt;20 W/m2)]]-TA[[#This Row],[Sunrise Time (POA&gt;20 W/m2)]])*24,"")</f>
        <v>12.299999999999999</v>
      </c>
      <c r="L1342" s="2" t="s">
        <v>312</v>
      </c>
      <c r="M1342" s="42">
        <f>IFERROR(VLOOKUP(TA[[#This Row],[Affected Equipment]],'Basic Data'!$I$2:$K$40,3,0),"")</f>
        <v>5.74712643678161E-3</v>
      </c>
      <c r="N1342">
        <v>-28</v>
      </c>
      <c r="O1342" t="s">
        <v>133</v>
      </c>
      <c r="P1342" s="22" t="s">
        <v>330</v>
      </c>
      <c r="Q1342" s="2" t="s">
        <v>323</v>
      </c>
      <c r="R1342">
        <v>27</v>
      </c>
      <c r="S1342" s="2">
        <v>42</v>
      </c>
      <c r="T1342" t="s">
        <v>297</v>
      </c>
      <c r="U1342" t="s">
        <v>300</v>
      </c>
      <c r="V1342" t="s">
        <v>301</v>
      </c>
      <c r="W1342" s="41">
        <f>IFERROR(VLOOKUP(TA[[#This Row],[Date]],Raw_Data[[Date]:[Sunset Time (POA&lt;20 W/m2)]],3,0),"")</f>
        <v>0.25833333333333336</v>
      </c>
      <c r="X1342" s="41">
        <f>IFERROR(VLOOKUP(TA[[#This Row],[Date]],Raw_Data[[Date]:[Sunset Time (POA&lt;20 W/m2)]],3,0),"")</f>
        <v>0.25833333333333336</v>
      </c>
      <c r="Y1342" s="34"/>
      <c r="Z1342" s="34">
        <v>0.76041666666666663</v>
      </c>
      <c r="AA1342" s="35">
        <f>IF(TA[[#This Row],[Work Start time on Fault]]="NA","",(TA[[#This Row],[Fault Acknowledgement Time ]]-TA[[#This Row],[Fault Time]])*24)</f>
        <v>0</v>
      </c>
      <c r="AB1342" s="35">
        <f>(TA[[#This Row],[Work Start time on Fault]]-TA[[#This Row],[Fault Time]])*24</f>
        <v>-6.2000000000000011</v>
      </c>
      <c r="AC1342" s="34">
        <f>(TA[[#This Row],[Work Completion time on fault]]-TA[[#This Row],[Fault Time]])*24</f>
        <v>12.049999999999997</v>
      </c>
      <c r="AD1342" s="35">
        <f>IFERROR((TA[[#This Row],[Work Completion time on fault]]-TA[[#This Row],[Fault Time]])*24,"")</f>
        <v>12.049999999999997</v>
      </c>
      <c r="AE1342" t="s">
        <v>309</v>
      </c>
      <c r="AF1342" t="s">
        <v>256</v>
      </c>
      <c r="AG1342" s="2"/>
      <c r="AH1342" s="44">
        <f>1-COS(RADIANS(TA[[#This Row],[Avg. Target Angle during Fault Time (Radians)]]-TA[[#This Row],[Angle of affected equipment ]]))</f>
        <v>0.11705240714107301</v>
      </c>
      <c r="AI1342" s="35">
        <f>IFERROR(TA[[#This Row],[Breakdown Time]]*TA[[#This Row],[Plant Equivalent Weightage]],"")</f>
        <v>6.9252873563218381E-2</v>
      </c>
    </row>
    <row r="1343" spans="1:35">
      <c r="A1343" s="2">
        <f t="shared" si="151"/>
        <v>1340</v>
      </c>
      <c r="B1343" s="156">
        <f t="shared" ref="B1343:B1355" si="156">YEAR(H1343)+IF(MONTH(H1343)&gt;=4,1,0)</f>
        <v>2026</v>
      </c>
      <c r="C1343" s="129">
        <f t="shared" ref="C1343:C1355" si="157">YEAR(H1343)</f>
        <v>2025</v>
      </c>
      <c r="D1343" s="2" t="s">
        <v>155</v>
      </c>
      <c r="E1343" s="2" t="s">
        <v>155</v>
      </c>
      <c r="F1343" s="39">
        <v>45839</v>
      </c>
      <c r="G1343" s="2">
        <f>DAY(EOMONTH(TA[[#This Row],[Month Year]],0))</f>
        <v>31</v>
      </c>
      <c r="H1343" s="21">
        <v>45840</v>
      </c>
      <c r="I1343" s="41">
        <f>IFERROR(VLOOKUP(TA[[#This Row],[Date]],Raw_Data[[Date]:[Sunset Time (POA&lt;20 W/m2)]],3,0),"")</f>
        <v>0.26319444444444445</v>
      </c>
      <c r="J1343" s="41">
        <f>IFERROR(VLOOKUP(TA[[#This Row],[Date]],Raw_Data[[Date]:[Sunset Time (POA&lt;20 W/m2)]],4,0),"")</f>
        <v>0.78333333333333333</v>
      </c>
      <c r="K1343" s="35">
        <f>IFERROR((TA[[#This Row],[Sunset Time (POA&lt;20 W/m2)]]-TA[[#This Row],[Sunrise Time (POA&gt;20 W/m2)]])*24,"")</f>
        <v>12.483333333333334</v>
      </c>
      <c r="L1343" s="2" t="s">
        <v>294</v>
      </c>
      <c r="M1343" s="42">
        <f>IFERROR(VLOOKUP(TA[[#This Row],[Affected Equipment]],'Basic Data'!$I$2:$K$40,3,0),"")</f>
        <v>1.7241379310344799E-3</v>
      </c>
      <c r="N1343">
        <v>-28</v>
      </c>
      <c r="O1343" t="s">
        <v>135</v>
      </c>
      <c r="P1343" s="127" t="s">
        <v>318</v>
      </c>
      <c r="Q1343" s="126" t="s">
        <v>318</v>
      </c>
      <c r="R1343">
        <v>131</v>
      </c>
      <c r="S1343" s="2">
        <v>38</v>
      </c>
      <c r="T1343" t="s">
        <v>295</v>
      </c>
      <c r="U1343" t="s">
        <v>300</v>
      </c>
      <c r="V1343" t="s">
        <v>298</v>
      </c>
      <c r="W1343" s="41">
        <f>IFERROR(VLOOKUP(TA[[#This Row],[Date]],Raw_Data[[Date]:[Sunset Time (POA&lt;20 W/m2)]],3,0),"")</f>
        <v>0.26319444444444445</v>
      </c>
      <c r="X1343" s="41">
        <f>IFERROR(VLOOKUP(TA[[#This Row],[Date]],Raw_Data[[Date]:[Sunset Time (POA&lt;20 W/m2)]],3,0),"")</f>
        <v>0.26319444444444445</v>
      </c>
      <c r="Y1343" s="34"/>
      <c r="Z1343" s="34"/>
      <c r="AA1343" s="35">
        <f>IF(TA[[#This Row],[Work Start time on Fault]]="NA","",(TA[[#This Row],[Fault Acknowledgement Time ]]-TA[[#This Row],[Fault Time]])*24)</f>
        <v>0</v>
      </c>
      <c r="AB1343" s="35">
        <f>(TA[[#This Row],[Work Start time on Fault]]-TA[[#This Row],[Fault Time]])*24</f>
        <v>-6.3166666666666664</v>
      </c>
      <c r="AC1343" s="34">
        <f>(TA[[#This Row],[Work Completion time on fault]]-TA[[#This Row],[Fault Time]])*24</f>
        <v>-6.3166666666666664</v>
      </c>
      <c r="AD1343" s="35">
        <f>IFERROR((TA[[#This Row],[Work Completion time on fault]]-TA[[#This Row],[Fault Time]])*24,"")</f>
        <v>-6.3166666666666664</v>
      </c>
      <c r="AE1343" t="s">
        <v>328</v>
      </c>
      <c r="AF1343" t="s">
        <v>256</v>
      </c>
      <c r="AG1343" s="2"/>
      <c r="AH1343" s="44">
        <f>1-COS(RADIANS(TA[[#This Row],[Avg. Target Angle during Fault Time (Radians)]]-TA[[#This Row],[Angle of affected equipment ]]))</f>
        <v>0.11705240714107301</v>
      </c>
      <c r="AI1343" s="35">
        <f>IFERROR(TA[[#This Row],[Breakdown Time]]*TA[[#This Row],[Plant Equivalent Weightage]],"")</f>
        <v>-1.089080459770113E-2</v>
      </c>
    </row>
    <row r="1344" spans="1:35">
      <c r="A1344" s="2">
        <f t="shared" si="151"/>
        <v>1341</v>
      </c>
      <c r="B1344" s="156">
        <f t="shared" si="156"/>
        <v>2026</v>
      </c>
      <c r="C1344" s="129">
        <f t="shared" si="157"/>
        <v>2025</v>
      </c>
      <c r="D1344" s="2" t="s">
        <v>155</v>
      </c>
      <c r="E1344" s="2" t="s">
        <v>155</v>
      </c>
      <c r="F1344" s="39">
        <v>45839</v>
      </c>
      <c r="G1344" s="2">
        <f>DAY(EOMONTH(TA[[#This Row],[Month Year]],0))</f>
        <v>31</v>
      </c>
      <c r="H1344" s="21">
        <v>45840</v>
      </c>
      <c r="I1344" s="41">
        <f>IFERROR(VLOOKUP(TA[[#This Row],[Date]],Raw_Data[[Date]:[Sunset Time (POA&lt;20 W/m2)]],3,0),"")</f>
        <v>0.26319444444444445</v>
      </c>
      <c r="J1344" s="41">
        <f>IFERROR(VLOOKUP(TA[[#This Row],[Date]],Raw_Data[[Date]:[Sunset Time (POA&lt;20 W/m2)]],4,0),"")</f>
        <v>0.78333333333333333</v>
      </c>
      <c r="K1344" s="35">
        <f>IFERROR((TA[[#This Row],[Sunset Time (POA&lt;20 W/m2)]]-TA[[#This Row],[Sunrise Time (POA&gt;20 W/m2)]])*24,"")</f>
        <v>12.483333333333334</v>
      </c>
      <c r="L1344" s="2" t="s">
        <v>294</v>
      </c>
      <c r="M1344" s="42">
        <f>IFERROR(VLOOKUP(TA[[#This Row],[Affected Equipment]],'Basic Data'!$I$2:$K$40,3,0),"")</f>
        <v>1.7241379310344799E-3</v>
      </c>
      <c r="N1344">
        <v>-28</v>
      </c>
      <c r="O1344" t="s">
        <v>135</v>
      </c>
      <c r="P1344" s="127" t="s">
        <v>318</v>
      </c>
      <c r="Q1344" s="126" t="s">
        <v>318</v>
      </c>
      <c r="R1344">
        <v>131</v>
      </c>
      <c r="S1344" s="2">
        <v>39</v>
      </c>
      <c r="T1344" t="s">
        <v>295</v>
      </c>
      <c r="U1344" t="s">
        <v>300</v>
      </c>
      <c r="V1344" t="s">
        <v>298</v>
      </c>
      <c r="W1344" s="41">
        <f>IFERROR(VLOOKUP(TA[[#This Row],[Date]],Raw_Data[[Date]:[Sunset Time (POA&lt;20 W/m2)]],3,0),"")</f>
        <v>0.26319444444444445</v>
      </c>
      <c r="X1344" s="41">
        <f>IFERROR(VLOOKUP(TA[[#This Row],[Date]],Raw_Data[[Date]:[Sunset Time (POA&lt;20 W/m2)]],3,0),"")</f>
        <v>0.26319444444444445</v>
      </c>
      <c r="Y1344" s="34"/>
      <c r="Z1344" s="34"/>
      <c r="AA1344" s="35">
        <f>IF(TA[[#This Row],[Work Start time on Fault]]="NA","",(TA[[#This Row],[Fault Acknowledgement Time ]]-TA[[#This Row],[Fault Time]])*24)</f>
        <v>0</v>
      </c>
      <c r="AB1344" s="35">
        <f>(TA[[#This Row],[Work Start time on Fault]]-TA[[#This Row],[Fault Time]])*24</f>
        <v>-6.3166666666666664</v>
      </c>
      <c r="AC1344" s="34">
        <f>(TA[[#This Row],[Work Completion time on fault]]-TA[[#This Row],[Fault Time]])*24</f>
        <v>-6.3166666666666664</v>
      </c>
      <c r="AD1344" s="35">
        <f>IFERROR((TA[[#This Row],[Work Completion time on fault]]-TA[[#This Row],[Fault Time]])*24,"")</f>
        <v>-6.3166666666666664</v>
      </c>
      <c r="AE1344" t="s">
        <v>328</v>
      </c>
      <c r="AF1344" t="s">
        <v>256</v>
      </c>
      <c r="AG1344" s="2"/>
      <c r="AH1344" s="44">
        <f>1-COS(RADIANS(TA[[#This Row],[Avg. Target Angle during Fault Time (Radians)]]-TA[[#This Row],[Angle of affected equipment ]]))</f>
        <v>0.11705240714107301</v>
      </c>
      <c r="AI1344" s="35">
        <f>IFERROR(TA[[#This Row],[Breakdown Time]]*TA[[#This Row],[Plant Equivalent Weightage]],"")</f>
        <v>-1.089080459770113E-2</v>
      </c>
    </row>
    <row r="1345" spans="1:35">
      <c r="A1345" s="2">
        <f t="shared" si="151"/>
        <v>1342</v>
      </c>
      <c r="B1345" s="156">
        <f t="shared" si="156"/>
        <v>2026</v>
      </c>
      <c r="C1345" s="129">
        <f t="shared" si="157"/>
        <v>2025</v>
      </c>
      <c r="D1345" s="2" t="s">
        <v>155</v>
      </c>
      <c r="E1345" s="2" t="s">
        <v>155</v>
      </c>
      <c r="F1345" s="39">
        <v>45839</v>
      </c>
      <c r="G1345" s="2">
        <f>DAY(EOMONTH(TA[[#This Row],[Month Year]],0))</f>
        <v>31</v>
      </c>
      <c r="H1345" s="21">
        <v>45840</v>
      </c>
      <c r="I1345" s="41">
        <f>IFERROR(VLOOKUP(TA[[#This Row],[Date]],Raw_Data[[Date]:[Sunset Time (POA&lt;20 W/m2)]],3,0),"")</f>
        <v>0.26319444444444445</v>
      </c>
      <c r="J1345" s="41">
        <f>IFERROR(VLOOKUP(TA[[#This Row],[Date]],Raw_Data[[Date]:[Sunset Time (POA&lt;20 W/m2)]],4,0),"")</f>
        <v>0.78333333333333333</v>
      </c>
      <c r="K1345" s="35">
        <f>IFERROR((TA[[#This Row],[Sunset Time (POA&lt;20 W/m2)]]-TA[[#This Row],[Sunrise Time (POA&gt;20 W/m2)]])*24,"")</f>
        <v>12.483333333333334</v>
      </c>
      <c r="L1345" s="2" t="s">
        <v>296</v>
      </c>
      <c r="M1345" s="42">
        <f>IFERROR(VLOOKUP(TA[[#This Row],[Affected Equipment]],'Basic Data'!$I$2:$K$40,3,0),"")</f>
        <v>8.6206896551724102E-3</v>
      </c>
      <c r="N1345">
        <v>-28</v>
      </c>
      <c r="O1345" t="s">
        <v>135</v>
      </c>
      <c r="P1345" s="127" t="s">
        <v>318</v>
      </c>
      <c r="Q1345" s="2" t="s">
        <v>321</v>
      </c>
      <c r="R1345">
        <v>133</v>
      </c>
      <c r="S1345" s="2">
        <v>26</v>
      </c>
      <c r="T1345" t="s">
        <v>297</v>
      </c>
      <c r="U1345" t="s">
        <v>300</v>
      </c>
      <c r="V1345" t="s">
        <v>314</v>
      </c>
      <c r="W1345" s="41">
        <f>IFERROR(VLOOKUP(TA[[#This Row],[Date]],Raw_Data[[Date]:[Sunset Time (POA&lt;20 W/m2)]],3,0),"")</f>
        <v>0.26319444444444445</v>
      </c>
      <c r="X1345" s="41">
        <f>IFERROR(VLOOKUP(TA[[#This Row],[Date]],Raw_Data[[Date]:[Sunset Time (POA&lt;20 W/m2)]],3,0),"")</f>
        <v>0.26319444444444445</v>
      </c>
      <c r="Y1345" s="34"/>
      <c r="Z1345" s="34">
        <v>0.76041666666666663</v>
      </c>
      <c r="AA1345" s="35">
        <f>IF(TA[[#This Row],[Work Start time on Fault]]="NA","",(TA[[#This Row],[Fault Acknowledgement Time ]]-TA[[#This Row],[Fault Time]])*24)</f>
        <v>0</v>
      </c>
      <c r="AB1345" s="35">
        <f>(TA[[#This Row],[Work Start time on Fault]]-TA[[#This Row],[Fault Time]])*24</f>
        <v>-6.3166666666666664</v>
      </c>
      <c r="AC1345" s="34">
        <f>(TA[[#This Row],[Work Completion time on fault]]-TA[[#This Row],[Fault Time]])*24</f>
        <v>11.933333333333332</v>
      </c>
      <c r="AD1345" s="35">
        <f>IFERROR((TA[[#This Row],[Work Completion time on fault]]-TA[[#This Row],[Fault Time]])*24,"")</f>
        <v>11.933333333333332</v>
      </c>
      <c r="AE1345" t="s">
        <v>328</v>
      </c>
      <c r="AF1345" t="s">
        <v>256</v>
      </c>
      <c r="AG1345" s="2"/>
      <c r="AH1345" s="44">
        <f>1-COS(RADIANS(TA[[#This Row],[Avg. Target Angle during Fault Time (Radians)]]-TA[[#This Row],[Angle of affected equipment ]]))</f>
        <v>0.11705240714107301</v>
      </c>
      <c r="AI1345" s="35">
        <f>IFERROR(TA[[#This Row],[Breakdown Time]]*TA[[#This Row],[Plant Equivalent Weightage]],"")</f>
        <v>0.10287356321839075</v>
      </c>
    </row>
    <row r="1346" spans="1:35">
      <c r="A1346" s="2">
        <f t="shared" si="151"/>
        <v>1343</v>
      </c>
      <c r="B1346" s="156">
        <f t="shared" si="156"/>
        <v>2026</v>
      </c>
      <c r="C1346" s="129">
        <f t="shared" si="157"/>
        <v>2025</v>
      </c>
      <c r="D1346" s="2" t="s">
        <v>155</v>
      </c>
      <c r="E1346" s="2" t="s">
        <v>155</v>
      </c>
      <c r="F1346" s="39">
        <v>45839</v>
      </c>
      <c r="G1346" s="2">
        <f>DAY(EOMONTH(TA[[#This Row],[Month Year]],0))</f>
        <v>31</v>
      </c>
      <c r="H1346" s="21">
        <v>45840</v>
      </c>
      <c r="I1346" s="41">
        <f>IFERROR(VLOOKUP(TA[[#This Row],[Date]],Raw_Data[[Date]:[Sunset Time (POA&lt;20 W/m2)]],3,0),"")</f>
        <v>0.26319444444444445</v>
      </c>
      <c r="J1346" s="41">
        <f>IFERROR(VLOOKUP(TA[[#This Row],[Date]],Raw_Data[[Date]:[Sunset Time (POA&lt;20 W/m2)]],4,0),"")</f>
        <v>0.78333333333333333</v>
      </c>
      <c r="K1346" s="35">
        <f>IFERROR((TA[[#This Row],[Sunset Time (POA&lt;20 W/m2)]]-TA[[#This Row],[Sunrise Time (POA&gt;20 W/m2)]])*24,"")</f>
        <v>12.483333333333334</v>
      </c>
      <c r="L1346" s="2" t="s">
        <v>294</v>
      </c>
      <c r="M1346" s="42">
        <f>IFERROR(VLOOKUP(TA[[#This Row],[Affected Equipment]],'Basic Data'!$I$2:$K$40,3,0),"")</f>
        <v>1.7241379310344799E-3</v>
      </c>
      <c r="N1346">
        <v>-28</v>
      </c>
      <c r="O1346" t="s">
        <v>133</v>
      </c>
      <c r="P1346" s="127" t="s">
        <v>316</v>
      </c>
      <c r="Q1346" s="126" t="s">
        <v>317</v>
      </c>
      <c r="R1346">
        <v>7</v>
      </c>
      <c r="S1346" s="2">
        <v>32</v>
      </c>
      <c r="T1346" t="s">
        <v>295</v>
      </c>
      <c r="U1346" t="s">
        <v>300</v>
      </c>
      <c r="V1346" t="s">
        <v>298</v>
      </c>
      <c r="W1346" s="41">
        <f>IFERROR(VLOOKUP(TA[[#This Row],[Date]],Raw_Data[[Date]:[Sunset Time (POA&lt;20 W/m2)]],3,0),"")</f>
        <v>0.26319444444444445</v>
      </c>
      <c r="X1346" s="41">
        <f>IFERROR(VLOOKUP(TA[[#This Row],[Date]],Raw_Data[[Date]:[Sunset Time (POA&lt;20 W/m2)]],3,0),"")</f>
        <v>0.26319444444444445</v>
      </c>
      <c r="Y1346" s="34"/>
      <c r="Z1346" s="34"/>
      <c r="AA1346" s="35">
        <f>IF(TA[[#This Row],[Work Start time on Fault]]="NA","",(TA[[#This Row],[Fault Acknowledgement Time ]]-TA[[#This Row],[Fault Time]])*24)</f>
        <v>0</v>
      </c>
      <c r="AB1346" s="35">
        <f>(TA[[#This Row],[Work Start time on Fault]]-TA[[#This Row],[Fault Time]])*24</f>
        <v>-6.3166666666666664</v>
      </c>
      <c r="AC1346" s="34">
        <f>(TA[[#This Row],[Work Completion time on fault]]-TA[[#This Row],[Fault Time]])*24</f>
        <v>-6.3166666666666664</v>
      </c>
      <c r="AD1346" s="35">
        <f>IFERROR((TA[[#This Row],[Work Completion time on fault]]-TA[[#This Row],[Fault Time]])*24,"")</f>
        <v>-6.3166666666666664</v>
      </c>
      <c r="AE1346" t="s">
        <v>328</v>
      </c>
      <c r="AF1346" t="s">
        <v>256</v>
      </c>
      <c r="AG1346" s="2"/>
      <c r="AH1346" s="44">
        <f>1-COS(RADIANS(TA[[#This Row],[Avg. Target Angle during Fault Time (Radians)]]-TA[[#This Row],[Angle of affected equipment ]]))</f>
        <v>0.11705240714107301</v>
      </c>
      <c r="AI1346" s="35">
        <f>IFERROR(TA[[#This Row],[Breakdown Time]]*TA[[#This Row],[Plant Equivalent Weightage]],"")</f>
        <v>-1.089080459770113E-2</v>
      </c>
    </row>
    <row r="1347" spans="1:35">
      <c r="A1347" s="2">
        <f t="shared" si="151"/>
        <v>1344</v>
      </c>
      <c r="B1347" s="156">
        <f t="shared" si="156"/>
        <v>2026</v>
      </c>
      <c r="C1347" s="129">
        <f t="shared" si="157"/>
        <v>2025</v>
      </c>
      <c r="D1347" s="2" t="s">
        <v>155</v>
      </c>
      <c r="E1347" s="2" t="s">
        <v>155</v>
      </c>
      <c r="F1347" s="39">
        <v>45839</v>
      </c>
      <c r="G1347" s="2">
        <f>DAY(EOMONTH(TA[[#This Row],[Month Year]],0))</f>
        <v>31</v>
      </c>
      <c r="H1347" s="21">
        <v>45840</v>
      </c>
      <c r="I1347" s="41">
        <f>IFERROR(VLOOKUP(TA[[#This Row],[Date]],Raw_Data[[Date]:[Sunset Time (POA&lt;20 W/m2)]],3,0),"")</f>
        <v>0.26319444444444445</v>
      </c>
      <c r="J1347" s="41">
        <f>IFERROR(VLOOKUP(TA[[#This Row],[Date]],Raw_Data[[Date]:[Sunset Time (POA&lt;20 W/m2)]],4,0),"")</f>
        <v>0.78333333333333333</v>
      </c>
      <c r="K1347" s="35">
        <f>IFERROR((TA[[#This Row],[Sunset Time (POA&lt;20 W/m2)]]-TA[[#This Row],[Sunrise Time (POA&gt;20 W/m2)]])*24,"")</f>
        <v>12.483333333333334</v>
      </c>
      <c r="L1347" s="2" t="s">
        <v>294</v>
      </c>
      <c r="M1347" s="42">
        <f>IFERROR(VLOOKUP(TA[[#This Row],[Affected Equipment]],'Basic Data'!$I$2:$K$40,3,0),"")</f>
        <v>1.7241379310344799E-3</v>
      </c>
      <c r="N1347">
        <v>-28</v>
      </c>
      <c r="O1347" t="s">
        <v>137</v>
      </c>
      <c r="P1347" s="127" t="s">
        <v>315</v>
      </c>
      <c r="Q1347" s="126" t="s">
        <v>319</v>
      </c>
      <c r="R1347">
        <v>166</v>
      </c>
      <c r="S1347" s="2">
        <v>91</v>
      </c>
      <c r="T1347" t="s">
        <v>295</v>
      </c>
      <c r="U1347" t="s">
        <v>300</v>
      </c>
      <c r="V1347" t="s">
        <v>298</v>
      </c>
      <c r="W1347" s="41">
        <f>IFERROR(VLOOKUP(TA[[#This Row],[Date]],Raw_Data[[Date]:[Sunset Time (POA&lt;20 W/m2)]],3,0),"")</f>
        <v>0.26319444444444445</v>
      </c>
      <c r="X1347" s="41">
        <f>IFERROR(VLOOKUP(TA[[#This Row],[Date]],Raw_Data[[Date]:[Sunset Time (POA&lt;20 W/m2)]],3,0),"")</f>
        <v>0.26319444444444445</v>
      </c>
      <c r="Y1347" s="34"/>
      <c r="Z1347" s="34"/>
      <c r="AA1347" s="35">
        <f>IF(TA[[#This Row],[Work Start time on Fault]]="NA","",(TA[[#This Row],[Fault Acknowledgement Time ]]-TA[[#This Row],[Fault Time]])*24)</f>
        <v>0</v>
      </c>
      <c r="AB1347" s="35">
        <f>(TA[[#This Row],[Work Start time on Fault]]-TA[[#This Row],[Fault Time]])*24</f>
        <v>-6.3166666666666664</v>
      </c>
      <c r="AC1347" s="34">
        <f>(TA[[#This Row],[Work Completion time on fault]]-TA[[#This Row],[Fault Time]])*24</f>
        <v>-6.3166666666666664</v>
      </c>
      <c r="AD1347" s="35">
        <f>IFERROR((TA[[#This Row],[Work Completion time on fault]]-TA[[#This Row],[Fault Time]])*24,"")</f>
        <v>-6.3166666666666664</v>
      </c>
      <c r="AE1347" t="s">
        <v>328</v>
      </c>
      <c r="AF1347" t="s">
        <v>256</v>
      </c>
      <c r="AG1347" s="2"/>
      <c r="AH1347" s="44">
        <f>1-COS(RADIANS(TA[[#This Row],[Avg. Target Angle during Fault Time (Radians)]]-TA[[#This Row],[Angle of affected equipment ]]))</f>
        <v>0.11705240714107301</v>
      </c>
      <c r="AI1347" s="35">
        <f>IFERROR(TA[[#This Row],[Breakdown Time]]*TA[[#This Row],[Plant Equivalent Weightage]],"")</f>
        <v>-1.089080459770113E-2</v>
      </c>
    </row>
    <row r="1348" spans="1:35">
      <c r="A1348" s="2">
        <f t="shared" si="151"/>
        <v>1345</v>
      </c>
      <c r="B1348" s="156">
        <f t="shared" si="156"/>
        <v>2026</v>
      </c>
      <c r="C1348" s="129">
        <f t="shared" si="157"/>
        <v>2025</v>
      </c>
      <c r="D1348" s="2" t="s">
        <v>155</v>
      </c>
      <c r="E1348" s="2" t="s">
        <v>155</v>
      </c>
      <c r="F1348" s="39">
        <v>45839</v>
      </c>
      <c r="G1348" s="2">
        <f>DAY(EOMONTH(TA[[#This Row],[Month Year]],0))</f>
        <v>31</v>
      </c>
      <c r="H1348" s="21">
        <v>45840</v>
      </c>
      <c r="I1348" s="41">
        <f>IFERROR(VLOOKUP(TA[[#This Row],[Date]],Raw_Data[[Date]:[Sunset Time (POA&lt;20 W/m2)]],3,0),"")</f>
        <v>0.26319444444444445</v>
      </c>
      <c r="J1348" s="41">
        <f>IFERROR(VLOOKUP(TA[[#This Row],[Date]],Raw_Data[[Date]:[Sunset Time (POA&lt;20 W/m2)]],4,0),"")</f>
        <v>0.78333333333333333</v>
      </c>
      <c r="K1348" s="35">
        <f>IFERROR((TA[[#This Row],[Sunset Time (POA&lt;20 W/m2)]]-TA[[#This Row],[Sunrise Time (POA&gt;20 W/m2)]])*24,"")</f>
        <v>12.483333333333334</v>
      </c>
      <c r="L1348" s="2" t="s">
        <v>294</v>
      </c>
      <c r="M1348" s="42">
        <f>IFERROR(VLOOKUP(TA[[#This Row],[Affected Equipment]],'Basic Data'!$I$2:$K$40,3,0),"")</f>
        <v>1.7241379310344799E-3</v>
      </c>
      <c r="N1348">
        <v>-28</v>
      </c>
      <c r="O1348" t="s">
        <v>133</v>
      </c>
      <c r="P1348" s="127" t="s">
        <v>316</v>
      </c>
      <c r="Q1348" s="126" t="s">
        <v>316</v>
      </c>
      <c r="R1348">
        <v>117</v>
      </c>
      <c r="S1348" s="2">
        <v>20</v>
      </c>
      <c r="T1348" t="s">
        <v>295</v>
      </c>
      <c r="U1348" t="s">
        <v>300</v>
      </c>
      <c r="V1348" t="s">
        <v>298</v>
      </c>
      <c r="W1348" s="41">
        <f>IFERROR(VLOOKUP(TA[[#This Row],[Date]],Raw_Data[[Date]:[Sunset Time (POA&lt;20 W/m2)]],3,0),"")</f>
        <v>0.26319444444444445</v>
      </c>
      <c r="X1348" s="41">
        <f>IFERROR(VLOOKUP(TA[[#This Row],[Date]],Raw_Data[[Date]:[Sunset Time (POA&lt;20 W/m2)]],3,0),"")</f>
        <v>0.26319444444444445</v>
      </c>
      <c r="Y1348" s="34"/>
      <c r="Z1348" s="34"/>
      <c r="AA1348" s="35">
        <f>IF(TA[[#This Row],[Work Start time on Fault]]="NA","",(TA[[#This Row],[Fault Acknowledgement Time ]]-TA[[#This Row],[Fault Time]])*24)</f>
        <v>0</v>
      </c>
      <c r="AB1348" s="35">
        <f>(TA[[#This Row],[Work Start time on Fault]]-TA[[#This Row],[Fault Time]])*24</f>
        <v>-6.3166666666666664</v>
      </c>
      <c r="AC1348" s="34">
        <f>(TA[[#This Row],[Work Completion time on fault]]-TA[[#This Row],[Fault Time]])*24</f>
        <v>-6.3166666666666664</v>
      </c>
      <c r="AD1348" s="35">
        <f>IFERROR((TA[[#This Row],[Work Completion time on fault]]-TA[[#This Row],[Fault Time]])*24,"")</f>
        <v>-6.3166666666666664</v>
      </c>
      <c r="AE1348" t="s">
        <v>328</v>
      </c>
      <c r="AF1348" t="s">
        <v>256</v>
      </c>
      <c r="AG1348" s="2"/>
      <c r="AH1348" s="44">
        <f>1-COS(RADIANS(TA[[#This Row],[Avg. Target Angle during Fault Time (Radians)]]-TA[[#This Row],[Angle of affected equipment ]]))</f>
        <v>0.11705240714107301</v>
      </c>
      <c r="AI1348" s="35">
        <f>IFERROR(TA[[#This Row],[Breakdown Time]]*TA[[#This Row],[Plant Equivalent Weightage]],"")</f>
        <v>-1.089080459770113E-2</v>
      </c>
    </row>
    <row r="1349" spans="1:35">
      <c r="A1349" s="2">
        <f t="shared" si="151"/>
        <v>1346</v>
      </c>
      <c r="B1349" s="156">
        <f t="shared" si="156"/>
        <v>2026</v>
      </c>
      <c r="C1349" s="129">
        <f t="shared" si="157"/>
        <v>2025</v>
      </c>
      <c r="D1349" s="2" t="s">
        <v>155</v>
      </c>
      <c r="E1349" s="2" t="s">
        <v>155</v>
      </c>
      <c r="F1349" s="39">
        <v>45839</v>
      </c>
      <c r="G1349" s="2">
        <f>DAY(EOMONTH(TA[[#This Row],[Month Year]],0))</f>
        <v>31</v>
      </c>
      <c r="H1349" s="21">
        <v>45840</v>
      </c>
      <c r="I1349" s="41">
        <f>IFERROR(VLOOKUP(TA[[#This Row],[Date]],Raw_Data[[Date]:[Sunset Time (POA&lt;20 W/m2)]],3,0),"")</f>
        <v>0.26319444444444445</v>
      </c>
      <c r="J1349" s="41">
        <f>IFERROR(VLOOKUP(TA[[#This Row],[Date]],Raw_Data[[Date]:[Sunset Time (POA&lt;20 W/m2)]],4,0),"")</f>
        <v>0.78333333333333333</v>
      </c>
      <c r="K1349" s="35">
        <f>IFERROR((TA[[#This Row],[Sunset Time (POA&lt;20 W/m2)]]-TA[[#This Row],[Sunrise Time (POA&gt;20 W/m2)]])*24,"")</f>
        <v>12.483333333333334</v>
      </c>
      <c r="L1349" s="2" t="s">
        <v>294</v>
      </c>
      <c r="M1349" s="42">
        <f>IFERROR(VLOOKUP(TA[[#This Row],[Affected Equipment]],'Basic Data'!$I$2:$K$40,3,0),"")</f>
        <v>1.7241379310344799E-3</v>
      </c>
      <c r="N1349">
        <v>-28</v>
      </c>
      <c r="O1349" t="s">
        <v>133</v>
      </c>
      <c r="P1349" s="127" t="s">
        <v>316</v>
      </c>
      <c r="Q1349" s="126" t="s">
        <v>316</v>
      </c>
      <c r="R1349">
        <v>118</v>
      </c>
      <c r="S1349" s="2">
        <v>22</v>
      </c>
      <c r="T1349" t="s">
        <v>295</v>
      </c>
      <c r="U1349" t="s">
        <v>300</v>
      </c>
      <c r="V1349" t="s">
        <v>298</v>
      </c>
      <c r="W1349" s="41">
        <f>IFERROR(VLOOKUP(TA[[#This Row],[Date]],Raw_Data[[Date]:[Sunset Time (POA&lt;20 W/m2)]],3,0),"")</f>
        <v>0.26319444444444445</v>
      </c>
      <c r="X1349" s="41">
        <f>IFERROR(VLOOKUP(TA[[#This Row],[Date]],Raw_Data[[Date]:[Sunset Time (POA&lt;20 W/m2)]],3,0),"")</f>
        <v>0.26319444444444445</v>
      </c>
      <c r="Y1349" s="34"/>
      <c r="Z1349" s="34"/>
      <c r="AA1349" s="35">
        <f>IF(TA[[#This Row],[Work Start time on Fault]]="NA","",(TA[[#This Row],[Fault Acknowledgement Time ]]-TA[[#This Row],[Fault Time]])*24)</f>
        <v>0</v>
      </c>
      <c r="AB1349" s="35">
        <f>(TA[[#This Row],[Work Start time on Fault]]-TA[[#This Row],[Fault Time]])*24</f>
        <v>-6.3166666666666664</v>
      </c>
      <c r="AC1349" s="34">
        <f>(TA[[#This Row],[Work Completion time on fault]]-TA[[#This Row],[Fault Time]])*24</f>
        <v>-6.3166666666666664</v>
      </c>
      <c r="AD1349" s="35">
        <f>IFERROR((TA[[#This Row],[Work Completion time on fault]]-TA[[#This Row],[Fault Time]])*24,"")</f>
        <v>-6.3166666666666664</v>
      </c>
      <c r="AE1349" t="s">
        <v>328</v>
      </c>
      <c r="AF1349" t="s">
        <v>256</v>
      </c>
      <c r="AG1349" s="2"/>
      <c r="AH1349" s="44">
        <f>1-COS(RADIANS(TA[[#This Row],[Avg. Target Angle during Fault Time (Radians)]]-TA[[#This Row],[Angle of affected equipment ]]))</f>
        <v>0.11705240714107301</v>
      </c>
      <c r="AI1349" s="35">
        <f>IFERROR(TA[[#This Row],[Breakdown Time]]*TA[[#This Row],[Plant Equivalent Weightage]],"")</f>
        <v>-1.089080459770113E-2</v>
      </c>
    </row>
    <row r="1350" spans="1:35">
      <c r="A1350" s="2">
        <f t="shared" si="151"/>
        <v>1347</v>
      </c>
      <c r="B1350" s="156">
        <f t="shared" si="156"/>
        <v>2026</v>
      </c>
      <c r="C1350" s="129">
        <f t="shared" si="157"/>
        <v>2025</v>
      </c>
      <c r="D1350" s="2" t="s">
        <v>155</v>
      </c>
      <c r="E1350" s="2" t="s">
        <v>155</v>
      </c>
      <c r="F1350" s="39">
        <v>45839</v>
      </c>
      <c r="G1350" s="2">
        <f>DAY(EOMONTH(TA[[#This Row],[Month Year]],0))</f>
        <v>31</v>
      </c>
      <c r="H1350" s="21">
        <v>45840</v>
      </c>
      <c r="I1350" s="41">
        <f>IFERROR(VLOOKUP(TA[[#This Row],[Date]],Raw_Data[[Date]:[Sunset Time (POA&lt;20 W/m2)]],3,0),"")</f>
        <v>0.26319444444444445</v>
      </c>
      <c r="J1350" s="41">
        <f>IFERROR(VLOOKUP(TA[[#This Row],[Date]],Raw_Data[[Date]:[Sunset Time (POA&lt;20 W/m2)]],4,0),"")</f>
        <v>0.78333333333333333</v>
      </c>
      <c r="K1350" s="35">
        <f>IFERROR((TA[[#This Row],[Sunset Time (POA&lt;20 W/m2)]]-TA[[#This Row],[Sunrise Time (POA&gt;20 W/m2)]])*24,"")</f>
        <v>12.483333333333334</v>
      </c>
      <c r="L1350" s="2" t="s">
        <v>296</v>
      </c>
      <c r="M1350" s="42">
        <f>IFERROR(VLOOKUP(TA[[#This Row],[Affected Equipment]],'Basic Data'!$I$2:$K$40,3,0),"")</f>
        <v>8.6206896551724102E-3</v>
      </c>
      <c r="N1350">
        <v>-28</v>
      </c>
      <c r="O1350" t="s">
        <v>135</v>
      </c>
      <c r="P1350" s="22" t="s">
        <v>323</v>
      </c>
      <c r="Q1350" s="2" t="s">
        <v>329</v>
      </c>
      <c r="R1350">
        <v>45</v>
      </c>
      <c r="S1350" s="2">
        <v>8</v>
      </c>
      <c r="T1350" t="s">
        <v>297</v>
      </c>
      <c r="U1350" t="s">
        <v>300</v>
      </c>
      <c r="V1350" t="s">
        <v>301</v>
      </c>
      <c r="W1350" s="41">
        <f>IFERROR(VLOOKUP(TA[[#This Row],[Date]],Raw_Data[[Date]:[Sunset Time (POA&lt;20 W/m2)]],3,0),"")</f>
        <v>0.26319444444444445</v>
      </c>
      <c r="X1350" s="41">
        <f>IFERROR(VLOOKUP(TA[[#This Row],[Date]],Raw_Data[[Date]:[Sunset Time (POA&lt;20 W/m2)]],3,0),"")</f>
        <v>0.26319444444444445</v>
      </c>
      <c r="Y1350" s="34"/>
      <c r="Z1350" s="34"/>
      <c r="AA1350" s="35">
        <f>IF(TA[[#This Row],[Work Start time on Fault]]="NA","",(TA[[#This Row],[Fault Acknowledgement Time ]]-TA[[#This Row],[Fault Time]])*24)</f>
        <v>0</v>
      </c>
      <c r="AB1350" s="35">
        <f>(TA[[#This Row],[Work Start time on Fault]]-TA[[#This Row],[Fault Time]])*24</f>
        <v>-6.3166666666666664</v>
      </c>
      <c r="AC1350" s="34">
        <f>(TA[[#This Row],[Work Completion time on fault]]-TA[[#This Row],[Fault Time]])*24</f>
        <v>-6.3166666666666664</v>
      </c>
      <c r="AD1350" s="35">
        <f>IFERROR((TA[[#This Row],[Work Completion time on fault]]-TA[[#This Row],[Fault Time]])*24,"")</f>
        <v>-6.3166666666666664</v>
      </c>
      <c r="AE1350" t="s">
        <v>328</v>
      </c>
      <c r="AF1350" t="s">
        <v>256</v>
      </c>
      <c r="AG1350" s="2"/>
      <c r="AH1350" s="44">
        <f>1-COS(RADIANS(TA[[#This Row],[Avg. Target Angle during Fault Time (Radians)]]-TA[[#This Row],[Angle of affected equipment ]]))</f>
        <v>0.11705240714107301</v>
      </c>
      <c r="AI1350" s="35">
        <f>IFERROR(TA[[#This Row],[Breakdown Time]]*TA[[#This Row],[Plant Equivalent Weightage]],"")</f>
        <v>-5.4454022988505719E-2</v>
      </c>
    </row>
    <row r="1351" spans="1:35">
      <c r="A1351" s="2">
        <f t="shared" si="151"/>
        <v>1348</v>
      </c>
      <c r="B1351" s="156">
        <f t="shared" si="156"/>
        <v>2026</v>
      </c>
      <c r="C1351" s="129">
        <f t="shared" si="157"/>
        <v>2025</v>
      </c>
      <c r="D1351" s="2" t="s">
        <v>155</v>
      </c>
      <c r="E1351" s="2" t="s">
        <v>155</v>
      </c>
      <c r="F1351" s="39">
        <v>45839</v>
      </c>
      <c r="G1351" s="2">
        <f>DAY(EOMONTH(TA[[#This Row],[Month Year]],0))</f>
        <v>31</v>
      </c>
      <c r="H1351" s="21">
        <v>45840</v>
      </c>
      <c r="I1351" s="41">
        <f>IFERROR(VLOOKUP(TA[[#This Row],[Date]],Raw_Data[[Date]:[Sunset Time (POA&lt;20 W/m2)]],3,0),"")</f>
        <v>0.26319444444444445</v>
      </c>
      <c r="J1351" s="41">
        <f>IFERROR(VLOOKUP(TA[[#This Row],[Date]],Raw_Data[[Date]:[Sunset Time (POA&lt;20 W/m2)]],4,0),"")</f>
        <v>0.78333333333333333</v>
      </c>
      <c r="K1351" s="35">
        <f>IFERROR((TA[[#This Row],[Sunset Time (POA&lt;20 W/m2)]]-TA[[#This Row],[Sunrise Time (POA&gt;20 W/m2)]])*24,"")</f>
        <v>12.483333333333334</v>
      </c>
      <c r="L1351" s="2" t="s">
        <v>296</v>
      </c>
      <c r="M1351" s="42">
        <f>IFERROR(VLOOKUP(TA[[#This Row],[Affected Equipment]],'Basic Data'!$I$2:$K$40,3,0),"")</f>
        <v>8.6206896551724102E-3</v>
      </c>
      <c r="N1351">
        <v>-28</v>
      </c>
      <c r="O1351" t="s">
        <v>135</v>
      </c>
      <c r="P1351" s="22" t="s">
        <v>323</v>
      </c>
      <c r="Q1351" s="2" t="s">
        <v>329</v>
      </c>
      <c r="R1351">
        <v>47</v>
      </c>
      <c r="S1351" s="2">
        <v>18</v>
      </c>
      <c r="T1351" t="s">
        <v>297</v>
      </c>
      <c r="U1351" t="s">
        <v>300</v>
      </c>
      <c r="V1351" t="s">
        <v>301</v>
      </c>
      <c r="W1351" s="41">
        <f>IFERROR(VLOOKUP(TA[[#This Row],[Date]],Raw_Data[[Date]:[Sunset Time (POA&lt;20 W/m2)]],3,0),"")</f>
        <v>0.26319444444444445</v>
      </c>
      <c r="X1351" s="41">
        <f>IFERROR(VLOOKUP(TA[[#This Row],[Date]],Raw_Data[[Date]:[Sunset Time (POA&lt;20 W/m2)]],3,0),"")</f>
        <v>0.26319444444444445</v>
      </c>
      <c r="Y1351" s="34"/>
      <c r="Z1351" s="34"/>
      <c r="AA1351" s="35">
        <f>IF(TA[[#This Row],[Work Start time on Fault]]="NA","",(TA[[#This Row],[Fault Acknowledgement Time ]]-TA[[#This Row],[Fault Time]])*24)</f>
        <v>0</v>
      </c>
      <c r="AB1351" s="35">
        <f>(TA[[#This Row],[Work Start time on Fault]]-TA[[#This Row],[Fault Time]])*24</f>
        <v>-6.3166666666666664</v>
      </c>
      <c r="AC1351" s="34">
        <f>(TA[[#This Row],[Work Completion time on fault]]-TA[[#This Row],[Fault Time]])*24</f>
        <v>-6.3166666666666664</v>
      </c>
      <c r="AD1351" s="35">
        <f>IFERROR((TA[[#This Row],[Work Completion time on fault]]-TA[[#This Row],[Fault Time]])*24,"")</f>
        <v>-6.3166666666666664</v>
      </c>
      <c r="AE1351" t="s">
        <v>328</v>
      </c>
      <c r="AF1351" t="s">
        <v>256</v>
      </c>
      <c r="AG1351" s="2"/>
      <c r="AH1351" s="44">
        <f>1-COS(RADIANS(TA[[#This Row],[Avg. Target Angle during Fault Time (Radians)]]-TA[[#This Row],[Angle of affected equipment ]]))</f>
        <v>0.11705240714107301</v>
      </c>
      <c r="AI1351" s="35">
        <f>IFERROR(TA[[#This Row],[Breakdown Time]]*TA[[#This Row],[Plant Equivalent Weightage]],"")</f>
        <v>-5.4454022988505719E-2</v>
      </c>
    </row>
    <row r="1352" spans="1:35">
      <c r="A1352" s="2">
        <f t="shared" si="151"/>
        <v>1349</v>
      </c>
      <c r="B1352" s="156">
        <f t="shared" si="156"/>
        <v>2026</v>
      </c>
      <c r="C1352" s="129">
        <f t="shared" si="157"/>
        <v>2025</v>
      </c>
      <c r="D1352" s="2" t="s">
        <v>155</v>
      </c>
      <c r="E1352" s="2" t="s">
        <v>155</v>
      </c>
      <c r="F1352" s="39">
        <v>45839</v>
      </c>
      <c r="G1352" s="2">
        <f>DAY(EOMONTH(TA[[#This Row],[Month Year]],0))</f>
        <v>31</v>
      </c>
      <c r="H1352" s="21">
        <v>45840</v>
      </c>
      <c r="I1352" s="41">
        <f>IFERROR(VLOOKUP(TA[[#This Row],[Date]],Raw_Data[[Date]:[Sunset Time (POA&lt;20 W/m2)]],3,0),"")</f>
        <v>0.26319444444444445</v>
      </c>
      <c r="J1352" s="41">
        <f>IFERROR(VLOOKUP(TA[[#This Row],[Date]],Raw_Data[[Date]:[Sunset Time (POA&lt;20 W/m2)]],4,0),"")</f>
        <v>0.78333333333333333</v>
      </c>
      <c r="K1352" s="35">
        <f>IFERROR((TA[[#This Row],[Sunset Time (POA&lt;20 W/m2)]]-TA[[#This Row],[Sunrise Time (POA&gt;20 W/m2)]])*24,"")</f>
        <v>12.483333333333334</v>
      </c>
      <c r="L1352" s="2" t="s">
        <v>296</v>
      </c>
      <c r="M1352" s="42">
        <f>IFERROR(VLOOKUP(TA[[#This Row],[Affected Equipment]],'Basic Data'!$I$2:$K$40,3,0),"")</f>
        <v>8.6206896551724102E-3</v>
      </c>
      <c r="N1352">
        <v>-28</v>
      </c>
      <c r="O1352" t="s">
        <v>134</v>
      </c>
      <c r="P1352" s="22" t="s">
        <v>330</v>
      </c>
      <c r="Q1352" s="2" t="s">
        <v>323</v>
      </c>
      <c r="R1352">
        <v>30</v>
      </c>
      <c r="S1352" s="2">
        <v>57</v>
      </c>
      <c r="T1352" t="s">
        <v>297</v>
      </c>
      <c r="U1352" t="s">
        <v>300</v>
      </c>
      <c r="V1352" t="s">
        <v>301</v>
      </c>
      <c r="W1352" s="41">
        <f>IFERROR(VLOOKUP(TA[[#This Row],[Date]],Raw_Data[[Date]:[Sunset Time (POA&lt;20 W/m2)]],3,0),"")</f>
        <v>0.26319444444444445</v>
      </c>
      <c r="X1352" s="41">
        <f>IFERROR(VLOOKUP(TA[[#This Row],[Date]],Raw_Data[[Date]:[Sunset Time (POA&lt;20 W/m2)]],3,0),"")</f>
        <v>0.26319444444444445</v>
      </c>
      <c r="Y1352" s="34"/>
      <c r="Z1352" s="34"/>
      <c r="AA1352" s="35">
        <f>IF(TA[[#This Row],[Work Start time on Fault]]="NA","",(TA[[#This Row],[Fault Acknowledgement Time ]]-TA[[#This Row],[Fault Time]])*24)</f>
        <v>0</v>
      </c>
      <c r="AB1352" s="35">
        <f>(TA[[#This Row],[Work Start time on Fault]]-TA[[#This Row],[Fault Time]])*24</f>
        <v>-6.3166666666666664</v>
      </c>
      <c r="AC1352" s="34">
        <f>(TA[[#This Row],[Work Completion time on fault]]-TA[[#This Row],[Fault Time]])*24</f>
        <v>-6.3166666666666664</v>
      </c>
      <c r="AD1352" s="35">
        <f>IFERROR((TA[[#This Row],[Work Completion time on fault]]-TA[[#This Row],[Fault Time]])*24,"")</f>
        <v>-6.3166666666666664</v>
      </c>
      <c r="AE1352" t="s">
        <v>328</v>
      </c>
      <c r="AF1352" t="s">
        <v>256</v>
      </c>
      <c r="AG1352" s="2"/>
      <c r="AH1352" s="44">
        <f>1-COS(RADIANS(TA[[#This Row],[Avg. Target Angle during Fault Time (Radians)]]-TA[[#This Row],[Angle of affected equipment ]]))</f>
        <v>0.11705240714107301</v>
      </c>
      <c r="AI1352" s="35">
        <f>IFERROR(TA[[#This Row],[Breakdown Time]]*TA[[#This Row],[Plant Equivalent Weightage]],"")</f>
        <v>-5.4454022988505719E-2</v>
      </c>
    </row>
    <row r="1353" spans="1:35">
      <c r="A1353" s="2">
        <f t="shared" si="151"/>
        <v>1350</v>
      </c>
      <c r="B1353" s="156">
        <f t="shared" si="156"/>
        <v>2026</v>
      </c>
      <c r="C1353" s="129">
        <f t="shared" si="157"/>
        <v>2025</v>
      </c>
      <c r="D1353" s="2" t="s">
        <v>155</v>
      </c>
      <c r="E1353" s="2" t="s">
        <v>155</v>
      </c>
      <c r="F1353" s="39">
        <v>45839</v>
      </c>
      <c r="G1353" s="2">
        <f>DAY(EOMONTH(TA[[#This Row],[Month Year]],0))</f>
        <v>31</v>
      </c>
      <c r="H1353" s="21">
        <v>45840</v>
      </c>
      <c r="I1353" s="41">
        <f>IFERROR(VLOOKUP(TA[[#This Row],[Date]],Raw_Data[[Date]:[Sunset Time (POA&lt;20 W/m2)]],3,0),"")</f>
        <v>0.26319444444444445</v>
      </c>
      <c r="J1353" s="41">
        <f>IFERROR(VLOOKUP(TA[[#This Row],[Date]],Raw_Data[[Date]:[Sunset Time (POA&lt;20 W/m2)]],4,0),"")</f>
        <v>0.78333333333333333</v>
      </c>
      <c r="K1353" s="35">
        <f>IFERROR((TA[[#This Row],[Sunset Time (POA&lt;20 W/m2)]]-TA[[#This Row],[Sunrise Time (POA&gt;20 W/m2)]])*24,"")</f>
        <v>12.483333333333334</v>
      </c>
      <c r="L1353" s="2" t="s">
        <v>296</v>
      </c>
      <c r="M1353" s="42">
        <f>IFERROR(VLOOKUP(TA[[#This Row],[Affected Equipment]],'Basic Data'!$I$2:$K$40,3,0),"")</f>
        <v>8.6206896551724102E-3</v>
      </c>
      <c r="N1353">
        <v>-28</v>
      </c>
      <c r="O1353" t="s">
        <v>134</v>
      </c>
      <c r="P1353" s="22" t="s">
        <v>330</v>
      </c>
      <c r="Q1353" s="2" t="s">
        <v>323</v>
      </c>
      <c r="R1353">
        <v>31</v>
      </c>
      <c r="S1353" s="2">
        <v>61</v>
      </c>
      <c r="T1353" t="s">
        <v>297</v>
      </c>
      <c r="U1353" t="s">
        <v>300</v>
      </c>
      <c r="V1353" t="s">
        <v>301</v>
      </c>
      <c r="W1353" s="41">
        <f>IFERROR(VLOOKUP(TA[[#This Row],[Date]],Raw_Data[[Date]:[Sunset Time (POA&lt;20 W/m2)]],3,0),"")</f>
        <v>0.26319444444444445</v>
      </c>
      <c r="X1353" s="41">
        <f>IFERROR(VLOOKUP(TA[[#This Row],[Date]],Raw_Data[[Date]:[Sunset Time (POA&lt;20 W/m2)]],3,0),"")</f>
        <v>0.26319444444444445</v>
      </c>
      <c r="Y1353" s="34"/>
      <c r="Z1353" s="34"/>
      <c r="AA1353" s="35">
        <f>IF(TA[[#This Row],[Work Start time on Fault]]="NA","",(TA[[#This Row],[Fault Acknowledgement Time ]]-TA[[#This Row],[Fault Time]])*24)</f>
        <v>0</v>
      </c>
      <c r="AB1353" s="35">
        <f>(TA[[#This Row],[Work Start time on Fault]]-TA[[#This Row],[Fault Time]])*24</f>
        <v>-6.3166666666666664</v>
      </c>
      <c r="AC1353" s="34">
        <f>(TA[[#This Row],[Work Completion time on fault]]-TA[[#This Row],[Fault Time]])*24</f>
        <v>-6.3166666666666664</v>
      </c>
      <c r="AD1353" s="35">
        <f>IFERROR((TA[[#This Row],[Work Completion time on fault]]-TA[[#This Row],[Fault Time]])*24,"")</f>
        <v>-6.3166666666666664</v>
      </c>
      <c r="AE1353" t="s">
        <v>328</v>
      </c>
      <c r="AF1353" t="s">
        <v>256</v>
      </c>
      <c r="AG1353" s="2"/>
      <c r="AH1353" s="44">
        <f>1-COS(RADIANS(TA[[#This Row],[Avg. Target Angle during Fault Time (Radians)]]-TA[[#This Row],[Angle of affected equipment ]]))</f>
        <v>0.11705240714107301</v>
      </c>
      <c r="AI1353" s="35">
        <f>IFERROR(TA[[#This Row],[Breakdown Time]]*TA[[#This Row],[Plant Equivalent Weightage]],"")</f>
        <v>-5.4454022988505719E-2</v>
      </c>
    </row>
    <row r="1354" spans="1:35">
      <c r="A1354" s="2">
        <f t="shared" si="151"/>
        <v>1351</v>
      </c>
      <c r="B1354" s="156">
        <f t="shared" si="156"/>
        <v>2026</v>
      </c>
      <c r="C1354" s="129">
        <f t="shared" si="157"/>
        <v>2025</v>
      </c>
      <c r="D1354" s="2" t="s">
        <v>155</v>
      </c>
      <c r="E1354" s="2" t="s">
        <v>155</v>
      </c>
      <c r="F1354" s="39">
        <v>45839</v>
      </c>
      <c r="G1354" s="2">
        <f>DAY(EOMONTH(TA[[#This Row],[Month Year]],0))</f>
        <v>31</v>
      </c>
      <c r="H1354" s="21">
        <v>45840</v>
      </c>
      <c r="I1354" s="41">
        <f>IFERROR(VLOOKUP(TA[[#This Row],[Date]],Raw_Data[[Date]:[Sunset Time (POA&lt;20 W/m2)]],3,0),"")</f>
        <v>0.26319444444444445</v>
      </c>
      <c r="J1354" s="41">
        <f>IFERROR(VLOOKUP(TA[[#This Row],[Date]],Raw_Data[[Date]:[Sunset Time (POA&lt;20 W/m2)]],4,0),"")</f>
        <v>0.78333333333333333</v>
      </c>
      <c r="K1354" s="35">
        <f>IFERROR((TA[[#This Row],[Sunset Time (POA&lt;20 W/m2)]]-TA[[#This Row],[Sunrise Time (POA&gt;20 W/m2)]])*24,"")</f>
        <v>12.483333333333334</v>
      </c>
      <c r="L1354" s="2" t="s">
        <v>312</v>
      </c>
      <c r="M1354" s="42">
        <f>IFERROR(VLOOKUP(TA[[#This Row],[Affected Equipment]],'Basic Data'!$I$2:$K$40,3,0),"")</f>
        <v>5.74712643678161E-3</v>
      </c>
      <c r="N1354">
        <v>-28</v>
      </c>
      <c r="O1354" t="s">
        <v>133</v>
      </c>
      <c r="P1354" s="22" t="s">
        <v>330</v>
      </c>
      <c r="Q1354" s="2" t="s">
        <v>323</v>
      </c>
      <c r="R1354">
        <v>26</v>
      </c>
      <c r="S1354" s="2">
        <v>37</v>
      </c>
      <c r="T1354" t="s">
        <v>297</v>
      </c>
      <c r="U1354" t="s">
        <v>300</v>
      </c>
      <c r="V1354" t="s">
        <v>301</v>
      </c>
      <c r="W1354" s="41">
        <f>IFERROR(VLOOKUP(TA[[#This Row],[Date]],Raw_Data[[Date]:[Sunset Time (POA&lt;20 W/m2)]],3,0),"")</f>
        <v>0.26319444444444445</v>
      </c>
      <c r="X1354" s="41">
        <f>IFERROR(VLOOKUP(TA[[#This Row],[Date]],Raw_Data[[Date]:[Sunset Time (POA&lt;20 W/m2)]],3,0),"")</f>
        <v>0.26319444444444445</v>
      </c>
      <c r="Y1354" s="34"/>
      <c r="Z1354" s="34"/>
      <c r="AA1354" s="35">
        <f>IF(TA[[#This Row],[Work Start time on Fault]]="NA","",(TA[[#This Row],[Fault Acknowledgement Time ]]-TA[[#This Row],[Fault Time]])*24)</f>
        <v>0</v>
      </c>
      <c r="AB1354" s="35">
        <f>(TA[[#This Row],[Work Start time on Fault]]-TA[[#This Row],[Fault Time]])*24</f>
        <v>-6.3166666666666664</v>
      </c>
      <c r="AC1354" s="34">
        <f>(TA[[#This Row],[Work Completion time on fault]]-TA[[#This Row],[Fault Time]])*24</f>
        <v>-6.3166666666666664</v>
      </c>
      <c r="AD1354" s="35">
        <f>IFERROR((TA[[#This Row],[Work Completion time on fault]]-TA[[#This Row],[Fault Time]])*24,"")</f>
        <v>-6.3166666666666664</v>
      </c>
      <c r="AE1354" t="s">
        <v>328</v>
      </c>
      <c r="AF1354" t="s">
        <v>256</v>
      </c>
      <c r="AG1354" s="2"/>
      <c r="AH1354" s="44">
        <f>1-COS(RADIANS(TA[[#This Row],[Avg. Target Angle during Fault Time (Radians)]]-TA[[#This Row],[Angle of affected equipment ]]))</f>
        <v>0.11705240714107301</v>
      </c>
      <c r="AI1354" s="35">
        <f>IFERROR(TA[[#This Row],[Breakdown Time]]*TA[[#This Row],[Plant Equivalent Weightage]],"")</f>
        <v>-3.6302681992337167E-2</v>
      </c>
    </row>
    <row r="1355" spans="1:35">
      <c r="A1355" s="2">
        <f t="shared" si="151"/>
        <v>1352</v>
      </c>
      <c r="B1355" s="156">
        <f t="shared" si="156"/>
        <v>2026</v>
      </c>
      <c r="C1355" s="129">
        <f t="shared" si="157"/>
        <v>2025</v>
      </c>
      <c r="D1355" s="2" t="s">
        <v>155</v>
      </c>
      <c r="E1355" s="2" t="s">
        <v>155</v>
      </c>
      <c r="F1355" s="39">
        <v>45839</v>
      </c>
      <c r="G1355" s="2">
        <f>DAY(EOMONTH(TA[[#This Row],[Month Year]],0))</f>
        <v>31</v>
      </c>
      <c r="H1355" s="21">
        <v>45840</v>
      </c>
      <c r="I1355" s="41">
        <f>IFERROR(VLOOKUP(TA[[#This Row],[Date]],Raw_Data[[Date]:[Sunset Time (POA&lt;20 W/m2)]],3,0),"")</f>
        <v>0.26319444444444445</v>
      </c>
      <c r="J1355" s="41">
        <f>IFERROR(VLOOKUP(TA[[#This Row],[Date]],Raw_Data[[Date]:[Sunset Time (POA&lt;20 W/m2)]],4,0),"")</f>
        <v>0.78333333333333333</v>
      </c>
      <c r="K1355" s="35">
        <f>IFERROR((TA[[#This Row],[Sunset Time (POA&lt;20 W/m2)]]-TA[[#This Row],[Sunrise Time (POA&gt;20 W/m2)]])*24,"")</f>
        <v>12.483333333333334</v>
      </c>
      <c r="L1355" s="2" t="s">
        <v>312</v>
      </c>
      <c r="M1355" s="42">
        <f>IFERROR(VLOOKUP(TA[[#This Row],[Affected Equipment]],'Basic Data'!$I$2:$K$40,3,0),"")</f>
        <v>5.74712643678161E-3</v>
      </c>
      <c r="N1355">
        <v>-28</v>
      </c>
      <c r="O1355" t="s">
        <v>133</v>
      </c>
      <c r="P1355" s="22" t="s">
        <v>330</v>
      </c>
      <c r="Q1355" s="2" t="s">
        <v>323</v>
      </c>
      <c r="R1355">
        <v>27</v>
      </c>
      <c r="S1355" s="2">
        <v>42</v>
      </c>
      <c r="T1355" t="s">
        <v>297</v>
      </c>
      <c r="U1355" t="s">
        <v>300</v>
      </c>
      <c r="V1355" t="s">
        <v>301</v>
      </c>
      <c r="W1355" s="41">
        <f>IFERROR(VLOOKUP(TA[[#This Row],[Date]],Raw_Data[[Date]:[Sunset Time (POA&lt;20 W/m2)]],3,0),"")</f>
        <v>0.26319444444444445</v>
      </c>
      <c r="X1355" s="41">
        <f>IFERROR(VLOOKUP(TA[[#This Row],[Date]],Raw_Data[[Date]:[Sunset Time (POA&lt;20 W/m2)]],3,0),"")</f>
        <v>0.26319444444444445</v>
      </c>
      <c r="Y1355" s="34"/>
      <c r="Z1355" s="34">
        <v>0.76041666666666663</v>
      </c>
      <c r="AA1355" s="35">
        <f>IF(TA[[#This Row],[Work Start time on Fault]]="NA","",(TA[[#This Row],[Fault Acknowledgement Time ]]-TA[[#This Row],[Fault Time]])*24)</f>
        <v>0</v>
      </c>
      <c r="AB1355" s="35">
        <f>(TA[[#This Row],[Work Start time on Fault]]-TA[[#This Row],[Fault Time]])*24</f>
        <v>-6.3166666666666664</v>
      </c>
      <c r="AC1355" s="34">
        <f>(TA[[#This Row],[Work Completion time on fault]]-TA[[#This Row],[Fault Time]])*24</f>
        <v>11.933333333333332</v>
      </c>
      <c r="AD1355" s="35">
        <f>IFERROR((TA[[#This Row],[Work Completion time on fault]]-TA[[#This Row],[Fault Time]])*24,"")</f>
        <v>11.933333333333332</v>
      </c>
      <c r="AE1355" t="s">
        <v>309</v>
      </c>
      <c r="AF1355" t="s">
        <v>256</v>
      </c>
      <c r="AG1355" s="2"/>
      <c r="AH1355" s="44">
        <f>1-COS(RADIANS(TA[[#This Row],[Avg. Target Angle during Fault Time (Radians)]]-TA[[#This Row],[Angle of affected equipment ]]))</f>
        <v>0.11705240714107301</v>
      </c>
      <c r="AI1355" s="35">
        <f>IFERROR(TA[[#This Row],[Breakdown Time]]*TA[[#This Row],[Plant Equivalent Weightage]],"")</f>
        <v>6.8582375478927204E-2</v>
      </c>
    </row>
    <row r="1356" spans="1:35">
      <c r="A1356" s="2">
        <f t="shared" si="151"/>
        <v>1353</v>
      </c>
      <c r="B1356" s="156">
        <f t="shared" ref="B1356:B1368" si="158">YEAR(H1356)+IF(MONTH(H1356)&gt;=4,1,0)</f>
        <v>2026</v>
      </c>
      <c r="C1356" s="129">
        <f t="shared" ref="C1356:C1368" si="159">YEAR(H1356)</f>
        <v>2025</v>
      </c>
      <c r="D1356" s="2" t="s">
        <v>155</v>
      </c>
      <c r="E1356" s="2" t="s">
        <v>155</v>
      </c>
      <c r="F1356" s="39">
        <v>45839</v>
      </c>
      <c r="G1356" s="2">
        <f>DAY(EOMONTH(TA[[#This Row],[Month Year]],0))</f>
        <v>31</v>
      </c>
      <c r="H1356" s="21">
        <v>45841</v>
      </c>
      <c r="I1356" s="41">
        <f>IFERROR(VLOOKUP(TA[[#This Row],[Date]],Raw_Data[[Date]:[Sunset Time (POA&lt;20 W/m2)]],3,0),"")</f>
        <v>0.25763888888888886</v>
      </c>
      <c r="J1356" s="41">
        <f>IFERROR(VLOOKUP(TA[[#This Row],[Date]],Raw_Data[[Date]:[Sunset Time (POA&lt;20 W/m2)]],4,0),"")</f>
        <v>0.77430555555555558</v>
      </c>
      <c r="K1356" s="35">
        <f>IFERROR((TA[[#This Row],[Sunset Time (POA&lt;20 W/m2)]]-TA[[#This Row],[Sunrise Time (POA&gt;20 W/m2)]])*24,"")</f>
        <v>12.400000000000002</v>
      </c>
      <c r="L1356" s="2" t="s">
        <v>294</v>
      </c>
      <c r="M1356" s="42">
        <f>IFERROR(VLOOKUP(TA[[#This Row],[Affected Equipment]],'Basic Data'!$I$2:$K$40,3,0),"")</f>
        <v>1.7241379310344799E-3</v>
      </c>
      <c r="N1356">
        <v>-28</v>
      </c>
      <c r="O1356" t="s">
        <v>135</v>
      </c>
      <c r="P1356" s="127" t="s">
        <v>318</v>
      </c>
      <c r="Q1356" s="126" t="s">
        <v>318</v>
      </c>
      <c r="R1356">
        <v>131</v>
      </c>
      <c r="S1356" s="2">
        <v>38</v>
      </c>
      <c r="T1356" t="s">
        <v>295</v>
      </c>
      <c r="U1356" t="s">
        <v>300</v>
      </c>
      <c r="V1356" t="s">
        <v>298</v>
      </c>
      <c r="W1356" s="41"/>
      <c r="X1356" s="41"/>
      <c r="Y1356" s="34"/>
      <c r="Z1356" s="34"/>
      <c r="AA1356" s="35">
        <f>IF(TA[[#This Row],[Work Start time on Fault]]="NA","",(TA[[#This Row],[Fault Acknowledgement Time ]]-TA[[#This Row],[Fault Time]])*24)</f>
        <v>0</v>
      </c>
      <c r="AB1356" s="35">
        <f>(TA[[#This Row],[Work Start time on Fault]]-TA[[#This Row],[Fault Time]])*24</f>
        <v>0</v>
      </c>
      <c r="AC1356" s="34">
        <f>(TA[[#This Row],[Work Completion time on fault]]-TA[[#This Row],[Fault Time]])*24</f>
        <v>0</v>
      </c>
      <c r="AD1356" s="35">
        <f>IFERROR((TA[[#This Row],[Work Completion time on fault]]-TA[[#This Row],[Fault Time]])*24,"")</f>
        <v>0</v>
      </c>
      <c r="AE1356" t="s">
        <v>328</v>
      </c>
      <c r="AF1356" t="s">
        <v>256</v>
      </c>
      <c r="AG1356" s="2"/>
      <c r="AH1356" s="44">
        <f>1-COS(RADIANS(TA[[#This Row],[Avg. Target Angle during Fault Time (Radians)]]-TA[[#This Row],[Angle of affected equipment ]]))</f>
        <v>0.11705240714107301</v>
      </c>
      <c r="AI1356" s="35">
        <f>IFERROR(TA[[#This Row],[Breakdown Time]]*TA[[#This Row],[Plant Equivalent Weightage]],"")</f>
        <v>0</v>
      </c>
    </row>
    <row r="1357" spans="1:35">
      <c r="A1357" s="2">
        <f t="shared" si="151"/>
        <v>1354</v>
      </c>
      <c r="B1357" s="156">
        <f t="shared" si="158"/>
        <v>2026</v>
      </c>
      <c r="C1357" s="129">
        <f t="shared" si="159"/>
        <v>2025</v>
      </c>
      <c r="D1357" s="2" t="s">
        <v>155</v>
      </c>
      <c r="E1357" s="2" t="s">
        <v>155</v>
      </c>
      <c r="F1357" s="39">
        <v>45839</v>
      </c>
      <c r="G1357" s="2">
        <f>DAY(EOMONTH(TA[[#This Row],[Month Year]],0))</f>
        <v>31</v>
      </c>
      <c r="H1357" s="21">
        <v>45841</v>
      </c>
      <c r="I1357" s="41">
        <f>IFERROR(VLOOKUP(TA[[#This Row],[Date]],Raw_Data[[Date]:[Sunset Time (POA&lt;20 W/m2)]],3,0),"")</f>
        <v>0.25763888888888886</v>
      </c>
      <c r="J1357" s="41">
        <f>IFERROR(VLOOKUP(TA[[#This Row],[Date]],Raw_Data[[Date]:[Sunset Time (POA&lt;20 W/m2)]],4,0),"")</f>
        <v>0.77430555555555558</v>
      </c>
      <c r="K1357" s="35">
        <f>IFERROR((TA[[#This Row],[Sunset Time (POA&lt;20 W/m2)]]-TA[[#This Row],[Sunrise Time (POA&gt;20 W/m2)]])*24,"")</f>
        <v>12.400000000000002</v>
      </c>
      <c r="L1357" s="2" t="s">
        <v>294</v>
      </c>
      <c r="M1357" s="42">
        <f>IFERROR(VLOOKUP(TA[[#This Row],[Affected Equipment]],'Basic Data'!$I$2:$K$40,3,0),"")</f>
        <v>1.7241379310344799E-3</v>
      </c>
      <c r="N1357">
        <v>-28</v>
      </c>
      <c r="O1357" t="s">
        <v>135</v>
      </c>
      <c r="P1357" s="127" t="s">
        <v>318</v>
      </c>
      <c r="Q1357" s="126" t="s">
        <v>318</v>
      </c>
      <c r="R1357">
        <v>131</v>
      </c>
      <c r="S1357" s="2">
        <v>39</v>
      </c>
      <c r="T1357" t="s">
        <v>295</v>
      </c>
      <c r="U1357" t="s">
        <v>300</v>
      </c>
      <c r="V1357" t="s">
        <v>298</v>
      </c>
      <c r="W1357" s="41"/>
      <c r="X1357" s="41"/>
      <c r="Y1357" s="34"/>
      <c r="Z1357" s="34"/>
      <c r="AA1357" s="35">
        <f>IF(TA[[#This Row],[Work Start time on Fault]]="NA","",(TA[[#This Row],[Fault Acknowledgement Time ]]-TA[[#This Row],[Fault Time]])*24)</f>
        <v>0</v>
      </c>
      <c r="AB1357" s="35">
        <f>(TA[[#This Row],[Work Start time on Fault]]-TA[[#This Row],[Fault Time]])*24</f>
        <v>0</v>
      </c>
      <c r="AC1357" s="34">
        <f>(TA[[#This Row],[Work Completion time on fault]]-TA[[#This Row],[Fault Time]])*24</f>
        <v>0</v>
      </c>
      <c r="AD1357" s="35">
        <f>IFERROR((TA[[#This Row],[Work Completion time on fault]]-TA[[#This Row],[Fault Time]])*24,"")</f>
        <v>0</v>
      </c>
      <c r="AE1357" t="s">
        <v>328</v>
      </c>
      <c r="AF1357" t="s">
        <v>256</v>
      </c>
      <c r="AG1357" s="2"/>
      <c r="AH1357" s="44">
        <f>1-COS(RADIANS(TA[[#This Row],[Avg. Target Angle during Fault Time (Radians)]]-TA[[#This Row],[Angle of affected equipment ]]))</f>
        <v>0.11705240714107301</v>
      </c>
      <c r="AI1357" s="35">
        <f>IFERROR(TA[[#This Row],[Breakdown Time]]*TA[[#This Row],[Plant Equivalent Weightage]],"")</f>
        <v>0</v>
      </c>
    </row>
    <row r="1358" spans="1:35">
      <c r="A1358" s="2">
        <f t="shared" si="151"/>
        <v>1355</v>
      </c>
      <c r="B1358" s="156">
        <f t="shared" si="158"/>
        <v>2026</v>
      </c>
      <c r="C1358" s="129">
        <f t="shared" si="159"/>
        <v>2025</v>
      </c>
      <c r="D1358" s="2" t="s">
        <v>155</v>
      </c>
      <c r="E1358" s="2" t="s">
        <v>155</v>
      </c>
      <c r="F1358" s="39">
        <v>45839</v>
      </c>
      <c r="G1358" s="2">
        <f>DAY(EOMONTH(TA[[#This Row],[Month Year]],0))</f>
        <v>31</v>
      </c>
      <c r="H1358" s="21">
        <v>45841</v>
      </c>
      <c r="I1358" s="41">
        <f>IFERROR(VLOOKUP(TA[[#This Row],[Date]],Raw_Data[[Date]:[Sunset Time (POA&lt;20 W/m2)]],3,0),"")</f>
        <v>0.25763888888888886</v>
      </c>
      <c r="J1358" s="41">
        <f>IFERROR(VLOOKUP(TA[[#This Row],[Date]],Raw_Data[[Date]:[Sunset Time (POA&lt;20 W/m2)]],4,0),"")</f>
        <v>0.77430555555555558</v>
      </c>
      <c r="K1358" s="35">
        <f>IFERROR((TA[[#This Row],[Sunset Time (POA&lt;20 W/m2)]]-TA[[#This Row],[Sunrise Time (POA&gt;20 W/m2)]])*24,"")</f>
        <v>12.400000000000002</v>
      </c>
      <c r="L1358" s="2" t="s">
        <v>296</v>
      </c>
      <c r="M1358" s="42">
        <f>IFERROR(VLOOKUP(TA[[#This Row],[Affected Equipment]],'Basic Data'!$I$2:$K$40,3,0),"")</f>
        <v>8.6206896551724102E-3</v>
      </c>
      <c r="N1358">
        <v>-28</v>
      </c>
      <c r="O1358" t="s">
        <v>135</v>
      </c>
      <c r="P1358" s="127" t="s">
        <v>318</v>
      </c>
      <c r="Q1358" s="2" t="s">
        <v>321</v>
      </c>
      <c r="R1358">
        <v>133</v>
      </c>
      <c r="S1358" s="2">
        <v>26</v>
      </c>
      <c r="T1358" t="s">
        <v>297</v>
      </c>
      <c r="U1358" t="s">
        <v>300</v>
      </c>
      <c r="V1358" t="s">
        <v>314</v>
      </c>
      <c r="W1358" s="41">
        <f>IFERROR(VLOOKUP(TA[[#This Row],[Date]],Raw_Data[[Date]:[Sunset Time (POA&lt;20 W/m2)]],3,0),"")</f>
        <v>0.25763888888888886</v>
      </c>
      <c r="X1358" s="41">
        <f>IFERROR(VLOOKUP(TA[[#This Row],[Date]],Raw_Data[[Date]:[Sunset Time (POA&lt;20 W/m2)]],3,0),"")</f>
        <v>0.25763888888888886</v>
      </c>
      <c r="Y1358" s="34"/>
      <c r="Z1358" s="34">
        <v>0.76041666666666663</v>
      </c>
      <c r="AA1358" s="35">
        <f>IF(TA[[#This Row],[Work Start time on Fault]]="NA","",(TA[[#This Row],[Fault Acknowledgement Time ]]-TA[[#This Row],[Fault Time]])*24)</f>
        <v>0</v>
      </c>
      <c r="AB1358" s="35">
        <f>(TA[[#This Row],[Work Start time on Fault]]-TA[[#This Row],[Fault Time]])*24</f>
        <v>-6.1833333333333327</v>
      </c>
      <c r="AC1358" s="34">
        <f>(TA[[#This Row],[Work Completion time on fault]]-TA[[#This Row],[Fault Time]])*24</f>
        <v>12.066666666666666</v>
      </c>
      <c r="AD1358" s="35">
        <f>IFERROR((TA[[#This Row],[Work Completion time on fault]]-TA[[#This Row],[Fault Time]])*24,"")</f>
        <v>12.066666666666666</v>
      </c>
      <c r="AE1358" t="s">
        <v>328</v>
      </c>
      <c r="AF1358" t="s">
        <v>256</v>
      </c>
      <c r="AG1358" s="2"/>
      <c r="AH1358" s="44">
        <f>1-COS(RADIANS(TA[[#This Row],[Avg. Target Angle during Fault Time (Radians)]]-TA[[#This Row],[Angle of affected equipment ]]))</f>
        <v>0.11705240714107301</v>
      </c>
      <c r="AI1358" s="35">
        <f>IFERROR(TA[[#This Row],[Breakdown Time]]*TA[[#This Row],[Plant Equivalent Weightage]],"")</f>
        <v>0.10402298850574708</v>
      </c>
    </row>
    <row r="1359" spans="1:35">
      <c r="A1359" s="2">
        <f t="shared" si="151"/>
        <v>1356</v>
      </c>
      <c r="B1359" s="156">
        <f t="shared" si="158"/>
        <v>2026</v>
      </c>
      <c r="C1359" s="129">
        <f t="shared" si="159"/>
        <v>2025</v>
      </c>
      <c r="D1359" s="2" t="s">
        <v>155</v>
      </c>
      <c r="E1359" s="2" t="s">
        <v>155</v>
      </c>
      <c r="F1359" s="39">
        <v>45839</v>
      </c>
      <c r="G1359" s="2">
        <f>DAY(EOMONTH(TA[[#This Row],[Month Year]],0))</f>
        <v>31</v>
      </c>
      <c r="H1359" s="21">
        <v>45841</v>
      </c>
      <c r="I1359" s="41">
        <f>IFERROR(VLOOKUP(TA[[#This Row],[Date]],Raw_Data[[Date]:[Sunset Time (POA&lt;20 W/m2)]],3,0),"")</f>
        <v>0.25763888888888886</v>
      </c>
      <c r="J1359" s="41">
        <f>IFERROR(VLOOKUP(TA[[#This Row],[Date]],Raw_Data[[Date]:[Sunset Time (POA&lt;20 W/m2)]],4,0),"")</f>
        <v>0.77430555555555558</v>
      </c>
      <c r="K1359" s="35">
        <f>IFERROR((TA[[#This Row],[Sunset Time (POA&lt;20 W/m2)]]-TA[[#This Row],[Sunrise Time (POA&gt;20 W/m2)]])*24,"")</f>
        <v>12.400000000000002</v>
      </c>
      <c r="L1359" s="2" t="s">
        <v>294</v>
      </c>
      <c r="M1359" s="42">
        <f>IFERROR(VLOOKUP(TA[[#This Row],[Affected Equipment]],'Basic Data'!$I$2:$K$40,3,0),"")</f>
        <v>1.7241379310344799E-3</v>
      </c>
      <c r="N1359">
        <v>-28</v>
      </c>
      <c r="O1359" t="s">
        <v>133</v>
      </c>
      <c r="P1359" s="127" t="s">
        <v>316</v>
      </c>
      <c r="Q1359" s="126" t="s">
        <v>317</v>
      </c>
      <c r="R1359">
        <v>7</v>
      </c>
      <c r="S1359" s="2">
        <v>32</v>
      </c>
      <c r="T1359" t="s">
        <v>295</v>
      </c>
      <c r="U1359" t="s">
        <v>300</v>
      </c>
      <c r="V1359" t="s">
        <v>298</v>
      </c>
      <c r="W1359" s="41"/>
      <c r="X1359" s="41"/>
      <c r="Y1359" s="34"/>
      <c r="Z1359" s="34"/>
      <c r="AA1359" s="35">
        <f>IF(TA[[#This Row],[Work Start time on Fault]]="NA","",(TA[[#This Row],[Fault Acknowledgement Time ]]-TA[[#This Row],[Fault Time]])*24)</f>
        <v>0</v>
      </c>
      <c r="AB1359" s="35">
        <f>(TA[[#This Row],[Work Start time on Fault]]-TA[[#This Row],[Fault Time]])*24</f>
        <v>0</v>
      </c>
      <c r="AC1359" s="34">
        <f>(TA[[#This Row],[Work Completion time on fault]]-TA[[#This Row],[Fault Time]])*24</f>
        <v>0</v>
      </c>
      <c r="AD1359" s="35">
        <f>IFERROR((TA[[#This Row],[Work Completion time on fault]]-TA[[#This Row],[Fault Time]])*24,"")</f>
        <v>0</v>
      </c>
      <c r="AE1359" t="s">
        <v>328</v>
      </c>
      <c r="AF1359" t="s">
        <v>256</v>
      </c>
      <c r="AG1359" s="2"/>
      <c r="AH1359" s="44">
        <f>1-COS(RADIANS(TA[[#This Row],[Avg. Target Angle during Fault Time (Radians)]]-TA[[#This Row],[Angle of affected equipment ]]))</f>
        <v>0.11705240714107301</v>
      </c>
      <c r="AI1359" s="35">
        <f>IFERROR(TA[[#This Row],[Breakdown Time]]*TA[[#This Row],[Plant Equivalent Weightage]],"")</f>
        <v>0</v>
      </c>
    </row>
    <row r="1360" spans="1:35">
      <c r="A1360" s="2">
        <f t="shared" si="151"/>
        <v>1357</v>
      </c>
      <c r="B1360" s="156">
        <f t="shared" si="158"/>
        <v>2026</v>
      </c>
      <c r="C1360" s="129">
        <f t="shared" si="159"/>
        <v>2025</v>
      </c>
      <c r="D1360" s="2" t="s">
        <v>155</v>
      </c>
      <c r="E1360" s="2" t="s">
        <v>155</v>
      </c>
      <c r="F1360" s="39">
        <v>45839</v>
      </c>
      <c r="G1360" s="2">
        <f>DAY(EOMONTH(TA[[#This Row],[Month Year]],0))</f>
        <v>31</v>
      </c>
      <c r="H1360" s="21">
        <v>45841</v>
      </c>
      <c r="I1360" s="41">
        <f>IFERROR(VLOOKUP(TA[[#This Row],[Date]],Raw_Data[[Date]:[Sunset Time (POA&lt;20 W/m2)]],3,0),"")</f>
        <v>0.25763888888888886</v>
      </c>
      <c r="J1360" s="41">
        <f>IFERROR(VLOOKUP(TA[[#This Row],[Date]],Raw_Data[[Date]:[Sunset Time (POA&lt;20 W/m2)]],4,0),"")</f>
        <v>0.77430555555555558</v>
      </c>
      <c r="K1360" s="35">
        <f>IFERROR((TA[[#This Row],[Sunset Time (POA&lt;20 W/m2)]]-TA[[#This Row],[Sunrise Time (POA&gt;20 W/m2)]])*24,"")</f>
        <v>12.400000000000002</v>
      </c>
      <c r="L1360" s="2" t="s">
        <v>294</v>
      </c>
      <c r="M1360" s="42">
        <f>IFERROR(VLOOKUP(TA[[#This Row],[Affected Equipment]],'Basic Data'!$I$2:$K$40,3,0),"")</f>
        <v>1.7241379310344799E-3</v>
      </c>
      <c r="N1360">
        <v>-28</v>
      </c>
      <c r="O1360" t="s">
        <v>137</v>
      </c>
      <c r="P1360" s="127" t="s">
        <v>315</v>
      </c>
      <c r="Q1360" s="126" t="s">
        <v>319</v>
      </c>
      <c r="R1360">
        <v>166</v>
      </c>
      <c r="S1360" s="2">
        <v>91</v>
      </c>
      <c r="T1360" t="s">
        <v>295</v>
      </c>
      <c r="U1360" t="s">
        <v>300</v>
      </c>
      <c r="V1360" t="s">
        <v>298</v>
      </c>
      <c r="W1360" s="41"/>
      <c r="X1360" s="41"/>
      <c r="Y1360" s="34"/>
      <c r="Z1360" s="34"/>
      <c r="AA1360" s="35">
        <f>IF(TA[[#This Row],[Work Start time on Fault]]="NA","",(TA[[#This Row],[Fault Acknowledgement Time ]]-TA[[#This Row],[Fault Time]])*24)</f>
        <v>0</v>
      </c>
      <c r="AB1360" s="35">
        <f>(TA[[#This Row],[Work Start time on Fault]]-TA[[#This Row],[Fault Time]])*24</f>
        <v>0</v>
      </c>
      <c r="AC1360" s="34">
        <f>(TA[[#This Row],[Work Completion time on fault]]-TA[[#This Row],[Fault Time]])*24</f>
        <v>0</v>
      </c>
      <c r="AD1360" s="35">
        <f>IFERROR((TA[[#This Row],[Work Completion time on fault]]-TA[[#This Row],[Fault Time]])*24,"")</f>
        <v>0</v>
      </c>
      <c r="AE1360" t="s">
        <v>328</v>
      </c>
      <c r="AF1360" t="s">
        <v>256</v>
      </c>
      <c r="AG1360" s="2"/>
      <c r="AH1360" s="44">
        <f>1-COS(RADIANS(TA[[#This Row],[Avg. Target Angle during Fault Time (Radians)]]-TA[[#This Row],[Angle of affected equipment ]]))</f>
        <v>0.11705240714107301</v>
      </c>
      <c r="AI1360" s="35">
        <f>IFERROR(TA[[#This Row],[Breakdown Time]]*TA[[#This Row],[Plant Equivalent Weightage]],"")</f>
        <v>0</v>
      </c>
    </row>
    <row r="1361" spans="1:35">
      <c r="A1361" s="2">
        <f t="shared" si="151"/>
        <v>1358</v>
      </c>
      <c r="B1361" s="156">
        <f t="shared" si="158"/>
        <v>2026</v>
      </c>
      <c r="C1361" s="129">
        <f t="shared" si="159"/>
        <v>2025</v>
      </c>
      <c r="D1361" s="2" t="s">
        <v>155</v>
      </c>
      <c r="E1361" s="2" t="s">
        <v>155</v>
      </c>
      <c r="F1361" s="39">
        <v>45839</v>
      </c>
      <c r="G1361" s="2">
        <f>DAY(EOMONTH(TA[[#This Row],[Month Year]],0))</f>
        <v>31</v>
      </c>
      <c r="H1361" s="21">
        <v>45841</v>
      </c>
      <c r="I1361" s="41">
        <f>IFERROR(VLOOKUP(TA[[#This Row],[Date]],Raw_Data[[Date]:[Sunset Time (POA&lt;20 W/m2)]],3,0),"")</f>
        <v>0.25763888888888886</v>
      </c>
      <c r="J1361" s="41">
        <f>IFERROR(VLOOKUP(TA[[#This Row],[Date]],Raw_Data[[Date]:[Sunset Time (POA&lt;20 W/m2)]],4,0),"")</f>
        <v>0.77430555555555558</v>
      </c>
      <c r="K1361" s="35">
        <f>IFERROR((TA[[#This Row],[Sunset Time (POA&lt;20 W/m2)]]-TA[[#This Row],[Sunrise Time (POA&gt;20 W/m2)]])*24,"")</f>
        <v>12.400000000000002</v>
      </c>
      <c r="L1361" s="2" t="s">
        <v>294</v>
      </c>
      <c r="M1361" s="42">
        <f>IFERROR(VLOOKUP(TA[[#This Row],[Affected Equipment]],'Basic Data'!$I$2:$K$40,3,0),"")</f>
        <v>1.7241379310344799E-3</v>
      </c>
      <c r="N1361">
        <v>-28</v>
      </c>
      <c r="O1361" t="s">
        <v>133</v>
      </c>
      <c r="P1361" s="127" t="s">
        <v>316</v>
      </c>
      <c r="Q1361" s="126" t="s">
        <v>316</v>
      </c>
      <c r="R1361">
        <v>117</v>
      </c>
      <c r="S1361" s="2">
        <v>20</v>
      </c>
      <c r="T1361" t="s">
        <v>295</v>
      </c>
      <c r="U1361" t="s">
        <v>300</v>
      </c>
      <c r="V1361" t="s">
        <v>298</v>
      </c>
      <c r="W1361" s="41"/>
      <c r="X1361" s="41"/>
      <c r="Y1361" s="34"/>
      <c r="Z1361" s="34"/>
      <c r="AA1361" s="35">
        <f>IF(TA[[#This Row],[Work Start time on Fault]]="NA","",(TA[[#This Row],[Fault Acknowledgement Time ]]-TA[[#This Row],[Fault Time]])*24)</f>
        <v>0</v>
      </c>
      <c r="AB1361" s="35">
        <f>(TA[[#This Row],[Work Start time on Fault]]-TA[[#This Row],[Fault Time]])*24</f>
        <v>0</v>
      </c>
      <c r="AC1361" s="34">
        <f>(TA[[#This Row],[Work Completion time on fault]]-TA[[#This Row],[Fault Time]])*24</f>
        <v>0</v>
      </c>
      <c r="AD1361" s="35">
        <f>IFERROR((TA[[#This Row],[Work Completion time on fault]]-TA[[#This Row],[Fault Time]])*24,"")</f>
        <v>0</v>
      </c>
      <c r="AE1361" t="s">
        <v>328</v>
      </c>
      <c r="AF1361" t="s">
        <v>256</v>
      </c>
      <c r="AG1361" s="2"/>
      <c r="AH1361" s="44">
        <f>1-COS(RADIANS(TA[[#This Row],[Avg. Target Angle during Fault Time (Radians)]]-TA[[#This Row],[Angle of affected equipment ]]))</f>
        <v>0.11705240714107301</v>
      </c>
      <c r="AI1361" s="35">
        <f>IFERROR(TA[[#This Row],[Breakdown Time]]*TA[[#This Row],[Plant Equivalent Weightage]],"")</f>
        <v>0</v>
      </c>
    </row>
    <row r="1362" spans="1:35">
      <c r="A1362" s="2">
        <f t="shared" si="151"/>
        <v>1359</v>
      </c>
      <c r="B1362" s="156">
        <f t="shared" si="158"/>
        <v>2026</v>
      </c>
      <c r="C1362" s="129">
        <f t="shared" si="159"/>
        <v>2025</v>
      </c>
      <c r="D1362" s="2" t="s">
        <v>155</v>
      </c>
      <c r="E1362" s="2" t="s">
        <v>155</v>
      </c>
      <c r="F1362" s="39">
        <v>45839</v>
      </c>
      <c r="G1362" s="2">
        <f>DAY(EOMONTH(TA[[#This Row],[Month Year]],0))</f>
        <v>31</v>
      </c>
      <c r="H1362" s="21">
        <v>45841</v>
      </c>
      <c r="I1362" s="41">
        <f>IFERROR(VLOOKUP(TA[[#This Row],[Date]],Raw_Data[[Date]:[Sunset Time (POA&lt;20 W/m2)]],3,0),"")</f>
        <v>0.25763888888888886</v>
      </c>
      <c r="J1362" s="41">
        <f>IFERROR(VLOOKUP(TA[[#This Row],[Date]],Raw_Data[[Date]:[Sunset Time (POA&lt;20 W/m2)]],4,0),"")</f>
        <v>0.77430555555555558</v>
      </c>
      <c r="K1362" s="35">
        <f>IFERROR((TA[[#This Row],[Sunset Time (POA&lt;20 W/m2)]]-TA[[#This Row],[Sunrise Time (POA&gt;20 W/m2)]])*24,"")</f>
        <v>12.400000000000002</v>
      </c>
      <c r="L1362" s="2" t="s">
        <v>294</v>
      </c>
      <c r="M1362" s="42">
        <f>IFERROR(VLOOKUP(TA[[#This Row],[Affected Equipment]],'Basic Data'!$I$2:$K$40,3,0),"")</f>
        <v>1.7241379310344799E-3</v>
      </c>
      <c r="N1362">
        <v>-28</v>
      </c>
      <c r="O1362" t="s">
        <v>133</v>
      </c>
      <c r="P1362" s="127" t="s">
        <v>316</v>
      </c>
      <c r="Q1362" s="126" t="s">
        <v>316</v>
      </c>
      <c r="R1362">
        <v>118</v>
      </c>
      <c r="S1362" s="2">
        <v>22</v>
      </c>
      <c r="T1362" t="s">
        <v>295</v>
      </c>
      <c r="U1362" t="s">
        <v>300</v>
      </c>
      <c r="V1362" t="s">
        <v>298</v>
      </c>
      <c r="W1362" s="41"/>
      <c r="X1362" s="41"/>
      <c r="Y1362" s="34"/>
      <c r="Z1362" s="34"/>
      <c r="AA1362" s="35">
        <f>IF(TA[[#This Row],[Work Start time on Fault]]="NA","",(TA[[#This Row],[Fault Acknowledgement Time ]]-TA[[#This Row],[Fault Time]])*24)</f>
        <v>0</v>
      </c>
      <c r="AB1362" s="35">
        <f>(TA[[#This Row],[Work Start time on Fault]]-TA[[#This Row],[Fault Time]])*24</f>
        <v>0</v>
      </c>
      <c r="AC1362" s="34">
        <f>(TA[[#This Row],[Work Completion time on fault]]-TA[[#This Row],[Fault Time]])*24</f>
        <v>0</v>
      </c>
      <c r="AD1362" s="35">
        <f>IFERROR((TA[[#This Row],[Work Completion time on fault]]-TA[[#This Row],[Fault Time]])*24,"")</f>
        <v>0</v>
      </c>
      <c r="AE1362" t="s">
        <v>328</v>
      </c>
      <c r="AF1362" t="s">
        <v>256</v>
      </c>
      <c r="AG1362" s="2"/>
      <c r="AH1362" s="44">
        <f>1-COS(RADIANS(TA[[#This Row],[Avg. Target Angle during Fault Time (Radians)]]-TA[[#This Row],[Angle of affected equipment ]]))</f>
        <v>0.11705240714107301</v>
      </c>
      <c r="AI1362" s="35">
        <f>IFERROR(TA[[#This Row],[Breakdown Time]]*TA[[#This Row],[Plant Equivalent Weightage]],"")</f>
        <v>0</v>
      </c>
    </row>
    <row r="1363" spans="1:35">
      <c r="A1363" s="2">
        <f t="shared" si="151"/>
        <v>1360</v>
      </c>
      <c r="B1363" s="156">
        <f t="shared" si="158"/>
        <v>2026</v>
      </c>
      <c r="C1363" s="129">
        <f t="shared" si="159"/>
        <v>2025</v>
      </c>
      <c r="D1363" s="2" t="s">
        <v>155</v>
      </c>
      <c r="E1363" s="2" t="s">
        <v>155</v>
      </c>
      <c r="F1363" s="39">
        <v>45839</v>
      </c>
      <c r="G1363" s="2">
        <f>DAY(EOMONTH(TA[[#This Row],[Month Year]],0))</f>
        <v>31</v>
      </c>
      <c r="H1363" s="21">
        <v>45841</v>
      </c>
      <c r="I1363" s="41">
        <f>IFERROR(VLOOKUP(TA[[#This Row],[Date]],Raw_Data[[Date]:[Sunset Time (POA&lt;20 W/m2)]],3,0),"")</f>
        <v>0.25763888888888886</v>
      </c>
      <c r="J1363" s="41">
        <f>IFERROR(VLOOKUP(TA[[#This Row],[Date]],Raw_Data[[Date]:[Sunset Time (POA&lt;20 W/m2)]],4,0),"")</f>
        <v>0.77430555555555558</v>
      </c>
      <c r="K1363" s="35">
        <f>IFERROR((TA[[#This Row],[Sunset Time (POA&lt;20 W/m2)]]-TA[[#This Row],[Sunrise Time (POA&gt;20 W/m2)]])*24,"")</f>
        <v>12.400000000000002</v>
      </c>
      <c r="L1363" s="2" t="s">
        <v>296</v>
      </c>
      <c r="M1363" s="42">
        <f>IFERROR(VLOOKUP(TA[[#This Row],[Affected Equipment]],'Basic Data'!$I$2:$K$40,3,0),"")</f>
        <v>8.6206896551724102E-3</v>
      </c>
      <c r="N1363">
        <v>-28</v>
      </c>
      <c r="O1363" t="s">
        <v>135</v>
      </c>
      <c r="P1363" s="22" t="s">
        <v>323</v>
      </c>
      <c r="Q1363" s="2" t="s">
        <v>329</v>
      </c>
      <c r="R1363">
        <v>45</v>
      </c>
      <c r="S1363" s="2">
        <v>8</v>
      </c>
      <c r="T1363" t="s">
        <v>297</v>
      </c>
      <c r="U1363" t="s">
        <v>300</v>
      </c>
      <c r="V1363" t="s">
        <v>301</v>
      </c>
      <c r="W1363" s="41"/>
      <c r="X1363" s="41"/>
      <c r="Y1363" s="34"/>
      <c r="Z1363" s="34"/>
      <c r="AA1363" s="35">
        <f>IF(TA[[#This Row],[Work Start time on Fault]]="NA","",(TA[[#This Row],[Fault Acknowledgement Time ]]-TA[[#This Row],[Fault Time]])*24)</f>
        <v>0</v>
      </c>
      <c r="AB1363" s="35">
        <f>(TA[[#This Row],[Work Start time on Fault]]-TA[[#This Row],[Fault Time]])*24</f>
        <v>0</v>
      </c>
      <c r="AC1363" s="34">
        <f>(TA[[#This Row],[Work Completion time on fault]]-TA[[#This Row],[Fault Time]])*24</f>
        <v>0</v>
      </c>
      <c r="AD1363" s="35">
        <f>IFERROR((TA[[#This Row],[Work Completion time on fault]]-TA[[#This Row],[Fault Time]])*24,"")</f>
        <v>0</v>
      </c>
      <c r="AE1363" t="s">
        <v>328</v>
      </c>
      <c r="AF1363" t="s">
        <v>256</v>
      </c>
      <c r="AG1363" s="2"/>
      <c r="AH1363" s="44">
        <f>1-COS(RADIANS(TA[[#This Row],[Avg. Target Angle during Fault Time (Radians)]]-TA[[#This Row],[Angle of affected equipment ]]))</f>
        <v>0.11705240714107301</v>
      </c>
      <c r="AI1363" s="35">
        <f>IFERROR(TA[[#This Row],[Breakdown Time]]*TA[[#This Row],[Plant Equivalent Weightage]],"")</f>
        <v>0</v>
      </c>
    </row>
    <row r="1364" spans="1:35">
      <c r="A1364" s="2">
        <f t="shared" si="151"/>
        <v>1361</v>
      </c>
      <c r="B1364" s="156">
        <f t="shared" si="158"/>
        <v>2026</v>
      </c>
      <c r="C1364" s="129">
        <f t="shared" si="159"/>
        <v>2025</v>
      </c>
      <c r="D1364" s="2" t="s">
        <v>155</v>
      </c>
      <c r="E1364" s="2" t="s">
        <v>155</v>
      </c>
      <c r="F1364" s="39">
        <v>45839</v>
      </c>
      <c r="G1364" s="2">
        <f>DAY(EOMONTH(TA[[#This Row],[Month Year]],0))</f>
        <v>31</v>
      </c>
      <c r="H1364" s="21">
        <v>45841</v>
      </c>
      <c r="I1364" s="41">
        <f>IFERROR(VLOOKUP(TA[[#This Row],[Date]],Raw_Data[[Date]:[Sunset Time (POA&lt;20 W/m2)]],3,0),"")</f>
        <v>0.25763888888888886</v>
      </c>
      <c r="J1364" s="41">
        <f>IFERROR(VLOOKUP(TA[[#This Row],[Date]],Raw_Data[[Date]:[Sunset Time (POA&lt;20 W/m2)]],4,0),"")</f>
        <v>0.77430555555555558</v>
      </c>
      <c r="K1364" s="35">
        <f>IFERROR((TA[[#This Row],[Sunset Time (POA&lt;20 W/m2)]]-TA[[#This Row],[Sunrise Time (POA&gt;20 W/m2)]])*24,"")</f>
        <v>12.400000000000002</v>
      </c>
      <c r="L1364" s="2" t="s">
        <v>296</v>
      </c>
      <c r="M1364" s="42">
        <f>IFERROR(VLOOKUP(TA[[#This Row],[Affected Equipment]],'Basic Data'!$I$2:$K$40,3,0),"")</f>
        <v>8.6206896551724102E-3</v>
      </c>
      <c r="N1364">
        <v>-28</v>
      </c>
      <c r="O1364" t="s">
        <v>135</v>
      </c>
      <c r="P1364" s="22" t="s">
        <v>323</v>
      </c>
      <c r="Q1364" s="2" t="s">
        <v>329</v>
      </c>
      <c r="R1364">
        <v>47</v>
      </c>
      <c r="S1364" s="2">
        <v>18</v>
      </c>
      <c r="T1364" t="s">
        <v>297</v>
      </c>
      <c r="U1364" t="s">
        <v>300</v>
      </c>
      <c r="V1364" t="s">
        <v>301</v>
      </c>
      <c r="W1364" s="41"/>
      <c r="X1364" s="41"/>
      <c r="Y1364" s="34"/>
      <c r="Z1364" s="34"/>
      <c r="AA1364" s="35">
        <f>IF(TA[[#This Row],[Work Start time on Fault]]="NA","",(TA[[#This Row],[Fault Acknowledgement Time ]]-TA[[#This Row],[Fault Time]])*24)</f>
        <v>0</v>
      </c>
      <c r="AB1364" s="35">
        <f>(TA[[#This Row],[Work Start time on Fault]]-TA[[#This Row],[Fault Time]])*24</f>
        <v>0</v>
      </c>
      <c r="AC1364" s="34">
        <f>(TA[[#This Row],[Work Completion time on fault]]-TA[[#This Row],[Fault Time]])*24</f>
        <v>0</v>
      </c>
      <c r="AD1364" s="35">
        <f>IFERROR((TA[[#This Row],[Work Completion time on fault]]-TA[[#This Row],[Fault Time]])*24,"")</f>
        <v>0</v>
      </c>
      <c r="AE1364" t="s">
        <v>328</v>
      </c>
      <c r="AF1364" t="s">
        <v>256</v>
      </c>
      <c r="AG1364" s="2"/>
      <c r="AH1364" s="44">
        <f>1-COS(RADIANS(TA[[#This Row],[Avg. Target Angle during Fault Time (Radians)]]-TA[[#This Row],[Angle of affected equipment ]]))</f>
        <v>0.11705240714107301</v>
      </c>
      <c r="AI1364" s="35">
        <f>IFERROR(TA[[#This Row],[Breakdown Time]]*TA[[#This Row],[Plant Equivalent Weightage]],"")</f>
        <v>0</v>
      </c>
    </row>
    <row r="1365" spans="1:35">
      <c r="A1365" s="2">
        <f t="shared" si="151"/>
        <v>1362</v>
      </c>
      <c r="B1365" s="156">
        <f t="shared" si="158"/>
        <v>2026</v>
      </c>
      <c r="C1365" s="129">
        <f t="shared" si="159"/>
        <v>2025</v>
      </c>
      <c r="D1365" s="2" t="s">
        <v>155</v>
      </c>
      <c r="E1365" s="2" t="s">
        <v>155</v>
      </c>
      <c r="F1365" s="39">
        <v>45839</v>
      </c>
      <c r="G1365" s="2">
        <f>DAY(EOMONTH(TA[[#This Row],[Month Year]],0))</f>
        <v>31</v>
      </c>
      <c r="H1365" s="21">
        <v>45841</v>
      </c>
      <c r="I1365" s="41">
        <f>IFERROR(VLOOKUP(TA[[#This Row],[Date]],Raw_Data[[Date]:[Sunset Time (POA&lt;20 W/m2)]],3,0),"")</f>
        <v>0.25763888888888886</v>
      </c>
      <c r="J1365" s="41">
        <f>IFERROR(VLOOKUP(TA[[#This Row],[Date]],Raw_Data[[Date]:[Sunset Time (POA&lt;20 W/m2)]],4,0),"")</f>
        <v>0.77430555555555558</v>
      </c>
      <c r="K1365" s="35">
        <f>IFERROR((TA[[#This Row],[Sunset Time (POA&lt;20 W/m2)]]-TA[[#This Row],[Sunrise Time (POA&gt;20 W/m2)]])*24,"")</f>
        <v>12.400000000000002</v>
      </c>
      <c r="L1365" s="2" t="s">
        <v>296</v>
      </c>
      <c r="M1365" s="42">
        <f>IFERROR(VLOOKUP(TA[[#This Row],[Affected Equipment]],'Basic Data'!$I$2:$K$40,3,0),"")</f>
        <v>8.6206896551724102E-3</v>
      </c>
      <c r="N1365">
        <v>-28</v>
      </c>
      <c r="O1365" t="s">
        <v>134</v>
      </c>
      <c r="P1365" s="22" t="s">
        <v>330</v>
      </c>
      <c r="Q1365" s="2" t="s">
        <v>323</v>
      </c>
      <c r="R1365">
        <v>30</v>
      </c>
      <c r="S1365" s="2">
        <v>57</v>
      </c>
      <c r="T1365" t="s">
        <v>297</v>
      </c>
      <c r="U1365" t="s">
        <v>300</v>
      </c>
      <c r="V1365" t="s">
        <v>301</v>
      </c>
      <c r="W1365" s="41"/>
      <c r="X1365" s="41"/>
      <c r="Y1365" s="34"/>
      <c r="Z1365" s="34"/>
      <c r="AA1365" s="35">
        <f>IF(TA[[#This Row],[Work Start time on Fault]]="NA","",(TA[[#This Row],[Fault Acknowledgement Time ]]-TA[[#This Row],[Fault Time]])*24)</f>
        <v>0</v>
      </c>
      <c r="AB1365" s="35">
        <f>(TA[[#This Row],[Work Start time on Fault]]-TA[[#This Row],[Fault Time]])*24</f>
        <v>0</v>
      </c>
      <c r="AC1365" s="34">
        <f>(TA[[#This Row],[Work Completion time on fault]]-TA[[#This Row],[Fault Time]])*24</f>
        <v>0</v>
      </c>
      <c r="AD1365" s="35">
        <f>IFERROR((TA[[#This Row],[Work Completion time on fault]]-TA[[#This Row],[Fault Time]])*24,"")</f>
        <v>0</v>
      </c>
      <c r="AE1365" t="s">
        <v>328</v>
      </c>
      <c r="AF1365" t="s">
        <v>256</v>
      </c>
      <c r="AG1365" s="2"/>
      <c r="AH1365" s="44">
        <f>1-COS(RADIANS(TA[[#This Row],[Avg. Target Angle during Fault Time (Radians)]]-TA[[#This Row],[Angle of affected equipment ]]))</f>
        <v>0.11705240714107301</v>
      </c>
      <c r="AI1365" s="35">
        <f>IFERROR(TA[[#This Row],[Breakdown Time]]*TA[[#This Row],[Plant Equivalent Weightage]],"")</f>
        <v>0</v>
      </c>
    </row>
    <row r="1366" spans="1:35">
      <c r="A1366" s="2">
        <f t="shared" si="151"/>
        <v>1363</v>
      </c>
      <c r="B1366" s="156">
        <f t="shared" si="158"/>
        <v>2026</v>
      </c>
      <c r="C1366" s="129">
        <f t="shared" si="159"/>
        <v>2025</v>
      </c>
      <c r="D1366" s="2" t="s">
        <v>155</v>
      </c>
      <c r="E1366" s="2" t="s">
        <v>155</v>
      </c>
      <c r="F1366" s="39">
        <v>45839</v>
      </c>
      <c r="G1366" s="2">
        <f>DAY(EOMONTH(TA[[#This Row],[Month Year]],0))</f>
        <v>31</v>
      </c>
      <c r="H1366" s="21">
        <v>45841</v>
      </c>
      <c r="I1366" s="41">
        <f>IFERROR(VLOOKUP(TA[[#This Row],[Date]],Raw_Data[[Date]:[Sunset Time (POA&lt;20 W/m2)]],3,0),"")</f>
        <v>0.25763888888888886</v>
      </c>
      <c r="J1366" s="41">
        <f>IFERROR(VLOOKUP(TA[[#This Row],[Date]],Raw_Data[[Date]:[Sunset Time (POA&lt;20 W/m2)]],4,0),"")</f>
        <v>0.77430555555555558</v>
      </c>
      <c r="K1366" s="35">
        <f>IFERROR((TA[[#This Row],[Sunset Time (POA&lt;20 W/m2)]]-TA[[#This Row],[Sunrise Time (POA&gt;20 W/m2)]])*24,"")</f>
        <v>12.400000000000002</v>
      </c>
      <c r="L1366" s="2" t="s">
        <v>296</v>
      </c>
      <c r="M1366" s="42">
        <f>IFERROR(VLOOKUP(TA[[#This Row],[Affected Equipment]],'Basic Data'!$I$2:$K$40,3,0),"")</f>
        <v>8.6206896551724102E-3</v>
      </c>
      <c r="N1366">
        <v>-28</v>
      </c>
      <c r="O1366" t="s">
        <v>134</v>
      </c>
      <c r="P1366" s="22" t="s">
        <v>330</v>
      </c>
      <c r="Q1366" s="2" t="s">
        <v>323</v>
      </c>
      <c r="R1366">
        <v>31</v>
      </c>
      <c r="S1366" s="2">
        <v>61</v>
      </c>
      <c r="T1366" t="s">
        <v>297</v>
      </c>
      <c r="U1366" t="s">
        <v>300</v>
      </c>
      <c r="V1366" t="s">
        <v>301</v>
      </c>
      <c r="W1366" s="41"/>
      <c r="X1366" s="41"/>
      <c r="Y1366" s="34"/>
      <c r="Z1366" s="34"/>
      <c r="AA1366" s="35">
        <f>IF(TA[[#This Row],[Work Start time on Fault]]="NA","",(TA[[#This Row],[Fault Acknowledgement Time ]]-TA[[#This Row],[Fault Time]])*24)</f>
        <v>0</v>
      </c>
      <c r="AB1366" s="35">
        <f>(TA[[#This Row],[Work Start time on Fault]]-TA[[#This Row],[Fault Time]])*24</f>
        <v>0</v>
      </c>
      <c r="AC1366" s="34">
        <f>(TA[[#This Row],[Work Completion time on fault]]-TA[[#This Row],[Fault Time]])*24</f>
        <v>0</v>
      </c>
      <c r="AD1366" s="35">
        <f>IFERROR((TA[[#This Row],[Work Completion time on fault]]-TA[[#This Row],[Fault Time]])*24,"")</f>
        <v>0</v>
      </c>
      <c r="AE1366" t="s">
        <v>328</v>
      </c>
      <c r="AF1366" t="s">
        <v>256</v>
      </c>
      <c r="AG1366" s="2"/>
      <c r="AH1366" s="44">
        <f>1-COS(RADIANS(TA[[#This Row],[Avg. Target Angle during Fault Time (Radians)]]-TA[[#This Row],[Angle of affected equipment ]]))</f>
        <v>0.11705240714107301</v>
      </c>
      <c r="AI1366" s="35">
        <f>IFERROR(TA[[#This Row],[Breakdown Time]]*TA[[#This Row],[Plant Equivalent Weightage]],"")</f>
        <v>0</v>
      </c>
    </row>
    <row r="1367" spans="1:35">
      <c r="A1367" s="2">
        <f t="shared" si="151"/>
        <v>1364</v>
      </c>
      <c r="B1367" s="156">
        <f t="shared" si="158"/>
        <v>2026</v>
      </c>
      <c r="C1367" s="129">
        <f t="shared" si="159"/>
        <v>2025</v>
      </c>
      <c r="D1367" s="2" t="s">
        <v>155</v>
      </c>
      <c r="E1367" s="2" t="s">
        <v>155</v>
      </c>
      <c r="F1367" s="39">
        <v>45839</v>
      </c>
      <c r="G1367" s="2">
        <f>DAY(EOMONTH(TA[[#This Row],[Month Year]],0))</f>
        <v>31</v>
      </c>
      <c r="H1367" s="21">
        <v>45841</v>
      </c>
      <c r="I1367" s="41">
        <f>IFERROR(VLOOKUP(TA[[#This Row],[Date]],Raw_Data[[Date]:[Sunset Time (POA&lt;20 W/m2)]],3,0),"")</f>
        <v>0.25763888888888886</v>
      </c>
      <c r="J1367" s="41">
        <f>IFERROR(VLOOKUP(TA[[#This Row],[Date]],Raw_Data[[Date]:[Sunset Time (POA&lt;20 W/m2)]],4,0),"")</f>
        <v>0.77430555555555558</v>
      </c>
      <c r="K1367" s="35">
        <f>IFERROR((TA[[#This Row],[Sunset Time (POA&lt;20 W/m2)]]-TA[[#This Row],[Sunrise Time (POA&gt;20 W/m2)]])*24,"")</f>
        <v>12.400000000000002</v>
      </c>
      <c r="L1367" s="2" t="s">
        <v>312</v>
      </c>
      <c r="M1367" s="42">
        <f>IFERROR(VLOOKUP(TA[[#This Row],[Affected Equipment]],'Basic Data'!$I$2:$K$40,3,0),"")</f>
        <v>5.74712643678161E-3</v>
      </c>
      <c r="N1367">
        <v>-28</v>
      </c>
      <c r="O1367" t="s">
        <v>133</v>
      </c>
      <c r="P1367" s="22" t="s">
        <v>330</v>
      </c>
      <c r="Q1367" s="2" t="s">
        <v>323</v>
      </c>
      <c r="R1367">
        <v>26</v>
      </c>
      <c r="S1367" s="2">
        <v>37</v>
      </c>
      <c r="T1367" t="s">
        <v>297</v>
      </c>
      <c r="U1367" t="s">
        <v>300</v>
      </c>
      <c r="V1367" t="s">
        <v>301</v>
      </c>
      <c r="W1367" s="41"/>
      <c r="X1367" s="41"/>
      <c r="Y1367" s="34"/>
      <c r="Z1367" s="34"/>
      <c r="AA1367" s="35">
        <f>IF(TA[[#This Row],[Work Start time on Fault]]="NA","",(TA[[#This Row],[Fault Acknowledgement Time ]]-TA[[#This Row],[Fault Time]])*24)</f>
        <v>0</v>
      </c>
      <c r="AB1367" s="35">
        <f>(TA[[#This Row],[Work Start time on Fault]]-TA[[#This Row],[Fault Time]])*24</f>
        <v>0</v>
      </c>
      <c r="AC1367" s="34">
        <f>(TA[[#This Row],[Work Completion time on fault]]-TA[[#This Row],[Fault Time]])*24</f>
        <v>0</v>
      </c>
      <c r="AD1367" s="35">
        <f>IFERROR((TA[[#This Row],[Work Completion time on fault]]-TA[[#This Row],[Fault Time]])*24,"")</f>
        <v>0</v>
      </c>
      <c r="AE1367" t="s">
        <v>328</v>
      </c>
      <c r="AF1367" t="s">
        <v>256</v>
      </c>
      <c r="AG1367" s="2"/>
      <c r="AH1367" s="44">
        <f>1-COS(RADIANS(TA[[#This Row],[Avg. Target Angle during Fault Time (Radians)]]-TA[[#This Row],[Angle of affected equipment ]]))</f>
        <v>0.11705240714107301</v>
      </c>
      <c r="AI1367" s="35">
        <f>IFERROR(TA[[#This Row],[Breakdown Time]]*TA[[#This Row],[Plant Equivalent Weightage]],"")</f>
        <v>0</v>
      </c>
    </row>
    <row r="1368" spans="1:35">
      <c r="A1368" s="2">
        <f t="shared" si="151"/>
        <v>1365</v>
      </c>
      <c r="B1368" s="156">
        <f t="shared" si="158"/>
        <v>2026</v>
      </c>
      <c r="C1368" s="129">
        <f t="shared" si="159"/>
        <v>2025</v>
      </c>
      <c r="D1368" s="2" t="s">
        <v>155</v>
      </c>
      <c r="E1368" s="2" t="s">
        <v>155</v>
      </c>
      <c r="F1368" s="39">
        <v>45839</v>
      </c>
      <c r="G1368" s="2">
        <f>DAY(EOMONTH(TA[[#This Row],[Month Year]],0))</f>
        <v>31</v>
      </c>
      <c r="H1368" s="21">
        <v>45841</v>
      </c>
      <c r="I1368" s="41">
        <f>IFERROR(VLOOKUP(TA[[#This Row],[Date]],Raw_Data[[Date]:[Sunset Time (POA&lt;20 W/m2)]],3,0),"")</f>
        <v>0.25763888888888886</v>
      </c>
      <c r="J1368" s="41">
        <f>IFERROR(VLOOKUP(TA[[#This Row],[Date]],Raw_Data[[Date]:[Sunset Time (POA&lt;20 W/m2)]],4,0),"")</f>
        <v>0.77430555555555558</v>
      </c>
      <c r="K1368" s="35">
        <f>IFERROR((TA[[#This Row],[Sunset Time (POA&lt;20 W/m2)]]-TA[[#This Row],[Sunrise Time (POA&gt;20 W/m2)]])*24,"")</f>
        <v>12.400000000000002</v>
      </c>
      <c r="L1368" s="2" t="s">
        <v>312</v>
      </c>
      <c r="M1368" s="42">
        <f>IFERROR(VLOOKUP(TA[[#This Row],[Affected Equipment]],'Basic Data'!$I$2:$K$40,3,0),"")</f>
        <v>5.74712643678161E-3</v>
      </c>
      <c r="N1368">
        <v>-28</v>
      </c>
      <c r="O1368" t="s">
        <v>133</v>
      </c>
      <c r="P1368" s="22" t="s">
        <v>330</v>
      </c>
      <c r="Q1368" s="2" t="s">
        <v>323</v>
      </c>
      <c r="R1368">
        <v>27</v>
      </c>
      <c r="S1368" s="2">
        <v>42</v>
      </c>
      <c r="T1368" t="s">
        <v>297</v>
      </c>
      <c r="U1368" t="s">
        <v>300</v>
      </c>
      <c r="V1368" t="s">
        <v>301</v>
      </c>
      <c r="W1368" s="41">
        <f>IFERROR(VLOOKUP(TA[[#This Row],[Date]],Raw_Data[[Date]:[Sunset Time (POA&lt;20 W/m2)]],3,0),"")</f>
        <v>0.25763888888888886</v>
      </c>
      <c r="X1368" s="41">
        <f>IFERROR(VLOOKUP(TA[[#This Row],[Date]],Raw_Data[[Date]:[Sunset Time (POA&lt;20 W/m2)]],3,0),"")</f>
        <v>0.25763888888888886</v>
      </c>
      <c r="Y1368" s="34"/>
      <c r="Z1368" s="34">
        <v>0.76041666666666663</v>
      </c>
      <c r="AA1368" s="35">
        <f>IF(TA[[#This Row],[Work Start time on Fault]]="NA","",(TA[[#This Row],[Fault Acknowledgement Time ]]-TA[[#This Row],[Fault Time]])*24)</f>
        <v>0</v>
      </c>
      <c r="AB1368" s="35">
        <f>(TA[[#This Row],[Work Start time on Fault]]-TA[[#This Row],[Fault Time]])*24</f>
        <v>-6.1833333333333327</v>
      </c>
      <c r="AC1368" s="34">
        <f>(TA[[#This Row],[Work Completion time on fault]]-TA[[#This Row],[Fault Time]])*24</f>
        <v>12.066666666666666</v>
      </c>
      <c r="AD1368" s="35">
        <f>IFERROR((TA[[#This Row],[Work Completion time on fault]]-TA[[#This Row],[Fault Time]])*24,"")</f>
        <v>12.066666666666666</v>
      </c>
      <c r="AE1368" t="s">
        <v>309</v>
      </c>
      <c r="AF1368" t="s">
        <v>256</v>
      </c>
      <c r="AG1368" s="2"/>
      <c r="AH1368" s="44">
        <f>1-COS(RADIANS(TA[[#This Row],[Avg. Target Angle during Fault Time (Radians)]]-TA[[#This Row],[Angle of affected equipment ]]))</f>
        <v>0.11705240714107301</v>
      </c>
      <c r="AI1368" s="35">
        <f>IFERROR(TA[[#This Row],[Breakdown Time]]*TA[[#This Row],[Plant Equivalent Weightage]],"")</f>
        <v>6.9348659003831428E-2</v>
      </c>
    </row>
    <row r="1369" spans="1:35">
      <c r="A1369" s="2">
        <f t="shared" si="151"/>
        <v>1366</v>
      </c>
      <c r="B1369" s="156">
        <f t="shared" ref="B1369:B1381" si="160">YEAR(H1369)+IF(MONTH(H1369)&gt;=4,1,0)</f>
        <v>2026</v>
      </c>
      <c r="C1369" s="129">
        <f t="shared" ref="C1369:C1381" si="161">YEAR(H1369)</f>
        <v>2025</v>
      </c>
      <c r="D1369" s="2" t="s">
        <v>155</v>
      </c>
      <c r="E1369" s="2" t="s">
        <v>155</v>
      </c>
      <c r="F1369" s="39">
        <v>45839</v>
      </c>
      <c r="G1369" s="2">
        <f>DAY(EOMONTH(TA[[#This Row],[Month Year]],0))</f>
        <v>31</v>
      </c>
      <c r="H1369" s="21">
        <v>45842</v>
      </c>
      <c r="I1369" s="41">
        <f>IFERROR(VLOOKUP(TA[[#This Row],[Date]],Raw_Data[[Date]:[Sunset Time (POA&lt;20 W/m2)]],3,0),"")</f>
        <v>0.25347222222222221</v>
      </c>
      <c r="J1369" s="41">
        <f>IFERROR(VLOOKUP(TA[[#This Row],[Date]],Raw_Data[[Date]:[Sunset Time (POA&lt;20 W/m2)]],4,0),"")</f>
        <v>0.7729166666666667</v>
      </c>
      <c r="K1369" s="35">
        <f>IFERROR((TA[[#This Row],[Sunset Time (POA&lt;20 W/m2)]]-TA[[#This Row],[Sunrise Time (POA&gt;20 W/m2)]])*24,"")</f>
        <v>12.466666666666669</v>
      </c>
      <c r="L1369" s="2" t="s">
        <v>294</v>
      </c>
      <c r="M1369" s="42">
        <f>IFERROR(VLOOKUP(TA[[#This Row],[Affected Equipment]],'Basic Data'!$I$2:$K$40,3,0),"")</f>
        <v>1.7241379310344799E-3</v>
      </c>
      <c r="N1369">
        <v>-28</v>
      </c>
      <c r="O1369" t="s">
        <v>135</v>
      </c>
      <c r="P1369" s="127" t="s">
        <v>318</v>
      </c>
      <c r="Q1369" s="126" t="s">
        <v>318</v>
      </c>
      <c r="R1369">
        <v>131</v>
      </c>
      <c r="S1369" s="2">
        <v>38</v>
      </c>
      <c r="T1369" t="s">
        <v>295</v>
      </c>
      <c r="U1369" t="s">
        <v>300</v>
      </c>
      <c r="V1369" t="s">
        <v>298</v>
      </c>
      <c r="W1369" s="41"/>
      <c r="X1369" s="41"/>
      <c r="Y1369" s="34"/>
      <c r="Z1369" s="34"/>
      <c r="AA1369" s="35">
        <f>IF(TA[[#This Row],[Work Start time on Fault]]="NA","",(TA[[#This Row],[Fault Acknowledgement Time ]]-TA[[#This Row],[Fault Time]])*24)</f>
        <v>0</v>
      </c>
      <c r="AB1369" s="35">
        <f>(TA[[#This Row],[Work Start time on Fault]]-TA[[#This Row],[Fault Time]])*24</f>
        <v>0</v>
      </c>
      <c r="AC1369" s="34">
        <f>(TA[[#This Row],[Work Completion time on fault]]-TA[[#This Row],[Fault Time]])*24</f>
        <v>0</v>
      </c>
      <c r="AD1369" s="35">
        <f>IFERROR((TA[[#This Row],[Work Completion time on fault]]-TA[[#This Row],[Fault Time]])*24,"")</f>
        <v>0</v>
      </c>
      <c r="AE1369" t="s">
        <v>328</v>
      </c>
      <c r="AF1369" t="s">
        <v>256</v>
      </c>
      <c r="AG1369" s="2"/>
      <c r="AH1369" s="44">
        <f>1-COS(RADIANS(TA[[#This Row],[Avg. Target Angle during Fault Time (Radians)]]-TA[[#This Row],[Angle of affected equipment ]]))</f>
        <v>0.11705240714107301</v>
      </c>
      <c r="AI1369" s="35">
        <f>IFERROR(TA[[#This Row],[Breakdown Time]]*TA[[#This Row],[Plant Equivalent Weightage]],"")</f>
        <v>0</v>
      </c>
    </row>
    <row r="1370" spans="1:35">
      <c r="A1370" s="2">
        <f t="shared" si="151"/>
        <v>1367</v>
      </c>
      <c r="B1370" s="156">
        <f t="shared" si="160"/>
        <v>2026</v>
      </c>
      <c r="C1370" s="129">
        <f t="shared" si="161"/>
        <v>2025</v>
      </c>
      <c r="D1370" s="2" t="s">
        <v>155</v>
      </c>
      <c r="E1370" s="2" t="s">
        <v>155</v>
      </c>
      <c r="F1370" s="39">
        <v>45839</v>
      </c>
      <c r="G1370" s="2">
        <f>DAY(EOMONTH(TA[[#This Row],[Month Year]],0))</f>
        <v>31</v>
      </c>
      <c r="H1370" s="21">
        <v>45842</v>
      </c>
      <c r="I1370" s="41">
        <f>IFERROR(VLOOKUP(TA[[#This Row],[Date]],Raw_Data[[Date]:[Sunset Time (POA&lt;20 W/m2)]],3,0),"")</f>
        <v>0.25347222222222221</v>
      </c>
      <c r="J1370" s="41">
        <f>IFERROR(VLOOKUP(TA[[#This Row],[Date]],Raw_Data[[Date]:[Sunset Time (POA&lt;20 W/m2)]],4,0),"")</f>
        <v>0.7729166666666667</v>
      </c>
      <c r="K1370" s="35">
        <f>IFERROR((TA[[#This Row],[Sunset Time (POA&lt;20 W/m2)]]-TA[[#This Row],[Sunrise Time (POA&gt;20 W/m2)]])*24,"")</f>
        <v>12.466666666666669</v>
      </c>
      <c r="L1370" s="2" t="s">
        <v>294</v>
      </c>
      <c r="M1370" s="42">
        <f>IFERROR(VLOOKUP(TA[[#This Row],[Affected Equipment]],'Basic Data'!$I$2:$K$40,3,0),"")</f>
        <v>1.7241379310344799E-3</v>
      </c>
      <c r="N1370">
        <v>-28</v>
      </c>
      <c r="O1370" t="s">
        <v>135</v>
      </c>
      <c r="P1370" s="127" t="s">
        <v>318</v>
      </c>
      <c r="Q1370" s="126" t="s">
        <v>318</v>
      </c>
      <c r="R1370">
        <v>131</v>
      </c>
      <c r="S1370" s="2">
        <v>39</v>
      </c>
      <c r="T1370" t="s">
        <v>295</v>
      </c>
      <c r="U1370" t="s">
        <v>300</v>
      </c>
      <c r="V1370" t="s">
        <v>298</v>
      </c>
      <c r="W1370" s="41"/>
      <c r="X1370" s="41"/>
      <c r="Y1370" s="34"/>
      <c r="Z1370" s="34"/>
      <c r="AA1370" s="35">
        <f>IF(TA[[#This Row],[Work Start time on Fault]]="NA","",(TA[[#This Row],[Fault Acknowledgement Time ]]-TA[[#This Row],[Fault Time]])*24)</f>
        <v>0</v>
      </c>
      <c r="AB1370" s="35">
        <f>(TA[[#This Row],[Work Start time on Fault]]-TA[[#This Row],[Fault Time]])*24</f>
        <v>0</v>
      </c>
      <c r="AC1370" s="34">
        <f>(TA[[#This Row],[Work Completion time on fault]]-TA[[#This Row],[Fault Time]])*24</f>
        <v>0</v>
      </c>
      <c r="AD1370" s="35">
        <f>IFERROR((TA[[#This Row],[Work Completion time on fault]]-TA[[#This Row],[Fault Time]])*24,"")</f>
        <v>0</v>
      </c>
      <c r="AE1370" t="s">
        <v>328</v>
      </c>
      <c r="AF1370" t="s">
        <v>256</v>
      </c>
      <c r="AG1370" s="2"/>
      <c r="AH1370" s="44">
        <f>1-COS(RADIANS(TA[[#This Row],[Avg. Target Angle during Fault Time (Radians)]]-TA[[#This Row],[Angle of affected equipment ]]))</f>
        <v>0.11705240714107301</v>
      </c>
      <c r="AI1370" s="35">
        <f>IFERROR(TA[[#This Row],[Breakdown Time]]*TA[[#This Row],[Plant Equivalent Weightage]],"")</f>
        <v>0</v>
      </c>
    </row>
    <row r="1371" spans="1:35">
      <c r="A1371" s="2">
        <f t="shared" si="151"/>
        <v>1368</v>
      </c>
      <c r="B1371" s="156">
        <f t="shared" si="160"/>
        <v>2026</v>
      </c>
      <c r="C1371" s="129">
        <f t="shared" si="161"/>
        <v>2025</v>
      </c>
      <c r="D1371" s="2" t="s">
        <v>155</v>
      </c>
      <c r="E1371" s="2" t="s">
        <v>155</v>
      </c>
      <c r="F1371" s="39">
        <v>45839</v>
      </c>
      <c r="G1371" s="2">
        <f>DAY(EOMONTH(TA[[#This Row],[Month Year]],0))</f>
        <v>31</v>
      </c>
      <c r="H1371" s="21">
        <v>45842</v>
      </c>
      <c r="I1371" s="41">
        <f>IFERROR(VLOOKUP(TA[[#This Row],[Date]],Raw_Data[[Date]:[Sunset Time (POA&lt;20 W/m2)]],3,0),"")</f>
        <v>0.25347222222222221</v>
      </c>
      <c r="J1371" s="41">
        <f>IFERROR(VLOOKUP(TA[[#This Row],[Date]],Raw_Data[[Date]:[Sunset Time (POA&lt;20 W/m2)]],4,0),"")</f>
        <v>0.7729166666666667</v>
      </c>
      <c r="K1371" s="35">
        <f>IFERROR((TA[[#This Row],[Sunset Time (POA&lt;20 W/m2)]]-TA[[#This Row],[Sunrise Time (POA&gt;20 W/m2)]])*24,"")</f>
        <v>12.466666666666669</v>
      </c>
      <c r="L1371" s="2" t="s">
        <v>296</v>
      </c>
      <c r="M1371" s="42">
        <f>IFERROR(VLOOKUP(TA[[#This Row],[Affected Equipment]],'Basic Data'!$I$2:$K$40,3,0),"")</f>
        <v>8.6206896551724102E-3</v>
      </c>
      <c r="N1371">
        <v>-28</v>
      </c>
      <c r="O1371" t="s">
        <v>135</v>
      </c>
      <c r="P1371" s="127" t="s">
        <v>318</v>
      </c>
      <c r="Q1371" s="2" t="s">
        <v>321</v>
      </c>
      <c r="R1371">
        <v>133</v>
      </c>
      <c r="S1371" s="2">
        <v>26</v>
      </c>
      <c r="T1371" t="s">
        <v>297</v>
      </c>
      <c r="U1371" t="s">
        <v>300</v>
      </c>
      <c r="V1371" t="s">
        <v>314</v>
      </c>
      <c r="W1371" s="41">
        <f>IFERROR(VLOOKUP(TA[[#This Row],[Date]],Raw_Data[[Date]:[Sunset Time (POA&lt;20 W/m2)]],3,0),"")</f>
        <v>0.25347222222222221</v>
      </c>
      <c r="X1371" s="41">
        <f>IFERROR(VLOOKUP(TA[[#This Row],[Date]],Raw_Data[[Date]:[Sunset Time (POA&lt;20 W/m2)]],3,0),"")</f>
        <v>0.25347222222222221</v>
      </c>
      <c r="Y1371" s="34"/>
      <c r="Z1371" s="34">
        <v>0.76041666666666663</v>
      </c>
      <c r="AA1371" s="35">
        <f>IF(TA[[#This Row],[Work Start time on Fault]]="NA","",(TA[[#This Row],[Fault Acknowledgement Time ]]-TA[[#This Row],[Fault Time]])*24)</f>
        <v>0</v>
      </c>
      <c r="AB1371" s="35">
        <f>(TA[[#This Row],[Work Start time on Fault]]-TA[[#This Row],[Fault Time]])*24</f>
        <v>-6.083333333333333</v>
      </c>
      <c r="AC1371" s="34">
        <f>(TA[[#This Row],[Work Completion time on fault]]-TA[[#This Row],[Fault Time]])*24</f>
        <v>12.166666666666666</v>
      </c>
      <c r="AD1371" s="35">
        <f>IFERROR((TA[[#This Row],[Work Completion time on fault]]-TA[[#This Row],[Fault Time]])*24,"")</f>
        <v>12.166666666666666</v>
      </c>
      <c r="AE1371" t="s">
        <v>328</v>
      </c>
      <c r="AF1371" t="s">
        <v>256</v>
      </c>
      <c r="AG1371" s="2"/>
      <c r="AH1371" s="44">
        <f>1-COS(RADIANS(TA[[#This Row],[Avg. Target Angle during Fault Time (Radians)]]-TA[[#This Row],[Angle of affected equipment ]]))</f>
        <v>0.11705240714107301</v>
      </c>
      <c r="AI1371" s="35">
        <f>IFERROR(TA[[#This Row],[Breakdown Time]]*TA[[#This Row],[Plant Equivalent Weightage]],"")</f>
        <v>0.10488505747126432</v>
      </c>
    </row>
    <row r="1372" spans="1:35">
      <c r="A1372" s="2">
        <f t="shared" si="151"/>
        <v>1369</v>
      </c>
      <c r="B1372" s="156">
        <f t="shared" si="160"/>
        <v>2026</v>
      </c>
      <c r="C1372" s="129">
        <f t="shared" si="161"/>
        <v>2025</v>
      </c>
      <c r="D1372" s="2" t="s">
        <v>155</v>
      </c>
      <c r="E1372" s="2" t="s">
        <v>155</v>
      </c>
      <c r="F1372" s="39">
        <v>45839</v>
      </c>
      <c r="G1372" s="2">
        <f>DAY(EOMONTH(TA[[#This Row],[Month Year]],0))</f>
        <v>31</v>
      </c>
      <c r="H1372" s="21">
        <v>45842</v>
      </c>
      <c r="I1372" s="41">
        <f>IFERROR(VLOOKUP(TA[[#This Row],[Date]],Raw_Data[[Date]:[Sunset Time (POA&lt;20 W/m2)]],3,0),"")</f>
        <v>0.25347222222222221</v>
      </c>
      <c r="J1372" s="41">
        <f>IFERROR(VLOOKUP(TA[[#This Row],[Date]],Raw_Data[[Date]:[Sunset Time (POA&lt;20 W/m2)]],4,0),"")</f>
        <v>0.7729166666666667</v>
      </c>
      <c r="K1372" s="35">
        <f>IFERROR((TA[[#This Row],[Sunset Time (POA&lt;20 W/m2)]]-TA[[#This Row],[Sunrise Time (POA&gt;20 W/m2)]])*24,"")</f>
        <v>12.466666666666669</v>
      </c>
      <c r="L1372" s="2" t="s">
        <v>294</v>
      </c>
      <c r="M1372" s="42">
        <f>IFERROR(VLOOKUP(TA[[#This Row],[Affected Equipment]],'Basic Data'!$I$2:$K$40,3,0),"")</f>
        <v>1.7241379310344799E-3</v>
      </c>
      <c r="N1372">
        <v>-28</v>
      </c>
      <c r="O1372" t="s">
        <v>133</v>
      </c>
      <c r="P1372" s="127" t="s">
        <v>316</v>
      </c>
      <c r="Q1372" s="126" t="s">
        <v>317</v>
      </c>
      <c r="R1372">
        <v>7</v>
      </c>
      <c r="S1372" s="2">
        <v>32</v>
      </c>
      <c r="T1372" t="s">
        <v>295</v>
      </c>
      <c r="U1372" t="s">
        <v>300</v>
      </c>
      <c r="V1372" t="s">
        <v>298</v>
      </c>
      <c r="W1372" s="41"/>
      <c r="X1372" s="41"/>
      <c r="Y1372" s="34"/>
      <c r="Z1372" s="34"/>
      <c r="AA1372" s="35">
        <f>IF(TA[[#This Row],[Work Start time on Fault]]="NA","",(TA[[#This Row],[Fault Acknowledgement Time ]]-TA[[#This Row],[Fault Time]])*24)</f>
        <v>0</v>
      </c>
      <c r="AB1372" s="35">
        <f>(TA[[#This Row],[Work Start time on Fault]]-TA[[#This Row],[Fault Time]])*24</f>
        <v>0</v>
      </c>
      <c r="AC1372" s="34">
        <f>(TA[[#This Row],[Work Completion time on fault]]-TA[[#This Row],[Fault Time]])*24</f>
        <v>0</v>
      </c>
      <c r="AD1372" s="35">
        <f>IFERROR((TA[[#This Row],[Work Completion time on fault]]-TA[[#This Row],[Fault Time]])*24,"")</f>
        <v>0</v>
      </c>
      <c r="AE1372" t="s">
        <v>328</v>
      </c>
      <c r="AF1372" t="s">
        <v>256</v>
      </c>
      <c r="AG1372" s="2"/>
      <c r="AH1372" s="44">
        <f>1-COS(RADIANS(TA[[#This Row],[Avg. Target Angle during Fault Time (Radians)]]-TA[[#This Row],[Angle of affected equipment ]]))</f>
        <v>0.11705240714107301</v>
      </c>
      <c r="AI1372" s="35">
        <f>IFERROR(TA[[#This Row],[Breakdown Time]]*TA[[#This Row],[Plant Equivalent Weightage]],"")</f>
        <v>0</v>
      </c>
    </row>
    <row r="1373" spans="1:35">
      <c r="A1373" s="2">
        <f t="shared" si="151"/>
        <v>1370</v>
      </c>
      <c r="B1373" s="156">
        <f t="shared" si="160"/>
        <v>2026</v>
      </c>
      <c r="C1373" s="129">
        <f t="shared" si="161"/>
        <v>2025</v>
      </c>
      <c r="D1373" s="2" t="s">
        <v>155</v>
      </c>
      <c r="E1373" s="2" t="s">
        <v>155</v>
      </c>
      <c r="F1373" s="39">
        <v>45839</v>
      </c>
      <c r="G1373" s="2">
        <f>DAY(EOMONTH(TA[[#This Row],[Month Year]],0))</f>
        <v>31</v>
      </c>
      <c r="H1373" s="21">
        <v>45842</v>
      </c>
      <c r="I1373" s="41">
        <f>IFERROR(VLOOKUP(TA[[#This Row],[Date]],Raw_Data[[Date]:[Sunset Time (POA&lt;20 W/m2)]],3,0),"")</f>
        <v>0.25347222222222221</v>
      </c>
      <c r="J1373" s="41">
        <f>IFERROR(VLOOKUP(TA[[#This Row],[Date]],Raw_Data[[Date]:[Sunset Time (POA&lt;20 W/m2)]],4,0),"")</f>
        <v>0.7729166666666667</v>
      </c>
      <c r="K1373" s="35">
        <f>IFERROR((TA[[#This Row],[Sunset Time (POA&lt;20 W/m2)]]-TA[[#This Row],[Sunrise Time (POA&gt;20 W/m2)]])*24,"")</f>
        <v>12.466666666666669</v>
      </c>
      <c r="L1373" s="2" t="s">
        <v>294</v>
      </c>
      <c r="M1373" s="42">
        <f>IFERROR(VLOOKUP(TA[[#This Row],[Affected Equipment]],'Basic Data'!$I$2:$K$40,3,0),"")</f>
        <v>1.7241379310344799E-3</v>
      </c>
      <c r="N1373">
        <v>-28</v>
      </c>
      <c r="O1373" t="s">
        <v>137</v>
      </c>
      <c r="P1373" s="127" t="s">
        <v>315</v>
      </c>
      <c r="Q1373" s="126" t="s">
        <v>319</v>
      </c>
      <c r="R1373">
        <v>166</v>
      </c>
      <c r="S1373" s="2">
        <v>91</v>
      </c>
      <c r="T1373" t="s">
        <v>295</v>
      </c>
      <c r="U1373" t="s">
        <v>300</v>
      </c>
      <c r="V1373" t="s">
        <v>298</v>
      </c>
      <c r="W1373" s="41"/>
      <c r="X1373" s="41"/>
      <c r="Y1373" s="34"/>
      <c r="Z1373" s="34"/>
      <c r="AA1373" s="35">
        <f>IF(TA[[#This Row],[Work Start time on Fault]]="NA","",(TA[[#This Row],[Fault Acknowledgement Time ]]-TA[[#This Row],[Fault Time]])*24)</f>
        <v>0</v>
      </c>
      <c r="AB1373" s="35">
        <f>(TA[[#This Row],[Work Start time on Fault]]-TA[[#This Row],[Fault Time]])*24</f>
        <v>0</v>
      </c>
      <c r="AC1373" s="34">
        <f>(TA[[#This Row],[Work Completion time on fault]]-TA[[#This Row],[Fault Time]])*24</f>
        <v>0</v>
      </c>
      <c r="AD1373" s="35">
        <f>IFERROR((TA[[#This Row],[Work Completion time on fault]]-TA[[#This Row],[Fault Time]])*24,"")</f>
        <v>0</v>
      </c>
      <c r="AE1373" t="s">
        <v>328</v>
      </c>
      <c r="AF1373" t="s">
        <v>256</v>
      </c>
      <c r="AG1373" s="2"/>
      <c r="AH1373" s="44">
        <f>1-COS(RADIANS(TA[[#This Row],[Avg. Target Angle during Fault Time (Radians)]]-TA[[#This Row],[Angle of affected equipment ]]))</f>
        <v>0.11705240714107301</v>
      </c>
      <c r="AI1373" s="35">
        <f>IFERROR(TA[[#This Row],[Breakdown Time]]*TA[[#This Row],[Plant Equivalent Weightage]],"")</f>
        <v>0</v>
      </c>
    </row>
    <row r="1374" spans="1:35">
      <c r="A1374" s="2">
        <f t="shared" si="151"/>
        <v>1371</v>
      </c>
      <c r="B1374" s="156">
        <f t="shared" si="160"/>
        <v>2026</v>
      </c>
      <c r="C1374" s="129">
        <f t="shared" si="161"/>
        <v>2025</v>
      </c>
      <c r="D1374" s="2" t="s">
        <v>155</v>
      </c>
      <c r="E1374" s="2" t="s">
        <v>155</v>
      </c>
      <c r="F1374" s="39">
        <v>45839</v>
      </c>
      <c r="G1374" s="2">
        <f>DAY(EOMONTH(TA[[#This Row],[Month Year]],0))</f>
        <v>31</v>
      </c>
      <c r="H1374" s="21">
        <v>45842</v>
      </c>
      <c r="I1374" s="41">
        <f>IFERROR(VLOOKUP(TA[[#This Row],[Date]],Raw_Data[[Date]:[Sunset Time (POA&lt;20 W/m2)]],3,0),"")</f>
        <v>0.25347222222222221</v>
      </c>
      <c r="J1374" s="41">
        <f>IFERROR(VLOOKUP(TA[[#This Row],[Date]],Raw_Data[[Date]:[Sunset Time (POA&lt;20 W/m2)]],4,0),"")</f>
        <v>0.7729166666666667</v>
      </c>
      <c r="K1374" s="35">
        <f>IFERROR((TA[[#This Row],[Sunset Time (POA&lt;20 W/m2)]]-TA[[#This Row],[Sunrise Time (POA&gt;20 W/m2)]])*24,"")</f>
        <v>12.466666666666669</v>
      </c>
      <c r="L1374" s="2" t="s">
        <v>294</v>
      </c>
      <c r="M1374" s="42">
        <f>IFERROR(VLOOKUP(TA[[#This Row],[Affected Equipment]],'Basic Data'!$I$2:$K$40,3,0),"")</f>
        <v>1.7241379310344799E-3</v>
      </c>
      <c r="N1374">
        <v>-28</v>
      </c>
      <c r="O1374" t="s">
        <v>133</v>
      </c>
      <c r="P1374" s="127" t="s">
        <v>316</v>
      </c>
      <c r="Q1374" s="126" t="s">
        <v>316</v>
      </c>
      <c r="R1374">
        <v>117</v>
      </c>
      <c r="S1374" s="2">
        <v>20</v>
      </c>
      <c r="T1374" t="s">
        <v>295</v>
      </c>
      <c r="U1374" t="s">
        <v>300</v>
      </c>
      <c r="V1374" t="s">
        <v>298</v>
      </c>
      <c r="W1374" s="41"/>
      <c r="X1374" s="41"/>
      <c r="Y1374" s="34"/>
      <c r="Z1374" s="34"/>
      <c r="AA1374" s="35">
        <f>IF(TA[[#This Row],[Work Start time on Fault]]="NA","",(TA[[#This Row],[Fault Acknowledgement Time ]]-TA[[#This Row],[Fault Time]])*24)</f>
        <v>0</v>
      </c>
      <c r="AB1374" s="35">
        <f>(TA[[#This Row],[Work Start time on Fault]]-TA[[#This Row],[Fault Time]])*24</f>
        <v>0</v>
      </c>
      <c r="AC1374" s="34">
        <f>(TA[[#This Row],[Work Completion time on fault]]-TA[[#This Row],[Fault Time]])*24</f>
        <v>0</v>
      </c>
      <c r="AD1374" s="35">
        <f>IFERROR((TA[[#This Row],[Work Completion time on fault]]-TA[[#This Row],[Fault Time]])*24,"")</f>
        <v>0</v>
      </c>
      <c r="AE1374" t="s">
        <v>328</v>
      </c>
      <c r="AF1374" t="s">
        <v>256</v>
      </c>
      <c r="AG1374" s="2"/>
      <c r="AH1374" s="44">
        <f>1-COS(RADIANS(TA[[#This Row],[Avg. Target Angle during Fault Time (Radians)]]-TA[[#This Row],[Angle of affected equipment ]]))</f>
        <v>0.11705240714107301</v>
      </c>
      <c r="AI1374" s="35">
        <f>IFERROR(TA[[#This Row],[Breakdown Time]]*TA[[#This Row],[Plant Equivalent Weightage]],"")</f>
        <v>0</v>
      </c>
    </row>
    <row r="1375" spans="1:35">
      <c r="A1375" s="2">
        <f t="shared" si="151"/>
        <v>1372</v>
      </c>
      <c r="B1375" s="156">
        <f t="shared" si="160"/>
        <v>2026</v>
      </c>
      <c r="C1375" s="129">
        <f t="shared" si="161"/>
        <v>2025</v>
      </c>
      <c r="D1375" s="2" t="s">
        <v>155</v>
      </c>
      <c r="E1375" s="2" t="s">
        <v>155</v>
      </c>
      <c r="F1375" s="39">
        <v>45839</v>
      </c>
      <c r="G1375" s="2">
        <f>DAY(EOMONTH(TA[[#This Row],[Month Year]],0))</f>
        <v>31</v>
      </c>
      <c r="H1375" s="21">
        <v>45842</v>
      </c>
      <c r="I1375" s="41">
        <f>IFERROR(VLOOKUP(TA[[#This Row],[Date]],Raw_Data[[Date]:[Sunset Time (POA&lt;20 W/m2)]],3,0),"")</f>
        <v>0.25347222222222221</v>
      </c>
      <c r="J1375" s="41">
        <f>IFERROR(VLOOKUP(TA[[#This Row],[Date]],Raw_Data[[Date]:[Sunset Time (POA&lt;20 W/m2)]],4,0),"")</f>
        <v>0.7729166666666667</v>
      </c>
      <c r="K1375" s="35">
        <f>IFERROR((TA[[#This Row],[Sunset Time (POA&lt;20 W/m2)]]-TA[[#This Row],[Sunrise Time (POA&gt;20 W/m2)]])*24,"")</f>
        <v>12.466666666666669</v>
      </c>
      <c r="L1375" s="2" t="s">
        <v>294</v>
      </c>
      <c r="M1375" s="42">
        <f>IFERROR(VLOOKUP(TA[[#This Row],[Affected Equipment]],'Basic Data'!$I$2:$K$40,3,0),"")</f>
        <v>1.7241379310344799E-3</v>
      </c>
      <c r="N1375">
        <v>-28</v>
      </c>
      <c r="O1375" t="s">
        <v>133</v>
      </c>
      <c r="P1375" s="127" t="s">
        <v>316</v>
      </c>
      <c r="Q1375" s="126" t="s">
        <v>316</v>
      </c>
      <c r="R1375">
        <v>118</v>
      </c>
      <c r="S1375" s="2">
        <v>22</v>
      </c>
      <c r="T1375" t="s">
        <v>295</v>
      </c>
      <c r="U1375" t="s">
        <v>300</v>
      </c>
      <c r="V1375" t="s">
        <v>298</v>
      </c>
      <c r="W1375" s="41"/>
      <c r="X1375" s="41"/>
      <c r="Y1375" s="34"/>
      <c r="Z1375" s="34"/>
      <c r="AA1375" s="35">
        <f>IF(TA[[#This Row],[Work Start time on Fault]]="NA","",(TA[[#This Row],[Fault Acknowledgement Time ]]-TA[[#This Row],[Fault Time]])*24)</f>
        <v>0</v>
      </c>
      <c r="AB1375" s="35">
        <f>(TA[[#This Row],[Work Start time on Fault]]-TA[[#This Row],[Fault Time]])*24</f>
        <v>0</v>
      </c>
      <c r="AC1375" s="34">
        <f>(TA[[#This Row],[Work Completion time on fault]]-TA[[#This Row],[Fault Time]])*24</f>
        <v>0</v>
      </c>
      <c r="AD1375" s="35">
        <f>IFERROR((TA[[#This Row],[Work Completion time on fault]]-TA[[#This Row],[Fault Time]])*24,"")</f>
        <v>0</v>
      </c>
      <c r="AE1375" t="s">
        <v>328</v>
      </c>
      <c r="AF1375" t="s">
        <v>256</v>
      </c>
      <c r="AG1375" s="2"/>
      <c r="AH1375" s="44">
        <f>1-COS(RADIANS(TA[[#This Row],[Avg. Target Angle during Fault Time (Radians)]]-TA[[#This Row],[Angle of affected equipment ]]))</f>
        <v>0.11705240714107301</v>
      </c>
      <c r="AI1375" s="35">
        <f>IFERROR(TA[[#This Row],[Breakdown Time]]*TA[[#This Row],[Plant Equivalent Weightage]],"")</f>
        <v>0</v>
      </c>
    </row>
    <row r="1376" spans="1:35">
      <c r="A1376" s="2">
        <f t="shared" si="151"/>
        <v>1373</v>
      </c>
      <c r="B1376" s="156">
        <f t="shared" si="160"/>
        <v>2026</v>
      </c>
      <c r="C1376" s="129">
        <f t="shared" si="161"/>
        <v>2025</v>
      </c>
      <c r="D1376" s="2" t="s">
        <v>155</v>
      </c>
      <c r="E1376" s="2" t="s">
        <v>155</v>
      </c>
      <c r="F1376" s="39">
        <v>45839</v>
      </c>
      <c r="G1376" s="2">
        <f>DAY(EOMONTH(TA[[#This Row],[Month Year]],0))</f>
        <v>31</v>
      </c>
      <c r="H1376" s="21">
        <v>45842</v>
      </c>
      <c r="I1376" s="41">
        <f>IFERROR(VLOOKUP(TA[[#This Row],[Date]],Raw_Data[[Date]:[Sunset Time (POA&lt;20 W/m2)]],3,0),"")</f>
        <v>0.25347222222222221</v>
      </c>
      <c r="J1376" s="41">
        <f>IFERROR(VLOOKUP(TA[[#This Row],[Date]],Raw_Data[[Date]:[Sunset Time (POA&lt;20 W/m2)]],4,0),"")</f>
        <v>0.7729166666666667</v>
      </c>
      <c r="K1376" s="35">
        <f>IFERROR((TA[[#This Row],[Sunset Time (POA&lt;20 W/m2)]]-TA[[#This Row],[Sunrise Time (POA&gt;20 W/m2)]])*24,"")</f>
        <v>12.466666666666669</v>
      </c>
      <c r="L1376" s="2" t="s">
        <v>296</v>
      </c>
      <c r="M1376" s="42">
        <f>IFERROR(VLOOKUP(TA[[#This Row],[Affected Equipment]],'Basic Data'!$I$2:$K$40,3,0),"")</f>
        <v>8.6206896551724102E-3</v>
      </c>
      <c r="N1376">
        <v>-28</v>
      </c>
      <c r="O1376" t="s">
        <v>135</v>
      </c>
      <c r="P1376" s="22" t="s">
        <v>323</v>
      </c>
      <c r="Q1376" s="2" t="s">
        <v>329</v>
      </c>
      <c r="R1376">
        <v>45</v>
      </c>
      <c r="S1376" s="2">
        <v>8</v>
      </c>
      <c r="T1376" t="s">
        <v>297</v>
      </c>
      <c r="U1376" t="s">
        <v>300</v>
      </c>
      <c r="V1376" t="s">
        <v>301</v>
      </c>
      <c r="W1376" s="41"/>
      <c r="X1376" s="41"/>
      <c r="Y1376" s="34"/>
      <c r="Z1376" s="34"/>
      <c r="AA1376" s="35">
        <f>IF(TA[[#This Row],[Work Start time on Fault]]="NA","",(TA[[#This Row],[Fault Acknowledgement Time ]]-TA[[#This Row],[Fault Time]])*24)</f>
        <v>0</v>
      </c>
      <c r="AB1376" s="35">
        <f>(TA[[#This Row],[Work Start time on Fault]]-TA[[#This Row],[Fault Time]])*24</f>
        <v>0</v>
      </c>
      <c r="AC1376" s="34">
        <f>(TA[[#This Row],[Work Completion time on fault]]-TA[[#This Row],[Fault Time]])*24</f>
        <v>0</v>
      </c>
      <c r="AD1376" s="35">
        <f>IFERROR((TA[[#This Row],[Work Completion time on fault]]-TA[[#This Row],[Fault Time]])*24,"")</f>
        <v>0</v>
      </c>
      <c r="AE1376" t="s">
        <v>328</v>
      </c>
      <c r="AF1376" t="s">
        <v>256</v>
      </c>
      <c r="AG1376" s="2"/>
      <c r="AH1376" s="44">
        <f>1-COS(RADIANS(TA[[#This Row],[Avg. Target Angle during Fault Time (Radians)]]-TA[[#This Row],[Angle of affected equipment ]]))</f>
        <v>0.11705240714107301</v>
      </c>
      <c r="AI1376" s="35">
        <f>IFERROR(TA[[#This Row],[Breakdown Time]]*TA[[#This Row],[Plant Equivalent Weightage]],"")</f>
        <v>0</v>
      </c>
    </row>
    <row r="1377" spans="1:35">
      <c r="A1377" s="2">
        <f t="shared" si="151"/>
        <v>1374</v>
      </c>
      <c r="B1377" s="156">
        <f t="shared" si="160"/>
        <v>2026</v>
      </c>
      <c r="C1377" s="129">
        <f t="shared" si="161"/>
        <v>2025</v>
      </c>
      <c r="D1377" s="2" t="s">
        <v>155</v>
      </c>
      <c r="E1377" s="2" t="s">
        <v>155</v>
      </c>
      <c r="F1377" s="39">
        <v>45839</v>
      </c>
      <c r="G1377" s="2">
        <f>DAY(EOMONTH(TA[[#This Row],[Month Year]],0))</f>
        <v>31</v>
      </c>
      <c r="H1377" s="21">
        <v>45842</v>
      </c>
      <c r="I1377" s="41">
        <f>IFERROR(VLOOKUP(TA[[#This Row],[Date]],Raw_Data[[Date]:[Sunset Time (POA&lt;20 W/m2)]],3,0),"")</f>
        <v>0.25347222222222221</v>
      </c>
      <c r="J1377" s="41">
        <f>IFERROR(VLOOKUP(TA[[#This Row],[Date]],Raw_Data[[Date]:[Sunset Time (POA&lt;20 W/m2)]],4,0),"")</f>
        <v>0.7729166666666667</v>
      </c>
      <c r="K1377" s="35">
        <f>IFERROR((TA[[#This Row],[Sunset Time (POA&lt;20 W/m2)]]-TA[[#This Row],[Sunrise Time (POA&gt;20 W/m2)]])*24,"")</f>
        <v>12.466666666666669</v>
      </c>
      <c r="L1377" s="2" t="s">
        <v>296</v>
      </c>
      <c r="M1377" s="42">
        <f>IFERROR(VLOOKUP(TA[[#This Row],[Affected Equipment]],'Basic Data'!$I$2:$K$40,3,0),"")</f>
        <v>8.6206896551724102E-3</v>
      </c>
      <c r="N1377">
        <v>-28</v>
      </c>
      <c r="O1377" t="s">
        <v>135</v>
      </c>
      <c r="P1377" s="22" t="s">
        <v>323</v>
      </c>
      <c r="Q1377" s="2" t="s">
        <v>329</v>
      </c>
      <c r="R1377">
        <v>47</v>
      </c>
      <c r="S1377" s="2">
        <v>18</v>
      </c>
      <c r="T1377" t="s">
        <v>297</v>
      </c>
      <c r="U1377" t="s">
        <v>300</v>
      </c>
      <c r="V1377" t="s">
        <v>301</v>
      </c>
      <c r="W1377" s="41"/>
      <c r="X1377" s="41"/>
      <c r="Y1377" s="34"/>
      <c r="Z1377" s="34"/>
      <c r="AA1377" s="35">
        <f>IF(TA[[#This Row],[Work Start time on Fault]]="NA","",(TA[[#This Row],[Fault Acknowledgement Time ]]-TA[[#This Row],[Fault Time]])*24)</f>
        <v>0</v>
      </c>
      <c r="AB1377" s="35">
        <f>(TA[[#This Row],[Work Start time on Fault]]-TA[[#This Row],[Fault Time]])*24</f>
        <v>0</v>
      </c>
      <c r="AC1377" s="34">
        <f>(TA[[#This Row],[Work Completion time on fault]]-TA[[#This Row],[Fault Time]])*24</f>
        <v>0</v>
      </c>
      <c r="AD1377" s="35">
        <f>IFERROR((TA[[#This Row],[Work Completion time on fault]]-TA[[#This Row],[Fault Time]])*24,"")</f>
        <v>0</v>
      </c>
      <c r="AE1377" t="s">
        <v>328</v>
      </c>
      <c r="AF1377" t="s">
        <v>256</v>
      </c>
      <c r="AG1377" s="2"/>
      <c r="AH1377" s="44">
        <f>1-COS(RADIANS(TA[[#This Row],[Avg. Target Angle during Fault Time (Radians)]]-TA[[#This Row],[Angle of affected equipment ]]))</f>
        <v>0.11705240714107301</v>
      </c>
      <c r="AI1377" s="35">
        <f>IFERROR(TA[[#This Row],[Breakdown Time]]*TA[[#This Row],[Plant Equivalent Weightage]],"")</f>
        <v>0</v>
      </c>
    </row>
    <row r="1378" spans="1:35">
      <c r="A1378" s="2">
        <f t="shared" si="151"/>
        <v>1375</v>
      </c>
      <c r="B1378" s="156">
        <f t="shared" si="160"/>
        <v>2026</v>
      </c>
      <c r="C1378" s="129">
        <f t="shared" si="161"/>
        <v>2025</v>
      </c>
      <c r="D1378" s="2" t="s">
        <v>155</v>
      </c>
      <c r="E1378" s="2" t="s">
        <v>155</v>
      </c>
      <c r="F1378" s="39">
        <v>45839</v>
      </c>
      <c r="G1378" s="2">
        <f>DAY(EOMONTH(TA[[#This Row],[Month Year]],0))</f>
        <v>31</v>
      </c>
      <c r="H1378" s="21">
        <v>45842</v>
      </c>
      <c r="I1378" s="41">
        <f>IFERROR(VLOOKUP(TA[[#This Row],[Date]],Raw_Data[[Date]:[Sunset Time (POA&lt;20 W/m2)]],3,0),"")</f>
        <v>0.25347222222222221</v>
      </c>
      <c r="J1378" s="41">
        <f>IFERROR(VLOOKUP(TA[[#This Row],[Date]],Raw_Data[[Date]:[Sunset Time (POA&lt;20 W/m2)]],4,0),"")</f>
        <v>0.7729166666666667</v>
      </c>
      <c r="K1378" s="35">
        <f>IFERROR((TA[[#This Row],[Sunset Time (POA&lt;20 W/m2)]]-TA[[#This Row],[Sunrise Time (POA&gt;20 W/m2)]])*24,"")</f>
        <v>12.466666666666669</v>
      </c>
      <c r="L1378" s="2" t="s">
        <v>296</v>
      </c>
      <c r="M1378" s="42">
        <f>IFERROR(VLOOKUP(TA[[#This Row],[Affected Equipment]],'Basic Data'!$I$2:$K$40,3,0),"")</f>
        <v>8.6206896551724102E-3</v>
      </c>
      <c r="N1378">
        <v>-28</v>
      </c>
      <c r="O1378" t="s">
        <v>134</v>
      </c>
      <c r="P1378" s="22" t="s">
        <v>330</v>
      </c>
      <c r="Q1378" s="2" t="s">
        <v>323</v>
      </c>
      <c r="R1378">
        <v>30</v>
      </c>
      <c r="S1378" s="2">
        <v>57</v>
      </c>
      <c r="T1378" t="s">
        <v>297</v>
      </c>
      <c r="U1378" t="s">
        <v>300</v>
      </c>
      <c r="V1378" t="s">
        <v>301</v>
      </c>
      <c r="W1378" s="41"/>
      <c r="X1378" s="41"/>
      <c r="Y1378" s="34"/>
      <c r="Z1378" s="34"/>
      <c r="AA1378" s="35">
        <f>IF(TA[[#This Row],[Work Start time on Fault]]="NA","",(TA[[#This Row],[Fault Acknowledgement Time ]]-TA[[#This Row],[Fault Time]])*24)</f>
        <v>0</v>
      </c>
      <c r="AB1378" s="35">
        <f>(TA[[#This Row],[Work Start time on Fault]]-TA[[#This Row],[Fault Time]])*24</f>
        <v>0</v>
      </c>
      <c r="AC1378" s="34">
        <f>(TA[[#This Row],[Work Completion time on fault]]-TA[[#This Row],[Fault Time]])*24</f>
        <v>0</v>
      </c>
      <c r="AD1378" s="35">
        <f>IFERROR((TA[[#This Row],[Work Completion time on fault]]-TA[[#This Row],[Fault Time]])*24,"")</f>
        <v>0</v>
      </c>
      <c r="AE1378" t="s">
        <v>328</v>
      </c>
      <c r="AF1378" t="s">
        <v>256</v>
      </c>
      <c r="AG1378" s="2"/>
      <c r="AH1378" s="44">
        <f>1-COS(RADIANS(TA[[#This Row],[Avg. Target Angle during Fault Time (Radians)]]-TA[[#This Row],[Angle of affected equipment ]]))</f>
        <v>0.11705240714107301</v>
      </c>
      <c r="AI1378" s="35">
        <f>IFERROR(TA[[#This Row],[Breakdown Time]]*TA[[#This Row],[Plant Equivalent Weightage]],"")</f>
        <v>0</v>
      </c>
    </row>
    <row r="1379" spans="1:35">
      <c r="A1379" s="2">
        <f t="shared" si="151"/>
        <v>1376</v>
      </c>
      <c r="B1379" s="156">
        <f t="shared" si="160"/>
        <v>2026</v>
      </c>
      <c r="C1379" s="129">
        <f t="shared" si="161"/>
        <v>2025</v>
      </c>
      <c r="D1379" s="2" t="s">
        <v>155</v>
      </c>
      <c r="E1379" s="2" t="s">
        <v>155</v>
      </c>
      <c r="F1379" s="39">
        <v>45839</v>
      </c>
      <c r="G1379" s="2">
        <f>DAY(EOMONTH(TA[[#This Row],[Month Year]],0))</f>
        <v>31</v>
      </c>
      <c r="H1379" s="21">
        <v>45842</v>
      </c>
      <c r="I1379" s="41">
        <f>IFERROR(VLOOKUP(TA[[#This Row],[Date]],Raw_Data[[Date]:[Sunset Time (POA&lt;20 W/m2)]],3,0),"")</f>
        <v>0.25347222222222221</v>
      </c>
      <c r="J1379" s="41">
        <f>IFERROR(VLOOKUP(TA[[#This Row],[Date]],Raw_Data[[Date]:[Sunset Time (POA&lt;20 W/m2)]],4,0),"")</f>
        <v>0.7729166666666667</v>
      </c>
      <c r="K1379" s="35">
        <f>IFERROR((TA[[#This Row],[Sunset Time (POA&lt;20 W/m2)]]-TA[[#This Row],[Sunrise Time (POA&gt;20 W/m2)]])*24,"")</f>
        <v>12.466666666666669</v>
      </c>
      <c r="L1379" s="2" t="s">
        <v>296</v>
      </c>
      <c r="M1379" s="42">
        <f>IFERROR(VLOOKUP(TA[[#This Row],[Affected Equipment]],'Basic Data'!$I$2:$K$40,3,0),"")</f>
        <v>8.6206896551724102E-3</v>
      </c>
      <c r="N1379">
        <v>-28</v>
      </c>
      <c r="O1379" t="s">
        <v>134</v>
      </c>
      <c r="P1379" s="22" t="s">
        <v>330</v>
      </c>
      <c r="Q1379" s="2" t="s">
        <v>323</v>
      </c>
      <c r="R1379">
        <v>31</v>
      </c>
      <c r="S1379" s="2">
        <v>61</v>
      </c>
      <c r="T1379" t="s">
        <v>297</v>
      </c>
      <c r="U1379" t="s">
        <v>300</v>
      </c>
      <c r="V1379" t="s">
        <v>301</v>
      </c>
      <c r="W1379" s="41"/>
      <c r="X1379" s="41"/>
      <c r="Y1379" s="34"/>
      <c r="Z1379" s="34"/>
      <c r="AA1379" s="35">
        <f>IF(TA[[#This Row],[Work Start time on Fault]]="NA","",(TA[[#This Row],[Fault Acknowledgement Time ]]-TA[[#This Row],[Fault Time]])*24)</f>
        <v>0</v>
      </c>
      <c r="AB1379" s="35">
        <f>(TA[[#This Row],[Work Start time on Fault]]-TA[[#This Row],[Fault Time]])*24</f>
        <v>0</v>
      </c>
      <c r="AC1379" s="34">
        <f>(TA[[#This Row],[Work Completion time on fault]]-TA[[#This Row],[Fault Time]])*24</f>
        <v>0</v>
      </c>
      <c r="AD1379" s="35">
        <f>IFERROR((TA[[#This Row],[Work Completion time on fault]]-TA[[#This Row],[Fault Time]])*24,"")</f>
        <v>0</v>
      </c>
      <c r="AE1379" t="s">
        <v>328</v>
      </c>
      <c r="AF1379" t="s">
        <v>256</v>
      </c>
      <c r="AG1379" s="2"/>
      <c r="AH1379" s="44">
        <f>1-COS(RADIANS(TA[[#This Row],[Avg. Target Angle during Fault Time (Radians)]]-TA[[#This Row],[Angle of affected equipment ]]))</f>
        <v>0.11705240714107301</v>
      </c>
      <c r="AI1379" s="35">
        <f>IFERROR(TA[[#This Row],[Breakdown Time]]*TA[[#This Row],[Plant Equivalent Weightage]],"")</f>
        <v>0</v>
      </c>
    </row>
    <row r="1380" spans="1:35">
      <c r="A1380" s="2">
        <f t="shared" si="151"/>
        <v>1377</v>
      </c>
      <c r="B1380" s="156">
        <f t="shared" si="160"/>
        <v>2026</v>
      </c>
      <c r="C1380" s="129">
        <f t="shared" si="161"/>
        <v>2025</v>
      </c>
      <c r="D1380" s="2" t="s">
        <v>155</v>
      </c>
      <c r="E1380" s="2" t="s">
        <v>155</v>
      </c>
      <c r="F1380" s="39">
        <v>45839</v>
      </c>
      <c r="G1380" s="2">
        <f>DAY(EOMONTH(TA[[#This Row],[Month Year]],0))</f>
        <v>31</v>
      </c>
      <c r="H1380" s="21">
        <v>45842</v>
      </c>
      <c r="I1380" s="41">
        <f>IFERROR(VLOOKUP(TA[[#This Row],[Date]],Raw_Data[[Date]:[Sunset Time (POA&lt;20 W/m2)]],3,0),"")</f>
        <v>0.25347222222222221</v>
      </c>
      <c r="J1380" s="41">
        <f>IFERROR(VLOOKUP(TA[[#This Row],[Date]],Raw_Data[[Date]:[Sunset Time (POA&lt;20 W/m2)]],4,0),"")</f>
        <v>0.7729166666666667</v>
      </c>
      <c r="K1380" s="35">
        <f>IFERROR((TA[[#This Row],[Sunset Time (POA&lt;20 W/m2)]]-TA[[#This Row],[Sunrise Time (POA&gt;20 W/m2)]])*24,"")</f>
        <v>12.466666666666669</v>
      </c>
      <c r="L1380" s="2" t="s">
        <v>312</v>
      </c>
      <c r="M1380" s="42">
        <f>IFERROR(VLOOKUP(TA[[#This Row],[Affected Equipment]],'Basic Data'!$I$2:$K$40,3,0),"")</f>
        <v>5.74712643678161E-3</v>
      </c>
      <c r="N1380">
        <v>-28</v>
      </c>
      <c r="O1380" t="s">
        <v>133</v>
      </c>
      <c r="P1380" s="22" t="s">
        <v>330</v>
      </c>
      <c r="Q1380" s="2" t="s">
        <v>323</v>
      </c>
      <c r="R1380">
        <v>26</v>
      </c>
      <c r="S1380" s="2">
        <v>37</v>
      </c>
      <c r="T1380" t="s">
        <v>297</v>
      </c>
      <c r="U1380" t="s">
        <v>300</v>
      </c>
      <c r="V1380" t="s">
        <v>301</v>
      </c>
      <c r="W1380" s="41"/>
      <c r="X1380" s="41"/>
      <c r="Y1380" s="34"/>
      <c r="Z1380" s="34"/>
      <c r="AA1380" s="35">
        <f>IF(TA[[#This Row],[Work Start time on Fault]]="NA","",(TA[[#This Row],[Fault Acknowledgement Time ]]-TA[[#This Row],[Fault Time]])*24)</f>
        <v>0</v>
      </c>
      <c r="AB1380" s="35">
        <f>(TA[[#This Row],[Work Start time on Fault]]-TA[[#This Row],[Fault Time]])*24</f>
        <v>0</v>
      </c>
      <c r="AC1380" s="34">
        <f>(TA[[#This Row],[Work Completion time on fault]]-TA[[#This Row],[Fault Time]])*24</f>
        <v>0</v>
      </c>
      <c r="AD1380" s="35">
        <f>IFERROR((TA[[#This Row],[Work Completion time on fault]]-TA[[#This Row],[Fault Time]])*24,"")</f>
        <v>0</v>
      </c>
      <c r="AE1380" t="s">
        <v>328</v>
      </c>
      <c r="AF1380" t="s">
        <v>256</v>
      </c>
      <c r="AG1380" s="2"/>
      <c r="AH1380" s="44">
        <f>1-COS(RADIANS(TA[[#This Row],[Avg. Target Angle during Fault Time (Radians)]]-TA[[#This Row],[Angle of affected equipment ]]))</f>
        <v>0.11705240714107301</v>
      </c>
      <c r="AI1380" s="35">
        <f>IFERROR(TA[[#This Row],[Breakdown Time]]*TA[[#This Row],[Plant Equivalent Weightage]],"")</f>
        <v>0</v>
      </c>
    </row>
    <row r="1381" spans="1:35">
      <c r="A1381" s="2">
        <f t="shared" ref="A1381" si="162">A1380+1</f>
        <v>1378</v>
      </c>
      <c r="B1381" s="156">
        <f t="shared" si="160"/>
        <v>2026</v>
      </c>
      <c r="C1381" s="129">
        <f t="shared" si="161"/>
        <v>2025</v>
      </c>
      <c r="D1381" s="2" t="s">
        <v>155</v>
      </c>
      <c r="E1381" s="2" t="s">
        <v>155</v>
      </c>
      <c r="F1381" s="39">
        <v>45839</v>
      </c>
      <c r="G1381" s="2">
        <f>DAY(EOMONTH(TA[[#This Row],[Month Year]],0))</f>
        <v>31</v>
      </c>
      <c r="H1381" s="21">
        <v>45842</v>
      </c>
      <c r="I1381" s="41">
        <f>IFERROR(VLOOKUP(TA[[#This Row],[Date]],Raw_Data[[Date]:[Sunset Time (POA&lt;20 W/m2)]],3,0),"")</f>
        <v>0.25347222222222221</v>
      </c>
      <c r="J1381" s="41">
        <f>IFERROR(VLOOKUP(TA[[#This Row],[Date]],Raw_Data[[Date]:[Sunset Time (POA&lt;20 W/m2)]],4,0),"")</f>
        <v>0.7729166666666667</v>
      </c>
      <c r="K1381" s="35">
        <f>IFERROR((TA[[#This Row],[Sunset Time (POA&lt;20 W/m2)]]-TA[[#This Row],[Sunrise Time (POA&gt;20 W/m2)]])*24,"")</f>
        <v>12.466666666666669</v>
      </c>
      <c r="L1381" s="2" t="s">
        <v>312</v>
      </c>
      <c r="M1381" s="42">
        <f>IFERROR(VLOOKUP(TA[[#This Row],[Affected Equipment]],'Basic Data'!$I$2:$K$40,3,0),"")</f>
        <v>5.74712643678161E-3</v>
      </c>
      <c r="N1381">
        <v>-28</v>
      </c>
      <c r="O1381" t="s">
        <v>133</v>
      </c>
      <c r="P1381" s="22" t="s">
        <v>330</v>
      </c>
      <c r="Q1381" s="2" t="s">
        <v>323</v>
      </c>
      <c r="R1381">
        <v>27</v>
      </c>
      <c r="S1381" s="2">
        <v>42</v>
      </c>
      <c r="T1381" t="s">
        <v>297</v>
      </c>
      <c r="U1381" t="s">
        <v>300</v>
      </c>
      <c r="V1381" t="s">
        <v>301</v>
      </c>
      <c r="W1381" s="41">
        <f>IFERROR(VLOOKUP(TA[[#This Row],[Date]],Raw_Data[[Date]:[Sunset Time (POA&lt;20 W/m2)]],3,0),"")</f>
        <v>0.25347222222222221</v>
      </c>
      <c r="X1381" s="41">
        <f>IFERROR(VLOOKUP(TA[[#This Row],[Date]],Raw_Data[[Date]:[Sunset Time (POA&lt;20 W/m2)]],3,0),"")</f>
        <v>0.25347222222222221</v>
      </c>
      <c r="Y1381" s="34"/>
      <c r="Z1381" s="34">
        <v>0.76041666666666663</v>
      </c>
      <c r="AA1381" s="35">
        <f>IF(TA[[#This Row],[Work Start time on Fault]]="NA","",(TA[[#This Row],[Fault Acknowledgement Time ]]-TA[[#This Row],[Fault Time]])*24)</f>
        <v>0</v>
      </c>
      <c r="AB1381" s="35">
        <f>(TA[[#This Row],[Work Start time on Fault]]-TA[[#This Row],[Fault Time]])*24</f>
        <v>-6.083333333333333</v>
      </c>
      <c r="AC1381" s="34">
        <f>(TA[[#This Row],[Work Completion time on fault]]-TA[[#This Row],[Fault Time]])*24</f>
        <v>12.166666666666666</v>
      </c>
      <c r="AD1381" s="35">
        <f>IFERROR((TA[[#This Row],[Work Completion time on fault]]-TA[[#This Row],[Fault Time]])*24,"")</f>
        <v>12.166666666666666</v>
      </c>
      <c r="AE1381" t="s">
        <v>309</v>
      </c>
      <c r="AF1381" t="s">
        <v>256</v>
      </c>
      <c r="AG1381" s="2"/>
      <c r="AH1381" s="44">
        <f>1-COS(RADIANS(TA[[#This Row],[Avg. Target Angle during Fault Time (Radians)]]-TA[[#This Row],[Angle of affected equipment ]]))</f>
        <v>0.11705240714107301</v>
      </c>
      <c r="AI1381" s="35">
        <f>IFERROR(TA[[#This Row],[Breakdown Time]]*TA[[#This Row],[Plant Equivalent Weightage]],"")</f>
        <v>6.9923371647509586E-2</v>
      </c>
    </row>
    <row r="1382" spans="1:35">
      <c r="A1382" s="2">
        <f t="shared" si="151"/>
        <v>1379</v>
      </c>
      <c r="B1382" s="156">
        <f t="shared" ref="B1382:B1394" si="163">YEAR(H1382)+IF(MONTH(H1382)&gt;=4,1,0)</f>
        <v>2026</v>
      </c>
      <c r="C1382" s="129">
        <f t="shared" ref="C1382:C1394" si="164">YEAR(H1382)</f>
        <v>2025</v>
      </c>
      <c r="D1382" s="2" t="s">
        <v>155</v>
      </c>
      <c r="E1382" s="2" t="s">
        <v>155</v>
      </c>
      <c r="F1382" s="39">
        <v>45839</v>
      </c>
      <c r="G1382" s="2">
        <f>DAY(EOMONTH(TA[[#This Row],[Month Year]],0))</f>
        <v>31</v>
      </c>
      <c r="H1382" s="21">
        <v>45843</v>
      </c>
      <c r="I1382" s="41">
        <f>IFERROR(VLOOKUP(TA[[#This Row],[Date]],Raw_Data[[Date]:[Sunset Time (POA&lt;20 W/m2)]],3,0),"")</f>
        <v>0.24930555555555556</v>
      </c>
      <c r="J1382" s="41">
        <f>IFERROR(VLOOKUP(TA[[#This Row],[Date]],Raw_Data[[Date]:[Sunset Time (POA&lt;20 W/m2)]],4,0),"")</f>
        <v>0.77777777777777779</v>
      </c>
      <c r="K1382" s="35">
        <f>IFERROR((TA[[#This Row],[Sunset Time (POA&lt;20 W/m2)]]-TA[[#This Row],[Sunrise Time (POA&gt;20 W/m2)]])*24,"")</f>
        <v>12.683333333333334</v>
      </c>
      <c r="L1382" s="2" t="s">
        <v>294</v>
      </c>
      <c r="M1382" s="42">
        <f>IFERROR(VLOOKUP(TA[[#This Row],[Affected Equipment]],'Basic Data'!$I$2:$K$40,3,0),"")</f>
        <v>1.7241379310344799E-3</v>
      </c>
      <c r="N1382">
        <v>-28</v>
      </c>
      <c r="O1382" t="s">
        <v>135</v>
      </c>
      <c r="P1382" s="127" t="s">
        <v>318</v>
      </c>
      <c r="Q1382" s="126" t="s">
        <v>318</v>
      </c>
      <c r="R1382">
        <v>131</v>
      </c>
      <c r="S1382" s="2">
        <v>38</v>
      </c>
      <c r="T1382" t="s">
        <v>295</v>
      </c>
      <c r="U1382" t="s">
        <v>300</v>
      </c>
      <c r="V1382" t="s">
        <v>298</v>
      </c>
      <c r="W1382" s="41"/>
      <c r="X1382" s="41"/>
      <c r="Y1382" s="34"/>
      <c r="Z1382" s="34"/>
      <c r="AA1382" s="35">
        <f>IF(TA[[#This Row],[Work Start time on Fault]]="NA","",(TA[[#This Row],[Fault Acknowledgement Time ]]-TA[[#This Row],[Fault Time]])*24)</f>
        <v>0</v>
      </c>
      <c r="AB1382" s="35">
        <f>(TA[[#This Row],[Work Start time on Fault]]-TA[[#This Row],[Fault Time]])*24</f>
        <v>0</v>
      </c>
      <c r="AC1382" s="34">
        <f>(TA[[#This Row],[Work Completion time on fault]]-TA[[#This Row],[Fault Time]])*24</f>
        <v>0</v>
      </c>
      <c r="AD1382" s="35">
        <f>IFERROR((TA[[#This Row],[Work Completion time on fault]]-TA[[#This Row],[Fault Time]])*24,"")</f>
        <v>0</v>
      </c>
      <c r="AE1382" t="s">
        <v>328</v>
      </c>
      <c r="AF1382" t="s">
        <v>256</v>
      </c>
      <c r="AG1382" s="2"/>
      <c r="AH1382" s="44">
        <f>1-COS(RADIANS(TA[[#This Row],[Avg. Target Angle during Fault Time (Radians)]]-TA[[#This Row],[Angle of affected equipment ]]))</f>
        <v>0.11705240714107301</v>
      </c>
      <c r="AI1382" s="35">
        <f>IFERROR(TA[[#This Row],[Breakdown Time]]*TA[[#This Row],[Plant Equivalent Weightage]],"")</f>
        <v>0</v>
      </c>
    </row>
    <row r="1383" spans="1:35">
      <c r="A1383" s="2">
        <f t="shared" ref="A1383:A1447" si="165">A1382+1</f>
        <v>1380</v>
      </c>
      <c r="B1383" s="156">
        <f t="shared" si="163"/>
        <v>2026</v>
      </c>
      <c r="C1383" s="129">
        <f t="shared" si="164"/>
        <v>2025</v>
      </c>
      <c r="D1383" s="2" t="s">
        <v>155</v>
      </c>
      <c r="E1383" s="2" t="s">
        <v>155</v>
      </c>
      <c r="F1383" s="39">
        <v>45839</v>
      </c>
      <c r="G1383" s="2">
        <f>DAY(EOMONTH(TA[[#This Row],[Month Year]],0))</f>
        <v>31</v>
      </c>
      <c r="H1383" s="21">
        <v>45843</v>
      </c>
      <c r="I1383" s="41">
        <f>IFERROR(VLOOKUP(TA[[#This Row],[Date]],Raw_Data[[Date]:[Sunset Time (POA&lt;20 W/m2)]],3,0),"")</f>
        <v>0.24930555555555556</v>
      </c>
      <c r="J1383" s="41">
        <f>IFERROR(VLOOKUP(TA[[#This Row],[Date]],Raw_Data[[Date]:[Sunset Time (POA&lt;20 W/m2)]],4,0),"")</f>
        <v>0.77777777777777779</v>
      </c>
      <c r="K1383" s="35">
        <f>IFERROR((TA[[#This Row],[Sunset Time (POA&lt;20 W/m2)]]-TA[[#This Row],[Sunrise Time (POA&gt;20 W/m2)]])*24,"")</f>
        <v>12.683333333333334</v>
      </c>
      <c r="L1383" s="2" t="s">
        <v>294</v>
      </c>
      <c r="M1383" s="42">
        <f>IFERROR(VLOOKUP(TA[[#This Row],[Affected Equipment]],'Basic Data'!$I$2:$K$40,3,0),"")</f>
        <v>1.7241379310344799E-3</v>
      </c>
      <c r="N1383">
        <v>-28</v>
      </c>
      <c r="O1383" t="s">
        <v>135</v>
      </c>
      <c r="P1383" s="127" t="s">
        <v>318</v>
      </c>
      <c r="Q1383" s="126" t="s">
        <v>318</v>
      </c>
      <c r="R1383">
        <v>131</v>
      </c>
      <c r="S1383" s="2">
        <v>39</v>
      </c>
      <c r="T1383" t="s">
        <v>295</v>
      </c>
      <c r="U1383" t="s">
        <v>300</v>
      </c>
      <c r="V1383" t="s">
        <v>298</v>
      </c>
      <c r="W1383" s="41"/>
      <c r="X1383" s="41"/>
      <c r="Y1383" s="34"/>
      <c r="Z1383" s="34"/>
      <c r="AA1383" s="35">
        <f>IF(TA[[#This Row],[Work Start time on Fault]]="NA","",(TA[[#This Row],[Fault Acknowledgement Time ]]-TA[[#This Row],[Fault Time]])*24)</f>
        <v>0</v>
      </c>
      <c r="AB1383" s="35">
        <f>(TA[[#This Row],[Work Start time on Fault]]-TA[[#This Row],[Fault Time]])*24</f>
        <v>0</v>
      </c>
      <c r="AC1383" s="34">
        <f>(TA[[#This Row],[Work Completion time on fault]]-TA[[#This Row],[Fault Time]])*24</f>
        <v>0</v>
      </c>
      <c r="AD1383" s="35">
        <f>IFERROR((TA[[#This Row],[Work Completion time on fault]]-TA[[#This Row],[Fault Time]])*24,"")</f>
        <v>0</v>
      </c>
      <c r="AE1383" t="s">
        <v>328</v>
      </c>
      <c r="AF1383" t="s">
        <v>256</v>
      </c>
      <c r="AG1383" s="2"/>
      <c r="AH1383" s="44">
        <f>1-COS(RADIANS(TA[[#This Row],[Avg. Target Angle during Fault Time (Radians)]]-TA[[#This Row],[Angle of affected equipment ]]))</f>
        <v>0.11705240714107301</v>
      </c>
      <c r="AI1383" s="35">
        <f>IFERROR(TA[[#This Row],[Breakdown Time]]*TA[[#This Row],[Plant Equivalent Weightage]],"")</f>
        <v>0</v>
      </c>
    </row>
    <row r="1384" spans="1:35">
      <c r="A1384" s="2">
        <f t="shared" si="165"/>
        <v>1381</v>
      </c>
      <c r="B1384" s="156">
        <f t="shared" si="163"/>
        <v>2026</v>
      </c>
      <c r="C1384" s="129">
        <f t="shared" si="164"/>
        <v>2025</v>
      </c>
      <c r="D1384" s="2" t="s">
        <v>155</v>
      </c>
      <c r="E1384" s="2" t="s">
        <v>155</v>
      </c>
      <c r="F1384" s="39">
        <v>45839</v>
      </c>
      <c r="G1384" s="2">
        <f>DAY(EOMONTH(TA[[#This Row],[Month Year]],0))</f>
        <v>31</v>
      </c>
      <c r="H1384" s="21">
        <v>45843</v>
      </c>
      <c r="I1384" s="41">
        <f>IFERROR(VLOOKUP(TA[[#This Row],[Date]],Raw_Data[[Date]:[Sunset Time (POA&lt;20 W/m2)]],3,0),"")</f>
        <v>0.24930555555555556</v>
      </c>
      <c r="J1384" s="41">
        <f>IFERROR(VLOOKUP(TA[[#This Row],[Date]],Raw_Data[[Date]:[Sunset Time (POA&lt;20 W/m2)]],4,0),"")</f>
        <v>0.77777777777777779</v>
      </c>
      <c r="K1384" s="35">
        <f>IFERROR((TA[[#This Row],[Sunset Time (POA&lt;20 W/m2)]]-TA[[#This Row],[Sunrise Time (POA&gt;20 W/m2)]])*24,"")</f>
        <v>12.683333333333334</v>
      </c>
      <c r="L1384" s="2" t="s">
        <v>296</v>
      </c>
      <c r="M1384" s="42">
        <f>IFERROR(VLOOKUP(TA[[#This Row],[Affected Equipment]],'Basic Data'!$I$2:$K$40,3,0),"")</f>
        <v>8.6206896551724102E-3</v>
      </c>
      <c r="N1384">
        <v>-28</v>
      </c>
      <c r="O1384" t="s">
        <v>135</v>
      </c>
      <c r="P1384" s="127" t="s">
        <v>318</v>
      </c>
      <c r="Q1384" s="2" t="s">
        <v>321</v>
      </c>
      <c r="R1384">
        <v>133</v>
      </c>
      <c r="S1384" s="2">
        <v>26</v>
      </c>
      <c r="T1384" t="s">
        <v>297</v>
      </c>
      <c r="U1384" t="s">
        <v>300</v>
      </c>
      <c r="V1384" t="s">
        <v>314</v>
      </c>
      <c r="W1384" s="41">
        <f>IFERROR(VLOOKUP(TA[[#This Row],[Date]],Raw_Data[[Date]:[Sunset Time (POA&lt;20 W/m2)]],3,0),"")</f>
        <v>0.24930555555555556</v>
      </c>
      <c r="X1384" s="41">
        <f>IFERROR(VLOOKUP(TA[[#This Row],[Date]],Raw_Data[[Date]:[Sunset Time (POA&lt;20 W/m2)]],3,0),"")</f>
        <v>0.24930555555555556</v>
      </c>
      <c r="Y1384" s="34"/>
      <c r="Z1384" s="34">
        <v>0.76041666666666663</v>
      </c>
      <c r="AA1384" s="35">
        <f>IF(TA[[#This Row],[Work Start time on Fault]]="NA","",(TA[[#This Row],[Fault Acknowledgement Time ]]-TA[[#This Row],[Fault Time]])*24)</f>
        <v>0</v>
      </c>
      <c r="AB1384" s="35">
        <f>(TA[[#This Row],[Work Start time on Fault]]-TA[[#This Row],[Fault Time]])*24</f>
        <v>-5.9833333333333334</v>
      </c>
      <c r="AC1384" s="34">
        <f>(TA[[#This Row],[Work Completion time on fault]]-TA[[#This Row],[Fault Time]])*24</f>
        <v>12.266666666666666</v>
      </c>
      <c r="AD1384" s="35">
        <f>IFERROR((TA[[#This Row],[Work Completion time on fault]]-TA[[#This Row],[Fault Time]])*24,"")</f>
        <v>12.266666666666666</v>
      </c>
      <c r="AE1384" t="s">
        <v>328</v>
      </c>
      <c r="AF1384" t="s">
        <v>256</v>
      </c>
      <c r="AG1384" s="2"/>
      <c r="AH1384" s="44">
        <f>1-COS(RADIANS(TA[[#This Row],[Avg. Target Angle during Fault Time (Radians)]]-TA[[#This Row],[Angle of affected equipment ]]))</f>
        <v>0.11705240714107301</v>
      </c>
      <c r="AI1384" s="35">
        <f>IFERROR(TA[[#This Row],[Breakdown Time]]*TA[[#This Row],[Plant Equivalent Weightage]],"")</f>
        <v>0.10574712643678155</v>
      </c>
    </row>
    <row r="1385" spans="1:35">
      <c r="A1385" s="2">
        <f t="shared" si="165"/>
        <v>1382</v>
      </c>
      <c r="B1385" s="156">
        <f t="shared" si="163"/>
        <v>2026</v>
      </c>
      <c r="C1385" s="129">
        <f t="shared" si="164"/>
        <v>2025</v>
      </c>
      <c r="D1385" s="2" t="s">
        <v>155</v>
      </c>
      <c r="E1385" s="2" t="s">
        <v>155</v>
      </c>
      <c r="F1385" s="39">
        <v>45839</v>
      </c>
      <c r="G1385" s="2">
        <f>DAY(EOMONTH(TA[[#This Row],[Month Year]],0))</f>
        <v>31</v>
      </c>
      <c r="H1385" s="21">
        <v>45843</v>
      </c>
      <c r="I1385" s="41">
        <f>IFERROR(VLOOKUP(TA[[#This Row],[Date]],Raw_Data[[Date]:[Sunset Time (POA&lt;20 W/m2)]],3,0),"")</f>
        <v>0.24930555555555556</v>
      </c>
      <c r="J1385" s="41">
        <f>IFERROR(VLOOKUP(TA[[#This Row],[Date]],Raw_Data[[Date]:[Sunset Time (POA&lt;20 W/m2)]],4,0),"")</f>
        <v>0.77777777777777779</v>
      </c>
      <c r="K1385" s="35">
        <f>IFERROR((TA[[#This Row],[Sunset Time (POA&lt;20 W/m2)]]-TA[[#This Row],[Sunrise Time (POA&gt;20 W/m2)]])*24,"")</f>
        <v>12.683333333333334</v>
      </c>
      <c r="L1385" s="2" t="s">
        <v>294</v>
      </c>
      <c r="M1385" s="42">
        <f>IFERROR(VLOOKUP(TA[[#This Row],[Affected Equipment]],'Basic Data'!$I$2:$K$40,3,0),"")</f>
        <v>1.7241379310344799E-3</v>
      </c>
      <c r="N1385">
        <v>-28</v>
      </c>
      <c r="O1385" t="s">
        <v>133</v>
      </c>
      <c r="P1385" s="127" t="s">
        <v>316</v>
      </c>
      <c r="Q1385" s="126" t="s">
        <v>317</v>
      </c>
      <c r="R1385">
        <v>7</v>
      </c>
      <c r="S1385" s="2">
        <v>32</v>
      </c>
      <c r="T1385" t="s">
        <v>295</v>
      </c>
      <c r="U1385" t="s">
        <v>300</v>
      </c>
      <c r="V1385" t="s">
        <v>298</v>
      </c>
      <c r="W1385" s="41"/>
      <c r="X1385" s="41"/>
      <c r="Y1385" s="34"/>
      <c r="Z1385" s="34"/>
      <c r="AA1385" s="35">
        <f>IF(TA[[#This Row],[Work Start time on Fault]]="NA","",(TA[[#This Row],[Fault Acknowledgement Time ]]-TA[[#This Row],[Fault Time]])*24)</f>
        <v>0</v>
      </c>
      <c r="AB1385" s="35">
        <f>(TA[[#This Row],[Work Start time on Fault]]-TA[[#This Row],[Fault Time]])*24</f>
        <v>0</v>
      </c>
      <c r="AC1385" s="34">
        <f>(TA[[#This Row],[Work Completion time on fault]]-TA[[#This Row],[Fault Time]])*24</f>
        <v>0</v>
      </c>
      <c r="AD1385" s="35">
        <f>IFERROR((TA[[#This Row],[Work Completion time on fault]]-TA[[#This Row],[Fault Time]])*24,"")</f>
        <v>0</v>
      </c>
      <c r="AE1385" t="s">
        <v>328</v>
      </c>
      <c r="AF1385" t="s">
        <v>256</v>
      </c>
      <c r="AG1385" s="2"/>
      <c r="AH1385" s="44">
        <f>1-COS(RADIANS(TA[[#This Row],[Avg. Target Angle during Fault Time (Radians)]]-TA[[#This Row],[Angle of affected equipment ]]))</f>
        <v>0.11705240714107301</v>
      </c>
      <c r="AI1385" s="35">
        <f>IFERROR(TA[[#This Row],[Breakdown Time]]*TA[[#This Row],[Plant Equivalent Weightage]],"")</f>
        <v>0</v>
      </c>
    </row>
    <row r="1386" spans="1:35">
      <c r="A1386" s="2">
        <f t="shared" si="165"/>
        <v>1383</v>
      </c>
      <c r="B1386" s="156">
        <f t="shared" si="163"/>
        <v>2026</v>
      </c>
      <c r="C1386" s="129">
        <f t="shared" si="164"/>
        <v>2025</v>
      </c>
      <c r="D1386" s="2" t="s">
        <v>155</v>
      </c>
      <c r="E1386" s="2" t="s">
        <v>155</v>
      </c>
      <c r="F1386" s="39">
        <v>45839</v>
      </c>
      <c r="G1386" s="2">
        <f>DAY(EOMONTH(TA[[#This Row],[Month Year]],0))</f>
        <v>31</v>
      </c>
      <c r="H1386" s="21">
        <v>45843</v>
      </c>
      <c r="I1386" s="41">
        <f>IFERROR(VLOOKUP(TA[[#This Row],[Date]],Raw_Data[[Date]:[Sunset Time (POA&lt;20 W/m2)]],3,0),"")</f>
        <v>0.24930555555555556</v>
      </c>
      <c r="J1386" s="41">
        <f>IFERROR(VLOOKUP(TA[[#This Row],[Date]],Raw_Data[[Date]:[Sunset Time (POA&lt;20 W/m2)]],4,0),"")</f>
        <v>0.77777777777777779</v>
      </c>
      <c r="K1386" s="35">
        <f>IFERROR((TA[[#This Row],[Sunset Time (POA&lt;20 W/m2)]]-TA[[#This Row],[Sunrise Time (POA&gt;20 W/m2)]])*24,"")</f>
        <v>12.683333333333334</v>
      </c>
      <c r="L1386" s="2" t="s">
        <v>294</v>
      </c>
      <c r="M1386" s="42">
        <f>IFERROR(VLOOKUP(TA[[#This Row],[Affected Equipment]],'Basic Data'!$I$2:$K$40,3,0),"")</f>
        <v>1.7241379310344799E-3</v>
      </c>
      <c r="N1386">
        <v>-28</v>
      </c>
      <c r="O1386" t="s">
        <v>137</v>
      </c>
      <c r="P1386" s="127" t="s">
        <v>315</v>
      </c>
      <c r="Q1386" s="126" t="s">
        <v>319</v>
      </c>
      <c r="R1386">
        <v>166</v>
      </c>
      <c r="S1386" s="2">
        <v>91</v>
      </c>
      <c r="T1386" t="s">
        <v>295</v>
      </c>
      <c r="U1386" t="s">
        <v>300</v>
      </c>
      <c r="V1386" t="s">
        <v>298</v>
      </c>
      <c r="W1386" s="41"/>
      <c r="X1386" s="41"/>
      <c r="Y1386" s="34"/>
      <c r="Z1386" s="34"/>
      <c r="AA1386" s="35">
        <f>IF(TA[[#This Row],[Work Start time on Fault]]="NA","",(TA[[#This Row],[Fault Acknowledgement Time ]]-TA[[#This Row],[Fault Time]])*24)</f>
        <v>0</v>
      </c>
      <c r="AB1386" s="35">
        <f>(TA[[#This Row],[Work Start time on Fault]]-TA[[#This Row],[Fault Time]])*24</f>
        <v>0</v>
      </c>
      <c r="AC1386" s="34">
        <f>(TA[[#This Row],[Work Completion time on fault]]-TA[[#This Row],[Fault Time]])*24</f>
        <v>0</v>
      </c>
      <c r="AD1386" s="35">
        <f>IFERROR((TA[[#This Row],[Work Completion time on fault]]-TA[[#This Row],[Fault Time]])*24,"")</f>
        <v>0</v>
      </c>
      <c r="AE1386" t="s">
        <v>328</v>
      </c>
      <c r="AF1386" t="s">
        <v>256</v>
      </c>
      <c r="AG1386" s="2"/>
      <c r="AH1386" s="44">
        <f>1-COS(RADIANS(TA[[#This Row],[Avg. Target Angle during Fault Time (Radians)]]-TA[[#This Row],[Angle of affected equipment ]]))</f>
        <v>0.11705240714107301</v>
      </c>
      <c r="AI1386" s="35">
        <f>IFERROR(TA[[#This Row],[Breakdown Time]]*TA[[#This Row],[Plant Equivalent Weightage]],"")</f>
        <v>0</v>
      </c>
    </row>
    <row r="1387" spans="1:35">
      <c r="A1387" s="2">
        <f t="shared" si="165"/>
        <v>1384</v>
      </c>
      <c r="B1387" s="156">
        <f t="shared" si="163"/>
        <v>2026</v>
      </c>
      <c r="C1387" s="129">
        <f t="shared" si="164"/>
        <v>2025</v>
      </c>
      <c r="D1387" s="2" t="s">
        <v>155</v>
      </c>
      <c r="E1387" s="2" t="s">
        <v>155</v>
      </c>
      <c r="F1387" s="39">
        <v>45839</v>
      </c>
      <c r="G1387" s="2">
        <f>DAY(EOMONTH(TA[[#This Row],[Month Year]],0))</f>
        <v>31</v>
      </c>
      <c r="H1387" s="21">
        <v>45843</v>
      </c>
      <c r="I1387" s="41">
        <f>IFERROR(VLOOKUP(TA[[#This Row],[Date]],Raw_Data[[Date]:[Sunset Time (POA&lt;20 W/m2)]],3,0),"")</f>
        <v>0.24930555555555556</v>
      </c>
      <c r="J1387" s="41">
        <f>IFERROR(VLOOKUP(TA[[#This Row],[Date]],Raw_Data[[Date]:[Sunset Time (POA&lt;20 W/m2)]],4,0),"")</f>
        <v>0.77777777777777779</v>
      </c>
      <c r="K1387" s="35">
        <f>IFERROR((TA[[#This Row],[Sunset Time (POA&lt;20 W/m2)]]-TA[[#This Row],[Sunrise Time (POA&gt;20 W/m2)]])*24,"")</f>
        <v>12.683333333333334</v>
      </c>
      <c r="L1387" s="2" t="s">
        <v>294</v>
      </c>
      <c r="M1387" s="42">
        <f>IFERROR(VLOOKUP(TA[[#This Row],[Affected Equipment]],'Basic Data'!$I$2:$K$40,3,0),"")</f>
        <v>1.7241379310344799E-3</v>
      </c>
      <c r="N1387">
        <v>-28</v>
      </c>
      <c r="O1387" t="s">
        <v>133</v>
      </c>
      <c r="P1387" s="127" t="s">
        <v>316</v>
      </c>
      <c r="Q1387" s="126" t="s">
        <v>316</v>
      </c>
      <c r="R1387">
        <v>117</v>
      </c>
      <c r="S1387" s="2">
        <v>20</v>
      </c>
      <c r="T1387" t="s">
        <v>295</v>
      </c>
      <c r="U1387" t="s">
        <v>300</v>
      </c>
      <c r="V1387" t="s">
        <v>298</v>
      </c>
      <c r="W1387" s="41"/>
      <c r="X1387" s="41"/>
      <c r="Y1387" s="34"/>
      <c r="Z1387" s="34"/>
      <c r="AA1387" s="35">
        <f>IF(TA[[#This Row],[Work Start time on Fault]]="NA","",(TA[[#This Row],[Fault Acknowledgement Time ]]-TA[[#This Row],[Fault Time]])*24)</f>
        <v>0</v>
      </c>
      <c r="AB1387" s="35">
        <f>(TA[[#This Row],[Work Start time on Fault]]-TA[[#This Row],[Fault Time]])*24</f>
        <v>0</v>
      </c>
      <c r="AC1387" s="34">
        <f>(TA[[#This Row],[Work Completion time on fault]]-TA[[#This Row],[Fault Time]])*24</f>
        <v>0</v>
      </c>
      <c r="AD1387" s="35">
        <f>IFERROR((TA[[#This Row],[Work Completion time on fault]]-TA[[#This Row],[Fault Time]])*24,"")</f>
        <v>0</v>
      </c>
      <c r="AE1387" t="s">
        <v>328</v>
      </c>
      <c r="AF1387" t="s">
        <v>256</v>
      </c>
      <c r="AG1387" s="2"/>
      <c r="AH1387" s="44">
        <f>1-COS(RADIANS(TA[[#This Row],[Avg. Target Angle during Fault Time (Radians)]]-TA[[#This Row],[Angle of affected equipment ]]))</f>
        <v>0.11705240714107301</v>
      </c>
      <c r="AI1387" s="35">
        <f>IFERROR(TA[[#This Row],[Breakdown Time]]*TA[[#This Row],[Plant Equivalent Weightage]],"")</f>
        <v>0</v>
      </c>
    </row>
    <row r="1388" spans="1:35">
      <c r="A1388" s="2">
        <f t="shared" si="165"/>
        <v>1385</v>
      </c>
      <c r="B1388" s="156">
        <f t="shared" si="163"/>
        <v>2026</v>
      </c>
      <c r="C1388" s="129">
        <f t="shared" si="164"/>
        <v>2025</v>
      </c>
      <c r="D1388" s="2" t="s">
        <v>155</v>
      </c>
      <c r="E1388" s="2" t="s">
        <v>155</v>
      </c>
      <c r="F1388" s="39">
        <v>45839</v>
      </c>
      <c r="G1388" s="2">
        <f>DAY(EOMONTH(TA[[#This Row],[Month Year]],0))</f>
        <v>31</v>
      </c>
      <c r="H1388" s="21">
        <v>45843</v>
      </c>
      <c r="I1388" s="41">
        <f>IFERROR(VLOOKUP(TA[[#This Row],[Date]],Raw_Data[[Date]:[Sunset Time (POA&lt;20 W/m2)]],3,0),"")</f>
        <v>0.24930555555555556</v>
      </c>
      <c r="J1388" s="41">
        <f>IFERROR(VLOOKUP(TA[[#This Row],[Date]],Raw_Data[[Date]:[Sunset Time (POA&lt;20 W/m2)]],4,0),"")</f>
        <v>0.77777777777777779</v>
      </c>
      <c r="K1388" s="35">
        <f>IFERROR((TA[[#This Row],[Sunset Time (POA&lt;20 W/m2)]]-TA[[#This Row],[Sunrise Time (POA&gt;20 W/m2)]])*24,"")</f>
        <v>12.683333333333334</v>
      </c>
      <c r="L1388" s="2" t="s">
        <v>294</v>
      </c>
      <c r="M1388" s="42">
        <f>IFERROR(VLOOKUP(TA[[#This Row],[Affected Equipment]],'Basic Data'!$I$2:$K$40,3,0),"")</f>
        <v>1.7241379310344799E-3</v>
      </c>
      <c r="N1388">
        <v>-28</v>
      </c>
      <c r="O1388" t="s">
        <v>133</v>
      </c>
      <c r="P1388" s="127" t="s">
        <v>316</v>
      </c>
      <c r="Q1388" s="126" t="s">
        <v>316</v>
      </c>
      <c r="R1388">
        <v>118</v>
      </c>
      <c r="S1388" s="2">
        <v>22</v>
      </c>
      <c r="T1388" t="s">
        <v>295</v>
      </c>
      <c r="U1388" t="s">
        <v>300</v>
      </c>
      <c r="V1388" t="s">
        <v>298</v>
      </c>
      <c r="W1388" s="41"/>
      <c r="X1388" s="41"/>
      <c r="Y1388" s="34"/>
      <c r="Z1388" s="34"/>
      <c r="AA1388" s="35">
        <f>IF(TA[[#This Row],[Work Start time on Fault]]="NA","",(TA[[#This Row],[Fault Acknowledgement Time ]]-TA[[#This Row],[Fault Time]])*24)</f>
        <v>0</v>
      </c>
      <c r="AB1388" s="35">
        <f>(TA[[#This Row],[Work Start time on Fault]]-TA[[#This Row],[Fault Time]])*24</f>
        <v>0</v>
      </c>
      <c r="AC1388" s="34">
        <f>(TA[[#This Row],[Work Completion time on fault]]-TA[[#This Row],[Fault Time]])*24</f>
        <v>0</v>
      </c>
      <c r="AD1388" s="35">
        <f>IFERROR((TA[[#This Row],[Work Completion time on fault]]-TA[[#This Row],[Fault Time]])*24,"")</f>
        <v>0</v>
      </c>
      <c r="AE1388" t="s">
        <v>328</v>
      </c>
      <c r="AF1388" t="s">
        <v>256</v>
      </c>
      <c r="AG1388" s="2"/>
      <c r="AH1388" s="44">
        <f>1-COS(RADIANS(TA[[#This Row],[Avg. Target Angle during Fault Time (Radians)]]-TA[[#This Row],[Angle of affected equipment ]]))</f>
        <v>0.11705240714107301</v>
      </c>
      <c r="AI1388" s="35">
        <f>IFERROR(TA[[#This Row],[Breakdown Time]]*TA[[#This Row],[Plant Equivalent Weightage]],"")</f>
        <v>0</v>
      </c>
    </row>
    <row r="1389" spans="1:35">
      <c r="A1389" s="2">
        <f t="shared" si="165"/>
        <v>1386</v>
      </c>
      <c r="B1389" s="156">
        <f t="shared" si="163"/>
        <v>2026</v>
      </c>
      <c r="C1389" s="129">
        <f t="shared" si="164"/>
        <v>2025</v>
      </c>
      <c r="D1389" s="2" t="s">
        <v>155</v>
      </c>
      <c r="E1389" s="2" t="s">
        <v>155</v>
      </c>
      <c r="F1389" s="39">
        <v>45839</v>
      </c>
      <c r="G1389" s="2">
        <f>DAY(EOMONTH(TA[[#This Row],[Month Year]],0))</f>
        <v>31</v>
      </c>
      <c r="H1389" s="21">
        <v>45843</v>
      </c>
      <c r="I1389" s="41">
        <f>IFERROR(VLOOKUP(TA[[#This Row],[Date]],Raw_Data[[Date]:[Sunset Time (POA&lt;20 W/m2)]],3,0),"")</f>
        <v>0.24930555555555556</v>
      </c>
      <c r="J1389" s="41">
        <f>IFERROR(VLOOKUP(TA[[#This Row],[Date]],Raw_Data[[Date]:[Sunset Time (POA&lt;20 W/m2)]],4,0),"")</f>
        <v>0.77777777777777779</v>
      </c>
      <c r="K1389" s="35">
        <f>IFERROR((TA[[#This Row],[Sunset Time (POA&lt;20 W/m2)]]-TA[[#This Row],[Sunrise Time (POA&gt;20 W/m2)]])*24,"")</f>
        <v>12.683333333333334</v>
      </c>
      <c r="L1389" s="2" t="s">
        <v>296</v>
      </c>
      <c r="M1389" s="42">
        <f>IFERROR(VLOOKUP(TA[[#This Row],[Affected Equipment]],'Basic Data'!$I$2:$K$40,3,0),"")</f>
        <v>8.6206896551724102E-3</v>
      </c>
      <c r="N1389">
        <v>-28</v>
      </c>
      <c r="O1389" t="s">
        <v>135</v>
      </c>
      <c r="P1389" s="22" t="s">
        <v>323</v>
      </c>
      <c r="Q1389" s="2" t="s">
        <v>329</v>
      </c>
      <c r="R1389">
        <v>45</v>
      </c>
      <c r="S1389" s="2">
        <v>8</v>
      </c>
      <c r="T1389" t="s">
        <v>297</v>
      </c>
      <c r="U1389" t="s">
        <v>300</v>
      </c>
      <c r="V1389" t="s">
        <v>301</v>
      </c>
      <c r="W1389" s="41"/>
      <c r="X1389" s="41"/>
      <c r="Y1389" s="34"/>
      <c r="Z1389" s="34"/>
      <c r="AA1389" s="35">
        <f>IF(TA[[#This Row],[Work Start time on Fault]]="NA","",(TA[[#This Row],[Fault Acknowledgement Time ]]-TA[[#This Row],[Fault Time]])*24)</f>
        <v>0</v>
      </c>
      <c r="AB1389" s="35">
        <f>(TA[[#This Row],[Work Start time on Fault]]-TA[[#This Row],[Fault Time]])*24</f>
        <v>0</v>
      </c>
      <c r="AC1389" s="34">
        <f>(TA[[#This Row],[Work Completion time on fault]]-TA[[#This Row],[Fault Time]])*24</f>
        <v>0</v>
      </c>
      <c r="AD1389" s="35">
        <f>IFERROR((TA[[#This Row],[Work Completion time on fault]]-TA[[#This Row],[Fault Time]])*24,"")</f>
        <v>0</v>
      </c>
      <c r="AE1389" t="s">
        <v>328</v>
      </c>
      <c r="AF1389" t="s">
        <v>256</v>
      </c>
      <c r="AG1389" s="2"/>
      <c r="AH1389" s="44">
        <f>1-COS(RADIANS(TA[[#This Row],[Avg. Target Angle during Fault Time (Radians)]]-TA[[#This Row],[Angle of affected equipment ]]))</f>
        <v>0.11705240714107301</v>
      </c>
      <c r="AI1389" s="35">
        <f>IFERROR(TA[[#This Row],[Breakdown Time]]*TA[[#This Row],[Plant Equivalent Weightage]],"")</f>
        <v>0</v>
      </c>
    </row>
    <row r="1390" spans="1:35">
      <c r="A1390" s="2">
        <f t="shared" si="165"/>
        <v>1387</v>
      </c>
      <c r="B1390" s="156">
        <f t="shared" si="163"/>
        <v>2026</v>
      </c>
      <c r="C1390" s="129">
        <f t="shared" si="164"/>
        <v>2025</v>
      </c>
      <c r="D1390" s="2" t="s">
        <v>155</v>
      </c>
      <c r="E1390" s="2" t="s">
        <v>155</v>
      </c>
      <c r="F1390" s="39">
        <v>45839</v>
      </c>
      <c r="G1390" s="2">
        <f>DAY(EOMONTH(TA[[#This Row],[Month Year]],0))</f>
        <v>31</v>
      </c>
      <c r="H1390" s="21">
        <v>45843</v>
      </c>
      <c r="I1390" s="41">
        <f>IFERROR(VLOOKUP(TA[[#This Row],[Date]],Raw_Data[[Date]:[Sunset Time (POA&lt;20 W/m2)]],3,0),"")</f>
        <v>0.24930555555555556</v>
      </c>
      <c r="J1390" s="41">
        <f>IFERROR(VLOOKUP(TA[[#This Row],[Date]],Raw_Data[[Date]:[Sunset Time (POA&lt;20 W/m2)]],4,0),"")</f>
        <v>0.77777777777777779</v>
      </c>
      <c r="K1390" s="35">
        <f>IFERROR((TA[[#This Row],[Sunset Time (POA&lt;20 W/m2)]]-TA[[#This Row],[Sunrise Time (POA&gt;20 W/m2)]])*24,"")</f>
        <v>12.683333333333334</v>
      </c>
      <c r="L1390" s="2" t="s">
        <v>296</v>
      </c>
      <c r="M1390" s="42">
        <f>IFERROR(VLOOKUP(TA[[#This Row],[Affected Equipment]],'Basic Data'!$I$2:$K$40,3,0),"")</f>
        <v>8.6206896551724102E-3</v>
      </c>
      <c r="N1390">
        <v>-28</v>
      </c>
      <c r="O1390" t="s">
        <v>135</v>
      </c>
      <c r="P1390" s="22" t="s">
        <v>323</v>
      </c>
      <c r="Q1390" s="2" t="s">
        <v>329</v>
      </c>
      <c r="R1390">
        <v>47</v>
      </c>
      <c r="S1390" s="2">
        <v>18</v>
      </c>
      <c r="T1390" t="s">
        <v>297</v>
      </c>
      <c r="U1390" t="s">
        <v>300</v>
      </c>
      <c r="V1390" t="s">
        <v>301</v>
      </c>
      <c r="W1390" s="41"/>
      <c r="X1390" s="41"/>
      <c r="Y1390" s="34"/>
      <c r="Z1390" s="34"/>
      <c r="AA1390" s="35">
        <f>IF(TA[[#This Row],[Work Start time on Fault]]="NA","",(TA[[#This Row],[Fault Acknowledgement Time ]]-TA[[#This Row],[Fault Time]])*24)</f>
        <v>0</v>
      </c>
      <c r="AB1390" s="35">
        <f>(TA[[#This Row],[Work Start time on Fault]]-TA[[#This Row],[Fault Time]])*24</f>
        <v>0</v>
      </c>
      <c r="AC1390" s="34">
        <f>(TA[[#This Row],[Work Completion time on fault]]-TA[[#This Row],[Fault Time]])*24</f>
        <v>0</v>
      </c>
      <c r="AD1390" s="35">
        <f>IFERROR((TA[[#This Row],[Work Completion time on fault]]-TA[[#This Row],[Fault Time]])*24,"")</f>
        <v>0</v>
      </c>
      <c r="AE1390" t="s">
        <v>328</v>
      </c>
      <c r="AF1390" t="s">
        <v>256</v>
      </c>
      <c r="AG1390" s="2"/>
      <c r="AH1390" s="44">
        <f>1-COS(RADIANS(TA[[#This Row],[Avg. Target Angle during Fault Time (Radians)]]-TA[[#This Row],[Angle of affected equipment ]]))</f>
        <v>0.11705240714107301</v>
      </c>
      <c r="AI1390" s="35">
        <f>IFERROR(TA[[#This Row],[Breakdown Time]]*TA[[#This Row],[Plant Equivalent Weightage]],"")</f>
        <v>0</v>
      </c>
    </row>
    <row r="1391" spans="1:35">
      <c r="A1391" s="2">
        <f t="shared" si="165"/>
        <v>1388</v>
      </c>
      <c r="B1391" s="156">
        <f t="shared" si="163"/>
        <v>2026</v>
      </c>
      <c r="C1391" s="129">
        <f t="shared" si="164"/>
        <v>2025</v>
      </c>
      <c r="D1391" s="2" t="s">
        <v>155</v>
      </c>
      <c r="E1391" s="2" t="s">
        <v>155</v>
      </c>
      <c r="F1391" s="39">
        <v>45839</v>
      </c>
      <c r="G1391" s="2">
        <f>DAY(EOMONTH(TA[[#This Row],[Month Year]],0))</f>
        <v>31</v>
      </c>
      <c r="H1391" s="21">
        <v>45843</v>
      </c>
      <c r="I1391" s="41">
        <f>IFERROR(VLOOKUP(TA[[#This Row],[Date]],Raw_Data[[Date]:[Sunset Time (POA&lt;20 W/m2)]],3,0),"")</f>
        <v>0.24930555555555556</v>
      </c>
      <c r="J1391" s="41">
        <f>IFERROR(VLOOKUP(TA[[#This Row],[Date]],Raw_Data[[Date]:[Sunset Time (POA&lt;20 W/m2)]],4,0),"")</f>
        <v>0.77777777777777779</v>
      </c>
      <c r="K1391" s="35">
        <f>IFERROR((TA[[#This Row],[Sunset Time (POA&lt;20 W/m2)]]-TA[[#This Row],[Sunrise Time (POA&gt;20 W/m2)]])*24,"")</f>
        <v>12.683333333333334</v>
      </c>
      <c r="L1391" s="2" t="s">
        <v>296</v>
      </c>
      <c r="M1391" s="42">
        <f>IFERROR(VLOOKUP(TA[[#This Row],[Affected Equipment]],'Basic Data'!$I$2:$K$40,3,0),"")</f>
        <v>8.6206896551724102E-3</v>
      </c>
      <c r="N1391">
        <v>-28</v>
      </c>
      <c r="O1391" t="s">
        <v>134</v>
      </c>
      <c r="P1391" s="22" t="s">
        <v>330</v>
      </c>
      <c r="Q1391" s="2" t="s">
        <v>323</v>
      </c>
      <c r="R1391">
        <v>30</v>
      </c>
      <c r="S1391" s="2">
        <v>57</v>
      </c>
      <c r="T1391" t="s">
        <v>297</v>
      </c>
      <c r="U1391" t="s">
        <v>300</v>
      </c>
      <c r="V1391" t="s">
        <v>301</v>
      </c>
      <c r="W1391" s="41"/>
      <c r="X1391" s="41"/>
      <c r="Y1391" s="34"/>
      <c r="Z1391" s="34"/>
      <c r="AA1391" s="35">
        <f>IF(TA[[#This Row],[Work Start time on Fault]]="NA","",(TA[[#This Row],[Fault Acknowledgement Time ]]-TA[[#This Row],[Fault Time]])*24)</f>
        <v>0</v>
      </c>
      <c r="AB1391" s="35">
        <f>(TA[[#This Row],[Work Start time on Fault]]-TA[[#This Row],[Fault Time]])*24</f>
        <v>0</v>
      </c>
      <c r="AC1391" s="34">
        <f>(TA[[#This Row],[Work Completion time on fault]]-TA[[#This Row],[Fault Time]])*24</f>
        <v>0</v>
      </c>
      <c r="AD1391" s="35">
        <f>IFERROR((TA[[#This Row],[Work Completion time on fault]]-TA[[#This Row],[Fault Time]])*24,"")</f>
        <v>0</v>
      </c>
      <c r="AE1391" t="s">
        <v>328</v>
      </c>
      <c r="AF1391" t="s">
        <v>256</v>
      </c>
      <c r="AG1391" s="2"/>
      <c r="AH1391" s="44">
        <f>1-COS(RADIANS(TA[[#This Row],[Avg. Target Angle during Fault Time (Radians)]]-TA[[#This Row],[Angle of affected equipment ]]))</f>
        <v>0.11705240714107301</v>
      </c>
      <c r="AI1391" s="35">
        <f>IFERROR(TA[[#This Row],[Breakdown Time]]*TA[[#This Row],[Plant Equivalent Weightage]],"")</f>
        <v>0</v>
      </c>
    </row>
    <row r="1392" spans="1:35">
      <c r="A1392" s="2">
        <f t="shared" si="165"/>
        <v>1389</v>
      </c>
      <c r="B1392" s="156">
        <f t="shared" si="163"/>
        <v>2026</v>
      </c>
      <c r="C1392" s="129">
        <f t="shared" si="164"/>
        <v>2025</v>
      </c>
      <c r="D1392" s="2" t="s">
        <v>155</v>
      </c>
      <c r="E1392" s="2" t="s">
        <v>155</v>
      </c>
      <c r="F1392" s="39">
        <v>45839</v>
      </c>
      <c r="G1392" s="2">
        <f>DAY(EOMONTH(TA[[#This Row],[Month Year]],0))</f>
        <v>31</v>
      </c>
      <c r="H1392" s="21">
        <v>45843</v>
      </c>
      <c r="I1392" s="41">
        <f>IFERROR(VLOOKUP(TA[[#This Row],[Date]],Raw_Data[[Date]:[Sunset Time (POA&lt;20 W/m2)]],3,0),"")</f>
        <v>0.24930555555555556</v>
      </c>
      <c r="J1392" s="41">
        <f>IFERROR(VLOOKUP(TA[[#This Row],[Date]],Raw_Data[[Date]:[Sunset Time (POA&lt;20 W/m2)]],4,0),"")</f>
        <v>0.77777777777777779</v>
      </c>
      <c r="K1392" s="35">
        <f>IFERROR((TA[[#This Row],[Sunset Time (POA&lt;20 W/m2)]]-TA[[#This Row],[Sunrise Time (POA&gt;20 W/m2)]])*24,"")</f>
        <v>12.683333333333334</v>
      </c>
      <c r="L1392" s="2" t="s">
        <v>296</v>
      </c>
      <c r="M1392" s="42">
        <f>IFERROR(VLOOKUP(TA[[#This Row],[Affected Equipment]],'Basic Data'!$I$2:$K$40,3,0),"")</f>
        <v>8.6206896551724102E-3</v>
      </c>
      <c r="N1392">
        <v>-28</v>
      </c>
      <c r="O1392" t="s">
        <v>134</v>
      </c>
      <c r="P1392" s="22" t="s">
        <v>330</v>
      </c>
      <c r="Q1392" s="2" t="s">
        <v>323</v>
      </c>
      <c r="R1392">
        <v>31</v>
      </c>
      <c r="S1392" s="2">
        <v>61</v>
      </c>
      <c r="T1392" t="s">
        <v>297</v>
      </c>
      <c r="U1392" t="s">
        <v>300</v>
      </c>
      <c r="V1392" t="s">
        <v>301</v>
      </c>
      <c r="W1392" s="41"/>
      <c r="X1392" s="41"/>
      <c r="Y1392" s="34"/>
      <c r="Z1392" s="34"/>
      <c r="AA1392" s="35">
        <f>IF(TA[[#This Row],[Work Start time on Fault]]="NA","",(TA[[#This Row],[Fault Acknowledgement Time ]]-TA[[#This Row],[Fault Time]])*24)</f>
        <v>0</v>
      </c>
      <c r="AB1392" s="35">
        <f>(TA[[#This Row],[Work Start time on Fault]]-TA[[#This Row],[Fault Time]])*24</f>
        <v>0</v>
      </c>
      <c r="AC1392" s="34">
        <f>(TA[[#This Row],[Work Completion time on fault]]-TA[[#This Row],[Fault Time]])*24</f>
        <v>0</v>
      </c>
      <c r="AD1392" s="35">
        <f>IFERROR((TA[[#This Row],[Work Completion time on fault]]-TA[[#This Row],[Fault Time]])*24,"")</f>
        <v>0</v>
      </c>
      <c r="AE1392" t="s">
        <v>328</v>
      </c>
      <c r="AF1392" t="s">
        <v>256</v>
      </c>
      <c r="AG1392" s="2"/>
      <c r="AH1392" s="44">
        <f>1-COS(RADIANS(TA[[#This Row],[Avg. Target Angle during Fault Time (Radians)]]-TA[[#This Row],[Angle of affected equipment ]]))</f>
        <v>0.11705240714107301</v>
      </c>
      <c r="AI1392" s="35">
        <f>IFERROR(TA[[#This Row],[Breakdown Time]]*TA[[#This Row],[Plant Equivalent Weightage]],"")</f>
        <v>0</v>
      </c>
    </row>
    <row r="1393" spans="1:35">
      <c r="A1393" s="2">
        <f t="shared" si="165"/>
        <v>1390</v>
      </c>
      <c r="B1393" s="156">
        <f t="shared" si="163"/>
        <v>2026</v>
      </c>
      <c r="C1393" s="129">
        <f t="shared" si="164"/>
        <v>2025</v>
      </c>
      <c r="D1393" s="2" t="s">
        <v>155</v>
      </c>
      <c r="E1393" s="2" t="s">
        <v>155</v>
      </c>
      <c r="F1393" s="39">
        <v>45839</v>
      </c>
      <c r="G1393" s="2">
        <f>DAY(EOMONTH(TA[[#This Row],[Month Year]],0))</f>
        <v>31</v>
      </c>
      <c r="H1393" s="21">
        <v>45843</v>
      </c>
      <c r="I1393" s="41">
        <f>IFERROR(VLOOKUP(TA[[#This Row],[Date]],Raw_Data[[Date]:[Sunset Time (POA&lt;20 W/m2)]],3,0),"")</f>
        <v>0.24930555555555556</v>
      </c>
      <c r="J1393" s="41">
        <f>IFERROR(VLOOKUP(TA[[#This Row],[Date]],Raw_Data[[Date]:[Sunset Time (POA&lt;20 W/m2)]],4,0),"")</f>
        <v>0.77777777777777779</v>
      </c>
      <c r="K1393" s="35">
        <f>IFERROR((TA[[#This Row],[Sunset Time (POA&lt;20 W/m2)]]-TA[[#This Row],[Sunrise Time (POA&gt;20 W/m2)]])*24,"")</f>
        <v>12.683333333333334</v>
      </c>
      <c r="L1393" s="2" t="s">
        <v>312</v>
      </c>
      <c r="M1393" s="42">
        <f>IFERROR(VLOOKUP(TA[[#This Row],[Affected Equipment]],'Basic Data'!$I$2:$K$40,3,0),"")</f>
        <v>5.74712643678161E-3</v>
      </c>
      <c r="N1393">
        <v>-28</v>
      </c>
      <c r="O1393" t="s">
        <v>133</v>
      </c>
      <c r="P1393" s="22" t="s">
        <v>330</v>
      </c>
      <c r="Q1393" s="2" t="s">
        <v>323</v>
      </c>
      <c r="R1393">
        <v>26</v>
      </c>
      <c r="S1393" s="2">
        <v>37</v>
      </c>
      <c r="T1393" t="s">
        <v>297</v>
      </c>
      <c r="U1393" t="s">
        <v>300</v>
      </c>
      <c r="V1393" t="s">
        <v>301</v>
      </c>
      <c r="W1393" s="41"/>
      <c r="X1393" s="41"/>
      <c r="Y1393" s="34"/>
      <c r="Z1393" s="34"/>
      <c r="AA1393" s="35">
        <f>IF(TA[[#This Row],[Work Start time on Fault]]="NA","",(TA[[#This Row],[Fault Acknowledgement Time ]]-TA[[#This Row],[Fault Time]])*24)</f>
        <v>0</v>
      </c>
      <c r="AB1393" s="35">
        <f>(TA[[#This Row],[Work Start time on Fault]]-TA[[#This Row],[Fault Time]])*24</f>
        <v>0</v>
      </c>
      <c r="AC1393" s="34">
        <f>(TA[[#This Row],[Work Completion time on fault]]-TA[[#This Row],[Fault Time]])*24</f>
        <v>0</v>
      </c>
      <c r="AD1393" s="35">
        <f>IFERROR((TA[[#This Row],[Work Completion time on fault]]-TA[[#This Row],[Fault Time]])*24,"")</f>
        <v>0</v>
      </c>
      <c r="AE1393" t="s">
        <v>328</v>
      </c>
      <c r="AF1393" t="s">
        <v>256</v>
      </c>
      <c r="AG1393" s="2"/>
      <c r="AH1393" s="44">
        <f>1-COS(RADIANS(TA[[#This Row],[Avg. Target Angle during Fault Time (Radians)]]-TA[[#This Row],[Angle of affected equipment ]]))</f>
        <v>0.11705240714107301</v>
      </c>
      <c r="AI1393" s="35">
        <f>IFERROR(TA[[#This Row],[Breakdown Time]]*TA[[#This Row],[Plant Equivalent Weightage]],"")</f>
        <v>0</v>
      </c>
    </row>
    <row r="1394" spans="1:35">
      <c r="A1394" s="2">
        <f t="shared" si="165"/>
        <v>1391</v>
      </c>
      <c r="B1394" s="156">
        <f t="shared" si="163"/>
        <v>2026</v>
      </c>
      <c r="C1394" s="129">
        <f t="shared" si="164"/>
        <v>2025</v>
      </c>
      <c r="D1394" s="2" t="s">
        <v>155</v>
      </c>
      <c r="E1394" s="2" t="s">
        <v>155</v>
      </c>
      <c r="F1394" s="39">
        <v>45839</v>
      </c>
      <c r="G1394" s="2">
        <f>DAY(EOMONTH(TA[[#This Row],[Month Year]],0))</f>
        <v>31</v>
      </c>
      <c r="H1394" s="21">
        <v>45843</v>
      </c>
      <c r="I1394" s="41">
        <f>IFERROR(VLOOKUP(TA[[#This Row],[Date]],Raw_Data[[Date]:[Sunset Time (POA&lt;20 W/m2)]],3,0),"")</f>
        <v>0.24930555555555556</v>
      </c>
      <c r="J1394" s="41">
        <f>IFERROR(VLOOKUP(TA[[#This Row],[Date]],Raw_Data[[Date]:[Sunset Time (POA&lt;20 W/m2)]],4,0),"")</f>
        <v>0.77777777777777779</v>
      </c>
      <c r="K1394" s="35">
        <f>IFERROR((TA[[#This Row],[Sunset Time (POA&lt;20 W/m2)]]-TA[[#This Row],[Sunrise Time (POA&gt;20 W/m2)]])*24,"")</f>
        <v>12.683333333333334</v>
      </c>
      <c r="L1394" s="2" t="s">
        <v>312</v>
      </c>
      <c r="M1394" s="42">
        <f>IFERROR(VLOOKUP(TA[[#This Row],[Affected Equipment]],'Basic Data'!$I$2:$K$40,3,0),"")</f>
        <v>5.74712643678161E-3</v>
      </c>
      <c r="N1394">
        <v>-28</v>
      </c>
      <c r="O1394" t="s">
        <v>133</v>
      </c>
      <c r="P1394" s="22" t="s">
        <v>330</v>
      </c>
      <c r="Q1394" s="2" t="s">
        <v>323</v>
      </c>
      <c r="R1394">
        <v>27</v>
      </c>
      <c r="S1394" s="2">
        <v>42</v>
      </c>
      <c r="T1394" t="s">
        <v>297</v>
      </c>
      <c r="U1394" t="s">
        <v>300</v>
      </c>
      <c r="V1394" t="s">
        <v>301</v>
      </c>
      <c r="W1394" s="41">
        <f>IFERROR(VLOOKUP(TA[[#This Row],[Date]],Raw_Data[[Date]:[Sunset Time (POA&lt;20 W/m2)]],3,0),"")</f>
        <v>0.24930555555555556</v>
      </c>
      <c r="X1394" s="41">
        <f>IFERROR(VLOOKUP(TA[[#This Row],[Date]],Raw_Data[[Date]:[Sunset Time (POA&lt;20 W/m2)]],3,0),"")</f>
        <v>0.24930555555555556</v>
      </c>
      <c r="Y1394" s="34"/>
      <c r="Z1394" s="34">
        <v>0.76041666666666663</v>
      </c>
      <c r="AA1394" s="35">
        <f>IF(TA[[#This Row],[Work Start time on Fault]]="NA","",(TA[[#This Row],[Fault Acknowledgement Time ]]-TA[[#This Row],[Fault Time]])*24)</f>
        <v>0</v>
      </c>
      <c r="AB1394" s="35">
        <f>(TA[[#This Row],[Work Start time on Fault]]-TA[[#This Row],[Fault Time]])*24</f>
        <v>-5.9833333333333334</v>
      </c>
      <c r="AC1394" s="34">
        <f>(TA[[#This Row],[Work Completion time on fault]]-TA[[#This Row],[Fault Time]])*24</f>
        <v>12.266666666666666</v>
      </c>
      <c r="AD1394" s="35">
        <f>IFERROR((TA[[#This Row],[Work Completion time on fault]]-TA[[#This Row],[Fault Time]])*24,"")</f>
        <v>12.266666666666666</v>
      </c>
      <c r="AE1394" t="s">
        <v>309</v>
      </c>
      <c r="AF1394" t="s">
        <v>256</v>
      </c>
      <c r="AG1394" s="2"/>
      <c r="AH1394" s="44">
        <f>1-COS(RADIANS(TA[[#This Row],[Avg. Target Angle during Fault Time (Radians)]]-TA[[#This Row],[Angle of affected equipment ]]))</f>
        <v>0.11705240714107301</v>
      </c>
      <c r="AI1394" s="35">
        <f>IFERROR(TA[[#This Row],[Breakdown Time]]*TA[[#This Row],[Plant Equivalent Weightage]],"")</f>
        <v>7.0498084291187743E-2</v>
      </c>
    </row>
    <row r="1395" spans="1:35">
      <c r="A1395" s="2">
        <f t="shared" si="165"/>
        <v>1392</v>
      </c>
      <c r="B1395" s="156">
        <f t="shared" ref="B1395:B1407" si="166">YEAR(H1395)+IF(MONTH(H1395)&gt;=4,1,0)</f>
        <v>2026</v>
      </c>
      <c r="C1395" s="129">
        <f t="shared" ref="C1395:C1407" si="167">YEAR(H1395)</f>
        <v>2025</v>
      </c>
      <c r="D1395" s="2" t="s">
        <v>155</v>
      </c>
      <c r="E1395" s="2" t="s">
        <v>155</v>
      </c>
      <c r="F1395" s="39">
        <v>45839</v>
      </c>
      <c r="G1395" s="2">
        <f>DAY(EOMONTH(TA[[#This Row],[Month Year]],0))</f>
        <v>31</v>
      </c>
      <c r="H1395" s="21">
        <v>45844</v>
      </c>
      <c r="I1395" s="41">
        <f>IFERROR(VLOOKUP(TA[[#This Row],[Date]],Raw_Data[[Date]:[Sunset Time (POA&lt;20 W/m2)]],3,0),"")</f>
        <v>0.26041666666666669</v>
      </c>
      <c r="J1395" s="41">
        <f>IFERROR(VLOOKUP(TA[[#This Row],[Date]],Raw_Data[[Date]:[Sunset Time (POA&lt;20 W/m2)]],4,0),"")</f>
        <v>0.77777777777777779</v>
      </c>
      <c r="K1395" s="35">
        <f>IFERROR((TA[[#This Row],[Sunset Time (POA&lt;20 W/m2)]]-TA[[#This Row],[Sunrise Time (POA&gt;20 W/m2)]])*24,"")</f>
        <v>12.416666666666668</v>
      </c>
      <c r="L1395" s="2" t="s">
        <v>294</v>
      </c>
      <c r="M1395" s="42">
        <f>IFERROR(VLOOKUP(TA[[#This Row],[Affected Equipment]],'Basic Data'!$I$2:$K$40,3,0),"")</f>
        <v>1.7241379310344799E-3</v>
      </c>
      <c r="N1395">
        <v>-28</v>
      </c>
      <c r="O1395" t="s">
        <v>135</v>
      </c>
      <c r="P1395" s="127" t="s">
        <v>318</v>
      </c>
      <c r="Q1395" s="126" t="s">
        <v>318</v>
      </c>
      <c r="R1395">
        <v>131</v>
      </c>
      <c r="S1395" s="2">
        <v>38</v>
      </c>
      <c r="T1395" t="s">
        <v>295</v>
      </c>
      <c r="U1395" t="s">
        <v>300</v>
      </c>
      <c r="V1395" t="s">
        <v>298</v>
      </c>
      <c r="W1395" s="41"/>
      <c r="X1395" s="41"/>
      <c r="Y1395" s="34"/>
      <c r="Z1395" s="34"/>
      <c r="AA1395" s="35">
        <f>IF(TA[[#This Row],[Work Start time on Fault]]="NA","",(TA[[#This Row],[Fault Acknowledgement Time ]]-TA[[#This Row],[Fault Time]])*24)</f>
        <v>0</v>
      </c>
      <c r="AB1395" s="35">
        <f>(TA[[#This Row],[Work Start time on Fault]]-TA[[#This Row],[Fault Time]])*24</f>
        <v>0</v>
      </c>
      <c r="AC1395" s="34">
        <f>(TA[[#This Row],[Work Completion time on fault]]-TA[[#This Row],[Fault Time]])*24</f>
        <v>0</v>
      </c>
      <c r="AD1395" s="35">
        <f>IFERROR((TA[[#This Row],[Work Completion time on fault]]-TA[[#This Row],[Fault Time]])*24,"")</f>
        <v>0</v>
      </c>
      <c r="AE1395" t="s">
        <v>328</v>
      </c>
      <c r="AF1395" t="s">
        <v>256</v>
      </c>
      <c r="AG1395" s="2"/>
      <c r="AH1395" s="44">
        <f>1-COS(RADIANS(TA[[#This Row],[Avg. Target Angle during Fault Time (Radians)]]-TA[[#This Row],[Angle of affected equipment ]]))</f>
        <v>0.11705240714107301</v>
      </c>
      <c r="AI1395" s="35">
        <f>IFERROR(TA[[#This Row],[Breakdown Time]]*TA[[#This Row],[Plant Equivalent Weightage]],"")</f>
        <v>0</v>
      </c>
    </row>
    <row r="1396" spans="1:35">
      <c r="A1396" s="2">
        <f t="shared" si="165"/>
        <v>1393</v>
      </c>
      <c r="B1396" s="156">
        <f t="shared" si="166"/>
        <v>2026</v>
      </c>
      <c r="C1396" s="129">
        <f t="shared" si="167"/>
        <v>2025</v>
      </c>
      <c r="D1396" s="2" t="s">
        <v>155</v>
      </c>
      <c r="E1396" s="2" t="s">
        <v>155</v>
      </c>
      <c r="F1396" s="39">
        <v>45839</v>
      </c>
      <c r="G1396" s="2">
        <f>DAY(EOMONTH(TA[[#This Row],[Month Year]],0))</f>
        <v>31</v>
      </c>
      <c r="H1396" s="21">
        <v>45844</v>
      </c>
      <c r="I1396" s="41">
        <f>IFERROR(VLOOKUP(TA[[#This Row],[Date]],Raw_Data[[Date]:[Sunset Time (POA&lt;20 W/m2)]],3,0),"")</f>
        <v>0.26041666666666669</v>
      </c>
      <c r="J1396" s="41">
        <f>IFERROR(VLOOKUP(TA[[#This Row],[Date]],Raw_Data[[Date]:[Sunset Time (POA&lt;20 W/m2)]],4,0),"")</f>
        <v>0.77777777777777779</v>
      </c>
      <c r="K1396" s="35">
        <f>IFERROR((TA[[#This Row],[Sunset Time (POA&lt;20 W/m2)]]-TA[[#This Row],[Sunrise Time (POA&gt;20 W/m2)]])*24,"")</f>
        <v>12.416666666666668</v>
      </c>
      <c r="L1396" s="2" t="s">
        <v>294</v>
      </c>
      <c r="M1396" s="42">
        <f>IFERROR(VLOOKUP(TA[[#This Row],[Affected Equipment]],'Basic Data'!$I$2:$K$40,3,0),"")</f>
        <v>1.7241379310344799E-3</v>
      </c>
      <c r="N1396">
        <v>-28</v>
      </c>
      <c r="O1396" t="s">
        <v>135</v>
      </c>
      <c r="P1396" s="127" t="s">
        <v>318</v>
      </c>
      <c r="Q1396" s="126" t="s">
        <v>318</v>
      </c>
      <c r="R1396">
        <v>131</v>
      </c>
      <c r="S1396" s="2">
        <v>39</v>
      </c>
      <c r="T1396" t="s">
        <v>295</v>
      </c>
      <c r="U1396" t="s">
        <v>300</v>
      </c>
      <c r="V1396" t="s">
        <v>298</v>
      </c>
      <c r="W1396" s="41"/>
      <c r="X1396" s="41"/>
      <c r="Y1396" s="34"/>
      <c r="Z1396" s="34"/>
      <c r="AA1396" s="35">
        <f>IF(TA[[#This Row],[Work Start time on Fault]]="NA","",(TA[[#This Row],[Fault Acknowledgement Time ]]-TA[[#This Row],[Fault Time]])*24)</f>
        <v>0</v>
      </c>
      <c r="AB1396" s="35">
        <f>(TA[[#This Row],[Work Start time on Fault]]-TA[[#This Row],[Fault Time]])*24</f>
        <v>0</v>
      </c>
      <c r="AC1396" s="34">
        <f>(TA[[#This Row],[Work Completion time on fault]]-TA[[#This Row],[Fault Time]])*24</f>
        <v>0</v>
      </c>
      <c r="AD1396" s="35">
        <f>IFERROR((TA[[#This Row],[Work Completion time on fault]]-TA[[#This Row],[Fault Time]])*24,"")</f>
        <v>0</v>
      </c>
      <c r="AE1396" t="s">
        <v>328</v>
      </c>
      <c r="AF1396" t="s">
        <v>256</v>
      </c>
      <c r="AG1396" s="2"/>
      <c r="AH1396" s="44">
        <f>1-COS(RADIANS(TA[[#This Row],[Avg. Target Angle during Fault Time (Radians)]]-TA[[#This Row],[Angle of affected equipment ]]))</f>
        <v>0.11705240714107301</v>
      </c>
      <c r="AI1396" s="35">
        <f>IFERROR(TA[[#This Row],[Breakdown Time]]*TA[[#This Row],[Plant Equivalent Weightage]],"")</f>
        <v>0</v>
      </c>
    </row>
    <row r="1397" spans="1:35">
      <c r="A1397" s="2">
        <f t="shared" si="165"/>
        <v>1394</v>
      </c>
      <c r="B1397" s="156">
        <f t="shared" si="166"/>
        <v>2026</v>
      </c>
      <c r="C1397" s="129">
        <f t="shared" si="167"/>
        <v>2025</v>
      </c>
      <c r="D1397" s="2" t="s">
        <v>155</v>
      </c>
      <c r="E1397" s="2" t="s">
        <v>155</v>
      </c>
      <c r="F1397" s="39">
        <v>45839</v>
      </c>
      <c r="G1397" s="2">
        <f>DAY(EOMONTH(TA[[#This Row],[Month Year]],0))</f>
        <v>31</v>
      </c>
      <c r="H1397" s="21">
        <v>45844</v>
      </c>
      <c r="I1397" s="41">
        <f>IFERROR(VLOOKUP(TA[[#This Row],[Date]],Raw_Data[[Date]:[Sunset Time (POA&lt;20 W/m2)]],3,0),"")</f>
        <v>0.26041666666666669</v>
      </c>
      <c r="J1397" s="41">
        <f>IFERROR(VLOOKUP(TA[[#This Row],[Date]],Raw_Data[[Date]:[Sunset Time (POA&lt;20 W/m2)]],4,0),"")</f>
        <v>0.77777777777777779</v>
      </c>
      <c r="K1397" s="35">
        <f>IFERROR((TA[[#This Row],[Sunset Time (POA&lt;20 W/m2)]]-TA[[#This Row],[Sunrise Time (POA&gt;20 W/m2)]])*24,"")</f>
        <v>12.416666666666668</v>
      </c>
      <c r="L1397" s="2" t="s">
        <v>296</v>
      </c>
      <c r="M1397" s="42">
        <f>IFERROR(VLOOKUP(TA[[#This Row],[Affected Equipment]],'Basic Data'!$I$2:$K$40,3,0),"")</f>
        <v>8.6206896551724102E-3</v>
      </c>
      <c r="N1397">
        <v>-28</v>
      </c>
      <c r="O1397" t="s">
        <v>135</v>
      </c>
      <c r="P1397" s="127" t="s">
        <v>318</v>
      </c>
      <c r="Q1397" s="2" t="s">
        <v>321</v>
      </c>
      <c r="R1397">
        <v>133</v>
      </c>
      <c r="S1397" s="2">
        <v>26</v>
      </c>
      <c r="T1397" t="s">
        <v>297</v>
      </c>
      <c r="U1397" t="s">
        <v>300</v>
      </c>
      <c r="V1397" t="s">
        <v>314</v>
      </c>
      <c r="W1397" s="41">
        <f>IFERROR(VLOOKUP(TA[[#This Row],[Date]],Raw_Data[[Date]:[Sunset Time (POA&lt;20 W/m2)]],3,0),"")</f>
        <v>0.26041666666666669</v>
      </c>
      <c r="X1397" s="41">
        <f>IFERROR(VLOOKUP(TA[[#This Row],[Date]],Raw_Data[[Date]:[Sunset Time (POA&lt;20 W/m2)]],3,0),"")</f>
        <v>0.26041666666666669</v>
      </c>
      <c r="Y1397" s="34"/>
      <c r="Z1397" s="34">
        <v>0.76041666666666663</v>
      </c>
      <c r="AA1397" s="35">
        <f>IF(TA[[#This Row],[Work Start time on Fault]]="NA","",(TA[[#This Row],[Fault Acknowledgement Time ]]-TA[[#This Row],[Fault Time]])*24)</f>
        <v>0</v>
      </c>
      <c r="AB1397" s="35">
        <f>(TA[[#This Row],[Work Start time on Fault]]-TA[[#This Row],[Fault Time]])*24</f>
        <v>-6.25</v>
      </c>
      <c r="AC1397" s="34">
        <f>(TA[[#This Row],[Work Completion time on fault]]-TA[[#This Row],[Fault Time]])*24</f>
        <v>11.999999999999998</v>
      </c>
      <c r="AD1397" s="35">
        <f>IFERROR((TA[[#This Row],[Work Completion time on fault]]-TA[[#This Row],[Fault Time]])*24,"")</f>
        <v>11.999999999999998</v>
      </c>
      <c r="AE1397" t="s">
        <v>328</v>
      </c>
      <c r="AF1397" t="s">
        <v>256</v>
      </c>
      <c r="AG1397" s="2"/>
      <c r="AH1397" s="44">
        <f>1-COS(RADIANS(TA[[#This Row],[Avg. Target Angle during Fault Time (Radians)]]-TA[[#This Row],[Angle of affected equipment ]]))</f>
        <v>0.11705240714107301</v>
      </c>
      <c r="AI1397" s="35">
        <f>IFERROR(TA[[#This Row],[Breakdown Time]]*TA[[#This Row],[Plant Equivalent Weightage]],"")</f>
        <v>0.10344827586206891</v>
      </c>
    </row>
    <row r="1398" spans="1:35">
      <c r="A1398" s="2">
        <f t="shared" si="165"/>
        <v>1395</v>
      </c>
      <c r="B1398" s="156">
        <f t="shared" si="166"/>
        <v>2026</v>
      </c>
      <c r="C1398" s="129">
        <f t="shared" si="167"/>
        <v>2025</v>
      </c>
      <c r="D1398" s="2" t="s">
        <v>155</v>
      </c>
      <c r="E1398" s="2" t="s">
        <v>155</v>
      </c>
      <c r="F1398" s="39">
        <v>45839</v>
      </c>
      <c r="G1398" s="2">
        <f>DAY(EOMONTH(TA[[#This Row],[Month Year]],0))</f>
        <v>31</v>
      </c>
      <c r="H1398" s="21">
        <v>45844</v>
      </c>
      <c r="I1398" s="41">
        <f>IFERROR(VLOOKUP(TA[[#This Row],[Date]],Raw_Data[[Date]:[Sunset Time (POA&lt;20 W/m2)]],3,0),"")</f>
        <v>0.26041666666666669</v>
      </c>
      <c r="J1398" s="41">
        <f>IFERROR(VLOOKUP(TA[[#This Row],[Date]],Raw_Data[[Date]:[Sunset Time (POA&lt;20 W/m2)]],4,0),"")</f>
        <v>0.77777777777777779</v>
      </c>
      <c r="K1398" s="35">
        <f>IFERROR((TA[[#This Row],[Sunset Time (POA&lt;20 W/m2)]]-TA[[#This Row],[Sunrise Time (POA&gt;20 W/m2)]])*24,"")</f>
        <v>12.416666666666668</v>
      </c>
      <c r="L1398" s="2" t="s">
        <v>294</v>
      </c>
      <c r="M1398" s="42">
        <f>IFERROR(VLOOKUP(TA[[#This Row],[Affected Equipment]],'Basic Data'!$I$2:$K$40,3,0),"")</f>
        <v>1.7241379310344799E-3</v>
      </c>
      <c r="N1398">
        <v>-28</v>
      </c>
      <c r="O1398" t="s">
        <v>133</v>
      </c>
      <c r="P1398" s="127" t="s">
        <v>316</v>
      </c>
      <c r="Q1398" s="126" t="s">
        <v>317</v>
      </c>
      <c r="R1398">
        <v>7</v>
      </c>
      <c r="S1398" s="2">
        <v>32</v>
      </c>
      <c r="T1398" t="s">
        <v>295</v>
      </c>
      <c r="U1398" t="s">
        <v>300</v>
      </c>
      <c r="V1398" t="s">
        <v>298</v>
      </c>
      <c r="W1398" s="41"/>
      <c r="X1398" s="41"/>
      <c r="Y1398" s="34"/>
      <c r="Z1398" s="34"/>
      <c r="AA1398" s="35">
        <f>IF(TA[[#This Row],[Work Start time on Fault]]="NA","",(TA[[#This Row],[Fault Acknowledgement Time ]]-TA[[#This Row],[Fault Time]])*24)</f>
        <v>0</v>
      </c>
      <c r="AB1398" s="35">
        <f>(TA[[#This Row],[Work Start time on Fault]]-TA[[#This Row],[Fault Time]])*24</f>
        <v>0</v>
      </c>
      <c r="AC1398" s="34">
        <f>(TA[[#This Row],[Work Completion time on fault]]-TA[[#This Row],[Fault Time]])*24</f>
        <v>0</v>
      </c>
      <c r="AD1398" s="35">
        <f>IFERROR((TA[[#This Row],[Work Completion time on fault]]-TA[[#This Row],[Fault Time]])*24,"")</f>
        <v>0</v>
      </c>
      <c r="AE1398" t="s">
        <v>328</v>
      </c>
      <c r="AF1398" t="s">
        <v>256</v>
      </c>
      <c r="AG1398" s="2"/>
      <c r="AH1398" s="44">
        <f>1-COS(RADIANS(TA[[#This Row],[Avg. Target Angle during Fault Time (Radians)]]-TA[[#This Row],[Angle of affected equipment ]]))</f>
        <v>0.11705240714107301</v>
      </c>
      <c r="AI1398" s="35">
        <f>IFERROR(TA[[#This Row],[Breakdown Time]]*TA[[#This Row],[Plant Equivalent Weightage]],"")</f>
        <v>0</v>
      </c>
    </row>
    <row r="1399" spans="1:35">
      <c r="A1399" s="2">
        <f t="shared" si="165"/>
        <v>1396</v>
      </c>
      <c r="B1399" s="156">
        <f t="shared" si="166"/>
        <v>2026</v>
      </c>
      <c r="C1399" s="129">
        <f t="shared" si="167"/>
        <v>2025</v>
      </c>
      <c r="D1399" s="2" t="s">
        <v>155</v>
      </c>
      <c r="E1399" s="2" t="s">
        <v>155</v>
      </c>
      <c r="F1399" s="39">
        <v>45839</v>
      </c>
      <c r="G1399" s="2">
        <f>DAY(EOMONTH(TA[[#This Row],[Month Year]],0))</f>
        <v>31</v>
      </c>
      <c r="H1399" s="21">
        <v>45844</v>
      </c>
      <c r="I1399" s="41">
        <f>IFERROR(VLOOKUP(TA[[#This Row],[Date]],Raw_Data[[Date]:[Sunset Time (POA&lt;20 W/m2)]],3,0),"")</f>
        <v>0.26041666666666669</v>
      </c>
      <c r="J1399" s="41">
        <f>IFERROR(VLOOKUP(TA[[#This Row],[Date]],Raw_Data[[Date]:[Sunset Time (POA&lt;20 W/m2)]],4,0),"")</f>
        <v>0.77777777777777779</v>
      </c>
      <c r="K1399" s="35">
        <f>IFERROR((TA[[#This Row],[Sunset Time (POA&lt;20 W/m2)]]-TA[[#This Row],[Sunrise Time (POA&gt;20 W/m2)]])*24,"")</f>
        <v>12.416666666666668</v>
      </c>
      <c r="L1399" s="2" t="s">
        <v>294</v>
      </c>
      <c r="M1399" s="42">
        <f>IFERROR(VLOOKUP(TA[[#This Row],[Affected Equipment]],'Basic Data'!$I$2:$K$40,3,0),"")</f>
        <v>1.7241379310344799E-3</v>
      </c>
      <c r="N1399">
        <v>-28</v>
      </c>
      <c r="O1399" t="s">
        <v>137</v>
      </c>
      <c r="P1399" s="127" t="s">
        <v>315</v>
      </c>
      <c r="Q1399" s="126" t="s">
        <v>319</v>
      </c>
      <c r="R1399">
        <v>166</v>
      </c>
      <c r="S1399" s="2">
        <v>91</v>
      </c>
      <c r="T1399" t="s">
        <v>295</v>
      </c>
      <c r="U1399" t="s">
        <v>300</v>
      </c>
      <c r="V1399" t="s">
        <v>298</v>
      </c>
      <c r="W1399" s="41"/>
      <c r="X1399" s="41"/>
      <c r="Y1399" s="34"/>
      <c r="Z1399" s="34"/>
      <c r="AA1399" s="35">
        <f>IF(TA[[#This Row],[Work Start time on Fault]]="NA","",(TA[[#This Row],[Fault Acknowledgement Time ]]-TA[[#This Row],[Fault Time]])*24)</f>
        <v>0</v>
      </c>
      <c r="AB1399" s="35">
        <f>(TA[[#This Row],[Work Start time on Fault]]-TA[[#This Row],[Fault Time]])*24</f>
        <v>0</v>
      </c>
      <c r="AC1399" s="34">
        <f>(TA[[#This Row],[Work Completion time on fault]]-TA[[#This Row],[Fault Time]])*24</f>
        <v>0</v>
      </c>
      <c r="AD1399" s="35">
        <f>IFERROR((TA[[#This Row],[Work Completion time on fault]]-TA[[#This Row],[Fault Time]])*24,"")</f>
        <v>0</v>
      </c>
      <c r="AE1399" t="s">
        <v>328</v>
      </c>
      <c r="AF1399" t="s">
        <v>256</v>
      </c>
      <c r="AG1399" s="2"/>
      <c r="AH1399" s="44">
        <f>1-COS(RADIANS(TA[[#This Row],[Avg. Target Angle during Fault Time (Radians)]]-TA[[#This Row],[Angle of affected equipment ]]))</f>
        <v>0.11705240714107301</v>
      </c>
      <c r="AI1399" s="35">
        <f>IFERROR(TA[[#This Row],[Breakdown Time]]*TA[[#This Row],[Plant Equivalent Weightage]],"")</f>
        <v>0</v>
      </c>
    </row>
    <row r="1400" spans="1:35">
      <c r="A1400" s="2">
        <f t="shared" si="165"/>
        <v>1397</v>
      </c>
      <c r="B1400" s="156">
        <f t="shared" si="166"/>
        <v>2026</v>
      </c>
      <c r="C1400" s="129">
        <f t="shared" si="167"/>
        <v>2025</v>
      </c>
      <c r="D1400" s="2" t="s">
        <v>155</v>
      </c>
      <c r="E1400" s="2" t="s">
        <v>155</v>
      </c>
      <c r="F1400" s="39">
        <v>45839</v>
      </c>
      <c r="G1400" s="2">
        <f>DAY(EOMONTH(TA[[#This Row],[Month Year]],0))</f>
        <v>31</v>
      </c>
      <c r="H1400" s="21">
        <v>45844</v>
      </c>
      <c r="I1400" s="41">
        <f>IFERROR(VLOOKUP(TA[[#This Row],[Date]],Raw_Data[[Date]:[Sunset Time (POA&lt;20 W/m2)]],3,0),"")</f>
        <v>0.26041666666666669</v>
      </c>
      <c r="J1400" s="41">
        <f>IFERROR(VLOOKUP(TA[[#This Row],[Date]],Raw_Data[[Date]:[Sunset Time (POA&lt;20 W/m2)]],4,0),"")</f>
        <v>0.77777777777777779</v>
      </c>
      <c r="K1400" s="35">
        <f>IFERROR((TA[[#This Row],[Sunset Time (POA&lt;20 W/m2)]]-TA[[#This Row],[Sunrise Time (POA&gt;20 W/m2)]])*24,"")</f>
        <v>12.416666666666668</v>
      </c>
      <c r="L1400" s="2" t="s">
        <v>294</v>
      </c>
      <c r="M1400" s="42">
        <f>IFERROR(VLOOKUP(TA[[#This Row],[Affected Equipment]],'Basic Data'!$I$2:$K$40,3,0),"")</f>
        <v>1.7241379310344799E-3</v>
      </c>
      <c r="N1400">
        <v>-28</v>
      </c>
      <c r="O1400" t="s">
        <v>133</v>
      </c>
      <c r="P1400" s="127" t="s">
        <v>316</v>
      </c>
      <c r="Q1400" s="126" t="s">
        <v>316</v>
      </c>
      <c r="R1400">
        <v>117</v>
      </c>
      <c r="S1400" s="2">
        <v>20</v>
      </c>
      <c r="T1400" t="s">
        <v>295</v>
      </c>
      <c r="U1400" t="s">
        <v>300</v>
      </c>
      <c r="V1400" t="s">
        <v>298</v>
      </c>
      <c r="W1400" s="41"/>
      <c r="X1400" s="41"/>
      <c r="Y1400" s="34"/>
      <c r="Z1400" s="34"/>
      <c r="AA1400" s="35">
        <f>IF(TA[[#This Row],[Work Start time on Fault]]="NA","",(TA[[#This Row],[Fault Acknowledgement Time ]]-TA[[#This Row],[Fault Time]])*24)</f>
        <v>0</v>
      </c>
      <c r="AB1400" s="35">
        <f>(TA[[#This Row],[Work Start time on Fault]]-TA[[#This Row],[Fault Time]])*24</f>
        <v>0</v>
      </c>
      <c r="AC1400" s="34">
        <f>(TA[[#This Row],[Work Completion time on fault]]-TA[[#This Row],[Fault Time]])*24</f>
        <v>0</v>
      </c>
      <c r="AD1400" s="35">
        <f>IFERROR((TA[[#This Row],[Work Completion time on fault]]-TA[[#This Row],[Fault Time]])*24,"")</f>
        <v>0</v>
      </c>
      <c r="AE1400" t="s">
        <v>328</v>
      </c>
      <c r="AF1400" t="s">
        <v>256</v>
      </c>
      <c r="AG1400" s="2"/>
      <c r="AH1400" s="44">
        <f>1-COS(RADIANS(TA[[#This Row],[Avg. Target Angle during Fault Time (Radians)]]-TA[[#This Row],[Angle of affected equipment ]]))</f>
        <v>0.11705240714107301</v>
      </c>
      <c r="AI1400" s="35">
        <f>IFERROR(TA[[#This Row],[Breakdown Time]]*TA[[#This Row],[Plant Equivalent Weightage]],"")</f>
        <v>0</v>
      </c>
    </row>
    <row r="1401" spans="1:35">
      <c r="A1401" s="2">
        <f t="shared" si="165"/>
        <v>1398</v>
      </c>
      <c r="B1401" s="156">
        <f t="shared" si="166"/>
        <v>2026</v>
      </c>
      <c r="C1401" s="129">
        <f t="shared" si="167"/>
        <v>2025</v>
      </c>
      <c r="D1401" s="2" t="s">
        <v>155</v>
      </c>
      <c r="E1401" s="2" t="s">
        <v>155</v>
      </c>
      <c r="F1401" s="39">
        <v>45839</v>
      </c>
      <c r="G1401" s="2">
        <f>DAY(EOMONTH(TA[[#This Row],[Month Year]],0))</f>
        <v>31</v>
      </c>
      <c r="H1401" s="21">
        <v>45844</v>
      </c>
      <c r="I1401" s="41">
        <f>IFERROR(VLOOKUP(TA[[#This Row],[Date]],Raw_Data[[Date]:[Sunset Time (POA&lt;20 W/m2)]],3,0),"")</f>
        <v>0.26041666666666669</v>
      </c>
      <c r="J1401" s="41">
        <f>IFERROR(VLOOKUP(TA[[#This Row],[Date]],Raw_Data[[Date]:[Sunset Time (POA&lt;20 W/m2)]],4,0),"")</f>
        <v>0.77777777777777779</v>
      </c>
      <c r="K1401" s="35">
        <f>IFERROR((TA[[#This Row],[Sunset Time (POA&lt;20 W/m2)]]-TA[[#This Row],[Sunrise Time (POA&gt;20 W/m2)]])*24,"")</f>
        <v>12.416666666666668</v>
      </c>
      <c r="L1401" s="2" t="s">
        <v>294</v>
      </c>
      <c r="M1401" s="42">
        <f>IFERROR(VLOOKUP(TA[[#This Row],[Affected Equipment]],'Basic Data'!$I$2:$K$40,3,0),"")</f>
        <v>1.7241379310344799E-3</v>
      </c>
      <c r="N1401">
        <v>-28</v>
      </c>
      <c r="O1401" t="s">
        <v>133</v>
      </c>
      <c r="P1401" s="127" t="s">
        <v>316</v>
      </c>
      <c r="Q1401" s="126" t="s">
        <v>316</v>
      </c>
      <c r="R1401">
        <v>118</v>
      </c>
      <c r="S1401" s="2">
        <v>22</v>
      </c>
      <c r="T1401" t="s">
        <v>295</v>
      </c>
      <c r="U1401" t="s">
        <v>300</v>
      </c>
      <c r="V1401" t="s">
        <v>298</v>
      </c>
      <c r="W1401" s="41"/>
      <c r="X1401" s="41"/>
      <c r="Y1401" s="34"/>
      <c r="Z1401" s="34"/>
      <c r="AA1401" s="35">
        <f>IF(TA[[#This Row],[Work Start time on Fault]]="NA","",(TA[[#This Row],[Fault Acknowledgement Time ]]-TA[[#This Row],[Fault Time]])*24)</f>
        <v>0</v>
      </c>
      <c r="AB1401" s="35">
        <f>(TA[[#This Row],[Work Start time on Fault]]-TA[[#This Row],[Fault Time]])*24</f>
        <v>0</v>
      </c>
      <c r="AC1401" s="34">
        <f>(TA[[#This Row],[Work Completion time on fault]]-TA[[#This Row],[Fault Time]])*24</f>
        <v>0</v>
      </c>
      <c r="AD1401" s="35">
        <f>IFERROR((TA[[#This Row],[Work Completion time on fault]]-TA[[#This Row],[Fault Time]])*24,"")</f>
        <v>0</v>
      </c>
      <c r="AE1401" t="s">
        <v>328</v>
      </c>
      <c r="AF1401" t="s">
        <v>256</v>
      </c>
      <c r="AG1401" s="2"/>
      <c r="AH1401" s="44">
        <f>1-COS(RADIANS(TA[[#This Row],[Avg. Target Angle during Fault Time (Radians)]]-TA[[#This Row],[Angle of affected equipment ]]))</f>
        <v>0.11705240714107301</v>
      </c>
      <c r="AI1401" s="35">
        <f>IFERROR(TA[[#This Row],[Breakdown Time]]*TA[[#This Row],[Plant Equivalent Weightage]],"")</f>
        <v>0</v>
      </c>
    </row>
    <row r="1402" spans="1:35">
      <c r="A1402" s="2">
        <f t="shared" si="165"/>
        <v>1399</v>
      </c>
      <c r="B1402" s="156">
        <f t="shared" si="166"/>
        <v>2026</v>
      </c>
      <c r="C1402" s="129">
        <f t="shared" si="167"/>
        <v>2025</v>
      </c>
      <c r="D1402" s="2" t="s">
        <v>155</v>
      </c>
      <c r="E1402" s="2" t="s">
        <v>155</v>
      </c>
      <c r="F1402" s="39">
        <v>45839</v>
      </c>
      <c r="G1402" s="2">
        <f>DAY(EOMONTH(TA[[#This Row],[Month Year]],0))</f>
        <v>31</v>
      </c>
      <c r="H1402" s="21">
        <v>45844</v>
      </c>
      <c r="I1402" s="41">
        <f>IFERROR(VLOOKUP(TA[[#This Row],[Date]],Raw_Data[[Date]:[Sunset Time (POA&lt;20 W/m2)]],3,0),"")</f>
        <v>0.26041666666666669</v>
      </c>
      <c r="J1402" s="41">
        <f>IFERROR(VLOOKUP(TA[[#This Row],[Date]],Raw_Data[[Date]:[Sunset Time (POA&lt;20 W/m2)]],4,0),"")</f>
        <v>0.77777777777777779</v>
      </c>
      <c r="K1402" s="35">
        <f>IFERROR((TA[[#This Row],[Sunset Time (POA&lt;20 W/m2)]]-TA[[#This Row],[Sunrise Time (POA&gt;20 W/m2)]])*24,"")</f>
        <v>12.416666666666668</v>
      </c>
      <c r="L1402" s="2" t="s">
        <v>296</v>
      </c>
      <c r="M1402" s="42">
        <f>IFERROR(VLOOKUP(TA[[#This Row],[Affected Equipment]],'Basic Data'!$I$2:$K$40,3,0),"")</f>
        <v>8.6206896551724102E-3</v>
      </c>
      <c r="N1402">
        <v>-28</v>
      </c>
      <c r="O1402" t="s">
        <v>135</v>
      </c>
      <c r="P1402" s="22" t="s">
        <v>323</v>
      </c>
      <c r="Q1402" s="2" t="s">
        <v>329</v>
      </c>
      <c r="R1402">
        <v>45</v>
      </c>
      <c r="S1402" s="2">
        <v>8</v>
      </c>
      <c r="T1402" t="s">
        <v>297</v>
      </c>
      <c r="U1402" t="s">
        <v>300</v>
      </c>
      <c r="V1402" t="s">
        <v>301</v>
      </c>
      <c r="W1402" s="41"/>
      <c r="X1402" s="41"/>
      <c r="Y1402" s="34"/>
      <c r="Z1402" s="34"/>
      <c r="AA1402" s="35">
        <f>IF(TA[[#This Row],[Work Start time on Fault]]="NA","",(TA[[#This Row],[Fault Acknowledgement Time ]]-TA[[#This Row],[Fault Time]])*24)</f>
        <v>0</v>
      </c>
      <c r="AB1402" s="35">
        <f>(TA[[#This Row],[Work Start time on Fault]]-TA[[#This Row],[Fault Time]])*24</f>
        <v>0</v>
      </c>
      <c r="AC1402" s="34">
        <f>(TA[[#This Row],[Work Completion time on fault]]-TA[[#This Row],[Fault Time]])*24</f>
        <v>0</v>
      </c>
      <c r="AD1402" s="35">
        <f>IFERROR((TA[[#This Row],[Work Completion time on fault]]-TA[[#This Row],[Fault Time]])*24,"")</f>
        <v>0</v>
      </c>
      <c r="AE1402" t="s">
        <v>328</v>
      </c>
      <c r="AF1402" t="s">
        <v>256</v>
      </c>
      <c r="AG1402" s="2"/>
      <c r="AH1402" s="44">
        <f>1-COS(RADIANS(TA[[#This Row],[Avg. Target Angle during Fault Time (Radians)]]-TA[[#This Row],[Angle of affected equipment ]]))</f>
        <v>0.11705240714107301</v>
      </c>
      <c r="AI1402" s="35">
        <f>IFERROR(TA[[#This Row],[Breakdown Time]]*TA[[#This Row],[Plant Equivalent Weightage]],"")</f>
        <v>0</v>
      </c>
    </row>
    <row r="1403" spans="1:35">
      <c r="A1403" s="2">
        <f t="shared" si="165"/>
        <v>1400</v>
      </c>
      <c r="B1403" s="156">
        <f t="shared" si="166"/>
        <v>2026</v>
      </c>
      <c r="C1403" s="129">
        <f t="shared" si="167"/>
        <v>2025</v>
      </c>
      <c r="D1403" s="2" t="s">
        <v>155</v>
      </c>
      <c r="E1403" s="2" t="s">
        <v>155</v>
      </c>
      <c r="F1403" s="39">
        <v>45839</v>
      </c>
      <c r="G1403" s="2">
        <f>DAY(EOMONTH(TA[[#This Row],[Month Year]],0))</f>
        <v>31</v>
      </c>
      <c r="H1403" s="21">
        <v>45844</v>
      </c>
      <c r="I1403" s="41">
        <f>IFERROR(VLOOKUP(TA[[#This Row],[Date]],Raw_Data[[Date]:[Sunset Time (POA&lt;20 W/m2)]],3,0),"")</f>
        <v>0.26041666666666669</v>
      </c>
      <c r="J1403" s="41">
        <f>IFERROR(VLOOKUP(TA[[#This Row],[Date]],Raw_Data[[Date]:[Sunset Time (POA&lt;20 W/m2)]],4,0),"")</f>
        <v>0.77777777777777779</v>
      </c>
      <c r="K1403" s="35">
        <f>IFERROR((TA[[#This Row],[Sunset Time (POA&lt;20 W/m2)]]-TA[[#This Row],[Sunrise Time (POA&gt;20 W/m2)]])*24,"")</f>
        <v>12.416666666666668</v>
      </c>
      <c r="L1403" s="2" t="s">
        <v>296</v>
      </c>
      <c r="M1403" s="42">
        <f>IFERROR(VLOOKUP(TA[[#This Row],[Affected Equipment]],'Basic Data'!$I$2:$K$40,3,0),"")</f>
        <v>8.6206896551724102E-3</v>
      </c>
      <c r="N1403">
        <v>-28</v>
      </c>
      <c r="O1403" t="s">
        <v>135</v>
      </c>
      <c r="P1403" s="22" t="s">
        <v>323</v>
      </c>
      <c r="Q1403" s="2" t="s">
        <v>329</v>
      </c>
      <c r="R1403">
        <v>47</v>
      </c>
      <c r="S1403" s="2">
        <v>18</v>
      </c>
      <c r="T1403" t="s">
        <v>297</v>
      </c>
      <c r="U1403" t="s">
        <v>300</v>
      </c>
      <c r="V1403" t="s">
        <v>301</v>
      </c>
      <c r="W1403" s="41"/>
      <c r="X1403" s="41"/>
      <c r="Y1403" s="34"/>
      <c r="Z1403" s="34"/>
      <c r="AA1403" s="35">
        <f>IF(TA[[#This Row],[Work Start time on Fault]]="NA","",(TA[[#This Row],[Fault Acknowledgement Time ]]-TA[[#This Row],[Fault Time]])*24)</f>
        <v>0</v>
      </c>
      <c r="AB1403" s="35">
        <f>(TA[[#This Row],[Work Start time on Fault]]-TA[[#This Row],[Fault Time]])*24</f>
        <v>0</v>
      </c>
      <c r="AC1403" s="34">
        <f>(TA[[#This Row],[Work Completion time on fault]]-TA[[#This Row],[Fault Time]])*24</f>
        <v>0</v>
      </c>
      <c r="AD1403" s="35">
        <f>IFERROR((TA[[#This Row],[Work Completion time on fault]]-TA[[#This Row],[Fault Time]])*24,"")</f>
        <v>0</v>
      </c>
      <c r="AE1403" t="s">
        <v>328</v>
      </c>
      <c r="AF1403" t="s">
        <v>256</v>
      </c>
      <c r="AG1403" s="2"/>
      <c r="AH1403" s="44">
        <f>1-COS(RADIANS(TA[[#This Row],[Avg. Target Angle during Fault Time (Radians)]]-TA[[#This Row],[Angle of affected equipment ]]))</f>
        <v>0.11705240714107301</v>
      </c>
      <c r="AI1403" s="35">
        <f>IFERROR(TA[[#This Row],[Breakdown Time]]*TA[[#This Row],[Plant Equivalent Weightage]],"")</f>
        <v>0</v>
      </c>
    </row>
    <row r="1404" spans="1:35">
      <c r="A1404" s="2">
        <f t="shared" si="165"/>
        <v>1401</v>
      </c>
      <c r="B1404" s="156">
        <f t="shared" si="166"/>
        <v>2026</v>
      </c>
      <c r="C1404" s="129">
        <f t="shared" si="167"/>
        <v>2025</v>
      </c>
      <c r="D1404" s="2" t="s">
        <v>155</v>
      </c>
      <c r="E1404" s="2" t="s">
        <v>155</v>
      </c>
      <c r="F1404" s="39">
        <v>45839</v>
      </c>
      <c r="G1404" s="2">
        <f>DAY(EOMONTH(TA[[#This Row],[Month Year]],0))</f>
        <v>31</v>
      </c>
      <c r="H1404" s="21">
        <v>45844</v>
      </c>
      <c r="I1404" s="41">
        <f>IFERROR(VLOOKUP(TA[[#This Row],[Date]],Raw_Data[[Date]:[Sunset Time (POA&lt;20 W/m2)]],3,0),"")</f>
        <v>0.26041666666666669</v>
      </c>
      <c r="J1404" s="41">
        <f>IFERROR(VLOOKUP(TA[[#This Row],[Date]],Raw_Data[[Date]:[Sunset Time (POA&lt;20 W/m2)]],4,0),"")</f>
        <v>0.77777777777777779</v>
      </c>
      <c r="K1404" s="35">
        <f>IFERROR((TA[[#This Row],[Sunset Time (POA&lt;20 W/m2)]]-TA[[#This Row],[Sunrise Time (POA&gt;20 W/m2)]])*24,"")</f>
        <v>12.416666666666668</v>
      </c>
      <c r="L1404" s="2" t="s">
        <v>296</v>
      </c>
      <c r="M1404" s="42">
        <f>IFERROR(VLOOKUP(TA[[#This Row],[Affected Equipment]],'Basic Data'!$I$2:$K$40,3,0),"")</f>
        <v>8.6206896551724102E-3</v>
      </c>
      <c r="N1404">
        <v>-28</v>
      </c>
      <c r="O1404" t="s">
        <v>134</v>
      </c>
      <c r="P1404" s="22" t="s">
        <v>330</v>
      </c>
      <c r="Q1404" s="2" t="s">
        <v>323</v>
      </c>
      <c r="R1404">
        <v>30</v>
      </c>
      <c r="S1404" s="2">
        <v>57</v>
      </c>
      <c r="T1404" t="s">
        <v>297</v>
      </c>
      <c r="U1404" t="s">
        <v>300</v>
      </c>
      <c r="V1404" t="s">
        <v>301</v>
      </c>
      <c r="W1404" s="41"/>
      <c r="X1404" s="41"/>
      <c r="Y1404" s="34"/>
      <c r="Z1404" s="34"/>
      <c r="AA1404" s="35">
        <f>IF(TA[[#This Row],[Work Start time on Fault]]="NA","",(TA[[#This Row],[Fault Acknowledgement Time ]]-TA[[#This Row],[Fault Time]])*24)</f>
        <v>0</v>
      </c>
      <c r="AB1404" s="35">
        <f>(TA[[#This Row],[Work Start time on Fault]]-TA[[#This Row],[Fault Time]])*24</f>
        <v>0</v>
      </c>
      <c r="AC1404" s="34">
        <f>(TA[[#This Row],[Work Completion time on fault]]-TA[[#This Row],[Fault Time]])*24</f>
        <v>0</v>
      </c>
      <c r="AD1404" s="35">
        <f>IFERROR((TA[[#This Row],[Work Completion time on fault]]-TA[[#This Row],[Fault Time]])*24,"")</f>
        <v>0</v>
      </c>
      <c r="AE1404" t="s">
        <v>328</v>
      </c>
      <c r="AF1404" t="s">
        <v>256</v>
      </c>
      <c r="AG1404" s="2"/>
      <c r="AH1404" s="44">
        <f>1-COS(RADIANS(TA[[#This Row],[Avg. Target Angle during Fault Time (Radians)]]-TA[[#This Row],[Angle of affected equipment ]]))</f>
        <v>0.11705240714107301</v>
      </c>
      <c r="AI1404" s="35">
        <f>IFERROR(TA[[#This Row],[Breakdown Time]]*TA[[#This Row],[Plant Equivalent Weightage]],"")</f>
        <v>0</v>
      </c>
    </row>
    <row r="1405" spans="1:35">
      <c r="A1405" s="2">
        <f t="shared" si="165"/>
        <v>1402</v>
      </c>
      <c r="B1405" s="156">
        <f t="shared" si="166"/>
        <v>2026</v>
      </c>
      <c r="C1405" s="129">
        <f t="shared" si="167"/>
        <v>2025</v>
      </c>
      <c r="D1405" s="2" t="s">
        <v>155</v>
      </c>
      <c r="E1405" s="2" t="s">
        <v>155</v>
      </c>
      <c r="F1405" s="39">
        <v>45839</v>
      </c>
      <c r="G1405" s="2">
        <f>DAY(EOMONTH(TA[[#This Row],[Month Year]],0))</f>
        <v>31</v>
      </c>
      <c r="H1405" s="21">
        <v>45844</v>
      </c>
      <c r="I1405" s="41">
        <f>IFERROR(VLOOKUP(TA[[#This Row],[Date]],Raw_Data[[Date]:[Sunset Time (POA&lt;20 W/m2)]],3,0),"")</f>
        <v>0.26041666666666669</v>
      </c>
      <c r="J1405" s="41">
        <f>IFERROR(VLOOKUP(TA[[#This Row],[Date]],Raw_Data[[Date]:[Sunset Time (POA&lt;20 W/m2)]],4,0),"")</f>
        <v>0.77777777777777779</v>
      </c>
      <c r="K1405" s="35">
        <f>IFERROR((TA[[#This Row],[Sunset Time (POA&lt;20 W/m2)]]-TA[[#This Row],[Sunrise Time (POA&gt;20 W/m2)]])*24,"")</f>
        <v>12.416666666666668</v>
      </c>
      <c r="L1405" s="2" t="s">
        <v>296</v>
      </c>
      <c r="M1405" s="42">
        <f>IFERROR(VLOOKUP(TA[[#This Row],[Affected Equipment]],'Basic Data'!$I$2:$K$40,3,0),"")</f>
        <v>8.6206896551724102E-3</v>
      </c>
      <c r="N1405">
        <v>-28</v>
      </c>
      <c r="O1405" t="s">
        <v>134</v>
      </c>
      <c r="P1405" s="22" t="s">
        <v>330</v>
      </c>
      <c r="Q1405" s="2" t="s">
        <v>323</v>
      </c>
      <c r="R1405">
        <v>31</v>
      </c>
      <c r="S1405" s="2">
        <v>61</v>
      </c>
      <c r="T1405" t="s">
        <v>297</v>
      </c>
      <c r="U1405" t="s">
        <v>300</v>
      </c>
      <c r="V1405" t="s">
        <v>301</v>
      </c>
      <c r="W1405" s="41"/>
      <c r="X1405" s="41"/>
      <c r="Y1405" s="34"/>
      <c r="Z1405" s="34"/>
      <c r="AA1405" s="35">
        <f>IF(TA[[#This Row],[Work Start time on Fault]]="NA","",(TA[[#This Row],[Fault Acknowledgement Time ]]-TA[[#This Row],[Fault Time]])*24)</f>
        <v>0</v>
      </c>
      <c r="AB1405" s="35">
        <f>(TA[[#This Row],[Work Start time on Fault]]-TA[[#This Row],[Fault Time]])*24</f>
        <v>0</v>
      </c>
      <c r="AC1405" s="34">
        <f>(TA[[#This Row],[Work Completion time on fault]]-TA[[#This Row],[Fault Time]])*24</f>
        <v>0</v>
      </c>
      <c r="AD1405" s="35">
        <f>IFERROR((TA[[#This Row],[Work Completion time on fault]]-TA[[#This Row],[Fault Time]])*24,"")</f>
        <v>0</v>
      </c>
      <c r="AE1405" t="s">
        <v>328</v>
      </c>
      <c r="AF1405" t="s">
        <v>256</v>
      </c>
      <c r="AG1405" s="2"/>
      <c r="AH1405" s="44">
        <f>1-COS(RADIANS(TA[[#This Row],[Avg. Target Angle during Fault Time (Radians)]]-TA[[#This Row],[Angle of affected equipment ]]))</f>
        <v>0.11705240714107301</v>
      </c>
      <c r="AI1405" s="35">
        <f>IFERROR(TA[[#This Row],[Breakdown Time]]*TA[[#This Row],[Plant Equivalent Weightage]],"")</f>
        <v>0</v>
      </c>
    </row>
    <row r="1406" spans="1:35">
      <c r="A1406" s="2">
        <f t="shared" si="165"/>
        <v>1403</v>
      </c>
      <c r="B1406" s="156">
        <f t="shared" si="166"/>
        <v>2026</v>
      </c>
      <c r="C1406" s="129">
        <f t="shared" si="167"/>
        <v>2025</v>
      </c>
      <c r="D1406" s="2" t="s">
        <v>155</v>
      </c>
      <c r="E1406" s="2" t="s">
        <v>155</v>
      </c>
      <c r="F1406" s="39">
        <v>45839</v>
      </c>
      <c r="G1406" s="2">
        <f>DAY(EOMONTH(TA[[#This Row],[Month Year]],0))</f>
        <v>31</v>
      </c>
      <c r="H1406" s="21">
        <v>45844</v>
      </c>
      <c r="I1406" s="41">
        <f>IFERROR(VLOOKUP(TA[[#This Row],[Date]],Raw_Data[[Date]:[Sunset Time (POA&lt;20 W/m2)]],3,0),"")</f>
        <v>0.26041666666666669</v>
      </c>
      <c r="J1406" s="41">
        <f>IFERROR(VLOOKUP(TA[[#This Row],[Date]],Raw_Data[[Date]:[Sunset Time (POA&lt;20 W/m2)]],4,0),"")</f>
        <v>0.77777777777777779</v>
      </c>
      <c r="K1406" s="35">
        <f>IFERROR((TA[[#This Row],[Sunset Time (POA&lt;20 W/m2)]]-TA[[#This Row],[Sunrise Time (POA&gt;20 W/m2)]])*24,"")</f>
        <v>12.416666666666668</v>
      </c>
      <c r="L1406" s="2" t="s">
        <v>312</v>
      </c>
      <c r="M1406" s="42">
        <f>IFERROR(VLOOKUP(TA[[#This Row],[Affected Equipment]],'Basic Data'!$I$2:$K$40,3,0),"")</f>
        <v>5.74712643678161E-3</v>
      </c>
      <c r="N1406">
        <v>-28</v>
      </c>
      <c r="O1406" t="s">
        <v>133</v>
      </c>
      <c r="P1406" s="22" t="s">
        <v>330</v>
      </c>
      <c r="Q1406" s="2" t="s">
        <v>323</v>
      </c>
      <c r="R1406">
        <v>26</v>
      </c>
      <c r="S1406" s="2">
        <v>37</v>
      </c>
      <c r="T1406" t="s">
        <v>297</v>
      </c>
      <c r="U1406" t="s">
        <v>300</v>
      </c>
      <c r="V1406" t="s">
        <v>301</v>
      </c>
      <c r="W1406" s="41"/>
      <c r="X1406" s="41"/>
      <c r="Y1406" s="34"/>
      <c r="Z1406" s="34"/>
      <c r="AA1406" s="35">
        <f>IF(TA[[#This Row],[Work Start time on Fault]]="NA","",(TA[[#This Row],[Fault Acknowledgement Time ]]-TA[[#This Row],[Fault Time]])*24)</f>
        <v>0</v>
      </c>
      <c r="AB1406" s="35">
        <f>(TA[[#This Row],[Work Start time on Fault]]-TA[[#This Row],[Fault Time]])*24</f>
        <v>0</v>
      </c>
      <c r="AC1406" s="34">
        <f>(TA[[#This Row],[Work Completion time on fault]]-TA[[#This Row],[Fault Time]])*24</f>
        <v>0</v>
      </c>
      <c r="AD1406" s="35">
        <f>IFERROR((TA[[#This Row],[Work Completion time on fault]]-TA[[#This Row],[Fault Time]])*24,"")</f>
        <v>0</v>
      </c>
      <c r="AE1406" t="s">
        <v>328</v>
      </c>
      <c r="AF1406" t="s">
        <v>256</v>
      </c>
      <c r="AG1406" s="2"/>
      <c r="AH1406" s="44">
        <f>1-COS(RADIANS(TA[[#This Row],[Avg. Target Angle during Fault Time (Radians)]]-TA[[#This Row],[Angle of affected equipment ]]))</f>
        <v>0.11705240714107301</v>
      </c>
      <c r="AI1406" s="35">
        <f>IFERROR(TA[[#This Row],[Breakdown Time]]*TA[[#This Row],[Plant Equivalent Weightage]],"")</f>
        <v>0</v>
      </c>
    </row>
    <row r="1407" spans="1:35">
      <c r="A1407" s="2">
        <f t="shared" si="165"/>
        <v>1404</v>
      </c>
      <c r="B1407" s="156">
        <f t="shared" si="166"/>
        <v>2026</v>
      </c>
      <c r="C1407" s="129">
        <f t="shared" si="167"/>
        <v>2025</v>
      </c>
      <c r="D1407" s="2" t="s">
        <v>155</v>
      </c>
      <c r="E1407" s="2" t="s">
        <v>155</v>
      </c>
      <c r="F1407" s="39">
        <v>45839</v>
      </c>
      <c r="G1407" s="2">
        <f>DAY(EOMONTH(TA[[#This Row],[Month Year]],0))</f>
        <v>31</v>
      </c>
      <c r="H1407" s="21">
        <v>45844</v>
      </c>
      <c r="I1407" s="41">
        <f>IFERROR(VLOOKUP(TA[[#This Row],[Date]],Raw_Data[[Date]:[Sunset Time (POA&lt;20 W/m2)]],3,0),"")</f>
        <v>0.26041666666666669</v>
      </c>
      <c r="J1407" s="41">
        <f>IFERROR(VLOOKUP(TA[[#This Row],[Date]],Raw_Data[[Date]:[Sunset Time (POA&lt;20 W/m2)]],4,0),"")</f>
        <v>0.77777777777777779</v>
      </c>
      <c r="K1407" s="35">
        <f>IFERROR((TA[[#This Row],[Sunset Time (POA&lt;20 W/m2)]]-TA[[#This Row],[Sunrise Time (POA&gt;20 W/m2)]])*24,"")</f>
        <v>12.416666666666668</v>
      </c>
      <c r="L1407" s="2" t="s">
        <v>312</v>
      </c>
      <c r="M1407" s="42">
        <f>IFERROR(VLOOKUP(TA[[#This Row],[Affected Equipment]],'Basic Data'!$I$2:$K$40,3,0),"")</f>
        <v>5.74712643678161E-3</v>
      </c>
      <c r="N1407">
        <v>-28</v>
      </c>
      <c r="O1407" t="s">
        <v>133</v>
      </c>
      <c r="P1407" s="22" t="s">
        <v>330</v>
      </c>
      <c r="Q1407" s="2" t="s">
        <v>323</v>
      </c>
      <c r="R1407">
        <v>27</v>
      </c>
      <c r="S1407" s="2">
        <v>42</v>
      </c>
      <c r="T1407" t="s">
        <v>297</v>
      </c>
      <c r="U1407" t="s">
        <v>300</v>
      </c>
      <c r="V1407" t="s">
        <v>301</v>
      </c>
      <c r="W1407" s="41">
        <f>IFERROR(VLOOKUP(TA[[#This Row],[Date]],Raw_Data[[Date]:[Sunset Time (POA&lt;20 W/m2)]],3,0),"")</f>
        <v>0.26041666666666669</v>
      </c>
      <c r="X1407" s="41">
        <f>IFERROR(VLOOKUP(TA[[#This Row],[Date]],Raw_Data[[Date]:[Sunset Time (POA&lt;20 W/m2)]],3,0),"")</f>
        <v>0.26041666666666669</v>
      </c>
      <c r="Y1407" s="34"/>
      <c r="Z1407" s="34">
        <v>0.76041666666666663</v>
      </c>
      <c r="AA1407" s="35">
        <f>IF(TA[[#This Row],[Work Start time on Fault]]="NA","",(TA[[#This Row],[Fault Acknowledgement Time ]]-TA[[#This Row],[Fault Time]])*24)</f>
        <v>0</v>
      </c>
      <c r="AB1407" s="35">
        <f>(TA[[#This Row],[Work Start time on Fault]]-TA[[#This Row],[Fault Time]])*24</f>
        <v>-6.25</v>
      </c>
      <c r="AC1407" s="34">
        <f>(TA[[#This Row],[Work Completion time on fault]]-TA[[#This Row],[Fault Time]])*24</f>
        <v>11.999999999999998</v>
      </c>
      <c r="AD1407" s="35">
        <f>IFERROR((TA[[#This Row],[Work Completion time on fault]]-TA[[#This Row],[Fault Time]])*24,"")</f>
        <v>11.999999999999998</v>
      </c>
      <c r="AE1407" t="s">
        <v>309</v>
      </c>
      <c r="AF1407" t="s">
        <v>256</v>
      </c>
      <c r="AG1407" s="2"/>
      <c r="AH1407" s="44">
        <f>1-COS(RADIANS(TA[[#This Row],[Avg. Target Angle during Fault Time (Radians)]]-TA[[#This Row],[Angle of affected equipment ]]))</f>
        <v>0.11705240714107301</v>
      </c>
      <c r="AI1407" s="35">
        <f>IFERROR(TA[[#This Row],[Breakdown Time]]*TA[[#This Row],[Plant Equivalent Weightage]],"")</f>
        <v>6.8965517241379309E-2</v>
      </c>
    </row>
    <row r="1408" spans="1:35">
      <c r="A1408" s="2">
        <f t="shared" si="165"/>
        <v>1405</v>
      </c>
      <c r="B1408" s="156">
        <f t="shared" ref="B1408:B1420" si="168">YEAR(H1408)+IF(MONTH(H1408)&gt;=4,1,0)</f>
        <v>2026</v>
      </c>
      <c r="C1408" s="129">
        <f t="shared" ref="C1408:C1420" si="169">YEAR(H1408)</f>
        <v>2025</v>
      </c>
      <c r="D1408" s="2" t="s">
        <v>155</v>
      </c>
      <c r="E1408" s="2" t="s">
        <v>155</v>
      </c>
      <c r="F1408" s="39">
        <v>45839</v>
      </c>
      <c r="G1408" s="2">
        <f>DAY(EOMONTH(TA[[#This Row],[Month Year]],0))</f>
        <v>31</v>
      </c>
      <c r="H1408" s="21">
        <v>45845</v>
      </c>
      <c r="I1408" s="41">
        <f>IFERROR(VLOOKUP(TA[[#This Row],[Date]],Raw_Data[[Date]:[Sunset Time (POA&lt;20 W/m2)]],3,0),"")</f>
        <v>0.25972222222222224</v>
      </c>
      <c r="J1408" s="41">
        <f>IFERROR(VLOOKUP(TA[[#This Row],[Date]],Raw_Data[[Date]:[Sunset Time (POA&lt;20 W/m2)]],4,0),"")</f>
        <v>0.78125</v>
      </c>
      <c r="K1408" s="35">
        <f>IFERROR((TA[[#This Row],[Sunset Time (POA&lt;20 W/m2)]]-TA[[#This Row],[Sunrise Time (POA&gt;20 W/m2)]])*24,"")</f>
        <v>12.516666666666667</v>
      </c>
      <c r="L1408" s="2" t="s">
        <v>294</v>
      </c>
      <c r="M1408" s="42">
        <f>IFERROR(VLOOKUP(TA[[#This Row],[Affected Equipment]],'Basic Data'!$I$2:$K$40,3,0),"")</f>
        <v>1.7241379310344799E-3</v>
      </c>
      <c r="N1408">
        <v>-28</v>
      </c>
      <c r="O1408" t="s">
        <v>135</v>
      </c>
      <c r="P1408" s="127" t="s">
        <v>318</v>
      </c>
      <c r="Q1408" s="126" t="s">
        <v>318</v>
      </c>
      <c r="R1408">
        <v>131</v>
      </c>
      <c r="S1408" s="2">
        <v>38</v>
      </c>
      <c r="T1408" t="s">
        <v>295</v>
      </c>
      <c r="U1408" t="s">
        <v>300</v>
      </c>
      <c r="V1408" t="s">
        <v>298</v>
      </c>
      <c r="W1408" s="41"/>
      <c r="X1408" s="41"/>
      <c r="Y1408" s="34"/>
      <c r="Z1408" s="34"/>
      <c r="AA1408" s="35">
        <f>IF(TA[[#This Row],[Work Start time on Fault]]="NA","",(TA[[#This Row],[Fault Acknowledgement Time ]]-TA[[#This Row],[Fault Time]])*24)</f>
        <v>0</v>
      </c>
      <c r="AB1408" s="35">
        <f>(TA[[#This Row],[Work Start time on Fault]]-TA[[#This Row],[Fault Time]])*24</f>
        <v>0</v>
      </c>
      <c r="AC1408" s="34">
        <f>(TA[[#This Row],[Work Completion time on fault]]-TA[[#This Row],[Fault Time]])*24</f>
        <v>0</v>
      </c>
      <c r="AD1408" s="35">
        <f>IFERROR((TA[[#This Row],[Work Completion time on fault]]-TA[[#This Row],[Fault Time]])*24,"")</f>
        <v>0</v>
      </c>
      <c r="AE1408" t="s">
        <v>328</v>
      </c>
      <c r="AF1408" t="s">
        <v>256</v>
      </c>
      <c r="AG1408" s="2"/>
      <c r="AH1408" s="44">
        <f>1-COS(RADIANS(TA[[#This Row],[Avg. Target Angle during Fault Time (Radians)]]-TA[[#This Row],[Angle of affected equipment ]]))</f>
        <v>0.11705240714107301</v>
      </c>
      <c r="AI1408" s="35">
        <f>IFERROR(TA[[#This Row],[Breakdown Time]]*TA[[#This Row],[Plant Equivalent Weightage]],"")</f>
        <v>0</v>
      </c>
    </row>
    <row r="1409" spans="1:35">
      <c r="A1409" s="2">
        <f t="shared" si="165"/>
        <v>1406</v>
      </c>
      <c r="B1409" s="156">
        <f t="shared" si="168"/>
        <v>2026</v>
      </c>
      <c r="C1409" s="129">
        <f t="shared" si="169"/>
        <v>2025</v>
      </c>
      <c r="D1409" s="2" t="s">
        <v>155</v>
      </c>
      <c r="E1409" s="2" t="s">
        <v>155</v>
      </c>
      <c r="F1409" s="39">
        <v>45839</v>
      </c>
      <c r="G1409" s="2">
        <f>DAY(EOMONTH(TA[[#This Row],[Month Year]],0))</f>
        <v>31</v>
      </c>
      <c r="H1409" s="21">
        <v>45845</v>
      </c>
      <c r="I1409" s="41">
        <f>IFERROR(VLOOKUP(TA[[#This Row],[Date]],Raw_Data[[Date]:[Sunset Time (POA&lt;20 W/m2)]],3,0),"")</f>
        <v>0.25972222222222224</v>
      </c>
      <c r="J1409" s="41">
        <f>IFERROR(VLOOKUP(TA[[#This Row],[Date]],Raw_Data[[Date]:[Sunset Time (POA&lt;20 W/m2)]],4,0),"")</f>
        <v>0.78125</v>
      </c>
      <c r="K1409" s="35">
        <f>IFERROR((TA[[#This Row],[Sunset Time (POA&lt;20 W/m2)]]-TA[[#This Row],[Sunrise Time (POA&gt;20 W/m2)]])*24,"")</f>
        <v>12.516666666666667</v>
      </c>
      <c r="L1409" s="2" t="s">
        <v>294</v>
      </c>
      <c r="M1409" s="42">
        <f>IFERROR(VLOOKUP(TA[[#This Row],[Affected Equipment]],'Basic Data'!$I$2:$K$40,3,0),"")</f>
        <v>1.7241379310344799E-3</v>
      </c>
      <c r="N1409">
        <v>-28</v>
      </c>
      <c r="O1409" t="s">
        <v>135</v>
      </c>
      <c r="P1409" s="127" t="s">
        <v>318</v>
      </c>
      <c r="Q1409" s="126" t="s">
        <v>318</v>
      </c>
      <c r="R1409">
        <v>131</v>
      </c>
      <c r="S1409" s="2">
        <v>39</v>
      </c>
      <c r="T1409" t="s">
        <v>295</v>
      </c>
      <c r="U1409" t="s">
        <v>300</v>
      </c>
      <c r="V1409" t="s">
        <v>298</v>
      </c>
      <c r="W1409" s="41"/>
      <c r="X1409" s="41"/>
      <c r="Y1409" s="34"/>
      <c r="Z1409" s="34"/>
      <c r="AA1409" s="35">
        <f>IF(TA[[#This Row],[Work Start time on Fault]]="NA","",(TA[[#This Row],[Fault Acknowledgement Time ]]-TA[[#This Row],[Fault Time]])*24)</f>
        <v>0</v>
      </c>
      <c r="AB1409" s="35">
        <f>(TA[[#This Row],[Work Start time on Fault]]-TA[[#This Row],[Fault Time]])*24</f>
        <v>0</v>
      </c>
      <c r="AC1409" s="34">
        <f>(TA[[#This Row],[Work Completion time on fault]]-TA[[#This Row],[Fault Time]])*24</f>
        <v>0</v>
      </c>
      <c r="AD1409" s="35">
        <f>IFERROR((TA[[#This Row],[Work Completion time on fault]]-TA[[#This Row],[Fault Time]])*24,"")</f>
        <v>0</v>
      </c>
      <c r="AE1409" t="s">
        <v>328</v>
      </c>
      <c r="AF1409" t="s">
        <v>256</v>
      </c>
      <c r="AG1409" s="2"/>
      <c r="AH1409" s="44">
        <f>1-COS(RADIANS(TA[[#This Row],[Avg. Target Angle during Fault Time (Radians)]]-TA[[#This Row],[Angle of affected equipment ]]))</f>
        <v>0.11705240714107301</v>
      </c>
      <c r="AI1409" s="35">
        <f>IFERROR(TA[[#This Row],[Breakdown Time]]*TA[[#This Row],[Plant Equivalent Weightage]],"")</f>
        <v>0</v>
      </c>
    </row>
    <row r="1410" spans="1:35">
      <c r="A1410" s="2">
        <f t="shared" si="165"/>
        <v>1407</v>
      </c>
      <c r="B1410" s="156">
        <f t="shared" si="168"/>
        <v>2026</v>
      </c>
      <c r="C1410" s="129">
        <f t="shared" si="169"/>
        <v>2025</v>
      </c>
      <c r="D1410" s="2" t="s">
        <v>155</v>
      </c>
      <c r="E1410" s="2" t="s">
        <v>155</v>
      </c>
      <c r="F1410" s="39">
        <v>45839</v>
      </c>
      <c r="G1410" s="2">
        <f>DAY(EOMONTH(TA[[#This Row],[Month Year]],0))</f>
        <v>31</v>
      </c>
      <c r="H1410" s="21">
        <v>45845</v>
      </c>
      <c r="I1410" s="41">
        <f>IFERROR(VLOOKUP(TA[[#This Row],[Date]],Raw_Data[[Date]:[Sunset Time (POA&lt;20 W/m2)]],3,0),"")</f>
        <v>0.25972222222222224</v>
      </c>
      <c r="J1410" s="41">
        <f>IFERROR(VLOOKUP(TA[[#This Row],[Date]],Raw_Data[[Date]:[Sunset Time (POA&lt;20 W/m2)]],4,0),"")</f>
        <v>0.78125</v>
      </c>
      <c r="K1410" s="35">
        <f>IFERROR((TA[[#This Row],[Sunset Time (POA&lt;20 W/m2)]]-TA[[#This Row],[Sunrise Time (POA&gt;20 W/m2)]])*24,"")</f>
        <v>12.516666666666667</v>
      </c>
      <c r="L1410" s="2" t="s">
        <v>296</v>
      </c>
      <c r="M1410" s="42">
        <f>IFERROR(VLOOKUP(TA[[#This Row],[Affected Equipment]],'Basic Data'!$I$2:$K$40,3,0),"")</f>
        <v>8.6206896551724102E-3</v>
      </c>
      <c r="N1410">
        <v>-28</v>
      </c>
      <c r="O1410" t="s">
        <v>135</v>
      </c>
      <c r="P1410" s="127" t="s">
        <v>318</v>
      </c>
      <c r="Q1410" s="2" t="s">
        <v>321</v>
      </c>
      <c r="R1410">
        <v>133</v>
      </c>
      <c r="S1410" s="2">
        <v>26</v>
      </c>
      <c r="T1410" t="s">
        <v>297</v>
      </c>
      <c r="U1410" t="s">
        <v>300</v>
      </c>
      <c r="V1410" t="s">
        <v>314</v>
      </c>
      <c r="W1410" s="41">
        <f>IFERROR(VLOOKUP(TA[[#This Row],[Date]],Raw_Data[[Date]:[Sunset Time (POA&lt;20 W/m2)]],3,0),"")</f>
        <v>0.25972222222222224</v>
      </c>
      <c r="X1410" s="41">
        <f>IFERROR(VLOOKUP(TA[[#This Row],[Date]],Raw_Data[[Date]:[Sunset Time (POA&lt;20 W/m2)]],3,0),"")</f>
        <v>0.25972222222222224</v>
      </c>
      <c r="Y1410" s="34"/>
      <c r="Z1410" s="34">
        <v>0.76041666666666663</v>
      </c>
      <c r="AA1410" s="35">
        <f>IF(TA[[#This Row],[Work Start time on Fault]]="NA","",(TA[[#This Row],[Fault Acknowledgement Time ]]-TA[[#This Row],[Fault Time]])*24)</f>
        <v>0</v>
      </c>
      <c r="AB1410" s="35">
        <f>(TA[[#This Row],[Work Start time on Fault]]-TA[[#This Row],[Fault Time]])*24</f>
        <v>-6.2333333333333343</v>
      </c>
      <c r="AC1410" s="34">
        <f>(TA[[#This Row],[Work Completion time on fault]]-TA[[#This Row],[Fault Time]])*24</f>
        <v>12.016666666666664</v>
      </c>
      <c r="AD1410" s="35">
        <f>IFERROR((TA[[#This Row],[Work Completion time on fault]]-TA[[#This Row],[Fault Time]])*24,"")</f>
        <v>12.016666666666664</v>
      </c>
      <c r="AE1410" t="s">
        <v>328</v>
      </c>
      <c r="AF1410" t="s">
        <v>256</v>
      </c>
      <c r="AG1410" s="2"/>
      <c r="AH1410" s="44">
        <f>1-COS(RADIANS(TA[[#This Row],[Avg. Target Angle during Fault Time (Radians)]]-TA[[#This Row],[Angle of affected equipment ]]))</f>
        <v>0.11705240714107301</v>
      </c>
      <c r="AI1410" s="35">
        <f>IFERROR(TA[[#This Row],[Breakdown Time]]*TA[[#This Row],[Plant Equivalent Weightage]],"")</f>
        <v>0.10359195402298844</v>
      </c>
    </row>
    <row r="1411" spans="1:35">
      <c r="A1411" s="2">
        <f t="shared" si="165"/>
        <v>1408</v>
      </c>
      <c r="B1411" s="156">
        <f t="shared" si="168"/>
        <v>2026</v>
      </c>
      <c r="C1411" s="129">
        <f t="shared" si="169"/>
        <v>2025</v>
      </c>
      <c r="D1411" s="2" t="s">
        <v>155</v>
      </c>
      <c r="E1411" s="2" t="s">
        <v>155</v>
      </c>
      <c r="F1411" s="39">
        <v>45839</v>
      </c>
      <c r="G1411" s="2">
        <f>DAY(EOMONTH(TA[[#This Row],[Month Year]],0))</f>
        <v>31</v>
      </c>
      <c r="H1411" s="21">
        <v>45845</v>
      </c>
      <c r="I1411" s="41">
        <f>IFERROR(VLOOKUP(TA[[#This Row],[Date]],Raw_Data[[Date]:[Sunset Time (POA&lt;20 W/m2)]],3,0),"")</f>
        <v>0.25972222222222224</v>
      </c>
      <c r="J1411" s="41">
        <f>IFERROR(VLOOKUP(TA[[#This Row],[Date]],Raw_Data[[Date]:[Sunset Time (POA&lt;20 W/m2)]],4,0),"")</f>
        <v>0.78125</v>
      </c>
      <c r="K1411" s="35">
        <f>IFERROR((TA[[#This Row],[Sunset Time (POA&lt;20 W/m2)]]-TA[[#This Row],[Sunrise Time (POA&gt;20 W/m2)]])*24,"")</f>
        <v>12.516666666666667</v>
      </c>
      <c r="L1411" s="2" t="s">
        <v>294</v>
      </c>
      <c r="M1411" s="42">
        <f>IFERROR(VLOOKUP(TA[[#This Row],[Affected Equipment]],'Basic Data'!$I$2:$K$40,3,0),"")</f>
        <v>1.7241379310344799E-3</v>
      </c>
      <c r="N1411">
        <v>-28</v>
      </c>
      <c r="O1411" t="s">
        <v>133</v>
      </c>
      <c r="P1411" s="127" t="s">
        <v>316</v>
      </c>
      <c r="Q1411" s="126" t="s">
        <v>317</v>
      </c>
      <c r="R1411">
        <v>7</v>
      </c>
      <c r="S1411" s="2">
        <v>32</v>
      </c>
      <c r="T1411" t="s">
        <v>295</v>
      </c>
      <c r="U1411" t="s">
        <v>300</v>
      </c>
      <c r="V1411" t="s">
        <v>298</v>
      </c>
      <c r="W1411" s="41"/>
      <c r="X1411" s="41"/>
      <c r="Y1411" s="34"/>
      <c r="Z1411" s="34"/>
      <c r="AA1411" s="35">
        <f>IF(TA[[#This Row],[Work Start time on Fault]]="NA","",(TA[[#This Row],[Fault Acknowledgement Time ]]-TA[[#This Row],[Fault Time]])*24)</f>
        <v>0</v>
      </c>
      <c r="AB1411" s="35">
        <f>(TA[[#This Row],[Work Start time on Fault]]-TA[[#This Row],[Fault Time]])*24</f>
        <v>0</v>
      </c>
      <c r="AC1411" s="34">
        <f>(TA[[#This Row],[Work Completion time on fault]]-TA[[#This Row],[Fault Time]])*24</f>
        <v>0</v>
      </c>
      <c r="AD1411" s="35">
        <f>IFERROR((TA[[#This Row],[Work Completion time on fault]]-TA[[#This Row],[Fault Time]])*24,"")</f>
        <v>0</v>
      </c>
      <c r="AE1411" t="s">
        <v>328</v>
      </c>
      <c r="AF1411" t="s">
        <v>256</v>
      </c>
      <c r="AG1411" s="2"/>
      <c r="AH1411" s="44">
        <f>1-COS(RADIANS(TA[[#This Row],[Avg. Target Angle during Fault Time (Radians)]]-TA[[#This Row],[Angle of affected equipment ]]))</f>
        <v>0.11705240714107301</v>
      </c>
      <c r="AI1411" s="35">
        <f>IFERROR(TA[[#This Row],[Breakdown Time]]*TA[[#This Row],[Plant Equivalent Weightage]],"")</f>
        <v>0</v>
      </c>
    </row>
    <row r="1412" spans="1:35">
      <c r="A1412" s="2">
        <f t="shared" si="165"/>
        <v>1409</v>
      </c>
      <c r="B1412" s="156">
        <f t="shared" si="168"/>
        <v>2026</v>
      </c>
      <c r="C1412" s="129">
        <f t="shared" si="169"/>
        <v>2025</v>
      </c>
      <c r="D1412" s="2" t="s">
        <v>155</v>
      </c>
      <c r="E1412" s="2" t="s">
        <v>155</v>
      </c>
      <c r="F1412" s="39">
        <v>45839</v>
      </c>
      <c r="G1412" s="2">
        <f>DAY(EOMONTH(TA[[#This Row],[Month Year]],0))</f>
        <v>31</v>
      </c>
      <c r="H1412" s="21">
        <v>45845</v>
      </c>
      <c r="I1412" s="41">
        <f>IFERROR(VLOOKUP(TA[[#This Row],[Date]],Raw_Data[[Date]:[Sunset Time (POA&lt;20 W/m2)]],3,0),"")</f>
        <v>0.25972222222222224</v>
      </c>
      <c r="J1412" s="41">
        <f>IFERROR(VLOOKUP(TA[[#This Row],[Date]],Raw_Data[[Date]:[Sunset Time (POA&lt;20 W/m2)]],4,0),"")</f>
        <v>0.78125</v>
      </c>
      <c r="K1412" s="35">
        <f>IFERROR((TA[[#This Row],[Sunset Time (POA&lt;20 W/m2)]]-TA[[#This Row],[Sunrise Time (POA&gt;20 W/m2)]])*24,"")</f>
        <v>12.516666666666667</v>
      </c>
      <c r="L1412" s="2" t="s">
        <v>294</v>
      </c>
      <c r="M1412" s="42">
        <f>IFERROR(VLOOKUP(TA[[#This Row],[Affected Equipment]],'Basic Data'!$I$2:$K$40,3,0),"")</f>
        <v>1.7241379310344799E-3</v>
      </c>
      <c r="N1412">
        <v>-28</v>
      </c>
      <c r="O1412" t="s">
        <v>137</v>
      </c>
      <c r="P1412" s="127" t="s">
        <v>315</v>
      </c>
      <c r="Q1412" s="126" t="s">
        <v>319</v>
      </c>
      <c r="R1412">
        <v>166</v>
      </c>
      <c r="S1412" s="2">
        <v>91</v>
      </c>
      <c r="T1412" t="s">
        <v>295</v>
      </c>
      <c r="U1412" t="s">
        <v>300</v>
      </c>
      <c r="V1412" t="s">
        <v>298</v>
      </c>
      <c r="W1412" s="41"/>
      <c r="X1412" s="41"/>
      <c r="Y1412" s="34"/>
      <c r="Z1412" s="34"/>
      <c r="AA1412" s="35">
        <f>IF(TA[[#This Row],[Work Start time on Fault]]="NA","",(TA[[#This Row],[Fault Acknowledgement Time ]]-TA[[#This Row],[Fault Time]])*24)</f>
        <v>0</v>
      </c>
      <c r="AB1412" s="35">
        <f>(TA[[#This Row],[Work Start time on Fault]]-TA[[#This Row],[Fault Time]])*24</f>
        <v>0</v>
      </c>
      <c r="AC1412" s="34">
        <f>(TA[[#This Row],[Work Completion time on fault]]-TA[[#This Row],[Fault Time]])*24</f>
        <v>0</v>
      </c>
      <c r="AD1412" s="35">
        <f>IFERROR((TA[[#This Row],[Work Completion time on fault]]-TA[[#This Row],[Fault Time]])*24,"")</f>
        <v>0</v>
      </c>
      <c r="AE1412" t="s">
        <v>328</v>
      </c>
      <c r="AF1412" t="s">
        <v>256</v>
      </c>
      <c r="AG1412" s="2"/>
      <c r="AH1412" s="44">
        <f>1-COS(RADIANS(TA[[#This Row],[Avg. Target Angle during Fault Time (Radians)]]-TA[[#This Row],[Angle of affected equipment ]]))</f>
        <v>0.11705240714107301</v>
      </c>
      <c r="AI1412" s="35">
        <f>IFERROR(TA[[#This Row],[Breakdown Time]]*TA[[#This Row],[Plant Equivalent Weightage]],"")</f>
        <v>0</v>
      </c>
    </row>
    <row r="1413" spans="1:35">
      <c r="A1413" s="2">
        <f t="shared" si="165"/>
        <v>1410</v>
      </c>
      <c r="B1413" s="156">
        <f t="shared" si="168"/>
        <v>2026</v>
      </c>
      <c r="C1413" s="129">
        <f t="shared" si="169"/>
        <v>2025</v>
      </c>
      <c r="D1413" s="2" t="s">
        <v>155</v>
      </c>
      <c r="E1413" s="2" t="s">
        <v>155</v>
      </c>
      <c r="F1413" s="39">
        <v>45839</v>
      </c>
      <c r="G1413" s="2">
        <f>DAY(EOMONTH(TA[[#This Row],[Month Year]],0))</f>
        <v>31</v>
      </c>
      <c r="H1413" s="21">
        <v>45845</v>
      </c>
      <c r="I1413" s="41">
        <f>IFERROR(VLOOKUP(TA[[#This Row],[Date]],Raw_Data[[Date]:[Sunset Time (POA&lt;20 W/m2)]],3,0),"")</f>
        <v>0.25972222222222224</v>
      </c>
      <c r="J1413" s="41">
        <f>IFERROR(VLOOKUP(TA[[#This Row],[Date]],Raw_Data[[Date]:[Sunset Time (POA&lt;20 W/m2)]],4,0),"")</f>
        <v>0.78125</v>
      </c>
      <c r="K1413" s="35">
        <f>IFERROR((TA[[#This Row],[Sunset Time (POA&lt;20 W/m2)]]-TA[[#This Row],[Sunrise Time (POA&gt;20 W/m2)]])*24,"")</f>
        <v>12.516666666666667</v>
      </c>
      <c r="L1413" s="2" t="s">
        <v>294</v>
      </c>
      <c r="M1413" s="42">
        <f>IFERROR(VLOOKUP(TA[[#This Row],[Affected Equipment]],'Basic Data'!$I$2:$K$40,3,0),"")</f>
        <v>1.7241379310344799E-3</v>
      </c>
      <c r="N1413">
        <v>-28</v>
      </c>
      <c r="O1413" t="s">
        <v>133</v>
      </c>
      <c r="P1413" s="127" t="s">
        <v>316</v>
      </c>
      <c r="Q1413" s="126" t="s">
        <v>316</v>
      </c>
      <c r="R1413">
        <v>117</v>
      </c>
      <c r="S1413" s="2">
        <v>20</v>
      </c>
      <c r="T1413" t="s">
        <v>295</v>
      </c>
      <c r="U1413" t="s">
        <v>300</v>
      </c>
      <c r="V1413" t="s">
        <v>298</v>
      </c>
      <c r="W1413" s="41"/>
      <c r="X1413" s="41"/>
      <c r="Y1413" s="34"/>
      <c r="Z1413" s="34"/>
      <c r="AA1413" s="35">
        <f>IF(TA[[#This Row],[Work Start time on Fault]]="NA","",(TA[[#This Row],[Fault Acknowledgement Time ]]-TA[[#This Row],[Fault Time]])*24)</f>
        <v>0</v>
      </c>
      <c r="AB1413" s="35">
        <f>(TA[[#This Row],[Work Start time on Fault]]-TA[[#This Row],[Fault Time]])*24</f>
        <v>0</v>
      </c>
      <c r="AC1413" s="34">
        <f>(TA[[#This Row],[Work Completion time on fault]]-TA[[#This Row],[Fault Time]])*24</f>
        <v>0</v>
      </c>
      <c r="AD1413" s="35">
        <f>IFERROR((TA[[#This Row],[Work Completion time on fault]]-TA[[#This Row],[Fault Time]])*24,"")</f>
        <v>0</v>
      </c>
      <c r="AE1413" t="s">
        <v>328</v>
      </c>
      <c r="AF1413" t="s">
        <v>256</v>
      </c>
      <c r="AG1413" s="2"/>
      <c r="AH1413" s="44">
        <f>1-COS(RADIANS(TA[[#This Row],[Avg. Target Angle during Fault Time (Radians)]]-TA[[#This Row],[Angle of affected equipment ]]))</f>
        <v>0.11705240714107301</v>
      </c>
      <c r="AI1413" s="35">
        <f>IFERROR(TA[[#This Row],[Breakdown Time]]*TA[[#This Row],[Plant Equivalent Weightage]],"")</f>
        <v>0</v>
      </c>
    </row>
    <row r="1414" spans="1:35">
      <c r="A1414" s="2">
        <f t="shared" si="165"/>
        <v>1411</v>
      </c>
      <c r="B1414" s="156">
        <f t="shared" si="168"/>
        <v>2026</v>
      </c>
      <c r="C1414" s="129">
        <f t="shared" si="169"/>
        <v>2025</v>
      </c>
      <c r="D1414" s="2" t="s">
        <v>155</v>
      </c>
      <c r="E1414" s="2" t="s">
        <v>155</v>
      </c>
      <c r="F1414" s="39">
        <v>45839</v>
      </c>
      <c r="G1414" s="2">
        <f>DAY(EOMONTH(TA[[#This Row],[Month Year]],0))</f>
        <v>31</v>
      </c>
      <c r="H1414" s="21">
        <v>45845</v>
      </c>
      <c r="I1414" s="41">
        <f>IFERROR(VLOOKUP(TA[[#This Row],[Date]],Raw_Data[[Date]:[Sunset Time (POA&lt;20 W/m2)]],3,0),"")</f>
        <v>0.25972222222222224</v>
      </c>
      <c r="J1414" s="41">
        <f>IFERROR(VLOOKUP(TA[[#This Row],[Date]],Raw_Data[[Date]:[Sunset Time (POA&lt;20 W/m2)]],4,0),"")</f>
        <v>0.78125</v>
      </c>
      <c r="K1414" s="35">
        <f>IFERROR((TA[[#This Row],[Sunset Time (POA&lt;20 W/m2)]]-TA[[#This Row],[Sunrise Time (POA&gt;20 W/m2)]])*24,"")</f>
        <v>12.516666666666667</v>
      </c>
      <c r="L1414" s="2" t="s">
        <v>294</v>
      </c>
      <c r="M1414" s="42">
        <f>IFERROR(VLOOKUP(TA[[#This Row],[Affected Equipment]],'Basic Data'!$I$2:$K$40,3,0),"")</f>
        <v>1.7241379310344799E-3</v>
      </c>
      <c r="N1414">
        <v>-28</v>
      </c>
      <c r="O1414" t="s">
        <v>133</v>
      </c>
      <c r="P1414" s="127" t="s">
        <v>316</v>
      </c>
      <c r="Q1414" s="126" t="s">
        <v>316</v>
      </c>
      <c r="R1414">
        <v>118</v>
      </c>
      <c r="S1414" s="2">
        <v>22</v>
      </c>
      <c r="T1414" t="s">
        <v>295</v>
      </c>
      <c r="U1414" t="s">
        <v>300</v>
      </c>
      <c r="V1414" t="s">
        <v>298</v>
      </c>
      <c r="W1414" s="41"/>
      <c r="X1414" s="41"/>
      <c r="Y1414" s="34"/>
      <c r="Z1414" s="34"/>
      <c r="AA1414" s="35">
        <f>IF(TA[[#This Row],[Work Start time on Fault]]="NA","",(TA[[#This Row],[Fault Acknowledgement Time ]]-TA[[#This Row],[Fault Time]])*24)</f>
        <v>0</v>
      </c>
      <c r="AB1414" s="35">
        <f>(TA[[#This Row],[Work Start time on Fault]]-TA[[#This Row],[Fault Time]])*24</f>
        <v>0</v>
      </c>
      <c r="AC1414" s="34">
        <f>(TA[[#This Row],[Work Completion time on fault]]-TA[[#This Row],[Fault Time]])*24</f>
        <v>0</v>
      </c>
      <c r="AD1414" s="35">
        <f>IFERROR((TA[[#This Row],[Work Completion time on fault]]-TA[[#This Row],[Fault Time]])*24,"")</f>
        <v>0</v>
      </c>
      <c r="AE1414" t="s">
        <v>328</v>
      </c>
      <c r="AF1414" t="s">
        <v>256</v>
      </c>
      <c r="AG1414" s="2"/>
      <c r="AH1414" s="44">
        <f>1-COS(RADIANS(TA[[#This Row],[Avg. Target Angle during Fault Time (Radians)]]-TA[[#This Row],[Angle of affected equipment ]]))</f>
        <v>0.11705240714107301</v>
      </c>
      <c r="AI1414" s="35">
        <f>IFERROR(TA[[#This Row],[Breakdown Time]]*TA[[#This Row],[Plant Equivalent Weightage]],"")</f>
        <v>0</v>
      </c>
    </row>
    <row r="1415" spans="1:35">
      <c r="A1415" s="2">
        <f t="shared" si="165"/>
        <v>1412</v>
      </c>
      <c r="B1415" s="156">
        <f t="shared" si="168"/>
        <v>2026</v>
      </c>
      <c r="C1415" s="129">
        <f t="shared" si="169"/>
        <v>2025</v>
      </c>
      <c r="D1415" s="2" t="s">
        <v>155</v>
      </c>
      <c r="E1415" s="2" t="s">
        <v>155</v>
      </c>
      <c r="F1415" s="39">
        <v>45839</v>
      </c>
      <c r="G1415" s="2">
        <f>DAY(EOMONTH(TA[[#This Row],[Month Year]],0))</f>
        <v>31</v>
      </c>
      <c r="H1415" s="21">
        <v>45845</v>
      </c>
      <c r="I1415" s="41">
        <f>IFERROR(VLOOKUP(TA[[#This Row],[Date]],Raw_Data[[Date]:[Sunset Time (POA&lt;20 W/m2)]],3,0),"")</f>
        <v>0.25972222222222224</v>
      </c>
      <c r="J1415" s="41">
        <f>IFERROR(VLOOKUP(TA[[#This Row],[Date]],Raw_Data[[Date]:[Sunset Time (POA&lt;20 W/m2)]],4,0),"")</f>
        <v>0.78125</v>
      </c>
      <c r="K1415" s="35">
        <f>IFERROR((TA[[#This Row],[Sunset Time (POA&lt;20 W/m2)]]-TA[[#This Row],[Sunrise Time (POA&gt;20 W/m2)]])*24,"")</f>
        <v>12.516666666666667</v>
      </c>
      <c r="L1415" s="2" t="s">
        <v>296</v>
      </c>
      <c r="M1415" s="42">
        <f>IFERROR(VLOOKUP(TA[[#This Row],[Affected Equipment]],'Basic Data'!$I$2:$K$40,3,0),"")</f>
        <v>8.6206896551724102E-3</v>
      </c>
      <c r="N1415">
        <v>-28</v>
      </c>
      <c r="O1415" t="s">
        <v>135</v>
      </c>
      <c r="P1415" s="22" t="s">
        <v>323</v>
      </c>
      <c r="Q1415" s="2" t="s">
        <v>329</v>
      </c>
      <c r="R1415">
        <v>45</v>
      </c>
      <c r="S1415" s="2">
        <v>8</v>
      </c>
      <c r="T1415" t="s">
        <v>297</v>
      </c>
      <c r="U1415" t="s">
        <v>300</v>
      </c>
      <c r="V1415" t="s">
        <v>301</v>
      </c>
      <c r="W1415" s="41"/>
      <c r="X1415" s="41"/>
      <c r="Y1415" s="34"/>
      <c r="Z1415" s="34"/>
      <c r="AA1415" s="35">
        <f>IF(TA[[#This Row],[Work Start time on Fault]]="NA","",(TA[[#This Row],[Fault Acknowledgement Time ]]-TA[[#This Row],[Fault Time]])*24)</f>
        <v>0</v>
      </c>
      <c r="AB1415" s="35">
        <f>(TA[[#This Row],[Work Start time on Fault]]-TA[[#This Row],[Fault Time]])*24</f>
        <v>0</v>
      </c>
      <c r="AC1415" s="34">
        <f>(TA[[#This Row],[Work Completion time on fault]]-TA[[#This Row],[Fault Time]])*24</f>
        <v>0</v>
      </c>
      <c r="AD1415" s="35">
        <f>IFERROR((TA[[#This Row],[Work Completion time on fault]]-TA[[#This Row],[Fault Time]])*24,"")</f>
        <v>0</v>
      </c>
      <c r="AE1415" t="s">
        <v>328</v>
      </c>
      <c r="AF1415" t="s">
        <v>256</v>
      </c>
      <c r="AG1415" s="2"/>
      <c r="AH1415" s="44">
        <f>1-COS(RADIANS(TA[[#This Row],[Avg. Target Angle during Fault Time (Radians)]]-TA[[#This Row],[Angle of affected equipment ]]))</f>
        <v>0.11705240714107301</v>
      </c>
      <c r="AI1415" s="35">
        <f>IFERROR(TA[[#This Row],[Breakdown Time]]*TA[[#This Row],[Plant Equivalent Weightage]],"")</f>
        <v>0</v>
      </c>
    </row>
    <row r="1416" spans="1:35">
      <c r="A1416" s="2">
        <f t="shared" si="165"/>
        <v>1413</v>
      </c>
      <c r="B1416" s="156">
        <f t="shared" si="168"/>
        <v>2026</v>
      </c>
      <c r="C1416" s="129">
        <f t="shared" si="169"/>
        <v>2025</v>
      </c>
      <c r="D1416" s="2" t="s">
        <v>155</v>
      </c>
      <c r="E1416" s="2" t="s">
        <v>155</v>
      </c>
      <c r="F1416" s="39">
        <v>45839</v>
      </c>
      <c r="G1416" s="2">
        <f>DAY(EOMONTH(TA[[#This Row],[Month Year]],0))</f>
        <v>31</v>
      </c>
      <c r="H1416" s="21">
        <v>45845</v>
      </c>
      <c r="I1416" s="41">
        <f>IFERROR(VLOOKUP(TA[[#This Row],[Date]],Raw_Data[[Date]:[Sunset Time (POA&lt;20 W/m2)]],3,0),"")</f>
        <v>0.25972222222222224</v>
      </c>
      <c r="J1416" s="41">
        <f>IFERROR(VLOOKUP(TA[[#This Row],[Date]],Raw_Data[[Date]:[Sunset Time (POA&lt;20 W/m2)]],4,0),"")</f>
        <v>0.78125</v>
      </c>
      <c r="K1416" s="35">
        <f>IFERROR((TA[[#This Row],[Sunset Time (POA&lt;20 W/m2)]]-TA[[#This Row],[Sunrise Time (POA&gt;20 W/m2)]])*24,"")</f>
        <v>12.516666666666667</v>
      </c>
      <c r="L1416" s="2" t="s">
        <v>296</v>
      </c>
      <c r="M1416" s="42">
        <f>IFERROR(VLOOKUP(TA[[#This Row],[Affected Equipment]],'Basic Data'!$I$2:$K$40,3,0),"")</f>
        <v>8.6206896551724102E-3</v>
      </c>
      <c r="N1416">
        <v>-28</v>
      </c>
      <c r="O1416" t="s">
        <v>135</v>
      </c>
      <c r="P1416" s="22" t="s">
        <v>323</v>
      </c>
      <c r="Q1416" s="2" t="s">
        <v>329</v>
      </c>
      <c r="R1416">
        <v>47</v>
      </c>
      <c r="S1416" s="2">
        <v>18</v>
      </c>
      <c r="T1416" t="s">
        <v>297</v>
      </c>
      <c r="U1416" t="s">
        <v>300</v>
      </c>
      <c r="V1416" t="s">
        <v>301</v>
      </c>
      <c r="W1416" s="41"/>
      <c r="X1416" s="41"/>
      <c r="Y1416" s="34"/>
      <c r="Z1416" s="34"/>
      <c r="AA1416" s="35">
        <f>IF(TA[[#This Row],[Work Start time on Fault]]="NA","",(TA[[#This Row],[Fault Acknowledgement Time ]]-TA[[#This Row],[Fault Time]])*24)</f>
        <v>0</v>
      </c>
      <c r="AB1416" s="35">
        <f>(TA[[#This Row],[Work Start time on Fault]]-TA[[#This Row],[Fault Time]])*24</f>
        <v>0</v>
      </c>
      <c r="AC1416" s="34">
        <f>(TA[[#This Row],[Work Completion time on fault]]-TA[[#This Row],[Fault Time]])*24</f>
        <v>0</v>
      </c>
      <c r="AD1416" s="35">
        <f>IFERROR((TA[[#This Row],[Work Completion time on fault]]-TA[[#This Row],[Fault Time]])*24,"")</f>
        <v>0</v>
      </c>
      <c r="AE1416" t="s">
        <v>328</v>
      </c>
      <c r="AF1416" t="s">
        <v>256</v>
      </c>
      <c r="AG1416" s="2"/>
      <c r="AH1416" s="44">
        <f>1-COS(RADIANS(TA[[#This Row],[Avg. Target Angle during Fault Time (Radians)]]-TA[[#This Row],[Angle of affected equipment ]]))</f>
        <v>0.11705240714107301</v>
      </c>
      <c r="AI1416" s="35">
        <f>IFERROR(TA[[#This Row],[Breakdown Time]]*TA[[#This Row],[Plant Equivalent Weightage]],"")</f>
        <v>0</v>
      </c>
    </row>
    <row r="1417" spans="1:35">
      <c r="A1417" s="2">
        <f t="shared" si="165"/>
        <v>1414</v>
      </c>
      <c r="B1417" s="156">
        <f t="shared" si="168"/>
        <v>2026</v>
      </c>
      <c r="C1417" s="129">
        <f t="shared" si="169"/>
        <v>2025</v>
      </c>
      <c r="D1417" s="2" t="s">
        <v>155</v>
      </c>
      <c r="E1417" s="2" t="s">
        <v>155</v>
      </c>
      <c r="F1417" s="39">
        <v>45839</v>
      </c>
      <c r="G1417" s="2">
        <f>DAY(EOMONTH(TA[[#This Row],[Month Year]],0))</f>
        <v>31</v>
      </c>
      <c r="H1417" s="21">
        <v>45845</v>
      </c>
      <c r="I1417" s="41">
        <f>IFERROR(VLOOKUP(TA[[#This Row],[Date]],Raw_Data[[Date]:[Sunset Time (POA&lt;20 W/m2)]],3,0),"")</f>
        <v>0.25972222222222224</v>
      </c>
      <c r="J1417" s="41">
        <f>IFERROR(VLOOKUP(TA[[#This Row],[Date]],Raw_Data[[Date]:[Sunset Time (POA&lt;20 W/m2)]],4,0),"")</f>
        <v>0.78125</v>
      </c>
      <c r="K1417" s="35">
        <f>IFERROR((TA[[#This Row],[Sunset Time (POA&lt;20 W/m2)]]-TA[[#This Row],[Sunrise Time (POA&gt;20 W/m2)]])*24,"")</f>
        <v>12.516666666666667</v>
      </c>
      <c r="L1417" s="2" t="s">
        <v>296</v>
      </c>
      <c r="M1417" s="42">
        <f>IFERROR(VLOOKUP(TA[[#This Row],[Affected Equipment]],'Basic Data'!$I$2:$K$40,3,0),"")</f>
        <v>8.6206896551724102E-3</v>
      </c>
      <c r="N1417">
        <v>-28</v>
      </c>
      <c r="O1417" t="s">
        <v>134</v>
      </c>
      <c r="P1417" s="22" t="s">
        <v>330</v>
      </c>
      <c r="Q1417" s="2" t="s">
        <v>323</v>
      </c>
      <c r="R1417">
        <v>30</v>
      </c>
      <c r="S1417" s="2">
        <v>57</v>
      </c>
      <c r="T1417" t="s">
        <v>297</v>
      </c>
      <c r="U1417" t="s">
        <v>300</v>
      </c>
      <c r="V1417" t="s">
        <v>301</v>
      </c>
      <c r="W1417" s="41"/>
      <c r="X1417" s="41"/>
      <c r="Y1417" s="34"/>
      <c r="Z1417" s="34"/>
      <c r="AA1417" s="35">
        <f>IF(TA[[#This Row],[Work Start time on Fault]]="NA","",(TA[[#This Row],[Fault Acknowledgement Time ]]-TA[[#This Row],[Fault Time]])*24)</f>
        <v>0</v>
      </c>
      <c r="AB1417" s="35">
        <f>(TA[[#This Row],[Work Start time on Fault]]-TA[[#This Row],[Fault Time]])*24</f>
        <v>0</v>
      </c>
      <c r="AC1417" s="34">
        <f>(TA[[#This Row],[Work Completion time on fault]]-TA[[#This Row],[Fault Time]])*24</f>
        <v>0</v>
      </c>
      <c r="AD1417" s="35">
        <f>IFERROR((TA[[#This Row],[Work Completion time on fault]]-TA[[#This Row],[Fault Time]])*24,"")</f>
        <v>0</v>
      </c>
      <c r="AE1417" t="s">
        <v>328</v>
      </c>
      <c r="AF1417" t="s">
        <v>256</v>
      </c>
      <c r="AG1417" s="2"/>
      <c r="AH1417" s="44">
        <f>1-COS(RADIANS(TA[[#This Row],[Avg. Target Angle during Fault Time (Radians)]]-TA[[#This Row],[Angle of affected equipment ]]))</f>
        <v>0.11705240714107301</v>
      </c>
      <c r="AI1417" s="35">
        <f>IFERROR(TA[[#This Row],[Breakdown Time]]*TA[[#This Row],[Plant Equivalent Weightage]],"")</f>
        <v>0</v>
      </c>
    </row>
    <row r="1418" spans="1:35">
      <c r="A1418" s="2">
        <f t="shared" si="165"/>
        <v>1415</v>
      </c>
      <c r="B1418" s="156">
        <f t="shared" si="168"/>
        <v>2026</v>
      </c>
      <c r="C1418" s="129">
        <f t="shared" si="169"/>
        <v>2025</v>
      </c>
      <c r="D1418" s="2" t="s">
        <v>155</v>
      </c>
      <c r="E1418" s="2" t="s">
        <v>155</v>
      </c>
      <c r="F1418" s="39">
        <v>45839</v>
      </c>
      <c r="G1418" s="2">
        <f>DAY(EOMONTH(TA[[#This Row],[Month Year]],0))</f>
        <v>31</v>
      </c>
      <c r="H1418" s="21">
        <v>45845</v>
      </c>
      <c r="I1418" s="41">
        <f>IFERROR(VLOOKUP(TA[[#This Row],[Date]],Raw_Data[[Date]:[Sunset Time (POA&lt;20 W/m2)]],3,0),"")</f>
        <v>0.25972222222222224</v>
      </c>
      <c r="J1418" s="41">
        <f>IFERROR(VLOOKUP(TA[[#This Row],[Date]],Raw_Data[[Date]:[Sunset Time (POA&lt;20 W/m2)]],4,0),"")</f>
        <v>0.78125</v>
      </c>
      <c r="K1418" s="35">
        <f>IFERROR((TA[[#This Row],[Sunset Time (POA&lt;20 W/m2)]]-TA[[#This Row],[Sunrise Time (POA&gt;20 W/m2)]])*24,"")</f>
        <v>12.516666666666667</v>
      </c>
      <c r="L1418" s="2" t="s">
        <v>296</v>
      </c>
      <c r="M1418" s="42">
        <f>IFERROR(VLOOKUP(TA[[#This Row],[Affected Equipment]],'Basic Data'!$I$2:$K$40,3,0),"")</f>
        <v>8.6206896551724102E-3</v>
      </c>
      <c r="N1418">
        <v>-28</v>
      </c>
      <c r="O1418" t="s">
        <v>134</v>
      </c>
      <c r="P1418" s="22" t="s">
        <v>330</v>
      </c>
      <c r="Q1418" s="2" t="s">
        <v>323</v>
      </c>
      <c r="R1418">
        <v>31</v>
      </c>
      <c r="S1418" s="2">
        <v>61</v>
      </c>
      <c r="T1418" t="s">
        <v>297</v>
      </c>
      <c r="U1418" t="s">
        <v>300</v>
      </c>
      <c r="V1418" t="s">
        <v>301</v>
      </c>
      <c r="W1418" s="41"/>
      <c r="X1418" s="41"/>
      <c r="Y1418" s="34"/>
      <c r="Z1418" s="34"/>
      <c r="AA1418" s="35">
        <f>IF(TA[[#This Row],[Work Start time on Fault]]="NA","",(TA[[#This Row],[Fault Acknowledgement Time ]]-TA[[#This Row],[Fault Time]])*24)</f>
        <v>0</v>
      </c>
      <c r="AB1418" s="35">
        <f>(TA[[#This Row],[Work Start time on Fault]]-TA[[#This Row],[Fault Time]])*24</f>
        <v>0</v>
      </c>
      <c r="AC1418" s="34">
        <f>(TA[[#This Row],[Work Completion time on fault]]-TA[[#This Row],[Fault Time]])*24</f>
        <v>0</v>
      </c>
      <c r="AD1418" s="35">
        <f>IFERROR((TA[[#This Row],[Work Completion time on fault]]-TA[[#This Row],[Fault Time]])*24,"")</f>
        <v>0</v>
      </c>
      <c r="AE1418" t="s">
        <v>328</v>
      </c>
      <c r="AF1418" t="s">
        <v>256</v>
      </c>
      <c r="AG1418" s="2"/>
      <c r="AH1418" s="44">
        <f>1-COS(RADIANS(TA[[#This Row],[Avg. Target Angle during Fault Time (Radians)]]-TA[[#This Row],[Angle of affected equipment ]]))</f>
        <v>0.11705240714107301</v>
      </c>
      <c r="AI1418" s="35">
        <f>IFERROR(TA[[#This Row],[Breakdown Time]]*TA[[#This Row],[Plant Equivalent Weightage]],"")</f>
        <v>0</v>
      </c>
    </row>
    <row r="1419" spans="1:35">
      <c r="A1419" s="2">
        <f t="shared" si="165"/>
        <v>1416</v>
      </c>
      <c r="B1419" s="156">
        <f t="shared" si="168"/>
        <v>2026</v>
      </c>
      <c r="C1419" s="129">
        <f t="shared" si="169"/>
        <v>2025</v>
      </c>
      <c r="D1419" s="2" t="s">
        <v>155</v>
      </c>
      <c r="E1419" s="2" t="s">
        <v>155</v>
      </c>
      <c r="F1419" s="39">
        <v>45839</v>
      </c>
      <c r="G1419" s="2">
        <f>DAY(EOMONTH(TA[[#This Row],[Month Year]],0))</f>
        <v>31</v>
      </c>
      <c r="H1419" s="21">
        <v>45845</v>
      </c>
      <c r="I1419" s="41">
        <f>IFERROR(VLOOKUP(TA[[#This Row],[Date]],Raw_Data[[Date]:[Sunset Time (POA&lt;20 W/m2)]],3,0),"")</f>
        <v>0.25972222222222224</v>
      </c>
      <c r="J1419" s="41">
        <f>IFERROR(VLOOKUP(TA[[#This Row],[Date]],Raw_Data[[Date]:[Sunset Time (POA&lt;20 W/m2)]],4,0),"")</f>
        <v>0.78125</v>
      </c>
      <c r="K1419" s="35">
        <f>IFERROR((TA[[#This Row],[Sunset Time (POA&lt;20 W/m2)]]-TA[[#This Row],[Sunrise Time (POA&gt;20 W/m2)]])*24,"")</f>
        <v>12.516666666666667</v>
      </c>
      <c r="L1419" s="2" t="s">
        <v>312</v>
      </c>
      <c r="M1419" s="42">
        <f>IFERROR(VLOOKUP(TA[[#This Row],[Affected Equipment]],'Basic Data'!$I$2:$K$40,3,0),"")</f>
        <v>5.74712643678161E-3</v>
      </c>
      <c r="N1419">
        <v>-28</v>
      </c>
      <c r="O1419" t="s">
        <v>133</v>
      </c>
      <c r="P1419" s="22" t="s">
        <v>330</v>
      </c>
      <c r="Q1419" s="2" t="s">
        <v>323</v>
      </c>
      <c r="R1419">
        <v>26</v>
      </c>
      <c r="S1419" s="2">
        <v>37</v>
      </c>
      <c r="T1419" t="s">
        <v>297</v>
      </c>
      <c r="U1419" t="s">
        <v>300</v>
      </c>
      <c r="V1419" t="s">
        <v>301</v>
      </c>
      <c r="W1419" s="41"/>
      <c r="X1419" s="41"/>
      <c r="Y1419" s="34"/>
      <c r="Z1419" s="34"/>
      <c r="AA1419" s="35">
        <f>IF(TA[[#This Row],[Work Start time on Fault]]="NA","",(TA[[#This Row],[Fault Acknowledgement Time ]]-TA[[#This Row],[Fault Time]])*24)</f>
        <v>0</v>
      </c>
      <c r="AB1419" s="35">
        <f>(TA[[#This Row],[Work Start time on Fault]]-TA[[#This Row],[Fault Time]])*24</f>
        <v>0</v>
      </c>
      <c r="AC1419" s="34">
        <f>(TA[[#This Row],[Work Completion time on fault]]-TA[[#This Row],[Fault Time]])*24</f>
        <v>0</v>
      </c>
      <c r="AD1419" s="35">
        <f>IFERROR((TA[[#This Row],[Work Completion time on fault]]-TA[[#This Row],[Fault Time]])*24,"")</f>
        <v>0</v>
      </c>
      <c r="AE1419" t="s">
        <v>328</v>
      </c>
      <c r="AF1419" t="s">
        <v>256</v>
      </c>
      <c r="AG1419" s="2"/>
      <c r="AH1419" s="44">
        <f>1-COS(RADIANS(TA[[#This Row],[Avg. Target Angle during Fault Time (Radians)]]-TA[[#This Row],[Angle of affected equipment ]]))</f>
        <v>0.11705240714107301</v>
      </c>
      <c r="AI1419" s="35">
        <f>IFERROR(TA[[#This Row],[Breakdown Time]]*TA[[#This Row],[Plant Equivalent Weightage]],"")</f>
        <v>0</v>
      </c>
    </row>
    <row r="1420" spans="1:35">
      <c r="A1420" s="2">
        <f t="shared" si="165"/>
        <v>1417</v>
      </c>
      <c r="B1420" s="156">
        <f t="shared" si="168"/>
        <v>2026</v>
      </c>
      <c r="C1420" s="129">
        <f t="shared" si="169"/>
        <v>2025</v>
      </c>
      <c r="D1420" s="2" t="s">
        <v>155</v>
      </c>
      <c r="E1420" s="2" t="s">
        <v>155</v>
      </c>
      <c r="F1420" s="39">
        <v>45839</v>
      </c>
      <c r="G1420" s="2">
        <f>DAY(EOMONTH(TA[[#This Row],[Month Year]],0))</f>
        <v>31</v>
      </c>
      <c r="H1420" s="21">
        <v>45845</v>
      </c>
      <c r="I1420" s="41">
        <f>IFERROR(VLOOKUP(TA[[#This Row],[Date]],Raw_Data[[Date]:[Sunset Time (POA&lt;20 W/m2)]],3,0),"")</f>
        <v>0.25972222222222224</v>
      </c>
      <c r="J1420" s="41">
        <f>IFERROR(VLOOKUP(TA[[#This Row],[Date]],Raw_Data[[Date]:[Sunset Time (POA&lt;20 W/m2)]],4,0),"")</f>
        <v>0.78125</v>
      </c>
      <c r="K1420" s="35">
        <f>IFERROR((TA[[#This Row],[Sunset Time (POA&lt;20 W/m2)]]-TA[[#This Row],[Sunrise Time (POA&gt;20 W/m2)]])*24,"")</f>
        <v>12.516666666666667</v>
      </c>
      <c r="L1420" s="2" t="s">
        <v>312</v>
      </c>
      <c r="M1420" s="42">
        <f>IFERROR(VLOOKUP(TA[[#This Row],[Affected Equipment]],'Basic Data'!$I$2:$K$40,3,0),"")</f>
        <v>5.74712643678161E-3</v>
      </c>
      <c r="N1420">
        <v>-28</v>
      </c>
      <c r="O1420" t="s">
        <v>133</v>
      </c>
      <c r="P1420" s="22" t="s">
        <v>330</v>
      </c>
      <c r="Q1420" s="2" t="s">
        <v>323</v>
      </c>
      <c r="R1420">
        <v>27</v>
      </c>
      <c r="S1420" s="2">
        <v>42</v>
      </c>
      <c r="T1420" t="s">
        <v>297</v>
      </c>
      <c r="U1420" t="s">
        <v>300</v>
      </c>
      <c r="V1420" t="s">
        <v>301</v>
      </c>
      <c r="W1420" s="41">
        <f>IFERROR(VLOOKUP(TA[[#This Row],[Date]],Raw_Data[[Date]:[Sunset Time (POA&lt;20 W/m2)]],3,0),"")</f>
        <v>0.25972222222222224</v>
      </c>
      <c r="X1420" s="41">
        <f>IFERROR(VLOOKUP(TA[[#This Row],[Date]],Raw_Data[[Date]:[Sunset Time (POA&lt;20 W/m2)]],3,0),"")</f>
        <v>0.25972222222222224</v>
      </c>
      <c r="Y1420" s="34"/>
      <c r="Z1420" s="34">
        <v>0.76041666666666663</v>
      </c>
      <c r="AA1420" s="35">
        <f>IF(TA[[#This Row],[Work Start time on Fault]]="NA","",(TA[[#This Row],[Fault Acknowledgement Time ]]-TA[[#This Row],[Fault Time]])*24)</f>
        <v>0</v>
      </c>
      <c r="AB1420" s="35">
        <f>(TA[[#This Row],[Work Start time on Fault]]-TA[[#This Row],[Fault Time]])*24</f>
        <v>-6.2333333333333343</v>
      </c>
      <c r="AC1420" s="34">
        <f>(TA[[#This Row],[Work Completion time on fault]]-TA[[#This Row],[Fault Time]])*24</f>
        <v>12.016666666666664</v>
      </c>
      <c r="AD1420" s="35">
        <f>IFERROR((TA[[#This Row],[Work Completion time on fault]]-TA[[#This Row],[Fault Time]])*24,"")</f>
        <v>12.016666666666664</v>
      </c>
      <c r="AE1420" t="s">
        <v>309</v>
      </c>
      <c r="AF1420" t="s">
        <v>256</v>
      </c>
      <c r="AG1420" s="2"/>
      <c r="AH1420" s="44">
        <f>1-COS(RADIANS(TA[[#This Row],[Avg. Target Angle during Fault Time (Radians)]]-TA[[#This Row],[Angle of affected equipment ]]))</f>
        <v>0.11705240714107301</v>
      </c>
      <c r="AI1420" s="35">
        <f>IFERROR(TA[[#This Row],[Breakdown Time]]*TA[[#This Row],[Plant Equivalent Weightage]],"")</f>
        <v>6.9061302681992329E-2</v>
      </c>
    </row>
    <row r="1421" spans="1:35">
      <c r="A1421" s="2">
        <f t="shared" si="165"/>
        <v>1418</v>
      </c>
      <c r="B1421" s="156">
        <f t="shared" ref="B1421:B1433" si="170">YEAR(H1421)+IF(MONTH(H1421)&gt;=4,1,0)</f>
        <v>2026</v>
      </c>
      <c r="C1421" s="129">
        <f t="shared" ref="C1421:C1433" si="171">YEAR(H1421)</f>
        <v>2025</v>
      </c>
      <c r="D1421" s="2" t="s">
        <v>155</v>
      </c>
      <c r="E1421" s="2" t="s">
        <v>155</v>
      </c>
      <c r="F1421" s="39">
        <v>45839</v>
      </c>
      <c r="G1421" s="2">
        <f>DAY(EOMONTH(TA[[#This Row],[Month Year]],0))</f>
        <v>31</v>
      </c>
      <c r="H1421" s="21">
        <v>45846</v>
      </c>
      <c r="I1421" s="41">
        <f>IFERROR(VLOOKUP(TA[[#This Row],[Date]],Raw_Data[[Date]:[Sunset Time (POA&lt;20 W/m2)]],3,0),"")</f>
        <v>0.25833333333333336</v>
      </c>
      <c r="J1421" s="41">
        <f>IFERROR(VLOOKUP(TA[[#This Row],[Date]],Raw_Data[[Date]:[Sunset Time (POA&lt;20 W/m2)]],4,0),"")</f>
        <v>0.77916666666666667</v>
      </c>
      <c r="K1421" s="35">
        <f>IFERROR((TA[[#This Row],[Sunset Time (POA&lt;20 W/m2)]]-TA[[#This Row],[Sunrise Time (POA&gt;20 W/m2)]])*24,"")</f>
        <v>12.499999999999998</v>
      </c>
      <c r="L1421" s="2" t="s">
        <v>294</v>
      </c>
      <c r="M1421" s="42">
        <f>IFERROR(VLOOKUP(TA[[#This Row],[Affected Equipment]],'Basic Data'!$I$2:$K$40,3,0),"")</f>
        <v>1.7241379310344799E-3</v>
      </c>
      <c r="N1421">
        <v>-28</v>
      </c>
      <c r="O1421" t="s">
        <v>135</v>
      </c>
      <c r="P1421" s="127" t="s">
        <v>318</v>
      </c>
      <c r="Q1421" s="126" t="s">
        <v>318</v>
      </c>
      <c r="R1421">
        <v>131</v>
      </c>
      <c r="S1421" s="2">
        <v>38</v>
      </c>
      <c r="T1421" t="s">
        <v>295</v>
      </c>
      <c r="U1421" t="s">
        <v>300</v>
      </c>
      <c r="V1421" t="s">
        <v>298</v>
      </c>
      <c r="W1421" s="41"/>
      <c r="X1421" s="41"/>
      <c r="Y1421" s="34"/>
      <c r="Z1421" s="34"/>
      <c r="AA1421" s="35">
        <f>IF(TA[[#This Row],[Work Start time on Fault]]="NA","",(TA[[#This Row],[Fault Acknowledgement Time ]]-TA[[#This Row],[Fault Time]])*24)</f>
        <v>0</v>
      </c>
      <c r="AB1421" s="35">
        <f>(TA[[#This Row],[Work Start time on Fault]]-TA[[#This Row],[Fault Time]])*24</f>
        <v>0</v>
      </c>
      <c r="AC1421" s="34">
        <f>(TA[[#This Row],[Work Completion time on fault]]-TA[[#This Row],[Fault Time]])*24</f>
        <v>0</v>
      </c>
      <c r="AD1421" s="35">
        <f>IFERROR((TA[[#This Row],[Work Completion time on fault]]-TA[[#This Row],[Fault Time]])*24,"")</f>
        <v>0</v>
      </c>
      <c r="AE1421" t="s">
        <v>328</v>
      </c>
      <c r="AF1421" t="s">
        <v>256</v>
      </c>
      <c r="AG1421" s="2"/>
      <c r="AH1421" s="44">
        <f>1-COS(RADIANS(TA[[#This Row],[Avg. Target Angle during Fault Time (Radians)]]-TA[[#This Row],[Angle of affected equipment ]]))</f>
        <v>0.11705240714107301</v>
      </c>
      <c r="AI1421" s="35">
        <f>IFERROR(TA[[#This Row],[Breakdown Time]]*TA[[#This Row],[Plant Equivalent Weightage]],"")</f>
        <v>0</v>
      </c>
    </row>
    <row r="1422" spans="1:35">
      <c r="A1422" s="2">
        <f t="shared" si="165"/>
        <v>1419</v>
      </c>
      <c r="B1422" s="156">
        <f t="shared" si="170"/>
        <v>2026</v>
      </c>
      <c r="C1422" s="129">
        <f t="shared" si="171"/>
        <v>2025</v>
      </c>
      <c r="D1422" s="2" t="s">
        <v>155</v>
      </c>
      <c r="E1422" s="2" t="s">
        <v>155</v>
      </c>
      <c r="F1422" s="39">
        <v>45839</v>
      </c>
      <c r="G1422" s="2">
        <f>DAY(EOMONTH(TA[[#This Row],[Month Year]],0))</f>
        <v>31</v>
      </c>
      <c r="H1422" s="21">
        <v>45846</v>
      </c>
      <c r="I1422" s="41">
        <f>IFERROR(VLOOKUP(TA[[#This Row],[Date]],Raw_Data[[Date]:[Sunset Time (POA&lt;20 W/m2)]],3,0),"")</f>
        <v>0.25833333333333336</v>
      </c>
      <c r="J1422" s="41">
        <f>IFERROR(VLOOKUP(TA[[#This Row],[Date]],Raw_Data[[Date]:[Sunset Time (POA&lt;20 W/m2)]],4,0),"")</f>
        <v>0.77916666666666667</v>
      </c>
      <c r="K1422" s="35">
        <f>IFERROR((TA[[#This Row],[Sunset Time (POA&lt;20 W/m2)]]-TA[[#This Row],[Sunrise Time (POA&gt;20 W/m2)]])*24,"")</f>
        <v>12.499999999999998</v>
      </c>
      <c r="L1422" s="2" t="s">
        <v>294</v>
      </c>
      <c r="M1422" s="42">
        <f>IFERROR(VLOOKUP(TA[[#This Row],[Affected Equipment]],'Basic Data'!$I$2:$K$40,3,0),"")</f>
        <v>1.7241379310344799E-3</v>
      </c>
      <c r="N1422">
        <v>-28</v>
      </c>
      <c r="O1422" t="s">
        <v>135</v>
      </c>
      <c r="P1422" s="127" t="s">
        <v>318</v>
      </c>
      <c r="Q1422" s="126" t="s">
        <v>318</v>
      </c>
      <c r="R1422">
        <v>131</v>
      </c>
      <c r="S1422" s="2">
        <v>39</v>
      </c>
      <c r="T1422" t="s">
        <v>295</v>
      </c>
      <c r="U1422" t="s">
        <v>300</v>
      </c>
      <c r="V1422" t="s">
        <v>298</v>
      </c>
      <c r="W1422" s="41"/>
      <c r="X1422" s="41"/>
      <c r="Y1422" s="34"/>
      <c r="Z1422" s="34"/>
      <c r="AA1422" s="35">
        <f>IF(TA[[#This Row],[Work Start time on Fault]]="NA","",(TA[[#This Row],[Fault Acknowledgement Time ]]-TA[[#This Row],[Fault Time]])*24)</f>
        <v>0</v>
      </c>
      <c r="AB1422" s="35">
        <f>(TA[[#This Row],[Work Start time on Fault]]-TA[[#This Row],[Fault Time]])*24</f>
        <v>0</v>
      </c>
      <c r="AC1422" s="34">
        <f>(TA[[#This Row],[Work Completion time on fault]]-TA[[#This Row],[Fault Time]])*24</f>
        <v>0</v>
      </c>
      <c r="AD1422" s="35">
        <f>IFERROR((TA[[#This Row],[Work Completion time on fault]]-TA[[#This Row],[Fault Time]])*24,"")</f>
        <v>0</v>
      </c>
      <c r="AE1422" t="s">
        <v>328</v>
      </c>
      <c r="AF1422" t="s">
        <v>256</v>
      </c>
      <c r="AG1422" s="2"/>
      <c r="AH1422" s="44">
        <f>1-COS(RADIANS(TA[[#This Row],[Avg. Target Angle during Fault Time (Radians)]]-TA[[#This Row],[Angle of affected equipment ]]))</f>
        <v>0.11705240714107301</v>
      </c>
      <c r="AI1422" s="35">
        <f>IFERROR(TA[[#This Row],[Breakdown Time]]*TA[[#This Row],[Plant Equivalent Weightage]],"")</f>
        <v>0</v>
      </c>
    </row>
    <row r="1423" spans="1:35">
      <c r="A1423" s="2">
        <f t="shared" si="165"/>
        <v>1420</v>
      </c>
      <c r="B1423" s="156">
        <f t="shared" si="170"/>
        <v>2026</v>
      </c>
      <c r="C1423" s="129">
        <f t="shared" si="171"/>
        <v>2025</v>
      </c>
      <c r="D1423" s="2" t="s">
        <v>155</v>
      </c>
      <c r="E1423" s="2" t="s">
        <v>155</v>
      </c>
      <c r="F1423" s="39">
        <v>45839</v>
      </c>
      <c r="G1423" s="2">
        <f>DAY(EOMONTH(TA[[#This Row],[Month Year]],0))</f>
        <v>31</v>
      </c>
      <c r="H1423" s="21">
        <v>45846</v>
      </c>
      <c r="I1423" s="41">
        <f>IFERROR(VLOOKUP(TA[[#This Row],[Date]],Raw_Data[[Date]:[Sunset Time (POA&lt;20 W/m2)]],3,0),"")</f>
        <v>0.25833333333333336</v>
      </c>
      <c r="J1423" s="41">
        <f>IFERROR(VLOOKUP(TA[[#This Row],[Date]],Raw_Data[[Date]:[Sunset Time (POA&lt;20 W/m2)]],4,0),"")</f>
        <v>0.77916666666666667</v>
      </c>
      <c r="K1423" s="35">
        <f>IFERROR((TA[[#This Row],[Sunset Time (POA&lt;20 W/m2)]]-TA[[#This Row],[Sunrise Time (POA&gt;20 W/m2)]])*24,"")</f>
        <v>12.499999999999998</v>
      </c>
      <c r="L1423" s="2" t="s">
        <v>296</v>
      </c>
      <c r="M1423" s="42">
        <f>IFERROR(VLOOKUP(TA[[#This Row],[Affected Equipment]],'Basic Data'!$I$2:$K$40,3,0),"")</f>
        <v>8.6206896551724102E-3</v>
      </c>
      <c r="N1423">
        <v>-28</v>
      </c>
      <c r="O1423" t="s">
        <v>135</v>
      </c>
      <c r="P1423" s="127" t="s">
        <v>318</v>
      </c>
      <c r="Q1423" s="2" t="s">
        <v>321</v>
      </c>
      <c r="R1423">
        <v>133</v>
      </c>
      <c r="S1423" s="2">
        <v>26</v>
      </c>
      <c r="T1423" t="s">
        <v>297</v>
      </c>
      <c r="U1423" t="s">
        <v>300</v>
      </c>
      <c r="V1423" t="s">
        <v>314</v>
      </c>
      <c r="W1423" s="41">
        <f>IFERROR(VLOOKUP(TA[[#This Row],[Date]],Raw_Data[[Date]:[Sunset Time (POA&lt;20 W/m2)]],3,0),"")</f>
        <v>0.25833333333333336</v>
      </c>
      <c r="X1423" s="41">
        <f>IFERROR(VLOOKUP(TA[[#This Row],[Date]],Raw_Data[[Date]:[Sunset Time (POA&lt;20 W/m2)]],3,0),"")</f>
        <v>0.25833333333333336</v>
      </c>
      <c r="Y1423" s="34"/>
      <c r="Z1423" s="34">
        <v>0.76041666666666663</v>
      </c>
      <c r="AA1423" s="35">
        <f>IF(TA[[#This Row],[Work Start time on Fault]]="NA","",(TA[[#This Row],[Fault Acknowledgement Time ]]-TA[[#This Row],[Fault Time]])*24)</f>
        <v>0</v>
      </c>
      <c r="AB1423" s="35">
        <f>(TA[[#This Row],[Work Start time on Fault]]-TA[[#This Row],[Fault Time]])*24</f>
        <v>-6.2000000000000011</v>
      </c>
      <c r="AC1423" s="34">
        <f>(TA[[#This Row],[Work Completion time on fault]]-TA[[#This Row],[Fault Time]])*24</f>
        <v>12.049999999999997</v>
      </c>
      <c r="AD1423" s="35">
        <f>IFERROR((TA[[#This Row],[Work Completion time on fault]]-TA[[#This Row],[Fault Time]])*24,"")</f>
        <v>12.049999999999997</v>
      </c>
      <c r="AE1423" t="s">
        <v>328</v>
      </c>
      <c r="AF1423" t="s">
        <v>256</v>
      </c>
      <c r="AG1423" s="2"/>
      <c r="AH1423" s="44">
        <f>1-COS(RADIANS(TA[[#This Row],[Avg. Target Angle during Fault Time (Radians)]]-TA[[#This Row],[Angle of affected equipment ]]))</f>
        <v>0.11705240714107301</v>
      </c>
      <c r="AI1423" s="35">
        <f>IFERROR(TA[[#This Row],[Breakdown Time]]*TA[[#This Row],[Plant Equivalent Weightage]],"")</f>
        <v>0.10387931034482752</v>
      </c>
    </row>
    <row r="1424" spans="1:35">
      <c r="A1424" s="2">
        <f t="shared" si="165"/>
        <v>1421</v>
      </c>
      <c r="B1424" s="156">
        <f t="shared" si="170"/>
        <v>2026</v>
      </c>
      <c r="C1424" s="129">
        <f t="shared" si="171"/>
        <v>2025</v>
      </c>
      <c r="D1424" s="2" t="s">
        <v>155</v>
      </c>
      <c r="E1424" s="2" t="s">
        <v>155</v>
      </c>
      <c r="F1424" s="39">
        <v>45839</v>
      </c>
      <c r="G1424" s="2">
        <f>DAY(EOMONTH(TA[[#This Row],[Month Year]],0))</f>
        <v>31</v>
      </c>
      <c r="H1424" s="21">
        <v>45846</v>
      </c>
      <c r="I1424" s="41">
        <f>IFERROR(VLOOKUP(TA[[#This Row],[Date]],Raw_Data[[Date]:[Sunset Time (POA&lt;20 W/m2)]],3,0),"")</f>
        <v>0.25833333333333336</v>
      </c>
      <c r="J1424" s="41">
        <f>IFERROR(VLOOKUP(TA[[#This Row],[Date]],Raw_Data[[Date]:[Sunset Time (POA&lt;20 W/m2)]],4,0),"")</f>
        <v>0.77916666666666667</v>
      </c>
      <c r="K1424" s="35">
        <f>IFERROR((TA[[#This Row],[Sunset Time (POA&lt;20 W/m2)]]-TA[[#This Row],[Sunrise Time (POA&gt;20 W/m2)]])*24,"")</f>
        <v>12.499999999999998</v>
      </c>
      <c r="L1424" s="2" t="s">
        <v>294</v>
      </c>
      <c r="M1424" s="42">
        <f>IFERROR(VLOOKUP(TA[[#This Row],[Affected Equipment]],'Basic Data'!$I$2:$K$40,3,0),"")</f>
        <v>1.7241379310344799E-3</v>
      </c>
      <c r="N1424">
        <v>-28</v>
      </c>
      <c r="O1424" t="s">
        <v>133</v>
      </c>
      <c r="P1424" s="127" t="s">
        <v>316</v>
      </c>
      <c r="Q1424" s="126" t="s">
        <v>317</v>
      </c>
      <c r="R1424">
        <v>7</v>
      </c>
      <c r="S1424" s="2">
        <v>32</v>
      </c>
      <c r="T1424" t="s">
        <v>295</v>
      </c>
      <c r="U1424" t="s">
        <v>300</v>
      </c>
      <c r="V1424" t="s">
        <v>298</v>
      </c>
      <c r="W1424" s="41"/>
      <c r="X1424" s="41"/>
      <c r="Y1424" s="34"/>
      <c r="Z1424" s="34"/>
      <c r="AA1424" s="35">
        <f>IF(TA[[#This Row],[Work Start time on Fault]]="NA","",(TA[[#This Row],[Fault Acknowledgement Time ]]-TA[[#This Row],[Fault Time]])*24)</f>
        <v>0</v>
      </c>
      <c r="AB1424" s="35">
        <f>(TA[[#This Row],[Work Start time on Fault]]-TA[[#This Row],[Fault Time]])*24</f>
        <v>0</v>
      </c>
      <c r="AC1424" s="34">
        <f>(TA[[#This Row],[Work Completion time on fault]]-TA[[#This Row],[Fault Time]])*24</f>
        <v>0</v>
      </c>
      <c r="AD1424" s="35">
        <f>IFERROR((TA[[#This Row],[Work Completion time on fault]]-TA[[#This Row],[Fault Time]])*24,"")</f>
        <v>0</v>
      </c>
      <c r="AE1424" t="s">
        <v>328</v>
      </c>
      <c r="AF1424" t="s">
        <v>256</v>
      </c>
      <c r="AG1424" s="2"/>
      <c r="AH1424" s="44">
        <f>1-COS(RADIANS(TA[[#This Row],[Avg. Target Angle during Fault Time (Radians)]]-TA[[#This Row],[Angle of affected equipment ]]))</f>
        <v>0.11705240714107301</v>
      </c>
      <c r="AI1424" s="35">
        <f>IFERROR(TA[[#This Row],[Breakdown Time]]*TA[[#This Row],[Plant Equivalent Weightage]],"")</f>
        <v>0</v>
      </c>
    </row>
    <row r="1425" spans="1:35">
      <c r="A1425" s="2">
        <f t="shared" si="165"/>
        <v>1422</v>
      </c>
      <c r="B1425" s="156">
        <f t="shared" si="170"/>
        <v>2026</v>
      </c>
      <c r="C1425" s="129">
        <f t="shared" si="171"/>
        <v>2025</v>
      </c>
      <c r="D1425" s="2" t="s">
        <v>155</v>
      </c>
      <c r="E1425" s="2" t="s">
        <v>155</v>
      </c>
      <c r="F1425" s="39">
        <v>45839</v>
      </c>
      <c r="G1425" s="2">
        <f>DAY(EOMONTH(TA[[#This Row],[Month Year]],0))</f>
        <v>31</v>
      </c>
      <c r="H1425" s="21">
        <v>45846</v>
      </c>
      <c r="I1425" s="41">
        <f>IFERROR(VLOOKUP(TA[[#This Row],[Date]],Raw_Data[[Date]:[Sunset Time (POA&lt;20 W/m2)]],3,0),"")</f>
        <v>0.25833333333333336</v>
      </c>
      <c r="J1425" s="41">
        <f>IFERROR(VLOOKUP(TA[[#This Row],[Date]],Raw_Data[[Date]:[Sunset Time (POA&lt;20 W/m2)]],4,0),"")</f>
        <v>0.77916666666666667</v>
      </c>
      <c r="K1425" s="35">
        <f>IFERROR((TA[[#This Row],[Sunset Time (POA&lt;20 W/m2)]]-TA[[#This Row],[Sunrise Time (POA&gt;20 W/m2)]])*24,"")</f>
        <v>12.499999999999998</v>
      </c>
      <c r="L1425" s="2" t="s">
        <v>294</v>
      </c>
      <c r="M1425" s="42">
        <f>IFERROR(VLOOKUP(TA[[#This Row],[Affected Equipment]],'Basic Data'!$I$2:$K$40,3,0),"")</f>
        <v>1.7241379310344799E-3</v>
      </c>
      <c r="N1425">
        <v>-28</v>
      </c>
      <c r="O1425" t="s">
        <v>137</v>
      </c>
      <c r="P1425" s="127" t="s">
        <v>315</v>
      </c>
      <c r="Q1425" s="126" t="s">
        <v>319</v>
      </c>
      <c r="R1425">
        <v>166</v>
      </c>
      <c r="S1425" s="2">
        <v>91</v>
      </c>
      <c r="T1425" t="s">
        <v>295</v>
      </c>
      <c r="U1425" t="s">
        <v>300</v>
      </c>
      <c r="V1425" t="s">
        <v>298</v>
      </c>
      <c r="W1425" s="41"/>
      <c r="X1425" s="41"/>
      <c r="Y1425" s="34"/>
      <c r="Z1425" s="34"/>
      <c r="AA1425" s="35">
        <f>IF(TA[[#This Row],[Work Start time on Fault]]="NA","",(TA[[#This Row],[Fault Acknowledgement Time ]]-TA[[#This Row],[Fault Time]])*24)</f>
        <v>0</v>
      </c>
      <c r="AB1425" s="35">
        <f>(TA[[#This Row],[Work Start time on Fault]]-TA[[#This Row],[Fault Time]])*24</f>
        <v>0</v>
      </c>
      <c r="AC1425" s="34">
        <f>(TA[[#This Row],[Work Completion time on fault]]-TA[[#This Row],[Fault Time]])*24</f>
        <v>0</v>
      </c>
      <c r="AD1425" s="35">
        <f>IFERROR((TA[[#This Row],[Work Completion time on fault]]-TA[[#This Row],[Fault Time]])*24,"")</f>
        <v>0</v>
      </c>
      <c r="AE1425" t="s">
        <v>328</v>
      </c>
      <c r="AF1425" t="s">
        <v>256</v>
      </c>
      <c r="AG1425" s="2"/>
      <c r="AH1425" s="44">
        <f>1-COS(RADIANS(TA[[#This Row],[Avg. Target Angle during Fault Time (Radians)]]-TA[[#This Row],[Angle of affected equipment ]]))</f>
        <v>0.11705240714107301</v>
      </c>
      <c r="AI1425" s="35">
        <f>IFERROR(TA[[#This Row],[Breakdown Time]]*TA[[#This Row],[Plant Equivalent Weightage]],"")</f>
        <v>0</v>
      </c>
    </row>
    <row r="1426" spans="1:35">
      <c r="A1426" s="2">
        <f t="shared" si="165"/>
        <v>1423</v>
      </c>
      <c r="B1426" s="156">
        <f t="shared" si="170"/>
        <v>2026</v>
      </c>
      <c r="C1426" s="129">
        <f t="shared" si="171"/>
        <v>2025</v>
      </c>
      <c r="D1426" s="2" t="s">
        <v>155</v>
      </c>
      <c r="E1426" s="2" t="s">
        <v>155</v>
      </c>
      <c r="F1426" s="39">
        <v>45839</v>
      </c>
      <c r="G1426" s="2">
        <f>DAY(EOMONTH(TA[[#This Row],[Month Year]],0))</f>
        <v>31</v>
      </c>
      <c r="H1426" s="21">
        <v>45846</v>
      </c>
      <c r="I1426" s="41">
        <f>IFERROR(VLOOKUP(TA[[#This Row],[Date]],Raw_Data[[Date]:[Sunset Time (POA&lt;20 W/m2)]],3,0),"")</f>
        <v>0.25833333333333336</v>
      </c>
      <c r="J1426" s="41">
        <f>IFERROR(VLOOKUP(TA[[#This Row],[Date]],Raw_Data[[Date]:[Sunset Time (POA&lt;20 W/m2)]],4,0),"")</f>
        <v>0.77916666666666667</v>
      </c>
      <c r="K1426" s="35">
        <f>IFERROR((TA[[#This Row],[Sunset Time (POA&lt;20 W/m2)]]-TA[[#This Row],[Sunrise Time (POA&gt;20 W/m2)]])*24,"")</f>
        <v>12.499999999999998</v>
      </c>
      <c r="L1426" s="2" t="s">
        <v>294</v>
      </c>
      <c r="M1426" s="42">
        <f>IFERROR(VLOOKUP(TA[[#This Row],[Affected Equipment]],'Basic Data'!$I$2:$K$40,3,0),"")</f>
        <v>1.7241379310344799E-3</v>
      </c>
      <c r="N1426">
        <v>-28</v>
      </c>
      <c r="O1426" t="s">
        <v>133</v>
      </c>
      <c r="P1426" s="127" t="s">
        <v>316</v>
      </c>
      <c r="Q1426" s="126" t="s">
        <v>316</v>
      </c>
      <c r="R1426">
        <v>117</v>
      </c>
      <c r="S1426" s="2">
        <v>20</v>
      </c>
      <c r="T1426" t="s">
        <v>295</v>
      </c>
      <c r="U1426" t="s">
        <v>300</v>
      </c>
      <c r="V1426" t="s">
        <v>298</v>
      </c>
      <c r="W1426" s="41"/>
      <c r="X1426" s="41"/>
      <c r="Y1426" s="34"/>
      <c r="Z1426" s="34"/>
      <c r="AA1426" s="35">
        <f>IF(TA[[#This Row],[Work Start time on Fault]]="NA","",(TA[[#This Row],[Fault Acknowledgement Time ]]-TA[[#This Row],[Fault Time]])*24)</f>
        <v>0</v>
      </c>
      <c r="AB1426" s="35">
        <f>(TA[[#This Row],[Work Start time on Fault]]-TA[[#This Row],[Fault Time]])*24</f>
        <v>0</v>
      </c>
      <c r="AC1426" s="34">
        <f>(TA[[#This Row],[Work Completion time on fault]]-TA[[#This Row],[Fault Time]])*24</f>
        <v>0</v>
      </c>
      <c r="AD1426" s="35">
        <f>IFERROR((TA[[#This Row],[Work Completion time on fault]]-TA[[#This Row],[Fault Time]])*24,"")</f>
        <v>0</v>
      </c>
      <c r="AE1426" t="s">
        <v>328</v>
      </c>
      <c r="AF1426" t="s">
        <v>256</v>
      </c>
      <c r="AG1426" s="2"/>
      <c r="AH1426" s="44">
        <f>1-COS(RADIANS(TA[[#This Row],[Avg. Target Angle during Fault Time (Radians)]]-TA[[#This Row],[Angle of affected equipment ]]))</f>
        <v>0.11705240714107301</v>
      </c>
      <c r="AI1426" s="35">
        <f>IFERROR(TA[[#This Row],[Breakdown Time]]*TA[[#This Row],[Plant Equivalent Weightage]],"")</f>
        <v>0</v>
      </c>
    </row>
    <row r="1427" spans="1:35">
      <c r="A1427" s="2">
        <f t="shared" si="165"/>
        <v>1424</v>
      </c>
      <c r="B1427" s="156">
        <f t="shared" si="170"/>
        <v>2026</v>
      </c>
      <c r="C1427" s="129">
        <f t="shared" si="171"/>
        <v>2025</v>
      </c>
      <c r="D1427" s="2" t="s">
        <v>155</v>
      </c>
      <c r="E1427" s="2" t="s">
        <v>155</v>
      </c>
      <c r="F1427" s="39">
        <v>45839</v>
      </c>
      <c r="G1427" s="2">
        <f>DAY(EOMONTH(TA[[#This Row],[Month Year]],0))</f>
        <v>31</v>
      </c>
      <c r="H1427" s="21">
        <v>45846</v>
      </c>
      <c r="I1427" s="41">
        <f>IFERROR(VLOOKUP(TA[[#This Row],[Date]],Raw_Data[[Date]:[Sunset Time (POA&lt;20 W/m2)]],3,0),"")</f>
        <v>0.25833333333333336</v>
      </c>
      <c r="J1427" s="41">
        <f>IFERROR(VLOOKUP(TA[[#This Row],[Date]],Raw_Data[[Date]:[Sunset Time (POA&lt;20 W/m2)]],4,0),"")</f>
        <v>0.77916666666666667</v>
      </c>
      <c r="K1427" s="35">
        <f>IFERROR((TA[[#This Row],[Sunset Time (POA&lt;20 W/m2)]]-TA[[#This Row],[Sunrise Time (POA&gt;20 W/m2)]])*24,"")</f>
        <v>12.499999999999998</v>
      </c>
      <c r="L1427" s="2" t="s">
        <v>294</v>
      </c>
      <c r="M1427" s="42">
        <f>IFERROR(VLOOKUP(TA[[#This Row],[Affected Equipment]],'Basic Data'!$I$2:$K$40,3,0),"")</f>
        <v>1.7241379310344799E-3</v>
      </c>
      <c r="N1427">
        <v>-28</v>
      </c>
      <c r="O1427" t="s">
        <v>133</v>
      </c>
      <c r="P1427" s="127" t="s">
        <v>316</v>
      </c>
      <c r="Q1427" s="126" t="s">
        <v>316</v>
      </c>
      <c r="R1427">
        <v>118</v>
      </c>
      <c r="S1427" s="2">
        <v>22</v>
      </c>
      <c r="T1427" t="s">
        <v>295</v>
      </c>
      <c r="U1427" t="s">
        <v>300</v>
      </c>
      <c r="V1427" t="s">
        <v>298</v>
      </c>
      <c r="W1427" s="41"/>
      <c r="X1427" s="41"/>
      <c r="Y1427" s="34"/>
      <c r="Z1427" s="34"/>
      <c r="AA1427" s="35">
        <f>IF(TA[[#This Row],[Work Start time on Fault]]="NA","",(TA[[#This Row],[Fault Acknowledgement Time ]]-TA[[#This Row],[Fault Time]])*24)</f>
        <v>0</v>
      </c>
      <c r="AB1427" s="35">
        <f>(TA[[#This Row],[Work Start time on Fault]]-TA[[#This Row],[Fault Time]])*24</f>
        <v>0</v>
      </c>
      <c r="AC1427" s="34">
        <f>(TA[[#This Row],[Work Completion time on fault]]-TA[[#This Row],[Fault Time]])*24</f>
        <v>0</v>
      </c>
      <c r="AD1427" s="35">
        <f>IFERROR((TA[[#This Row],[Work Completion time on fault]]-TA[[#This Row],[Fault Time]])*24,"")</f>
        <v>0</v>
      </c>
      <c r="AE1427" t="s">
        <v>328</v>
      </c>
      <c r="AF1427" t="s">
        <v>256</v>
      </c>
      <c r="AG1427" s="2"/>
      <c r="AH1427" s="44">
        <f>1-COS(RADIANS(TA[[#This Row],[Avg. Target Angle during Fault Time (Radians)]]-TA[[#This Row],[Angle of affected equipment ]]))</f>
        <v>0.11705240714107301</v>
      </c>
      <c r="AI1427" s="35">
        <f>IFERROR(TA[[#This Row],[Breakdown Time]]*TA[[#This Row],[Plant Equivalent Weightage]],"")</f>
        <v>0</v>
      </c>
    </row>
    <row r="1428" spans="1:35">
      <c r="A1428" s="2">
        <f t="shared" si="165"/>
        <v>1425</v>
      </c>
      <c r="B1428" s="156">
        <f t="shared" si="170"/>
        <v>2026</v>
      </c>
      <c r="C1428" s="129">
        <f t="shared" si="171"/>
        <v>2025</v>
      </c>
      <c r="D1428" s="2" t="s">
        <v>155</v>
      </c>
      <c r="E1428" s="2" t="s">
        <v>155</v>
      </c>
      <c r="F1428" s="39">
        <v>45839</v>
      </c>
      <c r="G1428" s="2">
        <f>DAY(EOMONTH(TA[[#This Row],[Month Year]],0))</f>
        <v>31</v>
      </c>
      <c r="H1428" s="21">
        <v>45846</v>
      </c>
      <c r="I1428" s="41">
        <f>IFERROR(VLOOKUP(TA[[#This Row],[Date]],Raw_Data[[Date]:[Sunset Time (POA&lt;20 W/m2)]],3,0),"")</f>
        <v>0.25833333333333336</v>
      </c>
      <c r="J1428" s="41">
        <f>IFERROR(VLOOKUP(TA[[#This Row],[Date]],Raw_Data[[Date]:[Sunset Time (POA&lt;20 W/m2)]],4,0),"")</f>
        <v>0.77916666666666667</v>
      </c>
      <c r="K1428" s="35">
        <f>IFERROR((TA[[#This Row],[Sunset Time (POA&lt;20 W/m2)]]-TA[[#This Row],[Sunrise Time (POA&gt;20 W/m2)]])*24,"")</f>
        <v>12.499999999999998</v>
      </c>
      <c r="L1428" s="2" t="s">
        <v>296</v>
      </c>
      <c r="M1428" s="42">
        <f>IFERROR(VLOOKUP(TA[[#This Row],[Affected Equipment]],'Basic Data'!$I$2:$K$40,3,0),"")</f>
        <v>8.6206896551724102E-3</v>
      </c>
      <c r="N1428">
        <v>-28</v>
      </c>
      <c r="O1428" t="s">
        <v>135</v>
      </c>
      <c r="P1428" s="22" t="s">
        <v>323</v>
      </c>
      <c r="Q1428" s="2" t="s">
        <v>329</v>
      </c>
      <c r="R1428">
        <v>45</v>
      </c>
      <c r="S1428" s="2">
        <v>8</v>
      </c>
      <c r="T1428" t="s">
        <v>297</v>
      </c>
      <c r="U1428" t="s">
        <v>300</v>
      </c>
      <c r="V1428" t="s">
        <v>301</v>
      </c>
      <c r="W1428" s="41"/>
      <c r="X1428" s="41"/>
      <c r="Y1428" s="34"/>
      <c r="Z1428" s="34"/>
      <c r="AA1428" s="35">
        <f>IF(TA[[#This Row],[Work Start time on Fault]]="NA","",(TA[[#This Row],[Fault Acknowledgement Time ]]-TA[[#This Row],[Fault Time]])*24)</f>
        <v>0</v>
      </c>
      <c r="AB1428" s="35">
        <f>(TA[[#This Row],[Work Start time on Fault]]-TA[[#This Row],[Fault Time]])*24</f>
        <v>0</v>
      </c>
      <c r="AC1428" s="34">
        <f>(TA[[#This Row],[Work Completion time on fault]]-TA[[#This Row],[Fault Time]])*24</f>
        <v>0</v>
      </c>
      <c r="AD1428" s="35">
        <f>IFERROR((TA[[#This Row],[Work Completion time on fault]]-TA[[#This Row],[Fault Time]])*24,"")</f>
        <v>0</v>
      </c>
      <c r="AE1428" t="s">
        <v>328</v>
      </c>
      <c r="AF1428" t="s">
        <v>256</v>
      </c>
      <c r="AG1428" s="2"/>
      <c r="AH1428" s="44">
        <f>1-COS(RADIANS(TA[[#This Row],[Avg. Target Angle during Fault Time (Radians)]]-TA[[#This Row],[Angle of affected equipment ]]))</f>
        <v>0.11705240714107301</v>
      </c>
      <c r="AI1428" s="35">
        <f>IFERROR(TA[[#This Row],[Breakdown Time]]*TA[[#This Row],[Plant Equivalent Weightage]],"")</f>
        <v>0</v>
      </c>
    </row>
    <row r="1429" spans="1:35">
      <c r="A1429" s="2">
        <f t="shared" si="165"/>
        <v>1426</v>
      </c>
      <c r="B1429" s="156">
        <f t="shared" si="170"/>
        <v>2026</v>
      </c>
      <c r="C1429" s="129">
        <f t="shared" si="171"/>
        <v>2025</v>
      </c>
      <c r="D1429" s="2" t="s">
        <v>155</v>
      </c>
      <c r="E1429" s="2" t="s">
        <v>155</v>
      </c>
      <c r="F1429" s="39">
        <v>45839</v>
      </c>
      <c r="G1429" s="2">
        <f>DAY(EOMONTH(TA[[#This Row],[Month Year]],0))</f>
        <v>31</v>
      </c>
      <c r="H1429" s="21">
        <v>45846</v>
      </c>
      <c r="I1429" s="41">
        <f>IFERROR(VLOOKUP(TA[[#This Row],[Date]],Raw_Data[[Date]:[Sunset Time (POA&lt;20 W/m2)]],3,0),"")</f>
        <v>0.25833333333333336</v>
      </c>
      <c r="J1429" s="41">
        <f>IFERROR(VLOOKUP(TA[[#This Row],[Date]],Raw_Data[[Date]:[Sunset Time (POA&lt;20 W/m2)]],4,0),"")</f>
        <v>0.77916666666666667</v>
      </c>
      <c r="K1429" s="35">
        <f>IFERROR((TA[[#This Row],[Sunset Time (POA&lt;20 W/m2)]]-TA[[#This Row],[Sunrise Time (POA&gt;20 W/m2)]])*24,"")</f>
        <v>12.499999999999998</v>
      </c>
      <c r="L1429" s="2" t="s">
        <v>296</v>
      </c>
      <c r="M1429" s="42">
        <f>IFERROR(VLOOKUP(TA[[#This Row],[Affected Equipment]],'Basic Data'!$I$2:$K$40,3,0),"")</f>
        <v>8.6206896551724102E-3</v>
      </c>
      <c r="N1429">
        <v>-28</v>
      </c>
      <c r="O1429" t="s">
        <v>135</v>
      </c>
      <c r="P1429" s="22" t="s">
        <v>323</v>
      </c>
      <c r="Q1429" s="2" t="s">
        <v>329</v>
      </c>
      <c r="R1429">
        <v>47</v>
      </c>
      <c r="S1429" s="2">
        <v>18</v>
      </c>
      <c r="T1429" t="s">
        <v>297</v>
      </c>
      <c r="U1429" t="s">
        <v>300</v>
      </c>
      <c r="V1429" t="s">
        <v>301</v>
      </c>
      <c r="W1429" s="41"/>
      <c r="X1429" s="41"/>
      <c r="Y1429" s="34"/>
      <c r="Z1429" s="34"/>
      <c r="AA1429" s="35">
        <f>IF(TA[[#This Row],[Work Start time on Fault]]="NA","",(TA[[#This Row],[Fault Acknowledgement Time ]]-TA[[#This Row],[Fault Time]])*24)</f>
        <v>0</v>
      </c>
      <c r="AB1429" s="35">
        <f>(TA[[#This Row],[Work Start time on Fault]]-TA[[#This Row],[Fault Time]])*24</f>
        <v>0</v>
      </c>
      <c r="AC1429" s="34">
        <f>(TA[[#This Row],[Work Completion time on fault]]-TA[[#This Row],[Fault Time]])*24</f>
        <v>0</v>
      </c>
      <c r="AD1429" s="35">
        <f>IFERROR((TA[[#This Row],[Work Completion time on fault]]-TA[[#This Row],[Fault Time]])*24,"")</f>
        <v>0</v>
      </c>
      <c r="AE1429" t="s">
        <v>328</v>
      </c>
      <c r="AF1429" t="s">
        <v>256</v>
      </c>
      <c r="AG1429" s="2"/>
      <c r="AH1429" s="44">
        <f>1-COS(RADIANS(TA[[#This Row],[Avg. Target Angle during Fault Time (Radians)]]-TA[[#This Row],[Angle of affected equipment ]]))</f>
        <v>0.11705240714107301</v>
      </c>
      <c r="AI1429" s="35">
        <f>IFERROR(TA[[#This Row],[Breakdown Time]]*TA[[#This Row],[Plant Equivalent Weightage]],"")</f>
        <v>0</v>
      </c>
    </row>
    <row r="1430" spans="1:35">
      <c r="A1430" s="2">
        <f t="shared" si="165"/>
        <v>1427</v>
      </c>
      <c r="B1430" s="156">
        <f t="shared" si="170"/>
        <v>2026</v>
      </c>
      <c r="C1430" s="129">
        <f t="shared" si="171"/>
        <v>2025</v>
      </c>
      <c r="D1430" s="2" t="s">
        <v>155</v>
      </c>
      <c r="E1430" s="2" t="s">
        <v>155</v>
      </c>
      <c r="F1430" s="39">
        <v>45839</v>
      </c>
      <c r="G1430" s="2">
        <f>DAY(EOMONTH(TA[[#This Row],[Month Year]],0))</f>
        <v>31</v>
      </c>
      <c r="H1430" s="21">
        <v>45846</v>
      </c>
      <c r="I1430" s="41">
        <f>IFERROR(VLOOKUP(TA[[#This Row],[Date]],Raw_Data[[Date]:[Sunset Time (POA&lt;20 W/m2)]],3,0),"")</f>
        <v>0.25833333333333336</v>
      </c>
      <c r="J1430" s="41">
        <f>IFERROR(VLOOKUP(TA[[#This Row],[Date]],Raw_Data[[Date]:[Sunset Time (POA&lt;20 W/m2)]],4,0),"")</f>
        <v>0.77916666666666667</v>
      </c>
      <c r="K1430" s="35">
        <f>IFERROR((TA[[#This Row],[Sunset Time (POA&lt;20 W/m2)]]-TA[[#This Row],[Sunrise Time (POA&gt;20 W/m2)]])*24,"")</f>
        <v>12.499999999999998</v>
      </c>
      <c r="L1430" s="2" t="s">
        <v>296</v>
      </c>
      <c r="M1430" s="42">
        <f>IFERROR(VLOOKUP(TA[[#This Row],[Affected Equipment]],'Basic Data'!$I$2:$K$40,3,0),"")</f>
        <v>8.6206896551724102E-3</v>
      </c>
      <c r="N1430">
        <v>-28</v>
      </c>
      <c r="O1430" t="s">
        <v>134</v>
      </c>
      <c r="P1430" s="22" t="s">
        <v>330</v>
      </c>
      <c r="Q1430" s="2" t="s">
        <v>323</v>
      </c>
      <c r="R1430">
        <v>30</v>
      </c>
      <c r="S1430" s="2">
        <v>57</v>
      </c>
      <c r="T1430" t="s">
        <v>297</v>
      </c>
      <c r="U1430" t="s">
        <v>300</v>
      </c>
      <c r="V1430" t="s">
        <v>301</v>
      </c>
      <c r="W1430" s="41"/>
      <c r="X1430" s="41"/>
      <c r="Y1430" s="34"/>
      <c r="Z1430" s="34"/>
      <c r="AA1430" s="35">
        <f>IF(TA[[#This Row],[Work Start time on Fault]]="NA","",(TA[[#This Row],[Fault Acknowledgement Time ]]-TA[[#This Row],[Fault Time]])*24)</f>
        <v>0</v>
      </c>
      <c r="AB1430" s="35">
        <f>(TA[[#This Row],[Work Start time on Fault]]-TA[[#This Row],[Fault Time]])*24</f>
        <v>0</v>
      </c>
      <c r="AC1430" s="34">
        <f>(TA[[#This Row],[Work Completion time on fault]]-TA[[#This Row],[Fault Time]])*24</f>
        <v>0</v>
      </c>
      <c r="AD1430" s="35">
        <f>IFERROR((TA[[#This Row],[Work Completion time on fault]]-TA[[#This Row],[Fault Time]])*24,"")</f>
        <v>0</v>
      </c>
      <c r="AE1430" t="s">
        <v>328</v>
      </c>
      <c r="AF1430" t="s">
        <v>256</v>
      </c>
      <c r="AG1430" s="2"/>
      <c r="AH1430" s="44">
        <f>1-COS(RADIANS(TA[[#This Row],[Avg. Target Angle during Fault Time (Radians)]]-TA[[#This Row],[Angle of affected equipment ]]))</f>
        <v>0.11705240714107301</v>
      </c>
      <c r="AI1430" s="35">
        <f>IFERROR(TA[[#This Row],[Breakdown Time]]*TA[[#This Row],[Plant Equivalent Weightage]],"")</f>
        <v>0</v>
      </c>
    </row>
    <row r="1431" spans="1:35">
      <c r="A1431" s="2">
        <f t="shared" si="165"/>
        <v>1428</v>
      </c>
      <c r="B1431" s="156">
        <f t="shared" si="170"/>
        <v>2026</v>
      </c>
      <c r="C1431" s="129">
        <f t="shared" si="171"/>
        <v>2025</v>
      </c>
      <c r="D1431" s="2" t="s">
        <v>155</v>
      </c>
      <c r="E1431" s="2" t="s">
        <v>155</v>
      </c>
      <c r="F1431" s="39">
        <v>45839</v>
      </c>
      <c r="G1431" s="2">
        <f>DAY(EOMONTH(TA[[#This Row],[Month Year]],0))</f>
        <v>31</v>
      </c>
      <c r="H1431" s="21">
        <v>45846</v>
      </c>
      <c r="I1431" s="41">
        <f>IFERROR(VLOOKUP(TA[[#This Row],[Date]],Raw_Data[[Date]:[Sunset Time (POA&lt;20 W/m2)]],3,0),"")</f>
        <v>0.25833333333333336</v>
      </c>
      <c r="J1431" s="41">
        <f>IFERROR(VLOOKUP(TA[[#This Row],[Date]],Raw_Data[[Date]:[Sunset Time (POA&lt;20 W/m2)]],4,0),"")</f>
        <v>0.77916666666666667</v>
      </c>
      <c r="K1431" s="35">
        <f>IFERROR((TA[[#This Row],[Sunset Time (POA&lt;20 W/m2)]]-TA[[#This Row],[Sunrise Time (POA&gt;20 W/m2)]])*24,"")</f>
        <v>12.499999999999998</v>
      </c>
      <c r="L1431" s="2" t="s">
        <v>296</v>
      </c>
      <c r="M1431" s="42">
        <f>IFERROR(VLOOKUP(TA[[#This Row],[Affected Equipment]],'Basic Data'!$I$2:$K$40,3,0),"")</f>
        <v>8.6206896551724102E-3</v>
      </c>
      <c r="N1431">
        <v>-28</v>
      </c>
      <c r="O1431" t="s">
        <v>134</v>
      </c>
      <c r="P1431" s="22" t="s">
        <v>330</v>
      </c>
      <c r="Q1431" s="2" t="s">
        <v>323</v>
      </c>
      <c r="R1431">
        <v>31</v>
      </c>
      <c r="S1431" s="2">
        <v>61</v>
      </c>
      <c r="T1431" t="s">
        <v>297</v>
      </c>
      <c r="U1431" t="s">
        <v>300</v>
      </c>
      <c r="V1431" t="s">
        <v>301</v>
      </c>
      <c r="W1431" s="41"/>
      <c r="X1431" s="41"/>
      <c r="Y1431" s="34"/>
      <c r="Z1431" s="34"/>
      <c r="AA1431" s="35">
        <f>IF(TA[[#This Row],[Work Start time on Fault]]="NA","",(TA[[#This Row],[Fault Acknowledgement Time ]]-TA[[#This Row],[Fault Time]])*24)</f>
        <v>0</v>
      </c>
      <c r="AB1431" s="35">
        <f>(TA[[#This Row],[Work Start time on Fault]]-TA[[#This Row],[Fault Time]])*24</f>
        <v>0</v>
      </c>
      <c r="AC1431" s="34">
        <f>(TA[[#This Row],[Work Completion time on fault]]-TA[[#This Row],[Fault Time]])*24</f>
        <v>0</v>
      </c>
      <c r="AD1431" s="35">
        <f>IFERROR((TA[[#This Row],[Work Completion time on fault]]-TA[[#This Row],[Fault Time]])*24,"")</f>
        <v>0</v>
      </c>
      <c r="AE1431" t="s">
        <v>328</v>
      </c>
      <c r="AF1431" t="s">
        <v>256</v>
      </c>
      <c r="AG1431" s="2"/>
      <c r="AH1431" s="44">
        <f>1-COS(RADIANS(TA[[#This Row],[Avg. Target Angle during Fault Time (Radians)]]-TA[[#This Row],[Angle of affected equipment ]]))</f>
        <v>0.11705240714107301</v>
      </c>
      <c r="AI1431" s="35">
        <f>IFERROR(TA[[#This Row],[Breakdown Time]]*TA[[#This Row],[Plant Equivalent Weightage]],"")</f>
        <v>0</v>
      </c>
    </row>
    <row r="1432" spans="1:35">
      <c r="A1432" s="2">
        <f t="shared" si="165"/>
        <v>1429</v>
      </c>
      <c r="B1432" s="156">
        <f t="shared" si="170"/>
        <v>2026</v>
      </c>
      <c r="C1432" s="129">
        <f t="shared" si="171"/>
        <v>2025</v>
      </c>
      <c r="D1432" s="2" t="s">
        <v>155</v>
      </c>
      <c r="E1432" s="2" t="s">
        <v>155</v>
      </c>
      <c r="F1432" s="39">
        <v>45839</v>
      </c>
      <c r="G1432" s="2">
        <f>DAY(EOMONTH(TA[[#This Row],[Month Year]],0))</f>
        <v>31</v>
      </c>
      <c r="H1432" s="21">
        <v>45846</v>
      </c>
      <c r="I1432" s="41">
        <f>IFERROR(VLOOKUP(TA[[#This Row],[Date]],Raw_Data[[Date]:[Sunset Time (POA&lt;20 W/m2)]],3,0),"")</f>
        <v>0.25833333333333336</v>
      </c>
      <c r="J1432" s="41">
        <f>IFERROR(VLOOKUP(TA[[#This Row],[Date]],Raw_Data[[Date]:[Sunset Time (POA&lt;20 W/m2)]],4,0),"")</f>
        <v>0.77916666666666667</v>
      </c>
      <c r="K1432" s="35">
        <f>IFERROR((TA[[#This Row],[Sunset Time (POA&lt;20 W/m2)]]-TA[[#This Row],[Sunrise Time (POA&gt;20 W/m2)]])*24,"")</f>
        <v>12.499999999999998</v>
      </c>
      <c r="L1432" s="2" t="s">
        <v>312</v>
      </c>
      <c r="M1432" s="42">
        <f>IFERROR(VLOOKUP(TA[[#This Row],[Affected Equipment]],'Basic Data'!$I$2:$K$40,3,0),"")</f>
        <v>5.74712643678161E-3</v>
      </c>
      <c r="N1432">
        <v>-28</v>
      </c>
      <c r="O1432" t="s">
        <v>133</v>
      </c>
      <c r="P1432" s="22" t="s">
        <v>330</v>
      </c>
      <c r="Q1432" s="2" t="s">
        <v>323</v>
      </c>
      <c r="R1432">
        <v>26</v>
      </c>
      <c r="S1432" s="2">
        <v>37</v>
      </c>
      <c r="T1432" t="s">
        <v>297</v>
      </c>
      <c r="U1432" t="s">
        <v>300</v>
      </c>
      <c r="V1432" t="s">
        <v>301</v>
      </c>
      <c r="W1432" s="41"/>
      <c r="X1432" s="41"/>
      <c r="Y1432" s="34"/>
      <c r="Z1432" s="34"/>
      <c r="AA1432" s="35">
        <f>IF(TA[[#This Row],[Work Start time on Fault]]="NA","",(TA[[#This Row],[Fault Acknowledgement Time ]]-TA[[#This Row],[Fault Time]])*24)</f>
        <v>0</v>
      </c>
      <c r="AB1432" s="35">
        <f>(TA[[#This Row],[Work Start time on Fault]]-TA[[#This Row],[Fault Time]])*24</f>
        <v>0</v>
      </c>
      <c r="AC1432" s="34">
        <f>(TA[[#This Row],[Work Completion time on fault]]-TA[[#This Row],[Fault Time]])*24</f>
        <v>0</v>
      </c>
      <c r="AD1432" s="35">
        <f>IFERROR((TA[[#This Row],[Work Completion time on fault]]-TA[[#This Row],[Fault Time]])*24,"")</f>
        <v>0</v>
      </c>
      <c r="AE1432" t="s">
        <v>328</v>
      </c>
      <c r="AF1432" t="s">
        <v>256</v>
      </c>
      <c r="AG1432" s="2"/>
      <c r="AH1432" s="44">
        <f>1-COS(RADIANS(TA[[#This Row],[Avg. Target Angle during Fault Time (Radians)]]-TA[[#This Row],[Angle of affected equipment ]]))</f>
        <v>0.11705240714107301</v>
      </c>
      <c r="AI1432" s="35">
        <f>IFERROR(TA[[#This Row],[Breakdown Time]]*TA[[#This Row],[Plant Equivalent Weightage]],"")</f>
        <v>0</v>
      </c>
    </row>
    <row r="1433" spans="1:35">
      <c r="A1433" s="2">
        <f t="shared" si="165"/>
        <v>1430</v>
      </c>
      <c r="B1433" s="156">
        <f t="shared" si="170"/>
        <v>2026</v>
      </c>
      <c r="C1433" s="129">
        <f t="shared" si="171"/>
        <v>2025</v>
      </c>
      <c r="D1433" s="2" t="s">
        <v>155</v>
      </c>
      <c r="E1433" s="2" t="s">
        <v>155</v>
      </c>
      <c r="F1433" s="39">
        <v>45839</v>
      </c>
      <c r="G1433" s="2">
        <f>DAY(EOMONTH(TA[[#This Row],[Month Year]],0))</f>
        <v>31</v>
      </c>
      <c r="H1433" s="21">
        <v>45846</v>
      </c>
      <c r="I1433" s="41">
        <f>IFERROR(VLOOKUP(TA[[#This Row],[Date]],Raw_Data[[Date]:[Sunset Time (POA&lt;20 W/m2)]],3,0),"")</f>
        <v>0.25833333333333336</v>
      </c>
      <c r="J1433" s="41">
        <f>IFERROR(VLOOKUP(TA[[#This Row],[Date]],Raw_Data[[Date]:[Sunset Time (POA&lt;20 W/m2)]],4,0),"")</f>
        <v>0.77916666666666667</v>
      </c>
      <c r="K1433" s="35">
        <f>IFERROR((TA[[#This Row],[Sunset Time (POA&lt;20 W/m2)]]-TA[[#This Row],[Sunrise Time (POA&gt;20 W/m2)]])*24,"")</f>
        <v>12.499999999999998</v>
      </c>
      <c r="L1433" s="2" t="s">
        <v>312</v>
      </c>
      <c r="M1433" s="42">
        <f>IFERROR(VLOOKUP(TA[[#This Row],[Affected Equipment]],'Basic Data'!$I$2:$K$40,3,0),"")</f>
        <v>5.74712643678161E-3</v>
      </c>
      <c r="N1433">
        <v>-28</v>
      </c>
      <c r="O1433" t="s">
        <v>133</v>
      </c>
      <c r="P1433" s="22" t="s">
        <v>330</v>
      </c>
      <c r="Q1433" s="2" t="s">
        <v>323</v>
      </c>
      <c r="R1433">
        <v>27</v>
      </c>
      <c r="S1433" s="2">
        <v>42</v>
      </c>
      <c r="T1433" t="s">
        <v>297</v>
      </c>
      <c r="U1433" t="s">
        <v>300</v>
      </c>
      <c r="V1433" t="s">
        <v>301</v>
      </c>
      <c r="W1433" s="41">
        <f>IFERROR(VLOOKUP(TA[[#This Row],[Date]],Raw_Data[[Date]:[Sunset Time (POA&lt;20 W/m2)]],3,0),"")</f>
        <v>0.25833333333333336</v>
      </c>
      <c r="X1433" s="41">
        <f>IFERROR(VLOOKUP(TA[[#This Row],[Date]],Raw_Data[[Date]:[Sunset Time (POA&lt;20 W/m2)]],3,0),"")</f>
        <v>0.25833333333333336</v>
      </c>
      <c r="Y1433" s="34"/>
      <c r="Z1433" s="34">
        <v>0.76041666666666663</v>
      </c>
      <c r="AA1433" s="35">
        <f>IF(TA[[#This Row],[Work Start time on Fault]]="NA","",(TA[[#This Row],[Fault Acknowledgement Time ]]-TA[[#This Row],[Fault Time]])*24)</f>
        <v>0</v>
      </c>
      <c r="AB1433" s="35">
        <f>(TA[[#This Row],[Work Start time on Fault]]-TA[[#This Row],[Fault Time]])*24</f>
        <v>-6.2000000000000011</v>
      </c>
      <c r="AC1433" s="34">
        <f>(TA[[#This Row],[Work Completion time on fault]]-TA[[#This Row],[Fault Time]])*24</f>
        <v>12.049999999999997</v>
      </c>
      <c r="AD1433" s="35">
        <f>IFERROR((TA[[#This Row],[Work Completion time on fault]]-TA[[#This Row],[Fault Time]])*24,"")</f>
        <v>12.049999999999997</v>
      </c>
      <c r="AE1433" t="s">
        <v>309</v>
      </c>
      <c r="AF1433" t="s">
        <v>256</v>
      </c>
      <c r="AG1433" s="2"/>
      <c r="AH1433" s="44">
        <f>1-COS(RADIANS(TA[[#This Row],[Avg. Target Angle during Fault Time (Radians)]]-TA[[#This Row],[Angle of affected equipment ]]))</f>
        <v>0.11705240714107301</v>
      </c>
      <c r="AI1433" s="35">
        <f>IFERROR(TA[[#This Row],[Breakdown Time]]*TA[[#This Row],[Plant Equivalent Weightage]],"")</f>
        <v>6.9252873563218381E-2</v>
      </c>
    </row>
    <row r="1434" spans="1:35">
      <c r="A1434" s="2">
        <f t="shared" si="165"/>
        <v>1431</v>
      </c>
      <c r="B1434" s="156">
        <f t="shared" ref="B1434:B1446" si="172">YEAR(H1434)+IF(MONTH(H1434)&gt;=4,1,0)</f>
        <v>2026</v>
      </c>
      <c r="C1434" s="129">
        <f t="shared" ref="C1434:C1446" si="173">YEAR(H1434)</f>
        <v>2025</v>
      </c>
      <c r="D1434" s="2" t="s">
        <v>155</v>
      </c>
      <c r="E1434" s="2" t="s">
        <v>155</v>
      </c>
      <c r="F1434" s="39">
        <v>45839</v>
      </c>
      <c r="G1434" s="2">
        <f>DAY(EOMONTH(TA[[#This Row],[Month Year]],0))</f>
        <v>31</v>
      </c>
      <c r="H1434" s="21">
        <v>45847</v>
      </c>
      <c r="I1434" s="41">
        <f>IFERROR(VLOOKUP(TA[[#This Row],[Date]],Raw_Data[[Date]:[Sunset Time (POA&lt;20 W/m2)]],3,0),"")</f>
        <v>0.2590277777777778</v>
      </c>
      <c r="J1434" s="41">
        <f>IFERROR(VLOOKUP(TA[[#This Row],[Date]],Raw_Data[[Date]:[Sunset Time (POA&lt;20 W/m2)]],4,0),"")</f>
        <v>0.77222222222222225</v>
      </c>
      <c r="K1434" s="35">
        <f>IFERROR((TA[[#This Row],[Sunset Time (POA&lt;20 W/m2)]]-TA[[#This Row],[Sunrise Time (POA&gt;20 W/m2)]])*24,"")</f>
        <v>12.316666666666668</v>
      </c>
      <c r="L1434" s="2" t="s">
        <v>294</v>
      </c>
      <c r="M1434" s="42">
        <f>IFERROR(VLOOKUP(TA[[#This Row],[Affected Equipment]],'Basic Data'!$I$2:$K$40,3,0),"")</f>
        <v>1.7241379310344799E-3</v>
      </c>
      <c r="N1434">
        <v>-28</v>
      </c>
      <c r="O1434" t="s">
        <v>135</v>
      </c>
      <c r="P1434" s="127" t="s">
        <v>318</v>
      </c>
      <c r="Q1434" s="126" t="s">
        <v>318</v>
      </c>
      <c r="R1434">
        <v>131</v>
      </c>
      <c r="S1434" s="2">
        <v>38</v>
      </c>
      <c r="T1434" t="s">
        <v>295</v>
      </c>
      <c r="U1434" t="s">
        <v>300</v>
      </c>
      <c r="V1434" t="s">
        <v>298</v>
      </c>
      <c r="W1434" s="41"/>
      <c r="X1434" s="41"/>
      <c r="Y1434" s="34"/>
      <c r="Z1434" s="34"/>
      <c r="AA1434" s="35">
        <f>IF(TA[[#This Row],[Work Start time on Fault]]="NA","",(TA[[#This Row],[Fault Acknowledgement Time ]]-TA[[#This Row],[Fault Time]])*24)</f>
        <v>0</v>
      </c>
      <c r="AB1434" s="35">
        <f>(TA[[#This Row],[Work Start time on Fault]]-TA[[#This Row],[Fault Time]])*24</f>
        <v>0</v>
      </c>
      <c r="AC1434" s="34">
        <f>(TA[[#This Row],[Work Completion time on fault]]-TA[[#This Row],[Fault Time]])*24</f>
        <v>0</v>
      </c>
      <c r="AD1434" s="35">
        <f>IFERROR((TA[[#This Row],[Work Completion time on fault]]-TA[[#This Row],[Fault Time]])*24,"")</f>
        <v>0</v>
      </c>
      <c r="AE1434" t="s">
        <v>328</v>
      </c>
      <c r="AF1434" t="s">
        <v>256</v>
      </c>
      <c r="AG1434" s="2"/>
      <c r="AH1434" s="44">
        <f>1-COS(RADIANS(TA[[#This Row],[Avg. Target Angle during Fault Time (Radians)]]-TA[[#This Row],[Angle of affected equipment ]]))</f>
        <v>0.11705240714107301</v>
      </c>
      <c r="AI1434" s="35">
        <f>IFERROR(TA[[#This Row],[Breakdown Time]]*TA[[#This Row],[Plant Equivalent Weightage]],"")</f>
        <v>0</v>
      </c>
    </row>
    <row r="1435" spans="1:35">
      <c r="A1435" s="2">
        <f t="shared" si="165"/>
        <v>1432</v>
      </c>
      <c r="B1435" s="156">
        <f t="shared" si="172"/>
        <v>2026</v>
      </c>
      <c r="C1435" s="129">
        <f t="shared" si="173"/>
        <v>2025</v>
      </c>
      <c r="D1435" s="2" t="s">
        <v>155</v>
      </c>
      <c r="E1435" s="2" t="s">
        <v>155</v>
      </c>
      <c r="F1435" s="39">
        <v>45839</v>
      </c>
      <c r="G1435" s="2">
        <f>DAY(EOMONTH(TA[[#This Row],[Month Year]],0))</f>
        <v>31</v>
      </c>
      <c r="H1435" s="21">
        <v>45847</v>
      </c>
      <c r="I1435" s="41">
        <f>IFERROR(VLOOKUP(TA[[#This Row],[Date]],Raw_Data[[Date]:[Sunset Time (POA&lt;20 W/m2)]],3,0),"")</f>
        <v>0.2590277777777778</v>
      </c>
      <c r="J1435" s="41">
        <f>IFERROR(VLOOKUP(TA[[#This Row],[Date]],Raw_Data[[Date]:[Sunset Time (POA&lt;20 W/m2)]],4,0),"")</f>
        <v>0.77222222222222225</v>
      </c>
      <c r="K1435" s="35">
        <f>IFERROR((TA[[#This Row],[Sunset Time (POA&lt;20 W/m2)]]-TA[[#This Row],[Sunrise Time (POA&gt;20 W/m2)]])*24,"")</f>
        <v>12.316666666666668</v>
      </c>
      <c r="L1435" s="2" t="s">
        <v>294</v>
      </c>
      <c r="M1435" s="42">
        <f>IFERROR(VLOOKUP(TA[[#This Row],[Affected Equipment]],'Basic Data'!$I$2:$K$40,3,0),"")</f>
        <v>1.7241379310344799E-3</v>
      </c>
      <c r="N1435">
        <v>-28</v>
      </c>
      <c r="O1435" t="s">
        <v>135</v>
      </c>
      <c r="P1435" s="127" t="s">
        <v>318</v>
      </c>
      <c r="Q1435" s="126" t="s">
        <v>318</v>
      </c>
      <c r="R1435">
        <v>131</v>
      </c>
      <c r="S1435" s="2">
        <v>39</v>
      </c>
      <c r="T1435" t="s">
        <v>295</v>
      </c>
      <c r="U1435" t="s">
        <v>300</v>
      </c>
      <c r="V1435" t="s">
        <v>298</v>
      </c>
      <c r="W1435" s="41"/>
      <c r="X1435" s="41"/>
      <c r="Y1435" s="34"/>
      <c r="Z1435" s="34"/>
      <c r="AA1435" s="35">
        <f>IF(TA[[#This Row],[Work Start time on Fault]]="NA","",(TA[[#This Row],[Fault Acknowledgement Time ]]-TA[[#This Row],[Fault Time]])*24)</f>
        <v>0</v>
      </c>
      <c r="AB1435" s="35">
        <f>(TA[[#This Row],[Work Start time on Fault]]-TA[[#This Row],[Fault Time]])*24</f>
        <v>0</v>
      </c>
      <c r="AC1435" s="34">
        <f>(TA[[#This Row],[Work Completion time on fault]]-TA[[#This Row],[Fault Time]])*24</f>
        <v>0</v>
      </c>
      <c r="AD1435" s="35">
        <f>IFERROR((TA[[#This Row],[Work Completion time on fault]]-TA[[#This Row],[Fault Time]])*24,"")</f>
        <v>0</v>
      </c>
      <c r="AE1435" t="s">
        <v>328</v>
      </c>
      <c r="AF1435" t="s">
        <v>256</v>
      </c>
      <c r="AG1435" s="2"/>
      <c r="AH1435" s="44">
        <f>1-COS(RADIANS(TA[[#This Row],[Avg. Target Angle during Fault Time (Radians)]]-TA[[#This Row],[Angle of affected equipment ]]))</f>
        <v>0.11705240714107301</v>
      </c>
      <c r="AI1435" s="35">
        <f>IFERROR(TA[[#This Row],[Breakdown Time]]*TA[[#This Row],[Plant Equivalent Weightage]],"")</f>
        <v>0</v>
      </c>
    </row>
    <row r="1436" spans="1:35">
      <c r="A1436" s="2">
        <f t="shared" si="165"/>
        <v>1433</v>
      </c>
      <c r="B1436" s="156">
        <f t="shared" si="172"/>
        <v>2026</v>
      </c>
      <c r="C1436" s="129">
        <f t="shared" si="173"/>
        <v>2025</v>
      </c>
      <c r="D1436" s="2" t="s">
        <v>155</v>
      </c>
      <c r="E1436" s="2" t="s">
        <v>155</v>
      </c>
      <c r="F1436" s="39">
        <v>45839</v>
      </c>
      <c r="G1436" s="2">
        <f>DAY(EOMONTH(TA[[#This Row],[Month Year]],0))</f>
        <v>31</v>
      </c>
      <c r="H1436" s="21">
        <v>45847</v>
      </c>
      <c r="I1436" s="41">
        <f>IFERROR(VLOOKUP(TA[[#This Row],[Date]],Raw_Data[[Date]:[Sunset Time (POA&lt;20 W/m2)]],3,0),"")</f>
        <v>0.2590277777777778</v>
      </c>
      <c r="J1436" s="41">
        <f>IFERROR(VLOOKUP(TA[[#This Row],[Date]],Raw_Data[[Date]:[Sunset Time (POA&lt;20 W/m2)]],4,0),"")</f>
        <v>0.77222222222222225</v>
      </c>
      <c r="K1436" s="35">
        <f>IFERROR((TA[[#This Row],[Sunset Time (POA&lt;20 W/m2)]]-TA[[#This Row],[Sunrise Time (POA&gt;20 W/m2)]])*24,"")</f>
        <v>12.316666666666668</v>
      </c>
      <c r="L1436" s="2" t="s">
        <v>296</v>
      </c>
      <c r="M1436" s="42">
        <f>IFERROR(VLOOKUP(TA[[#This Row],[Affected Equipment]],'Basic Data'!$I$2:$K$40,3,0),"")</f>
        <v>8.6206896551724102E-3</v>
      </c>
      <c r="N1436">
        <v>-28</v>
      </c>
      <c r="O1436" t="s">
        <v>135</v>
      </c>
      <c r="P1436" s="127" t="s">
        <v>318</v>
      </c>
      <c r="Q1436" s="2" t="s">
        <v>321</v>
      </c>
      <c r="R1436">
        <v>133</v>
      </c>
      <c r="S1436" s="2">
        <v>26</v>
      </c>
      <c r="T1436" t="s">
        <v>297</v>
      </c>
      <c r="U1436" t="s">
        <v>300</v>
      </c>
      <c r="V1436" t="s">
        <v>314</v>
      </c>
      <c r="W1436" s="41">
        <f>IFERROR(VLOOKUP(TA[[#This Row],[Date]],Raw_Data[[Date]:[Sunset Time (POA&lt;20 W/m2)]],3,0),"")</f>
        <v>0.2590277777777778</v>
      </c>
      <c r="X1436" s="41">
        <f>IFERROR(VLOOKUP(TA[[#This Row],[Date]],Raw_Data[[Date]:[Sunset Time (POA&lt;20 W/m2)]],3,0),"")</f>
        <v>0.2590277777777778</v>
      </c>
      <c r="Y1436" s="34"/>
      <c r="Z1436" s="34">
        <v>0.76041666666666663</v>
      </c>
      <c r="AA1436" s="35">
        <f>IF(TA[[#This Row],[Work Start time on Fault]]="NA","",(TA[[#This Row],[Fault Acknowledgement Time ]]-TA[[#This Row],[Fault Time]])*24)</f>
        <v>0</v>
      </c>
      <c r="AB1436" s="35">
        <f>(TA[[#This Row],[Work Start time on Fault]]-TA[[#This Row],[Fault Time]])*24</f>
        <v>-6.2166666666666668</v>
      </c>
      <c r="AC1436" s="34">
        <f>(TA[[#This Row],[Work Completion time on fault]]-TA[[#This Row],[Fault Time]])*24</f>
        <v>12.033333333333333</v>
      </c>
      <c r="AD1436" s="35">
        <f>IFERROR((TA[[#This Row],[Work Completion time on fault]]-TA[[#This Row],[Fault Time]])*24,"")</f>
        <v>12.033333333333333</v>
      </c>
      <c r="AE1436" t="s">
        <v>328</v>
      </c>
      <c r="AF1436" t="s">
        <v>256</v>
      </c>
      <c r="AG1436" s="2"/>
      <c r="AH1436" s="44">
        <f>1-COS(RADIANS(TA[[#This Row],[Avg. Target Angle during Fault Time (Radians)]]-TA[[#This Row],[Angle of affected equipment ]]))</f>
        <v>0.11705240714107301</v>
      </c>
      <c r="AI1436" s="35">
        <f>IFERROR(TA[[#This Row],[Breakdown Time]]*TA[[#This Row],[Plant Equivalent Weightage]],"")</f>
        <v>0.10373563218390801</v>
      </c>
    </row>
    <row r="1437" spans="1:35">
      <c r="A1437" s="2">
        <f t="shared" si="165"/>
        <v>1434</v>
      </c>
      <c r="B1437" s="156">
        <f t="shared" si="172"/>
        <v>2026</v>
      </c>
      <c r="C1437" s="129">
        <f t="shared" si="173"/>
        <v>2025</v>
      </c>
      <c r="D1437" s="2" t="s">
        <v>155</v>
      </c>
      <c r="E1437" s="2" t="s">
        <v>155</v>
      </c>
      <c r="F1437" s="39">
        <v>45839</v>
      </c>
      <c r="G1437" s="2">
        <f>DAY(EOMONTH(TA[[#This Row],[Month Year]],0))</f>
        <v>31</v>
      </c>
      <c r="H1437" s="21">
        <v>45847</v>
      </c>
      <c r="I1437" s="41">
        <f>IFERROR(VLOOKUP(TA[[#This Row],[Date]],Raw_Data[[Date]:[Sunset Time (POA&lt;20 W/m2)]],3,0),"")</f>
        <v>0.2590277777777778</v>
      </c>
      <c r="J1437" s="41">
        <f>IFERROR(VLOOKUP(TA[[#This Row],[Date]],Raw_Data[[Date]:[Sunset Time (POA&lt;20 W/m2)]],4,0),"")</f>
        <v>0.77222222222222225</v>
      </c>
      <c r="K1437" s="35">
        <f>IFERROR((TA[[#This Row],[Sunset Time (POA&lt;20 W/m2)]]-TA[[#This Row],[Sunrise Time (POA&gt;20 W/m2)]])*24,"")</f>
        <v>12.316666666666668</v>
      </c>
      <c r="L1437" s="2" t="s">
        <v>294</v>
      </c>
      <c r="M1437" s="42">
        <f>IFERROR(VLOOKUP(TA[[#This Row],[Affected Equipment]],'Basic Data'!$I$2:$K$40,3,0),"")</f>
        <v>1.7241379310344799E-3</v>
      </c>
      <c r="N1437">
        <v>-28</v>
      </c>
      <c r="O1437" t="s">
        <v>133</v>
      </c>
      <c r="P1437" s="127" t="s">
        <v>316</v>
      </c>
      <c r="Q1437" s="126" t="s">
        <v>317</v>
      </c>
      <c r="R1437">
        <v>7</v>
      </c>
      <c r="S1437" s="2">
        <v>32</v>
      </c>
      <c r="T1437" t="s">
        <v>295</v>
      </c>
      <c r="U1437" t="s">
        <v>300</v>
      </c>
      <c r="V1437" t="s">
        <v>298</v>
      </c>
      <c r="W1437" s="41"/>
      <c r="X1437" s="41"/>
      <c r="Y1437" s="34"/>
      <c r="Z1437" s="34"/>
      <c r="AA1437" s="35">
        <f>IF(TA[[#This Row],[Work Start time on Fault]]="NA","",(TA[[#This Row],[Fault Acknowledgement Time ]]-TA[[#This Row],[Fault Time]])*24)</f>
        <v>0</v>
      </c>
      <c r="AB1437" s="35">
        <f>(TA[[#This Row],[Work Start time on Fault]]-TA[[#This Row],[Fault Time]])*24</f>
        <v>0</v>
      </c>
      <c r="AC1437" s="34">
        <f>(TA[[#This Row],[Work Completion time on fault]]-TA[[#This Row],[Fault Time]])*24</f>
        <v>0</v>
      </c>
      <c r="AD1437" s="35">
        <f>IFERROR((TA[[#This Row],[Work Completion time on fault]]-TA[[#This Row],[Fault Time]])*24,"")</f>
        <v>0</v>
      </c>
      <c r="AE1437" t="s">
        <v>328</v>
      </c>
      <c r="AF1437" t="s">
        <v>256</v>
      </c>
      <c r="AG1437" s="2"/>
      <c r="AH1437" s="44">
        <f>1-COS(RADIANS(TA[[#This Row],[Avg. Target Angle during Fault Time (Radians)]]-TA[[#This Row],[Angle of affected equipment ]]))</f>
        <v>0.11705240714107301</v>
      </c>
      <c r="AI1437" s="35">
        <f>IFERROR(TA[[#This Row],[Breakdown Time]]*TA[[#This Row],[Plant Equivalent Weightage]],"")</f>
        <v>0</v>
      </c>
    </row>
    <row r="1438" spans="1:35">
      <c r="A1438" s="2">
        <f t="shared" si="165"/>
        <v>1435</v>
      </c>
      <c r="B1438" s="156">
        <f t="shared" si="172"/>
        <v>2026</v>
      </c>
      <c r="C1438" s="129">
        <f t="shared" si="173"/>
        <v>2025</v>
      </c>
      <c r="D1438" s="2" t="s">
        <v>155</v>
      </c>
      <c r="E1438" s="2" t="s">
        <v>155</v>
      </c>
      <c r="F1438" s="39">
        <v>45839</v>
      </c>
      <c r="G1438" s="2">
        <f>DAY(EOMONTH(TA[[#This Row],[Month Year]],0))</f>
        <v>31</v>
      </c>
      <c r="H1438" s="21">
        <v>45847</v>
      </c>
      <c r="I1438" s="41">
        <f>IFERROR(VLOOKUP(TA[[#This Row],[Date]],Raw_Data[[Date]:[Sunset Time (POA&lt;20 W/m2)]],3,0),"")</f>
        <v>0.2590277777777778</v>
      </c>
      <c r="J1438" s="41">
        <f>IFERROR(VLOOKUP(TA[[#This Row],[Date]],Raw_Data[[Date]:[Sunset Time (POA&lt;20 W/m2)]],4,0),"")</f>
        <v>0.77222222222222225</v>
      </c>
      <c r="K1438" s="35">
        <f>IFERROR((TA[[#This Row],[Sunset Time (POA&lt;20 W/m2)]]-TA[[#This Row],[Sunrise Time (POA&gt;20 W/m2)]])*24,"")</f>
        <v>12.316666666666668</v>
      </c>
      <c r="L1438" s="2" t="s">
        <v>294</v>
      </c>
      <c r="M1438" s="42">
        <f>IFERROR(VLOOKUP(TA[[#This Row],[Affected Equipment]],'Basic Data'!$I$2:$K$40,3,0),"")</f>
        <v>1.7241379310344799E-3</v>
      </c>
      <c r="N1438">
        <v>-28</v>
      </c>
      <c r="O1438" t="s">
        <v>137</v>
      </c>
      <c r="P1438" s="127" t="s">
        <v>315</v>
      </c>
      <c r="Q1438" s="126" t="s">
        <v>319</v>
      </c>
      <c r="R1438">
        <v>166</v>
      </c>
      <c r="S1438" s="2">
        <v>91</v>
      </c>
      <c r="T1438" t="s">
        <v>295</v>
      </c>
      <c r="U1438" t="s">
        <v>300</v>
      </c>
      <c r="V1438" t="s">
        <v>298</v>
      </c>
      <c r="W1438" s="41"/>
      <c r="X1438" s="41"/>
      <c r="Y1438" s="34"/>
      <c r="Z1438" s="34"/>
      <c r="AA1438" s="35">
        <f>IF(TA[[#This Row],[Work Start time on Fault]]="NA","",(TA[[#This Row],[Fault Acknowledgement Time ]]-TA[[#This Row],[Fault Time]])*24)</f>
        <v>0</v>
      </c>
      <c r="AB1438" s="35">
        <f>(TA[[#This Row],[Work Start time on Fault]]-TA[[#This Row],[Fault Time]])*24</f>
        <v>0</v>
      </c>
      <c r="AC1438" s="34">
        <f>(TA[[#This Row],[Work Completion time on fault]]-TA[[#This Row],[Fault Time]])*24</f>
        <v>0</v>
      </c>
      <c r="AD1438" s="35">
        <f>IFERROR((TA[[#This Row],[Work Completion time on fault]]-TA[[#This Row],[Fault Time]])*24,"")</f>
        <v>0</v>
      </c>
      <c r="AE1438" t="s">
        <v>328</v>
      </c>
      <c r="AF1438" t="s">
        <v>256</v>
      </c>
      <c r="AG1438" s="2"/>
      <c r="AH1438" s="44">
        <f>1-COS(RADIANS(TA[[#This Row],[Avg. Target Angle during Fault Time (Radians)]]-TA[[#This Row],[Angle of affected equipment ]]))</f>
        <v>0.11705240714107301</v>
      </c>
      <c r="AI1438" s="35">
        <f>IFERROR(TA[[#This Row],[Breakdown Time]]*TA[[#This Row],[Plant Equivalent Weightage]],"")</f>
        <v>0</v>
      </c>
    </row>
    <row r="1439" spans="1:35">
      <c r="A1439" s="2">
        <f t="shared" si="165"/>
        <v>1436</v>
      </c>
      <c r="B1439" s="156">
        <f t="shared" si="172"/>
        <v>2026</v>
      </c>
      <c r="C1439" s="129">
        <f t="shared" si="173"/>
        <v>2025</v>
      </c>
      <c r="D1439" s="2" t="s">
        <v>155</v>
      </c>
      <c r="E1439" s="2" t="s">
        <v>155</v>
      </c>
      <c r="F1439" s="39">
        <v>45839</v>
      </c>
      <c r="G1439" s="2">
        <f>DAY(EOMONTH(TA[[#This Row],[Month Year]],0))</f>
        <v>31</v>
      </c>
      <c r="H1439" s="21">
        <v>45847</v>
      </c>
      <c r="I1439" s="41">
        <f>IFERROR(VLOOKUP(TA[[#This Row],[Date]],Raw_Data[[Date]:[Sunset Time (POA&lt;20 W/m2)]],3,0),"")</f>
        <v>0.2590277777777778</v>
      </c>
      <c r="J1439" s="41">
        <f>IFERROR(VLOOKUP(TA[[#This Row],[Date]],Raw_Data[[Date]:[Sunset Time (POA&lt;20 W/m2)]],4,0),"")</f>
        <v>0.77222222222222225</v>
      </c>
      <c r="K1439" s="35">
        <f>IFERROR((TA[[#This Row],[Sunset Time (POA&lt;20 W/m2)]]-TA[[#This Row],[Sunrise Time (POA&gt;20 W/m2)]])*24,"")</f>
        <v>12.316666666666668</v>
      </c>
      <c r="L1439" s="2" t="s">
        <v>294</v>
      </c>
      <c r="M1439" s="42">
        <f>IFERROR(VLOOKUP(TA[[#This Row],[Affected Equipment]],'Basic Data'!$I$2:$K$40,3,0),"")</f>
        <v>1.7241379310344799E-3</v>
      </c>
      <c r="N1439">
        <v>-28</v>
      </c>
      <c r="O1439" t="s">
        <v>133</v>
      </c>
      <c r="P1439" s="127" t="s">
        <v>316</v>
      </c>
      <c r="Q1439" s="126" t="s">
        <v>316</v>
      </c>
      <c r="R1439">
        <v>117</v>
      </c>
      <c r="S1439" s="2">
        <v>20</v>
      </c>
      <c r="T1439" t="s">
        <v>295</v>
      </c>
      <c r="U1439" t="s">
        <v>300</v>
      </c>
      <c r="V1439" t="s">
        <v>298</v>
      </c>
      <c r="W1439" s="41"/>
      <c r="X1439" s="41"/>
      <c r="Y1439" s="34"/>
      <c r="Z1439" s="34"/>
      <c r="AA1439" s="35">
        <f>IF(TA[[#This Row],[Work Start time on Fault]]="NA","",(TA[[#This Row],[Fault Acknowledgement Time ]]-TA[[#This Row],[Fault Time]])*24)</f>
        <v>0</v>
      </c>
      <c r="AB1439" s="35">
        <f>(TA[[#This Row],[Work Start time on Fault]]-TA[[#This Row],[Fault Time]])*24</f>
        <v>0</v>
      </c>
      <c r="AC1439" s="34">
        <f>(TA[[#This Row],[Work Completion time on fault]]-TA[[#This Row],[Fault Time]])*24</f>
        <v>0</v>
      </c>
      <c r="AD1439" s="35">
        <f>IFERROR((TA[[#This Row],[Work Completion time on fault]]-TA[[#This Row],[Fault Time]])*24,"")</f>
        <v>0</v>
      </c>
      <c r="AE1439" t="s">
        <v>328</v>
      </c>
      <c r="AF1439" t="s">
        <v>256</v>
      </c>
      <c r="AG1439" s="2"/>
      <c r="AH1439" s="44">
        <f>1-COS(RADIANS(TA[[#This Row],[Avg. Target Angle during Fault Time (Radians)]]-TA[[#This Row],[Angle of affected equipment ]]))</f>
        <v>0.11705240714107301</v>
      </c>
      <c r="AI1439" s="35">
        <f>IFERROR(TA[[#This Row],[Breakdown Time]]*TA[[#This Row],[Plant Equivalent Weightage]],"")</f>
        <v>0</v>
      </c>
    </row>
    <row r="1440" spans="1:35">
      <c r="A1440" s="2">
        <f t="shared" si="165"/>
        <v>1437</v>
      </c>
      <c r="B1440" s="156">
        <f t="shared" si="172"/>
        <v>2026</v>
      </c>
      <c r="C1440" s="129">
        <f t="shared" si="173"/>
        <v>2025</v>
      </c>
      <c r="D1440" s="2" t="s">
        <v>155</v>
      </c>
      <c r="E1440" s="2" t="s">
        <v>155</v>
      </c>
      <c r="F1440" s="39">
        <v>45839</v>
      </c>
      <c r="G1440" s="2">
        <f>DAY(EOMONTH(TA[[#This Row],[Month Year]],0))</f>
        <v>31</v>
      </c>
      <c r="H1440" s="21">
        <v>45847</v>
      </c>
      <c r="I1440" s="41">
        <f>IFERROR(VLOOKUP(TA[[#This Row],[Date]],Raw_Data[[Date]:[Sunset Time (POA&lt;20 W/m2)]],3,0),"")</f>
        <v>0.2590277777777778</v>
      </c>
      <c r="J1440" s="41">
        <f>IFERROR(VLOOKUP(TA[[#This Row],[Date]],Raw_Data[[Date]:[Sunset Time (POA&lt;20 W/m2)]],4,0),"")</f>
        <v>0.77222222222222225</v>
      </c>
      <c r="K1440" s="35">
        <f>IFERROR((TA[[#This Row],[Sunset Time (POA&lt;20 W/m2)]]-TA[[#This Row],[Sunrise Time (POA&gt;20 W/m2)]])*24,"")</f>
        <v>12.316666666666668</v>
      </c>
      <c r="L1440" s="2" t="s">
        <v>294</v>
      </c>
      <c r="M1440" s="42">
        <f>IFERROR(VLOOKUP(TA[[#This Row],[Affected Equipment]],'Basic Data'!$I$2:$K$40,3,0),"")</f>
        <v>1.7241379310344799E-3</v>
      </c>
      <c r="N1440">
        <v>-28</v>
      </c>
      <c r="O1440" t="s">
        <v>133</v>
      </c>
      <c r="P1440" s="127" t="s">
        <v>316</v>
      </c>
      <c r="Q1440" s="126" t="s">
        <v>316</v>
      </c>
      <c r="R1440">
        <v>118</v>
      </c>
      <c r="S1440" s="2">
        <v>22</v>
      </c>
      <c r="T1440" t="s">
        <v>295</v>
      </c>
      <c r="U1440" t="s">
        <v>300</v>
      </c>
      <c r="V1440" t="s">
        <v>298</v>
      </c>
      <c r="W1440" s="41"/>
      <c r="X1440" s="41"/>
      <c r="Y1440" s="34"/>
      <c r="Z1440" s="34"/>
      <c r="AA1440" s="35">
        <f>IF(TA[[#This Row],[Work Start time on Fault]]="NA","",(TA[[#This Row],[Fault Acknowledgement Time ]]-TA[[#This Row],[Fault Time]])*24)</f>
        <v>0</v>
      </c>
      <c r="AB1440" s="35">
        <f>(TA[[#This Row],[Work Start time on Fault]]-TA[[#This Row],[Fault Time]])*24</f>
        <v>0</v>
      </c>
      <c r="AC1440" s="34">
        <f>(TA[[#This Row],[Work Completion time on fault]]-TA[[#This Row],[Fault Time]])*24</f>
        <v>0</v>
      </c>
      <c r="AD1440" s="35">
        <f>IFERROR((TA[[#This Row],[Work Completion time on fault]]-TA[[#This Row],[Fault Time]])*24,"")</f>
        <v>0</v>
      </c>
      <c r="AE1440" t="s">
        <v>328</v>
      </c>
      <c r="AF1440" t="s">
        <v>256</v>
      </c>
      <c r="AG1440" s="2"/>
      <c r="AH1440" s="44">
        <f>1-COS(RADIANS(TA[[#This Row],[Avg. Target Angle during Fault Time (Radians)]]-TA[[#This Row],[Angle of affected equipment ]]))</f>
        <v>0.11705240714107301</v>
      </c>
      <c r="AI1440" s="35">
        <f>IFERROR(TA[[#This Row],[Breakdown Time]]*TA[[#This Row],[Plant Equivalent Weightage]],"")</f>
        <v>0</v>
      </c>
    </row>
    <row r="1441" spans="1:35">
      <c r="A1441" s="2">
        <f t="shared" si="165"/>
        <v>1438</v>
      </c>
      <c r="B1441" s="156">
        <f t="shared" si="172"/>
        <v>2026</v>
      </c>
      <c r="C1441" s="129">
        <f t="shared" si="173"/>
        <v>2025</v>
      </c>
      <c r="D1441" s="2" t="s">
        <v>155</v>
      </c>
      <c r="E1441" s="2" t="s">
        <v>155</v>
      </c>
      <c r="F1441" s="39">
        <v>45839</v>
      </c>
      <c r="G1441" s="2">
        <f>DAY(EOMONTH(TA[[#This Row],[Month Year]],0))</f>
        <v>31</v>
      </c>
      <c r="H1441" s="21">
        <v>45847</v>
      </c>
      <c r="I1441" s="41">
        <f>IFERROR(VLOOKUP(TA[[#This Row],[Date]],Raw_Data[[Date]:[Sunset Time (POA&lt;20 W/m2)]],3,0),"")</f>
        <v>0.2590277777777778</v>
      </c>
      <c r="J1441" s="41">
        <f>IFERROR(VLOOKUP(TA[[#This Row],[Date]],Raw_Data[[Date]:[Sunset Time (POA&lt;20 W/m2)]],4,0),"")</f>
        <v>0.77222222222222225</v>
      </c>
      <c r="K1441" s="35">
        <f>IFERROR((TA[[#This Row],[Sunset Time (POA&lt;20 W/m2)]]-TA[[#This Row],[Sunrise Time (POA&gt;20 W/m2)]])*24,"")</f>
        <v>12.316666666666668</v>
      </c>
      <c r="L1441" s="2" t="s">
        <v>296</v>
      </c>
      <c r="M1441" s="42">
        <f>IFERROR(VLOOKUP(TA[[#This Row],[Affected Equipment]],'Basic Data'!$I$2:$K$40,3,0),"")</f>
        <v>8.6206896551724102E-3</v>
      </c>
      <c r="N1441">
        <v>-28</v>
      </c>
      <c r="O1441" t="s">
        <v>135</v>
      </c>
      <c r="P1441" s="22" t="s">
        <v>323</v>
      </c>
      <c r="Q1441" s="2" t="s">
        <v>329</v>
      </c>
      <c r="R1441">
        <v>45</v>
      </c>
      <c r="S1441" s="2">
        <v>8</v>
      </c>
      <c r="T1441" t="s">
        <v>297</v>
      </c>
      <c r="U1441" t="s">
        <v>300</v>
      </c>
      <c r="V1441" t="s">
        <v>301</v>
      </c>
      <c r="W1441" s="41"/>
      <c r="X1441" s="41"/>
      <c r="Y1441" s="34"/>
      <c r="Z1441" s="34"/>
      <c r="AA1441" s="35">
        <f>IF(TA[[#This Row],[Work Start time on Fault]]="NA","",(TA[[#This Row],[Fault Acknowledgement Time ]]-TA[[#This Row],[Fault Time]])*24)</f>
        <v>0</v>
      </c>
      <c r="AB1441" s="35">
        <f>(TA[[#This Row],[Work Start time on Fault]]-TA[[#This Row],[Fault Time]])*24</f>
        <v>0</v>
      </c>
      <c r="AC1441" s="34">
        <f>(TA[[#This Row],[Work Completion time on fault]]-TA[[#This Row],[Fault Time]])*24</f>
        <v>0</v>
      </c>
      <c r="AD1441" s="35">
        <f>IFERROR((TA[[#This Row],[Work Completion time on fault]]-TA[[#This Row],[Fault Time]])*24,"")</f>
        <v>0</v>
      </c>
      <c r="AE1441" t="s">
        <v>328</v>
      </c>
      <c r="AF1441" t="s">
        <v>256</v>
      </c>
      <c r="AG1441" s="2"/>
      <c r="AH1441" s="44">
        <f>1-COS(RADIANS(TA[[#This Row],[Avg. Target Angle during Fault Time (Radians)]]-TA[[#This Row],[Angle of affected equipment ]]))</f>
        <v>0.11705240714107301</v>
      </c>
      <c r="AI1441" s="35">
        <f>IFERROR(TA[[#This Row],[Breakdown Time]]*TA[[#This Row],[Plant Equivalent Weightage]],"")</f>
        <v>0</v>
      </c>
    </row>
    <row r="1442" spans="1:35">
      <c r="A1442" s="2">
        <f t="shared" si="165"/>
        <v>1439</v>
      </c>
      <c r="B1442" s="156">
        <f t="shared" si="172"/>
        <v>2026</v>
      </c>
      <c r="C1442" s="129">
        <f t="shared" si="173"/>
        <v>2025</v>
      </c>
      <c r="D1442" s="2" t="s">
        <v>155</v>
      </c>
      <c r="E1442" s="2" t="s">
        <v>155</v>
      </c>
      <c r="F1442" s="39">
        <v>45839</v>
      </c>
      <c r="G1442" s="2">
        <f>DAY(EOMONTH(TA[[#This Row],[Month Year]],0))</f>
        <v>31</v>
      </c>
      <c r="H1442" s="21">
        <v>45847</v>
      </c>
      <c r="I1442" s="41">
        <f>IFERROR(VLOOKUP(TA[[#This Row],[Date]],Raw_Data[[Date]:[Sunset Time (POA&lt;20 W/m2)]],3,0),"")</f>
        <v>0.2590277777777778</v>
      </c>
      <c r="J1442" s="41">
        <f>IFERROR(VLOOKUP(TA[[#This Row],[Date]],Raw_Data[[Date]:[Sunset Time (POA&lt;20 W/m2)]],4,0),"")</f>
        <v>0.77222222222222225</v>
      </c>
      <c r="K1442" s="35">
        <f>IFERROR((TA[[#This Row],[Sunset Time (POA&lt;20 W/m2)]]-TA[[#This Row],[Sunrise Time (POA&gt;20 W/m2)]])*24,"")</f>
        <v>12.316666666666668</v>
      </c>
      <c r="L1442" s="2" t="s">
        <v>296</v>
      </c>
      <c r="M1442" s="42">
        <f>IFERROR(VLOOKUP(TA[[#This Row],[Affected Equipment]],'Basic Data'!$I$2:$K$40,3,0),"")</f>
        <v>8.6206896551724102E-3</v>
      </c>
      <c r="N1442">
        <v>-28</v>
      </c>
      <c r="O1442" t="s">
        <v>135</v>
      </c>
      <c r="P1442" s="22" t="s">
        <v>323</v>
      </c>
      <c r="Q1442" s="2" t="s">
        <v>329</v>
      </c>
      <c r="R1442">
        <v>47</v>
      </c>
      <c r="S1442" s="2">
        <v>18</v>
      </c>
      <c r="T1442" t="s">
        <v>297</v>
      </c>
      <c r="U1442" t="s">
        <v>300</v>
      </c>
      <c r="V1442" t="s">
        <v>301</v>
      </c>
      <c r="W1442" s="41"/>
      <c r="X1442" s="41"/>
      <c r="Y1442" s="34"/>
      <c r="Z1442" s="34"/>
      <c r="AA1442" s="35">
        <f>IF(TA[[#This Row],[Work Start time on Fault]]="NA","",(TA[[#This Row],[Fault Acknowledgement Time ]]-TA[[#This Row],[Fault Time]])*24)</f>
        <v>0</v>
      </c>
      <c r="AB1442" s="35">
        <f>(TA[[#This Row],[Work Start time on Fault]]-TA[[#This Row],[Fault Time]])*24</f>
        <v>0</v>
      </c>
      <c r="AC1442" s="34">
        <f>(TA[[#This Row],[Work Completion time on fault]]-TA[[#This Row],[Fault Time]])*24</f>
        <v>0</v>
      </c>
      <c r="AD1442" s="35">
        <f>IFERROR((TA[[#This Row],[Work Completion time on fault]]-TA[[#This Row],[Fault Time]])*24,"")</f>
        <v>0</v>
      </c>
      <c r="AE1442" t="s">
        <v>328</v>
      </c>
      <c r="AF1442" t="s">
        <v>256</v>
      </c>
      <c r="AG1442" s="2"/>
      <c r="AH1442" s="44">
        <f>1-COS(RADIANS(TA[[#This Row],[Avg. Target Angle during Fault Time (Radians)]]-TA[[#This Row],[Angle of affected equipment ]]))</f>
        <v>0.11705240714107301</v>
      </c>
      <c r="AI1442" s="35">
        <f>IFERROR(TA[[#This Row],[Breakdown Time]]*TA[[#This Row],[Plant Equivalent Weightage]],"")</f>
        <v>0</v>
      </c>
    </row>
    <row r="1443" spans="1:35">
      <c r="A1443" s="2">
        <f t="shared" si="165"/>
        <v>1440</v>
      </c>
      <c r="B1443" s="156">
        <f t="shared" si="172"/>
        <v>2026</v>
      </c>
      <c r="C1443" s="129">
        <f t="shared" si="173"/>
        <v>2025</v>
      </c>
      <c r="D1443" s="2" t="s">
        <v>155</v>
      </c>
      <c r="E1443" s="2" t="s">
        <v>155</v>
      </c>
      <c r="F1443" s="39">
        <v>45839</v>
      </c>
      <c r="G1443" s="2">
        <f>DAY(EOMONTH(TA[[#This Row],[Month Year]],0))</f>
        <v>31</v>
      </c>
      <c r="H1443" s="21">
        <v>45847</v>
      </c>
      <c r="I1443" s="41">
        <f>IFERROR(VLOOKUP(TA[[#This Row],[Date]],Raw_Data[[Date]:[Sunset Time (POA&lt;20 W/m2)]],3,0),"")</f>
        <v>0.2590277777777778</v>
      </c>
      <c r="J1443" s="41">
        <f>IFERROR(VLOOKUP(TA[[#This Row],[Date]],Raw_Data[[Date]:[Sunset Time (POA&lt;20 W/m2)]],4,0),"")</f>
        <v>0.77222222222222225</v>
      </c>
      <c r="K1443" s="35">
        <f>IFERROR((TA[[#This Row],[Sunset Time (POA&lt;20 W/m2)]]-TA[[#This Row],[Sunrise Time (POA&gt;20 W/m2)]])*24,"")</f>
        <v>12.316666666666668</v>
      </c>
      <c r="L1443" s="2" t="s">
        <v>296</v>
      </c>
      <c r="M1443" s="42">
        <f>IFERROR(VLOOKUP(TA[[#This Row],[Affected Equipment]],'Basic Data'!$I$2:$K$40,3,0),"")</f>
        <v>8.6206896551724102E-3</v>
      </c>
      <c r="N1443">
        <v>-28</v>
      </c>
      <c r="O1443" t="s">
        <v>134</v>
      </c>
      <c r="P1443" s="22" t="s">
        <v>330</v>
      </c>
      <c r="Q1443" s="2" t="s">
        <v>323</v>
      </c>
      <c r="R1443">
        <v>30</v>
      </c>
      <c r="S1443" s="2">
        <v>57</v>
      </c>
      <c r="T1443" t="s">
        <v>297</v>
      </c>
      <c r="U1443" t="s">
        <v>300</v>
      </c>
      <c r="V1443" t="s">
        <v>301</v>
      </c>
      <c r="W1443" s="41"/>
      <c r="X1443" s="41"/>
      <c r="Y1443" s="34"/>
      <c r="Z1443" s="34"/>
      <c r="AA1443" s="35">
        <f>IF(TA[[#This Row],[Work Start time on Fault]]="NA","",(TA[[#This Row],[Fault Acknowledgement Time ]]-TA[[#This Row],[Fault Time]])*24)</f>
        <v>0</v>
      </c>
      <c r="AB1443" s="35">
        <f>(TA[[#This Row],[Work Start time on Fault]]-TA[[#This Row],[Fault Time]])*24</f>
        <v>0</v>
      </c>
      <c r="AC1443" s="34">
        <f>(TA[[#This Row],[Work Completion time on fault]]-TA[[#This Row],[Fault Time]])*24</f>
        <v>0</v>
      </c>
      <c r="AD1443" s="35">
        <f>IFERROR((TA[[#This Row],[Work Completion time on fault]]-TA[[#This Row],[Fault Time]])*24,"")</f>
        <v>0</v>
      </c>
      <c r="AE1443" t="s">
        <v>328</v>
      </c>
      <c r="AF1443" t="s">
        <v>256</v>
      </c>
      <c r="AG1443" s="2"/>
      <c r="AH1443" s="44">
        <f>1-COS(RADIANS(TA[[#This Row],[Avg. Target Angle during Fault Time (Radians)]]-TA[[#This Row],[Angle of affected equipment ]]))</f>
        <v>0.11705240714107301</v>
      </c>
      <c r="AI1443" s="35">
        <f>IFERROR(TA[[#This Row],[Breakdown Time]]*TA[[#This Row],[Plant Equivalent Weightage]],"")</f>
        <v>0</v>
      </c>
    </row>
    <row r="1444" spans="1:35">
      <c r="A1444" s="2">
        <f t="shared" si="165"/>
        <v>1441</v>
      </c>
      <c r="B1444" s="156">
        <f t="shared" si="172"/>
        <v>2026</v>
      </c>
      <c r="C1444" s="129">
        <f t="shared" si="173"/>
        <v>2025</v>
      </c>
      <c r="D1444" s="2" t="s">
        <v>155</v>
      </c>
      <c r="E1444" s="2" t="s">
        <v>155</v>
      </c>
      <c r="F1444" s="39">
        <v>45839</v>
      </c>
      <c r="G1444" s="2">
        <f>DAY(EOMONTH(TA[[#This Row],[Month Year]],0))</f>
        <v>31</v>
      </c>
      <c r="H1444" s="21">
        <v>45847</v>
      </c>
      <c r="I1444" s="41">
        <f>IFERROR(VLOOKUP(TA[[#This Row],[Date]],Raw_Data[[Date]:[Sunset Time (POA&lt;20 W/m2)]],3,0),"")</f>
        <v>0.2590277777777778</v>
      </c>
      <c r="J1444" s="41">
        <f>IFERROR(VLOOKUP(TA[[#This Row],[Date]],Raw_Data[[Date]:[Sunset Time (POA&lt;20 W/m2)]],4,0),"")</f>
        <v>0.77222222222222225</v>
      </c>
      <c r="K1444" s="35">
        <f>IFERROR((TA[[#This Row],[Sunset Time (POA&lt;20 W/m2)]]-TA[[#This Row],[Sunrise Time (POA&gt;20 W/m2)]])*24,"")</f>
        <v>12.316666666666668</v>
      </c>
      <c r="L1444" s="2" t="s">
        <v>296</v>
      </c>
      <c r="M1444" s="42">
        <f>IFERROR(VLOOKUP(TA[[#This Row],[Affected Equipment]],'Basic Data'!$I$2:$K$40,3,0),"")</f>
        <v>8.6206896551724102E-3</v>
      </c>
      <c r="N1444">
        <v>-28</v>
      </c>
      <c r="O1444" t="s">
        <v>134</v>
      </c>
      <c r="P1444" s="22" t="s">
        <v>330</v>
      </c>
      <c r="Q1444" s="2" t="s">
        <v>323</v>
      </c>
      <c r="R1444">
        <v>31</v>
      </c>
      <c r="S1444" s="2">
        <v>61</v>
      </c>
      <c r="T1444" t="s">
        <v>297</v>
      </c>
      <c r="U1444" t="s">
        <v>300</v>
      </c>
      <c r="V1444" t="s">
        <v>301</v>
      </c>
      <c r="W1444" s="41"/>
      <c r="X1444" s="41"/>
      <c r="Y1444" s="34"/>
      <c r="Z1444" s="34"/>
      <c r="AA1444" s="35">
        <f>IF(TA[[#This Row],[Work Start time on Fault]]="NA","",(TA[[#This Row],[Fault Acknowledgement Time ]]-TA[[#This Row],[Fault Time]])*24)</f>
        <v>0</v>
      </c>
      <c r="AB1444" s="35">
        <f>(TA[[#This Row],[Work Start time on Fault]]-TA[[#This Row],[Fault Time]])*24</f>
        <v>0</v>
      </c>
      <c r="AC1444" s="34">
        <f>(TA[[#This Row],[Work Completion time on fault]]-TA[[#This Row],[Fault Time]])*24</f>
        <v>0</v>
      </c>
      <c r="AD1444" s="35">
        <f>IFERROR((TA[[#This Row],[Work Completion time on fault]]-TA[[#This Row],[Fault Time]])*24,"")</f>
        <v>0</v>
      </c>
      <c r="AE1444" t="s">
        <v>328</v>
      </c>
      <c r="AF1444" t="s">
        <v>256</v>
      </c>
      <c r="AG1444" s="2"/>
      <c r="AH1444" s="44">
        <f>1-COS(RADIANS(TA[[#This Row],[Avg. Target Angle during Fault Time (Radians)]]-TA[[#This Row],[Angle of affected equipment ]]))</f>
        <v>0.11705240714107301</v>
      </c>
      <c r="AI1444" s="35">
        <f>IFERROR(TA[[#This Row],[Breakdown Time]]*TA[[#This Row],[Plant Equivalent Weightage]],"")</f>
        <v>0</v>
      </c>
    </row>
    <row r="1445" spans="1:35">
      <c r="A1445" s="2">
        <f t="shared" si="165"/>
        <v>1442</v>
      </c>
      <c r="B1445" s="156">
        <f t="shared" si="172"/>
        <v>2026</v>
      </c>
      <c r="C1445" s="129">
        <f t="shared" si="173"/>
        <v>2025</v>
      </c>
      <c r="D1445" s="2" t="s">
        <v>155</v>
      </c>
      <c r="E1445" s="2" t="s">
        <v>155</v>
      </c>
      <c r="F1445" s="39">
        <v>45839</v>
      </c>
      <c r="G1445" s="2">
        <f>DAY(EOMONTH(TA[[#This Row],[Month Year]],0))</f>
        <v>31</v>
      </c>
      <c r="H1445" s="21">
        <v>45847</v>
      </c>
      <c r="I1445" s="41">
        <f>IFERROR(VLOOKUP(TA[[#This Row],[Date]],Raw_Data[[Date]:[Sunset Time (POA&lt;20 W/m2)]],3,0),"")</f>
        <v>0.2590277777777778</v>
      </c>
      <c r="J1445" s="41">
        <f>IFERROR(VLOOKUP(TA[[#This Row],[Date]],Raw_Data[[Date]:[Sunset Time (POA&lt;20 W/m2)]],4,0),"")</f>
        <v>0.77222222222222225</v>
      </c>
      <c r="K1445" s="35">
        <f>IFERROR((TA[[#This Row],[Sunset Time (POA&lt;20 W/m2)]]-TA[[#This Row],[Sunrise Time (POA&gt;20 W/m2)]])*24,"")</f>
        <v>12.316666666666668</v>
      </c>
      <c r="L1445" s="2" t="s">
        <v>312</v>
      </c>
      <c r="M1445" s="42">
        <f>IFERROR(VLOOKUP(TA[[#This Row],[Affected Equipment]],'Basic Data'!$I$2:$K$40,3,0),"")</f>
        <v>5.74712643678161E-3</v>
      </c>
      <c r="N1445">
        <v>-28</v>
      </c>
      <c r="O1445" t="s">
        <v>133</v>
      </c>
      <c r="P1445" s="22" t="s">
        <v>330</v>
      </c>
      <c r="Q1445" s="2" t="s">
        <v>323</v>
      </c>
      <c r="R1445">
        <v>26</v>
      </c>
      <c r="S1445" s="2">
        <v>37</v>
      </c>
      <c r="T1445" t="s">
        <v>297</v>
      </c>
      <c r="U1445" t="s">
        <v>300</v>
      </c>
      <c r="V1445" t="s">
        <v>301</v>
      </c>
      <c r="W1445" s="41"/>
      <c r="X1445" s="41"/>
      <c r="Y1445" s="34"/>
      <c r="Z1445" s="34"/>
      <c r="AA1445" s="35">
        <f>IF(TA[[#This Row],[Work Start time on Fault]]="NA","",(TA[[#This Row],[Fault Acknowledgement Time ]]-TA[[#This Row],[Fault Time]])*24)</f>
        <v>0</v>
      </c>
      <c r="AB1445" s="35">
        <f>(TA[[#This Row],[Work Start time on Fault]]-TA[[#This Row],[Fault Time]])*24</f>
        <v>0</v>
      </c>
      <c r="AC1445" s="34">
        <f>(TA[[#This Row],[Work Completion time on fault]]-TA[[#This Row],[Fault Time]])*24</f>
        <v>0</v>
      </c>
      <c r="AD1445" s="35">
        <f>IFERROR((TA[[#This Row],[Work Completion time on fault]]-TA[[#This Row],[Fault Time]])*24,"")</f>
        <v>0</v>
      </c>
      <c r="AE1445" t="s">
        <v>328</v>
      </c>
      <c r="AF1445" t="s">
        <v>256</v>
      </c>
      <c r="AG1445" s="2"/>
      <c r="AH1445" s="44">
        <f>1-COS(RADIANS(TA[[#This Row],[Avg. Target Angle during Fault Time (Radians)]]-TA[[#This Row],[Angle of affected equipment ]]))</f>
        <v>0.11705240714107301</v>
      </c>
      <c r="AI1445" s="35">
        <f>IFERROR(TA[[#This Row],[Breakdown Time]]*TA[[#This Row],[Plant Equivalent Weightage]],"")</f>
        <v>0</v>
      </c>
    </row>
    <row r="1446" spans="1:35">
      <c r="A1446" s="2">
        <f t="shared" si="165"/>
        <v>1443</v>
      </c>
      <c r="B1446" s="156">
        <f t="shared" si="172"/>
        <v>2026</v>
      </c>
      <c r="C1446" s="129">
        <f t="shared" si="173"/>
        <v>2025</v>
      </c>
      <c r="D1446" s="2" t="s">
        <v>155</v>
      </c>
      <c r="E1446" s="2" t="s">
        <v>155</v>
      </c>
      <c r="F1446" s="39">
        <v>45839</v>
      </c>
      <c r="G1446" s="2">
        <f>DAY(EOMONTH(TA[[#This Row],[Month Year]],0))</f>
        <v>31</v>
      </c>
      <c r="H1446" s="21">
        <v>45847</v>
      </c>
      <c r="I1446" s="41">
        <f>IFERROR(VLOOKUP(TA[[#This Row],[Date]],Raw_Data[[Date]:[Sunset Time (POA&lt;20 W/m2)]],3,0),"")</f>
        <v>0.2590277777777778</v>
      </c>
      <c r="J1446" s="41">
        <f>IFERROR(VLOOKUP(TA[[#This Row],[Date]],Raw_Data[[Date]:[Sunset Time (POA&lt;20 W/m2)]],4,0),"")</f>
        <v>0.77222222222222225</v>
      </c>
      <c r="K1446" s="35">
        <f>IFERROR((TA[[#This Row],[Sunset Time (POA&lt;20 W/m2)]]-TA[[#This Row],[Sunrise Time (POA&gt;20 W/m2)]])*24,"")</f>
        <v>12.316666666666668</v>
      </c>
      <c r="L1446" s="2" t="s">
        <v>312</v>
      </c>
      <c r="M1446" s="42">
        <f>IFERROR(VLOOKUP(TA[[#This Row],[Affected Equipment]],'Basic Data'!$I$2:$K$40,3,0),"")</f>
        <v>5.74712643678161E-3</v>
      </c>
      <c r="N1446">
        <v>-28</v>
      </c>
      <c r="O1446" t="s">
        <v>133</v>
      </c>
      <c r="P1446" s="22" t="s">
        <v>330</v>
      </c>
      <c r="Q1446" s="2" t="s">
        <v>323</v>
      </c>
      <c r="R1446">
        <v>27</v>
      </c>
      <c r="S1446" s="2">
        <v>42</v>
      </c>
      <c r="T1446" t="s">
        <v>297</v>
      </c>
      <c r="U1446" t="s">
        <v>300</v>
      </c>
      <c r="V1446" t="s">
        <v>301</v>
      </c>
      <c r="W1446" s="41">
        <f>IFERROR(VLOOKUP(TA[[#This Row],[Date]],Raw_Data[[Date]:[Sunset Time (POA&lt;20 W/m2)]],3,0),"")</f>
        <v>0.2590277777777778</v>
      </c>
      <c r="X1446" s="41">
        <f>IFERROR(VLOOKUP(TA[[#This Row],[Date]],Raw_Data[[Date]:[Sunset Time (POA&lt;20 W/m2)]],3,0),"")</f>
        <v>0.2590277777777778</v>
      </c>
      <c r="Y1446" s="34"/>
      <c r="Z1446" s="34">
        <v>0.76041666666666663</v>
      </c>
      <c r="AA1446" s="35">
        <f>IF(TA[[#This Row],[Work Start time on Fault]]="NA","",(TA[[#This Row],[Fault Acknowledgement Time ]]-TA[[#This Row],[Fault Time]])*24)</f>
        <v>0</v>
      </c>
      <c r="AB1446" s="35">
        <f>(TA[[#This Row],[Work Start time on Fault]]-TA[[#This Row],[Fault Time]])*24</f>
        <v>-6.2166666666666668</v>
      </c>
      <c r="AC1446" s="34">
        <f>(TA[[#This Row],[Work Completion time on fault]]-TA[[#This Row],[Fault Time]])*24</f>
        <v>12.033333333333333</v>
      </c>
      <c r="AD1446" s="35">
        <f>IFERROR((TA[[#This Row],[Work Completion time on fault]]-TA[[#This Row],[Fault Time]])*24,"")</f>
        <v>12.033333333333333</v>
      </c>
      <c r="AE1446" t="s">
        <v>309</v>
      </c>
      <c r="AF1446" t="s">
        <v>256</v>
      </c>
      <c r="AG1446" s="2"/>
      <c r="AH1446" s="44">
        <f>1-COS(RADIANS(TA[[#This Row],[Avg. Target Angle during Fault Time (Radians)]]-TA[[#This Row],[Angle of affected equipment ]]))</f>
        <v>0.11705240714107301</v>
      </c>
      <c r="AI1446" s="35">
        <f>IFERROR(TA[[#This Row],[Breakdown Time]]*TA[[#This Row],[Plant Equivalent Weightage]],"")</f>
        <v>6.9157088122605376E-2</v>
      </c>
    </row>
    <row r="1447" spans="1:35">
      <c r="A1447" s="2">
        <f t="shared" si="165"/>
        <v>1444</v>
      </c>
      <c r="B1447" s="156">
        <f t="shared" ref="B1447:B1459" si="174">YEAR(H1447)+IF(MONTH(H1447)&gt;=4,1,0)</f>
        <v>2026</v>
      </c>
      <c r="C1447" s="129">
        <f t="shared" ref="C1447:C1459" si="175">YEAR(H1447)</f>
        <v>2025</v>
      </c>
      <c r="D1447" s="2" t="s">
        <v>155</v>
      </c>
      <c r="E1447" s="2" t="s">
        <v>155</v>
      </c>
      <c r="F1447" s="39">
        <v>45839</v>
      </c>
      <c r="G1447" s="2">
        <f>DAY(EOMONTH(TA[[#This Row],[Month Year]],0))</f>
        <v>31</v>
      </c>
      <c r="H1447" s="21">
        <v>45848</v>
      </c>
      <c r="I1447" s="41">
        <f>IFERROR(VLOOKUP(TA[[#This Row],[Date]],Raw_Data[[Date]:[Sunset Time (POA&lt;20 W/m2)]],3,0),"")</f>
        <v>0.25416666666666665</v>
      </c>
      <c r="J1447" s="41">
        <f>IFERROR(VLOOKUP(TA[[#This Row],[Date]],Raw_Data[[Date]:[Sunset Time (POA&lt;20 W/m2)]],4,0),"")</f>
        <v>0.78680555555555554</v>
      </c>
      <c r="K1447" s="35">
        <f>IFERROR((TA[[#This Row],[Sunset Time (POA&lt;20 W/m2)]]-TA[[#This Row],[Sunrise Time (POA&gt;20 W/m2)]])*24,"")</f>
        <v>12.783333333333333</v>
      </c>
      <c r="L1447" s="2" t="s">
        <v>294</v>
      </c>
      <c r="M1447" s="42">
        <f>IFERROR(VLOOKUP(TA[[#This Row],[Affected Equipment]],'Basic Data'!$I$2:$K$40,3,0),"")</f>
        <v>1.7241379310344799E-3</v>
      </c>
      <c r="N1447">
        <v>-28</v>
      </c>
      <c r="O1447" t="s">
        <v>135</v>
      </c>
      <c r="P1447" s="127" t="s">
        <v>318</v>
      </c>
      <c r="Q1447" s="126" t="s">
        <v>318</v>
      </c>
      <c r="R1447">
        <v>131</v>
      </c>
      <c r="S1447" s="2">
        <v>38</v>
      </c>
      <c r="T1447" t="s">
        <v>295</v>
      </c>
      <c r="U1447" t="s">
        <v>300</v>
      </c>
      <c r="V1447" t="s">
        <v>298</v>
      </c>
      <c r="W1447" s="41"/>
      <c r="X1447" s="41"/>
      <c r="Y1447" s="34"/>
      <c r="Z1447" s="34"/>
      <c r="AA1447" s="35">
        <f>IF(TA[[#This Row],[Work Start time on Fault]]="NA","",(TA[[#This Row],[Fault Acknowledgement Time ]]-TA[[#This Row],[Fault Time]])*24)</f>
        <v>0</v>
      </c>
      <c r="AB1447" s="35">
        <f>(TA[[#This Row],[Work Start time on Fault]]-TA[[#This Row],[Fault Time]])*24</f>
        <v>0</v>
      </c>
      <c r="AC1447" s="34">
        <f>(TA[[#This Row],[Work Completion time on fault]]-TA[[#This Row],[Fault Time]])*24</f>
        <v>0</v>
      </c>
      <c r="AD1447" s="35">
        <f>IFERROR((TA[[#This Row],[Work Completion time on fault]]-TA[[#This Row],[Fault Time]])*24,"")</f>
        <v>0</v>
      </c>
      <c r="AE1447" t="s">
        <v>328</v>
      </c>
      <c r="AF1447" t="s">
        <v>256</v>
      </c>
      <c r="AG1447" s="2"/>
      <c r="AH1447" s="44">
        <f>1-COS(RADIANS(TA[[#This Row],[Avg. Target Angle during Fault Time (Radians)]]-TA[[#This Row],[Angle of affected equipment ]]))</f>
        <v>0.11705240714107301</v>
      </c>
      <c r="AI1447" s="35">
        <f>IFERROR(TA[[#This Row],[Breakdown Time]]*TA[[#This Row],[Plant Equivalent Weightage]],"")</f>
        <v>0</v>
      </c>
    </row>
    <row r="1448" spans="1:35">
      <c r="A1448" s="2">
        <f t="shared" ref="A1448:A1512" si="176">A1447+1</f>
        <v>1445</v>
      </c>
      <c r="B1448" s="156">
        <f t="shared" si="174"/>
        <v>2026</v>
      </c>
      <c r="C1448" s="129">
        <f t="shared" si="175"/>
        <v>2025</v>
      </c>
      <c r="D1448" s="2" t="s">
        <v>155</v>
      </c>
      <c r="E1448" s="2" t="s">
        <v>155</v>
      </c>
      <c r="F1448" s="39">
        <v>45839</v>
      </c>
      <c r="G1448" s="2">
        <f>DAY(EOMONTH(TA[[#This Row],[Month Year]],0))</f>
        <v>31</v>
      </c>
      <c r="H1448" s="21">
        <v>45848</v>
      </c>
      <c r="I1448" s="41">
        <f>IFERROR(VLOOKUP(TA[[#This Row],[Date]],Raw_Data[[Date]:[Sunset Time (POA&lt;20 W/m2)]],3,0),"")</f>
        <v>0.25416666666666665</v>
      </c>
      <c r="J1448" s="41">
        <f>IFERROR(VLOOKUP(TA[[#This Row],[Date]],Raw_Data[[Date]:[Sunset Time (POA&lt;20 W/m2)]],4,0),"")</f>
        <v>0.78680555555555554</v>
      </c>
      <c r="K1448" s="35">
        <f>IFERROR((TA[[#This Row],[Sunset Time (POA&lt;20 W/m2)]]-TA[[#This Row],[Sunrise Time (POA&gt;20 W/m2)]])*24,"")</f>
        <v>12.783333333333333</v>
      </c>
      <c r="L1448" s="2" t="s">
        <v>294</v>
      </c>
      <c r="M1448" s="42">
        <f>IFERROR(VLOOKUP(TA[[#This Row],[Affected Equipment]],'Basic Data'!$I$2:$K$40,3,0),"")</f>
        <v>1.7241379310344799E-3</v>
      </c>
      <c r="N1448">
        <v>-28</v>
      </c>
      <c r="O1448" t="s">
        <v>135</v>
      </c>
      <c r="P1448" s="127" t="s">
        <v>318</v>
      </c>
      <c r="Q1448" s="126" t="s">
        <v>318</v>
      </c>
      <c r="R1448">
        <v>131</v>
      </c>
      <c r="S1448" s="2">
        <v>39</v>
      </c>
      <c r="T1448" t="s">
        <v>295</v>
      </c>
      <c r="U1448" t="s">
        <v>300</v>
      </c>
      <c r="V1448" t="s">
        <v>298</v>
      </c>
      <c r="W1448" s="41"/>
      <c r="X1448" s="41"/>
      <c r="Y1448" s="34"/>
      <c r="Z1448" s="34"/>
      <c r="AA1448" s="35">
        <f>IF(TA[[#This Row],[Work Start time on Fault]]="NA","",(TA[[#This Row],[Fault Acknowledgement Time ]]-TA[[#This Row],[Fault Time]])*24)</f>
        <v>0</v>
      </c>
      <c r="AB1448" s="35">
        <f>(TA[[#This Row],[Work Start time on Fault]]-TA[[#This Row],[Fault Time]])*24</f>
        <v>0</v>
      </c>
      <c r="AC1448" s="34">
        <f>(TA[[#This Row],[Work Completion time on fault]]-TA[[#This Row],[Fault Time]])*24</f>
        <v>0</v>
      </c>
      <c r="AD1448" s="35">
        <f>IFERROR((TA[[#This Row],[Work Completion time on fault]]-TA[[#This Row],[Fault Time]])*24,"")</f>
        <v>0</v>
      </c>
      <c r="AE1448" t="s">
        <v>328</v>
      </c>
      <c r="AF1448" t="s">
        <v>256</v>
      </c>
      <c r="AG1448" s="2"/>
      <c r="AH1448" s="44">
        <f>1-COS(RADIANS(TA[[#This Row],[Avg. Target Angle during Fault Time (Radians)]]-TA[[#This Row],[Angle of affected equipment ]]))</f>
        <v>0.11705240714107301</v>
      </c>
      <c r="AI1448" s="35">
        <f>IFERROR(TA[[#This Row],[Breakdown Time]]*TA[[#This Row],[Plant Equivalent Weightage]],"")</f>
        <v>0</v>
      </c>
    </row>
    <row r="1449" spans="1:35">
      <c r="A1449" s="2">
        <f t="shared" si="176"/>
        <v>1446</v>
      </c>
      <c r="B1449" s="156">
        <f t="shared" si="174"/>
        <v>2026</v>
      </c>
      <c r="C1449" s="129">
        <f t="shared" si="175"/>
        <v>2025</v>
      </c>
      <c r="D1449" s="2" t="s">
        <v>155</v>
      </c>
      <c r="E1449" s="2" t="s">
        <v>155</v>
      </c>
      <c r="F1449" s="39">
        <v>45839</v>
      </c>
      <c r="G1449" s="2">
        <f>DAY(EOMONTH(TA[[#This Row],[Month Year]],0))</f>
        <v>31</v>
      </c>
      <c r="H1449" s="21">
        <v>45848</v>
      </c>
      <c r="I1449" s="41">
        <f>IFERROR(VLOOKUP(TA[[#This Row],[Date]],Raw_Data[[Date]:[Sunset Time (POA&lt;20 W/m2)]],3,0),"")</f>
        <v>0.25416666666666665</v>
      </c>
      <c r="J1449" s="41">
        <f>IFERROR(VLOOKUP(TA[[#This Row],[Date]],Raw_Data[[Date]:[Sunset Time (POA&lt;20 W/m2)]],4,0),"")</f>
        <v>0.78680555555555554</v>
      </c>
      <c r="K1449" s="35">
        <f>IFERROR((TA[[#This Row],[Sunset Time (POA&lt;20 W/m2)]]-TA[[#This Row],[Sunrise Time (POA&gt;20 W/m2)]])*24,"")</f>
        <v>12.783333333333333</v>
      </c>
      <c r="L1449" s="2" t="s">
        <v>296</v>
      </c>
      <c r="M1449" s="42">
        <f>IFERROR(VLOOKUP(TA[[#This Row],[Affected Equipment]],'Basic Data'!$I$2:$K$40,3,0),"")</f>
        <v>8.6206896551724102E-3</v>
      </c>
      <c r="N1449">
        <v>-28</v>
      </c>
      <c r="O1449" t="s">
        <v>135</v>
      </c>
      <c r="P1449" s="127" t="s">
        <v>318</v>
      </c>
      <c r="Q1449" s="2" t="s">
        <v>321</v>
      </c>
      <c r="R1449">
        <v>133</v>
      </c>
      <c r="S1449" s="2">
        <v>26</v>
      </c>
      <c r="T1449" t="s">
        <v>297</v>
      </c>
      <c r="U1449" t="s">
        <v>300</v>
      </c>
      <c r="V1449" t="s">
        <v>314</v>
      </c>
      <c r="W1449" s="41">
        <f>IFERROR(VLOOKUP(TA[[#This Row],[Date]],Raw_Data[[Date]:[Sunset Time (POA&lt;20 W/m2)]],3,0),"")</f>
        <v>0.25416666666666665</v>
      </c>
      <c r="X1449" s="41">
        <f>IFERROR(VLOOKUP(TA[[#This Row],[Date]],Raw_Data[[Date]:[Sunset Time (POA&lt;20 W/m2)]],3,0),"")</f>
        <v>0.25416666666666665</v>
      </c>
      <c r="Y1449" s="34"/>
      <c r="Z1449" s="34">
        <v>0.76041666666666663</v>
      </c>
      <c r="AA1449" s="35">
        <f>IF(TA[[#This Row],[Work Start time on Fault]]="NA","",(TA[[#This Row],[Fault Acknowledgement Time ]]-TA[[#This Row],[Fault Time]])*24)</f>
        <v>0</v>
      </c>
      <c r="AB1449" s="35">
        <f>(TA[[#This Row],[Work Start time on Fault]]-TA[[#This Row],[Fault Time]])*24</f>
        <v>-6.1</v>
      </c>
      <c r="AC1449" s="34">
        <f>(TA[[#This Row],[Work Completion time on fault]]-TA[[#This Row],[Fault Time]])*24</f>
        <v>12.149999999999999</v>
      </c>
      <c r="AD1449" s="35">
        <f>IFERROR((TA[[#This Row],[Work Completion time on fault]]-TA[[#This Row],[Fault Time]])*24,"")</f>
        <v>12.149999999999999</v>
      </c>
      <c r="AE1449" t="s">
        <v>328</v>
      </c>
      <c r="AF1449" t="s">
        <v>256</v>
      </c>
      <c r="AG1449" s="2"/>
      <c r="AH1449" s="44">
        <f>1-COS(RADIANS(TA[[#This Row],[Avg. Target Angle during Fault Time (Radians)]]-TA[[#This Row],[Angle of affected equipment ]]))</f>
        <v>0.11705240714107301</v>
      </c>
      <c r="AI1449" s="35">
        <f>IFERROR(TA[[#This Row],[Breakdown Time]]*TA[[#This Row],[Plant Equivalent Weightage]],"")</f>
        <v>0.10474137931034477</v>
      </c>
    </row>
    <row r="1450" spans="1:35">
      <c r="A1450" s="2">
        <f t="shared" si="176"/>
        <v>1447</v>
      </c>
      <c r="B1450" s="156">
        <f t="shared" si="174"/>
        <v>2026</v>
      </c>
      <c r="C1450" s="129">
        <f t="shared" si="175"/>
        <v>2025</v>
      </c>
      <c r="D1450" s="2" t="s">
        <v>155</v>
      </c>
      <c r="E1450" s="2" t="s">
        <v>155</v>
      </c>
      <c r="F1450" s="39">
        <v>45839</v>
      </c>
      <c r="G1450" s="2">
        <f>DAY(EOMONTH(TA[[#This Row],[Month Year]],0))</f>
        <v>31</v>
      </c>
      <c r="H1450" s="21">
        <v>45848</v>
      </c>
      <c r="I1450" s="41">
        <f>IFERROR(VLOOKUP(TA[[#This Row],[Date]],Raw_Data[[Date]:[Sunset Time (POA&lt;20 W/m2)]],3,0),"")</f>
        <v>0.25416666666666665</v>
      </c>
      <c r="J1450" s="41">
        <f>IFERROR(VLOOKUP(TA[[#This Row],[Date]],Raw_Data[[Date]:[Sunset Time (POA&lt;20 W/m2)]],4,0),"")</f>
        <v>0.78680555555555554</v>
      </c>
      <c r="K1450" s="35">
        <f>IFERROR((TA[[#This Row],[Sunset Time (POA&lt;20 W/m2)]]-TA[[#This Row],[Sunrise Time (POA&gt;20 W/m2)]])*24,"")</f>
        <v>12.783333333333333</v>
      </c>
      <c r="L1450" s="2" t="s">
        <v>294</v>
      </c>
      <c r="M1450" s="42">
        <f>IFERROR(VLOOKUP(TA[[#This Row],[Affected Equipment]],'Basic Data'!$I$2:$K$40,3,0),"")</f>
        <v>1.7241379310344799E-3</v>
      </c>
      <c r="N1450">
        <v>-28</v>
      </c>
      <c r="O1450" t="s">
        <v>133</v>
      </c>
      <c r="P1450" s="127" t="s">
        <v>316</v>
      </c>
      <c r="Q1450" s="126" t="s">
        <v>317</v>
      </c>
      <c r="R1450">
        <v>7</v>
      </c>
      <c r="S1450" s="2">
        <v>32</v>
      </c>
      <c r="T1450" t="s">
        <v>295</v>
      </c>
      <c r="U1450" t="s">
        <v>300</v>
      </c>
      <c r="V1450" t="s">
        <v>298</v>
      </c>
      <c r="W1450" s="41"/>
      <c r="X1450" s="41"/>
      <c r="Y1450" s="34"/>
      <c r="Z1450" s="34"/>
      <c r="AA1450" s="35">
        <f>IF(TA[[#This Row],[Work Start time on Fault]]="NA","",(TA[[#This Row],[Fault Acknowledgement Time ]]-TA[[#This Row],[Fault Time]])*24)</f>
        <v>0</v>
      </c>
      <c r="AB1450" s="35">
        <f>(TA[[#This Row],[Work Start time on Fault]]-TA[[#This Row],[Fault Time]])*24</f>
        <v>0</v>
      </c>
      <c r="AC1450" s="34">
        <f>(TA[[#This Row],[Work Completion time on fault]]-TA[[#This Row],[Fault Time]])*24</f>
        <v>0</v>
      </c>
      <c r="AD1450" s="35">
        <f>IFERROR((TA[[#This Row],[Work Completion time on fault]]-TA[[#This Row],[Fault Time]])*24,"")</f>
        <v>0</v>
      </c>
      <c r="AE1450" t="s">
        <v>328</v>
      </c>
      <c r="AF1450" t="s">
        <v>256</v>
      </c>
      <c r="AG1450" s="2"/>
      <c r="AH1450" s="44">
        <f>1-COS(RADIANS(TA[[#This Row],[Avg. Target Angle during Fault Time (Radians)]]-TA[[#This Row],[Angle of affected equipment ]]))</f>
        <v>0.11705240714107301</v>
      </c>
      <c r="AI1450" s="35">
        <f>IFERROR(TA[[#This Row],[Breakdown Time]]*TA[[#This Row],[Plant Equivalent Weightage]],"")</f>
        <v>0</v>
      </c>
    </row>
    <row r="1451" spans="1:35">
      <c r="A1451" s="2">
        <f t="shared" si="176"/>
        <v>1448</v>
      </c>
      <c r="B1451" s="156">
        <f t="shared" si="174"/>
        <v>2026</v>
      </c>
      <c r="C1451" s="129">
        <f t="shared" si="175"/>
        <v>2025</v>
      </c>
      <c r="D1451" s="2" t="s">
        <v>155</v>
      </c>
      <c r="E1451" s="2" t="s">
        <v>155</v>
      </c>
      <c r="F1451" s="39">
        <v>45839</v>
      </c>
      <c r="G1451" s="2">
        <f>DAY(EOMONTH(TA[[#This Row],[Month Year]],0))</f>
        <v>31</v>
      </c>
      <c r="H1451" s="21">
        <v>45848</v>
      </c>
      <c r="I1451" s="41">
        <f>IFERROR(VLOOKUP(TA[[#This Row],[Date]],Raw_Data[[Date]:[Sunset Time (POA&lt;20 W/m2)]],3,0),"")</f>
        <v>0.25416666666666665</v>
      </c>
      <c r="J1451" s="41">
        <f>IFERROR(VLOOKUP(TA[[#This Row],[Date]],Raw_Data[[Date]:[Sunset Time (POA&lt;20 W/m2)]],4,0),"")</f>
        <v>0.78680555555555554</v>
      </c>
      <c r="K1451" s="35">
        <f>IFERROR((TA[[#This Row],[Sunset Time (POA&lt;20 W/m2)]]-TA[[#This Row],[Sunrise Time (POA&gt;20 W/m2)]])*24,"")</f>
        <v>12.783333333333333</v>
      </c>
      <c r="L1451" s="2" t="s">
        <v>294</v>
      </c>
      <c r="M1451" s="42">
        <f>IFERROR(VLOOKUP(TA[[#This Row],[Affected Equipment]],'Basic Data'!$I$2:$K$40,3,0),"")</f>
        <v>1.7241379310344799E-3</v>
      </c>
      <c r="N1451">
        <v>-28</v>
      </c>
      <c r="O1451" t="s">
        <v>137</v>
      </c>
      <c r="P1451" s="127" t="s">
        <v>315</v>
      </c>
      <c r="Q1451" s="126" t="s">
        <v>319</v>
      </c>
      <c r="R1451">
        <v>166</v>
      </c>
      <c r="S1451" s="2">
        <v>91</v>
      </c>
      <c r="T1451" t="s">
        <v>295</v>
      </c>
      <c r="U1451" t="s">
        <v>300</v>
      </c>
      <c r="V1451" t="s">
        <v>298</v>
      </c>
      <c r="W1451" s="41"/>
      <c r="X1451" s="41"/>
      <c r="Y1451" s="34"/>
      <c r="Z1451" s="34"/>
      <c r="AA1451" s="35">
        <f>IF(TA[[#This Row],[Work Start time on Fault]]="NA","",(TA[[#This Row],[Fault Acknowledgement Time ]]-TA[[#This Row],[Fault Time]])*24)</f>
        <v>0</v>
      </c>
      <c r="AB1451" s="35">
        <f>(TA[[#This Row],[Work Start time on Fault]]-TA[[#This Row],[Fault Time]])*24</f>
        <v>0</v>
      </c>
      <c r="AC1451" s="34">
        <f>(TA[[#This Row],[Work Completion time on fault]]-TA[[#This Row],[Fault Time]])*24</f>
        <v>0</v>
      </c>
      <c r="AD1451" s="35">
        <f>IFERROR((TA[[#This Row],[Work Completion time on fault]]-TA[[#This Row],[Fault Time]])*24,"")</f>
        <v>0</v>
      </c>
      <c r="AE1451" t="s">
        <v>328</v>
      </c>
      <c r="AF1451" t="s">
        <v>256</v>
      </c>
      <c r="AG1451" s="2"/>
      <c r="AH1451" s="44">
        <f>1-COS(RADIANS(TA[[#This Row],[Avg. Target Angle during Fault Time (Radians)]]-TA[[#This Row],[Angle of affected equipment ]]))</f>
        <v>0.11705240714107301</v>
      </c>
      <c r="AI1451" s="35">
        <f>IFERROR(TA[[#This Row],[Breakdown Time]]*TA[[#This Row],[Plant Equivalent Weightage]],"")</f>
        <v>0</v>
      </c>
    </row>
    <row r="1452" spans="1:35">
      <c r="A1452" s="2">
        <f t="shared" si="176"/>
        <v>1449</v>
      </c>
      <c r="B1452" s="156">
        <f t="shared" si="174"/>
        <v>2026</v>
      </c>
      <c r="C1452" s="129">
        <f t="shared" si="175"/>
        <v>2025</v>
      </c>
      <c r="D1452" s="2" t="s">
        <v>155</v>
      </c>
      <c r="E1452" s="2" t="s">
        <v>155</v>
      </c>
      <c r="F1452" s="39">
        <v>45839</v>
      </c>
      <c r="G1452" s="2">
        <f>DAY(EOMONTH(TA[[#This Row],[Month Year]],0))</f>
        <v>31</v>
      </c>
      <c r="H1452" s="21">
        <v>45848</v>
      </c>
      <c r="I1452" s="41">
        <f>IFERROR(VLOOKUP(TA[[#This Row],[Date]],Raw_Data[[Date]:[Sunset Time (POA&lt;20 W/m2)]],3,0),"")</f>
        <v>0.25416666666666665</v>
      </c>
      <c r="J1452" s="41">
        <f>IFERROR(VLOOKUP(TA[[#This Row],[Date]],Raw_Data[[Date]:[Sunset Time (POA&lt;20 W/m2)]],4,0),"")</f>
        <v>0.78680555555555554</v>
      </c>
      <c r="K1452" s="35">
        <f>IFERROR((TA[[#This Row],[Sunset Time (POA&lt;20 W/m2)]]-TA[[#This Row],[Sunrise Time (POA&gt;20 W/m2)]])*24,"")</f>
        <v>12.783333333333333</v>
      </c>
      <c r="L1452" s="2" t="s">
        <v>294</v>
      </c>
      <c r="M1452" s="42">
        <f>IFERROR(VLOOKUP(TA[[#This Row],[Affected Equipment]],'Basic Data'!$I$2:$K$40,3,0),"")</f>
        <v>1.7241379310344799E-3</v>
      </c>
      <c r="N1452">
        <v>-28</v>
      </c>
      <c r="O1452" t="s">
        <v>133</v>
      </c>
      <c r="P1452" s="127" t="s">
        <v>316</v>
      </c>
      <c r="Q1452" s="126" t="s">
        <v>316</v>
      </c>
      <c r="R1452">
        <v>117</v>
      </c>
      <c r="S1452" s="2">
        <v>20</v>
      </c>
      <c r="T1452" t="s">
        <v>295</v>
      </c>
      <c r="U1452" t="s">
        <v>300</v>
      </c>
      <c r="V1452" t="s">
        <v>298</v>
      </c>
      <c r="W1452" s="41"/>
      <c r="X1452" s="41"/>
      <c r="Y1452" s="34"/>
      <c r="Z1452" s="34"/>
      <c r="AA1452" s="35">
        <f>IF(TA[[#This Row],[Work Start time on Fault]]="NA","",(TA[[#This Row],[Fault Acknowledgement Time ]]-TA[[#This Row],[Fault Time]])*24)</f>
        <v>0</v>
      </c>
      <c r="AB1452" s="35">
        <f>(TA[[#This Row],[Work Start time on Fault]]-TA[[#This Row],[Fault Time]])*24</f>
        <v>0</v>
      </c>
      <c r="AC1452" s="34">
        <f>(TA[[#This Row],[Work Completion time on fault]]-TA[[#This Row],[Fault Time]])*24</f>
        <v>0</v>
      </c>
      <c r="AD1452" s="35">
        <f>IFERROR((TA[[#This Row],[Work Completion time on fault]]-TA[[#This Row],[Fault Time]])*24,"")</f>
        <v>0</v>
      </c>
      <c r="AE1452" t="s">
        <v>328</v>
      </c>
      <c r="AF1452" t="s">
        <v>256</v>
      </c>
      <c r="AG1452" s="2"/>
      <c r="AH1452" s="44">
        <f>1-COS(RADIANS(TA[[#This Row],[Avg. Target Angle during Fault Time (Radians)]]-TA[[#This Row],[Angle of affected equipment ]]))</f>
        <v>0.11705240714107301</v>
      </c>
      <c r="AI1452" s="35">
        <f>IFERROR(TA[[#This Row],[Breakdown Time]]*TA[[#This Row],[Plant Equivalent Weightage]],"")</f>
        <v>0</v>
      </c>
    </row>
    <row r="1453" spans="1:35">
      <c r="A1453" s="2">
        <f t="shared" si="176"/>
        <v>1450</v>
      </c>
      <c r="B1453" s="156">
        <f t="shared" si="174"/>
        <v>2026</v>
      </c>
      <c r="C1453" s="129">
        <f t="shared" si="175"/>
        <v>2025</v>
      </c>
      <c r="D1453" s="2" t="s">
        <v>155</v>
      </c>
      <c r="E1453" s="2" t="s">
        <v>155</v>
      </c>
      <c r="F1453" s="39">
        <v>45839</v>
      </c>
      <c r="G1453" s="2">
        <f>DAY(EOMONTH(TA[[#This Row],[Month Year]],0))</f>
        <v>31</v>
      </c>
      <c r="H1453" s="21">
        <v>45848</v>
      </c>
      <c r="I1453" s="41">
        <f>IFERROR(VLOOKUP(TA[[#This Row],[Date]],Raw_Data[[Date]:[Sunset Time (POA&lt;20 W/m2)]],3,0),"")</f>
        <v>0.25416666666666665</v>
      </c>
      <c r="J1453" s="41">
        <f>IFERROR(VLOOKUP(TA[[#This Row],[Date]],Raw_Data[[Date]:[Sunset Time (POA&lt;20 W/m2)]],4,0),"")</f>
        <v>0.78680555555555554</v>
      </c>
      <c r="K1453" s="35">
        <f>IFERROR((TA[[#This Row],[Sunset Time (POA&lt;20 W/m2)]]-TA[[#This Row],[Sunrise Time (POA&gt;20 W/m2)]])*24,"")</f>
        <v>12.783333333333333</v>
      </c>
      <c r="L1453" s="2" t="s">
        <v>294</v>
      </c>
      <c r="M1453" s="42">
        <f>IFERROR(VLOOKUP(TA[[#This Row],[Affected Equipment]],'Basic Data'!$I$2:$K$40,3,0),"")</f>
        <v>1.7241379310344799E-3</v>
      </c>
      <c r="N1453">
        <v>-28</v>
      </c>
      <c r="O1453" t="s">
        <v>133</v>
      </c>
      <c r="P1453" s="127" t="s">
        <v>316</v>
      </c>
      <c r="Q1453" s="126" t="s">
        <v>316</v>
      </c>
      <c r="R1453">
        <v>118</v>
      </c>
      <c r="S1453" s="2">
        <v>22</v>
      </c>
      <c r="T1453" t="s">
        <v>295</v>
      </c>
      <c r="U1453" t="s">
        <v>300</v>
      </c>
      <c r="V1453" t="s">
        <v>298</v>
      </c>
      <c r="W1453" s="41"/>
      <c r="X1453" s="41"/>
      <c r="Y1453" s="34"/>
      <c r="Z1453" s="34"/>
      <c r="AA1453" s="35">
        <f>IF(TA[[#This Row],[Work Start time on Fault]]="NA","",(TA[[#This Row],[Fault Acknowledgement Time ]]-TA[[#This Row],[Fault Time]])*24)</f>
        <v>0</v>
      </c>
      <c r="AB1453" s="35">
        <f>(TA[[#This Row],[Work Start time on Fault]]-TA[[#This Row],[Fault Time]])*24</f>
        <v>0</v>
      </c>
      <c r="AC1453" s="34">
        <f>(TA[[#This Row],[Work Completion time on fault]]-TA[[#This Row],[Fault Time]])*24</f>
        <v>0</v>
      </c>
      <c r="AD1453" s="35">
        <f>IFERROR((TA[[#This Row],[Work Completion time on fault]]-TA[[#This Row],[Fault Time]])*24,"")</f>
        <v>0</v>
      </c>
      <c r="AE1453" t="s">
        <v>328</v>
      </c>
      <c r="AF1453" t="s">
        <v>256</v>
      </c>
      <c r="AG1453" s="2"/>
      <c r="AH1453" s="44">
        <f>1-COS(RADIANS(TA[[#This Row],[Avg. Target Angle during Fault Time (Radians)]]-TA[[#This Row],[Angle of affected equipment ]]))</f>
        <v>0.11705240714107301</v>
      </c>
      <c r="AI1453" s="35">
        <f>IFERROR(TA[[#This Row],[Breakdown Time]]*TA[[#This Row],[Plant Equivalent Weightage]],"")</f>
        <v>0</v>
      </c>
    </row>
    <row r="1454" spans="1:35">
      <c r="A1454" s="2">
        <f t="shared" si="176"/>
        <v>1451</v>
      </c>
      <c r="B1454" s="156">
        <f t="shared" si="174"/>
        <v>2026</v>
      </c>
      <c r="C1454" s="129">
        <f t="shared" si="175"/>
        <v>2025</v>
      </c>
      <c r="D1454" s="2" t="s">
        <v>155</v>
      </c>
      <c r="E1454" s="2" t="s">
        <v>155</v>
      </c>
      <c r="F1454" s="39">
        <v>45839</v>
      </c>
      <c r="G1454" s="2">
        <f>DAY(EOMONTH(TA[[#This Row],[Month Year]],0))</f>
        <v>31</v>
      </c>
      <c r="H1454" s="21">
        <v>45848</v>
      </c>
      <c r="I1454" s="41">
        <f>IFERROR(VLOOKUP(TA[[#This Row],[Date]],Raw_Data[[Date]:[Sunset Time (POA&lt;20 W/m2)]],3,0),"")</f>
        <v>0.25416666666666665</v>
      </c>
      <c r="J1454" s="41">
        <f>IFERROR(VLOOKUP(TA[[#This Row],[Date]],Raw_Data[[Date]:[Sunset Time (POA&lt;20 W/m2)]],4,0),"")</f>
        <v>0.78680555555555554</v>
      </c>
      <c r="K1454" s="35">
        <f>IFERROR((TA[[#This Row],[Sunset Time (POA&lt;20 W/m2)]]-TA[[#This Row],[Sunrise Time (POA&gt;20 W/m2)]])*24,"")</f>
        <v>12.783333333333333</v>
      </c>
      <c r="L1454" s="2" t="s">
        <v>296</v>
      </c>
      <c r="M1454" s="42">
        <f>IFERROR(VLOOKUP(TA[[#This Row],[Affected Equipment]],'Basic Data'!$I$2:$K$40,3,0),"")</f>
        <v>8.6206896551724102E-3</v>
      </c>
      <c r="N1454">
        <v>-28</v>
      </c>
      <c r="O1454" t="s">
        <v>135</v>
      </c>
      <c r="P1454" s="22" t="s">
        <v>323</v>
      </c>
      <c r="Q1454" s="2" t="s">
        <v>329</v>
      </c>
      <c r="R1454">
        <v>45</v>
      </c>
      <c r="S1454" s="2">
        <v>8</v>
      </c>
      <c r="T1454" t="s">
        <v>297</v>
      </c>
      <c r="U1454" t="s">
        <v>300</v>
      </c>
      <c r="V1454" t="s">
        <v>301</v>
      </c>
      <c r="W1454" s="41"/>
      <c r="X1454" s="41"/>
      <c r="Y1454" s="34"/>
      <c r="Z1454" s="34"/>
      <c r="AA1454" s="35">
        <f>IF(TA[[#This Row],[Work Start time on Fault]]="NA","",(TA[[#This Row],[Fault Acknowledgement Time ]]-TA[[#This Row],[Fault Time]])*24)</f>
        <v>0</v>
      </c>
      <c r="AB1454" s="35">
        <f>(TA[[#This Row],[Work Start time on Fault]]-TA[[#This Row],[Fault Time]])*24</f>
        <v>0</v>
      </c>
      <c r="AC1454" s="34">
        <f>(TA[[#This Row],[Work Completion time on fault]]-TA[[#This Row],[Fault Time]])*24</f>
        <v>0</v>
      </c>
      <c r="AD1454" s="35">
        <f>IFERROR((TA[[#This Row],[Work Completion time on fault]]-TA[[#This Row],[Fault Time]])*24,"")</f>
        <v>0</v>
      </c>
      <c r="AE1454" t="s">
        <v>328</v>
      </c>
      <c r="AF1454" t="s">
        <v>256</v>
      </c>
      <c r="AG1454" s="2"/>
      <c r="AH1454" s="44">
        <f>1-COS(RADIANS(TA[[#This Row],[Avg. Target Angle during Fault Time (Radians)]]-TA[[#This Row],[Angle of affected equipment ]]))</f>
        <v>0.11705240714107301</v>
      </c>
      <c r="AI1454" s="35">
        <f>IFERROR(TA[[#This Row],[Breakdown Time]]*TA[[#This Row],[Plant Equivalent Weightage]],"")</f>
        <v>0</v>
      </c>
    </row>
    <row r="1455" spans="1:35">
      <c r="A1455" s="2">
        <f t="shared" si="176"/>
        <v>1452</v>
      </c>
      <c r="B1455" s="156">
        <f t="shared" si="174"/>
        <v>2026</v>
      </c>
      <c r="C1455" s="129">
        <f t="shared" si="175"/>
        <v>2025</v>
      </c>
      <c r="D1455" s="2" t="s">
        <v>155</v>
      </c>
      <c r="E1455" s="2" t="s">
        <v>155</v>
      </c>
      <c r="F1455" s="39">
        <v>45839</v>
      </c>
      <c r="G1455" s="2">
        <f>DAY(EOMONTH(TA[[#This Row],[Month Year]],0))</f>
        <v>31</v>
      </c>
      <c r="H1455" s="21">
        <v>45848</v>
      </c>
      <c r="I1455" s="41">
        <f>IFERROR(VLOOKUP(TA[[#This Row],[Date]],Raw_Data[[Date]:[Sunset Time (POA&lt;20 W/m2)]],3,0),"")</f>
        <v>0.25416666666666665</v>
      </c>
      <c r="J1455" s="41">
        <f>IFERROR(VLOOKUP(TA[[#This Row],[Date]],Raw_Data[[Date]:[Sunset Time (POA&lt;20 W/m2)]],4,0),"")</f>
        <v>0.78680555555555554</v>
      </c>
      <c r="K1455" s="35">
        <f>IFERROR((TA[[#This Row],[Sunset Time (POA&lt;20 W/m2)]]-TA[[#This Row],[Sunrise Time (POA&gt;20 W/m2)]])*24,"")</f>
        <v>12.783333333333333</v>
      </c>
      <c r="L1455" s="2" t="s">
        <v>296</v>
      </c>
      <c r="M1455" s="42">
        <f>IFERROR(VLOOKUP(TA[[#This Row],[Affected Equipment]],'Basic Data'!$I$2:$K$40,3,0),"")</f>
        <v>8.6206896551724102E-3</v>
      </c>
      <c r="N1455">
        <v>-28</v>
      </c>
      <c r="O1455" t="s">
        <v>135</v>
      </c>
      <c r="P1455" s="22" t="s">
        <v>323</v>
      </c>
      <c r="Q1455" s="2" t="s">
        <v>329</v>
      </c>
      <c r="R1455">
        <v>47</v>
      </c>
      <c r="S1455" s="2">
        <v>18</v>
      </c>
      <c r="T1455" t="s">
        <v>297</v>
      </c>
      <c r="U1455" t="s">
        <v>300</v>
      </c>
      <c r="V1455" t="s">
        <v>301</v>
      </c>
      <c r="W1455" s="41"/>
      <c r="X1455" s="41"/>
      <c r="Y1455" s="34"/>
      <c r="Z1455" s="34"/>
      <c r="AA1455" s="35">
        <f>IF(TA[[#This Row],[Work Start time on Fault]]="NA","",(TA[[#This Row],[Fault Acknowledgement Time ]]-TA[[#This Row],[Fault Time]])*24)</f>
        <v>0</v>
      </c>
      <c r="AB1455" s="35">
        <f>(TA[[#This Row],[Work Start time on Fault]]-TA[[#This Row],[Fault Time]])*24</f>
        <v>0</v>
      </c>
      <c r="AC1455" s="34">
        <f>(TA[[#This Row],[Work Completion time on fault]]-TA[[#This Row],[Fault Time]])*24</f>
        <v>0</v>
      </c>
      <c r="AD1455" s="35">
        <f>IFERROR((TA[[#This Row],[Work Completion time on fault]]-TA[[#This Row],[Fault Time]])*24,"")</f>
        <v>0</v>
      </c>
      <c r="AE1455" t="s">
        <v>328</v>
      </c>
      <c r="AF1455" t="s">
        <v>256</v>
      </c>
      <c r="AG1455" s="2"/>
      <c r="AH1455" s="44">
        <f>1-COS(RADIANS(TA[[#This Row],[Avg. Target Angle during Fault Time (Radians)]]-TA[[#This Row],[Angle of affected equipment ]]))</f>
        <v>0.11705240714107301</v>
      </c>
      <c r="AI1455" s="35">
        <f>IFERROR(TA[[#This Row],[Breakdown Time]]*TA[[#This Row],[Plant Equivalent Weightage]],"")</f>
        <v>0</v>
      </c>
    </row>
    <row r="1456" spans="1:35">
      <c r="A1456" s="2">
        <f t="shared" si="176"/>
        <v>1453</v>
      </c>
      <c r="B1456" s="156">
        <f t="shared" si="174"/>
        <v>2026</v>
      </c>
      <c r="C1456" s="129">
        <f t="shared" si="175"/>
        <v>2025</v>
      </c>
      <c r="D1456" s="2" t="s">
        <v>155</v>
      </c>
      <c r="E1456" s="2" t="s">
        <v>155</v>
      </c>
      <c r="F1456" s="39">
        <v>45839</v>
      </c>
      <c r="G1456" s="2">
        <f>DAY(EOMONTH(TA[[#This Row],[Month Year]],0))</f>
        <v>31</v>
      </c>
      <c r="H1456" s="21">
        <v>45848</v>
      </c>
      <c r="I1456" s="41">
        <f>IFERROR(VLOOKUP(TA[[#This Row],[Date]],Raw_Data[[Date]:[Sunset Time (POA&lt;20 W/m2)]],3,0),"")</f>
        <v>0.25416666666666665</v>
      </c>
      <c r="J1456" s="41">
        <f>IFERROR(VLOOKUP(TA[[#This Row],[Date]],Raw_Data[[Date]:[Sunset Time (POA&lt;20 W/m2)]],4,0),"")</f>
        <v>0.78680555555555554</v>
      </c>
      <c r="K1456" s="35">
        <f>IFERROR((TA[[#This Row],[Sunset Time (POA&lt;20 W/m2)]]-TA[[#This Row],[Sunrise Time (POA&gt;20 W/m2)]])*24,"")</f>
        <v>12.783333333333333</v>
      </c>
      <c r="L1456" s="2" t="s">
        <v>296</v>
      </c>
      <c r="M1456" s="42">
        <f>IFERROR(VLOOKUP(TA[[#This Row],[Affected Equipment]],'Basic Data'!$I$2:$K$40,3,0),"")</f>
        <v>8.6206896551724102E-3</v>
      </c>
      <c r="N1456">
        <v>-28</v>
      </c>
      <c r="O1456" t="s">
        <v>134</v>
      </c>
      <c r="P1456" s="22" t="s">
        <v>330</v>
      </c>
      <c r="Q1456" s="2" t="s">
        <v>323</v>
      </c>
      <c r="R1456">
        <v>30</v>
      </c>
      <c r="S1456" s="2">
        <v>57</v>
      </c>
      <c r="T1456" t="s">
        <v>297</v>
      </c>
      <c r="U1456" t="s">
        <v>300</v>
      </c>
      <c r="V1456" t="s">
        <v>301</v>
      </c>
      <c r="W1456" s="41"/>
      <c r="X1456" s="41"/>
      <c r="Y1456" s="34"/>
      <c r="Z1456" s="34"/>
      <c r="AA1456" s="35">
        <f>IF(TA[[#This Row],[Work Start time on Fault]]="NA","",(TA[[#This Row],[Fault Acknowledgement Time ]]-TA[[#This Row],[Fault Time]])*24)</f>
        <v>0</v>
      </c>
      <c r="AB1456" s="35">
        <f>(TA[[#This Row],[Work Start time on Fault]]-TA[[#This Row],[Fault Time]])*24</f>
        <v>0</v>
      </c>
      <c r="AC1456" s="34">
        <f>(TA[[#This Row],[Work Completion time on fault]]-TA[[#This Row],[Fault Time]])*24</f>
        <v>0</v>
      </c>
      <c r="AD1456" s="35">
        <f>IFERROR((TA[[#This Row],[Work Completion time on fault]]-TA[[#This Row],[Fault Time]])*24,"")</f>
        <v>0</v>
      </c>
      <c r="AE1456" t="s">
        <v>328</v>
      </c>
      <c r="AF1456" t="s">
        <v>256</v>
      </c>
      <c r="AG1456" s="2"/>
      <c r="AH1456" s="44">
        <f>1-COS(RADIANS(TA[[#This Row],[Avg. Target Angle during Fault Time (Radians)]]-TA[[#This Row],[Angle of affected equipment ]]))</f>
        <v>0.11705240714107301</v>
      </c>
      <c r="AI1456" s="35">
        <f>IFERROR(TA[[#This Row],[Breakdown Time]]*TA[[#This Row],[Plant Equivalent Weightage]],"")</f>
        <v>0</v>
      </c>
    </row>
    <row r="1457" spans="1:35">
      <c r="A1457" s="2">
        <f t="shared" si="176"/>
        <v>1454</v>
      </c>
      <c r="B1457" s="156">
        <f t="shared" si="174"/>
        <v>2026</v>
      </c>
      <c r="C1457" s="129">
        <f t="shared" si="175"/>
        <v>2025</v>
      </c>
      <c r="D1457" s="2" t="s">
        <v>155</v>
      </c>
      <c r="E1457" s="2" t="s">
        <v>155</v>
      </c>
      <c r="F1457" s="39">
        <v>45839</v>
      </c>
      <c r="G1457" s="2">
        <f>DAY(EOMONTH(TA[[#This Row],[Month Year]],0))</f>
        <v>31</v>
      </c>
      <c r="H1457" s="21">
        <v>45848</v>
      </c>
      <c r="I1457" s="41">
        <f>IFERROR(VLOOKUP(TA[[#This Row],[Date]],Raw_Data[[Date]:[Sunset Time (POA&lt;20 W/m2)]],3,0),"")</f>
        <v>0.25416666666666665</v>
      </c>
      <c r="J1457" s="41">
        <f>IFERROR(VLOOKUP(TA[[#This Row],[Date]],Raw_Data[[Date]:[Sunset Time (POA&lt;20 W/m2)]],4,0),"")</f>
        <v>0.78680555555555554</v>
      </c>
      <c r="K1457" s="35">
        <f>IFERROR((TA[[#This Row],[Sunset Time (POA&lt;20 W/m2)]]-TA[[#This Row],[Sunrise Time (POA&gt;20 W/m2)]])*24,"")</f>
        <v>12.783333333333333</v>
      </c>
      <c r="L1457" s="2" t="s">
        <v>296</v>
      </c>
      <c r="M1457" s="42">
        <f>IFERROR(VLOOKUP(TA[[#This Row],[Affected Equipment]],'Basic Data'!$I$2:$K$40,3,0),"")</f>
        <v>8.6206896551724102E-3</v>
      </c>
      <c r="N1457">
        <v>-28</v>
      </c>
      <c r="O1457" t="s">
        <v>134</v>
      </c>
      <c r="P1457" s="22" t="s">
        <v>330</v>
      </c>
      <c r="Q1457" s="2" t="s">
        <v>323</v>
      </c>
      <c r="R1457">
        <v>31</v>
      </c>
      <c r="S1457" s="2">
        <v>61</v>
      </c>
      <c r="T1457" t="s">
        <v>297</v>
      </c>
      <c r="U1457" t="s">
        <v>300</v>
      </c>
      <c r="V1457" t="s">
        <v>301</v>
      </c>
      <c r="W1457" s="41"/>
      <c r="X1457" s="41"/>
      <c r="Y1457" s="34"/>
      <c r="Z1457" s="34"/>
      <c r="AA1457" s="35">
        <f>IF(TA[[#This Row],[Work Start time on Fault]]="NA","",(TA[[#This Row],[Fault Acknowledgement Time ]]-TA[[#This Row],[Fault Time]])*24)</f>
        <v>0</v>
      </c>
      <c r="AB1457" s="35">
        <f>(TA[[#This Row],[Work Start time on Fault]]-TA[[#This Row],[Fault Time]])*24</f>
        <v>0</v>
      </c>
      <c r="AC1457" s="34">
        <f>(TA[[#This Row],[Work Completion time on fault]]-TA[[#This Row],[Fault Time]])*24</f>
        <v>0</v>
      </c>
      <c r="AD1457" s="35">
        <f>IFERROR((TA[[#This Row],[Work Completion time on fault]]-TA[[#This Row],[Fault Time]])*24,"")</f>
        <v>0</v>
      </c>
      <c r="AE1457" t="s">
        <v>328</v>
      </c>
      <c r="AF1457" t="s">
        <v>256</v>
      </c>
      <c r="AG1457" s="2"/>
      <c r="AH1457" s="44">
        <f>1-COS(RADIANS(TA[[#This Row],[Avg. Target Angle during Fault Time (Radians)]]-TA[[#This Row],[Angle of affected equipment ]]))</f>
        <v>0.11705240714107301</v>
      </c>
      <c r="AI1457" s="35">
        <f>IFERROR(TA[[#This Row],[Breakdown Time]]*TA[[#This Row],[Plant Equivalent Weightage]],"")</f>
        <v>0</v>
      </c>
    </row>
    <row r="1458" spans="1:35">
      <c r="A1458" s="2">
        <f t="shared" si="176"/>
        <v>1455</v>
      </c>
      <c r="B1458" s="156">
        <f t="shared" si="174"/>
        <v>2026</v>
      </c>
      <c r="C1458" s="129">
        <f t="shared" si="175"/>
        <v>2025</v>
      </c>
      <c r="D1458" s="2" t="s">
        <v>155</v>
      </c>
      <c r="E1458" s="2" t="s">
        <v>155</v>
      </c>
      <c r="F1458" s="39">
        <v>45839</v>
      </c>
      <c r="G1458" s="2">
        <f>DAY(EOMONTH(TA[[#This Row],[Month Year]],0))</f>
        <v>31</v>
      </c>
      <c r="H1458" s="21">
        <v>45848</v>
      </c>
      <c r="I1458" s="41">
        <f>IFERROR(VLOOKUP(TA[[#This Row],[Date]],Raw_Data[[Date]:[Sunset Time (POA&lt;20 W/m2)]],3,0),"")</f>
        <v>0.25416666666666665</v>
      </c>
      <c r="J1458" s="41">
        <f>IFERROR(VLOOKUP(TA[[#This Row],[Date]],Raw_Data[[Date]:[Sunset Time (POA&lt;20 W/m2)]],4,0),"")</f>
        <v>0.78680555555555554</v>
      </c>
      <c r="K1458" s="35">
        <f>IFERROR((TA[[#This Row],[Sunset Time (POA&lt;20 W/m2)]]-TA[[#This Row],[Sunrise Time (POA&gt;20 W/m2)]])*24,"")</f>
        <v>12.783333333333333</v>
      </c>
      <c r="L1458" s="2" t="s">
        <v>312</v>
      </c>
      <c r="M1458" s="42">
        <f>IFERROR(VLOOKUP(TA[[#This Row],[Affected Equipment]],'Basic Data'!$I$2:$K$40,3,0),"")</f>
        <v>5.74712643678161E-3</v>
      </c>
      <c r="N1458">
        <v>-28</v>
      </c>
      <c r="O1458" t="s">
        <v>133</v>
      </c>
      <c r="P1458" s="22" t="s">
        <v>330</v>
      </c>
      <c r="Q1458" s="2" t="s">
        <v>323</v>
      </c>
      <c r="R1458">
        <v>26</v>
      </c>
      <c r="S1458" s="2">
        <v>37</v>
      </c>
      <c r="T1458" t="s">
        <v>297</v>
      </c>
      <c r="U1458" t="s">
        <v>300</v>
      </c>
      <c r="V1458" t="s">
        <v>301</v>
      </c>
      <c r="W1458" s="41"/>
      <c r="X1458" s="41"/>
      <c r="Y1458" s="34"/>
      <c r="Z1458" s="34"/>
      <c r="AA1458" s="35">
        <f>IF(TA[[#This Row],[Work Start time on Fault]]="NA","",(TA[[#This Row],[Fault Acknowledgement Time ]]-TA[[#This Row],[Fault Time]])*24)</f>
        <v>0</v>
      </c>
      <c r="AB1458" s="35">
        <f>(TA[[#This Row],[Work Start time on Fault]]-TA[[#This Row],[Fault Time]])*24</f>
        <v>0</v>
      </c>
      <c r="AC1458" s="34">
        <f>(TA[[#This Row],[Work Completion time on fault]]-TA[[#This Row],[Fault Time]])*24</f>
        <v>0</v>
      </c>
      <c r="AD1458" s="35">
        <f>IFERROR((TA[[#This Row],[Work Completion time on fault]]-TA[[#This Row],[Fault Time]])*24,"")</f>
        <v>0</v>
      </c>
      <c r="AE1458" t="s">
        <v>328</v>
      </c>
      <c r="AF1458" t="s">
        <v>256</v>
      </c>
      <c r="AG1458" s="2"/>
      <c r="AH1458" s="44">
        <f>1-COS(RADIANS(TA[[#This Row],[Avg. Target Angle during Fault Time (Radians)]]-TA[[#This Row],[Angle of affected equipment ]]))</f>
        <v>0.11705240714107301</v>
      </c>
      <c r="AI1458" s="35">
        <f>IFERROR(TA[[#This Row],[Breakdown Time]]*TA[[#This Row],[Plant Equivalent Weightage]],"")</f>
        <v>0</v>
      </c>
    </row>
    <row r="1459" spans="1:35">
      <c r="A1459" s="2">
        <f t="shared" si="176"/>
        <v>1456</v>
      </c>
      <c r="B1459" s="156">
        <f t="shared" si="174"/>
        <v>2026</v>
      </c>
      <c r="C1459" s="129">
        <f t="shared" si="175"/>
        <v>2025</v>
      </c>
      <c r="D1459" s="2" t="s">
        <v>155</v>
      </c>
      <c r="E1459" s="2" t="s">
        <v>155</v>
      </c>
      <c r="F1459" s="39">
        <v>45839</v>
      </c>
      <c r="G1459" s="2">
        <f>DAY(EOMONTH(TA[[#This Row],[Month Year]],0))</f>
        <v>31</v>
      </c>
      <c r="H1459" s="21">
        <v>45848</v>
      </c>
      <c r="I1459" s="41">
        <f>IFERROR(VLOOKUP(TA[[#This Row],[Date]],Raw_Data[[Date]:[Sunset Time (POA&lt;20 W/m2)]],3,0),"")</f>
        <v>0.25416666666666665</v>
      </c>
      <c r="J1459" s="41">
        <f>IFERROR(VLOOKUP(TA[[#This Row],[Date]],Raw_Data[[Date]:[Sunset Time (POA&lt;20 W/m2)]],4,0),"")</f>
        <v>0.78680555555555554</v>
      </c>
      <c r="K1459" s="35">
        <f>IFERROR((TA[[#This Row],[Sunset Time (POA&lt;20 W/m2)]]-TA[[#This Row],[Sunrise Time (POA&gt;20 W/m2)]])*24,"")</f>
        <v>12.783333333333333</v>
      </c>
      <c r="L1459" s="2" t="s">
        <v>312</v>
      </c>
      <c r="M1459" s="42">
        <f>IFERROR(VLOOKUP(TA[[#This Row],[Affected Equipment]],'Basic Data'!$I$2:$K$40,3,0),"")</f>
        <v>5.74712643678161E-3</v>
      </c>
      <c r="N1459">
        <v>-28</v>
      </c>
      <c r="O1459" t="s">
        <v>133</v>
      </c>
      <c r="P1459" s="22" t="s">
        <v>330</v>
      </c>
      <c r="Q1459" s="2" t="s">
        <v>323</v>
      </c>
      <c r="R1459">
        <v>27</v>
      </c>
      <c r="S1459" s="2">
        <v>42</v>
      </c>
      <c r="T1459" t="s">
        <v>297</v>
      </c>
      <c r="U1459" t="s">
        <v>300</v>
      </c>
      <c r="V1459" t="s">
        <v>301</v>
      </c>
      <c r="W1459" s="41">
        <f>IFERROR(VLOOKUP(TA[[#This Row],[Date]],Raw_Data[[Date]:[Sunset Time (POA&lt;20 W/m2)]],3,0),"")</f>
        <v>0.25416666666666665</v>
      </c>
      <c r="X1459" s="41">
        <f>IFERROR(VLOOKUP(TA[[#This Row],[Date]],Raw_Data[[Date]:[Sunset Time (POA&lt;20 W/m2)]],3,0),"")</f>
        <v>0.25416666666666665</v>
      </c>
      <c r="Y1459" s="34"/>
      <c r="Z1459" s="34">
        <v>0.76041666666666663</v>
      </c>
      <c r="AA1459" s="35">
        <f>IF(TA[[#This Row],[Work Start time on Fault]]="NA","",(TA[[#This Row],[Fault Acknowledgement Time ]]-TA[[#This Row],[Fault Time]])*24)</f>
        <v>0</v>
      </c>
      <c r="AB1459" s="35">
        <f>(TA[[#This Row],[Work Start time on Fault]]-TA[[#This Row],[Fault Time]])*24</f>
        <v>-6.1</v>
      </c>
      <c r="AC1459" s="34">
        <f>(TA[[#This Row],[Work Completion time on fault]]-TA[[#This Row],[Fault Time]])*24</f>
        <v>12.149999999999999</v>
      </c>
      <c r="AD1459" s="35">
        <f>IFERROR((TA[[#This Row],[Work Completion time on fault]]-TA[[#This Row],[Fault Time]])*24,"")</f>
        <v>12.149999999999999</v>
      </c>
      <c r="AE1459" t="s">
        <v>309</v>
      </c>
      <c r="AF1459" t="s">
        <v>256</v>
      </c>
      <c r="AG1459" s="2"/>
      <c r="AH1459" s="44">
        <f>1-COS(RADIANS(TA[[#This Row],[Avg. Target Angle during Fault Time (Radians)]]-TA[[#This Row],[Angle of affected equipment ]]))</f>
        <v>0.11705240714107301</v>
      </c>
      <c r="AI1459" s="35">
        <f>IFERROR(TA[[#This Row],[Breakdown Time]]*TA[[#This Row],[Plant Equivalent Weightage]],"")</f>
        <v>6.9827586206896552E-2</v>
      </c>
    </row>
    <row r="1460" spans="1:35">
      <c r="A1460" s="2">
        <f t="shared" si="176"/>
        <v>1457</v>
      </c>
      <c r="B1460" s="156">
        <f t="shared" ref="B1460:B1472" si="177">YEAR(H1460)+IF(MONTH(H1460)&gt;=4,1,0)</f>
        <v>2026</v>
      </c>
      <c r="C1460" s="129">
        <f t="shared" ref="C1460:C1472" si="178">YEAR(H1460)</f>
        <v>2025</v>
      </c>
      <c r="D1460" s="2" t="s">
        <v>155</v>
      </c>
      <c r="E1460" s="2" t="s">
        <v>155</v>
      </c>
      <c r="F1460" s="39">
        <v>45839</v>
      </c>
      <c r="G1460" s="2">
        <f>DAY(EOMONTH(TA[[#This Row],[Month Year]],0))</f>
        <v>31</v>
      </c>
      <c r="H1460" s="21">
        <v>45849</v>
      </c>
      <c r="I1460" s="41">
        <f>IFERROR(VLOOKUP(TA[[#This Row],[Date]],Raw_Data[[Date]:[Sunset Time (POA&lt;20 W/m2)]],3,0),"")</f>
        <v>0.25486111111111109</v>
      </c>
      <c r="J1460" s="41">
        <f>IFERROR(VLOOKUP(TA[[#This Row],[Date]],Raw_Data[[Date]:[Sunset Time (POA&lt;20 W/m2)]],4,0),"")</f>
        <v>0.77777777777777779</v>
      </c>
      <c r="K1460" s="35">
        <f>IFERROR((TA[[#This Row],[Sunset Time (POA&lt;20 W/m2)]]-TA[[#This Row],[Sunrise Time (POA&gt;20 W/m2)]])*24,"")</f>
        <v>12.55</v>
      </c>
      <c r="L1460" s="2" t="s">
        <v>294</v>
      </c>
      <c r="M1460" s="42">
        <f>IFERROR(VLOOKUP(TA[[#This Row],[Affected Equipment]],'Basic Data'!$I$2:$K$40,3,0),"")</f>
        <v>1.7241379310344799E-3</v>
      </c>
      <c r="N1460">
        <v>-28</v>
      </c>
      <c r="O1460" t="s">
        <v>135</v>
      </c>
      <c r="P1460" s="127" t="s">
        <v>318</v>
      </c>
      <c r="Q1460" s="126" t="s">
        <v>318</v>
      </c>
      <c r="R1460">
        <v>131</v>
      </c>
      <c r="S1460" s="2">
        <v>38</v>
      </c>
      <c r="T1460" t="s">
        <v>295</v>
      </c>
      <c r="U1460" t="s">
        <v>300</v>
      </c>
      <c r="V1460" t="s">
        <v>298</v>
      </c>
      <c r="W1460" s="41"/>
      <c r="X1460" s="41"/>
      <c r="Y1460" s="34"/>
      <c r="Z1460" s="34"/>
      <c r="AA1460" s="35">
        <f>IF(TA[[#This Row],[Work Start time on Fault]]="NA","",(TA[[#This Row],[Fault Acknowledgement Time ]]-TA[[#This Row],[Fault Time]])*24)</f>
        <v>0</v>
      </c>
      <c r="AB1460" s="35">
        <f>(TA[[#This Row],[Work Start time on Fault]]-TA[[#This Row],[Fault Time]])*24</f>
        <v>0</v>
      </c>
      <c r="AC1460" s="34">
        <f>(TA[[#This Row],[Work Completion time on fault]]-TA[[#This Row],[Fault Time]])*24</f>
        <v>0</v>
      </c>
      <c r="AD1460" s="35">
        <f>IFERROR((TA[[#This Row],[Work Completion time on fault]]-TA[[#This Row],[Fault Time]])*24,"")</f>
        <v>0</v>
      </c>
      <c r="AE1460" t="s">
        <v>328</v>
      </c>
      <c r="AF1460" t="s">
        <v>256</v>
      </c>
      <c r="AG1460" s="2"/>
      <c r="AH1460" s="44">
        <f>1-COS(RADIANS(TA[[#This Row],[Avg. Target Angle during Fault Time (Radians)]]-TA[[#This Row],[Angle of affected equipment ]]))</f>
        <v>0.11705240714107301</v>
      </c>
      <c r="AI1460" s="35">
        <f>IFERROR(TA[[#This Row],[Breakdown Time]]*TA[[#This Row],[Plant Equivalent Weightage]],"")</f>
        <v>0</v>
      </c>
    </row>
    <row r="1461" spans="1:35">
      <c r="A1461" s="2">
        <f t="shared" si="176"/>
        <v>1458</v>
      </c>
      <c r="B1461" s="156">
        <f t="shared" si="177"/>
        <v>2026</v>
      </c>
      <c r="C1461" s="129">
        <f t="shared" si="178"/>
        <v>2025</v>
      </c>
      <c r="D1461" s="2" t="s">
        <v>155</v>
      </c>
      <c r="E1461" s="2" t="s">
        <v>155</v>
      </c>
      <c r="F1461" s="39">
        <v>45839</v>
      </c>
      <c r="G1461" s="2">
        <f>DAY(EOMONTH(TA[[#This Row],[Month Year]],0))</f>
        <v>31</v>
      </c>
      <c r="H1461" s="21">
        <v>45849</v>
      </c>
      <c r="I1461" s="41">
        <f>IFERROR(VLOOKUP(TA[[#This Row],[Date]],Raw_Data[[Date]:[Sunset Time (POA&lt;20 W/m2)]],3,0),"")</f>
        <v>0.25486111111111109</v>
      </c>
      <c r="J1461" s="41">
        <f>IFERROR(VLOOKUP(TA[[#This Row],[Date]],Raw_Data[[Date]:[Sunset Time (POA&lt;20 W/m2)]],4,0),"")</f>
        <v>0.77777777777777779</v>
      </c>
      <c r="K1461" s="35">
        <f>IFERROR((TA[[#This Row],[Sunset Time (POA&lt;20 W/m2)]]-TA[[#This Row],[Sunrise Time (POA&gt;20 W/m2)]])*24,"")</f>
        <v>12.55</v>
      </c>
      <c r="L1461" s="2" t="s">
        <v>294</v>
      </c>
      <c r="M1461" s="42">
        <f>IFERROR(VLOOKUP(TA[[#This Row],[Affected Equipment]],'Basic Data'!$I$2:$K$40,3,0),"")</f>
        <v>1.7241379310344799E-3</v>
      </c>
      <c r="N1461">
        <v>-28</v>
      </c>
      <c r="O1461" t="s">
        <v>135</v>
      </c>
      <c r="P1461" s="127" t="s">
        <v>318</v>
      </c>
      <c r="Q1461" s="126" t="s">
        <v>318</v>
      </c>
      <c r="R1461">
        <v>131</v>
      </c>
      <c r="S1461" s="2">
        <v>39</v>
      </c>
      <c r="T1461" t="s">
        <v>295</v>
      </c>
      <c r="U1461" t="s">
        <v>300</v>
      </c>
      <c r="V1461" t="s">
        <v>298</v>
      </c>
      <c r="W1461" s="41"/>
      <c r="X1461" s="41"/>
      <c r="Y1461" s="34"/>
      <c r="Z1461" s="34"/>
      <c r="AA1461" s="35">
        <f>IF(TA[[#This Row],[Work Start time on Fault]]="NA","",(TA[[#This Row],[Fault Acknowledgement Time ]]-TA[[#This Row],[Fault Time]])*24)</f>
        <v>0</v>
      </c>
      <c r="AB1461" s="35">
        <f>(TA[[#This Row],[Work Start time on Fault]]-TA[[#This Row],[Fault Time]])*24</f>
        <v>0</v>
      </c>
      <c r="AC1461" s="34">
        <f>(TA[[#This Row],[Work Completion time on fault]]-TA[[#This Row],[Fault Time]])*24</f>
        <v>0</v>
      </c>
      <c r="AD1461" s="35">
        <f>IFERROR((TA[[#This Row],[Work Completion time on fault]]-TA[[#This Row],[Fault Time]])*24,"")</f>
        <v>0</v>
      </c>
      <c r="AE1461" t="s">
        <v>328</v>
      </c>
      <c r="AF1461" t="s">
        <v>256</v>
      </c>
      <c r="AG1461" s="2"/>
      <c r="AH1461" s="44">
        <f>1-COS(RADIANS(TA[[#This Row],[Avg. Target Angle during Fault Time (Radians)]]-TA[[#This Row],[Angle of affected equipment ]]))</f>
        <v>0.11705240714107301</v>
      </c>
      <c r="AI1461" s="35">
        <f>IFERROR(TA[[#This Row],[Breakdown Time]]*TA[[#This Row],[Plant Equivalent Weightage]],"")</f>
        <v>0</v>
      </c>
    </row>
    <row r="1462" spans="1:35">
      <c r="A1462" s="2">
        <f t="shared" si="176"/>
        <v>1459</v>
      </c>
      <c r="B1462" s="156">
        <f t="shared" si="177"/>
        <v>2026</v>
      </c>
      <c r="C1462" s="129">
        <f t="shared" si="178"/>
        <v>2025</v>
      </c>
      <c r="D1462" s="2" t="s">
        <v>155</v>
      </c>
      <c r="E1462" s="2" t="s">
        <v>155</v>
      </c>
      <c r="F1462" s="39">
        <v>45839</v>
      </c>
      <c r="G1462" s="2">
        <f>DAY(EOMONTH(TA[[#This Row],[Month Year]],0))</f>
        <v>31</v>
      </c>
      <c r="H1462" s="21">
        <v>45849</v>
      </c>
      <c r="I1462" s="41">
        <f>IFERROR(VLOOKUP(TA[[#This Row],[Date]],Raw_Data[[Date]:[Sunset Time (POA&lt;20 W/m2)]],3,0),"")</f>
        <v>0.25486111111111109</v>
      </c>
      <c r="J1462" s="41">
        <f>IFERROR(VLOOKUP(TA[[#This Row],[Date]],Raw_Data[[Date]:[Sunset Time (POA&lt;20 W/m2)]],4,0),"")</f>
        <v>0.77777777777777779</v>
      </c>
      <c r="K1462" s="35">
        <f>IFERROR((TA[[#This Row],[Sunset Time (POA&lt;20 W/m2)]]-TA[[#This Row],[Sunrise Time (POA&gt;20 W/m2)]])*24,"")</f>
        <v>12.55</v>
      </c>
      <c r="L1462" s="2" t="s">
        <v>296</v>
      </c>
      <c r="M1462" s="42">
        <f>IFERROR(VLOOKUP(TA[[#This Row],[Affected Equipment]],'Basic Data'!$I$2:$K$40,3,0),"")</f>
        <v>8.6206896551724102E-3</v>
      </c>
      <c r="N1462">
        <v>-28</v>
      </c>
      <c r="O1462" t="s">
        <v>135</v>
      </c>
      <c r="P1462" s="127" t="s">
        <v>318</v>
      </c>
      <c r="Q1462" s="2" t="s">
        <v>321</v>
      </c>
      <c r="R1462">
        <v>133</v>
      </c>
      <c r="S1462" s="2">
        <v>26</v>
      </c>
      <c r="T1462" t="s">
        <v>297</v>
      </c>
      <c r="U1462" t="s">
        <v>300</v>
      </c>
      <c r="V1462" t="s">
        <v>314</v>
      </c>
      <c r="W1462" s="41">
        <f>IFERROR(VLOOKUP(TA[[#This Row],[Date]],Raw_Data[[Date]:[Sunset Time (POA&lt;20 W/m2)]],3,0),"")</f>
        <v>0.25486111111111109</v>
      </c>
      <c r="X1462" s="41">
        <f>IFERROR(VLOOKUP(TA[[#This Row],[Date]],Raw_Data[[Date]:[Sunset Time (POA&lt;20 W/m2)]],3,0),"")</f>
        <v>0.25486111111111109</v>
      </c>
      <c r="Y1462" s="34"/>
      <c r="Z1462" s="34">
        <v>0.76041666666666663</v>
      </c>
      <c r="AA1462" s="35">
        <f>IF(TA[[#This Row],[Work Start time on Fault]]="NA","",(TA[[#This Row],[Fault Acknowledgement Time ]]-TA[[#This Row],[Fault Time]])*24)</f>
        <v>0</v>
      </c>
      <c r="AB1462" s="35">
        <f>(TA[[#This Row],[Work Start time on Fault]]-TA[[#This Row],[Fault Time]])*24</f>
        <v>-6.1166666666666663</v>
      </c>
      <c r="AC1462" s="34">
        <f>(TA[[#This Row],[Work Completion time on fault]]-TA[[#This Row],[Fault Time]])*24</f>
        <v>12.133333333333333</v>
      </c>
      <c r="AD1462" s="35">
        <f>IFERROR((TA[[#This Row],[Work Completion time on fault]]-TA[[#This Row],[Fault Time]])*24,"")</f>
        <v>12.133333333333333</v>
      </c>
      <c r="AE1462" t="s">
        <v>328</v>
      </c>
      <c r="AF1462" t="s">
        <v>256</v>
      </c>
      <c r="AG1462" s="2"/>
      <c r="AH1462" s="44">
        <f>1-COS(RADIANS(TA[[#This Row],[Avg. Target Angle during Fault Time (Radians)]]-TA[[#This Row],[Angle of affected equipment ]]))</f>
        <v>0.11705240714107301</v>
      </c>
      <c r="AI1462" s="35">
        <f>IFERROR(TA[[#This Row],[Breakdown Time]]*TA[[#This Row],[Plant Equivalent Weightage]],"")</f>
        <v>0.10459770114942524</v>
      </c>
    </row>
    <row r="1463" spans="1:35">
      <c r="A1463" s="2">
        <f t="shared" si="176"/>
        <v>1460</v>
      </c>
      <c r="B1463" s="156">
        <f t="shared" si="177"/>
        <v>2026</v>
      </c>
      <c r="C1463" s="129">
        <f t="shared" si="178"/>
        <v>2025</v>
      </c>
      <c r="D1463" s="2" t="s">
        <v>155</v>
      </c>
      <c r="E1463" s="2" t="s">
        <v>155</v>
      </c>
      <c r="F1463" s="39">
        <v>45839</v>
      </c>
      <c r="G1463" s="2">
        <f>DAY(EOMONTH(TA[[#This Row],[Month Year]],0))</f>
        <v>31</v>
      </c>
      <c r="H1463" s="21">
        <v>45849</v>
      </c>
      <c r="I1463" s="41">
        <f>IFERROR(VLOOKUP(TA[[#This Row],[Date]],Raw_Data[[Date]:[Sunset Time (POA&lt;20 W/m2)]],3,0),"")</f>
        <v>0.25486111111111109</v>
      </c>
      <c r="J1463" s="41">
        <f>IFERROR(VLOOKUP(TA[[#This Row],[Date]],Raw_Data[[Date]:[Sunset Time (POA&lt;20 W/m2)]],4,0),"")</f>
        <v>0.77777777777777779</v>
      </c>
      <c r="K1463" s="35">
        <f>IFERROR((TA[[#This Row],[Sunset Time (POA&lt;20 W/m2)]]-TA[[#This Row],[Sunrise Time (POA&gt;20 W/m2)]])*24,"")</f>
        <v>12.55</v>
      </c>
      <c r="L1463" s="2" t="s">
        <v>294</v>
      </c>
      <c r="M1463" s="42">
        <f>IFERROR(VLOOKUP(TA[[#This Row],[Affected Equipment]],'Basic Data'!$I$2:$K$40,3,0),"")</f>
        <v>1.7241379310344799E-3</v>
      </c>
      <c r="N1463">
        <v>-28</v>
      </c>
      <c r="O1463" t="s">
        <v>133</v>
      </c>
      <c r="P1463" s="127" t="s">
        <v>316</v>
      </c>
      <c r="Q1463" s="126" t="s">
        <v>317</v>
      </c>
      <c r="R1463">
        <v>7</v>
      </c>
      <c r="S1463" s="2">
        <v>32</v>
      </c>
      <c r="T1463" t="s">
        <v>295</v>
      </c>
      <c r="U1463" t="s">
        <v>300</v>
      </c>
      <c r="V1463" t="s">
        <v>298</v>
      </c>
      <c r="W1463" s="41"/>
      <c r="X1463" s="41"/>
      <c r="Y1463" s="34"/>
      <c r="Z1463" s="34"/>
      <c r="AA1463" s="35">
        <f>IF(TA[[#This Row],[Work Start time on Fault]]="NA","",(TA[[#This Row],[Fault Acknowledgement Time ]]-TA[[#This Row],[Fault Time]])*24)</f>
        <v>0</v>
      </c>
      <c r="AB1463" s="35">
        <f>(TA[[#This Row],[Work Start time on Fault]]-TA[[#This Row],[Fault Time]])*24</f>
        <v>0</v>
      </c>
      <c r="AC1463" s="34">
        <f>(TA[[#This Row],[Work Completion time on fault]]-TA[[#This Row],[Fault Time]])*24</f>
        <v>0</v>
      </c>
      <c r="AD1463" s="35">
        <f>IFERROR((TA[[#This Row],[Work Completion time on fault]]-TA[[#This Row],[Fault Time]])*24,"")</f>
        <v>0</v>
      </c>
      <c r="AE1463" t="s">
        <v>328</v>
      </c>
      <c r="AF1463" t="s">
        <v>256</v>
      </c>
      <c r="AG1463" s="2"/>
      <c r="AH1463" s="44">
        <f>1-COS(RADIANS(TA[[#This Row],[Avg. Target Angle during Fault Time (Radians)]]-TA[[#This Row],[Angle of affected equipment ]]))</f>
        <v>0.11705240714107301</v>
      </c>
      <c r="AI1463" s="35">
        <f>IFERROR(TA[[#This Row],[Breakdown Time]]*TA[[#This Row],[Plant Equivalent Weightage]],"")</f>
        <v>0</v>
      </c>
    </row>
    <row r="1464" spans="1:35">
      <c r="A1464" s="2">
        <f t="shared" si="176"/>
        <v>1461</v>
      </c>
      <c r="B1464" s="156">
        <f t="shared" si="177"/>
        <v>2026</v>
      </c>
      <c r="C1464" s="129">
        <f t="shared" si="178"/>
        <v>2025</v>
      </c>
      <c r="D1464" s="2" t="s">
        <v>155</v>
      </c>
      <c r="E1464" s="2" t="s">
        <v>155</v>
      </c>
      <c r="F1464" s="39">
        <v>45839</v>
      </c>
      <c r="G1464" s="2">
        <f>DAY(EOMONTH(TA[[#This Row],[Month Year]],0))</f>
        <v>31</v>
      </c>
      <c r="H1464" s="21">
        <v>45849</v>
      </c>
      <c r="I1464" s="41">
        <f>IFERROR(VLOOKUP(TA[[#This Row],[Date]],Raw_Data[[Date]:[Sunset Time (POA&lt;20 W/m2)]],3,0),"")</f>
        <v>0.25486111111111109</v>
      </c>
      <c r="J1464" s="41">
        <f>IFERROR(VLOOKUP(TA[[#This Row],[Date]],Raw_Data[[Date]:[Sunset Time (POA&lt;20 W/m2)]],4,0),"")</f>
        <v>0.77777777777777779</v>
      </c>
      <c r="K1464" s="35">
        <f>IFERROR((TA[[#This Row],[Sunset Time (POA&lt;20 W/m2)]]-TA[[#This Row],[Sunrise Time (POA&gt;20 W/m2)]])*24,"")</f>
        <v>12.55</v>
      </c>
      <c r="L1464" s="2" t="s">
        <v>294</v>
      </c>
      <c r="M1464" s="42">
        <f>IFERROR(VLOOKUP(TA[[#This Row],[Affected Equipment]],'Basic Data'!$I$2:$K$40,3,0),"")</f>
        <v>1.7241379310344799E-3</v>
      </c>
      <c r="N1464">
        <v>-28</v>
      </c>
      <c r="O1464" t="s">
        <v>137</v>
      </c>
      <c r="P1464" s="127" t="s">
        <v>315</v>
      </c>
      <c r="Q1464" s="126" t="s">
        <v>319</v>
      </c>
      <c r="R1464">
        <v>166</v>
      </c>
      <c r="S1464" s="2">
        <v>91</v>
      </c>
      <c r="T1464" t="s">
        <v>295</v>
      </c>
      <c r="U1464" t="s">
        <v>300</v>
      </c>
      <c r="V1464" t="s">
        <v>298</v>
      </c>
      <c r="W1464" s="41"/>
      <c r="X1464" s="41"/>
      <c r="Y1464" s="34"/>
      <c r="Z1464" s="34"/>
      <c r="AA1464" s="35">
        <f>IF(TA[[#This Row],[Work Start time on Fault]]="NA","",(TA[[#This Row],[Fault Acknowledgement Time ]]-TA[[#This Row],[Fault Time]])*24)</f>
        <v>0</v>
      </c>
      <c r="AB1464" s="35">
        <f>(TA[[#This Row],[Work Start time on Fault]]-TA[[#This Row],[Fault Time]])*24</f>
        <v>0</v>
      </c>
      <c r="AC1464" s="34">
        <f>(TA[[#This Row],[Work Completion time on fault]]-TA[[#This Row],[Fault Time]])*24</f>
        <v>0</v>
      </c>
      <c r="AD1464" s="35">
        <f>IFERROR((TA[[#This Row],[Work Completion time on fault]]-TA[[#This Row],[Fault Time]])*24,"")</f>
        <v>0</v>
      </c>
      <c r="AE1464" t="s">
        <v>328</v>
      </c>
      <c r="AF1464" t="s">
        <v>256</v>
      </c>
      <c r="AG1464" s="2"/>
      <c r="AH1464" s="44">
        <f>1-COS(RADIANS(TA[[#This Row],[Avg. Target Angle during Fault Time (Radians)]]-TA[[#This Row],[Angle of affected equipment ]]))</f>
        <v>0.11705240714107301</v>
      </c>
      <c r="AI1464" s="35">
        <f>IFERROR(TA[[#This Row],[Breakdown Time]]*TA[[#This Row],[Plant Equivalent Weightage]],"")</f>
        <v>0</v>
      </c>
    </row>
    <row r="1465" spans="1:35">
      <c r="A1465" s="2">
        <f t="shared" si="176"/>
        <v>1462</v>
      </c>
      <c r="B1465" s="156">
        <f t="shared" si="177"/>
        <v>2026</v>
      </c>
      <c r="C1465" s="129">
        <f t="shared" si="178"/>
        <v>2025</v>
      </c>
      <c r="D1465" s="2" t="s">
        <v>155</v>
      </c>
      <c r="E1465" s="2" t="s">
        <v>155</v>
      </c>
      <c r="F1465" s="39">
        <v>45839</v>
      </c>
      <c r="G1465" s="2">
        <f>DAY(EOMONTH(TA[[#This Row],[Month Year]],0))</f>
        <v>31</v>
      </c>
      <c r="H1465" s="21">
        <v>45849</v>
      </c>
      <c r="I1465" s="41">
        <f>IFERROR(VLOOKUP(TA[[#This Row],[Date]],Raw_Data[[Date]:[Sunset Time (POA&lt;20 W/m2)]],3,0),"")</f>
        <v>0.25486111111111109</v>
      </c>
      <c r="J1465" s="41">
        <f>IFERROR(VLOOKUP(TA[[#This Row],[Date]],Raw_Data[[Date]:[Sunset Time (POA&lt;20 W/m2)]],4,0),"")</f>
        <v>0.77777777777777779</v>
      </c>
      <c r="K1465" s="35">
        <f>IFERROR((TA[[#This Row],[Sunset Time (POA&lt;20 W/m2)]]-TA[[#This Row],[Sunrise Time (POA&gt;20 W/m2)]])*24,"")</f>
        <v>12.55</v>
      </c>
      <c r="L1465" s="2" t="s">
        <v>294</v>
      </c>
      <c r="M1465" s="42">
        <f>IFERROR(VLOOKUP(TA[[#This Row],[Affected Equipment]],'Basic Data'!$I$2:$K$40,3,0),"")</f>
        <v>1.7241379310344799E-3</v>
      </c>
      <c r="N1465">
        <v>-28</v>
      </c>
      <c r="O1465" t="s">
        <v>133</v>
      </c>
      <c r="P1465" s="127" t="s">
        <v>316</v>
      </c>
      <c r="Q1465" s="126" t="s">
        <v>316</v>
      </c>
      <c r="R1465">
        <v>117</v>
      </c>
      <c r="S1465" s="2">
        <v>20</v>
      </c>
      <c r="T1465" t="s">
        <v>295</v>
      </c>
      <c r="U1465" t="s">
        <v>300</v>
      </c>
      <c r="V1465" t="s">
        <v>298</v>
      </c>
      <c r="W1465" s="41"/>
      <c r="X1465" s="41"/>
      <c r="Y1465" s="34"/>
      <c r="Z1465" s="34"/>
      <c r="AA1465" s="35">
        <f>IF(TA[[#This Row],[Work Start time on Fault]]="NA","",(TA[[#This Row],[Fault Acknowledgement Time ]]-TA[[#This Row],[Fault Time]])*24)</f>
        <v>0</v>
      </c>
      <c r="AB1465" s="35">
        <f>(TA[[#This Row],[Work Start time on Fault]]-TA[[#This Row],[Fault Time]])*24</f>
        <v>0</v>
      </c>
      <c r="AC1465" s="34">
        <f>(TA[[#This Row],[Work Completion time on fault]]-TA[[#This Row],[Fault Time]])*24</f>
        <v>0</v>
      </c>
      <c r="AD1465" s="35">
        <f>IFERROR((TA[[#This Row],[Work Completion time on fault]]-TA[[#This Row],[Fault Time]])*24,"")</f>
        <v>0</v>
      </c>
      <c r="AE1465" t="s">
        <v>328</v>
      </c>
      <c r="AF1465" t="s">
        <v>256</v>
      </c>
      <c r="AG1465" s="2"/>
      <c r="AH1465" s="44">
        <f>1-COS(RADIANS(TA[[#This Row],[Avg. Target Angle during Fault Time (Radians)]]-TA[[#This Row],[Angle of affected equipment ]]))</f>
        <v>0.11705240714107301</v>
      </c>
      <c r="AI1465" s="35">
        <f>IFERROR(TA[[#This Row],[Breakdown Time]]*TA[[#This Row],[Plant Equivalent Weightage]],"")</f>
        <v>0</v>
      </c>
    </row>
    <row r="1466" spans="1:35">
      <c r="A1466" s="2">
        <f t="shared" si="176"/>
        <v>1463</v>
      </c>
      <c r="B1466" s="156">
        <f t="shared" si="177"/>
        <v>2026</v>
      </c>
      <c r="C1466" s="129">
        <f t="shared" si="178"/>
        <v>2025</v>
      </c>
      <c r="D1466" s="2" t="s">
        <v>155</v>
      </c>
      <c r="E1466" s="2" t="s">
        <v>155</v>
      </c>
      <c r="F1466" s="39">
        <v>45839</v>
      </c>
      <c r="G1466" s="2">
        <f>DAY(EOMONTH(TA[[#This Row],[Month Year]],0))</f>
        <v>31</v>
      </c>
      <c r="H1466" s="21">
        <v>45849</v>
      </c>
      <c r="I1466" s="41">
        <f>IFERROR(VLOOKUP(TA[[#This Row],[Date]],Raw_Data[[Date]:[Sunset Time (POA&lt;20 W/m2)]],3,0),"")</f>
        <v>0.25486111111111109</v>
      </c>
      <c r="J1466" s="41">
        <f>IFERROR(VLOOKUP(TA[[#This Row],[Date]],Raw_Data[[Date]:[Sunset Time (POA&lt;20 W/m2)]],4,0),"")</f>
        <v>0.77777777777777779</v>
      </c>
      <c r="K1466" s="35">
        <f>IFERROR((TA[[#This Row],[Sunset Time (POA&lt;20 W/m2)]]-TA[[#This Row],[Sunrise Time (POA&gt;20 W/m2)]])*24,"")</f>
        <v>12.55</v>
      </c>
      <c r="L1466" s="2" t="s">
        <v>294</v>
      </c>
      <c r="M1466" s="42">
        <f>IFERROR(VLOOKUP(TA[[#This Row],[Affected Equipment]],'Basic Data'!$I$2:$K$40,3,0),"")</f>
        <v>1.7241379310344799E-3</v>
      </c>
      <c r="N1466">
        <v>-28</v>
      </c>
      <c r="O1466" t="s">
        <v>133</v>
      </c>
      <c r="P1466" s="127" t="s">
        <v>316</v>
      </c>
      <c r="Q1466" s="126" t="s">
        <v>316</v>
      </c>
      <c r="R1466">
        <v>118</v>
      </c>
      <c r="S1466" s="2">
        <v>22</v>
      </c>
      <c r="T1466" t="s">
        <v>295</v>
      </c>
      <c r="U1466" t="s">
        <v>300</v>
      </c>
      <c r="V1466" t="s">
        <v>298</v>
      </c>
      <c r="W1466" s="41"/>
      <c r="X1466" s="41"/>
      <c r="Y1466" s="34"/>
      <c r="Z1466" s="34"/>
      <c r="AA1466" s="35">
        <f>IF(TA[[#This Row],[Work Start time on Fault]]="NA","",(TA[[#This Row],[Fault Acknowledgement Time ]]-TA[[#This Row],[Fault Time]])*24)</f>
        <v>0</v>
      </c>
      <c r="AB1466" s="35">
        <f>(TA[[#This Row],[Work Start time on Fault]]-TA[[#This Row],[Fault Time]])*24</f>
        <v>0</v>
      </c>
      <c r="AC1466" s="34">
        <f>(TA[[#This Row],[Work Completion time on fault]]-TA[[#This Row],[Fault Time]])*24</f>
        <v>0</v>
      </c>
      <c r="AD1466" s="35">
        <f>IFERROR((TA[[#This Row],[Work Completion time on fault]]-TA[[#This Row],[Fault Time]])*24,"")</f>
        <v>0</v>
      </c>
      <c r="AE1466" t="s">
        <v>328</v>
      </c>
      <c r="AF1466" t="s">
        <v>256</v>
      </c>
      <c r="AG1466" s="2"/>
      <c r="AH1466" s="44">
        <f>1-COS(RADIANS(TA[[#This Row],[Avg. Target Angle during Fault Time (Radians)]]-TA[[#This Row],[Angle of affected equipment ]]))</f>
        <v>0.11705240714107301</v>
      </c>
      <c r="AI1466" s="35">
        <f>IFERROR(TA[[#This Row],[Breakdown Time]]*TA[[#This Row],[Plant Equivalent Weightage]],"")</f>
        <v>0</v>
      </c>
    </row>
    <row r="1467" spans="1:35">
      <c r="A1467" s="2">
        <f t="shared" si="176"/>
        <v>1464</v>
      </c>
      <c r="B1467" s="156">
        <f t="shared" si="177"/>
        <v>2026</v>
      </c>
      <c r="C1467" s="129">
        <f t="shared" si="178"/>
        <v>2025</v>
      </c>
      <c r="D1467" s="2" t="s">
        <v>155</v>
      </c>
      <c r="E1467" s="2" t="s">
        <v>155</v>
      </c>
      <c r="F1467" s="39">
        <v>45839</v>
      </c>
      <c r="G1467" s="2">
        <f>DAY(EOMONTH(TA[[#This Row],[Month Year]],0))</f>
        <v>31</v>
      </c>
      <c r="H1467" s="21">
        <v>45849</v>
      </c>
      <c r="I1467" s="41">
        <f>IFERROR(VLOOKUP(TA[[#This Row],[Date]],Raw_Data[[Date]:[Sunset Time (POA&lt;20 W/m2)]],3,0),"")</f>
        <v>0.25486111111111109</v>
      </c>
      <c r="J1467" s="41">
        <f>IFERROR(VLOOKUP(TA[[#This Row],[Date]],Raw_Data[[Date]:[Sunset Time (POA&lt;20 W/m2)]],4,0),"")</f>
        <v>0.77777777777777779</v>
      </c>
      <c r="K1467" s="35">
        <f>IFERROR((TA[[#This Row],[Sunset Time (POA&lt;20 W/m2)]]-TA[[#This Row],[Sunrise Time (POA&gt;20 W/m2)]])*24,"")</f>
        <v>12.55</v>
      </c>
      <c r="L1467" s="2" t="s">
        <v>296</v>
      </c>
      <c r="M1467" s="42">
        <f>IFERROR(VLOOKUP(TA[[#This Row],[Affected Equipment]],'Basic Data'!$I$2:$K$40,3,0),"")</f>
        <v>8.6206896551724102E-3</v>
      </c>
      <c r="N1467">
        <v>-28</v>
      </c>
      <c r="O1467" t="s">
        <v>135</v>
      </c>
      <c r="P1467" s="22" t="s">
        <v>323</v>
      </c>
      <c r="Q1467" s="2" t="s">
        <v>329</v>
      </c>
      <c r="R1467">
        <v>45</v>
      </c>
      <c r="S1467" s="2">
        <v>8</v>
      </c>
      <c r="T1467" t="s">
        <v>297</v>
      </c>
      <c r="U1467" t="s">
        <v>300</v>
      </c>
      <c r="V1467" t="s">
        <v>301</v>
      </c>
      <c r="W1467" s="41"/>
      <c r="X1467" s="41"/>
      <c r="Y1467" s="34"/>
      <c r="Z1467" s="34"/>
      <c r="AA1467" s="35">
        <f>IF(TA[[#This Row],[Work Start time on Fault]]="NA","",(TA[[#This Row],[Fault Acknowledgement Time ]]-TA[[#This Row],[Fault Time]])*24)</f>
        <v>0</v>
      </c>
      <c r="AB1467" s="35">
        <f>(TA[[#This Row],[Work Start time on Fault]]-TA[[#This Row],[Fault Time]])*24</f>
        <v>0</v>
      </c>
      <c r="AC1467" s="34">
        <f>(TA[[#This Row],[Work Completion time on fault]]-TA[[#This Row],[Fault Time]])*24</f>
        <v>0</v>
      </c>
      <c r="AD1467" s="35">
        <f>IFERROR((TA[[#This Row],[Work Completion time on fault]]-TA[[#This Row],[Fault Time]])*24,"")</f>
        <v>0</v>
      </c>
      <c r="AE1467" t="s">
        <v>328</v>
      </c>
      <c r="AF1467" t="s">
        <v>256</v>
      </c>
      <c r="AG1467" s="2"/>
      <c r="AH1467" s="44">
        <f>1-COS(RADIANS(TA[[#This Row],[Avg. Target Angle during Fault Time (Radians)]]-TA[[#This Row],[Angle of affected equipment ]]))</f>
        <v>0.11705240714107301</v>
      </c>
      <c r="AI1467" s="35">
        <f>IFERROR(TA[[#This Row],[Breakdown Time]]*TA[[#This Row],[Plant Equivalent Weightage]],"")</f>
        <v>0</v>
      </c>
    </row>
    <row r="1468" spans="1:35">
      <c r="A1468" s="2">
        <f t="shared" si="176"/>
        <v>1465</v>
      </c>
      <c r="B1468" s="156">
        <f t="shared" si="177"/>
        <v>2026</v>
      </c>
      <c r="C1468" s="129">
        <f t="shared" si="178"/>
        <v>2025</v>
      </c>
      <c r="D1468" s="2" t="s">
        <v>155</v>
      </c>
      <c r="E1468" s="2" t="s">
        <v>155</v>
      </c>
      <c r="F1468" s="39">
        <v>45839</v>
      </c>
      <c r="G1468" s="2">
        <f>DAY(EOMONTH(TA[[#This Row],[Month Year]],0))</f>
        <v>31</v>
      </c>
      <c r="H1468" s="21">
        <v>45849</v>
      </c>
      <c r="I1468" s="41">
        <f>IFERROR(VLOOKUP(TA[[#This Row],[Date]],Raw_Data[[Date]:[Sunset Time (POA&lt;20 W/m2)]],3,0),"")</f>
        <v>0.25486111111111109</v>
      </c>
      <c r="J1468" s="41">
        <f>IFERROR(VLOOKUP(TA[[#This Row],[Date]],Raw_Data[[Date]:[Sunset Time (POA&lt;20 W/m2)]],4,0),"")</f>
        <v>0.77777777777777779</v>
      </c>
      <c r="K1468" s="35">
        <f>IFERROR((TA[[#This Row],[Sunset Time (POA&lt;20 W/m2)]]-TA[[#This Row],[Sunrise Time (POA&gt;20 W/m2)]])*24,"")</f>
        <v>12.55</v>
      </c>
      <c r="L1468" s="2" t="s">
        <v>296</v>
      </c>
      <c r="M1468" s="42">
        <f>IFERROR(VLOOKUP(TA[[#This Row],[Affected Equipment]],'Basic Data'!$I$2:$K$40,3,0),"")</f>
        <v>8.6206896551724102E-3</v>
      </c>
      <c r="N1468">
        <v>-28</v>
      </c>
      <c r="O1468" t="s">
        <v>135</v>
      </c>
      <c r="P1468" s="22" t="s">
        <v>323</v>
      </c>
      <c r="Q1468" s="2" t="s">
        <v>329</v>
      </c>
      <c r="R1468">
        <v>47</v>
      </c>
      <c r="S1468" s="2">
        <v>18</v>
      </c>
      <c r="T1468" t="s">
        <v>297</v>
      </c>
      <c r="U1468" t="s">
        <v>300</v>
      </c>
      <c r="V1468" t="s">
        <v>301</v>
      </c>
      <c r="W1468" s="41"/>
      <c r="X1468" s="41"/>
      <c r="Y1468" s="34"/>
      <c r="Z1468" s="34"/>
      <c r="AA1468" s="35">
        <f>IF(TA[[#This Row],[Work Start time on Fault]]="NA","",(TA[[#This Row],[Fault Acknowledgement Time ]]-TA[[#This Row],[Fault Time]])*24)</f>
        <v>0</v>
      </c>
      <c r="AB1468" s="35">
        <f>(TA[[#This Row],[Work Start time on Fault]]-TA[[#This Row],[Fault Time]])*24</f>
        <v>0</v>
      </c>
      <c r="AC1468" s="34">
        <f>(TA[[#This Row],[Work Completion time on fault]]-TA[[#This Row],[Fault Time]])*24</f>
        <v>0</v>
      </c>
      <c r="AD1468" s="35">
        <f>IFERROR((TA[[#This Row],[Work Completion time on fault]]-TA[[#This Row],[Fault Time]])*24,"")</f>
        <v>0</v>
      </c>
      <c r="AE1468" t="s">
        <v>328</v>
      </c>
      <c r="AF1468" t="s">
        <v>256</v>
      </c>
      <c r="AG1468" s="2"/>
      <c r="AH1468" s="44">
        <f>1-COS(RADIANS(TA[[#This Row],[Avg. Target Angle during Fault Time (Radians)]]-TA[[#This Row],[Angle of affected equipment ]]))</f>
        <v>0.11705240714107301</v>
      </c>
      <c r="AI1468" s="35">
        <f>IFERROR(TA[[#This Row],[Breakdown Time]]*TA[[#This Row],[Plant Equivalent Weightage]],"")</f>
        <v>0</v>
      </c>
    </row>
    <row r="1469" spans="1:35">
      <c r="A1469" s="2">
        <f t="shared" si="176"/>
        <v>1466</v>
      </c>
      <c r="B1469" s="156">
        <f t="shared" si="177"/>
        <v>2026</v>
      </c>
      <c r="C1469" s="129">
        <f t="shared" si="178"/>
        <v>2025</v>
      </c>
      <c r="D1469" s="2" t="s">
        <v>155</v>
      </c>
      <c r="E1469" s="2" t="s">
        <v>155</v>
      </c>
      <c r="F1469" s="39">
        <v>45839</v>
      </c>
      <c r="G1469" s="2">
        <f>DAY(EOMONTH(TA[[#This Row],[Month Year]],0))</f>
        <v>31</v>
      </c>
      <c r="H1469" s="21">
        <v>45849</v>
      </c>
      <c r="I1469" s="41">
        <f>IFERROR(VLOOKUP(TA[[#This Row],[Date]],Raw_Data[[Date]:[Sunset Time (POA&lt;20 W/m2)]],3,0),"")</f>
        <v>0.25486111111111109</v>
      </c>
      <c r="J1469" s="41">
        <f>IFERROR(VLOOKUP(TA[[#This Row],[Date]],Raw_Data[[Date]:[Sunset Time (POA&lt;20 W/m2)]],4,0),"")</f>
        <v>0.77777777777777779</v>
      </c>
      <c r="K1469" s="35">
        <f>IFERROR((TA[[#This Row],[Sunset Time (POA&lt;20 W/m2)]]-TA[[#This Row],[Sunrise Time (POA&gt;20 W/m2)]])*24,"")</f>
        <v>12.55</v>
      </c>
      <c r="L1469" s="2" t="s">
        <v>296</v>
      </c>
      <c r="M1469" s="42">
        <f>IFERROR(VLOOKUP(TA[[#This Row],[Affected Equipment]],'Basic Data'!$I$2:$K$40,3,0),"")</f>
        <v>8.6206896551724102E-3</v>
      </c>
      <c r="N1469">
        <v>-28</v>
      </c>
      <c r="O1469" t="s">
        <v>134</v>
      </c>
      <c r="P1469" s="22" t="s">
        <v>330</v>
      </c>
      <c r="Q1469" s="2" t="s">
        <v>323</v>
      </c>
      <c r="R1469">
        <v>30</v>
      </c>
      <c r="S1469" s="2">
        <v>57</v>
      </c>
      <c r="T1469" t="s">
        <v>297</v>
      </c>
      <c r="U1469" t="s">
        <v>300</v>
      </c>
      <c r="V1469" t="s">
        <v>301</v>
      </c>
      <c r="W1469" s="41"/>
      <c r="X1469" s="41"/>
      <c r="Y1469" s="34"/>
      <c r="Z1469" s="34"/>
      <c r="AA1469" s="35">
        <f>IF(TA[[#This Row],[Work Start time on Fault]]="NA","",(TA[[#This Row],[Fault Acknowledgement Time ]]-TA[[#This Row],[Fault Time]])*24)</f>
        <v>0</v>
      </c>
      <c r="AB1469" s="35">
        <f>(TA[[#This Row],[Work Start time on Fault]]-TA[[#This Row],[Fault Time]])*24</f>
        <v>0</v>
      </c>
      <c r="AC1469" s="34">
        <f>(TA[[#This Row],[Work Completion time on fault]]-TA[[#This Row],[Fault Time]])*24</f>
        <v>0</v>
      </c>
      <c r="AD1469" s="35">
        <f>IFERROR((TA[[#This Row],[Work Completion time on fault]]-TA[[#This Row],[Fault Time]])*24,"")</f>
        <v>0</v>
      </c>
      <c r="AE1469" t="s">
        <v>328</v>
      </c>
      <c r="AF1469" t="s">
        <v>256</v>
      </c>
      <c r="AG1469" s="2"/>
      <c r="AH1469" s="44">
        <f>1-COS(RADIANS(TA[[#This Row],[Avg. Target Angle during Fault Time (Radians)]]-TA[[#This Row],[Angle of affected equipment ]]))</f>
        <v>0.11705240714107301</v>
      </c>
      <c r="AI1469" s="35">
        <f>IFERROR(TA[[#This Row],[Breakdown Time]]*TA[[#This Row],[Plant Equivalent Weightage]],"")</f>
        <v>0</v>
      </c>
    </row>
    <row r="1470" spans="1:35">
      <c r="A1470" s="2">
        <f t="shared" si="176"/>
        <v>1467</v>
      </c>
      <c r="B1470" s="156">
        <f t="shared" si="177"/>
        <v>2026</v>
      </c>
      <c r="C1470" s="129">
        <f t="shared" si="178"/>
        <v>2025</v>
      </c>
      <c r="D1470" s="2" t="s">
        <v>155</v>
      </c>
      <c r="E1470" s="2" t="s">
        <v>155</v>
      </c>
      <c r="F1470" s="39">
        <v>45839</v>
      </c>
      <c r="G1470" s="2">
        <f>DAY(EOMONTH(TA[[#This Row],[Month Year]],0))</f>
        <v>31</v>
      </c>
      <c r="H1470" s="21">
        <v>45849</v>
      </c>
      <c r="I1470" s="41">
        <f>IFERROR(VLOOKUP(TA[[#This Row],[Date]],Raw_Data[[Date]:[Sunset Time (POA&lt;20 W/m2)]],3,0),"")</f>
        <v>0.25486111111111109</v>
      </c>
      <c r="J1470" s="41">
        <f>IFERROR(VLOOKUP(TA[[#This Row],[Date]],Raw_Data[[Date]:[Sunset Time (POA&lt;20 W/m2)]],4,0),"")</f>
        <v>0.77777777777777779</v>
      </c>
      <c r="K1470" s="35">
        <f>IFERROR((TA[[#This Row],[Sunset Time (POA&lt;20 W/m2)]]-TA[[#This Row],[Sunrise Time (POA&gt;20 W/m2)]])*24,"")</f>
        <v>12.55</v>
      </c>
      <c r="L1470" s="2" t="s">
        <v>296</v>
      </c>
      <c r="M1470" s="42">
        <f>IFERROR(VLOOKUP(TA[[#This Row],[Affected Equipment]],'Basic Data'!$I$2:$K$40,3,0),"")</f>
        <v>8.6206896551724102E-3</v>
      </c>
      <c r="N1470">
        <v>-28</v>
      </c>
      <c r="O1470" t="s">
        <v>134</v>
      </c>
      <c r="P1470" s="22" t="s">
        <v>330</v>
      </c>
      <c r="Q1470" s="2" t="s">
        <v>323</v>
      </c>
      <c r="R1470">
        <v>31</v>
      </c>
      <c r="S1470" s="2">
        <v>61</v>
      </c>
      <c r="T1470" t="s">
        <v>297</v>
      </c>
      <c r="U1470" t="s">
        <v>300</v>
      </c>
      <c r="V1470" t="s">
        <v>301</v>
      </c>
      <c r="W1470" s="41"/>
      <c r="X1470" s="41"/>
      <c r="Y1470" s="34"/>
      <c r="Z1470" s="34"/>
      <c r="AA1470" s="35">
        <f>IF(TA[[#This Row],[Work Start time on Fault]]="NA","",(TA[[#This Row],[Fault Acknowledgement Time ]]-TA[[#This Row],[Fault Time]])*24)</f>
        <v>0</v>
      </c>
      <c r="AB1470" s="35">
        <f>(TA[[#This Row],[Work Start time on Fault]]-TA[[#This Row],[Fault Time]])*24</f>
        <v>0</v>
      </c>
      <c r="AC1470" s="34">
        <f>(TA[[#This Row],[Work Completion time on fault]]-TA[[#This Row],[Fault Time]])*24</f>
        <v>0</v>
      </c>
      <c r="AD1470" s="35">
        <f>IFERROR((TA[[#This Row],[Work Completion time on fault]]-TA[[#This Row],[Fault Time]])*24,"")</f>
        <v>0</v>
      </c>
      <c r="AE1470" t="s">
        <v>328</v>
      </c>
      <c r="AF1470" t="s">
        <v>256</v>
      </c>
      <c r="AG1470" s="2"/>
      <c r="AH1470" s="44">
        <f>1-COS(RADIANS(TA[[#This Row],[Avg. Target Angle during Fault Time (Radians)]]-TA[[#This Row],[Angle of affected equipment ]]))</f>
        <v>0.11705240714107301</v>
      </c>
      <c r="AI1470" s="35">
        <f>IFERROR(TA[[#This Row],[Breakdown Time]]*TA[[#This Row],[Plant Equivalent Weightage]],"")</f>
        <v>0</v>
      </c>
    </row>
    <row r="1471" spans="1:35">
      <c r="A1471" s="2">
        <f t="shared" si="176"/>
        <v>1468</v>
      </c>
      <c r="B1471" s="156">
        <f t="shared" si="177"/>
        <v>2026</v>
      </c>
      <c r="C1471" s="129">
        <f t="shared" si="178"/>
        <v>2025</v>
      </c>
      <c r="D1471" s="2" t="s">
        <v>155</v>
      </c>
      <c r="E1471" s="2" t="s">
        <v>155</v>
      </c>
      <c r="F1471" s="39">
        <v>45839</v>
      </c>
      <c r="G1471" s="2">
        <f>DAY(EOMONTH(TA[[#This Row],[Month Year]],0))</f>
        <v>31</v>
      </c>
      <c r="H1471" s="21">
        <v>45849</v>
      </c>
      <c r="I1471" s="41">
        <f>IFERROR(VLOOKUP(TA[[#This Row],[Date]],Raw_Data[[Date]:[Sunset Time (POA&lt;20 W/m2)]],3,0),"")</f>
        <v>0.25486111111111109</v>
      </c>
      <c r="J1471" s="41">
        <f>IFERROR(VLOOKUP(TA[[#This Row],[Date]],Raw_Data[[Date]:[Sunset Time (POA&lt;20 W/m2)]],4,0),"")</f>
        <v>0.77777777777777779</v>
      </c>
      <c r="K1471" s="35">
        <f>IFERROR((TA[[#This Row],[Sunset Time (POA&lt;20 W/m2)]]-TA[[#This Row],[Sunrise Time (POA&gt;20 W/m2)]])*24,"")</f>
        <v>12.55</v>
      </c>
      <c r="L1471" s="2" t="s">
        <v>312</v>
      </c>
      <c r="M1471" s="42">
        <f>IFERROR(VLOOKUP(TA[[#This Row],[Affected Equipment]],'Basic Data'!$I$2:$K$40,3,0),"")</f>
        <v>5.74712643678161E-3</v>
      </c>
      <c r="N1471">
        <v>-28</v>
      </c>
      <c r="O1471" t="s">
        <v>133</v>
      </c>
      <c r="P1471" s="22" t="s">
        <v>330</v>
      </c>
      <c r="Q1471" s="2" t="s">
        <v>323</v>
      </c>
      <c r="R1471">
        <v>26</v>
      </c>
      <c r="S1471" s="2">
        <v>37</v>
      </c>
      <c r="T1471" t="s">
        <v>297</v>
      </c>
      <c r="U1471" t="s">
        <v>300</v>
      </c>
      <c r="V1471" t="s">
        <v>301</v>
      </c>
      <c r="W1471" s="41"/>
      <c r="X1471" s="41"/>
      <c r="Y1471" s="34"/>
      <c r="Z1471" s="34"/>
      <c r="AA1471" s="35">
        <f>IF(TA[[#This Row],[Work Start time on Fault]]="NA","",(TA[[#This Row],[Fault Acknowledgement Time ]]-TA[[#This Row],[Fault Time]])*24)</f>
        <v>0</v>
      </c>
      <c r="AB1471" s="35">
        <f>(TA[[#This Row],[Work Start time on Fault]]-TA[[#This Row],[Fault Time]])*24</f>
        <v>0</v>
      </c>
      <c r="AC1471" s="34">
        <f>(TA[[#This Row],[Work Completion time on fault]]-TA[[#This Row],[Fault Time]])*24</f>
        <v>0</v>
      </c>
      <c r="AD1471" s="35">
        <f>IFERROR((TA[[#This Row],[Work Completion time on fault]]-TA[[#This Row],[Fault Time]])*24,"")</f>
        <v>0</v>
      </c>
      <c r="AE1471" t="s">
        <v>328</v>
      </c>
      <c r="AF1471" t="s">
        <v>256</v>
      </c>
      <c r="AG1471" s="2"/>
      <c r="AH1471" s="44">
        <f>1-COS(RADIANS(TA[[#This Row],[Avg. Target Angle during Fault Time (Radians)]]-TA[[#This Row],[Angle of affected equipment ]]))</f>
        <v>0.11705240714107301</v>
      </c>
      <c r="AI1471" s="35">
        <f>IFERROR(TA[[#This Row],[Breakdown Time]]*TA[[#This Row],[Plant Equivalent Weightage]],"")</f>
        <v>0</v>
      </c>
    </row>
    <row r="1472" spans="1:35">
      <c r="A1472" s="2">
        <f t="shared" si="176"/>
        <v>1469</v>
      </c>
      <c r="B1472" s="156">
        <f t="shared" si="177"/>
        <v>2026</v>
      </c>
      <c r="C1472" s="129">
        <f t="shared" si="178"/>
        <v>2025</v>
      </c>
      <c r="D1472" s="2" t="s">
        <v>155</v>
      </c>
      <c r="E1472" s="2" t="s">
        <v>155</v>
      </c>
      <c r="F1472" s="39">
        <v>45839</v>
      </c>
      <c r="G1472" s="2">
        <f>DAY(EOMONTH(TA[[#This Row],[Month Year]],0))</f>
        <v>31</v>
      </c>
      <c r="H1472" s="21">
        <v>45849</v>
      </c>
      <c r="I1472" s="41">
        <f>IFERROR(VLOOKUP(TA[[#This Row],[Date]],Raw_Data[[Date]:[Sunset Time (POA&lt;20 W/m2)]],3,0),"")</f>
        <v>0.25486111111111109</v>
      </c>
      <c r="J1472" s="41">
        <f>IFERROR(VLOOKUP(TA[[#This Row],[Date]],Raw_Data[[Date]:[Sunset Time (POA&lt;20 W/m2)]],4,0),"")</f>
        <v>0.77777777777777779</v>
      </c>
      <c r="K1472" s="35">
        <f>IFERROR((TA[[#This Row],[Sunset Time (POA&lt;20 W/m2)]]-TA[[#This Row],[Sunrise Time (POA&gt;20 W/m2)]])*24,"")</f>
        <v>12.55</v>
      </c>
      <c r="L1472" s="2" t="s">
        <v>312</v>
      </c>
      <c r="M1472" s="42">
        <f>IFERROR(VLOOKUP(TA[[#This Row],[Affected Equipment]],'Basic Data'!$I$2:$K$40,3,0),"")</f>
        <v>5.74712643678161E-3</v>
      </c>
      <c r="N1472">
        <v>-28</v>
      </c>
      <c r="O1472" t="s">
        <v>133</v>
      </c>
      <c r="P1472" s="22" t="s">
        <v>330</v>
      </c>
      <c r="Q1472" s="2" t="s">
        <v>323</v>
      </c>
      <c r="R1472">
        <v>27</v>
      </c>
      <c r="S1472" s="2">
        <v>42</v>
      </c>
      <c r="T1472" t="s">
        <v>297</v>
      </c>
      <c r="U1472" t="s">
        <v>300</v>
      </c>
      <c r="V1472" t="s">
        <v>301</v>
      </c>
      <c r="W1472" s="41">
        <f>IFERROR(VLOOKUP(TA[[#This Row],[Date]],Raw_Data[[Date]:[Sunset Time (POA&lt;20 W/m2)]],3,0),"")</f>
        <v>0.25486111111111109</v>
      </c>
      <c r="X1472" s="41">
        <f>IFERROR(VLOOKUP(TA[[#This Row],[Date]],Raw_Data[[Date]:[Sunset Time (POA&lt;20 W/m2)]],3,0),"")</f>
        <v>0.25486111111111109</v>
      </c>
      <c r="Y1472" s="34"/>
      <c r="Z1472" s="34">
        <v>0.76041666666666663</v>
      </c>
      <c r="AA1472" s="35">
        <f>IF(TA[[#This Row],[Work Start time on Fault]]="NA","",(TA[[#This Row],[Fault Acknowledgement Time ]]-TA[[#This Row],[Fault Time]])*24)</f>
        <v>0</v>
      </c>
      <c r="AB1472" s="35">
        <f>(TA[[#This Row],[Work Start time on Fault]]-TA[[#This Row],[Fault Time]])*24</f>
        <v>-6.1166666666666663</v>
      </c>
      <c r="AC1472" s="34">
        <f>(TA[[#This Row],[Work Completion time on fault]]-TA[[#This Row],[Fault Time]])*24</f>
        <v>12.133333333333333</v>
      </c>
      <c r="AD1472" s="35">
        <f>IFERROR((TA[[#This Row],[Work Completion time on fault]]-TA[[#This Row],[Fault Time]])*24,"")</f>
        <v>12.133333333333333</v>
      </c>
      <c r="AE1472" t="s">
        <v>309</v>
      </c>
      <c r="AF1472" t="s">
        <v>256</v>
      </c>
      <c r="AG1472" s="2"/>
      <c r="AH1472" s="44">
        <f>1-COS(RADIANS(TA[[#This Row],[Avg. Target Angle during Fault Time (Radians)]]-TA[[#This Row],[Angle of affected equipment ]]))</f>
        <v>0.11705240714107301</v>
      </c>
      <c r="AI1472" s="35">
        <f>IFERROR(TA[[#This Row],[Breakdown Time]]*TA[[#This Row],[Plant Equivalent Weightage]],"")</f>
        <v>6.9731800766283533E-2</v>
      </c>
    </row>
    <row r="1473" spans="1:35">
      <c r="A1473" s="2">
        <f t="shared" si="176"/>
        <v>1470</v>
      </c>
      <c r="B1473" s="156">
        <f t="shared" ref="B1473:B1485" si="179">YEAR(H1473)+IF(MONTH(H1473)&gt;=4,1,0)</f>
        <v>2026</v>
      </c>
      <c r="C1473" s="129">
        <f t="shared" ref="C1473:C1485" si="180">YEAR(H1473)</f>
        <v>2025</v>
      </c>
      <c r="D1473" s="2" t="s">
        <v>155</v>
      </c>
      <c r="E1473" s="2" t="s">
        <v>155</v>
      </c>
      <c r="F1473" s="39">
        <v>45839</v>
      </c>
      <c r="G1473" s="2">
        <f>DAY(EOMONTH(TA[[#This Row],[Month Year]],0))</f>
        <v>31</v>
      </c>
      <c r="H1473" s="21">
        <v>45850</v>
      </c>
      <c r="I1473" s="41">
        <f>IFERROR(VLOOKUP(TA[[#This Row],[Date]],Raw_Data[[Date]:[Sunset Time (POA&lt;20 W/m2)]],3,0),"")</f>
        <v>0.25416666666666665</v>
      </c>
      <c r="J1473" s="41">
        <f>IFERROR(VLOOKUP(TA[[#This Row],[Date]],Raw_Data[[Date]:[Sunset Time (POA&lt;20 W/m2)]],4,0),"")</f>
        <v>0.78472222222222221</v>
      </c>
      <c r="K1473" s="35">
        <f>IFERROR((TA[[#This Row],[Sunset Time (POA&lt;20 W/m2)]]-TA[[#This Row],[Sunrise Time (POA&gt;20 W/m2)]])*24,"")</f>
        <v>12.733333333333334</v>
      </c>
      <c r="L1473" s="2" t="s">
        <v>294</v>
      </c>
      <c r="M1473" s="42">
        <f>IFERROR(VLOOKUP(TA[[#This Row],[Affected Equipment]],'Basic Data'!$I$2:$K$40,3,0),"")</f>
        <v>1.7241379310344799E-3</v>
      </c>
      <c r="N1473">
        <v>-28</v>
      </c>
      <c r="O1473" t="s">
        <v>135</v>
      </c>
      <c r="P1473" s="127" t="s">
        <v>318</v>
      </c>
      <c r="Q1473" s="126" t="s">
        <v>318</v>
      </c>
      <c r="R1473">
        <v>131</v>
      </c>
      <c r="S1473" s="2">
        <v>38</v>
      </c>
      <c r="T1473" t="s">
        <v>295</v>
      </c>
      <c r="U1473" t="s">
        <v>300</v>
      </c>
      <c r="V1473" t="s">
        <v>298</v>
      </c>
      <c r="W1473" s="41"/>
      <c r="X1473" s="41"/>
      <c r="Y1473" s="34"/>
      <c r="Z1473" s="34"/>
      <c r="AA1473" s="35">
        <f>IF(TA[[#This Row],[Work Start time on Fault]]="NA","",(TA[[#This Row],[Fault Acknowledgement Time ]]-TA[[#This Row],[Fault Time]])*24)</f>
        <v>0</v>
      </c>
      <c r="AB1473" s="35">
        <f>(TA[[#This Row],[Work Start time on Fault]]-TA[[#This Row],[Fault Time]])*24</f>
        <v>0</v>
      </c>
      <c r="AC1473" s="34">
        <f>(TA[[#This Row],[Work Completion time on fault]]-TA[[#This Row],[Fault Time]])*24</f>
        <v>0</v>
      </c>
      <c r="AD1473" s="35">
        <f>IFERROR((TA[[#This Row],[Work Completion time on fault]]-TA[[#This Row],[Fault Time]])*24,"")</f>
        <v>0</v>
      </c>
      <c r="AE1473" t="s">
        <v>328</v>
      </c>
      <c r="AF1473" t="s">
        <v>256</v>
      </c>
      <c r="AG1473" s="2"/>
      <c r="AH1473" s="44">
        <f>1-COS(RADIANS(TA[[#This Row],[Avg. Target Angle during Fault Time (Radians)]]-TA[[#This Row],[Angle of affected equipment ]]))</f>
        <v>0.11705240714107301</v>
      </c>
      <c r="AI1473" s="35">
        <f>IFERROR(TA[[#This Row],[Breakdown Time]]*TA[[#This Row],[Plant Equivalent Weightage]],"")</f>
        <v>0</v>
      </c>
    </row>
    <row r="1474" spans="1:35">
      <c r="A1474" s="2">
        <f t="shared" si="176"/>
        <v>1471</v>
      </c>
      <c r="B1474" s="156">
        <f t="shared" si="179"/>
        <v>2026</v>
      </c>
      <c r="C1474" s="129">
        <f t="shared" si="180"/>
        <v>2025</v>
      </c>
      <c r="D1474" s="2" t="s">
        <v>155</v>
      </c>
      <c r="E1474" s="2" t="s">
        <v>155</v>
      </c>
      <c r="F1474" s="39">
        <v>45839</v>
      </c>
      <c r="G1474" s="2">
        <f>DAY(EOMONTH(TA[[#This Row],[Month Year]],0))</f>
        <v>31</v>
      </c>
      <c r="H1474" s="21">
        <v>45850</v>
      </c>
      <c r="I1474" s="41">
        <f>IFERROR(VLOOKUP(TA[[#This Row],[Date]],Raw_Data[[Date]:[Sunset Time (POA&lt;20 W/m2)]],3,0),"")</f>
        <v>0.25416666666666665</v>
      </c>
      <c r="J1474" s="41">
        <f>IFERROR(VLOOKUP(TA[[#This Row],[Date]],Raw_Data[[Date]:[Sunset Time (POA&lt;20 W/m2)]],4,0),"")</f>
        <v>0.78472222222222221</v>
      </c>
      <c r="K1474" s="35">
        <f>IFERROR((TA[[#This Row],[Sunset Time (POA&lt;20 W/m2)]]-TA[[#This Row],[Sunrise Time (POA&gt;20 W/m2)]])*24,"")</f>
        <v>12.733333333333334</v>
      </c>
      <c r="L1474" s="2" t="s">
        <v>294</v>
      </c>
      <c r="M1474" s="42">
        <f>IFERROR(VLOOKUP(TA[[#This Row],[Affected Equipment]],'Basic Data'!$I$2:$K$40,3,0),"")</f>
        <v>1.7241379310344799E-3</v>
      </c>
      <c r="N1474">
        <v>-28</v>
      </c>
      <c r="O1474" t="s">
        <v>135</v>
      </c>
      <c r="P1474" s="127" t="s">
        <v>318</v>
      </c>
      <c r="Q1474" s="126" t="s">
        <v>318</v>
      </c>
      <c r="R1474">
        <v>131</v>
      </c>
      <c r="S1474" s="2">
        <v>39</v>
      </c>
      <c r="T1474" t="s">
        <v>295</v>
      </c>
      <c r="U1474" t="s">
        <v>300</v>
      </c>
      <c r="V1474" t="s">
        <v>298</v>
      </c>
      <c r="W1474" s="41"/>
      <c r="X1474" s="41"/>
      <c r="Y1474" s="34"/>
      <c r="Z1474" s="34"/>
      <c r="AA1474" s="35">
        <f>IF(TA[[#This Row],[Work Start time on Fault]]="NA","",(TA[[#This Row],[Fault Acknowledgement Time ]]-TA[[#This Row],[Fault Time]])*24)</f>
        <v>0</v>
      </c>
      <c r="AB1474" s="35">
        <f>(TA[[#This Row],[Work Start time on Fault]]-TA[[#This Row],[Fault Time]])*24</f>
        <v>0</v>
      </c>
      <c r="AC1474" s="34">
        <f>(TA[[#This Row],[Work Completion time on fault]]-TA[[#This Row],[Fault Time]])*24</f>
        <v>0</v>
      </c>
      <c r="AD1474" s="35">
        <f>IFERROR((TA[[#This Row],[Work Completion time on fault]]-TA[[#This Row],[Fault Time]])*24,"")</f>
        <v>0</v>
      </c>
      <c r="AE1474" t="s">
        <v>328</v>
      </c>
      <c r="AF1474" t="s">
        <v>256</v>
      </c>
      <c r="AG1474" s="2"/>
      <c r="AH1474" s="44">
        <f>1-COS(RADIANS(TA[[#This Row],[Avg. Target Angle during Fault Time (Radians)]]-TA[[#This Row],[Angle of affected equipment ]]))</f>
        <v>0.11705240714107301</v>
      </c>
      <c r="AI1474" s="35">
        <f>IFERROR(TA[[#This Row],[Breakdown Time]]*TA[[#This Row],[Plant Equivalent Weightage]],"")</f>
        <v>0</v>
      </c>
    </row>
    <row r="1475" spans="1:35">
      <c r="A1475" s="2">
        <f t="shared" si="176"/>
        <v>1472</v>
      </c>
      <c r="B1475" s="156">
        <f t="shared" si="179"/>
        <v>2026</v>
      </c>
      <c r="C1475" s="129">
        <f t="shared" si="180"/>
        <v>2025</v>
      </c>
      <c r="D1475" s="2" t="s">
        <v>155</v>
      </c>
      <c r="E1475" s="2" t="s">
        <v>155</v>
      </c>
      <c r="F1475" s="39">
        <v>45839</v>
      </c>
      <c r="G1475" s="2">
        <f>DAY(EOMONTH(TA[[#This Row],[Month Year]],0))</f>
        <v>31</v>
      </c>
      <c r="H1475" s="21">
        <v>45850</v>
      </c>
      <c r="I1475" s="41">
        <f>IFERROR(VLOOKUP(TA[[#This Row],[Date]],Raw_Data[[Date]:[Sunset Time (POA&lt;20 W/m2)]],3,0),"")</f>
        <v>0.25416666666666665</v>
      </c>
      <c r="J1475" s="41">
        <f>IFERROR(VLOOKUP(TA[[#This Row],[Date]],Raw_Data[[Date]:[Sunset Time (POA&lt;20 W/m2)]],4,0),"")</f>
        <v>0.78472222222222221</v>
      </c>
      <c r="K1475" s="35">
        <f>IFERROR((TA[[#This Row],[Sunset Time (POA&lt;20 W/m2)]]-TA[[#This Row],[Sunrise Time (POA&gt;20 W/m2)]])*24,"")</f>
        <v>12.733333333333334</v>
      </c>
      <c r="L1475" s="2" t="s">
        <v>296</v>
      </c>
      <c r="M1475" s="42">
        <f>IFERROR(VLOOKUP(TA[[#This Row],[Affected Equipment]],'Basic Data'!$I$2:$K$40,3,0),"")</f>
        <v>8.6206896551724102E-3</v>
      </c>
      <c r="N1475">
        <v>-28</v>
      </c>
      <c r="O1475" t="s">
        <v>135</v>
      </c>
      <c r="P1475" s="127" t="s">
        <v>318</v>
      </c>
      <c r="Q1475" s="2" t="s">
        <v>321</v>
      </c>
      <c r="R1475">
        <v>133</v>
      </c>
      <c r="S1475" s="2">
        <v>26</v>
      </c>
      <c r="T1475" t="s">
        <v>297</v>
      </c>
      <c r="U1475" t="s">
        <v>300</v>
      </c>
      <c r="V1475" t="s">
        <v>314</v>
      </c>
      <c r="W1475" s="41">
        <f>IFERROR(VLOOKUP(TA[[#This Row],[Date]],Raw_Data[[Date]:[Sunset Time (POA&lt;20 W/m2)]],3,0),"")</f>
        <v>0.25416666666666665</v>
      </c>
      <c r="X1475" s="41">
        <f>IFERROR(VLOOKUP(TA[[#This Row],[Date]],Raw_Data[[Date]:[Sunset Time (POA&lt;20 W/m2)]],3,0),"")</f>
        <v>0.25416666666666665</v>
      </c>
      <c r="Y1475" s="34"/>
      <c r="Z1475" s="34">
        <v>0.76041666666666663</v>
      </c>
      <c r="AA1475" s="35">
        <f>IF(TA[[#This Row],[Work Start time on Fault]]="NA","",(TA[[#This Row],[Fault Acknowledgement Time ]]-TA[[#This Row],[Fault Time]])*24)</f>
        <v>0</v>
      </c>
      <c r="AB1475" s="35">
        <f>(TA[[#This Row],[Work Start time on Fault]]-TA[[#This Row],[Fault Time]])*24</f>
        <v>-6.1</v>
      </c>
      <c r="AC1475" s="34">
        <f>(TA[[#This Row],[Work Completion time on fault]]-TA[[#This Row],[Fault Time]])*24</f>
        <v>12.149999999999999</v>
      </c>
      <c r="AD1475" s="35">
        <f>IFERROR((TA[[#This Row],[Work Completion time on fault]]-TA[[#This Row],[Fault Time]])*24,"")</f>
        <v>12.149999999999999</v>
      </c>
      <c r="AE1475" t="s">
        <v>328</v>
      </c>
      <c r="AF1475" t="s">
        <v>256</v>
      </c>
      <c r="AG1475" s="2"/>
      <c r="AH1475" s="44">
        <f>1-COS(RADIANS(TA[[#This Row],[Avg. Target Angle during Fault Time (Radians)]]-TA[[#This Row],[Angle of affected equipment ]]))</f>
        <v>0.11705240714107301</v>
      </c>
      <c r="AI1475" s="35">
        <f>IFERROR(TA[[#This Row],[Breakdown Time]]*TA[[#This Row],[Plant Equivalent Weightage]],"")</f>
        <v>0.10474137931034477</v>
      </c>
    </row>
    <row r="1476" spans="1:35">
      <c r="A1476" s="2">
        <f t="shared" si="176"/>
        <v>1473</v>
      </c>
      <c r="B1476" s="156">
        <f t="shared" si="179"/>
        <v>2026</v>
      </c>
      <c r="C1476" s="129">
        <f t="shared" si="180"/>
        <v>2025</v>
      </c>
      <c r="D1476" s="2" t="s">
        <v>155</v>
      </c>
      <c r="E1476" s="2" t="s">
        <v>155</v>
      </c>
      <c r="F1476" s="39">
        <v>45839</v>
      </c>
      <c r="G1476" s="2">
        <f>DAY(EOMONTH(TA[[#This Row],[Month Year]],0))</f>
        <v>31</v>
      </c>
      <c r="H1476" s="21">
        <v>45850</v>
      </c>
      <c r="I1476" s="41">
        <f>IFERROR(VLOOKUP(TA[[#This Row],[Date]],Raw_Data[[Date]:[Sunset Time (POA&lt;20 W/m2)]],3,0),"")</f>
        <v>0.25416666666666665</v>
      </c>
      <c r="J1476" s="41">
        <f>IFERROR(VLOOKUP(TA[[#This Row],[Date]],Raw_Data[[Date]:[Sunset Time (POA&lt;20 W/m2)]],4,0),"")</f>
        <v>0.78472222222222221</v>
      </c>
      <c r="K1476" s="35">
        <f>IFERROR((TA[[#This Row],[Sunset Time (POA&lt;20 W/m2)]]-TA[[#This Row],[Sunrise Time (POA&gt;20 W/m2)]])*24,"")</f>
        <v>12.733333333333334</v>
      </c>
      <c r="L1476" s="2" t="s">
        <v>294</v>
      </c>
      <c r="M1476" s="42">
        <f>IFERROR(VLOOKUP(TA[[#This Row],[Affected Equipment]],'Basic Data'!$I$2:$K$40,3,0),"")</f>
        <v>1.7241379310344799E-3</v>
      </c>
      <c r="N1476">
        <v>-28</v>
      </c>
      <c r="O1476" t="s">
        <v>133</v>
      </c>
      <c r="P1476" s="127" t="s">
        <v>316</v>
      </c>
      <c r="Q1476" s="126" t="s">
        <v>317</v>
      </c>
      <c r="R1476">
        <v>7</v>
      </c>
      <c r="S1476" s="2">
        <v>32</v>
      </c>
      <c r="T1476" t="s">
        <v>295</v>
      </c>
      <c r="U1476" t="s">
        <v>300</v>
      </c>
      <c r="V1476" t="s">
        <v>298</v>
      </c>
      <c r="W1476" s="41"/>
      <c r="X1476" s="41"/>
      <c r="Y1476" s="34"/>
      <c r="Z1476" s="34"/>
      <c r="AA1476" s="35">
        <f>IF(TA[[#This Row],[Work Start time on Fault]]="NA","",(TA[[#This Row],[Fault Acknowledgement Time ]]-TA[[#This Row],[Fault Time]])*24)</f>
        <v>0</v>
      </c>
      <c r="AB1476" s="35">
        <f>(TA[[#This Row],[Work Start time on Fault]]-TA[[#This Row],[Fault Time]])*24</f>
        <v>0</v>
      </c>
      <c r="AC1476" s="34">
        <f>(TA[[#This Row],[Work Completion time on fault]]-TA[[#This Row],[Fault Time]])*24</f>
        <v>0</v>
      </c>
      <c r="AD1476" s="35">
        <f>IFERROR((TA[[#This Row],[Work Completion time on fault]]-TA[[#This Row],[Fault Time]])*24,"")</f>
        <v>0</v>
      </c>
      <c r="AE1476" t="s">
        <v>328</v>
      </c>
      <c r="AF1476" t="s">
        <v>256</v>
      </c>
      <c r="AG1476" s="2"/>
      <c r="AH1476" s="44">
        <f>1-COS(RADIANS(TA[[#This Row],[Avg. Target Angle during Fault Time (Radians)]]-TA[[#This Row],[Angle of affected equipment ]]))</f>
        <v>0.11705240714107301</v>
      </c>
      <c r="AI1476" s="35">
        <f>IFERROR(TA[[#This Row],[Breakdown Time]]*TA[[#This Row],[Plant Equivalent Weightage]],"")</f>
        <v>0</v>
      </c>
    </row>
    <row r="1477" spans="1:35">
      <c r="A1477" s="2">
        <f t="shared" si="176"/>
        <v>1474</v>
      </c>
      <c r="B1477" s="156">
        <f t="shared" si="179"/>
        <v>2026</v>
      </c>
      <c r="C1477" s="129">
        <f t="shared" si="180"/>
        <v>2025</v>
      </c>
      <c r="D1477" s="2" t="s">
        <v>155</v>
      </c>
      <c r="E1477" s="2" t="s">
        <v>155</v>
      </c>
      <c r="F1477" s="39">
        <v>45839</v>
      </c>
      <c r="G1477" s="2">
        <f>DAY(EOMONTH(TA[[#This Row],[Month Year]],0))</f>
        <v>31</v>
      </c>
      <c r="H1477" s="21">
        <v>45850</v>
      </c>
      <c r="I1477" s="41">
        <f>IFERROR(VLOOKUP(TA[[#This Row],[Date]],Raw_Data[[Date]:[Sunset Time (POA&lt;20 W/m2)]],3,0),"")</f>
        <v>0.25416666666666665</v>
      </c>
      <c r="J1477" s="41">
        <f>IFERROR(VLOOKUP(TA[[#This Row],[Date]],Raw_Data[[Date]:[Sunset Time (POA&lt;20 W/m2)]],4,0),"")</f>
        <v>0.78472222222222221</v>
      </c>
      <c r="K1477" s="35">
        <f>IFERROR((TA[[#This Row],[Sunset Time (POA&lt;20 W/m2)]]-TA[[#This Row],[Sunrise Time (POA&gt;20 W/m2)]])*24,"")</f>
        <v>12.733333333333334</v>
      </c>
      <c r="L1477" s="2" t="s">
        <v>294</v>
      </c>
      <c r="M1477" s="42">
        <f>IFERROR(VLOOKUP(TA[[#This Row],[Affected Equipment]],'Basic Data'!$I$2:$K$40,3,0),"")</f>
        <v>1.7241379310344799E-3</v>
      </c>
      <c r="N1477">
        <v>-28</v>
      </c>
      <c r="O1477" t="s">
        <v>137</v>
      </c>
      <c r="P1477" s="127" t="s">
        <v>315</v>
      </c>
      <c r="Q1477" s="126" t="s">
        <v>319</v>
      </c>
      <c r="R1477">
        <v>166</v>
      </c>
      <c r="S1477" s="2">
        <v>91</v>
      </c>
      <c r="T1477" t="s">
        <v>295</v>
      </c>
      <c r="U1477" t="s">
        <v>300</v>
      </c>
      <c r="V1477" t="s">
        <v>298</v>
      </c>
      <c r="W1477" s="41"/>
      <c r="X1477" s="41"/>
      <c r="Y1477" s="34"/>
      <c r="Z1477" s="34"/>
      <c r="AA1477" s="35">
        <f>IF(TA[[#This Row],[Work Start time on Fault]]="NA","",(TA[[#This Row],[Fault Acknowledgement Time ]]-TA[[#This Row],[Fault Time]])*24)</f>
        <v>0</v>
      </c>
      <c r="AB1477" s="35">
        <f>(TA[[#This Row],[Work Start time on Fault]]-TA[[#This Row],[Fault Time]])*24</f>
        <v>0</v>
      </c>
      <c r="AC1477" s="34">
        <f>(TA[[#This Row],[Work Completion time on fault]]-TA[[#This Row],[Fault Time]])*24</f>
        <v>0</v>
      </c>
      <c r="AD1477" s="35">
        <f>IFERROR((TA[[#This Row],[Work Completion time on fault]]-TA[[#This Row],[Fault Time]])*24,"")</f>
        <v>0</v>
      </c>
      <c r="AE1477" t="s">
        <v>328</v>
      </c>
      <c r="AF1477" t="s">
        <v>256</v>
      </c>
      <c r="AG1477" s="2"/>
      <c r="AH1477" s="44">
        <f>1-COS(RADIANS(TA[[#This Row],[Avg. Target Angle during Fault Time (Radians)]]-TA[[#This Row],[Angle of affected equipment ]]))</f>
        <v>0.11705240714107301</v>
      </c>
      <c r="AI1477" s="35">
        <f>IFERROR(TA[[#This Row],[Breakdown Time]]*TA[[#This Row],[Plant Equivalent Weightage]],"")</f>
        <v>0</v>
      </c>
    </row>
    <row r="1478" spans="1:35">
      <c r="A1478" s="2">
        <f t="shared" si="176"/>
        <v>1475</v>
      </c>
      <c r="B1478" s="156">
        <f t="shared" si="179"/>
        <v>2026</v>
      </c>
      <c r="C1478" s="129">
        <f t="shared" si="180"/>
        <v>2025</v>
      </c>
      <c r="D1478" s="2" t="s">
        <v>155</v>
      </c>
      <c r="E1478" s="2" t="s">
        <v>155</v>
      </c>
      <c r="F1478" s="39">
        <v>45839</v>
      </c>
      <c r="G1478" s="2">
        <f>DAY(EOMONTH(TA[[#This Row],[Month Year]],0))</f>
        <v>31</v>
      </c>
      <c r="H1478" s="21">
        <v>45850</v>
      </c>
      <c r="I1478" s="41">
        <f>IFERROR(VLOOKUP(TA[[#This Row],[Date]],Raw_Data[[Date]:[Sunset Time (POA&lt;20 W/m2)]],3,0),"")</f>
        <v>0.25416666666666665</v>
      </c>
      <c r="J1478" s="41">
        <f>IFERROR(VLOOKUP(TA[[#This Row],[Date]],Raw_Data[[Date]:[Sunset Time (POA&lt;20 W/m2)]],4,0),"")</f>
        <v>0.78472222222222221</v>
      </c>
      <c r="K1478" s="35">
        <f>IFERROR((TA[[#This Row],[Sunset Time (POA&lt;20 W/m2)]]-TA[[#This Row],[Sunrise Time (POA&gt;20 W/m2)]])*24,"")</f>
        <v>12.733333333333334</v>
      </c>
      <c r="L1478" s="2" t="s">
        <v>294</v>
      </c>
      <c r="M1478" s="42">
        <f>IFERROR(VLOOKUP(TA[[#This Row],[Affected Equipment]],'Basic Data'!$I$2:$K$40,3,0),"")</f>
        <v>1.7241379310344799E-3</v>
      </c>
      <c r="N1478">
        <v>-28</v>
      </c>
      <c r="O1478" t="s">
        <v>133</v>
      </c>
      <c r="P1478" s="127" t="s">
        <v>316</v>
      </c>
      <c r="Q1478" s="126" t="s">
        <v>316</v>
      </c>
      <c r="R1478">
        <v>117</v>
      </c>
      <c r="S1478" s="2">
        <v>20</v>
      </c>
      <c r="T1478" t="s">
        <v>295</v>
      </c>
      <c r="U1478" t="s">
        <v>300</v>
      </c>
      <c r="V1478" t="s">
        <v>298</v>
      </c>
      <c r="W1478" s="41"/>
      <c r="X1478" s="41"/>
      <c r="Y1478" s="34"/>
      <c r="Z1478" s="34"/>
      <c r="AA1478" s="35">
        <f>IF(TA[[#This Row],[Work Start time on Fault]]="NA","",(TA[[#This Row],[Fault Acknowledgement Time ]]-TA[[#This Row],[Fault Time]])*24)</f>
        <v>0</v>
      </c>
      <c r="AB1478" s="35">
        <f>(TA[[#This Row],[Work Start time on Fault]]-TA[[#This Row],[Fault Time]])*24</f>
        <v>0</v>
      </c>
      <c r="AC1478" s="34">
        <f>(TA[[#This Row],[Work Completion time on fault]]-TA[[#This Row],[Fault Time]])*24</f>
        <v>0</v>
      </c>
      <c r="AD1478" s="35">
        <f>IFERROR((TA[[#This Row],[Work Completion time on fault]]-TA[[#This Row],[Fault Time]])*24,"")</f>
        <v>0</v>
      </c>
      <c r="AE1478" t="s">
        <v>328</v>
      </c>
      <c r="AF1478" t="s">
        <v>256</v>
      </c>
      <c r="AG1478" s="2"/>
      <c r="AH1478" s="44">
        <f>1-COS(RADIANS(TA[[#This Row],[Avg. Target Angle during Fault Time (Radians)]]-TA[[#This Row],[Angle of affected equipment ]]))</f>
        <v>0.11705240714107301</v>
      </c>
      <c r="AI1478" s="35">
        <f>IFERROR(TA[[#This Row],[Breakdown Time]]*TA[[#This Row],[Plant Equivalent Weightage]],"")</f>
        <v>0</v>
      </c>
    </row>
    <row r="1479" spans="1:35">
      <c r="A1479" s="2">
        <f t="shared" si="176"/>
        <v>1476</v>
      </c>
      <c r="B1479" s="156">
        <f t="shared" si="179"/>
        <v>2026</v>
      </c>
      <c r="C1479" s="129">
        <f t="shared" si="180"/>
        <v>2025</v>
      </c>
      <c r="D1479" s="2" t="s">
        <v>155</v>
      </c>
      <c r="E1479" s="2" t="s">
        <v>155</v>
      </c>
      <c r="F1479" s="39">
        <v>45839</v>
      </c>
      <c r="G1479" s="2">
        <f>DAY(EOMONTH(TA[[#This Row],[Month Year]],0))</f>
        <v>31</v>
      </c>
      <c r="H1479" s="21">
        <v>45850</v>
      </c>
      <c r="I1479" s="41">
        <f>IFERROR(VLOOKUP(TA[[#This Row],[Date]],Raw_Data[[Date]:[Sunset Time (POA&lt;20 W/m2)]],3,0),"")</f>
        <v>0.25416666666666665</v>
      </c>
      <c r="J1479" s="41">
        <f>IFERROR(VLOOKUP(TA[[#This Row],[Date]],Raw_Data[[Date]:[Sunset Time (POA&lt;20 W/m2)]],4,0),"")</f>
        <v>0.78472222222222221</v>
      </c>
      <c r="K1479" s="35">
        <f>IFERROR((TA[[#This Row],[Sunset Time (POA&lt;20 W/m2)]]-TA[[#This Row],[Sunrise Time (POA&gt;20 W/m2)]])*24,"")</f>
        <v>12.733333333333334</v>
      </c>
      <c r="L1479" s="2" t="s">
        <v>294</v>
      </c>
      <c r="M1479" s="42">
        <f>IFERROR(VLOOKUP(TA[[#This Row],[Affected Equipment]],'Basic Data'!$I$2:$K$40,3,0),"")</f>
        <v>1.7241379310344799E-3</v>
      </c>
      <c r="N1479">
        <v>-28</v>
      </c>
      <c r="O1479" t="s">
        <v>133</v>
      </c>
      <c r="P1479" s="127" t="s">
        <v>316</v>
      </c>
      <c r="Q1479" s="126" t="s">
        <v>316</v>
      </c>
      <c r="R1479">
        <v>118</v>
      </c>
      <c r="S1479" s="2">
        <v>22</v>
      </c>
      <c r="T1479" t="s">
        <v>295</v>
      </c>
      <c r="U1479" t="s">
        <v>300</v>
      </c>
      <c r="V1479" t="s">
        <v>298</v>
      </c>
      <c r="W1479" s="41"/>
      <c r="X1479" s="41"/>
      <c r="Y1479" s="34"/>
      <c r="Z1479" s="34"/>
      <c r="AA1479" s="35">
        <f>IF(TA[[#This Row],[Work Start time on Fault]]="NA","",(TA[[#This Row],[Fault Acknowledgement Time ]]-TA[[#This Row],[Fault Time]])*24)</f>
        <v>0</v>
      </c>
      <c r="AB1479" s="35">
        <f>(TA[[#This Row],[Work Start time on Fault]]-TA[[#This Row],[Fault Time]])*24</f>
        <v>0</v>
      </c>
      <c r="AC1479" s="34">
        <f>(TA[[#This Row],[Work Completion time on fault]]-TA[[#This Row],[Fault Time]])*24</f>
        <v>0</v>
      </c>
      <c r="AD1479" s="35">
        <f>IFERROR((TA[[#This Row],[Work Completion time on fault]]-TA[[#This Row],[Fault Time]])*24,"")</f>
        <v>0</v>
      </c>
      <c r="AE1479" t="s">
        <v>328</v>
      </c>
      <c r="AF1479" t="s">
        <v>256</v>
      </c>
      <c r="AG1479" s="2"/>
      <c r="AH1479" s="44">
        <f>1-COS(RADIANS(TA[[#This Row],[Avg. Target Angle during Fault Time (Radians)]]-TA[[#This Row],[Angle of affected equipment ]]))</f>
        <v>0.11705240714107301</v>
      </c>
      <c r="AI1479" s="35">
        <f>IFERROR(TA[[#This Row],[Breakdown Time]]*TA[[#This Row],[Plant Equivalent Weightage]],"")</f>
        <v>0</v>
      </c>
    </row>
    <row r="1480" spans="1:35">
      <c r="A1480" s="2">
        <f t="shared" si="176"/>
        <v>1477</v>
      </c>
      <c r="B1480" s="156">
        <f t="shared" si="179"/>
        <v>2026</v>
      </c>
      <c r="C1480" s="129">
        <f t="shared" si="180"/>
        <v>2025</v>
      </c>
      <c r="D1480" s="2" t="s">
        <v>155</v>
      </c>
      <c r="E1480" s="2" t="s">
        <v>155</v>
      </c>
      <c r="F1480" s="39">
        <v>45839</v>
      </c>
      <c r="G1480" s="2">
        <f>DAY(EOMONTH(TA[[#This Row],[Month Year]],0))</f>
        <v>31</v>
      </c>
      <c r="H1480" s="21">
        <v>45850</v>
      </c>
      <c r="I1480" s="41">
        <f>IFERROR(VLOOKUP(TA[[#This Row],[Date]],Raw_Data[[Date]:[Sunset Time (POA&lt;20 W/m2)]],3,0),"")</f>
        <v>0.25416666666666665</v>
      </c>
      <c r="J1480" s="41">
        <f>IFERROR(VLOOKUP(TA[[#This Row],[Date]],Raw_Data[[Date]:[Sunset Time (POA&lt;20 W/m2)]],4,0),"")</f>
        <v>0.78472222222222221</v>
      </c>
      <c r="K1480" s="35">
        <f>IFERROR((TA[[#This Row],[Sunset Time (POA&lt;20 W/m2)]]-TA[[#This Row],[Sunrise Time (POA&gt;20 W/m2)]])*24,"")</f>
        <v>12.733333333333334</v>
      </c>
      <c r="L1480" s="2" t="s">
        <v>296</v>
      </c>
      <c r="M1480" s="42">
        <f>IFERROR(VLOOKUP(TA[[#This Row],[Affected Equipment]],'Basic Data'!$I$2:$K$40,3,0),"")</f>
        <v>8.6206896551724102E-3</v>
      </c>
      <c r="N1480">
        <v>-28</v>
      </c>
      <c r="O1480" t="s">
        <v>135</v>
      </c>
      <c r="P1480" s="22" t="s">
        <v>323</v>
      </c>
      <c r="Q1480" s="2" t="s">
        <v>329</v>
      </c>
      <c r="R1480">
        <v>45</v>
      </c>
      <c r="S1480" s="2">
        <v>8</v>
      </c>
      <c r="T1480" t="s">
        <v>297</v>
      </c>
      <c r="U1480" t="s">
        <v>300</v>
      </c>
      <c r="V1480" t="s">
        <v>301</v>
      </c>
      <c r="W1480" s="41"/>
      <c r="X1480" s="41"/>
      <c r="Y1480" s="34"/>
      <c r="Z1480" s="34"/>
      <c r="AA1480" s="35">
        <f>IF(TA[[#This Row],[Work Start time on Fault]]="NA","",(TA[[#This Row],[Fault Acknowledgement Time ]]-TA[[#This Row],[Fault Time]])*24)</f>
        <v>0</v>
      </c>
      <c r="AB1480" s="35">
        <f>(TA[[#This Row],[Work Start time on Fault]]-TA[[#This Row],[Fault Time]])*24</f>
        <v>0</v>
      </c>
      <c r="AC1480" s="34">
        <f>(TA[[#This Row],[Work Completion time on fault]]-TA[[#This Row],[Fault Time]])*24</f>
        <v>0</v>
      </c>
      <c r="AD1480" s="35">
        <f>IFERROR((TA[[#This Row],[Work Completion time on fault]]-TA[[#This Row],[Fault Time]])*24,"")</f>
        <v>0</v>
      </c>
      <c r="AE1480" t="s">
        <v>328</v>
      </c>
      <c r="AF1480" t="s">
        <v>256</v>
      </c>
      <c r="AG1480" s="2"/>
      <c r="AH1480" s="44">
        <f>1-COS(RADIANS(TA[[#This Row],[Avg. Target Angle during Fault Time (Radians)]]-TA[[#This Row],[Angle of affected equipment ]]))</f>
        <v>0.11705240714107301</v>
      </c>
      <c r="AI1480" s="35">
        <f>IFERROR(TA[[#This Row],[Breakdown Time]]*TA[[#This Row],[Plant Equivalent Weightage]],"")</f>
        <v>0</v>
      </c>
    </row>
    <row r="1481" spans="1:35">
      <c r="A1481" s="2">
        <f t="shared" si="176"/>
        <v>1478</v>
      </c>
      <c r="B1481" s="156">
        <f t="shared" si="179"/>
        <v>2026</v>
      </c>
      <c r="C1481" s="129">
        <f t="shared" si="180"/>
        <v>2025</v>
      </c>
      <c r="D1481" s="2" t="s">
        <v>155</v>
      </c>
      <c r="E1481" s="2" t="s">
        <v>155</v>
      </c>
      <c r="F1481" s="39">
        <v>45839</v>
      </c>
      <c r="G1481" s="2">
        <f>DAY(EOMONTH(TA[[#This Row],[Month Year]],0))</f>
        <v>31</v>
      </c>
      <c r="H1481" s="21">
        <v>45850</v>
      </c>
      <c r="I1481" s="41">
        <f>IFERROR(VLOOKUP(TA[[#This Row],[Date]],Raw_Data[[Date]:[Sunset Time (POA&lt;20 W/m2)]],3,0),"")</f>
        <v>0.25416666666666665</v>
      </c>
      <c r="J1481" s="41">
        <f>IFERROR(VLOOKUP(TA[[#This Row],[Date]],Raw_Data[[Date]:[Sunset Time (POA&lt;20 W/m2)]],4,0),"")</f>
        <v>0.78472222222222221</v>
      </c>
      <c r="K1481" s="35">
        <f>IFERROR((TA[[#This Row],[Sunset Time (POA&lt;20 W/m2)]]-TA[[#This Row],[Sunrise Time (POA&gt;20 W/m2)]])*24,"")</f>
        <v>12.733333333333334</v>
      </c>
      <c r="L1481" s="2" t="s">
        <v>296</v>
      </c>
      <c r="M1481" s="42">
        <f>IFERROR(VLOOKUP(TA[[#This Row],[Affected Equipment]],'Basic Data'!$I$2:$K$40,3,0),"")</f>
        <v>8.6206896551724102E-3</v>
      </c>
      <c r="N1481">
        <v>-28</v>
      </c>
      <c r="O1481" t="s">
        <v>135</v>
      </c>
      <c r="P1481" s="22" t="s">
        <v>323</v>
      </c>
      <c r="Q1481" s="2" t="s">
        <v>329</v>
      </c>
      <c r="R1481">
        <v>47</v>
      </c>
      <c r="S1481" s="2">
        <v>18</v>
      </c>
      <c r="T1481" t="s">
        <v>297</v>
      </c>
      <c r="U1481" t="s">
        <v>300</v>
      </c>
      <c r="V1481" t="s">
        <v>301</v>
      </c>
      <c r="W1481" s="41"/>
      <c r="X1481" s="41"/>
      <c r="Y1481" s="34"/>
      <c r="Z1481" s="34"/>
      <c r="AA1481" s="35">
        <f>IF(TA[[#This Row],[Work Start time on Fault]]="NA","",(TA[[#This Row],[Fault Acknowledgement Time ]]-TA[[#This Row],[Fault Time]])*24)</f>
        <v>0</v>
      </c>
      <c r="AB1481" s="35">
        <f>(TA[[#This Row],[Work Start time on Fault]]-TA[[#This Row],[Fault Time]])*24</f>
        <v>0</v>
      </c>
      <c r="AC1481" s="34">
        <f>(TA[[#This Row],[Work Completion time on fault]]-TA[[#This Row],[Fault Time]])*24</f>
        <v>0</v>
      </c>
      <c r="AD1481" s="35">
        <f>IFERROR((TA[[#This Row],[Work Completion time on fault]]-TA[[#This Row],[Fault Time]])*24,"")</f>
        <v>0</v>
      </c>
      <c r="AE1481" t="s">
        <v>328</v>
      </c>
      <c r="AF1481" t="s">
        <v>256</v>
      </c>
      <c r="AG1481" s="2"/>
      <c r="AH1481" s="44">
        <f>1-COS(RADIANS(TA[[#This Row],[Avg. Target Angle during Fault Time (Radians)]]-TA[[#This Row],[Angle of affected equipment ]]))</f>
        <v>0.11705240714107301</v>
      </c>
      <c r="AI1481" s="35">
        <f>IFERROR(TA[[#This Row],[Breakdown Time]]*TA[[#This Row],[Plant Equivalent Weightage]],"")</f>
        <v>0</v>
      </c>
    </row>
    <row r="1482" spans="1:35">
      <c r="A1482" s="2">
        <f t="shared" si="176"/>
        <v>1479</v>
      </c>
      <c r="B1482" s="156">
        <f t="shared" si="179"/>
        <v>2026</v>
      </c>
      <c r="C1482" s="129">
        <f t="shared" si="180"/>
        <v>2025</v>
      </c>
      <c r="D1482" s="2" t="s">
        <v>155</v>
      </c>
      <c r="E1482" s="2" t="s">
        <v>155</v>
      </c>
      <c r="F1482" s="39">
        <v>45839</v>
      </c>
      <c r="G1482" s="2">
        <f>DAY(EOMONTH(TA[[#This Row],[Month Year]],0))</f>
        <v>31</v>
      </c>
      <c r="H1482" s="21">
        <v>45850</v>
      </c>
      <c r="I1482" s="41">
        <f>IFERROR(VLOOKUP(TA[[#This Row],[Date]],Raw_Data[[Date]:[Sunset Time (POA&lt;20 W/m2)]],3,0),"")</f>
        <v>0.25416666666666665</v>
      </c>
      <c r="J1482" s="41">
        <f>IFERROR(VLOOKUP(TA[[#This Row],[Date]],Raw_Data[[Date]:[Sunset Time (POA&lt;20 W/m2)]],4,0),"")</f>
        <v>0.78472222222222221</v>
      </c>
      <c r="K1482" s="35">
        <f>IFERROR((TA[[#This Row],[Sunset Time (POA&lt;20 W/m2)]]-TA[[#This Row],[Sunrise Time (POA&gt;20 W/m2)]])*24,"")</f>
        <v>12.733333333333334</v>
      </c>
      <c r="L1482" s="2" t="s">
        <v>296</v>
      </c>
      <c r="M1482" s="42">
        <f>IFERROR(VLOOKUP(TA[[#This Row],[Affected Equipment]],'Basic Data'!$I$2:$K$40,3,0),"")</f>
        <v>8.6206896551724102E-3</v>
      </c>
      <c r="N1482">
        <v>-28</v>
      </c>
      <c r="O1482" t="s">
        <v>134</v>
      </c>
      <c r="P1482" s="22" t="s">
        <v>330</v>
      </c>
      <c r="Q1482" s="2" t="s">
        <v>323</v>
      </c>
      <c r="R1482">
        <v>30</v>
      </c>
      <c r="S1482" s="2">
        <v>57</v>
      </c>
      <c r="T1482" t="s">
        <v>297</v>
      </c>
      <c r="U1482" t="s">
        <v>300</v>
      </c>
      <c r="V1482" t="s">
        <v>301</v>
      </c>
      <c r="W1482" s="41"/>
      <c r="X1482" s="41"/>
      <c r="Y1482" s="34"/>
      <c r="Z1482" s="34"/>
      <c r="AA1482" s="35">
        <f>IF(TA[[#This Row],[Work Start time on Fault]]="NA","",(TA[[#This Row],[Fault Acknowledgement Time ]]-TA[[#This Row],[Fault Time]])*24)</f>
        <v>0</v>
      </c>
      <c r="AB1482" s="35">
        <f>(TA[[#This Row],[Work Start time on Fault]]-TA[[#This Row],[Fault Time]])*24</f>
        <v>0</v>
      </c>
      <c r="AC1482" s="34">
        <f>(TA[[#This Row],[Work Completion time on fault]]-TA[[#This Row],[Fault Time]])*24</f>
        <v>0</v>
      </c>
      <c r="AD1482" s="35">
        <f>IFERROR((TA[[#This Row],[Work Completion time on fault]]-TA[[#This Row],[Fault Time]])*24,"")</f>
        <v>0</v>
      </c>
      <c r="AE1482" t="s">
        <v>328</v>
      </c>
      <c r="AF1482" t="s">
        <v>256</v>
      </c>
      <c r="AG1482" s="2"/>
      <c r="AH1482" s="44">
        <f>1-COS(RADIANS(TA[[#This Row],[Avg. Target Angle during Fault Time (Radians)]]-TA[[#This Row],[Angle of affected equipment ]]))</f>
        <v>0.11705240714107301</v>
      </c>
      <c r="AI1482" s="35">
        <f>IFERROR(TA[[#This Row],[Breakdown Time]]*TA[[#This Row],[Plant Equivalent Weightage]],"")</f>
        <v>0</v>
      </c>
    </row>
    <row r="1483" spans="1:35">
      <c r="A1483" s="2">
        <f t="shared" si="176"/>
        <v>1480</v>
      </c>
      <c r="B1483" s="156">
        <f t="shared" si="179"/>
        <v>2026</v>
      </c>
      <c r="C1483" s="129">
        <f t="shared" si="180"/>
        <v>2025</v>
      </c>
      <c r="D1483" s="2" t="s">
        <v>155</v>
      </c>
      <c r="E1483" s="2" t="s">
        <v>155</v>
      </c>
      <c r="F1483" s="39">
        <v>45839</v>
      </c>
      <c r="G1483" s="2">
        <f>DAY(EOMONTH(TA[[#This Row],[Month Year]],0))</f>
        <v>31</v>
      </c>
      <c r="H1483" s="21">
        <v>45850</v>
      </c>
      <c r="I1483" s="41">
        <f>IFERROR(VLOOKUP(TA[[#This Row],[Date]],Raw_Data[[Date]:[Sunset Time (POA&lt;20 W/m2)]],3,0),"")</f>
        <v>0.25416666666666665</v>
      </c>
      <c r="J1483" s="41">
        <f>IFERROR(VLOOKUP(TA[[#This Row],[Date]],Raw_Data[[Date]:[Sunset Time (POA&lt;20 W/m2)]],4,0),"")</f>
        <v>0.78472222222222221</v>
      </c>
      <c r="K1483" s="35">
        <f>IFERROR((TA[[#This Row],[Sunset Time (POA&lt;20 W/m2)]]-TA[[#This Row],[Sunrise Time (POA&gt;20 W/m2)]])*24,"")</f>
        <v>12.733333333333334</v>
      </c>
      <c r="L1483" s="2" t="s">
        <v>296</v>
      </c>
      <c r="M1483" s="42">
        <f>IFERROR(VLOOKUP(TA[[#This Row],[Affected Equipment]],'Basic Data'!$I$2:$K$40,3,0),"")</f>
        <v>8.6206896551724102E-3</v>
      </c>
      <c r="N1483">
        <v>-28</v>
      </c>
      <c r="O1483" t="s">
        <v>134</v>
      </c>
      <c r="P1483" s="22" t="s">
        <v>330</v>
      </c>
      <c r="Q1483" s="2" t="s">
        <v>323</v>
      </c>
      <c r="R1483">
        <v>31</v>
      </c>
      <c r="S1483" s="2">
        <v>61</v>
      </c>
      <c r="T1483" t="s">
        <v>297</v>
      </c>
      <c r="U1483" t="s">
        <v>300</v>
      </c>
      <c r="V1483" t="s">
        <v>301</v>
      </c>
      <c r="W1483" s="41"/>
      <c r="X1483" s="41"/>
      <c r="Y1483" s="34"/>
      <c r="Z1483" s="34"/>
      <c r="AA1483" s="35">
        <f>IF(TA[[#This Row],[Work Start time on Fault]]="NA","",(TA[[#This Row],[Fault Acknowledgement Time ]]-TA[[#This Row],[Fault Time]])*24)</f>
        <v>0</v>
      </c>
      <c r="AB1483" s="35">
        <f>(TA[[#This Row],[Work Start time on Fault]]-TA[[#This Row],[Fault Time]])*24</f>
        <v>0</v>
      </c>
      <c r="AC1483" s="34">
        <f>(TA[[#This Row],[Work Completion time on fault]]-TA[[#This Row],[Fault Time]])*24</f>
        <v>0</v>
      </c>
      <c r="AD1483" s="35">
        <f>IFERROR((TA[[#This Row],[Work Completion time on fault]]-TA[[#This Row],[Fault Time]])*24,"")</f>
        <v>0</v>
      </c>
      <c r="AE1483" t="s">
        <v>328</v>
      </c>
      <c r="AF1483" t="s">
        <v>256</v>
      </c>
      <c r="AG1483" s="2"/>
      <c r="AH1483" s="44">
        <f>1-COS(RADIANS(TA[[#This Row],[Avg. Target Angle during Fault Time (Radians)]]-TA[[#This Row],[Angle of affected equipment ]]))</f>
        <v>0.11705240714107301</v>
      </c>
      <c r="AI1483" s="35">
        <f>IFERROR(TA[[#This Row],[Breakdown Time]]*TA[[#This Row],[Plant Equivalent Weightage]],"")</f>
        <v>0</v>
      </c>
    </row>
    <row r="1484" spans="1:35">
      <c r="A1484" s="2">
        <f t="shared" si="176"/>
        <v>1481</v>
      </c>
      <c r="B1484" s="156">
        <f t="shared" si="179"/>
        <v>2026</v>
      </c>
      <c r="C1484" s="129">
        <f t="shared" si="180"/>
        <v>2025</v>
      </c>
      <c r="D1484" s="2" t="s">
        <v>155</v>
      </c>
      <c r="E1484" s="2" t="s">
        <v>155</v>
      </c>
      <c r="F1484" s="39">
        <v>45839</v>
      </c>
      <c r="G1484" s="2">
        <f>DAY(EOMONTH(TA[[#This Row],[Month Year]],0))</f>
        <v>31</v>
      </c>
      <c r="H1484" s="21">
        <v>45850</v>
      </c>
      <c r="I1484" s="41">
        <f>IFERROR(VLOOKUP(TA[[#This Row],[Date]],Raw_Data[[Date]:[Sunset Time (POA&lt;20 W/m2)]],3,0),"")</f>
        <v>0.25416666666666665</v>
      </c>
      <c r="J1484" s="41">
        <f>IFERROR(VLOOKUP(TA[[#This Row],[Date]],Raw_Data[[Date]:[Sunset Time (POA&lt;20 W/m2)]],4,0),"")</f>
        <v>0.78472222222222221</v>
      </c>
      <c r="K1484" s="35">
        <f>IFERROR((TA[[#This Row],[Sunset Time (POA&lt;20 W/m2)]]-TA[[#This Row],[Sunrise Time (POA&gt;20 W/m2)]])*24,"")</f>
        <v>12.733333333333334</v>
      </c>
      <c r="L1484" s="2" t="s">
        <v>312</v>
      </c>
      <c r="M1484" s="42">
        <f>IFERROR(VLOOKUP(TA[[#This Row],[Affected Equipment]],'Basic Data'!$I$2:$K$40,3,0),"")</f>
        <v>5.74712643678161E-3</v>
      </c>
      <c r="N1484">
        <v>-28</v>
      </c>
      <c r="O1484" t="s">
        <v>133</v>
      </c>
      <c r="P1484" s="22" t="s">
        <v>330</v>
      </c>
      <c r="Q1484" s="2" t="s">
        <v>323</v>
      </c>
      <c r="R1484">
        <v>26</v>
      </c>
      <c r="S1484" s="2">
        <v>37</v>
      </c>
      <c r="T1484" t="s">
        <v>297</v>
      </c>
      <c r="U1484" t="s">
        <v>300</v>
      </c>
      <c r="V1484" t="s">
        <v>301</v>
      </c>
      <c r="W1484" s="41"/>
      <c r="X1484" s="41"/>
      <c r="Y1484" s="34"/>
      <c r="Z1484" s="34"/>
      <c r="AA1484" s="35">
        <f>IF(TA[[#This Row],[Work Start time on Fault]]="NA","",(TA[[#This Row],[Fault Acknowledgement Time ]]-TA[[#This Row],[Fault Time]])*24)</f>
        <v>0</v>
      </c>
      <c r="AB1484" s="35">
        <f>(TA[[#This Row],[Work Start time on Fault]]-TA[[#This Row],[Fault Time]])*24</f>
        <v>0</v>
      </c>
      <c r="AC1484" s="34">
        <f>(TA[[#This Row],[Work Completion time on fault]]-TA[[#This Row],[Fault Time]])*24</f>
        <v>0</v>
      </c>
      <c r="AD1484" s="35">
        <f>IFERROR((TA[[#This Row],[Work Completion time on fault]]-TA[[#This Row],[Fault Time]])*24,"")</f>
        <v>0</v>
      </c>
      <c r="AE1484" t="s">
        <v>328</v>
      </c>
      <c r="AF1484" t="s">
        <v>256</v>
      </c>
      <c r="AG1484" s="2"/>
      <c r="AH1484" s="44">
        <f>1-COS(RADIANS(TA[[#This Row],[Avg. Target Angle during Fault Time (Radians)]]-TA[[#This Row],[Angle of affected equipment ]]))</f>
        <v>0.11705240714107301</v>
      </c>
      <c r="AI1484" s="35">
        <f>IFERROR(TA[[#This Row],[Breakdown Time]]*TA[[#This Row],[Plant Equivalent Weightage]],"")</f>
        <v>0</v>
      </c>
    </row>
    <row r="1485" spans="1:35">
      <c r="A1485" s="2">
        <f t="shared" si="176"/>
        <v>1482</v>
      </c>
      <c r="B1485" s="156">
        <f t="shared" si="179"/>
        <v>2026</v>
      </c>
      <c r="C1485" s="129">
        <f t="shared" si="180"/>
        <v>2025</v>
      </c>
      <c r="D1485" s="2" t="s">
        <v>155</v>
      </c>
      <c r="E1485" s="2" t="s">
        <v>155</v>
      </c>
      <c r="F1485" s="39">
        <v>45839</v>
      </c>
      <c r="G1485" s="2">
        <f>DAY(EOMONTH(TA[[#This Row],[Month Year]],0))</f>
        <v>31</v>
      </c>
      <c r="H1485" s="21">
        <v>45850</v>
      </c>
      <c r="I1485" s="41">
        <f>IFERROR(VLOOKUP(TA[[#This Row],[Date]],Raw_Data[[Date]:[Sunset Time (POA&lt;20 W/m2)]],3,0),"")</f>
        <v>0.25416666666666665</v>
      </c>
      <c r="J1485" s="41">
        <f>IFERROR(VLOOKUP(TA[[#This Row],[Date]],Raw_Data[[Date]:[Sunset Time (POA&lt;20 W/m2)]],4,0),"")</f>
        <v>0.78472222222222221</v>
      </c>
      <c r="K1485" s="35">
        <f>IFERROR((TA[[#This Row],[Sunset Time (POA&lt;20 W/m2)]]-TA[[#This Row],[Sunrise Time (POA&gt;20 W/m2)]])*24,"")</f>
        <v>12.733333333333334</v>
      </c>
      <c r="L1485" s="2" t="s">
        <v>312</v>
      </c>
      <c r="M1485" s="42">
        <f>IFERROR(VLOOKUP(TA[[#This Row],[Affected Equipment]],'Basic Data'!$I$2:$K$40,3,0),"")</f>
        <v>5.74712643678161E-3</v>
      </c>
      <c r="N1485">
        <v>-28</v>
      </c>
      <c r="O1485" t="s">
        <v>133</v>
      </c>
      <c r="P1485" s="22" t="s">
        <v>330</v>
      </c>
      <c r="Q1485" s="2" t="s">
        <v>323</v>
      </c>
      <c r="R1485">
        <v>27</v>
      </c>
      <c r="S1485" s="2">
        <v>42</v>
      </c>
      <c r="T1485" t="s">
        <v>297</v>
      </c>
      <c r="U1485" t="s">
        <v>300</v>
      </c>
      <c r="V1485" t="s">
        <v>301</v>
      </c>
      <c r="W1485" s="41">
        <f>IFERROR(VLOOKUP(TA[[#This Row],[Date]],Raw_Data[[Date]:[Sunset Time (POA&lt;20 W/m2)]],3,0),"")</f>
        <v>0.25416666666666665</v>
      </c>
      <c r="X1485" s="41">
        <f>IFERROR(VLOOKUP(TA[[#This Row],[Date]],Raw_Data[[Date]:[Sunset Time (POA&lt;20 W/m2)]],3,0),"")</f>
        <v>0.25416666666666665</v>
      </c>
      <c r="Y1485" s="34"/>
      <c r="Z1485" s="34">
        <v>0.76041666666666663</v>
      </c>
      <c r="AA1485" s="35">
        <f>IF(TA[[#This Row],[Work Start time on Fault]]="NA","",(TA[[#This Row],[Fault Acknowledgement Time ]]-TA[[#This Row],[Fault Time]])*24)</f>
        <v>0</v>
      </c>
      <c r="AB1485" s="35">
        <f>(TA[[#This Row],[Work Start time on Fault]]-TA[[#This Row],[Fault Time]])*24</f>
        <v>-6.1</v>
      </c>
      <c r="AC1485" s="34">
        <f>(TA[[#This Row],[Work Completion time on fault]]-TA[[#This Row],[Fault Time]])*24</f>
        <v>12.149999999999999</v>
      </c>
      <c r="AD1485" s="35">
        <f>IFERROR((TA[[#This Row],[Work Completion time on fault]]-TA[[#This Row],[Fault Time]])*24,"")</f>
        <v>12.149999999999999</v>
      </c>
      <c r="AE1485" t="s">
        <v>309</v>
      </c>
      <c r="AF1485" t="s">
        <v>256</v>
      </c>
      <c r="AG1485" s="2"/>
      <c r="AH1485" s="44">
        <f>1-COS(RADIANS(TA[[#This Row],[Avg. Target Angle during Fault Time (Radians)]]-TA[[#This Row],[Angle of affected equipment ]]))</f>
        <v>0.11705240714107301</v>
      </c>
      <c r="AI1485" s="35">
        <f>IFERROR(TA[[#This Row],[Breakdown Time]]*TA[[#This Row],[Plant Equivalent Weightage]],"")</f>
        <v>6.9827586206896552E-2</v>
      </c>
    </row>
    <row r="1486" spans="1:35">
      <c r="A1486" s="2">
        <f t="shared" si="176"/>
        <v>1483</v>
      </c>
      <c r="B1486" s="156">
        <f t="shared" ref="B1486:B1498" si="181">YEAR(H1486)+IF(MONTH(H1486)&gt;=4,1,0)</f>
        <v>2026</v>
      </c>
      <c r="C1486" s="129">
        <f t="shared" ref="C1486:C1498" si="182">YEAR(H1486)</f>
        <v>2025</v>
      </c>
      <c r="D1486" s="2" t="s">
        <v>155</v>
      </c>
      <c r="E1486" s="2" t="s">
        <v>155</v>
      </c>
      <c r="F1486" s="39">
        <v>45839</v>
      </c>
      <c r="G1486" s="2">
        <f>DAY(EOMONTH(TA[[#This Row],[Month Year]],0))</f>
        <v>31</v>
      </c>
      <c r="H1486" s="21">
        <v>45851</v>
      </c>
      <c r="I1486" s="41">
        <f>IFERROR(VLOOKUP(TA[[#This Row],[Date]],Raw_Data[[Date]:[Sunset Time (POA&lt;20 W/m2)]],3,0),"")</f>
        <v>0.25208333333333333</v>
      </c>
      <c r="J1486" s="41">
        <f>IFERROR(VLOOKUP(TA[[#This Row],[Date]],Raw_Data[[Date]:[Sunset Time (POA&lt;20 W/m2)]],4,0),"")</f>
        <v>0.78194444444444444</v>
      </c>
      <c r="K1486" s="35">
        <f>IFERROR((TA[[#This Row],[Sunset Time (POA&lt;20 W/m2)]]-TA[[#This Row],[Sunrise Time (POA&gt;20 W/m2)]])*24,"")</f>
        <v>12.716666666666667</v>
      </c>
      <c r="L1486" s="2" t="s">
        <v>294</v>
      </c>
      <c r="M1486" s="42">
        <f>IFERROR(VLOOKUP(TA[[#This Row],[Affected Equipment]],'Basic Data'!$I$2:$K$40,3,0),"")</f>
        <v>1.7241379310344799E-3</v>
      </c>
      <c r="N1486">
        <v>-28</v>
      </c>
      <c r="O1486" t="s">
        <v>135</v>
      </c>
      <c r="P1486" s="127" t="s">
        <v>318</v>
      </c>
      <c r="Q1486" s="126" t="s">
        <v>318</v>
      </c>
      <c r="R1486">
        <v>131</v>
      </c>
      <c r="S1486" s="2">
        <v>38</v>
      </c>
      <c r="T1486" t="s">
        <v>295</v>
      </c>
      <c r="U1486" t="s">
        <v>300</v>
      </c>
      <c r="V1486" t="s">
        <v>298</v>
      </c>
      <c r="W1486" s="41"/>
      <c r="X1486" s="41"/>
      <c r="Y1486" s="34"/>
      <c r="Z1486" s="34"/>
      <c r="AA1486" s="35">
        <f>IF(TA[[#This Row],[Work Start time on Fault]]="NA","",(TA[[#This Row],[Fault Acknowledgement Time ]]-TA[[#This Row],[Fault Time]])*24)</f>
        <v>0</v>
      </c>
      <c r="AB1486" s="35">
        <f>(TA[[#This Row],[Work Start time on Fault]]-TA[[#This Row],[Fault Time]])*24</f>
        <v>0</v>
      </c>
      <c r="AC1486" s="34">
        <f>(TA[[#This Row],[Work Completion time on fault]]-TA[[#This Row],[Fault Time]])*24</f>
        <v>0</v>
      </c>
      <c r="AD1486" s="35">
        <f>IFERROR((TA[[#This Row],[Work Completion time on fault]]-TA[[#This Row],[Fault Time]])*24,"")</f>
        <v>0</v>
      </c>
      <c r="AE1486" t="s">
        <v>328</v>
      </c>
      <c r="AF1486" t="s">
        <v>256</v>
      </c>
      <c r="AG1486" s="2"/>
      <c r="AH1486" s="44">
        <f>1-COS(RADIANS(TA[[#This Row],[Avg. Target Angle during Fault Time (Radians)]]-TA[[#This Row],[Angle of affected equipment ]]))</f>
        <v>0.11705240714107301</v>
      </c>
      <c r="AI1486" s="35">
        <f>IFERROR(TA[[#This Row],[Breakdown Time]]*TA[[#This Row],[Plant Equivalent Weightage]],"")</f>
        <v>0</v>
      </c>
    </row>
    <row r="1487" spans="1:35">
      <c r="A1487" s="2">
        <f t="shared" si="176"/>
        <v>1484</v>
      </c>
      <c r="B1487" s="156">
        <f t="shared" si="181"/>
        <v>2026</v>
      </c>
      <c r="C1487" s="129">
        <f t="shared" si="182"/>
        <v>2025</v>
      </c>
      <c r="D1487" s="2" t="s">
        <v>155</v>
      </c>
      <c r="E1487" s="2" t="s">
        <v>155</v>
      </c>
      <c r="F1487" s="39">
        <v>45839</v>
      </c>
      <c r="G1487" s="2">
        <f>DAY(EOMONTH(TA[[#This Row],[Month Year]],0))</f>
        <v>31</v>
      </c>
      <c r="H1487" s="21">
        <v>45851</v>
      </c>
      <c r="I1487" s="41">
        <f>IFERROR(VLOOKUP(TA[[#This Row],[Date]],Raw_Data[[Date]:[Sunset Time (POA&lt;20 W/m2)]],3,0),"")</f>
        <v>0.25208333333333333</v>
      </c>
      <c r="J1487" s="41">
        <f>IFERROR(VLOOKUP(TA[[#This Row],[Date]],Raw_Data[[Date]:[Sunset Time (POA&lt;20 W/m2)]],4,0),"")</f>
        <v>0.78194444444444444</v>
      </c>
      <c r="K1487" s="35">
        <f>IFERROR((TA[[#This Row],[Sunset Time (POA&lt;20 W/m2)]]-TA[[#This Row],[Sunrise Time (POA&gt;20 W/m2)]])*24,"")</f>
        <v>12.716666666666667</v>
      </c>
      <c r="L1487" s="2" t="s">
        <v>294</v>
      </c>
      <c r="M1487" s="42">
        <f>IFERROR(VLOOKUP(TA[[#This Row],[Affected Equipment]],'Basic Data'!$I$2:$K$40,3,0),"")</f>
        <v>1.7241379310344799E-3</v>
      </c>
      <c r="N1487">
        <v>-28</v>
      </c>
      <c r="O1487" t="s">
        <v>135</v>
      </c>
      <c r="P1487" s="127" t="s">
        <v>318</v>
      </c>
      <c r="Q1487" s="126" t="s">
        <v>318</v>
      </c>
      <c r="R1487">
        <v>131</v>
      </c>
      <c r="S1487" s="2">
        <v>39</v>
      </c>
      <c r="T1487" t="s">
        <v>295</v>
      </c>
      <c r="U1487" t="s">
        <v>300</v>
      </c>
      <c r="V1487" t="s">
        <v>298</v>
      </c>
      <c r="W1487" s="41"/>
      <c r="X1487" s="41"/>
      <c r="Y1487" s="34"/>
      <c r="Z1487" s="34"/>
      <c r="AA1487" s="35">
        <f>IF(TA[[#This Row],[Work Start time on Fault]]="NA","",(TA[[#This Row],[Fault Acknowledgement Time ]]-TA[[#This Row],[Fault Time]])*24)</f>
        <v>0</v>
      </c>
      <c r="AB1487" s="35">
        <f>(TA[[#This Row],[Work Start time on Fault]]-TA[[#This Row],[Fault Time]])*24</f>
        <v>0</v>
      </c>
      <c r="AC1487" s="34">
        <f>(TA[[#This Row],[Work Completion time on fault]]-TA[[#This Row],[Fault Time]])*24</f>
        <v>0</v>
      </c>
      <c r="AD1487" s="35">
        <f>IFERROR((TA[[#This Row],[Work Completion time on fault]]-TA[[#This Row],[Fault Time]])*24,"")</f>
        <v>0</v>
      </c>
      <c r="AE1487" t="s">
        <v>328</v>
      </c>
      <c r="AF1487" t="s">
        <v>256</v>
      </c>
      <c r="AG1487" s="2"/>
      <c r="AH1487" s="44">
        <f>1-COS(RADIANS(TA[[#This Row],[Avg. Target Angle during Fault Time (Radians)]]-TA[[#This Row],[Angle of affected equipment ]]))</f>
        <v>0.11705240714107301</v>
      </c>
      <c r="AI1487" s="35">
        <f>IFERROR(TA[[#This Row],[Breakdown Time]]*TA[[#This Row],[Plant Equivalent Weightage]],"")</f>
        <v>0</v>
      </c>
    </row>
    <row r="1488" spans="1:35">
      <c r="A1488" s="2">
        <f t="shared" si="176"/>
        <v>1485</v>
      </c>
      <c r="B1488" s="156">
        <f t="shared" si="181"/>
        <v>2026</v>
      </c>
      <c r="C1488" s="129">
        <f t="shared" si="182"/>
        <v>2025</v>
      </c>
      <c r="D1488" s="2" t="s">
        <v>155</v>
      </c>
      <c r="E1488" s="2" t="s">
        <v>155</v>
      </c>
      <c r="F1488" s="39">
        <v>45839</v>
      </c>
      <c r="G1488" s="2">
        <f>DAY(EOMONTH(TA[[#This Row],[Month Year]],0))</f>
        <v>31</v>
      </c>
      <c r="H1488" s="21">
        <v>45851</v>
      </c>
      <c r="I1488" s="41">
        <f>IFERROR(VLOOKUP(TA[[#This Row],[Date]],Raw_Data[[Date]:[Sunset Time (POA&lt;20 W/m2)]],3,0),"")</f>
        <v>0.25208333333333333</v>
      </c>
      <c r="J1488" s="41">
        <f>IFERROR(VLOOKUP(TA[[#This Row],[Date]],Raw_Data[[Date]:[Sunset Time (POA&lt;20 W/m2)]],4,0),"")</f>
        <v>0.78194444444444444</v>
      </c>
      <c r="K1488" s="35">
        <f>IFERROR((TA[[#This Row],[Sunset Time (POA&lt;20 W/m2)]]-TA[[#This Row],[Sunrise Time (POA&gt;20 W/m2)]])*24,"")</f>
        <v>12.716666666666667</v>
      </c>
      <c r="L1488" s="2" t="s">
        <v>296</v>
      </c>
      <c r="M1488" s="42">
        <f>IFERROR(VLOOKUP(TA[[#This Row],[Affected Equipment]],'Basic Data'!$I$2:$K$40,3,0),"")</f>
        <v>8.6206896551724102E-3</v>
      </c>
      <c r="N1488">
        <v>-28</v>
      </c>
      <c r="O1488" t="s">
        <v>135</v>
      </c>
      <c r="P1488" s="127" t="s">
        <v>318</v>
      </c>
      <c r="Q1488" s="2" t="s">
        <v>321</v>
      </c>
      <c r="R1488">
        <v>133</v>
      </c>
      <c r="S1488" s="2">
        <v>26</v>
      </c>
      <c r="T1488" t="s">
        <v>297</v>
      </c>
      <c r="U1488" t="s">
        <v>300</v>
      </c>
      <c r="V1488" t="s">
        <v>314</v>
      </c>
      <c r="W1488" s="41">
        <f>IFERROR(VLOOKUP(TA[[#This Row],[Date]],Raw_Data[[Date]:[Sunset Time (POA&lt;20 W/m2)]],3,0),"")</f>
        <v>0.25208333333333333</v>
      </c>
      <c r="X1488" s="41">
        <f>IFERROR(VLOOKUP(TA[[#This Row],[Date]],Raw_Data[[Date]:[Sunset Time (POA&lt;20 W/m2)]],3,0),"")</f>
        <v>0.25208333333333333</v>
      </c>
      <c r="Y1488" s="34"/>
      <c r="Z1488" s="34">
        <v>0.76041666666666663</v>
      </c>
      <c r="AA1488" s="35">
        <f>IF(TA[[#This Row],[Work Start time on Fault]]="NA","",(TA[[#This Row],[Fault Acknowledgement Time ]]-TA[[#This Row],[Fault Time]])*24)</f>
        <v>0</v>
      </c>
      <c r="AB1488" s="35">
        <f>(TA[[#This Row],[Work Start time on Fault]]-TA[[#This Row],[Fault Time]])*24</f>
        <v>-6.05</v>
      </c>
      <c r="AC1488" s="34">
        <f>(TA[[#This Row],[Work Completion time on fault]]-TA[[#This Row],[Fault Time]])*24</f>
        <v>12.2</v>
      </c>
      <c r="AD1488" s="35">
        <f>IFERROR((TA[[#This Row],[Work Completion time on fault]]-TA[[#This Row],[Fault Time]])*24,"")</f>
        <v>12.2</v>
      </c>
      <c r="AE1488" t="s">
        <v>328</v>
      </c>
      <c r="AF1488" t="s">
        <v>256</v>
      </c>
      <c r="AG1488" s="2"/>
      <c r="AH1488" s="44">
        <f>1-COS(RADIANS(TA[[#This Row],[Avg. Target Angle during Fault Time (Radians)]]-TA[[#This Row],[Angle of affected equipment ]]))</f>
        <v>0.11705240714107301</v>
      </c>
      <c r="AI1488" s="35">
        <f>IFERROR(TA[[#This Row],[Breakdown Time]]*TA[[#This Row],[Plant Equivalent Weightage]],"")</f>
        <v>0.10517241379310339</v>
      </c>
    </row>
    <row r="1489" spans="1:35">
      <c r="A1489" s="2">
        <f t="shared" si="176"/>
        <v>1486</v>
      </c>
      <c r="B1489" s="156">
        <f t="shared" si="181"/>
        <v>2026</v>
      </c>
      <c r="C1489" s="129">
        <f t="shared" si="182"/>
        <v>2025</v>
      </c>
      <c r="D1489" s="2" t="s">
        <v>155</v>
      </c>
      <c r="E1489" s="2" t="s">
        <v>155</v>
      </c>
      <c r="F1489" s="39">
        <v>45839</v>
      </c>
      <c r="G1489" s="2">
        <f>DAY(EOMONTH(TA[[#This Row],[Month Year]],0))</f>
        <v>31</v>
      </c>
      <c r="H1489" s="21">
        <v>45851</v>
      </c>
      <c r="I1489" s="41">
        <f>IFERROR(VLOOKUP(TA[[#This Row],[Date]],Raw_Data[[Date]:[Sunset Time (POA&lt;20 W/m2)]],3,0),"")</f>
        <v>0.25208333333333333</v>
      </c>
      <c r="J1489" s="41">
        <f>IFERROR(VLOOKUP(TA[[#This Row],[Date]],Raw_Data[[Date]:[Sunset Time (POA&lt;20 W/m2)]],4,0),"")</f>
        <v>0.78194444444444444</v>
      </c>
      <c r="K1489" s="35">
        <f>IFERROR((TA[[#This Row],[Sunset Time (POA&lt;20 W/m2)]]-TA[[#This Row],[Sunrise Time (POA&gt;20 W/m2)]])*24,"")</f>
        <v>12.716666666666667</v>
      </c>
      <c r="L1489" s="2" t="s">
        <v>294</v>
      </c>
      <c r="M1489" s="42">
        <f>IFERROR(VLOOKUP(TA[[#This Row],[Affected Equipment]],'Basic Data'!$I$2:$K$40,3,0),"")</f>
        <v>1.7241379310344799E-3</v>
      </c>
      <c r="N1489">
        <v>-28</v>
      </c>
      <c r="O1489" t="s">
        <v>133</v>
      </c>
      <c r="P1489" s="127" t="s">
        <v>316</v>
      </c>
      <c r="Q1489" s="126" t="s">
        <v>317</v>
      </c>
      <c r="R1489">
        <v>7</v>
      </c>
      <c r="S1489" s="2">
        <v>32</v>
      </c>
      <c r="T1489" t="s">
        <v>295</v>
      </c>
      <c r="U1489" t="s">
        <v>300</v>
      </c>
      <c r="V1489" t="s">
        <v>298</v>
      </c>
      <c r="W1489" s="41"/>
      <c r="X1489" s="41"/>
      <c r="Y1489" s="34"/>
      <c r="Z1489" s="34"/>
      <c r="AA1489" s="35">
        <f>IF(TA[[#This Row],[Work Start time on Fault]]="NA","",(TA[[#This Row],[Fault Acknowledgement Time ]]-TA[[#This Row],[Fault Time]])*24)</f>
        <v>0</v>
      </c>
      <c r="AB1489" s="35">
        <f>(TA[[#This Row],[Work Start time on Fault]]-TA[[#This Row],[Fault Time]])*24</f>
        <v>0</v>
      </c>
      <c r="AC1489" s="34">
        <f>(TA[[#This Row],[Work Completion time on fault]]-TA[[#This Row],[Fault Time]])*24</f>
        <v>0</v>
      </c>
      <c r="AD1489" s="35">
        <f>IFERROR((TA[[#This Row],[Work Completion time on fault]]-TA[[#This Row],[Fault Time]])*24,"")</f>
        <v>0</v>
      </c>
      <c r="AE1489" t="s">
        <v>328</v>
      </c>
      <c r="AF1489" t="s">
        <v>256</v>
      </c>
      <c r="AG1489" s="2"/>
      <c r="AH1489" s="44">
        <f>1-COS(RADIANS(TA[[#This Row],[Avg. Target Angle during Fault Time (Radians)]]-TA[[#This Row],[Angle of affected equipment ]]))</f>
        <v>0.11705240714107301</v>
      </c>
      <c r="AI1489" s="35">
        <f>IFERROR(TA[[#This Row],[Breakdown Time]]*TA[[#This Row],[Plant Equivalent Weightage]],"")</f>
        <v>0</v>
      </c>
    </row>
    <row r="1490" spans="1:35">
      <c r="A1490" s="2">
        <f t="shared" si="176"/>
        <v>1487</v>
      </c>
      <c r="B1490" s="156">
        <f t="shared" si="181"/>
        <v>2026</v>
      </c>
      <c r="C1490" s="129">
        <f t="shared" si="182"/>
        <v>2025</v>
      </c>
      <c r="D1490" s="2" t="s">
        <v>155</v>
      </c>
      <c r="E1490" s="2" t="s">
        <v>155</v>
      </c>
      <c r="F1490" s="39">
        <v>45839</v>
      </c>
      <c r="G1490" s="2">
        <f>DAY(EOMONTH(TA[[#This Row],[Month Year]],0))</f>
        <v>31</v>
      </c>
      <c r="H1490" s="21">
        <v>45851</v>
      </c>
      <c r="I1490" s="41">
        <f>IFERROR(VLOOKUP(TA[[#This Row],[Date]],Raw_Data[[Date]:[Sunset Time (POA&lt;20 W/m2)]],3,0),"")</f>
        <v>0.25208333333333333</v>
      </c>
      <c r="J1490" s="41">
        <f>IFERROR(VLOOKUP(TA[[#This Row],[Date]],Raw_Data[[Date]:[Sunset Time (POA&lt;20 W/m2)]],4,0),"")</f>
        <v>0.78194444444444444</v>
      </c>
      <c r="K1490" s="35">
        <f>IFERROR((TA[[#This Row],[Sunset Time (POA&lt;20 W/m2)]]-TA[[#This Row],[Sunrise Time (POA&gt;20 W/m2)]])*24,"")</f>
        <v>12.716666666666667</v>
      </c>
      <c r="L1490" s="2" t="s">
        <v>294</v>
      </c>
      <c r="M1490" s="42">
        <f>IFERROR(VLOOKUP(TA[[#This Row],[Affected Equipment]],'Basic Data'!$I$2:$K$40,3,0),"")</f>
        <v>1.7241379310344799E-3</v>
      </c>
      <c r="N1490">
        <v>-28</v>
      </c>
      <c r="O1490" t="s">
        <v>137</v>
      </c>
      <c r="P1490" s="127" t="s">
        <v>315</v>
      </c>
      <c r="Q1490" s="126" t="s">
        <v>319</v>
      </c>
      <c r="R1490">
        <v>166</v>
      </c>
      <c r="S1490" s="2">
        <v>91</v>
      </c>
      <c r="T1490" t="s">
        <v>295</v>
      </c>
      <c r="U1490" t="s">
        <v>300</v>
      </c>
      <c r="V1490" t="s">
        <v>298</v>
      </c>
      <c r="W1490" s="41"/>
      <c r="X1490" s="41"/>
      <c r="Y1490" s="34"/>
      <c r="Z1490" s="34"/>
      <c r="AA1490" s="35">
        <f>IF(TA[[#This Row],[Work Start time on Fault]]="NA","",(TA[[#This Row],[Fault Acknowledgement Time ]]-TA[[#This Row],[Fault Time]])*24)</f>
        <v>0</v>
      </c>
      <c r="AB1490" s="35">
        <f>(TA[[#This Row],[Work Start time on Fault]]-TA[[#This Row],[Fault Time]])*24</f>
        <v>0</v>
      </c>
      <c r="AC1490" s="34">
        <f>(TA[[#This Row],[Work Completion time on fault]]-TA[[#This Row],[Fault Time]])*24</f>
        <v>0</v>
      </c>
      <c r="AD1490" s="35">
        <f>IFERROR((TA[[#This Row],[Work Completion time on fault]]-TA[[#This Row],[Fault Time]])*24,"")</f>
        <v>0</v>
      </c>
      <c r="AE1490" t="s">
        <v>328</v>
      </c>
      <c r="AF1490" t="s">
        <v>256</v>
      </c>
      <c r="AG1490" s="2"/>
      <c r="AH1490" s="44">
        <f>1-COS(RADIANS(TA[[#This Row],[Avg. Target Angle during Fault Time (Radians)]]-TA[[#This Row],[Angle of affected equipment ]]))</f>
        <v>0.11705240714107301</v>
      </c>
      <c r="AI1490" s="35">
        <f>IFERROR(TA[[#This Row],[Breakdown Time]]*TA[[#This Row],[Plant Equivalent Weightage]],"")</f>
        <v>0</v>
      </c>
    </row>
    <row r="1491" spans="1:35">
      <c r="A1491" s="2">
        <f t="shared" si="176"/>
        <v>1488</v>
      </c>
      <c r="B1491" s="156">
        <f t="shared" si="181"/>
        <v>2026</v>
      </c>
      <c r="C1491" s="129">
        <f t="shared" si="182"/>
        <v>2025</v>
      </c>
      <c r="D1491" s="2" t="s">
        <v>155</v>
      </c>
      <c r="E1491" s="2" t="s">
        <v>155</v>
      </c>
      <c r="F1491" s="39">
        <v>45839</v>
      </c>
      <c r="G1491" s="2">
        <f>DAY(EOMONTH(TA[[#This Row],[Month Year]],0))</f>
        <v>31</v>
      </c>
      <c r="H1491" s="21">
        <v>45851</v>
      </c>
      <c r="I1491" s="41">
        <f>IFERROR(VLOOKUP(TA[[#This Row],[Date]],Raw_Data[[Date]:[Sunset Time (POA&lt;20 W/m2)]],3,0),"")</f>
        <v>0.25208333333333333</v>
      </c>
      <c r="J1491" s="41">
        <f>IFERROR(VLOOKUP(TA[[#This Row],[Date]],Raw_Data[[Date]:[Sunset Time (POA&lt;20 W/m2)]],4,0),"")</f>
        <v>0.78194444444444444</v>
      </c>
      <c r="K1491" s="35">
        <f>IFERROR((TA[[#This Row],[Sunset Time (POA&lt;20 W/m2)]]-TA[[#This Row],[Sunrise Time (POA&gt;20 W/m2)]])*24,"")</f>
        <v>12.716666666666667</v>
      </c>
      <c r="L1491" s="2" t="s">
        <v>294</v>
      </c>
      <c r="M1491" s="42">
        <f>IFERROR(VLOOKUP(TA[[#This Row],[Affected Equipment]],'Basic Data'!$I$2:$K$40,3,0),"")</f>
        <v>1.7241379310344799E-3</v>
      </c>
      <c r="N1491">
        <v>-28</v>
      </c>
      <c r="O1491" t="s">
        <v>133</v>
      </c>
      <c r="P1491" s="127" t="s">
        <v>316</v>
      </c>
      <c r="Q1491" s="126" t="s">
        <v>316</v>
      </c>
      <c r="R1491">
        <v>117</v>
      </c>
      <c r="S1491" s="2">
        <v>20</v>
      </c>
      <c r="T1491" t="s">
        <v>295</v>
      </c>
      <c r="U1491" t="s">
        <v>300</v>
      </c>
      <c r="V1491" t="s">
        <v>298</v>
      </c>
      <c r="W1491" s="41"/>
      <c r="X1491" s="41"/>
      <c r="Y1491" s="34"/>
      <c r="Z1491" s="34"/>
      <c r="AA1491" s="35">
        <f>IF(TA[[#This Row],[Work Start time on Fault]]="NA","",(TA[[#This Row],[Fault Acknowledgement Time ]]-TA[[#This Row],[Fault Time]])*24)</f>
        <v>0</v>
      </c>
      <c r="AB1491" s="35">
        <f>(TA[[#This Row],[Work Start time on Fault]]-TA[[#This Row],[Fault Time]])*24</f>
        <v>0</v>
      </c>
      <c r="AC1491" s="34">
        <f>(TA[[#This Row],[Work Completion time on fault]]-TA[[#This Row],[Fault Time]])*24</f>
        <v>0</v>
      </c>
      <c r="AD1491" s="35">
        <f>IFERROR((TA[[#This Row],[Work Completion time on fault]]-TA[[#This Row],[Fault Time]])*24,"")</f>
        <v>0</v>
      </c>
      <c r="AE1491" t="s">
        <v>328</v>
      </c>
      <c r="AF1491" t="s">
        <v>256</v>
      </c>
      <c r="AG1491" s="2"/>
      <c r="AH1491" s="44">
        <f>1-COS(RADIANS(TA[[#This Row],[Avg. Target Angle during Fault Time (Radians)]]-TA[[#This Row],[Angle of affected equipment ]]))</f>
        <v>0.11705240714107301</v>
      </c>
      <c r="AI1491" s="35">
        <f>IFERROR(TA[[#This Row],[Breakdown Time]]*TA[[#This Row],[Plant Equivalent Weightage]],"")</f>
        <v>0</v>
      </c>
    </row>
    <row r="1492" spans="1:35">
      <c r="A1492" s="2">
        <f t="shared" si="176"/>
        <v>1489</v>
      </c>
      <c r="B1492" s="156">
        <f t="shared" si="181"/>
        <v>2026</v>
      </c>
      <c r="C1492" s="129">
        <f t="shared" si="182"/>
        <v>2025</v>
      </c>
      <c r="D1492" s="2" t="s">
        <v>155</v>
      </c>
      <c r="E1492" s="2" t="s">
        <v>155</v>
      </c>
      <c r="F1492" s="39">
        <v>45839</v>
      </c>
      <c r="G1492" s="2">
        <f>DAY(EOMONTH(TA[[#This Row],[Month Year]],0))</f>
        <v>31</v>
      </c>
      <c r="H1492" s="21">
        <v>45851</v>
      </c>
      <c r="I1492" s="41">
        <f>IFERROR(VLOOKUP(TA[[#This Row],[Date]],Raw_Data[[Date]:[Sunset Time (POA&lt;20 W/m2)]],3,0),"")</f>
        <v>0.25208333333333333</v>
      </c>
      <c r="J1492" s="41">
        <f>IFERROR(VLOOKUP(TA[[#This Row],[Date]],Raw_Data[[Date]:[Sunset Time (POA&lt;20 W/m2)]],4,0),"")</f>
        <v>0.78194444444444444</v>
      </c>
      <c r="K1492" s="35">
        <f>IFERROR((TA[[#This Row],[Sunset Time (POA&lt;20 W/m2)]]-TA[[#This Row],[Sunrise Time (POA&gt;20 W/m2)]])*24,"")</f>
        <v>12.716666666666667</v>
      </c>
      <c r="L1492" s="2" t="s">
        <v>294</v>
      </c>
      <c r="M1492" s="42">
        <f>IFERROR(VLOOKUP(TA[[#This Row],[Affected Equipment]],'Basic Data'!$I$2:$K$40,3,0),"")</f>
        <v>1.7241379310344799E-3</v>
      </c>
      <c r="N1492">
        <v>-28</v>
      </c>
      <c r="O1492" t="s">
        <v>133</v>
      </c>
      <c r="P1492" s="127" t="s">
        <v>316</v>
      </c>
      <c r="Q1492" s="126" t="s">
        <v>316</v>
      </c>
      <c r="R1492">
        <v>118</v>
      </c>
      <c r="S1492" s="2">
        <v>22</v>
      </c>
      <c r="T1492" t="s">
        <v>295</v>
      </c>
      <c r="U1492" t="s">
        <v>300</v>
      </c>
      <c r="V1492" t="s">
        <v>298</v>
      </c>
      <c r="W1492" s="41"/>
      <c r="X1492" s="41"/>
      <c r="Y1492" s="34"/>
      <c r="Z1492" s="34"/>
      <c r="AA1492" s="35">
        <f>IF(TA[[#This Row],[Work Start time on Fault]]="NA","",(TA[[#This Row],[Fault Acknowledgement Time ]]-TA[[#This Row],[Fault Time]])*24)</f>
        <v>0</v>
      </c>
      <c r="AB1492" s="35">
        <f>(TA[[#This Row],[Work Start time on Fault]]-TA[[#This Row],[Fault Time]])*24</f>
        <v>0</v>
      </c>
      <c r="AC1492" s="34">
        <f>(TA[[#This Row],[Work Completion time on fault]]-TA[[#This Row],[Fault Time]])*24</f>
        <v>0</v>
      </c>
      <c r="AD1492" s="35">
        <f>IFERROR((TA[[#This Row],[Work Completion time on fault]]-TA[[#This Row],[Fault Time]])*24,"")</f>
        <v>0</v>
      </c>
      <c r="AE1492" t="s">
        <v>328</v>
      </c>
      <c r="AF1492" t="s">
        <v>256</v>
      </c>
      <c r="AG1492" s="2"/>
      <c r="AH1492" s="44">
        <f>1-COS(RADIANS(TA[[#This Row],[Avg. Target Angle during Fault Time (Radians)]]-TA[[#This Row],[Angle of affected equipment ]]))</f>
        <v>0.11705240714107301</v>
      </c>
      <c r="AI1492" s="35">
        <f>IFERROR(TA[[#This Row],[Breakdown Time]]*TA[[#This Row],[Plant Equivalent Weightage]],"")</f>
        <v>0</v>
      </c>
    </row>
    <row r="1493" spans="1:35">
      <c r="A1493" s="2">
        <f t="shared" si="176"/>
        <v>1490</v>
      </c>
      <c r="B1493" s="156">
        <f t="shared" si="181"/>
        <v>2026</v>
      </c>
      <c r="C1493" s="129">
        <f t="shared" si="182"/>
        <v>2025</v>
      </c>
      <c r="D1493" s="2" t="s">
        <v>155</v>
      </c>
      <c r="E1493" s="2" t="s">
        <v>155</v>
      </c>
      <c r="F1493" s="39">
        <v>45839</v>
      </c>
      <c r="G1493" s="2">
        <f>DAY(EOMONTH(TA[[#This Row],[Month Year]],0))</f>
        <v>31</v>
      </c>
      <c r="H1493" s="21">
        <v>45851</v>
      </c>
      <c r="I1493" s="41">
        <f>IFERROR(VLOOKUP(TA[[#This Row],[Date]],Raw_Data[[Date]:[Sunset Time (POA&lt;20 W/m2)]],3,0),"")</f>
        <v>0.25208333333333333</v>
      </c>
      <c r="J1493" s="41">
        <f>IFERROR(VLOOKUP(TA[[#This Row],[Date]],Raw_Data[[Date]:[Sunset Time (POA&lt;20 W/m2)]],4,0),"")</f>
        <v>0.78194444444444444</v>
      </c>
      <c r="K1493" s="35">
        <f>IFERROR((TA[[#This Row],[Sunset Time (POA&lt;20 W/m2)]]-TA[[#This Row],[Sunrise Time (POA&gt;20 W/m2)]])*24,"")</f>
        <v>12.716666666666667</v>
      </c>
      <c r="L1493" s="2" t="s">
        <v>296</v>
      </c>
      <c r="M1493" s="42">
        <f>IFERROR(VLOOKUP(TA[[#This Row],[Affected Equipment]],'Basic Data'!$I$2:$K$40,3,0),"")</f>
        <v>8.6206896551724102E-3</v>
      </c>
      <c r="N1493">
        <v>-28</v>
      </c>
      <c r="O1493" t="s">
        <v>135</v>
      </c>
      <c r="P1493" s="22" t="s">
        <v>323</v>
      </c>
      <c r="Q1493" s="2" t="s">
        <v>329</v>
      </c>
      <c r="R1493">
        <v>45</v>
      </c>
      <c r="S1493" s="2">
        <v>8</v>
      </c>
      <c r="T1493" t="s">
        <v>297</v>
      </c>
      <c r="U1493" t="s">
        <v>300</v>
      </c>
      <c r="V1493" t="s">
        <v>301</v>
      </c>
      <c r="W1493" s="41"/>
      <c r="X1493" s="41"/>
      <c r="Y1493" s="34"/>
      <c r="Z1493" s="34"/>
      <c r="AA1493" s="35">
        <f>IF(TA[[#This Row],[Work Start time on Fault]]="NA","",(TA[[#This Row],[Fault Acknowledgement Time ]]-TA[[#This Row],[Fault Time]])*24)</f>
        <v>0</v>
      </c>
      <c r="AB1493" s="35">
        <f>(TA[[#This Row],[Work Start time on Fault]]-TA[[#This Row],[Fault Time]])*24</f>
        <v>0</v>
      </c>
      <c r="AC1493" s="34">
        <f>(TA[[#This Row],[Work Completion time on fault]]-TA[[#This Row],[Fault Time]])*24</f>
        <v>0</v>
      </c>
      <c r="AD1493" s="35">
        <f>IFERROR((TA[[#This Row],[Work Completion time on fault]]-TA[[#This Row],[Fault Time]])*24,"")</f>
        <v>0</v>
      </c>
      <c r="AE1493" t="s">
        <v>328</v>
      </c>
      <c r="AF1493" t="s">
        <v>256</v>
      </c>
      <c r="AG1493" s="2"/>
      <c r="AH1493" s="44">
        <f>1-COS(RADIANS(TA[[#This Row],[Avg. Target Angle during Fault Time (Radians)]]-TA[[#This Row],[Angle of affected equipment ]]))</f>
        <v>0.11705240714107301</v>
      </c>
      <c r="AI1493" s="35">
        <f>IFERROR(TA[[#This Row],[Breakdown Time]]*TA[[#This Row],[Plant Equivalent Weightage]],"")</f>
        <v>0</v>
      </c>
    </row>
    <row r="1494" spans="1:35">
      <c r="A1494" s="2">
        <f t="shared" si="176"/>
        <v>1491</v>
      </c>
      <c r="B1494" s="156">
        <f t="shared" si="181"/>
        <v>2026</v>
      </c>
      <c r="C1494" s="129">
        <f t="shared" si="182"/>
        <v>2025</v>
      </c>
      <c r="D1494" s="2" t="s">
        <v>155</v>
      </c>
      <c r="E1494" s="2" t="s">
        <v>155</v>
      </c>
      <c r="F1494" s="39">
        <v>45839</v>
      </c>
      <c r="G1494" s="2">
        <f>DAY(EOMONTH(TA[[#This Row],[Month Year]],0))</f>
        <v>31</v>
      </c>
      <c r="H1494" s="21">
        <v>45851</v>
      </c>
      <c r="I1494" s="41">
        <f>IFERROR(VLOOKUP(TA[[#This Row],[Date]],Raw_Data[[Date]:[Sunset Time (POA&lt;20 W/m2)]],3,0),"")</f>
        <v>0.25208333333333333</v>
      </c>
      <c r="J1494" s="41">
        <f>IFERROR(VLOOKUP(TA[[#This Row],[Date]],Raw_Data[[Date]:[Sunset Time (POA&lt;20 W/m2)]],4,0),"")</f>
        <v>0.78194444444444444</v>
      </c>
      <c r="K1494" s="35">
        <f>IFERROR((TA[[#This Row],[Sunset Time (POA&lt;20 W/m2)]]-TA[[#This Row],[Sunrise Time (POA&gt;20 W/m2)]])*24,"")</f>
        <v>12.716666666666667</v>
      </c>
      <c r="L1494" s="2" t="s">
        <v>296</v>
      </c>
      <c r="M1494" s="42">
        <f>IFERROR(VLOOKUP(TA[[#This Row],[Affected Equipment]],'Basic Data'!$I$2:$K$40,3,0),"")</f>
        <v>8.6206896551724102E-3</v>
      </c>
      <c r="N1494">
        <v>-28</v>
      </c>
      <c r="O1494" t="s">
        <v>135</v>
      </c>
      <c r="P1494" s="22" t="s">
        <v>323</v>
      </c>
      <c r="Q1494" s="2" t="s">
        <v>329</v>
      </c>
      <c r="R1494">
        <v>47</v>
      </c>
      <c r="S1494" s="2">
        <v>18</v>
      </c>
      <c r="T1494" t="s">
        <v>297</v>
      </c>
      <c r="U1494" t="s">
        <v>300</v>
      </c>
      <c r="V1494" t="s">
        <v>301</v>
      </c>
      <c r="W1494" s="41"/>
      <c r="X1494" s="41"/>
      <c r="Y1494" s="34"/>
      <c r="Z1494" s="34"/>
      <c r="AA1494" s="35">
        <f>IF(TA[[#This Row],[Work Start time on Fault]]="NA","",(TA[[#This Row],[Fault Acknowledgement Time ]]-TA[[#This Row],[Fault Time]])*24)</f>
        <v>0</v>
      </c>
      <c r="AB1494" s="35">
        <f>(TA[[#This Row],[Work Start time on Fault]]-TA[[#This Row],[Fault Time]])*24</f>
        <v>0</v>
      </c>
      <c r="AC1494" s="34">
        <f>(TA[[#This Row],[Work Completion time on fault]]-TA[[#This Row],[Fault Time]])*24</f>
        <v>0</v>
      </c>
      <c r="AD1494" s="35">
        <f>IFERROR((TA[[#This Row],[Work Completion time on fault]]-TA[[#This Row],[Fault Time]])*24,"")</f>
        <v>0</v>
      </c>
      <c r="AE1494" t="s">
        <v>328</v>
      </c>
      <c r="AF1494" t="s">
        <v>256</v>
      </c>
      <c r="AG1494" s="2"/>
      <c r="AH1494" s="44">
        <f>1-COS(RADIANS(TA[[#This Row],[Avg. Target Angle during Fault Time (Radians)]]-TA[[#This Row],[Angle of affected equipment ]]))</f>
        <v>0.11705240714107301</v>
      </c>
      <c r="AI1494" s="35">
        <f>IFERROR(TA[[#This Row],[Breakdown Time]]*TA[[#This Row],[Plant Equivalent Weightage]],"")</f>
        <v>0</v>
      </c>
    </row>
    <row r="1495" spans="1:35">
      <c r="A1495" s="2">
        <f t="shared" si="176"/>
        <v>1492</v>
      </c>
      <c r="B1495" s="156">
        <f t="shared" si="181"/>
        <v>2026</v>
      </c>
      <c r="C1495" s="129">
        <f t="shared" si="182"/>
        <v>2025</v>
      </c>
      <c r="D1495" s="2" t="s">
        <v>155</v>
      </c>
      <c r="E1495" s="2" t="s">
        <v>155</v>
      </c>
      <c r="F1495" s="39">
        <v>45839</v>
      </c>
      <c r="G1495" s="2">
        <f>DAY(EOMONTH(TA[[#This Row],[Month Year]],0))</f>
        <v>31</v>
      </c>
      <c r="H1495" s="21">
        <v>45851</v>
      </c>
      <c r="I1495" s="41">
        <f>IFERROR(VLOOKUP(TA[[#This Row],[Date]],Raw_Data[[Date]:[Sunset Time (POA&lt;20 W/m2)]],3,0),"")</f>
        <v>0.25208333333333333</v>
      </c>
      <c r="J1495" s="41">
        <f>IFERROR(VLOOKUP(TA[[#This Row],[Date]],Raw_Data[[Date]:[Sunset Time (POA&lt;20 W/m2)]],4,0),"")</f>
        <v>0.78194444444444444</v>
      </c>
      <c r="K1495" s="35">
        <f>IFERROR((TA[[#This Row],[Sunset Time (POA&lt;20 W/m2)]]-TA[[#This Row],[Sunrise Time (POA&gt;20 W/m2)]])*24,"")</f>
        <v>12.716666666666667</v>
      </c>
      <c r="L1495" s="2" t="s">
        <v>296</v>
      </c>
      <c r="M1495" s="42">
        <f>IFERROR(VLOOKUP(TA[[#This Row],[Affected Equipment]],'Basic Data'!$I$2:$K$40,3,0),"")</f>
        <v>8.6206896551724102E-3</v>
      </c>
      <c r="N1495">
        <v>-28</v>
      </c>
      <c r="O1495" t="s">
        <v>134</v>
      </c>
      <c r="P1495" s="22" t="s">
        <v>330</v>
      </c>
      <c r="Q1495" s="2" t="s">
        <v>323</v>
      </c>
      <c r="R1495">
        <v>30</v>
      </c>
      <c r="S1495" s="2">
        <v>57</v>
      </c>
      <c r="T1495" t="s">
        <v>297</v>
      </c>
      <c r="U1495" t="s">
        <v>300</v>
      </c>
      <c r="V1495" t="s">
        <v>301</v>
      </c>
      <c r="W1495" s="41"/>
      <c r="X1495" s="41"/>
      <c r="Y1495" s="34"/>
      <c r="Z1495" s="34"/>
      <c r="AA1495" s="35">
        <f>IF(TA[[#This Row],[Work Start time on Fault]]="NA","",(TA[[#This Row],[Fault Acknowledgement Time ]]-TA[[#This Row],[Fault Time]])*24)</f>
        <v>0</v>
      </c>
      <c r="AB1495" s="35">
        <f>(TA[[#This Row],[Work Start time on Fault]]-TA[[#This Row],[Fault Time]])*24</f>
        <v>0</v>
      </c>
      <c r="AC1495" s="34">
        <f>(TA[[#This Row],[Work Completion time on fault]]-TA[[#This Row],[Fault Time]])*24</f>
        <v>0</v>
      </c>
      <c r="AD1495" s="35">
        <f>IFERROR((TA[[#This Row],[Work Completion time on fault]]-TA[[#This Row],[Fault Time]])*24,"")</f>
        <v>0</v>
      </c>
      <c r="AE1495" t="s">
        <v>328</v>
      </c>
      <c r="AF1495" t="s">
        <v>256</v>
      </c>
      <c r="AG1495" s="2"/>
      <c r="AH1495" s="44">
        <f>1-COS(RADIANS(TA[[#This Row],[Avg. Target Angle during Fault Time (Radians)]]-TA[[#This Row],[Angle of affected equipment ]]))</f>
        <v>0.11705240714107301</v>
      </c>
      <c r="AI1495" s="35">
        <f>IFERROR(TA[[#This Row],[Breakdown Time]]*TA[[#This Row],[Plant Equivalent Weightage]],"")</f>
        <v>0</v>
      </c>
    </row>
    <row r="1496" spans="1:35">
      <c r="A1496" s="2">
        <f t="shared" si="176"/>
        <v>1493</v>
      </c>
      <c r="B1496" s="156">
        <f t="shared" si="181"/>
        <v>2026</v>
      </c>
      <c r="C1496" s="129">
        <f t="shared" si="182"/>
        <v>2025</v>
      </c>
      <c r="D1496" s="2" t="s">
        <v>155</v>
      </c>
      <c r="E1496" s="2" t="s">
        <v>155</v>
      </c>
      <c r="F1496" s="39">
        <v>45839</v>
      </c>
      <c r="G1496" s="2">
        <f>DAY(EOMONTH(TA[[#This Row],[Month Year]],0))</f>
        <v>31</v>
      </c>
      <c r="H1496" s="21">
        <v>45851</v>
      </c>
      <c r="I1496" s="41">
        <f>IFERROR(VLOOKUP(TA[[#This Row],[Date]],Raw_Data[[Date]:[Sunset Time (POA&lt;20 W/m2)]],3,0),"")</f>
        <v>0.25208333333333333</v>
      </c>
      <c r="J1496" s="41">
        <f>IFERROR(VLOOKUP(TA[[#This Row],[Date]],Raw_Data[[Date]:[Sunset Time (POA&lt;20 W/m2)]],4,0),"")</f>
        <v>0.78194444444444444</v>
      </c>
      <c r="K1496" s="35">
        <f>IFERROR((TA[[#This Row],[Sunset Time (POA&lt;20 W/m2)]]-TA[[#This Row],[Sunrise Time (POA&gt;20 W/m2)]])*24,"")</f>
        <v>12.716666666666667</v>
      </c>
      <c r="L1496" s="2" t="s">
        <v>296</v>
      </c>
      <c r="M1496" s="42">
        <f>IFERROR(VLOOKUP(TA[[#This Row],[Affected Equipment]],'Basic Data'!$I$2:$K$40,3,0),"")</f>
        <v>8.6206896551724102E-3</v>
      </c>
      <c r="N1496">
        <v>-28</v>
      </c>
      <c r="O1496" t="s">
        <v>134</v>
      </c>
      <c r="P1496" s="22" t="s">
        <v>330</v>
      </c>
      <c r="Q1496" s="2" t="s">
        <v>323</v>
      </c>
      <c r="R1496">
        <v>31</v>
      </c>
      <c r="S1496" s="2">
        <v>61</v>
      </c>
      <c r="T1496" t="s">
        <v>297</v>
      </c>
      <c r="U1496" t="s">
        <v>300</v>
      </c>
      <c r="V1496" t="s">
        <v>301</v>
      </c>
      <c r="W1496" s="41"/>
      <c r="X1496" s="41"/>
      <c r="Y1496" s="34"/>
      <c r="Z1496" s="34"/>
      <c r="AA1496" s="35">
        <f>IF(TA[[#This Row],[Work Start time on Fault]]="NA","",(TA[[#This Row],[Fault Acknowledgement Time ]]-TA[[#This Row],[Fault Time]])*24)</f>
        <v>0</v>
      </c>
      <c r="AB1496" s="35">
        <f>(TA[[#This Row],[Work Start time on Fault]]-TA[[#This Row],[Fault Time]])*24</f>
        <v>0</v>
      </c>
      <c r="AC1496" s="34">
        <f>(TA[[#This Row],[Work Completion time on fault]]-TA[[#This Row],[Fault Time]])*24</f>
        <v>0</v>
      </c>
      <c r="AD1496" s="35">
        <f>IFERROR((TA[[#This Row],[Work Completion time on fault]]-TA[[#This Row],[Fault Time]])*24,"")</f>
        <v>0</v>
      </c>
      <c r="AE1496" t="s">
        <v>328</v>
      </c>
      <c r="AF1496" t="s">
        <v>256</v>
      </c>
      <c r="AG1496" s="2"/>
      <c r="AH1496" s="44">
        <f>1-COS(RADIANS(TA[[#This Row],[Avg. Target Angle during Fault Time (Radians)]]-TA[[#This Row],[Angle of affected equipment ]]))</f>
        <v>0.11705240714107301</v>
      </c>
      <c r="AI1496" s="35">
        <f>IFERROR(TA[[#This Row],[Breakdown Time]]*TA[[#This Row],[Plant Equivalent Weightage]],"")</f>
        <v>0</v>
      </c>
    </row>
    <row r="1497" spans="1:35">
      <c r="A1497" s="2">
        <f t="shared" si="176"/>
        <v>1494</v>
      </c>
      <c r="B1497" s="156">
        <f t="shared" si="181"/>
        <v>2026</v>
      </c>
      <c r="C1497" s="129">
        <f t="shared" si="182"/>
        <v>2025</v>
      </c>
      <c r="D1497" s="2" t="s">
        <v>155</v>
      </c>
      <c r="E1497" s="2" t="s">
        <v>155</v>
      </c>
      <c r="F1497" s="39">
        <v>45839</v>
      </c>
      <c r="G1497" s="2">
        <f>DAY(EOMONTH(TA[[#This Row],[Month Year]],0))</f>
        <v>31</v>
      </c>
      <c r="H1497" s="21">
        <v>45851</v>
      </c>
      <c r="I1497" s="41">
        <f>IFERROR(VLOOKUP(TA[[#This Row],[Date]],Raw_Data[[Date]:[Sunset Time (POA&lt;20 W/m2)]],3,0),"")</f>
        <v>0.25208333333333333</v>
      </c>
      <c r="J1497" s="41">
        <f>IFERROR(VLOOKUP(TA[[#This Row],[Date]],Raw_Data[[Date]:[Sunset Time (POA&lt;20 W/m2)]],4,0),"")</f>
        <v>0.78194444444444444</v>
      </c>
      <c r="K1497" s="35">
        <f>IFERROR((TA[[#This Row],[Sunset Time (POA&lt;20 W/m2)]]-TA[[#This Row],[Sunrise Time (POA&gt;20 W/m2)]])*24,"")</f>
        <v>12.716666666666667</v>
      </c>
      <c r="L1497" s="2" t="s">
        <v>312</v>
      </c>
      <c r="M1497" s="42">
        <f>IFERROR(VLOOKUP(TA[[#This Row],[Affected Equipment]],'Basic Data'!$I$2:$K$40,3,0),"")</f>
        <v>5.74712643678161E-3</v>
      </c>
      <c r="N1497">
        <v>-28</v>
      </c>
      <c r="O1497" t="s">
        <v>133</v>
      </c>
      <c r="P1497" s="22" t="s">
        <v>330</v>
      </c>
      <c r="Q1497" s="2" t="s">
        <v>323</v>
      </c>
      <c r="R1497">
        <v>26</v>
      </c>
      <c r="S1497" s="2">
        <v>37</v>
      </c>
      <c r="T1497" t="s">
        <v>297</v>
      </c>
      <c r="U1497" t="s">
        <v>300</v>
      </c>
      <c r="V1497" t="s">
        <v>301</v>
      </c>
      <c r="W1497" s="41"/>
      <c r="X1497" s="41"/>
      <c r="Y1497" s="34"/>
      <c r="Z1497" s="34"/>
      <c r="AA1497" s="35">
        <f>IF(TA[[#This Row],[Work Start time on Fault]]="NA","",(TA[[#This Row],[Fault Acknowledgement Time ]]-TA[[#This Row],[Fault Time]])*24)</f>
        <v>0</v>
      </c>
      <c r="AB1497" s="35">
        <f>(TA[[#This Row],[Work Start time on Fault]]-TA[[#This Row],[Fault Time]])*24</f>
        <v>0</v>
      </c>
      <c r="AC1497" s="34">
        <f>(TA[[#This Row],[Work Completion time on fault]]-TA[[#This Row],[Fault Time]])*24</f>
        <v>0</v>
      </c>
      <c r="AD1497" s="35">
        <f>IFERROR((TA[[#This Row],[Work Completion time on fault]]-TA[[#This Row],[Fault Time]])*24,"")</f>
        <v>0</v>
      </c>
      <c r="AE1497" t="s">
        <v>328</v>
      </c>
      <c r="AF1497" t="s">
        <v>256</v>
      </c>
      <c r="AG1497" s="2"/>
      <c r="AH1497" s="44">
        <f>1-COS(RADIANS(TA[[#This Row],[Avg. Target Angle during Fault Time (Radians)]]-TA[[#This Row],[Angle of affected equipment ]]))</f>
        <v>0.11705240714107301</v>
      </c>
      <c r="AI1497" s="35">
        <f>IFERROR(TA[[#This Row],[Breakdown Time]]*TA[[#This Row],[Plant Equivalent Weightage]],"")</f>
        <v>0</v>
      </c>
    </row>
    <row r="1498" spans="1:35">
      <c r="A1498" s="2">
        <f t="shared" si="176"/>
        <v>1495</v>
      </c>
      <c r="B1498" s="156">
        <f t="shared" si="181"/>
        <v>2026</v>
      </c>
      <c r="C1498" s="129">
        <f t="shared" si="182"/>
        <v>2025</v>
      </c>
      <c r="D1498" s="2" t="s">
        <v>155</v>
      </c>
      <c r="E1498" s="2" t="s">
        <v>155</v>
      </c>
      <c r="F1498" s="39">
        <v>45839</v>
      </c>
      <c r="G1498" s="2">
        <f>DAY(EOMONTH(TA[[#This Row],[Month Year]],0))</f>
        <v>31</v>
      </c>
      <c r="H1498" s="21">
        <v>45851</v>
      </c>
      <c r="I1498" s="41">
        <f>IFERROR(VLOOKUP(TA[[#This Row],[Date]],Raw_Data[[Date]:[Sunset Time (POA&lt;20 W/m2)]],3,0),"")</f>
        <v>0.25208333333333333</v>
      </c>
      <c r="J1498" s="41">
        <f>IFERROR(VLOOKUP(TA[[#This Row],[Date]],Raw_Data[[Date]:[Sunset Time (POA&lt;20 W/m2)]],4,0),"")</f>
        <v>0.78194444444444444</v>
      </c>
      <c r="K1498" s="35">
        <f>IFERROR((TA[[#This Row],[Sunset Time (POA&lt;20 W/m2)]]-TA[[#This Row],[Sunrise Time (POA&gt;20 W/m2)]])*24,"")</f>
        <v>12.716666666666667</v>
      </c>
      <c r="L1498" s="2" t="s">
        <v>312</v>
      </c>
      <c r="M1498" s="42">
        <f>IFERROR(VLOOKUP(TA[[#This Row],[Affected Equipment]],'Basic Data'!$I$2:$K$40,3,0),"")</f>
        <v>5.74712643678161E-3</v>
      </c>
      <c r="N1498">
        <v>-28</v>
      </c>
      <c r="O1498" t="s">
        <v>133</v>
      </c>
      <c r="P1498" s="22" t="s">
        <v>330</v>
      </c>
      <c r="Q1498" s="2" t="s">
        <v>323</v>
      </c>
      <c r="R1498">
        <v>27</v>
      </c>
      <c r="S1498" s="2">
        <v>42</v>
      </c>
      <c r="T1498" t="s">
        <v>297</v>
      </c>
      <c r="U1498" t="s">
        <v>300</v>
      </c>
      <c r="V1498" t="s">
        <v>301</v>
      </c>
      <c r="W1498" s="41">
        <f>IFERROR(VLOOKUP(TA[[#This Row],[Date]],Raw_Data[[Date]:[Sunset Time (POA&lt;20 W/m2)]],3,0),"")</f>
        <v>0.25208333333333333</v>
      </c>
      <c r="X1498" s="41">
        <f>IFERROR(VLOOKUP(TA[[#This Row],[Date]],Raw_Data[[Date]:[Sunset Time (POA&lt;20 W/m2)]],3,0),"")</f>
        <v>0.25208333333333333</v>
      </c>
      <c r="Y1498" s="34"/>
      <c r="Z1498" s="34">
        <v>0.76041666666666663</v>
      </c>
      <c r="AA1498" s="35">
        <f>IF(TA[[#This Row],[Work Start time on Fault]]="NA","",(TA[[#This Row],[Fault Acknowledgement Time ]]-TA[[#This Row],[Fault Time]])*24)</f>
        <v>0</v>
      </c>
      <c r="AB1498" s="35">
        <f>(TA[[#This Row],[Work Start time on Fault]]-TA[[#This Row],[Fault Time]])*24</f>
        <v>-6.05</v>
      </c>
      <c r="AC1498" s="34">
        <f>(TA[[#This Row],[Work Completion time on fault]]-TA[[#This Row],[Fault Time]])*24</f>
        <v>12.2</v>
      </c>
      <c r="AD1498" s="35">
        <f>IFERROR((TA[[#This Row],[Work Completion time on fault]]-TA[[#This Row],[Fault Time]])*24,"")</f>
        <v>12.2</v>
      </c>
      <c r="AE1498" t="s">
        <v>309</v>
      </c>
      <c r="AF1498" t="s">
        <v>256</v>
      </c>
      <c r="AG1498" s="2"/>
      <c r="AH1498" s="44">
        <f>1-COS(RADIANS(TA[[#This Row],[Avg. Target Angle during Fault Time (Radians)]]-TA[[#This Row],[Angle of affected equipment ]]))</f>
        <v>0.11705240714107301</v>
      </c>
      <c r="AI1498" s="35">
        <f>IFERROR(TA[[#This Row],[Breakdown Time]]*TA[[#This Row],[Plant Equivalent Weightage]],"")</f>
        <v>7.0114942528735638E-2</v>
      </c>
    </row>
    <row r="1499" spans="1:35">
      <c r="A1499" s="2">
        <f t="shared" si="176"/>
        <v>1496</v>
      </c>
      <c r="B1499" s="156">
        <f t="shared" ref="B1499:B1511" si="183">YEAR(H1499)+IF(MONTH(H1499)&gt;=4,1,0)</f>
        <v>2026</v>
      </c>
      <c r="C1499" s="129">
        <f t="shared" ref="C1499:C1511" si="184">YEAR(H1499)</f>
        <v>2025</v>
      </c>
      <c r="D1499" s="2" t="s">
        <v>155</v>
      </c>
      <c r="E1499" s="2" t="s">
        <v>155</v>
      </c>
      <c r="F1499" s="39">
        <v>45839</v>
      </c>
      <c r="G1499" s="2">
        <f>DAY(EOMONTH(TA[[#This Row],[Month Year]],0))</f>
        <v>31</v>
      </c>
      <c r="H1499" s="21">
        <v>45852</v>
      </c>
      <c r="I1499" s="41">
        <f>IFERROR(VLOOKUP(TA[[#This Row],[Date]],Raw_Data[[Date]:[Sunset Time (POA&lt;20 W/m2)]],3,0),"")</f>
        <v>0.25208333333333333</v>
      </c>
      <c r="J1499" s="41">
        <f>IFERROR(VLOOKUP(TA[[#This Row],[Date]],Raw_Data[[Date]:[Sunset Time (POA&lt;20 W/m2)]],4,0),"")</f>
        <v>0.78333333333333333</v>
      </c>
      <c r="K1499" s="35">
        <f>IFERROR((TA[[#This Row],[Sunset Time (POA&lt;20 W/m2)]]-TA[[#This Row],[Sunrise Time (POA&gt;20 W/m2)]])*24,"")</f>
        <v>12.75</v>
      </c>
      <c r="L1499" s="2" t="s">
        <v>294</v>
      </c>
      <c r="M1499" s="42">
        <f>IFERROR(VLOOKUP(TA[[#This Row],[Affected Equipment]],'Basic Data'!$I$2:$K$40,3,0),"")</f>
        <v>1.7241379310344799E-3</v>
      </c>
      <c r="N1499">
        <v>-28</v>
      </c>
      <c r="O1499" t="s">
        <v>135</v>
      </c>
      <c r="P1499" s="127" t="s">
        <v>318</v>
      </c>
      <c r="Q1499" s="126" t="s">
        <v>318</v>
      </c>
      <c r="R1499">
        <v>131</v>
      </c>
      <c r="S1499" s="2">
        <v>38</v>
      </c>
      <c r="T1499" t="s">
        <v>295</v>
      </c>
      <c r="U1499" t="s">
        <v>300</v>
      </c>
      <c r="V1499" t="s">
        <v>298</v>
      </c>
      <c r="W1499" s="41"/>
      <c r="X1499" s="41"/>
      <c r="Y1499" s="34"/>
      <c r="Z1499" s="34"/>
      <c r="AA1499" s="35">
        <f>IF(TA[[#This Row],[Work Start time on Fault]]="NA","",(TA[[#This Row],[Fault Acknowledgement Time ]]-TA[[#This Row],[Fault Time]])*24)</f>
        <v>0</v>
      </c>
      <c r="AB1499" s="35">
        <f>(TA[[#This Row],[Work Start time on Fault]]-TA[[#This Row],[Fault Time]])*24</f>
        <v>0</v>
      </c>
      <c r="AC1499" s="34">
        <f>(TA[[#This Row],[Work Completion time on fault]]-TA[[#This Row],[Fault Time]])*24</f>
        <v>0</v>
      </c>
      <c r="AD1499" s="35">
        <f>IFERROR((TA[[#This Row],[Work Completion time on fault]]-TA[[#This Row],[Fault Time]])*24,"")</f>
        <v>0</v>
      </c>
      <c r="AE1499" t="s">
        <v>328</v>
      </c>
      <c r="AF1499" t="s">
        <v>256</v>
      </c>
      <c r="AG1499" s="2"/>
      <c r="AH1499" s="44">
        <f>1-COS(RADIANS(TA[[#This Row],[Avg. Target Angle during Fault Time (Radians)]]-TA[[#This Row],[Angle of affected equipment ]]))</f>
        <v>0.11705240714107301</v>
      </c>
      <c r="AI1499" s="35">
        <f>IFERROR(TA[[#This Row],[Breakdown Time]]*TA[[#This Row],[Plant Equivalent Weightage]],"")</f>
        <v>0</v>
      </c>
    </row>
    <row r="1500" spans="1:35">
      <c r="A1500" s="2">
        <f t="shared" si="176"/>
        <v>1497</v>
      </c>
      <c r="B1500" s="156">
        <f t="shared" si="183"/>
        <v>2026</v>
      </c>
      <c r="C1500" s="129">
        <f t="shared" si="184"/>
        <v>2025</v>
      </c>
      <c r="D1500" s="2" t="s">
        <v>155</v>
      </c>
      <c r="E1500" s="2" t="s">
        <v>155</v>
      </c>
      <c r="F1500" s="39">
        <v>45839</v>
      </c>
      <c r="G1500" s="2">
        <f>DAY(EOMONTH(TA[[#This Row],[Month Year]],0))</f>
        <v>31</v>
      </c>
      <c r="H1500" s="21">
        <v>45852</v>
      </c>
      <c r="I1500" s="41">
        <f>IFERROR(VLOOKUP(TA[[#This Row],[Date]],Raw_Data[[Date]:[Sunset Time (POA&lt;20 W/m2)]],3,0),"")</f>
        <v>0.25208333333333333</v>
      </c>
      <c r="J1500" s="41">
        <f>IFERROR(VLOOKUP(TA[[#This Row],[Date]],Raw_Data[[Date]:[Sunset Time (POA&lt;20 W/m2)]],4,0),"")</f>
        <v>0.78333333333333333</v>
      </c>
      <c r="K1500" s="35">
        <f>IFERROR((TA[[#This Row],[Sunset Time (POA&lt;20 W/m2)]]-TA[[#This Row],[Sunrise Time (POA&gt;20 W/m2)]])*24,"")</f>
        <v>12.75</v>
      </c>
      <c r="L1500" s="2" t="s">
        <v>294</v>
      </c>
      <c r="M1500" s="42">
        <f>IFERROR(VLOOKUP(TA[[#This Row],[Affected Equipment]],'Basic Data'!$I$2:$K$40,3,0),"")</f>
        <v>1.7241379310344799E-3</v>
      </c>
      <c r="N1500">
        <v>-28</v>
      </c>
      <c r="O1500" t="s">
        <v>135</v>
      </c>
      <c r="P1500" s="127" t="s">
        <v>318</v>
      </c>
      <c r="Q1500" s="126" t="s">
        <v>318</v>
      </c>
      <c r="R1500">
        <v>131</v>
      </c>
      <c r="S1500" s="2">
        <v>39</v>
      </c>
      <c r="T1500" t="s">
        <v>295</v>
      </c>
      <c r="U1500" t="s">
        <v>300</v>
      </c>
      <c r="V1500" t="s">
        <v>298</v>
      </c>
      <c r="W1500" s="41"/>
      <c r="X1500" s="41"/>
      <c r="Y1500" s="34"/>
      <c r="Z1500" s="34"/>
      <c r="AA1500" s="35">
        <f>IF(TA[[#This Row],[Work Start time on Fault]]="NA","",(TA[[#This Row],[Fault Acknowledgement Time ]]-TA[[#This Row],[Fault Time]])*24)</f>
        <v>0</v>
      </c>
      <c r="AB1500" s="35">
        <f>(TA[[#This Row],[Work Start time on Fault]]-TA[[#This Row],[Fault Time]])*24</f>
        <v>0</v>
      </c>
      <c r="AC1500" s="34">
        <f>(TA[[#This Row],[Work Completion time on fault]]-TA[[#This Row],[Fault Time]])*24</f>
        <v>0</v>
      </c>
      <c r="AD1500" s="35">
        <f>IFERROR((TA[[#This Row],[Work Completion time on fault]]-TA[[#This Row],[Fault Time]])*24,"")</f>
        <v>0</v>
      </c>
      <c r="AE1500" t="s">
        <v>328</v>
      </c>
      <c r="AF1500" t="s">
        <v>256</v>
      </c>
      <c r="AG1500" s="2"/>
      <c r="AH1500" s="44">
        <f>1-COS(RADIANS(TA[[#This Row],[Avg. Target Angle during Fault Time (Radians)]]-TA[[#This Row],[Angle of affected equipment ]]))</f>
        <v>0.11705240714107301</v>
      </c>
      <c r="AI1500" s="35">
        <f>IFERROR(TA[[#This Row],[Breakdown Time]]*TA[[#This Row],[Plant Equivalent Weightage]],"")</f>
        <v>0</v>
      </c>
    </row>
    <row r="1501" spans="1:35">
      <c r="A1501" s="2">
        <f t="shared" si="176"/>
        <v>1498</v>
      </c>
      <c r="B1501" s="156">
        <f t="shared" si="183"/>
        <v>2026</v>
      </c>
      <c r="C1501" s="129">
        <f t="shared" si="184"/>
        <v>2025</v>
      </c>
      <c r="D1501" s="2" t="s">
        <v>155</v>
      </c>
      <c r="E1501" s="2" t="s">
        <v>155</v>
      </c>
      <c r="F1501" s="39">
        <v>45839</v>
      </c>
      <c r="G1501" s="2">
        <f>DAY(EOMONTH(TA[[#This Row],[Month Year]],0))</f>
        <v>31</v>
      </c>
      <c r="H1501" s="21">
        <v>45852</v>
      </c>
      <c r="I1501" s="41">
        <f>IFERROR(VLOOKUP(TA[[#This Row],[Date]],Raw_Data[[Date]:[Sunset Time (POA&lt;20 W/m2)]],3,0),"")</f>
        <v>0.25208333333333333</v>
      </c>
      <c r="J1501" s="41">
        <f>IFERROR(VLOOKUP(TA[[#This Row],[Date]],Raw_Data[[Date]:[Sunset Time (POA&lt;20 W/m2)]],4,0),"")</f>
        <v>0.78333333333333333</v>
      </c>
      <c r="K1501" s="35">
        <f>IFERROR((TA[[#This Row],[Sunset Time (POA&lt;20 W/m2)]]-TA[[#This Row],[Sunrise Time (POA&gt;20 W/m2)]])*24,"")</f>
        <v>12.75</v>
      </c>
      <c r="L1501" s="2" t="s">
        <v>296</v>
      </c>
      <c r="M1501" s="42">
        <f>IFERROR(VLOOKUP(TA[[#This Row],[Affected Equipment]],'Basic Data'!$I$2:$K$40,3,0),"")</f>
        <v>8.6206896551724102E-3</v>
      </c>
      <c r="N1501">
        <v>-28</v>
      </c>
      <c r="O1501" t="s">
        <v>135</v>
      </c>
      <c r="P1501" s="127" t="s">
        <v>318</v>
      </c>
      <c r="Q1501" s="2" t="s">
        <v>321</v>
      </c>
      <c r="R1501">
        <v>133</v>
      </c>
      <c r="S1501" s="2">
        <v>26</v>
      </c>
      <c r="T1501" t="s">
        <v>297</v>
      </c>
      <c r="U1501" t="s">
        <v>300</v>
      </c>
      <c r="V1501" t="s">
        <v>314</v>
      </c>
      <c r="W1501" s="41">
        <f>IFERROR(VLOOKUP(TA[[#This Row],[Date]],Raw_Data[[Date]:[Sunset Time (POA&lt;20 W/m2)]],3,0),"")</f>
        <v>0.25208333333333333</v>
      </c>
      <c r="X1501" s="41">
        <f>IFERROR(VLOOKUP(TA[[#This Row],[Date]],Raw_Data[[Date]:[Sunset Time (POA&lt;20 W/m2)]],3,0),"")</f>
        <v>0.25208333333333333</v>
      </c>
      <c r="Y1501" s="34"/>
      <c r="Z1501" s="34">
        <v>0.76041666666666663</v>
      </c>
      <c r="AA1501" s="35">
        <f>IF(TA[[#This Row],[Work Start time on Fault]]="NA","",(TA[[#This Row],[Fault Acknowledgement Time ]]-TA[[#This Row],[Fault Time]])*24)</f>
        <v>0</v>
      </c>
      <c r="AB1501" s="35">
        <f>(TA[[#This Row],[Work Start time on Fault]]-TA[[#This Row],[Fault Time]])*24</f>
        <v>-6.05</v>
      </c>
      <c r="AC1501" s="34">
        <f>(TA[[#This Row],[Work Completion time on fault]]-TA[[#This Row],[Fault Time]])*24</f>
        <v>12.2</v>
      </c>
      <c r="AD1501" s="35">
        <f>IFERROR((TA[[#This Row],[Work Completion time on fault]]-TA[[#This Row],[Fault Time]])*24,"")</f>
        <v>12.2</v>
      </c>
      <c r="AE1501" t="s">
        <v>328</v>
      </c>
      <c r="AF1501" t="s">
        <v>256</v>
      </c>
      <c r="AG1501" s="2"/>
      <c r="AH1501" s="44">
        <f>1-COS(RADIANS(TA[[#This Row],[Avg. Target Angle during Fault Time (Radians)]]-TA[[#This Row],[Angle of affected equipment ]]))</f>
        <v>0.11705240714107301</v>
      </c>
      <c r="AI1501" s="35">
        <f>IFERROR(TA[[#This Row],[Breakdown Time]]*TA[[#This Row],[Plant Equivalent Weightage]],"")</f>
        <v>0.10517241379310339</v>
      </c>
    </row>
    <row r="1502" spans="1:35">
      <c r="A1502" s="2">
        <f t="shared" si="176"/>
        <v>1499</v>
      </c>
      <c r="B1502" s="156">
        <f t="shared" si="183"/>
        <v>2026</v>
      </c>
      <c r="C1502" s="129">
        <f t="shared" si="184"/>
        <v>2025</v>
      </c>
      <c r="D1502" s="2" t="s">
        <v>155</v>
      </c>
      <c r="E1502" s="2" t="s">
        <v>155</v>
      </c>
      <c r="F1502" s="39">
        <v>45839</v>
      </c>
      <c r="G1502" s="2">
        <f>DAY(EOMONTH(TA[[#This Row],[Month Year]],0))</f>
        <v>31</v>
      </c>
      <c r="H1502" s="21">
        <v>45852</v>
      </c>
      <c r="I1502" s="41">
        <f>IFERROR(VLOOKUP(TA[[#This Row],[Date]],Raw_Data[[Date]:[Sunset Time (POA&lt;20 W/m2)]],3,0),"")</f>
        <v>0.25208333333333333</v>
      </c>
      <c r="J1502" s="41">
        <f>IFERROR(VLOOKUP(TA[[#This Row],[Date]],Raw_Data[[Date]:[Sunset Time (POA&lt;20 W/m2)]],4,0),"")</f>
        <v>0.78333333333333333</v>
      </c>
      <c r="K1502" s="35">
        <f>IFERROR((TA[[#This Row],[Sunset Time (POA&lt;20 W/m2)]]-TA[[#This Row],[Sunrise Time (POA&gt;20 W/m2)]])*24,"")</f>
        <v>12.75</v>
      </c>
      <c r="L1502" s="2" t="s">
        <v>294</v>
      </c>
      <c r="M1502" s="42">
        <f>IFERROR(VLOOKUP(TA[[#This Row],[Affected Equipment]],'Basic Data'!$I$2:$K$40,3,0),"")</f>
        <v>1.7241379310344799E-3</v>
      </c>
      <c r="N1502">
        <v>-28</v>
      </c>
      <c r="O1502" t="s">
        <v>133</v>
      </c>
      <c r="P1502" s="127" t="s">
        <v>316</v>
      </c>
      <c r="Q1502" s="126" t="s">
        <v>317</v>
      </c>
      <c r="R1502">
        <v>7</v>
      </c>
      <c r="S1502" s="2">
        <v>32</v>
      </c>
      <c r="T1502" t="s">
        <v>295</v>
      </c>
      <c r="U1502" t="s">
        <v>300</v>
      </c>
      <c r="V1502" t="s">
        <v>298</v>
      </c>
      <c r="W1502" s="41"/>
      <c r="X1502" s="41"/>
      <c r="Y1502" s="34"/>
      <c r="Z1502" s="34"/>
      <c r="AA1502" s="35">
        <f>IF(TA[[#This Row],[Work Start time on Fault]]="NA","",(TA[[#This Row],[Fault Acknowledgement Time ]]-TA[[#This Row],[Fault Time]])*24)</f>
        <v>0</v>
      </c>
      <c r="AB1502" s="35">
        <f>(TA[[#This Row],[Work Start time on Fault]]-TA[[#This Row],[Fault Time]])*24</f>
        <v>0</v>
      </c>
      <c r="AC1502" s="34">
        <f>(TA[[#This Row],[Work Completion time on fault]]-TA[[#This Row],[Fault Time]])*24</f>
        <v>0</v>
      </c>
      <c r="AD1502" s="35">
        <f>IFERROR((TA[[#This Row],[Work Completion time on fault]]-TA[[#This Row],[Fault Time]])*24,"")</f>
        <v>0</v>
      </c>
      <c r="AE1502" t="s">
        <v>328</v>
      </c>
      <c r="AF1502" t="s">
        <v>256</v>
      </c>
      <c r="AG1502" s="2"/>
      <c r="AH1502" s="44">
        <f>1-COS(RADIANS(TA[[#This Row],[Avg. Target Angle during Fault Time (Radians)]]-TA[[#This Row],[Angle of affected equipment ]]))</f>
        <v>0.11705240714107301</v>
      </c>
      <c r="AI1502" s="35">
        <f>IFERROR(TA[[#This Row],[Breakdown Time]]*TA[[#This Row],[Plant Equivalent Weightage]],"")</f>
        <v>0</v>
      </c>
    </row>
    <row r="1503" spans="1:35">
      <c r="A1503" s="2">
        <f t="shared" si="176"/>
        <v>1500</v>
      </c>
      <c r="B1503" s="156">
        <f t="shared" si="183"/>
        <v>2026</v>
      </c>
      <c r="C1503" s="129">
        <f t="shared" si="184"/>
        <v>2025</v>
      </c>
      <c r="D1503" s="2" t="s">
        <v>155</v>
      </c>
      <c r="E1503" s="2" t="s">
        <v>155</v>
      </c>
      <c r="F1503" s="39">
        <v>45839</v>
      </c>
      <c r="G1503" s="2">
        <f>DAY(EOMONTH(TA[[#This Row],[Month Year]],0))</f>
        <v>31</v>
      </c>
      <c r="H1503" s="21">
        <v>45852</v>
      </c>
      <c r="I1503" s="41">
        <f>IFERROR(VLOOKUP(TA[[#This Row],[Date]],Raw_Data[[Date]:[Sunset Time (POA&lt;20 W/m2)]],3,0),"")</f>
        <v>0.25208333333333333</v>
      </c>
      <c r="J1503" s="41">
        <f>IFERROR(VLOOKUP(TA[[#This Row],[Date]],Raw_Data[[Date]:[Sunset Time (POA&lt;20 W/m2)]],4,0),"")</f>
        <v>0.78333333333333333</v>
      </c>
      <c r="K1503" s="35">
        <f>IFERROR((TA[[#This Row],[Sunset Time (POA&lt;20 W/m2)]]-TA[[#This Row],[Sunrise Time (POA&gt;20 W/m2)]])*24,"")</f>
        <v>12.75</v>
      </c>
      <c r="L1503" s="2" t="s">
        <v>294</v>
      </c>
      <c r="M1503" s="42">
        <f>IFERROR(VLOOKUP(TA[[#This Row],[Affected Equipment]],'Basic Data'!$I$2:$K$40,3,0),"")</f>
        <v>1.7241379310344799E-3</v>
      </c>
      <c r="N1503">
        <v>-28</v>
      </c>
      <c r="O1503" t="s">
        <v>137</v>
      </c>
      <c r="P1503" s="127" t="s">
        <v>315</v>
      </c>
      <c r="Q1503" s="126" t="s">
        <v>319</v>
      </c>
      <c r="R1503">
        <v>166</v>
      </c>
      <c r="S1503" s="2">
        <v>91</v>
      </c>
      <c r="T1503" t="s">
        <v>295</v>
      </c>
      <c r="U1503" t="s">
        <v>300</v>
      </c>
      <c r="V1503" t="s">
        <v>298</v>
      </c>
      <c r="W1503" s="41"/>
      <c r="X1503" s="41"/>
      <c r="Y1503" s="34"/>
      <c r="Z1503" s="34"/>
      <c r="AA1503" s="35">
        <f>IF(TA[[#This Row],[Work Start time on Fault]]="NA","",(TA[[#This Row],[Fault Acknowledgement Time ]]-TA[[#This Row],[Fault Time]])*24)</f>
        <v>0</v>
      </c>
      <c r="AB1503" s="35">
        <f>(TA[[#This Row],[Work Start time on Fault]]-TA[[#This Row],[Fault Time]])*24</f>
        <v>0</v>
      </c>
      <c r="AC1503" s="34">
        <f>(TA[[#This Row],[Work Completion time on fault]]-TA[[#This Row],[Fault Time]])*24</f>
        <v>0</v>
      </c>
      <c r="AD1503" s="35">
        <f>IFERROR((TA[[#This Row],[Work Completion time on fault]]-TA[[#This Row],[Fault Time]])*24,"")</f>
        <v>0</v>
      </c>
      <c r="AE1503" t="s">
        <v>328</v>
      </c>
      <c r="AF1503" t="s">
        <v>256</v>
      </c>
      <c r="AG1503" s="2"/>
      <c r="AH1503" s="44">
        <f>1-COS(RADIANS(TA[[#This Row],[Avg. Target Angle during Fault Time (Radians)]]-TA[[#This Row],[Angle of affected equipment ]]))</f>
        <v>0.11705240714107301</v>
      </c>
      <c r="AI1503" s="35">
        <f>IFERROR(TA[[#This Row],[Breakdown Time]]*TA[[#This Row],[Plant Equivalent Weightage]],"")</f>
        <v>0</v>
      </c>
    </row>
    <row r="1504" spans="1:35">
      <c r="A1504" s="2">
        <f t="shared" si="176"/>
        <v>1501</v>
      </c>
      <c r="B1504" s="156">
        <f t="shared" si="183"/>
        <v>2026</v>
      </c>
      <c r="C1504" s="129">
        <f t="shared" si="184"/>
        <v>2025</v>
      </c>
      <c r="D1504" s="2" t="s">
        <v>155</v>
      </c>
      <c r="E1504" s="2" t="s">
        <v>155</v>
      </c>
      <c r="F1504" s="39">
        <v>45839</v>
      </c>
      <c r="G1504" s="2">
        <f>DAY(EOMONTH(TA[[#This Row],[Month Year]],0))</f>
        <v>31</v>
      </c>
      <c r="H1504" s="21">
        <v>45852</v>
      </c>
      <c r="I1504" s="41">
        <f>IFERROR(VLOOKUP(TA[[#This Row],[Date]],Raw_Data[[Date]:[Sunset Time (POA&lt;20 W/m2)]],3,0),"")</f>
        <v>0.25208333333333333</v>
      </c>
      <c r="J1504" s="41">
        <f>IFERROR(VLOOKUP(TA[[#This Row],[Date]],Raw_Data[[Date]:[Sunset Time (POA&lt;20 W/m2)]],4,0),"")</f>
        <v>0.78333333333333333</v>
      </c>
      <c r="K1504" s="35">
        <f>IFERROR((TA[[#This Row],[Sunset Time (POA&lt;20 W/m2)]]-TA[[#This Row],[Sunrise Time (POA&gt;20 W/m2)]])*24,"")</f>
        <v>12.75</v>
      </c>
      <c r="L1504" s="2" t="s">
        <v>294</v>
      </c>
      <c r="M1504" s="42">
        <f>IFERROR(VLOOKUP(TA[[#This Row],[Affected Equipment]],'Basic Data'!$I$2:$K$40,3,0),"")</f>
        <v>1.7241379310344799E-3</v>
      </c>
      <c r="N1504">
        <v>-28</v>
      </c>
      <c r="O1504" t="s">
        <v>133</v>
      </c>
      <c r="P1504" s="127" t="s">
        <v>316</v>
      </c>
      <c r="Q1504" s="126" t="s">
        <v>316</v>
      </c>
      <c r="R1504">
        <v>117</v>
      </c>
      <c r="S1504" s="2">
        <v>20</v>
      </c>
      <c r="T1504" t="s">
        <v>295</v>
      </c>
      <c r="U1504" t="s">
        <v>300</v>
      </c>
      <c r="V1504" t="s">
        <v>298</v>
      </c>
      <c r="W1504" s="41"/>
      <c r="X1504" s="41"/>
      <c r="Y1504" s="34"/>
      <c r="Z1504" s="34"/>
      <c r="AA1504" s="35">
        <f>IF(TA[[#This Row],[Work Start time on Fault]]="NA","",(TA[[#This Row],[Fault Acknowledgement Time ]]-TA[[#This Row],[Fault Time]])*24)</f>
        <v>0</v>
      </c>
      <c r="AB1504" s="35">
        <f>(TA[[#This Row],[Work Start time on Fault]]-TA[[#This Row],[Fault Time]])*24</f>
        <v>0</v>
      </c>
      <c r="AC1504" s="34">
        <f>(TA[[#This Row],[Work Completion time on fault]]-TA[[#This Row],[Fault Time]])*24</f>
        <v>0</v>
      </c>
      <c r="AD1504" s="35">
        <f>IFERROR((TA[[#This Row],[Work Completion time on fault]]-TA[[#This Row],[Fault Time]])*24,"")</f>
        <v>0</v>
      </c>
      <c r="AE1504" t="s">
        <v>328</v>
      </c>
      <c r="AF1504" t="s">
        <v>256</v>
      </c>
      <c r="AG1504" s="2"/>
      <c r="AH1504" s="44">
        <f>1-COS(RADIANS(TA[[#This Row],[Avg. Target Angle during Fault Time (Radians)]]-TA[[#This Row],[Angle of affected equipment ]]))</f>
        <v>0.11705240714107301</v>
      </c>
      <c r="AI1504" s="35">
        <f>IFERROR(TA[[#This Row],[Breakdown Time]]*TA[[#This Row],[Plant Equivalent Weightage]],"")</f>
        <v>0</v>
      </c>
    </row>
    <row r="1505" spans="1:35">
      <c r="A1505" s="2">
        <f t="shared" si="176"/>
        <v>1502</v>
      </c>
      <c r="B1505" s="156">
        <f t="shared" si="183"/>
        <v>2026</v>
      </c>
      <c r="C1505" s="129">
        <f t="shared" si="184"/>
        <v>2025</v>
      </c>
      <c r="D1505" s="2" t="s">
        <v>155</v>
      </c>
      <c r="E1505" s="2" t="s">
        <v>155</v>
      </c>
      <c r="F1505" s="39">
        <v>45839</v>
      </c>
      <c r="G1505" s="2">
        <f>DAY(EOMONTH(TA[[#This Row],[Month Year]],0))</f>
        <v>31</v>
      </c>
      <c r="H1505" s="21">
        <v>45852</v>
      </c>
      <c r="I1505" s="41">
        <f>IFERROR(VLOOKUP(TA[[#This Row],[Date]],Raw_Data[[Date]:[Sunset Time (POA&lt;20 W/m2)]],3,0),"")</f>
        <v>0.25208333333333333</v>
      </c>
      <c r="J1505" s="41">
        <f>IFERROR(VLOOKUP(TA[[#This Row],[Date]],Raw_Data[[Date]:[Sunset Time (POA&lt;20 W/m2)]],4,0),"")</f>
        <v>0.78333333333333333</v>
      </c>
      <c r="K1505" s="35">
        <f>IFERROR((TA[[#This Row],[Sunset Time (POA&lt;20 W/m2)]]-TA[[#This Row],[Sunrise Time (POA&gt;20 W/m2)]])*24,"")</f>
        <v>12.75</v>
      </c>
      <c r="L1505" s="2" t="s">
        <v>294</v>
      </c>
      <c r="M1505" s="42">
        <f>IFERROR(VLOOKUP(TA[[#This Row],[Affected Equipment]],'Basic Data'!$I$2:$K$40,3,0),"")</f>
        <v>1.7241379310344799E-3</v>
      </c>
      <c r="N1505">
        <v>-28</v>
      </c>
      <c r="O1505" t="s">
        <v>133</v>
      </c>
      <c r="P1505" s="127" t="s">
        <v>316</v>
      </c>
      <c r="Q1505" s="126" t="s">
        <v>316</v>
      </c>
      <c r="R1505">
        <v>118</v>
      </c>
      <c r="S1505" s="2">
        <v>22</v>
      </c>
      <c r="T1505" t="s">
        <v>295</v>
      </c>
      <c r="U1505" t="s">
        <v>300</v>
      </c>
      <c r="V1505" t="s">
        <v>298</v>
      </c>
      <c r="W1505" s="41"/>
      <c r="X1505" s="41"/>
      <c r="Y1505" s="34"/>
      <c r="Z1505" s="34"/>
      <c r="AA1505" s="35">
        <f>IF(TA[[#This Row],[Work Start time on Fault]]="NA","",(TA[[#This Row],[Fault Acknowledgement Time ]]-TA[[#This Row],[Fault Time]])*24)</f>
        <v>0</v>
      </c>
      <c r="AB1505" s="35">
        <f>(TA[[#This Row],[Work Start time on Fault]]-TA[[#This Row],[Fault Time]])*24</f>
        <v>0</v>
      </c>
      <c r="AC1505" s="34">
        <f>(TA[[#This Row],[Work Completion time on fault]]-TA[[#This Row],[Fault Time]])*24</f>
        <v>0</v>
      </c>
      <c r="AD1505" s="35">
        <f>IFERROR((TA[[#This Row],[Work Completion time on fault]]-TA[[#This Row],[Fault Time]])*24,"")</f>
        <v>0</v>
      </c>
      <c r="AE1505" t="s">
        <v>328</v>
      </c>
      <c r="AF1505" t="s">
        <v>256</v>
      </c>
      <c r="AG1505" s="2"/>
      <c r="AH1505" s="44">
        <f>1-COS(RADIANS(TA[[#This Row],[Avg. Target Angle during Fault Time (Radians)]]-TA[[#This Row],[Angle of affected equipment ]]))</f>
        <v>0.11705240714107301</v>
      </c>
      <c r="AI1505" s="35">
        <f>IFERROR(TA[[#This Row],[Breakdown Time]]*TA[[#This Row],[Plant Equivalent Weightage]],"")</f>
        <v>0</v>
      </c>
    </row>
    <row r="1506" spans="1:35">
      <c r="A1506" s="2">
        <f t="shared" si="176"/>
        <v>1503</v>
      </c>
      <c r="B1506" s="156">
        <f t="shared" si="183"/>
        <v>2026</v>
      </c>
      <c r="C1506" s="129">
        <f t="shared" si="184"/>
        <v>2025</v>
      </c>
      <c r="D1506" s="2" t="s">
        <v>155</v>
      </c>
      <c r="E1506" s="2" t="s">
        <v>155</v>
      </c>
      <c r="F1506" s="39">
        <v>45839</v>
      </c>
      <c r="G1506" s="2">
        <f>DAY(EOMONTH(TA[[#This Row],[Month Year]],0))</f>
        <v>31</v>
      </c>
      <c r="H1506" s="21">
        <v>45852</v>
      </c>
      <c r="I1506" s="41">
        <f>IFERROR(VLOOKUP(TA[[#This Row],[Date]],Raw_Data[[Date]:[Sunset Time (POA&lt;20 W/m2)]],3,0),"")</f>
        <v>0.25208333333333333</v>
      </c>
      <c r="J1506" s="41">
        <f>IFERROR(VLOOKUP(TA[[#This Row],[Date]],Raw_Data[[Date]:[Sunset Time (POA&lt;20 W/m2)]],4,0),"")</f>
        <v>0.78333333333333333</v>
      </c>
      <c r="K1506" s="35">
        <f>IFERROR((TA[[#This Row],[Sunset Time (POA&lt;20 W/m2)]]-TA[[#This Row],[Sunrise Time (POA&gt;20 W/m2)]])*24,"")</f>
        <v>12.75</v>
      </c>
      <c r="L1506" s="2" t="s">
        <v>296</v>
      </c>
      <c r="M1506" s="42">
        <f>IFERROR(VLOOKUP(TA[[#This Row],[Affected Equipment]],'Basic Data'!$I$2:$K$40,3,0),"")</f>
        <v>8.6206896551724102E-3</v>
      </c>
      <c r="N1506">
        <v>-28</v>
      </c>
      <c r="O1506" t="s">
        <v>135</v>
      </c>
      <c r="P1506" s="22" t="s">
        <v>323</v>
      </c>
      <c r="Q1506" s="2" t="s">
        <v>329</v>
      </c>
      <c r="R1506">
        <v>45</v>
      </c>
      <c r="S1506" s="2">
        <v>8</v>
      </c>
      <c r="T1506" t="s">
        <v>297</v>
      </c>
      <c r="U1506" t="s">
        <v>300</v>
      </c>
      <c r="V1506" t="s">
        <v>301</v>
      </c>
      <c r="W1506" s="41"/>
      <c r="X1506" s="41"/>
      <c r="Y1506" s="34"/>
      <c r="Z1506" s="34"/>
      <c r="AA1506" s="35">
        <f>IF(TA[[#This Row],[Work Start time on Fault]]="NA","",(TA[[#This Row],[Fault Acknowledgement Time ]]-TA[[#This Row],[Fault Time]])*24)</f>
        <v>0</v>
      </c>
      <c r="AB1506" s="35">
        <f>(TA[[#This Row],[Work Start time on Fault]]-TA[[#This Row],[Fault Time]])*24</f>
        <v>0</v>
      </c>
      <c r="AC1506" s="34">
        <f>(TA[[#This Row],[Work Completion time on fault]]-TA[[#This Row],[Fault Time]])*24</f>
        <v>0</v>
      </c>
      <c r="AD1506" s="35">
        <f>IFERROR((TA[[#This Row],[Work Completion time on fault]]-TA[[#This Row],[Fault Time]])*24,"")</f>
        <v>0</v>
      </c>
      <c r="AE1506" t="s">
        <v>328</v>
      </c>
      <c r="AF1506" t="s">
        <v>256</v>
      </c>
      <c r="AG1506" s="2"/>
      <c r="AH1506" s="44">
        <f>1-COS(RADIANS(TA[[#This Row],[Avg. Target Angle during Fault Time (Radians)]]-TA[[#This Row],[Angle of affected equipment ]]))</f>
        <v>0.11705240714107301</v>
      </c>
      <c r="AI1506" s="35">
        <f>IFERROR(TA[[#This Row],[Breakdown Time]]*TA[[#This Row],[Plant Equivalent Weightage]],"")</f>
        <v>0</v>
      </c>
    </row>
    <row r="1507" spans="1:35">
      <c r="A1507" s="2">
        <f t="shared" si="176"/>
        <v>1504</v>
      </c>
      <c r="B1507" s="156">
        <f t="shared" si="183"/>
        <v>2026</v>
      </c>
      <c r="C1507" s="129">
        <f t="shared" si="184"/>
        <v>2025</v>
      </c>
      <c r="D1507" s="2" t="s">
        <v>155</v>
      </c>
      <c r="E1507" s="2" t="s">
        <v>155</v>
      </c>
      <c r="F1507" s="39">
        <v>45839</v>
      </c>
      <c r="G1507" s="2">
        <f>DAY(EOMONTH(TA[[#This Row],[Month Year]],0))</f>
        <v>31</v>
      </c>
      <c r="H1507" s="21">
        <v>45852</v>
      </c>
      <c r="I1507" s="41">
        <f>IFERROR(VLOOKUP(TA[[#This Row],[Date]],Raw_Data[[Date]:[Sunset Time (POA&lt;20 W/m2)]],3,0),"")</f>
        <v>0.25208333333333333</v>
      </c>
      <c r="J1507" s="41">
        <f>IFERROR(VLOOKUP(TA[[#This Row],[Date]],Raw_Data[[Date]:[Sunset Time (POA&lt;20 W/m2)]],4,0),"")</f>
        <v>0.78333333333333333</v>
      </c>
      <c r="K1507" s="35">
        <f>IFERROR((TA[[#This Row],[Sunset Time (POA&lt;20 W/m2)]]-TA[[#This Row],[Sunrise Time (POA&gt;20 W/m2)]])*24,"")</f>
        <v>12.75</v>
      </c>
      <c r="L1507" s="2" t="s">
        <v>296</v>
      </c>
      <c r="M1507" s="42">
        <f>IFERROR(VLOOKUP(TA[[#This Row],[Affected Equipment]],'Basic Data'!$I$2:$K$40,3,0),"")</f>
        <v>8.6206896551724102E-3</v>
      </c>
      <c r="N1507">
        <v>-28</v>
      </c>
      <c r="O1507" t="s">
        <v>135</v>
      </c>
      <c r="P1507" s="22" t="s">
        <v>323</v>
      </c>
      <c r="Q1507" s="2" t="s">
        <v>329</v>
      </c>
      <c r="R1507">
        <v>47</v>
      </c>
      <c r="S1507" s="2">
        <v>18</v>
      </c>
      <c r="T1507" t="s">
        <v>297</v>
      </c>
      <c r="U1507" t="s">
        <v>300</v>
      </c>
      <c r="V1507" t="s">
        <v>301</v>
      </c>
      <c r="W1507" s="41"/>
      <c r="X1507" s="41"/>
      <c r="Y1507" s="34"/>
      <c r="Z1507" s="34"/>
      <c r="AA1507" s="35">
        <f>IF(TA[[#This Row],[Work Start time on Fault]]="NA","",(TA[[#This Row],[Fault Acknowledgement Time ]]-TA[[#This Row],[Fault Time]])*24)</f>
        <v>0</v>
      </c>
      <c r="AB1507" s="35">
        <f>(TA[[#This Row],[Work Start time on Fault]]-TA[[#This Row],[Fault Time]])*24</f>
        <v>0</v>
      </c>
      <c r="AC1507" s="34">
        <f>(TA[[#This Row],[Work Completion time on fault]]-TA[[#This Row],[Fault Time]])*24</f>
        <v>0</v>
      </c>
      <c r="AD1507" s="35">
        <f>IFERROR((TA[[#This Row],[Work Completion time on fault]]-TA[[#This Row],[Fault Time]])*24,"")</f>
        <v>0</v>
      </c>
      <c r="AE1507" t="s">
        <v>328</v>
      </c>
      <c r="AF1507" t="s">
        <v>256</v>
      </c>
      <c r="AG1507" s="2"/>
      <c r="AH1507" s="44">
        <f>1-COS(RADIANS(TA[[#This Row],[Avg. Target Angle during Fault Time (Radians)]]-TA[[#This Row],[Angle of affected equipment ]]))</f>
        <v>0.11705240714107301</v>
      </c>
      <c r="AI1507" s="35">
        <f>IFERROR(TA[[#This Row],[Breakdown Time]]*TA[[#This Row],[Plant Equivalent Weightage]],"")</f>
        <v>0</v>
      </c>
    </row>
    <row r="1508" spans="1:35">
      <c r="A1508" s="2">
        <f t="shared" si="176"/>
        <v>1505</v>
      </c>
      <c r="B1508" s="156">
        <f t="shared" si="183"/>
        <v>2026</v>
      </c>
      <c r="C1508" s="129">
        <f t="shared" si="184"/>
        <v>2025</v>
      </c>
      <c r="D1508" s="2" t="s">
        <v>155</v>
      </c>
      <c r="E1508" s="2" t="s">
        <v>155</v>
      </c>
      <c r="F1508" s="39">
        <v>45839</v>
      </c>
      <c r="G1508" s="2">
        <f>DAY(EOMONTH(TA[[#This Row],[Month Year]],0))</f>
        <v>31</v>
      </c>
      <c r="H1508" s="21">
        <v>45852</v>
      </c>
      <c r="I1508" s="41">
        <f>IFERROR(VLOOKUP(TA[[#This Row],[Date]],Raw_Data[[Date]:[Sunset Time (POA&lt;20 W/m2)]],3,0),"")</f>
        <v>0.25208333333333333</v>
      </c>
      <c r="J1508" s="41">
        <f>IFERROR(VLOOKUP(TA[[#This Row],[Date]],Raw_Data[[Date]:[Sunset Time (POA&lt;20 W/m2)]],4,0),"")</f>
        <v>0.78333333333333333</v>
      </c>
      <c r="K1508" s="35">
        <f>IFERROR((TA[[#This Row],[Sunset Time (POA&lt;20 W/m2)]]-TA[[#This Row],[Sunrise Time (POA&gt;20 W/m2)]])*24,"")</f>
        <v>12.75</v>
      </c>
      <c r="L1508" s="2" t="s">
        <v>296</v>
      </c>
      <c r="M1508" s="42">
        <f>IFERROR(VLOOKUP(TA[[#This Row],[Affected Equipment]],'Basic Data'!$I$2:$K$40,3,0),"")</f>
        <v>8.6206896551724102E-3</v>
      </c>
      <c r="N1508">
        <v>-28</v>
      </c>
      <c r="O1508" t="s">
        <v>134</v>
      </c>
      <c r="P1508" s="22" t="s">
        <v>330</v>
      </c>
      <c r="Q1508" s="2" t="s">
        <v>323</v>
      </c>
      <c r="R1508">
        <v>30</v>
      </c>
      <c r="S1508" s="2">
        <v>57</v>
      </c>
      <c r="T1508" t="s">
        <v>297</v>
      </c>
      <c r="U1508" t="s">
        <v>300</v>
      </c>
      <c r="V1508" t="s">
        <v>301</v>
      </c>
      <c r="W1508" s="41"/>
      <c r="X1508" s="41"/>
      <c r="Y1508" s="34"/>
      <c r="Z1508" s="34"/>
      <c r="AA1508" s="35">
        <f>IF(TA[[#This Row],[Work Start time on Fault]]="NA","",(TA[[#This Row],[Fault Acknowledgement Time ]]-TA[[#This Row],[Fault Time]])*24)</f>
        <v>0</v>
      </c>
      <c r="AB1508" s="35">
        <f>(TA[[#This Row],[Work Start time on Fault]]-TA[[#This Row],[Fault Time]])*24</f>
        <v>0</v>
      </c>
      <c r="AC1508" s="34">
        <f>(TA[[#This Row],[Work Completion time on fault]]-TA[[#This Row],[Fault Time]])*24</f>
        <v>0</v>
      </c>
      <c r="AD1508" s="35">
        <f>IFERROR((TA[[#This Row],[Work Completion time on fault]]-TA[[#This Row],[Fault Time]])*24,"")</f>
        <v>0</v>
      </c>
      <c r="AE1508" t="s">
        <v>328</v>
      </c>
      <c r="AF1508" t="s">
        <v>256</v>
      </c>
      <c r="AG1508" s="2"/>
      <c r="AH1508" s="44">
        <f>1-COS(RADIANS(TA[[#This Row],[Avg. Target Angle during Fault Time (Radians)]]-TA[[#This Row],[Angle of affected equipment ]]))</f>
        <v>0.11705240714107301</v>
      </c>
      <c r="AI1508" s="35">
        <f>IFERROR(TA[[#This Row],[Breakdown Time]]*TA[[#This Row],[Plant Equivalent Weightage]],"")</f>
        <v>0</v>
      </c>
    </row>
    <row r="1509" spans="1:35">
      <c r="A1509" s="2">
        <f t="shared" si="176"/>
        <v>1506</v>
      </c>
      <c r="B1509" s="156">
        <f t="shared" si="183"/>
        <v>2026</v>
      </c>
      <c r="C1509" s="129">
        <f t="shared" si="184"/>
        <v>2025</v>
      </c>
      <c r="D1509" s="2" t="s">
        <v>155</v>
      </c>
      <c r="E1509" s="2" t="s">
        <v>155</v>
      </c>
      <c r="F1509" s="39">
        <v>45839</v>
      </c>
      <c r="G1509" s="2">
        <f>DAY(EOMONTH(TA[[#This Row],[Month Year]],0))</f>
        <v>31</v>
      </c>
      <c r="H1509" s="21">
        <v>45852</v>
      </c>
      <c r="I1509" s="41">
        <f>IFERROR(VLOOKUP(TA[[#This Row],[Date]],Raw_Data[[Date]:[Sunset Time (POA&lt;20 W/m2)]],3,0),"")</f>
        <v>0.25208333333333333</v>
      </c>
      <c r="J1509" s="41">
        <f>IFERROR(VLOOKUP(TA[[#This Row],[Date]],Raw_Data[[Date]:[Sunset Time (POA&lt;20 W/m2)]],4,0),"")</f>
        <v>0.78333333333333333</v>
      </c>
      <c r="K1509" s="35">
        <f>IFERROR((TA[[#This Row],[Sunset Time (POA&lt;20 W/m2)]]-TA[[#This Row],[Sunrise Time (POA&gt;20 W/m2)]])*24,"")</f>
        <v>12.75</v>
      </c>
      <c r="L1509" s="2" t="s">
        <v>296</v>
      </c>
      <c r="M1509" s="42">
        <f>IFERROR(VLOOKUP(TA[[#This Row],[Affected Equipment]],'Basic Data'!$I$2:$K$40,3,0),"")</f>
        <v>8.6206896551724102E-3</v>
      </c>
      <c r="N1509">
        <v>-28</v>
      </c>
      <c r="O1509" t="s">
        <v>134</v>
      </c>
      <c r="P1509" s="22" t="s">
        <v>330</v>
      </c>
      <c r="Q1509" s="2" t="s">
        <v>323</v>
      </c>
      <c r="R1509">
        <v>31</v>
      </c>
      <c r="S1509" s="2">
        <v>61</v>
      </c>
      <c r="T1509" t="s">
        <v>297</v>
      </c>
      <c r="U1509" t="s">
        <v>300</v>
      </c>
      <c r="V1509" t="s">
        <v>301</v>
      </c>
      <c r="W1509" s="41"/>
      <c r="X1509" s="41"/>
      <c r="Y1509" s="34"/>
      <c r="Z1509" s="34"/>
      <c r="AA1509" s="35">
        <f>IF(TA[[#This Row],[Work Start time on Fault]]="NA","",(TA[[#This Row],[Fault Acknowledgement Time ]]-TA[[#This Row],[Fault Time]])*24)</f>
        <v>0</v>
      </c>
      <c r="AB1509" s="35">
        <f>(TA[[#This Row],[Work Start time on Fault]]-TA[[#This Row],[Fault Time]])*24</f>
        <v>0</v>
      </c>
      <c r="AC1509" s="34">
        <f>(TA[[#This Row],[Work Completion time on fault]]-TA[[#This Row],[Fault Time]])*24</f>
        <v>0</v>
      </c>
      <c r="AD1509" s="35">
        <f>IFERROR((TA[[#This Row],[Work Completion time on fault]]-TA[[#This Row],[Fault Time]])*24,"")</f>
        <v>0</v>
      </c>
      <c r="AE1509" t="s">
        <v>328</v>
      </c>
      <c r="AF1509" t="s">
        <v>256</v>
      </c>
      <c r="AG1509" s="2"/>
      <c r="AH1509" s="44">
        <f>1-COS(RADIANS(TA[[#This Row],[Avg. Target Angle during Fault Time (Radians)]]-TA[[#This Row],[Angle of affected equipment ]]))</f>
        <v>0.11705240714107301</v>
      </c>
      <c r="AI1509" s="35">
        <f>IFERROR(TA[[#This Row],[Breakdown Time]]*TA[[#This Row],[Plant Equivalent Weightage]],"")</f>
        <v>0</v>
      </c>
    </row>
    <row r="1510" spans="1:35">
      <c r="A1510" s="2">
        <f t="shared" si="176"/>
        <v>1507</v>
      </c>
      <c r="B1510" s="156">
        <f t="shared" si="183"/>
        <v>2026</v>
      </c>
      <c r="C1510" s="129">
        <f t="shared" si="184"/>
        <v>2025</v>
      </c>
      <c r="D1510" s="2" t="s">
        <v>155</v>
      </c>
      <c r="E1510" s="2" t="s">
        <v>155</v>
      </c>
      <c r="F1510" s="39">
        <v>45839</v>
      </c>
      <c r="G1510" s="2">
        <f>DAY(EOMONTH(TA[[#This Row],[Month Year]],0))</f>
        <v>31</v>
      </c>
      <c r="H1510" s="21">
        <v>45852</v>
      </c>
      <c r="I1510" s="41">
        <f>IFERROR(VLOOKUP(TA[[#This Row],[Date]],Raw_Data[[Date]:[Sunset Time (POA&lt;20 W/m2)]],3,0),"")</f>
        <v>0.25208333333333333</v>
      </c>
      <c r="J1510" s="41">
        <f>IFERROR(VLOOKUP(TA[[#This Row],[Date]],Raw_Data[[Date]:[Sunset Time (POA&lt;20 W/m2)]],4,0),"")</f>
        <v>0.78333333333333333</v>
      </c>
      <c r="K1510" s="35">
        <f>IFERROR((TA[[#This Row],[Sunset Time (POA&lt;20 W/m2)]]-TA[[#This Row],[Sunrise Time (POA&gt;20 W/m2)]])*24,"")</f>
        <v>12.75</v>
      </c>
      <c r="L1510" s="2" t="s">
        <v>312</v>
      </c>
      <c r="M1510" s="42">
        <f>IFERROR(VLOOKUP(TA[[#This Row],[Affected Equipment]],'Basic Data'!$I$2:$K$40,3,0),"")</f>
        <v>5.74712643678161E-3</v>
      </c>
      <c r="N1510">
        <v>-28</v>
      </c>
      <c r="O1510" t="s">
        <v>133</v>
      </c>
      <c r="P1510" s="22" t="s">
        <v>330</v>
      </c>
      <c r="Q1510" s="2" t="s">
        <v>323</v>
      </c>
      <c r="R1510">
        <v>26</v>
      </c>
      <c r="S1510" s="2">
        <v>37</v>
      </c>
      <c r="T1510" t="s">
        <v>297</v>
      </c>
      <c r="U1510" t="s">
        <v>300</v>
      </c>
      <c r="V1510" t="s">
        <v>301</v>
      </c>
      <c r="W1510" s="41"/>
      <c r="X1510" s="41"/>
      <c r="Y1510" s="34"/>
      <c r="Z1510" s="34"/>
      <c r="AA1510" s="35">
        <f>IF(TA[[#This Row],[Work Start time on Fault]]="NA","",(TA[[#This Row],[Fault Acknowledgement Time ]]-TA[[#This Row],[Fault Time]])*24)</f>
        <v>0</v>
      </c>
      <c r="AB1510" s="35">
        <f>(TA[[#This Row],[Work Start time on Fault]]-TA[[#This Row],[Fault Time]])*24</f>
        <v>0</v>
      </c>
      <c r="AC1510" s="34">
        <f>(TA[[#This Row],[Work Completion time on fault]]-TA[[#This Row],[Fault Time]])*24</f>
        <v>0</v>
      </c>
      <c r="AD1510" s="35">
        <f>IFERROR((TA[[#This Row],[Work Completion time on fault]]-TA[[#This Row],[Fault Time]])*24,"")</f>
        <v>0</v>
      </c>
      <c r="AE1510" t="s">
        <v>328</v>
      </c>
      <c r="AF1510" t="s">
        <v>256</v>
      </c>
      <c r="AG1510" s="2"/>
      <c r="AH1510" s="44">
        <f>1-COS(RADIANS(TA[[#This Row],[Avg. Target Angle during Fault Time (Radians)]]-TA[[#This Row],[Angle of affected equipment ]]))</f>
        <v>0.11705240714107301</v>
      </c>
      <c r="AI1510" s="35">
        <f>IFERROR(TA[[#This Row],[Breakdown Time]]*TA[[#This Row],[Plant Equivalent Weightage]],"")</f>
        <v>0</v>
      </c>
    </row>
    <row r="1511" spans="1:35">
      <c r="A1511" s="2">
        <f t="shared" si="176"/>
        <v>1508</v>
      </c>
      <c r="B1511" s="156">
        <f t="shared" si="183"/>
        <v>2026</v>
      </c>
      <c r="C1511" s="129">
        <f t="shared" si="184"/>
        <v>2025</v>
      </c>
      <c r="D1511" s="2" t="s">
        <v>155</v>
      </c>
      <c r="E1511" s="2" t="s">
        <v>155</v>
      </c>
      <c r="F1511" s="39">
        <v>45839</v>
      </c>
      <c r="G1511" s="2">
        <f>DAY(EOMONTH(TA[[#This Row],[Month Year]],0))</f>
        <v>31</v>
      </c>
      <c r="H1511" s="21">
        <v>45852</v>
      </c>
      <c r="I1511" s="41">
        <f>IFERROR(VLOOKUP(TA[[#This Row],[Date]],Raw_Data[[Date]:[Sunset Time (POA&lt;20 W/m2)]],3,0),"")</f>
        <v>0.25208333333333333</v>
      </c>
      <c r="J1511" s="41">
        <f>IFERROR(VLOOKUP(TA[[#This Row],[Date]],Raw_Data[[Date]:[Sunset Time (POA&lt;20 W/m2)]],4,0),"")</f>
        <v>0.78333333333333333</v>
      </c>
      <c r="K1511" s="35">
        <f>IFERROR((TA[[#This Row],[Sunset Time (POA&lt;20 W/m2)]]-TA[[#This Row],[Sunrise Time (POA&gt;20 W/m2)]])*24,"")</f>
        <v>12.75</v>
      </c>
      <c r="L1511" s="2" t="s">
        <v>312</v>
      </c>
      <c r="M1511" s="42">
        <f>IFERROR(VLOOKUP(TA[[#This Row],[Affected Equipment]],'Basic Data'!$I$2:$K$40,3,0),"")</f>
        <v>5.74712643678161E-3</v>
      </c>
      <c r="N1511">
        <v>-28</v>
      </c>
      <c r="O1511" t="s">
        <v>133</v>
      </c>
      <c r="P1511" s="22" t="s">
        <v>330</v>
      </c>
      <c r="Q1511" s="2" t="s">
        <v>323</v>
      </c>
      <c r="R1511">
        <v>27</v>
      </c>
      <c r="S1511" s="2">
        <v>42</v>
      </c>
      <c r="T1511" t="s">
        <v>297</v>
      </c>
      <c r="U1511" t="s">
        <v>300</v>
      </c>
      <c r="V1511" t="s">
        <v>301</v>
      </c>
      <c r="W1511" s="41">
        <f>IFERROR(VLOOKUP(TA[[#This Row],[Date]],Raw_Data[[Date]:[Sunset Time (POA&lt;20 W/m2)]],3,0),"")</f>
        <v>0.25208333333333333</v>
      </c>
      <c r="X1511" s="41">
        <f>IFERROR(VLOOKUP(TA[[#This Row],[Date]],Raw_Data[[Date]:[Sunset Time (POA&lt;20 W/m2)]],3,0),"")</f>
        <v>0.25208333333333333</v>
      </c>
      <c r="Y1511" s="34"/>
      <c r="Z1511" s="34">
        <v>0.76041666666666663</v>
      </c>
      <c r="AA1511" s="35">
        <f>IF(TA[[#This Row],[Work Start time on Fault]]="NA","",(TA[[#This Row],[Fault Acknowledgement Time ]]-TA[[#This Row],[Fault Time]])*24)</f>
        <v>0</v>
      </c>
      <c r="AB1511" s="35">
        <f>(TA[[#This Row],[Work Start time on Fault]]-TA[[#This Row],[Fault Time]])*24</f>
        <v>-6.05</v>
      </c>
      <c r="AC1511" s="34">
        <f>(TA[[#This Row],[Work Completion time on fault]]-TA[[#This Row],[Fault Time]])*24</f>
        <v>12.2</v>
      </c>
      <c r="AD1511" s="35">
        <f>IFERROR((TA[[#This Row],[Work Completion time on fault]]-TA[[#This Row],[Fault Time]])*24,"")</f>
        <v>12.2</v>
      </c>
      <c r="AE1511" t="s">
        <v>309</v>
      </c>
      <c r="AF1511" t="s">
        <v>256</v>
      </c>
      <c r="AG1511" s="2"/>
      <c r="AH1511" s="44">
        <f>1-COS(RADIANS(TA[[#This Row],[Avg. Target Angle during Fault Time (Radians)]]-TA[[#This Row],[Angle of affected equipment ]]))</f>
        <v>0.11705240714107301</v>
      </c>
      <c r="AI1511" s="35">
        <f>IFERROR(TA[[#This Row],[Breakdown Time]]*TA[[#This Row],[Plant Equivalent Weightage]],"")</f>
        <v>7.0114942528735638E-2</v>
      </c>
    </row>
    <row r="1512" spans="1:35">
      <c r="A1512" s="2">
        <f t="shared" si="176"/>
        <v>1509</v>
      </c>
      <c r="B1512" s="156">
        <f t="shared" ref="B1512:B1524" si="185">YEAR(H1512)+IF(MONTH(H1512)&gt;=4,1,0)</f>
        <v>2026</v>
      </c>
      <c r="C1512" s="129">
        <f t="shared" ref="C1512:C1524" si="186">YEAR(H1512)</f>
        <v>2025</v>
      </c>
      <c r="D1512" s="2" t="s">
        <v>155</v>
      </c>
      <c r="E1512" s="2" t="s">
        <v>155</v>
      </c>
      <c r="F1512" s="39">
        <v>45839</v>
      </c>
      <c r="G1512" s="2">
        <f>DAY(EOMONTH(TA[[#This Row],[Month Year]],0))</f>
        <v>31</v>
      </c>
      <c r="H1512" s="21">
        <v>45853</v>
      </c>
      <c r="I1512" s="41">
        <f>IFERROR(VLOOKUP(TA[[#This Row],[Date]],Raw_Data[[Date]:[Sunset Time (POA&lt;20 W/m2)]],3,0),"")</f>
        <v>0.25763888888888886</v>
      </c>
      <c r="J1512" s="41">
        <f>IFERROR(VLOOKUP(TA[[#This Row],[Date]],Raw_Data[[Date]:[Sunset Time (POA&lt;20 W/m2)]],4,0),"")</f>
        <v>0.78680555555555554</v>
      </c>
      <c r="K1512" s="35">
        <f>IFERROR((TA[[#This Row],[Sunset Time (POA&lt;20 W/m2)]]-TA[[#This Row],[Sunrise Time (POA&gt;20 W/m2)]])*24,"")</f>
        <v>12.7</v>
      </c>
      <c r="L1512" s="2" t="s">
        <v>294</v>
      </c>
      <c r="M1512" s="42">
        <f>IFERROR(VLOOKUP(TA[[#This Row],[Affected Equipment]],'Basic Data'!$I$2:$K$40,3,0),"")</f>
        <v>1.7241379310344799E-3</v>
      </c>
      <c r="N1512">
        <v>-28</v>
      </c>
      <c r="O1512" t="s">
        <v>135</v>
      </c>
      <c r="P1512" s="127" t="s">
        <v>318</v>
      </c>
      <c r="Q1512" s="126" t="s">
        <v>318</v>
      </c>
      <c r="R1512">
        <v>131</v>
      </c>
      <c r="S1512" s="2">
        <v>38</v>
      </c>
      <c r="T1512" t="s">
        <v>295</v>
      </c>
      <c r="U1512" t="s">
        <v>300</v>
      </c>
      <c r="V1512" t="s">
        <v>298</v>
      </c>
      <c r="W1512" s="41"/>
      <c r="X1512" s="41"/>
      <c r="Y1512" s="34"/>
      <c r="Z1512" s="34"/>
      <c r="AA1512" s="35">
        <f>IF(TA[[#This Row],[Work Start time on Fault]]="NA","",(TA[[#This Row],[Fault Acknowledgement Time ]]-TA[[#This Row],[Fault Time]])*24)</f>
        <v>0</v>
      </c>
      <c r="AB1512" s="35">
        <f>(TA[[#This Row],[Work Start time on Fault]]-TA[[#This Row],[Fault Time]])*24</f>
        <v>0</v>
      </c>
      <c r="AC1512" s="34">
        <f>(TA[[#This Row],[Work Completion time on fault]]-TA[[#This Row],[Fault Time]])*24</f>
        <v>0</v>
      </c>
      <c r="AD1512" s="35">
        <f>IFERROR((TA[[#This Row],[Work Completion time on fault]]-TA[[#This Row],[Fault Time]])*24,"")</f>
        <v>0</v>
      </c>
      <c r="AE1512" t="s">
        <v>328</v>
      </c>
      <c r="AF1512" t="s">
        <v>256</v>
      </c>
      <c r="AG1512" s="2"/>
      <c r="AH1512" s="44">
        <f>1-COS(RADIANS(TA[[#This Row],[Avg. Target Angle during Fault Time (Radians)]]-TA[[#This Row],[Angle of affected equipment ]]))</f>
        <v>0.11705240714107301</v>
      </c>
      <c r="AI1512" s="35">
        <f>IFERROR(TA[[#This Row],[Breakdown Time]]*TA[[#This Row],[Plant Equivalent Weightage]],"")</f>
        <v>0</v>
      </c>
    </row>
    <row r="1513" spans="1:35">
      <c r="A1513" s="2">
        <f t="shared" ref="A1513:A1550" si="187">A1512+1</f>
        <v>1510</v>
      </c>
      <c r="B1513" s="156">
        <f t="shared" si="185"/>
        <v>2026</v>
      </c>
      <c r="C1513" s="129">
        <f t="shared" si="186"/>
        <v>2025</v>
      </c>
      <c r="D1513" s="2" t="s">
        <v>155</v>
      </c>
      <c r="E1513" s="2" t="s">
        <v>155</v>
      </c>
      <c r="F1513" s="39">
        <v>45839</v>
      </c>
      <c r="G1513" s="2">
        <f>DAY(EOMONTH(TA[[#This Row],[Month Year]],0))</f>
        <v>31</v>
      </c>
      <c r="H1513" s="21">
        <v>45853</v>
      </c>
      <c r="I1513" s="41">
        <f>IFERROR(VLOOKUP(TA[[#This Row],[Date]],Raw_Data[[Date]:[Sunset Time (POA&lt;20 W/m2)]],3,0),"")</f>
        <v>0.25763888888888886</v>
      </c>
      <c r="J1513" s="41">
        <f>IFERROR(VLOOKUP(TA[[#This Row],[Date]],Raw_Data[[Date]:[Sunset Time (POA&lt;20 W/m2)]],4,0),"")</f>
        <v>0.78680555555555554</v>
      </c>
      <c r="K1513" s="35">
        <f>IFERROR((TA[[#This Row],[Sunset Time (POA&lt;20 W/m2)]]-TA[[#This Row],[Sunrise Time (POA&gt;20 W/m2)]])*24,"")</f>
        <v>12.7</v>
      </c>
      <c r="L1513" s="2" t="s">
        <v>294</v>
      </c>
      <c r="M1513" s="42">
        <f>IFERROR(VLOOKUP(TA[[#This Row],[Affected Equipment]],'Basic Data'!$I$2:$K$40,3,0),"")</f>
        <v>1.7241379310344799E-3</v>
      </c>
      <c r="N1513">
        <v>-28</v>
      </c>
      <c r="O1513" t="s">
        <v>135</v>
      </c>
      <c r="P1513" s="127" t="s">
        <v>318</v>
      </c>
      <c r="Q1513" s="126" t="s">
        <v>318</v>
      </c>
      <c r="R1513">
        <v>131</v>
      </c>
      <c r="S1513" s="2">
        <v>39</v>
      </c>
      <c r="T1513" t="s">
        <v>295</v>
      </c>
      <c r="U1513" t="s">
        <v>300</v>
      </c>
      <c r="V1513" t="s">
        <v>298</v>
      </c>
      <c r="W1513" s="41"/>
      <c r="X1513" s="41"/>
      <c r="Y1513" s="34"/>
      <c r="Z1513" s="34"/>
      <c r="AA1513" s="35">
        <f>IF(TA[[#This Row],[Work Start time on Fault]]="NA","",(TA[[#This Row],[Fault Acknowledgement Time ]]-TA[[#This Row],[Fault Time]])*24)</f>
        <v>0</v>
      </c>
      <c r="AB1513" s="35">
        <f>(TA[[#This Row],[Work Start time on Fault]]-TA[[#This Row],[Fault Time]])*24</f>
        <v>0</v>
      </c>
      <c r="AC1513" s="34">
        <f>(TA[[#This Row],[Work Completion time on fault]]-TA[[#This Row],[Fault Time]])*24</f>
        <v>0</v>
      </c>
      <c r="AD1513" s="35">
        <f>IFERROR((TA[[#This Row],[Work Completion time on fault]]-TA[[#This Row],[Fault Time]])*24,"")</f>
        <v>0</v>
      </c>
      <c r="AE1513" t="s">
        <v>328</v>
      </c>
      <c r="AF1513" t="s">
        <v>256</v>
      </c>
      <c r="AG1513" s="2"/>
      <c r="AH1513" s="44">
        <f>1-COS(RADIANS(TA[[#This Row],[Avg. Target Angle during Fault Time (Radians)]]-TA[[#This Row],[Angle of affected equipment ]]))</f>
        <v>0.11705240714107301</v>
      </c>
      <c r="AI1513" s="35">
        <f>IFERROR(TA[[#This Row],[Breakdown Time]]*TA[[#This Row],[Plant Equivalent Weightage]],"")</f>
        <v>0</v>
      </c>
    </row>
    <row r="1514" spans="1:35">
      <c r="A1514" s="2">
        <f t="shared" si="187"/>
        <v>1511</v>
      </c>
      <c r="B1514" s="156">
        <f t="shared" si="185"/>
        <v>2026</v>
      </c>
      <c r="C1514" s="129">
        <f t="shared" si="186"/>
        <v>2025</v>
      </c>
      <c r="D1514" s="2" t="s">
        <v>155</v>
      </c>
      <c r="E1514" s="2" t="s">
        <v>155</v>
      </c>
      <c r="F1514" s="39">
        <v>45839</v>
      </c>
      <c r="G1514" s="2">
        <f>DAY(EOMONTH(TA[[#This Row],[Month Year]],0))</f>
        <v>31</v>
      </c>
      <c r="H1514" s="21">
        <v>45853</v>
      </c>
      <c r="I1514" s="41">
        <f>IFERROR(VLOOKUP(TA[[#This Row],[Date]],Raw_Data[[Date]:[Sunset Time (POA&lt;20 W/m2)]],3,0),"")</f>
        <v>0.25763888888888886</v>
      </c>
      <c r="J1514" s="41">
        <f>IFERROR(VLOOKUP(TA[[#This Row],[Date]],Raw_Data[[Date]:[Sunset Time (POA&lt;20 W/m2)]],4,0),"")</f>
        <v>0.78680555555555554</v>
      </c>
      <c r="K1514" s="35">
        <f>IFERROR((TA[[#This Row],[Sunset Time (POA&lt;20 W/m2)]]-TA[[#This Row],[Sunrise Time (POA&gt;20 W/m2)]])*24,"")</f>
        <v>12.7</v>
      </c>
      <c r="L1514" s="2" t="s">
        <v>296</v>
      </c>
      <c r="M1514" s="42">
        <f>IFERROR(VLOOKUP(TA[[#This Row],[Affected Equipment]],'Basic Data'!$I$2:$K$40,3,0),"")</f>
        <v>8.6206896551724102E-3</v>
      </c>
      <c r="N1514">
        <v>-28</v>
      </c>
      <c r="O1514" t="s">
        <v>135</v>
      </c>
      <c r="P1514" s="127" t="s">
        <v>318</v>
      </c>
      <c r="Q1514" s="2" t="s">
        <v>321</v>
      </c>
      <c r="R1514">
        <v>133</v>
      </c>
      <c r="S1514" s="2">
        <v>26</v>
      </c>
      <c r="T1514" t="s">
        <v>297</v>
      </c>
      <c r="U1514" t="s">
        <v>300</v>
      </c>
      <c r="V1514" t="s">
        <v>314</v>
      </c>
      <c r="W1514" s="41">
        <f>IFERROR(VLOOKUP(TA[[#This Row],[Date]],Raw_Data[[Date]:[Sunset Time (POA&lt;20 W/m2)]],3,0),"")</f>
        <v>0.25763888888888886</v>
      </c>
      <c r="X1514" s="41">
        <f>IFERROR(VLOOKUP(TA[[#This Row],[Date]],Raw_Data[[Date]:[Sunset Time (POA&lt;20 W/m2)]],3,0),"")</f>
        <v>0.25763888888888886</v>
      </c>
      <c r="Y1514" s="34"/>
      <c r="Z1514" s="34">
        <v>0.76041666666666663</v>
      </c>
      <c r="AA1514" s="35">
        <f>IF(TA[[#This Row],[Work Start time on Fault]]="NA","",(TA[[#This Row],[Fault Acknowledgement Time ]]-TA[[#This Row],[Fault Time]])*24)</f>
        <v>0</v>
      </c>
      <c r="AB1514" s="35">
        <f>(TA[[#This Row],[Work Start time on Fault]]-TA[[#This Row],[Fault Time]])*24</f>
        <v>-6.1833333333333327</v>
      </c>
      <c r="AC1514" s="34">
        <f>(TA[[#This Row],[Work Completion time on fault]]-TA[[#This Row],[Fault Time]])*24</f>
        <v>12.066666666666666</v>
      </c>
      <c r="AD1514" s="35">
        <f>IFERROR((TA[[#This Row],[Work Completion time on fault]]-TA[[#This Row],[Fault Time]])*24,"")</f>
        <v>12.066666666666666</v>
      </c>
      <c r="AE1514" t="s">
        <v>328</v>
      </c>
      <c r="AF1514" t="s">
        <v>256</v>
      </c>
      <c r="AG1514" s="2"/>
      <c r="AH1514" s="44">
        <f>1-COS(RADIANS(TA[[#This Row],[Avg. Target Angle during Fault Time (Radians)]]-TA[[#This Row],[Angle of affected equipment ]]))</f>
        <v>0.11705240714107301</v>
      </c>
      <c r="AI1514" s="35">
        <f>IFERROR(TA[[#This Row],[Breakdown Time]]*TA[[#This Row],[Plant Equivalent Weightage]],"")</f>
        <v>0.10402298850574708</v>
      </c>
    </row>
    <row r="1515" spans="1:35">
      <c r="A1515" s="2">
        <f t="shared" si="187"/>
        <v>1512</v>
      </c>
      <c r="B1515" s="156">
        <f t="shared" si="185"/>
        <v>2026</v>
      </c>
      <c r="C1515" s="129">
        <f t="shared" si="186"/>
        <v>2025</v>
      </c>
      <c r="D1515" s="2" t="s">
        <v>155</v>
      </c>
      <c r="E1515" s="2" t="s">
        <v>155</v>
      </c>
      <c r="F1515" s="39">
        <v>45839</v>
      </c>
      <c r="G1515" s="2">
        <f>DAY(EOMONTH(TA[[#This Row],[Month Year]],0))</f>
        <v>31</v>
      </c>
      <c r="H1515" s="21">
        <v>45853</v>
      </c>
      <c r="I1515" s="41">
        <f>IFERROR(VLOOKUP(TA[[#This Row],[Date]],Raw_Data[[Date]:[Sunset Time (POA&lt;20 W/m2)]],3,0),"")</f>
        <v>0.25763888888888886</v>
      </c>
      <c r="J1515" s="41">
        <f>IFERROR(VLOOKUP(TA[[#This Row],[Date]],Raw_Data[[Date]:[Sunset Time (POA&lt;20 W/m2)]],4,0),"")</f>
        <v>0.78680555555555554</v>
      </c>
      <c r="K1515" s="35">
        <f>IFERROR((TA[[#This Row],[Sunset Time (POA&lt;20 W/m2)]]-TA[[#This Row],[Sunrise Time (POA&gt;20 W/m2)]])*24,"")</f>
        <v>12.7</v>
      </c>
      <c r="L1515" s="2" t="s">
        <v>294</v>
      </c>
      <c r="M1515" s="42">
        <f>IFERROR(VLOOKUP(TA[[#This Row],[Affected Equipment]],'Basic Data'!$I$2:$K$40,3,0),"")</f>
        <v>1.7241379310344799E-3</v>
      </c>
      <c r="N1515">
        <v>-28</v>
      </c>
      <c r="O1515" t="s">
        <v>133</v>
      </c>
      <c r="P1515" s="127" t="s">
        <v>316</v>
      </c>
      <c r="Q1515" s="126" t="s">
        <v>317</v>
      </c>
      <c r="R1515">
        <v>7</v>
      </c>
      <c r="S1515" s="2">
        <v>32</v>
      </c>
      <c r="T1515" t="s">
        <v>295</v>
      </c>
      <c r="U1515" t="s">
        <v>300</v>
      </c>
      <c r="V1515" t="s">
        <v>298</v>
      </c>
      <c r="W1515" s="41"/>
      <c r="X1515" s="41"/>
      <c r="Y1515" s="34"/>
      <c r="Z1515" s="34"/>
      <c r="AA1515" s="35">
        <f>IF(TA[[#This Row],[Work Start time on Fault]]="NA","",(TA[[#This Row],[Fault Acknowledgement Time ]]-TA[[#This Row],[Fault Time]])*24)</f>
        <v>0</v>
      </c>
      <c r="AB1515" s="35">
        <f>(TA[[#This Row],[Work Start time on Fault]]-TA[[#This Row],[Fault Time]])*24</f>
        <v>0</v>
      </c>
      <c r="AC1515" s="34">
        <f>(TA[[#This Row],[Work Completion time on fault]]-TA[[#This Row],[Fault Time]])*24</f>
        <v>0</v>
      </c>
      <c r="AD1515" s="35">
        <f>IFERROR((TA[[#This Row],[Work Completion time on fault]]-TA[[#This Row],[Fault Time]])*24,"")</f>
        <v>0</v>
      </c>
      <c r="AE1515" t="s">
        <v>328</v>
      </c>
      <c r="AF1515" t="s">
        <v>256</v>
      </c>
      <c r="AG1515" s="2"/>
      <c r="AH1515" s="44">
        <f>1-COS(RADIANS(TA[[#This Row],[Avg. Target Angle during Fault Time (Radians)]]-TA[[#This Row],[Angle of affected equipment ]]))</f>
        <v>0.11705240714107301</v>
      </c>
      <c r="AI1515" s="35">
        <f>IFERROR(TA[[#This Row],[Breakdown Time]]*TA[[#This Row],[Plant Equivalent Weightage]],"")</f>
        <v>0</v>
      </c>
    </row>
    <row r="1516" spans="1:35">
      <c r="A1516" s="2">
        <f t="shared" si="187"/>
        <v>1513</v>
      </c>
      <c r="B1516" s="156">
        <f t="shared" si="185"/>
        <v>2026</v>
      </c>
      <c r="C1516" s="129">
        <f t="shared" si="186"/>
        <v>2025</v>
      </c>
      <c r="D1516" s="2" t="s">
        <v>155</v>
      </c>
      <c r="E1516" s="2" t="s">
        <v>155</v>
      </c>
      <c r="F1516" s="39">
        <v>45839</v>
      </c>
      <c r="G1516" s="2">
        <f>DAY(EOMONTH(TA[[#This Row],[Month Year]],0))</f>
        <v>31</v>
      </c>
      <c r="H1516" s="21">
        <v>45853</v>
      </c>
      <c r="I1516" s="41">
        <f>IFERROR(VLOOKUP(TA[[#This Row],[Date]],Raw_Data[[Date]:[Sunset Time (POA&lt;20 W/m2)]],3,0),"")</f>
        <v>0.25763888888888886</v>
      </c>
      <c r="J1516" s="41">
        <f>IFERROR(VLOOKUP(TA[[#This Row],[Date]],Raw_Data[[Date]:[Sunset Time (POA&lt;20 W/m2)]],4,0),"")</f>
        <v>0.78680555555555554</v>
      </c>
      <c r="K1516" s="35">
        <f>IFERROR((TA[[#This Row],[Sunset Time (POA&lt;20 W/m2)]]-TA[[#This Row],[Sunrise Time (POA&gt;20 W/m2)]])*24,"")</f>
        <v>12.7</v>
      </c>
      <c r="L1516" s="2" t="s">
        <v>294</v>
      </c>
      <c r="M1516" s="42">
        <f>IFERROR(VLOOKUP(TA[[#This Row],[Affected Equipment]],'Basic Data'!$I$2:$K$40,3,0),"")</f>
        <v>1.7241379310344799E-3</v>
      </c>
      <c r="N1516">
        <v>-28</v>
      </c>
      <c r="O1516" t="s">
        <v>137</v>
      </c>
      <c r="P1516" s="127" t="s">
        <v>315</v>
      </c>
      <c r="Q1516" s="126" t="s">
        <v>319</v>
      </c>
      <c r="R1516">
        <v>166</v>
      </c>
      <c r="S1516" s="2">
        <v>91</v>
      </c>
      <c r="T1516" t="s">
        <v>295</v>
      </c>
      <c r="U1516" t="s">
        <v>300</v>
      </c>
      <c r="V1516" t="s">
        <v>298</v>
      </c>
      <c r="W1516" s="41"/>
      <c r="X1516" s="41"/>
      <c r="Y1516" s="34"/>
      <c r="Z1516" s="34"/>
      <c r="AA1516" s="35">
        <f>IF(TA[[#This Row],[Work Start time on Fault]]="NA","",(TA[[#This Row],[Fault Acknowledgement Time ]]-TA[[#This Row],[Fault Time]])*24)</f>
        <v>0</v>
      </c>
      <c r="AB1516" s="35">
        <f>(TA[[#This Row],[Work Start time on Fault]]-TA[[#This Row],[Fault Time]])*24</f>
        <v>0</v>
      </c>
      <c r="AC1516" s="34">
        <f>(TA[[#This Row],[Work Completion time on fault]]-TA[[#This Row],[Fault Time]])*24</f>
        <v>0</v>
      </c>
      <c r="AD1516" s="35">
        <f>IFERROR((TA[[#This Row],[Work Completion time on fault]]-TA[[#This Row],[Fault Time]])*24,"")</f>
        <v>0</v>
      </c>
      <c r="AE1516" t="s">
        <v>328</v>
      </c>
      <c r="AF1516" t="s">
        <v>256</v>
      </c>
      <c r="AG1516" s="2"/>
      <c r="AH1516" s="44">
        <f>1-COS(RADIANS(TA[[#This Row],[Avg. Target Angle during Fault Time (Radians)]]-TA[[#This Row],[Angle of affected equipment ]]))</f>
        <v>0.11705240714107301</v>
      </c>
      <c r="AI1516" s="35">
        <f>IFERROR(TA[[#This Row],[Breakdown Time]]*TA[[#This Row],[Plant Equivalent Weightage]],"")</f>
        <v>0</v>
      </c>
    </row>
    <row r="1517" spans="1:35">
      <c r="A1517" s="2">
        <f t="shared" si="187"/>
        <v>1514</v>
      </c>
      <c r="B1517" s="156">
        <f t="shared" si="185"/>
        <v>2026</v>
      </c>
      <c r="C1517" s="129">
        <f t="shared" si="186"/>
        <v>2025</v>
      </c>
      <c r="D1517" s="2" t="s">
        <v>155</v>
      </c>
      <c r="E1517" s="2" t="s">
        <v>155</v>
      </c>
      <c r="F1517" s="39">
        <v>45839</v>
      </c>
      <c r="G1517" s="2">
        <f>DAY(EOMONTH(TA[[#This Row],[Month Year]],0))</f>
        <v>31</v>
      </c>
      <c r="H1517" s="21">
        <v>45853</v>
      </c>
      <c r="I1517" s="41">
        <f>IFERROR(VLOOKUP(TA[[#This Row],[Date]],Raw_Data[[Date]:[Sunset Time (POA&lt;20 W/m2)]],3,0),"")</f>
        <v>0.25763888888888886</v>
      </c>
      <c r="J1517" s="41">
        <f>IFERROR(VLOOKUP(TA[[#This Row],[Date]],Raw_Data[[Date]:[Sunset Time (POA&lt;20 W/m2)]],4,0),"")</f>
        <v>0.78680555555555554</v>
      </c>
      <c r="K1517" s="35">
        <f>IFERROR((TA[[#This Row],[Sunset Time (POA&lt;20 W/m2)]]-TA[[#This Row],[Sunrise Time (POA&gt;20 W/m2)]])*24,"")</f>
        <v>12.7</v>
      </c>
      <c r="L1517" s="2" t="s">
        <v>294</v>
      </c>
      <c r="M1517" s="42">
        <f>IFERROR(VLOOKUP(TA[[#This Row],[Affected Equipment]],'Basic Data'!$I$2:$K$40,3,0),"")</f>
        <v>1.7241379310344799E-3</v>
      </c>
      <c r="N1517">
        <v>-28</v>
      </c>
      <c r="O1517" t="s">
        <v>133</v>
      </c>
      <c r="P1517" s="127" t="s">
        <v>316</v>
      </c>
      <c r="Q1517" s="126" t="s">
        <v>316</v>
      </c>
      <c r="R1517">
        <v>117</v>
      </c>
      <c r="S1517" s="2">
        <v>20</v>
      </c>
      <c r="T1517" t="s">
        <v>295</v>
      </c>
      <c r="U1517" t="s">
        <v>300</v>
      </c>
      <c r="V1517" t="s">
        <v>298</v>
      </c>
      <c r="W1517" s="41"/>
      <c r="X1517" s="41"/>
      <c r="Y1517" s="34"/>
      <c r="Z1517" s="34"/>
      <c r="AA1517" s="35">
        <f>IF(TA[[#This Row],[Work Start time on Fault]]="NA","",(TA[[#This Row],[Fault Acknowledgement Time ]]-TA[[#This Row],[Fault Time]])*24)</f>
        <v>0</v>
      </c>
      <c r="AB1517" s="35">
        <f>(TA[[#This Row],[Work Start time on Fault]]-TA[[#This Row],[Fault Time]])*24</f>
        <v>0</v>
      </c>
      <c r="AC1517" s="34">
        <f>(TA[[#This Row],[Work Completion time on fault]]-TA[[#This Row],[Fault Time]])*24</f>
        <v>0</v>
      </c>
      <c r="AD1517" s="35">
        <f>IFERROR((TA[[#This Row],[Work Completion time on fault]]-TA[[#This Row],[Fault Time]])*24,"")</f>
        <v>0</v>
      </c>
      <c r="AE1517" t="s">
        <v>328</v>
      </c>
      <c r="AF1517" t="s">
        <v>256</v>
      </c>
      <c r="AG1517" s="2"/>
      <c r="AH1517" s="44">
        <f>1-COS(RADIANS(TA[[#This Row],[Avg. Target Angle during Fault Time (Radians)]]-TA[[#This Row],[Angle of affected equipment ]]))</f>
        <v>0.11705240714107301</v>
      </c>
      <c r="AI1517" s="35">
        <f>IFERROR(TA[[#This Row],[Breakdown Time]]*TA[[#This Row],[Plant Equivalent Weightage]],"")</f>
        <v>0</v>
      </c>
    </row>
    <row r="1518" spans="1:35">
      <c r="A1518" s="2">
        <f t="shared" si="187"/>
        <v>1515</v>
      </c>
      <c r="B1518" s="156">
        <f t="shared" si="185"/>
        <v>2026</v>
      </c>
      <c r="C1518" s="129">
        <f t="shared" si="186"/>
        <v>2025</v>
      </c>
      <c r="D1518" s="2" t="s">
        <v>155</v>
      </c>
      <c r="E1518" s="2" t="s">
        <v>155</v>
      </c>
      <c r="F1518" s="39">
        <v>45839</v>
      </c>
      <c r="G1518" s="2">
        <f>DAY(EOMONTH(TA[[#This Row],[Month Year]],0))</f>
        <v>31</v>
      </c>
      <c r="H1518" s="21">
        <v>45853</v>
      </c>
      <c r="I1518" s="41">
        <f>IFERROR(VLOOKUP(TA[[#This Row],[Date]],Raw_Data[[Date]:[Sunset Time (POA&lt;20 W/m2)]],3,0),"")</f>
        <v>0.25763888888888886</v>
      </c>
      <c r="J1518" s="41">
        <f>IFERROR(VLOOKUP(TA[[#This Row],[Date]],Raw_Data[[Date]:[Sunset Time (POA&lt;20 W/m2)]],4,0),"")</f>
        <v>0.78680555555555554</v>
      </c>
      <c r="K1518" s="35">
        <f>IFERROR((TA[[#This Row],[Sunset Time (POA&lt;20 W/m2)]]-TA[[#This Row],[Sunrise Time (POA&gt;20 W/m2)]])*24,"")</f>
        <v>12.7</v>
      </c>
      <c r="L1518" s="2" t="s">
        <v>294</v>
      </c>
      <c r="M1518" s="42">
        <f>IFERROR(VLOOKUP(TA[[#This Row],[Affected Equipment]],'Basic Data'!$I$2:$K$40,3,0),"")</f>
        <v>1.7241379310344799E-3</v>
      </c>
      <c r="N1518">
        <v>-28</v>
      </c>
      <c r="O1518" t="s">
        <v>133</v>
      </c>
      <c r="P1518" s="127" t="s">
        <v>316</v>
      </c>
      <c r="Q1518" s="126" t="s">
        <v>316</v>
      </c>
      <c r="R1518">
        <v>118</v>
      </c>
      <c r="S1518" s="2">
        <v>22</v>
      </c>
      <c r="T1518" t="s">
        <v>295</v>
      </c>
      <c r="U1518" t="s">
        <v>300</v>
      </c>
      <c r="V1518" t="s">
        <v>298</v>
      </c>
      <c r="W1518" s="41"/>
      <c r="X1518" s="41"/>
      <c r="Y1518" s="34"/>
      <c r="Z1518" s="34"/>
      <c r="AA1518" s="35">
        <f>IF(TA[[#This Row],[Work Start time on Fault]]="NA","",(TA[[#This Row],[Fault Acknowledgement Time ]]-TA[[#This Row],[Fault Time]])*24)</f>
        <v>0</v>
      </c>
      <c r="AB1518" s="35">
        <f>(TA[[#This Row],[Work Start time on Fault]]-TA[[#This Row],[Fault Time]])*24</f>
        <v>0</v>
      </c>
      <c r="AC1518" s="34">
        <f>(TA[[#This Row],[Work Completion time on fault]]-TA[[#This Row],[Fault Time]])*24</f>
        <v>0</v>
      </c>
      <c r="AD1518" s="35">
        <f>IFERROR((TA[[#This Row],[Work Completion time on fault]]-TA[[#This Row],[Fault Time]])*24,"")</f>
        <v>0</v>
      </c>
      <c r="AE1518" t="s">
        <v>328</v>
      </c>
      <c r="AF1518" t="s">
        <v>256</v>
      </c>
      <c r="AG1518" s="2"/>
      <c r="AH1518" s="44">
        <f>1-COS(RADIANS(TA[[#This Row],[Avg. Target Angle during Fault Time (Radians)]]-TA[[#This Row],[Angle of affected equipment ]]))</f>
        <v>0.11705240714107301</v>
      </c>
      <c r="AI1518" s="35">
        <f>IFERROR(TA[[#This Row],[Breakdown Time]]*TA[[#This Row],[Plant Equivalent Weightage]],"")</f>
        <v>0</v>
      </c>
    </row>
    <row r="1519" spans="1:35">
      <c r="A1519" s="2">
        <f t="shared" si="187"/>
        <v>1516</v>
      </c>
      <c r="B1519" s="156">
        <f t="shared" si="185"/>
        <v>2026</v>
      </c>
      <c r="C1519" s="129">
        <f t="shared" si="186"/>
        <v>2025</v>
      </c>
      <c r="D1519" s="2" t="s">
        <v>155</v>
      </c>
      <c r="E1519" s="2" t="s">
        <v>155</v>
      </c>
      <c r="F1519" s="39">
        <v>45839</v>
      </c>
      <c r="G1519" s="2">
        <f>DAY(EOMONTH(TA[[#This Row],[Month Year]],0))</f>
        <v>31</v>
      </c>
      <c r="H1519" s="21">
        <v>45853</v>
      </c>
      <c r="I1519" s="41">
        <f>IFERROR(VLOOKUP(TA[[#This Row],[Date]],Raw_Data[[Date]:[Sunset Time (POA&lt;20 W/m2)]],3,0),"")</f>
        <v>0.25763888888888886</v>
      </c>
      <c r="J1519" s="41">
        <f>IFERROR(VLOOKUP(TA[[#This Row],[Date]],Raw_Data[[Date]:[Sunset Time (POA&lt;20 W/m2)]],4,0),"")</f>
        <v>0.78680555555555554</v>
      </c>
      <c r="K1519" s="35">
        <f>IFERROR((TA[[#This Row],[Sunset Time (POA&lt;20 W/m2)]]-TA[[#This Row],[Sunrise Time (POA&gt;20 W/m2)]])*24,"")</f>
        <v>12.7</v>
      </c>
      <c r="L1519" s="2" t="s">
        <v>296</v>
      </c>
      <c r="M1519" s="42">
        <f>IFERROR(VLOOKUP(TA[[#This Row],[Affected Equipment]],'Basic Data'!$I$2:$K$40,3,0),"")</f>
        <v>8.6206896551724102E-3</v>
      </c>
      <c r="N1519">
        <v>-28</v>
      </c>
      <c r="O1519" t="s">
        <v>135</v>
      </c>
      <c r="P1519" s="22" t="s">
        <v>323</v>
      </c>
      <c r="Q1519" s="2" t="s">
        <v>329</v>
      </c>
      <c r="R1519">
        <v>45</v>
      </c>
      <c r="S1519" s="2">
        <v>8</v>
      </c>
      <c r="T1519" t="s">
        <v>297</v>
      </c>
      <c r="U1519" t="s">
        <v>300</v>
      </c>
      <c r="V1519" t="s">
        <v>301</v>
      </c>
      <c r="W1519" s="41"/>
      <c r="X1519" s="41"/>
      <c r="Y1519" s="34"/>
      <c r="Z1519" s="34"/>
      <c r="AA1519" s="35">
        <f>IF(TA[[#This Row],[Work Start time on Fault]]="NA","",(TA[[#This Row],[Fault Acknowledgement Time ]]-TA[[#This Row],[Fault Time]])*24)</f>
        <v>0</v>
      </c>
      <c r="AB1519" s="35">
        <f>(TA[[#This Row],[Work Start time on Fault]]-TA[[#This Row],[Fault Time]])*24</f>
        <v>0</v>
      </c>
      <c r="AC1519" s="34">
        <f>(TA[[#This Row],[Work Completion time on fault]]-TA[[#This Row],[Fault Time]])*24</f>
        <v>0</v>
      </c>
      <c r="AD1519" s="35">
        <f>IFERROR((TA[[#This Row],[Work Completion time on fault]]-TA[[#This Row],[Fault Time]])*24,"")</f>
        <v>0</v>
      </c>
      <c r="AE1519" t="s">
        <v>328</v>
      </c>
      <c r="AF1519" t="s">
        <v>256</v>
      </c>
      <c r="AG1519" s="2"/>
      <c r="AH1519" s="44">
        <f>1-COS(RADIANS(TA[[#This Row],[Avg. Target Angle during Fault Time (Radians)]]-TA[[#This Row],[Angle of affected equipment ]]))</f>
        <v>0.11705240714107301</v>
      </c>
      <c r="AI1519" s="35">
        <f>IFERROR(TA[[#This Row],[Breakdown Time]]*TA[[#This Row],[Plant Equivalent Weightage]],"")</f>
        <v>0</v>
      </c>
    </row>
    <row r="1520" spans="1:35">
      <c r="A1520" s="2">
        <f t="shared" si="187"/>
        <v>1517</v>
      </c>
      <c r="B1520" s="156">
        <f t="shared" si="185"/>
        <v>2026</v>
      </c>
      <c r="C1520" s="129">
        <f t="shared" si="186"/>
        <v>2025</v>
      </c>
      <c r="D1520" s="2" t="s">
        <v>155</v>
      </c>
      <c r="E1520" s="2" t="s">
        <v>155</v>
      </c>
      <c r="F1520" s="39">
        <v>45839</v>
      </c>
      <c r="G1520" s="2">
        <f>DAY(EOMONTH(TA[[#This Row],[Month Year]],0))</f>
        <v>31</v>
      </c>
      <c r="H1520" s="21">
        <v>45853</v>
      </c>
      <c r="I1520" s="41">
        <f>IFERROR(VLOOKUP(TA[[#This Row],[Date]],Raw_Data[[Date]:[Sunset Time (POA&lt;20 W/m2)]],3,0),"")</f>
        <v>0.25763888888888886</v>
      </c>
      <c r="J1520" s="41">
        <f>IFERROR(VLOOKUP(TA[[#This Row],[Date]],Raw_Data[[Date]:[Sunset Time (POA&lt;20 W/m2)]],4,0),"")</f>
        <v>0.78680555555555554</v>
      </c>
      <c r="K1520" s="35">
        <f>IFERROR((TA[[#This Row],[Sunset Time (POA&lt;20 W/m2)]]-TA[[#This Row],[Sunrise Time (POA&gt;20 W/m2)]])*24,"")</f>
        <v>12.7</v>
      </c>
      <c r="L1520" s="2" t="s">
        <v>296</v>
      </c>
      <c r="M1520" s="42">
        <f>IFERROR(VLOOKUP(TA[[#This Row],[Affected Equipment]],'Basic Data'!$I$2:$K$40,3,0),"")</f>
        <v>8.6206896551724102E-3</v>
      </c>
      <c r="N1520">
        <v>-28</v>
      </c>
      <c r="O1520" t="s">
        <v>135</v>
      </c>
      <c r="P1520" s="22" t="s">
        <v>323</v>
      </c>
      <c r="Q1520" s="2" t="s">
        <v>329</v>
      </c>
      <c r="R1520">
        <v>47</v>
      </c>
      <c r="S1520" s="2">
        <v>18</v>
      </c>
      <c r="T1520" t="s">
        <v>297</v>
      </c>
      <c r="U1520" t="s">
        <v>300</v>
      </c>
      <c r="V1520" t="s">
        <v>301</v>
      </c>
      <c r="W1520" s="41"/>
      <c r="X1520" s="41"/>
      <c r="Y1520" s="34"/>
      <c r="Z1520" s="34"/>
      <c r="AA1520" s="35">
        <f>IF(TA[[#This Row],[Work Start time on Fault]]="NA","",(TA[[#This Row],[Fault Acknowledgement Time ]]-TA[[#This Row],[Fault Time]])*24)</f>
        <v>0</v>
      </c>
      <c r="AB1520" s="35">
        <f>(TA[[#This Row],[Work Start time on Fault]]-TA[[#This Row],[Fault Time]])*24</f>
        <v>0</v>
      </c>
      <c r="AC1520" s="34">
        <f>(TA[[#This Row],[Work Completion time on fault]]-TA[[#This Row],[Fault Time]])*24</f>
        <v>0</v>
      </c>
      <c r="AD1520" s="35">
        <f>IFERROR((TA[[#This Row],[Work Completion time on fault]]-TA[[#This Row],[Fault Time]])*24,"")</f>
        <v>0</v>
      </c>
      <c r="AE1520" t="s">
        <v>328</v>
      </c>
      <c r="AF1520" t="s">
        <v>256</v>
      </c>
      <c r="AG1520" s="2"/>
      <c r="AH1520" s="44">
        <f>1-COS(RADIANS(TA[[#This Row],[Avg. Target Angle during Fault Time (Radians)]]-TA[[#This Row],[Angle of affected equipment ]]))</f>
        <v>0.11705240714107301</v>
      </c>
      <c r="AI1520" s="35">
        <f>IFERROR(TA[[#This Row],[Breakdown Time]]*TA[[#This Row],[Plant Equivalent Weightage]],"")</f>
        <v>0</v>
      </c>
    </row>
    <row r="1521" spans="1:35">
      <c r="A1521" s="2">
        <f t="shared" si="187"/>
        <v>1518</v>
      </c>
      <c r="B1521" s="156">
        <f t="shared" si="185"/>
        <v>2026</v>
      </c>
      <c r="C1521" s="129">
        <f t="shared" si="186"/>
        <v>2025</v>
      </c>
      <c r="D1521" s="2" t="s">
        <v>155</v>
      </c>
      <c r="E1521" s="2" t="s">
        <v>155</v>
      </c>
      <c r="F1521" s="39">
        <v>45839</v>
      </c>
      <c r="G1521" s="2">
        <f>DAY(EOMONTH(TA[[#This Row],[Month Year]],0))</f>
        <v>31</v>
      </c>
      <c r="H1521" s="21">
        <v>45853</v>
      </c>
      <c r="I1521" s="41">
        <f>IFERROR(VLOOKUP(TA[[#This Row],[Date]],Raw_Data[[Date]:[Sunset Time (POA&lt;20 W/m2)]],3,0),"")</f>
        <v>0.25763888888888886</v>
      </c>
      <c r="J1521" s="41">
        <f>IFERROR(VLOOKUP(TA[[#This Row],[Date]],Raw_Data[[Date]:[Sunset Time (POA&lt;20 W/m2)]],4,0),"")</f>
        <v>0.78680555555555554</v>
      </c>
      <c r="K1521" s="35">
        <f>IFERROR((TA[[#This Row],[Sunset Time (POA&lt;20 W/m2)]]-TA[[#This Row],[Sunrise Time (POA&gt;20 W/m2)]])*24,"")</f>
        <v>12.7</v>
      </c>
      <c r="L1521" s="2" t="s">
        <v>296</v>
      </c>
      <c r="M1521" s="42">
        <f>IFERROR(VLOOKUP(TA[[#This Row],[Affected Equipment]],'Basic Data'!$I$2:$K$40,3,0),"")</f>
        <v>8.6206896551724102E-3</v>
      </c>
      <c r="N1521">
        <v>-28</v>
      </c>
      <c r="O1521" t="s">
        <v>134</v>
      </c>
      <c r="P1521" s="22" t="s">
        <v>330</v>
      </c>
      <c r="Q1521" s="2" t="s">
        <v>323</v>
      </c>
      <c r="R1521">
        <v>30</v>
      </c>
      <c r="S1521" s="2">
        <v>57</v>
      </c>
      <c r="T1521" t="s">
        <v>297</v>
      </c>
      <c r="U1521" t="s">
        <v>300</v>
      </c>
      <c r="V1521" t="s">
        <v>301</v>
      </c>
      <c r="W1521" s="41"/>
      <c r="X1521" s="41"/>
      <c r="Y1521" s="34"/>
      <c r="Z1521" s="34"/>
      <c r="AA1521" s="35">
        <f>IF(TA[[#This Row],[Work Start time on Fault]]="NA","",(TA[[#This Row],[Fault Acknowledgement Time ]]-TA[[#This Row],[Fault Time]])*24)</f>
        <v>0</v>
      </c>
      <c r="AB1521" s="35">
        <f>(TA[[#This Row],[Work Start time on Fault]]-TA[[#This Row],[Fault Time]])*24</f>
        <v>0</v>
      </c>
      <c r="AC1521" s="34">
        <f>(TA[[#This Row],[Work Completion time on fault]]-TA[[#This Row],[Fault Time]])*24</f>
        <v>0</v>
      </c>
      <c r="AD1521" s="35">
        <f>IFERROR((TA[[#This Row],[Work Completion time on fault]]-TA[[#This Row],[Fault Time]])*24,"")</f>
        <v>0</v>
      </c>
      <c r="AE1521" t="s">
        <v>328</v>
      </c>
      <c r="AF1521" t="s">
        <v>256</v>
      </c>
      <c r="AG1521" s="2"/>
      <c r="AH1521" s="44">
        <f>1-COS(RADIANS(TA[[#This Row],[Avg. Target Angle during Fault Time (Radians)]]-TA[[#This Row],[Angle of affected equipment ]]))</f>
        <v>0.11705240714107301</v>
      </c>
      <c r="AI1521" s="35">
        <f>IFERROR(TA[[#This Row],[Breakdown Time]]*TA[[#This Row],[Plant Equivalent Weightage]],"")</f>
        <v>0</v>
      </c>
    </row>
    <row r="1522" spans="1:35">
      <c r="A1522" s="2">
        <f t="shared" si="187"/>
        <v>1519</v>
      </c>
      <c r="B1522" s="156">
        <f t="shared" si="185"/>
        <v>2026</v>
      </c>
      <c r="C1522" s="129">
        <f t="shared" si="186"/>
        <v>2025</v>
      </c>
      <c r="D1522" s="2" t="s">
        <v>155</v>
      </c>
      <c r="E1522" s="2" t="s">
        <v>155</v>
      </c>
      <c r="F1522" s="39">
        <v>45839</v>
      </c>
      <c r="G1522" s="2">
        <f>DAY(EOMONTH(TA[[#This Row],[Month Year]],0))</f>
        <v>31</v>
      </c>
      <c r="H1522" s="21">
        <v>45853</v>
      </c>
      <c r="I1522" s="41">
        <f>IFERROR(VLOOKUP(TA[[#This Row],[Date]],Raw_Data[[Date]:[Sunset Time (POA&lt;20 W/m2)]],3,0),"")</f>
        <v>0.25763888888888886</v>
      </c>
      <c r="J1522" s="41">
        <f>IFERROR(VLOOKUP(TA[[#This Row],[Date]],Raw_Data[[Date]:[Sunset Time (POA&lt;20 W/m2)]],4,0),"")</f>
        <v>0.78680555555555554</v>
      </c>
      <c r="K1522" s="35">
        <f>IFERROR((TA[[#This Row],[Sunset Time (POA&lt;20 W/m2)]]-TA[[#This Row],[Sunrise Time (POA&gt;20 W/m2)]])*24,"")</f>
        <v>12.7</v>
      </c>
      <c r="L1522" s="2" t="s">
        <v>296</v>
      </c>
      <c r="M1522" s="42">
        <f>IFERROR(VLOOKUP(TA[[#This Row],[Affected Equipment]],'Basic Data'!$I$2:$K$40,3,0),"")</f>
        <v>8.6206896551724102E-3</v>
      </c>
      <c r="N1522">
        <v>-28</v>
      </c>
      <c r="O1522" t="s">
        <v>134</v>
      </c>
      <c r="P1522" s="22" t="s">
        <v>330</v>
      </c>
      <c r="Q1522" s="2" t="s">
        <v>323</v>
      </c>
      <c r="R1522">
        <v>31</v>
      </c>
      <c r="S1522" s="2">
        <v>61</v>
      </c>
      <c r="T1522" t="s">
        <v>297</v>
      </c>
      <c r="U1522" t="s">
        <v>300</v>
      </c>
      <c r="V1522" t="s">
        <v>301</v>
      </c>
      <c r="W1522" s="41"/>
      <c r="X1522" s="41"/>
      <c r="Y1522" s="34"/>
      <c r="Z1522" s="34"/>
      <c r="AA1522" s="35">
        <f>IF(TA[[#This Row],[Work Start time on Fault]]="NA","",(TA[[#This Row],[Fault Acknowledgement Time ]]-TA[[#This Row],[Fault Time]])*24)</f>
        <v>0</v>
      </c>
      <c r="AB1522" s="35">
        <f>(TA[[#This Row],[Work Start time on Fault]]-TA[[#This Row],[Fault Time]])*24</f>
        <v>0</v>
      </c>
      <c r="AC1522" s="34">
        <f>(TA[[#This Row],[Work Completion time on fault]]-TA[[#This Row],[Fault Time]])*24</f>
        <v>0</v>
      </c>
      <c r="AD1522" s="35">
        <f>IFERROR((TA[[#This Row],[Work Completion time on fault]]-TA[[#This Row],[Fault Time]])*24,"")</f>
        <v>0</v>
      </c>
      <c r="AE1522" t="s">
        <v>328</v>
      </c>
      <c r="AF1522" t="s">
        <v>256</v>
      </c>
      <c r="AG1522" s="2"/>
      <c r="AH1522" s="44">
        <f>1-COS(RADIANS(TA[[#This Row],[Avg. Target Angle during Fault Time (Radians)]]-TA[[#This Row],[Angle of affected equipment ]]))</f>
        <v>0.11705240714107301</v>
      </c>
      <c r="AI1522" s="35">
        <f>IFERROR(TA[[#This Row],[Breakdown Time]]*TA[[#This Row],[Plant Equivalent Weightage]],"")</f>
        <v>0</v>
      </c>
    </row>
    <row r="1523" spans="1:35">
      <c r="A1523" s="2">
        <f t="shared" si="187"/>
        <v>1520</v>
      </c>
      <c r="B1523" s="156">
        <f t="shared" si="185"/>
        <v>2026</v>
      </c>
      <c r="C1523" s="129">
        <f t="shared" si="186"/>
        <v>2025</v>
      </c>
      <c r="D1523" s="2" t="s">
        <v>155</v>
      </c>
      <c r="E1523" s="2" t="s">
        <v>155</v>
      </c>
      <c r="F1523" s="39">
        <v>45839</v>
      </c>
      <c r="G1523" s="2">
        <f>DAY(EOMONTH(TA[[#This Row],[Month Year]],0))</f>
        <v>31</v>
      </c>
      <c r="H1523" s="21">
        <v>45853</v>
      </c>
      <c r="I1523" s="41">
        <f>IFERROR(VLOOKUP(TA[[#This Row],[Date]],Raw_Data[[Date]:[Sunset Time (POA&lt;20 W/m2)]],3,0),"")</f>
        <v>0.25763888888888886</v>
      </c>
      <c r="J1523" s="41">
        <f>IFERROR(VLOOKUP(TA[[#This Row],[Date]],Raw_Data[[Date]:[Sunset Time (POA&lt;20 W/m2)]],4,0),"")</f>
        <v>0.78680555555555554</v>
      </c>
      <c r="K1523" s="35">
        <f>IFERROR((TA[[#This Row],[Sunset Time (POA&lt;20 W/m2)]]-TA[[#This Row],[Sunrise Time (POA&gt;20 W/m2)]])*24,"")</f>
        <v>12.7</v>
      </c>
      <c r="L1523" s="2" t="s">
        <v>312</v>
      </c>
      <c r="M1523" s="42">
        <f>IFERROR(VLOOKUP(TA[[#This Row],[Affected Equipment]],'Basic Data'!$I$2:$K$40,3,0),"")</f>
        <v>5.74712643678161E-3</v>
      </c>
      <c r="N1523">
        <v>-28</v>
      </c>
      <c r="O1523" t="s">
        <v>133</v>
      </c>
      <c r="P1523" s="22" t="s">
        <v>330</v>
      </c>
      <c r="Q1523" s="2" t="s">
        <v>323</v>
      </c>
      <c r="R1523">
        <v>26</v>
      </c>
      <c r="S1523" s="2">
        <v>37</v>
      </c>
      <c r="T1523" t="s">
        <v>297</v>
      </c>
      <c r="U1523" t="s">
        <v>300</v>
      </c>
      <c r="V1523" t="s">
        <v>301</v>
      </c>
      <c r="W1523" s="41"/>
      <c r="X1523" s="41"/>
      <c r="Y1523" s="34"/>
      <c r="Z1523" s="34"/>
      <c r="AA1523" s="35">
        <f>IF(TA[[#This Row],[Work Start time on Fault]]="NA","",(TA[[#This Row],[Fault Acknowledgement Time ]]-TA[[#This Row],[Fault Time]])*24)</f>
        <v>0</v>
      </c>
      <c r="AB1523" s="35">
        <f>(TA[[#This Row],[Work Start time on Fault]]-TA[[#This Row],[Fault Time]])*24</f>
        <v>0</v>
      </c>
      <c r="AC1523" s="34">
        <f>(TA[[#This Row],[Work Completion time on fault]]-TA[[#This Row],[Fault Time]])*24</f>
        <v>0</v>
      </c>
      <c r="AD1523" s="35">
        <f>IFERROR((TA[[#This Row],[Work Completion time on fault]]-TA[[#This Row],[Fault Time]])*24,"")</f>
        <v>0</v>
      </c>
      <c r="AE1523" t="s">
        <v>328</v>
      </c>
      <c r="AF1523" t="s">
        <v>256</v>
      </c>
      <c r="AG1523" s="2"/>
      <c r="AH1523" s="44">
        <f>1-COS(RADIANS(TA[[#This Row],[Avg. Target Angle during Fault Time (Radians)]]-TA[[#This Row],[Angle of affected equipment ]]))</f>
        <v>0.11705240714107301</v>
      </c>
      <c r="AI1523" s="35">
        <f>IFERROR(TA[[#This Row],[Breakdown Time]]*TA[[#This Row],[Plant Equivalent Weightage]],"")</f>
        <v>0</v>
      </c>
    </row>
    <row r="1524" spans="1:35">
      <c r="A1524" s="2">
        <f t="shared" si="187"/>
        <v>1521</v>
      </c>
      <c r="B1524" s="156">
        <f t="shared" si="185"/>
        <v>2026</v>
      </c>
      <c r="C1524" s="129">
        <f t="shared" si="186"/>
        <v>2025</v>
      </c>
      <c r="D1524" s="2" t="s">
        <v>155</v>
      </c>
      <c r="E1524" s="2" t="s">
        <v>155</v>
      </c>
      <c r="F1524" s="39">
        <v>45839</v>
      </c>
      <c r="G1524" s="2">
        <f>DAY(EOMONTH(TA[[#This Row],[Month Year]],0))</f>
        <v>31</v>
      </c>
      <c r="H1524" s="21">
        <v>45853</v>
      </c>
      <c r="I1524" s="41">
        <f>IFERROR(VLOOKUP(TA[[#This Row],[Date]],Raw_Data[[Date]:[Sunset Time (POA&lt;20 W/m2)]],3,0),"")</f>
        <v>0.25763888888888886</v>
      </c>
      <c r="J1524" s="41">
        <f>IFERROR(VLOOKUP(TA[[#This Row],[Date]],Raw_Data[[Date]:[Sunset Time (POA&lt;20 W/m2)]],4,0),"")</f>
        <v>0.78680555555555554</v>
      </c>
      <c r="K1524" s="35">
        <f>IFERROR((TA[[#This Row],[Sunset Time (POA&lt;20 W/m2)]]-TA[[#This Row],[Sunrise Time (POA&gt;20 W/m2)]])*24,"")</f>
        <v>12.7</v>
      </c>
      <c r="L1524" s="2" t="s">
        <v>312</v>
      </c>
      <c r="M1524" s="42">
        <f>IFERROR(VLOOKUP(TA[[#This Row],[Affected Equipment]],'Basic Data'!$I$2:$K$40,3,0),"")</f>
        <v>5.74712643678161E-3</v>
      </c>
      <c r="N1524">
        <v>-28</v>
      </c>
      <c r="O1524" t="s">
        <v>133</v>
      </c>
      <c r="P1524" s="22" t="s">
        <v>330</v>
      </c>
      <c r="Q1524" s="2" t="s">
        <v>323</v>
      </c>
      <c r="R1524">
        <v>27</v>
      </c>
      <c r="S1524" s="2">
        <v>42</v>
      </c>
      <c r="T1524" t="s">
        <v>297</v>
      </c>
      <c r="U1524" t="s">
        <v>300</v>
      </c>
      <c r="V1524" t="s">
        <v>301</v>
      </c>
      <c r="W1524" s="41">
        <f>IFERROR(VLOOKUP(TA[[#This Row],[Date]],Raw_Data[[Date]:[Sunset Time (POA&lt;20 W/m2)]],3,0),"")</f>
        <v>0.25763888888888886</v>
      </c>
      <c r="X1524" s="41">
        <f>IFERROR(VLOOKUP(TA[[#This Row],[Date]],Raw_Data[[Date]:[Sunset Time (POA&lt;20 W/m2)]],3,0),"")</f>
        <v>0.25763888888888886</v>
      </c>
      <c r="Y1524" s="34"/>
      <c r="Z1524" s="34">
        <v>0.76041666666666663</v>
      </c>
      <c r="AA1524" s="35">
        <f>IF(TA[[#This Row],[Work Start time on Fault]]="NA","",(TA[[#This Row],[Fault Acknowledgement Time ]]-TA[[#This Row],[Fault Time]])*24)</f>
        <v>0</v>
      </c>
      <c r="AB1524" s="35">
        <f>(TA[[#This Row],[Work Start time on Fault]]-TA[[#This Row],[Fault Time]])*24</f>
        <v>-6.1833333333333327</v>
      </c>
      <c r="AC1524" s="34">
        <f>(TA[[#This Row],[Work Completion time on fault]]-TA[[#This Row],[Fault Time]])*24</f>
        <v>12.066666666666666</v>
      </c>
      <c r="AD1524" s="35">
        <f>IFERROR((TA[[#This Row],[Work Completion time on fault]]-TA[[#This Row],[Fault Time]])*24,"")</f>
        <v>12.066666666666666</v>
      </c>
      <c r="AE1524" t="s">
        <v>309</v>
      </c>
      <c r="AF1524" t="s">
        <v>256</v>
      </c>
      <c r="AG1524" s="2"/>
      <c r="AH1524" s="44">
        <f>1-COS(RADIANS(TA[[#This Row],[Avg. Target Angle during Fault Time (Radians)]]-TA[[#This Row],[Angle of affected equipment ]]))</f>
        <v>0.11705240714107301</v>
      </c>
      <c r="AI1524" s="35">
        <f>IFERROR(TA[[#This Row],[Breakdown Time]]*TA[[#This Row],[Plant Equivalent Weightage]],"")</f>
        <v>6.9348659003831428E-2</v>
      </c>
    </row>
    <row r="1525" spans="1:35">
      <c r="A1525" s="2">
        <f t="shared" si="187"/>
        <v>1522</v>
      </c>
      <c r="B1525" s="156">
        <f t="shared" ref="B1525:B1537" si="188">YEAR(H1525)+IF(MONTH(H1525)&gt;=4,1,0)</f>
        <v>2026</v>
      </c>
      <c r="C1525" s="129">
        <f t="shared" ref="C1525:C1537" si="189">YEAR(H1525)</f>
        <v>2025</v>
      </c>
      <c r="D1525" s="2" t="s">
        <v>155</v>
      </c>
      <c r="E1525" s="2" t="s">
        <v>155</v>
      </c>
      <c r="F1525" s="39">
        <v>45839</v>
      </c>
      <c r="G1525" s="2">
        <f>DAY(EOMONTH(TA[[#This Row],[Month Year]],0))</f>
        <v>31</v>
      </c>
      <c r="H1525" s="21">
        <v>45854</v>
      </c>
      <c r="I1525" s="41">
        <f>IFERROR(VLOOKUP(TA[[#This Row],[Date]],Raw_Data[[Date]:[Sunset Time (POA&lt;20 W/m2)]],3,0),"")</f>
        <v>0.25347222222222221</v>
      </c>
      <c r="J1525" s="41">
        <f>IFERROR(VLOOKUP(TA[[#This Row],[Date]],Raw_Data[[Date]:[Sunset Time (POA&lt;20 W/m2)]],4,0),"")</f>
        <v>0.76666666666666672</v>
      </c>
      <c r="K1525" s="35">
        <f>IFERROR((TA[[#This Row],[Sunset Time (POA&lt;20 W/m2)]]-TA[[#This Row],[Sunrise Time (POA&gt;20 W/m2)]])*24,"")</f>
        <v>12.316666666666668</v>
      </c>
      <c r="L1525" s="2" t="s">
        <v>294</v>
      </c>
      <c r="M1525" s="42">
        <f>IFERROR(VLOOKUP(TA[[#This Row],[Affected Equipment]],'Basic Data'!$I$2:$K$40,3,0),"")</f>
        <v>1.7241379310344799E-3</v>
      </c>
      <c r="N1525">
        <v>-28</v>
      </c>
      <c r="O1525" t="s">
        <v>135</v>
      </c>
      <c r="P1525" s="127" t="s">
        <v>318</v>
      </c>
      <c r="Q1525" s="126" t="s">
        <v>318</v>
      </c>
      <c r="R1525">
        <v>131</v>
      </c>
      <c r="S1525" s="2">
        <v>38</v>
      </c>
      <c r="T1525" t="s">
        <v>295</v>
      </c>
      <c r="U1525" t="s">
        <v>300</v>
      </c>
      <c r="V1525" t="s">
        <v>298</v>
      </c>
      <c r="W1525" s="41"/>
      <c r="X1525" s="41"/>
      <c r="Y1525" s="34"/>
      <c r="Z1525" s="34"/>
      <c r="AA1525" s="35">
        <f>IF(TA[[#This Row],[Work Start time on Fault]]="NA","",(TA[[#This Row],[Fault Acknowledgement Time ]]-TA[[#This Row],[Fault Time]])*24)</f>
        <v>0</v>
      </c>
      <c r="AB1525" s="35">
        <f>(TA[[#This Row],[Work Start time on Fault]]-TA[[#This Row],[Fault Time]])*24</f>
        <v>0</v>
      </c>
      <c r="AC1525" s="34">
        <f>(TA[[#This Row],[Work Completion time on fault]]-TA[[#This Row],[Fault Time]])*24</f>
        <v>0</v>
      </c>
      <c r="AD1525" s="35">
        <f>IFERROR((TA[[#This Row],[Work Completion time on fault]]-TA[[#This Row],[Fault Time]])*24,"")</f>
        <v>0</v>
      </c>
      <c r="AE1525" t="s">
        <v>328</v>
      </c>
      <c r="AF1525" t="s">
        <v>256</v>
      </c>
      <c r="AG1525" s="2"/>
      <c r="AH1525" s="44">
        <f>1-COS(RADIANS(TA[[#This Row],[Avg. Target Angle during Fault Time (Radians)]]-TA[[#This Row],[Angle of affected equipment ]]))</f>
        <v>0.11705240714107301</v>
      </c>
      <c r="AI1525" s="35">
        <f>IFERROR(TA[[#This Row],[Breakdown Time]]*TA[[#This Row],[Plant Equivalent Weightage]],"")</f>
        <v>0</v>
      </c>
    </row>
    <row r="1526" spans="1:35">
      <c r="A1526" s="2">
        <f t="shared" si="187"/>
        <v>1523</v>
      </c>
      <c r="B1526" s="156">
        <f t="shared" si="188"/>
        <v>2026</v>
      </c>
      <c r="C1526" s="129">
        <f t="shared" si="189"/>
        <v>2025</v>
      </c>
      <c r="D1526" s="2" t="s">
        <v>155</v>
      </c>
      <c r="E1526" s="2" t="s">
        <v>155</v>
      </c>
      <c r="F1526" s="39">
        <v>45839</v>
      </c>
      <c r="G1526" s="2">
        <f>DAY(EOMONTH(TA[[#This Row],[Month Year]],0))</f>
        <v>31</v>
      </c>
      <c r="H1526" s="21">
        <v>45854</v>
      </c>
      <c r="I1526" s="41">
        <f>IFERROR(VLOOKUP(TA[[#This Row],[Date]],Raw_Data[[Date]:[Sunset Time (POA&lt;20 W/m2)]],3,0),"")</f>
        <v>0.25347222222222221</v>
      </c>
      <c r="J1526" s="41">
        <f>IFERROR(VLOOKUP(TA[[#This Row],[Date]],Raw_Data[[Date]:[Sunset Time (POA&lt;20 W/m2)]],4,0),"")</f>
        <v>0.76666666666666672</v>
      </c>
      <c r="K1526" s="35">
        <f>IFERROR((TA[[#This Row],[Sunset Time (POA&lt;20 W/m2)]]-TA[[#This Row],[Sunrise Time (POA&gt;20 W/m2)]])*24,"")</f>
        <v>12.316666666666668</v>
      </c>
      <c r="L1526" s="2" t="s">
        <v>294</v>
      </c>
      <c r="M1526" s="42">
        <f>IFERROR(VLOOKUP(TA[[#This Row],[Affected Equipment]],'Basic Data'!$I$2:$K$40,3,0),"")</f>
        <v>1.7241379310344799E-3</v>
      </c>
      <c r="N1526">
        <v>-28</v>
      </c>
      <c r="O1526" t="s">
        <v>135</v>
      </c>
      <c r="P1526" s="127" t="s">
        <v>318</v>
      </c>
      <c r="Q1526" s="126" t="s">
        <v>318</v>
      </c>
      <c r="R1526">
        <v>131</v>
      </c>
      <c r="S1526" s="2">
        <v>39</v>
      </c>
      <c r="T1526" t="s">
        <v>295</v>
      </c>
      <c r="U1526" t="s">
        <v>300</v>
      </c>
      <c r="V1526" t="s">
        <v>298</v>
      </c>
      <c r="W1526" s="41"/>
      <c r="X1526" s="41"/>
      <c r="Y1526" s="34"/>
      <c r="Z1526" s="34"/>
      <c r="AA1526" s="35">
        <f>IF(TA[[#This Row],[Work Start time on Fault]]="NA","",(TA[[#This Row],[Fault Acknowledgement Time ]]-TA[[#This Row],[Fault Time]])*24)</f>
        <v>0</v>
      </c>
      <c r="AB1526" s="35">
        <f>(TA[[#This Row],[Work Start time on Fault]]-TA[[#This Row],[Fault Time]])*24</f>
        <v>0</v>
      </c>
      <c r="AC1526" s="34">
        <f>(TA[[#This Row],[Work Completion time on fault]]-TA[[#This Row],[Fault Time]])*24</f>
        <v>0</v>
      </c>
      <c r="AD1526" s="35">
        <f>IFERROR((TA[[#This Row],[Work Completion time on fault]]-TA[[#This Row],[Fault Time]])*24,"")</f>
        <v>0</v>
      </c>
      <c r="AE1526" t="s">
        <v>328</v>
      </c>
      <c r="AF1526" t="s">
        <v>256</v>
      </c>
      <c r="AG1526" s="2"/>
      <c r="AH1526" s="44">
        <f>1-COS(RADIANS(TA[[#This Row],[Avg. Target Angle during Fault Time (Radians)]]-TA[[#This Row],[Angle of affected equipment ]]))</f>
        <v>0.11705240714107301</v>
      </c>
      <c r="AI1526" s="35">
        <f>IFERROR(TA[[#This Row],[Breakdown Time]]*TA[[#This Row],[Plant Equivalent Weightage]],"")</f>
        <v>0</v>
      </c>
    </row>
    <row r="1527" spans="1:35">
      <c r="A1527" s="2">
        <f t="shared" si="187"/>
        <v>1524</v>
      </c>
      <c r="B1527" s="156">
        <f t="shared" si="188"/>
        <v>2026</v>
      </c>
      <c r="C1527" s="129">
        <f t="shared" si="189"/>
        <v>2025</v>
      </c>
      <c r="D1527" s="2" t="s">
        <v>155</v>
      </c>
      <c r="E1527" s="2" t="s">
        <v>155</v>
      </c>
      <c r="F1527" s="39">
        <v>45839</v>
      </c>
      <c r="G1527" s="2">
        <f>DAY(EOMONTH(TA[[#This Row],[Month Year]],0))</f>
        <v>31</v>
      </c>
      <c r="H1527" s="21">
        <v>45854</v>
      </c>
      <c r="I1527" s="41">
        <f>IFERROR(VLOOKUP(TA[[#This Row],[Date]],Raw_Data[[Date]:[Sunset Time (POA&lt;20 W/m2)]],3,0),"")</f>
        <v>0.25347222222222221</v>
      </c>
      <c r="J1527" s="41">
        <f>IFERROR(VLOOKUP(TA[[#This Row],[Date]],Raw_Data[[Date]:[Sunset Time (POA&lt;20 W/m2)]],4,0),"")</f>
        <v>0.76666666666666672</v>
      </c>
      <c r="K1527" s="35">
        <f>IFERROR((TA[[#This Row],[Sunset Time (POA&lt;20 W/m2)]]-TA[[#This Row],[Sunrise Time (POA&gt;20 W/m2)]])*24,"")</f>
        <v>12.316666666666668</v>
      </c>
      <c r="L1527" s="2" t="s">
        <v>296</v>
      </c>
      <c r="M1527" s="42">
        <f>IFERROR(VLOOKUP(TA[[#This Row],[Affected Equipment]],'Basic Data'!$I$2:$K$40,3,0),"")</f>
        <v>8.6206896551724102E-3</v>
      </c>
      <c r="N1527">
        <v>-28</v>
      </c>
      <c r="O1527" t="s">
        <v>135</v>
      </c>
      <c r="P1527" s="127" t="s">
        <v>318</v>
      </c>
      <c r="Q1527" s="2" t="s">
        <v>321</v>
      </c>
      <c r="R1527">
        <v>133</v>
      </c>
      <c r="S1527" s="2">
        <v>26</v>
      </c>
      <c r="T1527" t="s">
        <v>297</v>
      </c>
      <c r="U1527" t="s">
        <v>300</v>
      </c>
      <c r="V1527" t="s">
        <v>314</v>
      </c>
      <c r="W1527" s="41">
        <f>IFERROR(VLOOKUP(TA[[#This Row],[Date]],Raw_Data[[Date]:[Sunset Time (POA&lt;20 W/m2)]],3,0),"")</f>
        <v>0.25347222222222221</v>
      </c>
      <c r="X1527" s="41">
        <f>IFERROR(VLOOKUP(TA[[#This Row],[Date]],Raw_Data[[Date]:[Sunset Time (POA&lt;20 W/m2)]],3,0),"")</f>
        <v>0.25347222222222221</v>
      </c>
      <c r="Y1527" s="34"/>
      <c r="Z1527" s="34">
        <v>0.76041666666666663</v>
      </c>
      <c r="AA1527" s="35">
        <f>IF(TA[[#This Row],[Work Start time on Fault]]="NA","",(TA[[#This Row],[Fault Acknowledgement Time ]]-TA[[#This Row],[Fault Time]])*24)</f>
        <v>0</v>
      </c>
      <c r="AB1527" s="35">
        <f>(TA[[#This Row],[Work Start time on Fault]]-TA[[#This Row],[Fault Time]])*24</f>
        <v>-6.083333333333333</v>
      </c>
      <c r="AC1527" s="34">
        <f>(TA[[#This Row],[Work Completion time on fault]]-TA[[#This Row],[Fault Time]])*24</f>
        <v>12.166666666666666</v>
      </c>
      <c r="AD1527" s="35">
        <f>IFERROR((TA[[#This Row],[Work Completion time on fault]]-TA[[#This Row],[Fault Time]])*24,"")</f>
        <v>12.166666666666666</v>
      </c>
      <c r="AE1527" t="s">
        <v>328</v>
      </c>
      <c r="AF1527" t="s">
        <v>256</v>
      </c>
      <c r="AG1527" s="2"/>
      <c r="AH1527" s="44">
        <f>1-COS(RADIANS(TA[[#This Row],[Avg. Target Angle during Fault Time (Radians)]]-TA[[#This Row],[Angle of affected equipment ]]))</f>
        <v>0.11705240714107301</v>
      </c>
      <c r="AI1527" s="35">
        <f>IFERROR(TA[[#This Row],[Breakdown Time]]*TA[[#This Row],[Plant Equivalent Weightage]],"")</f>
        <v>0.10488505747126432</v>
      </c>
    </row>
    <row r="1528" spans="1:35">
      <c r="A1528" s="2">
        <f t="shared" si="187"/>
        <v>1525</v>
      </c>
      <c r="B1528" s="156">
        <f t="shared" si="188"/>
        <v>2026</v>
      </c>
      <c r="C1528" s="129">
        <f t="shared" si="189"/>
        <v>2025</v>
      </c>
      <c r="D1528" s="2" t="s">
        <v>155</v>
      </c>
      <c r="E1528" s="2" t="s">
        <v>155</v>
      </c>
      <c r="F1528" s="39">
        <v>45839</v>
      </c>
      <c r="G1528" s="2">
        <f>DAY(EOMONTH(TA[[#This Row],[Month Year]],0))</f>
        <v>31</v>
      </c>
      <c r="H1528" s="21">
        <v>45854</v>
      </c>
      <c r="I1528" s="41">
        <f>IFERROR(VLOOKUP(TA[[#This Row],[Date]],Raw_Data[[Date]:[Sunset Time (POA&lt;20 W/m2)]],3,0),"")</f>
        <v>0.25347222222222221</v>
      </c>
      <c r="J1528" s="41">
        <f>IFERROR(VLOOKUP(TA[[#This Row],[Date]],Raw_Data[[Date]:[Sunset Time (POA&lt;20 W/m2)]],4,0),"")</f>
        <v>0.76666666666666672</v>
      </c>
      <c r="K1528" s="35">
        <f>IFERROR((TA[[#This Row],[Sunset Time (POA&lt;20 W/m2)]]-TA[[#This Row],[Sunrise Time (POA&gt;20 W/m2)]])*24,"")</f>
        <v>12.316666666666668</v>
      </c>
      <c r="L1528" s="2" t="s">
        <v>294</v>
      </c>
      <c r="M1528" s="42">
        <f>IFERROR(VLOOKUP(TA[[#This Row],[Affected Equipment]],'Basic Data'!$I$2:$K$40,3,0),"")</f>
        <v>1.7241379310344799E-3</v>
      </c>
      <c r="N1528">
        <v>-28</v>
      </c>
      <c r="O1528" t="s">
        <v>133</v>
      </c>
      <c r="P1528" s="127" t="s">
        <v>316</v>
      </c>
      <c r="Q1528" s="126" t="s">
        <v>317</v>
      </c>
      <c r="R1528">
        <v>7</v>
      </c>
      <c r="S1528" s="2">
        <v>32</v>
      </c>
      <c r="T1528" t="s">
        <v>295</v>
      </c>
      <c r="U1528" t="s">
        <v>300</v>
      </c>
      <c r="V1528" t="s">
        <v>298</v>
      </c>
      <c r="W1528" s="41"/>
      <c r="X1528" s="41"/>
      <c r="Y1528" s="34"/>
      <c r="Z1528" s="34"/>
      <c r="AA1528" s="35">
        <f>IF(TA[[#This Row],[Work Start time on Fault]]="NA","",(TA[[#This Row],[Fault Acknowledgement Time ]]-TA[[#This Row],[Fault Time]])*24)</f>
        <v>0</v>
      </c>
      <c r="AB1528" s="35">
        <f>(TA[[#This Row],[Work Start time on Fault]]-TA[[#This Row],[Fault Time]])*24</f>
        <v>0</v>
      </c>
      <c r="AC1528" s="34">
        <f>(TA[[#This Row],[Work Completion time on fault]]-TA[[#This Row],[Fault Time]])*24</f>
        <v>0</v>
      </c>
      <c r="AD1528" s="35">
        <f>IFERROR((TA[[#This Row],[Work Completion time on fault]]-TA[[#This Row],[Fault Time]])*24,"")</f>
        <v>0</v>
      </c>
      <c r="AE1528" t="s">
        <v>328</v>
      </c>
      <c r="AF1528" t="s">
        <v>256</v>
      </c>
      <c r="AG1528" s="2"/>
      <c r="AH1528" s="44">
        <f>1-COS(RADIANS(TA[[#This Row],[Avg. Target Angle during Fault Time (Radians)]]-TA[[#This Row],[Angle of affected equipment ]]))</f>
        <v>0.11705240714107301</v>
      </c>
      <c r="AI1528" s="35">
        <f>IFERROR(TA[[#This Row],[Breakdown Time]]*TA[[#This Row],[Plant Equivalent Weightage]],"")</f>
        <v>0</v>
      </c>
    </row>
    <row r="1529" spans="1:35">
      <c r="A1529" s="2">
        <f t="shared" si="187"/>
        <v>1526</v>
      </c>
      <c r="B1529" s="156">
        <f t="shared" si="188"/>
        <v>2026</v>
      </c>
      <c r="C1529" s="129">
        <f t="shared" si="189"/>
        <v>2025</v>
      </c>
      <c r="D1529" s="2" t="s">
        <v>155</v>
      </c>
      <c r="E1529" s="2" t="s">
        <v>155</v>
      </c>
      <c r="F1529" s="39">
        <v>45839</v>
      </c>
      <c r="G1529" s="2">
        <f>DAY(EOMONTH(TA[[#This Row],[Month Year]],0))</f>
        <v>31</v>
      </c>
      <c r="H1529" s="21">
        <v>45854</v>
      </c>
      <c r="I1529" s="41">
        <f>IFERROR(VLOOKUP(TA[[#This Row],[Date]],Raw_Data[[Date]:[Sunset Time (POA&lt;20 W/m2)]],3,0),"")</f>
        <v>0.25347222222222221</v>
      </c>
      <c r="J1529" s="41">
        <f>IFERROR(VLOOKUP(TA[[#This Row],[Date]],Raw_Data[[Date]:[Sunset Time (POA&lt;20 W/m2)]],4,0),"")</f>
        <v>0.76666666666666672</v>
      </c>
      <c r="K1529" s="35">
        <f>IFERROR((TA[[#This Row],[Sunset Time (POA&lt;20 W/m2)]]-TA[[#This Row],[Sunrise Time (POA&gt;20 W/m2)]])*24,"")</f>
        <v>12.316666666666668</v>
      </c>
      <c r="L1529" s="2" t="s">
        <v>294</v>
      </c>
      <c r="M1529" s="42">
        <f>IFERROR(VLOOKUP(TA[[#This Row],[Affected Equipment]],'Basic Data'!$I$2:$K$40,3,0),"")</f>
        <v>1.7241379310344799E-3</v>
      </c>
      <c r="N1529">
        <v>-28</v>
      </c>
      <c r="O1529" t="s">
        <v>137</v>
      </c>
      <c r="P1529" s="127" t="s">
        <v>315</v>
      </c>
      <c r="Q1529" s="126" t="s">
        <v>319</v>
      </c>
      <c r="R1529">
        <v>166</v>
      </c>
      <c r="S1529" s="2">
        <v>91</v>
      </c>
      <c r="T1529" t="s">
        <v>295</v>
      </c>
      <c r="U1529" t="s">
        <v>300</v>
      </c>
      <c r="V1529" t="s">
        <v>298</v>
      </c>
      <c r="W1529" s="41"/>
      <c r="X1529" s="41"/>
      <c r="Y1529" s="34"/>
      <c r="Z1529" s="34"/>
      <c r="AA1529" s="35">
        <f>IF(TA[[#This Row],[Work Start time on Fault]]="NA","",(TA[[#This Row],[Fault Acknowledgement Time ]]-TA[[#This Row],[Fault Time]])*24)</f>
        <v>0</v>
      </c>
      <c r="AB1529" s="35">
        <f>(TA[[#This Row],[Work Start time on Fault]]-TA[[#This Row],[Fault Time]])*24</f>
        <v>0</v>
      </c>
      <c r="AC1529" s="34">
        <f>(TA[[#This Row],[Work Completion time on fault]]-TA[[#This Row],[Fault Time]])*24</f>
        <v>0</v>
      </c>
      <c r="AD1529" s="35">
        <f>IFERROR((TA[[#This Row],[Work Completion time on fault]]-TA[[#This Row],[Fault Time]])*24,"")</f>
        <v>0</v>
      </c>
      <c r="AE1529" t="s">
        <v>328</v>
      </c>
      <c r="AF1529" t="s">
        <v>256</v>
      </c>
      <c r="AG1529" s="2"/>
      <c r="AH1529" s="44">
        <f>1-COS(RADIANS(TA[[#This Row],[Avg. Target Angle during Fault Time (Radians)]]-TA[[#This Row],[Angle of affected equipment ]]))</f>
        <v>0.11705240714107301</v>
      </c>
      <c r="AI1529" s="35">
        <f>IFERROR(TA[[#This Row],[Breakdown Time]]*TA[[#This Row],[Plant Equivalent Weightage]],"")</f>
        <v>0</v>
      </c>
    </row>
    <row r="1530" spans="1:35">
      <c r="A1530" s="2">
        <f t="shared" si="187"/>
        <v>1527</v>
      </c>
      <c r="B1530" s="156">
        <f t="shared" si="188"/>
        <v>2026</v>
      </c>
      <c r="C1530" s="129">
        <f t="shared" si="189"/>
        <v>2025</v>
      </c>
      <c r="D1530" s="2" t="s">
        <v>155</v>
      </c>
      <c r="E1530" s="2" t="s">
        <v>155</v>
      </c>
      <c r="F1530" s="39">
        <v>45839</v>
      </c>
      <c r="G1530" s="2">
        <f>DAY(EOMONTH(TA[[#This Row],[Month Year]],0))</f>
        <v>31</v>
      </c>
      <c r="H1530" s="21">
        <v>45854</v>
      </c>
      <c r="I1530" s="41">
        <f>IFERROR(VLOOKUP(TA[[#This Row],[Date]],Raw_Data[[Date]:[Sunset Time (POA&lt;20 W/m2)]],3,0),"")</f>
        <v>0.25347222222222221</v>
      </c>
      <c r="J1530" s="41">
        <f>IFERROR(VLOOKUP(TA[[#This Row],[Date]],Raw_Data[[Date]:[Sunset Time (POA&lt;20 W/m2)]],4,0),"")</f>
        <v>0.76666666666666672</v>
      </c>
      <c r="K1530" s="35">
        <f>IFERROR((TA[[#This Row],[Sunset Time (POA&lt;20 W/m2)]]-TA[[#This Row],[Sunrise Time (POA&gt;20 W/m2)]])*24,"")</f>
        <v>12.316666666666668</v>
      </c>
      <c r="L1530" s="2" t="s">
        <v>294</v>
      </c>
      <c r="M1530" s="42">
        <f>IFERROR(VLOOKUP(TA[[#This Row],[Affected Equipment]],'Basic Data'!$I$2:$K$40,3,0),"")</f>
        <v>1.7241379310344799E-3</v>
      </c>
      <c r="N1530">
        <v>-28</v>
      </c>
      <c r="O1530" t="s">
        <v>133</v>
      </c>
      <c r="P1530" s="127" t="s">
        <v>316</v>
      </c>
      <c r="Q1530" s="126" t="s">
        <v>316</v>
      </c>
      <c r="R1530">
        <v>117</v>
      </c>
      <c r="S1530" s="2">
        <v>20</v>
      </c>
      <c r="T1530" t="s">
        <v>295</v>
      </c>
      <c r="U1530" t="s">
        <v>300</v>
      </c>
      <c r="V1530" t="s">
        <v>298</v>
      </c>
      <c r="W1530" s="41"/>
      <c r="X1530" s="41"/>
      <c r="Y1530" s="34"/>
      <c r="Z1530" s="34"/>
      <c r="AA1530" s="35">
        <f>IF(TA[[#This Row],[Work Start time on Fault]]="NA","",(TA[[#This Row],[Fault Acknowledgement Time ]]-TA[[#This Row],[Fault Time]])*24)</f>
        <v>0</v>
      </c>
      <c r="AB1530" s="35">
        <f>(TA[[#This Row],[Work Start time on Fault]]-TA[[#This Row],[Fault Time]])*24</f>
        <v>0</v>
      </c>
      <c r="AC1530" s="34">
        <f>(TA[[#This Row],[Work Completion time on fault]]-TA[[#This Row],[Fault Time]])*24</f>
        <v>0</v>
      </c>
      <c r="AD1530" s="35">
        <f>IFERROR((TA[[#This Row],[Work Completion time on fault]]-TA[[#This Row],[Fault Time]])*24,"")</f>
        <v>0</v>
      </c>
      <c r="AE1530" t="s">
        <v>328</v>
      </c>
      <c r="AF1530" t="s">
        <v>256</v>
      </c>
      <c r="AG1530" s="2"/>
      <c r="AH1530" s="44">
        <f>1-COS(RADIANS(TA[[#This Row],[Avg. Target Angle during Fault Time (Radians)]]-TA[[#This Row],[Angle of affected equipment ]]))</f>
        <v>0.11705240714107301</v>
      </c>
      <c r="AI1530" s="35">
        <f>IFERROR(TA[[#This Row],[Breakdown Time]]*TA[[#This Row],[Plant Equivalent Weightage]],"")</f>
        <v>0</v>
      </c>
    </row>
    <row r="1531" spans="1:35">
      <c r="A1531" s="2">
        <f t="shared" si="187"/>
        <v>1528</v>
      </c>
      <c r="B1531" s="156">
        <f t="shared" si="188"/>
        <v>2026</v>
      </c>
      <c r="C1531" s="129">
        <f t="shared" si="189"/>
        <v>2025</v>
      </c>
      <c r="D1531" s="2" t="s">
        <v>155</v>
      </c>
      <c r="E1531" s="2" t="s">
        <v>155</v>
      </c>
      <c r="F1531" s="39">
        <v>45839</v>
      </c>
      <c r="G1531" s="2">
        <f>DAY(EOMONTH(TA[[#This Row],[Month Year]],0))</f>
        <v>31</v>
      </c>
      <c r="H1531" s="21">
        <v>45854</v>
      </c>
      <c r="I1531" s="41">
        <f>IFERROR(VLOOKUP(TA[[#This Row],[Date]],Raw_Data[[Date]:[Sunset Time (POA&lt;20 W/m2)]],3,0),"")</f>
        <v>0.25347222222222221</v>
      </c>
      <c r="J1531" s="41">
        <f>IFERROR(VLOOKUP(TA[[#This Row],[Date]],Raw_Data[[Date]:[Sunset Time (POA&lt;20 W/m2)]],4,0),"")</f>
        <v>0.76666666666666672</v>
      </c>
      <c r="K1531" s="35">
        <f>IFERROR((TA[[#This Row],[Sunset Time (POA&lt;20 W/m2)]]-TA[[#This Row],[Sunrise Time (POA&gt;20 W/m2)]])*24,"")</f>
        <v>12.316666666666668</v>
      </c>
      <c r="L1531" s="2" t="s">
        <v>294</v>
      </c>
      <c r="M1531" s="42">
        <f>IFERROR(VLOOKUP(TA[[#This Row],[Affected Equipment]],'Basic Data'!$I$2:$K$40,3,0),"")</f>
        <v>1.7241379310344799E-3</v>
      </c>
      <c r="N1531">
        <v>-28</v>
      </c>
      <c r="O1531" t="s">
        <v>133</v>
      </c>
      <c r="P1531" s="127" t="s">
        <v>316</v>
      </c>
      <c r="Q1531" s="126" t="s">
        <v>316</v>
      </c>
      <c r="R1531">
        <v>118</v>
      </c>
      <c r="S1531" s="2">
        <v>22</v>
      </c>
      <c r="T1531" t="s">
        <v>295</v>
      </c>
      <c r="U1531" t="s">
        <v>300</v>
      </c>
      <c r="V1531" t="s">
        <v>298</v>
      </c>
      <c r="W1531" s="41"/>
      <c r="X1531" s="41"/>
      <c r="Y1531" s="34"/>
      <c r="Z1531" s="34"/>
      <c r="AA1531" s="35">
        <f>IF(TA[[#This Row],[Work Start time on Fault]]="NA","",(TA[[#This Row],[Fault Acknowledgement Time ]]-TA[[#This Row],[Fault Time]])*24)</f>
        <v>0</v>
      </c>
      <c r="AB1531" s="35">
        <f>(TA[[#This Row],[Work Start time on Fault]]-TA[[#This Row],[Fault Time]])*24</f>
        <v>0</v>
      </c>
      <c r="AC1531" s="34">
        <f>(TA[[#This Row],[Work Completion time on fault]]-TA[[#This Row],[Fault Time]])*24</f>
        <v>0</v>
      </c>
      <c r="AD1531" s="35">
        <f>IFERROR((TA[[#This Row],[Work Completion time on fault]]-TA[[#This Row],[Fault Time]])*24,"")</f>
        <v>0</v>
      </c>
      <c r="AE1531" t="s">
        <v>328</v>
      </c>
      <c r="AF1531" t="s">
        <v>256</v>
      </c>
      <c r="AG1531" s="2"/>
      <c r="AH1531" s="44">
        <f>1-COS(RADIANS(TA[[#This Row],[Avg. Target Angle during Fault Time (Radians)]]-TA[[#This Row],[Angle of affected equipment ]]))</f>
        <v>0.11705240714107301</v>
      </c>
      <c r="AI1531" s="35">
        <f>IFERROR(TA[[#This Row],[Breakdown Time]]*TA[[#This Row],[Plant Equivalent Weightage]],"")</f>
        <v>0</v>
      </c>
    </row>
    <row r="1532" spans="1:35">
      <c r="A1532" s="2">
        <f t="shared" si="187"/>
        <v>1529</v>
      </c>
      <c r="B1532" s="156">
        <f t="shared" si="188"/>
        <v>2026</v>
      </c>
      <c r="C1532" s="129">
        <f t="shared" si="189"/>
        <v>2025</v>
      </c>
      <c r="D1532" s="2" t="s">
        <v>155</v>
      </c>
      <c r="E1532" s="2" t="s">
        <v>155</v>
      </c>
      <c r="F1532" s="39">
        <v>45839</v>
      </c>
      <c r="G1532" s="2">
        <f>DAY(EOMONTH(TA[[#This Row],[Month Year]],0))</f>
        <v>31</v>
      </c>
      <c r="H1532" s="21">
        <v>45854</v>
      </c>
      <c r="I1532" s="41">
        <f>IFERROR(VLOOKUP(TA[[#This Row],[Date]],Raw_Data[[Date]:[Sunset Time (POA&lt;20 W/m2)]],3,0),"")</f>
        <v>0.25347222222222221</v>
      </c>
      <c r="J1532" s="41">
        <f>IFERROR(VLOOKUP(TA[[#This Row],[Date]],Raw_Data[[Date]:[Sunset Time (POA&lt;20 W/m2)]],4,0),"")</f>
        <v>0.76666666666666672</v>
      </c>
      <c r="K1532" s="35">
        <f>IFERROR((TA[[#This Row],[Sunset Time (POA&lt;20 W/m2)]]-TA[[#This Row],[Sunrise Time (POA&gt;20 W/m2)]])*24,"")</f>
        <v>12.316666666666668</v>
      </c>
      <c r="L1532" s="2" t="s">
        <v>296</v>
      </c>
      <c r="M1532" s="42">
        <f>IFERROR(VLOOKUP(TA[[#This Row],[Affected Equipment]],'Basic Data'!$I$2:$K$40,3,0),"")</f>
        <v>8.6206896551724102E-3</v>
      </c>
      <c r="N1532">
        <v>-28</v>
      </c>
      <c r="O1532" t="s">
        <v>135</v>
      </c>
      <c r="P1532" s="22" t="s">
        <v>323</v>
      </c>
      <c r="Q1532" s="2" t="s">
        <v>329</v>
      </c>
      <c r="R1532">
        <v>45</v>
      </c>
      <c r="S1532" s="2">
        <v>8</v>
      </c>
      <c r="T1532" t="s">
        <v>297</v>
      </c>
      <c r="U1532" t="s">
        <v>300</v>
      </c>
      <c r="V1532" t="s">
        <v>301</v>
      </c>
      <c r="W1532" s="41"/>
      <c r="X1532" s="41"/>
      <c r="Y1532" s="34"/>
      <c r="Z1532" s="34"/>
      <c r="AA1532" s="35">
        <f>IF(TA[[#This Row],[Work Start time on Fault]]="NA","",(TA[[#This Row],[Fault Acknowledgement Time ]]-TA[[#This Row],[Fault Time]])*24)</f>
        <v>0</v>
      </c>
      <c r="AB1532" s="35">
        <f>(TA[[#This Row],[Work Start time on Fault]]-TA[[#This Row],[Fault Time]])*24</f>
        <v>0</v>
      </c>
      <c r="AC1532" s="34">
        <f>(TA[[#This Row],[Work Completion time on fault]]-TA[[#This Row],[Fault Time]])*24</f>
        <v>0</v>
      </c>
      <c r="AD1532" s="35">
        <f>IFERROR((TA[[#This Row],[Work Completion time on fault]]-TA[[#This Row],[Fault Time]])*24,"")</f>
        <v>0</v>
      </c>
      <c r="AE1532" t="s">
        <v>328</v>
      </c>
      <c r="AF1532" t="s">
        <v>256</v>
      </c>
      <c r="AG1532" s="2"/>
      <c r="AH1532" s="44">
        <f>1-COS(RADIANS(TA[[#This Row],[Avg. Target Angle during Fault Time (Radians)]]-TA[[#This Row],[Angle of affected equipment ]]))</f>
        <v>0.11705240714107301</v>
      </c>
      <c r="AI1532" s="35">
        <f>IFERROR(TA[[#This Row],[Breakdown Time]]*TA[[#This Row],[Plant Equivalent Weightage]],"")</f>
        <v>0</v>
      </c>
    </row>
    <row r="1533" spans="1:35">
      <c r="A1533" s="2">
        <f t="shared" si="187"/>
        <v>1530</v>
      </c>
      <c r="B1533" s="156">
        <f t="shared" si="188"/>
        <v>2026</v>
      </c>
      <c r="C1533" s="129">
        <f t="shared" si="189"/>
        <v>2025</v>
      </c>
      <c r="D1533" s="2" t="s">
        <v>155</v>
      </c>
      <c r="E1533" s="2" t="s">
        <v>155</v>
      </c>
      <c r="F1533" s="39">
        <v>45839</v>
      </c>
      <c r="G1533" s="2">
        <f>DAY(EOMONTH(TA[[#This Row],[Month Year]],0))</f>
        <v>31</v>
      </c>
      <c r="H1533" s="21">
        <v>45854</v>
      </c>
      <c r="I1533" s="41">
        <f>IFERROR(VLOOKUP(TA[[#This Row],[Date]],Raw_Data[[Date]:[Sunset Time (POA&lt;20 W/m2)]],3,0),"")</f>
        <v>0.25347222222222221</v>
      </c>
      <c r="J1533" s="41">
        <f>IFERROR(VLOOKUP(TA[[#This Row],[Date]],Raw_Data[[Date]:[Sunset Time (POA&lt;20 W/m2)]],4,0),"")</f>
        <v>0.76666666666666672</v>
      </c>
      <c r="K1533" s="35">
        <f>IFERROR((TA[[#This Row],[Sunset Time (POA&lt;20 W/m2)]]-TA[[#This Row],[Sunrise Time (POA&gt;20 W/m2)]])*24,"")</f>
        <v>12.316666666666668</v>
      </c>
      <c r="L1533" s="2" t="s">
        <v>296</v>
      </c>
      <c r="M1533" s="42">
        <f>IFERROR(VLOOKUP(TA[[#This Row],[Affected Equipment]],'Basic Data'!$I$2:$K$40,3,0),"")</f>
        <v>8.6206896551724102E-3</v>
      </c>
      <c r="N1533">
        <v>-28</v>
      </c>
      <c r="O1533" t="s">
        <v>135</v>
      </c>
      <c r="P1533" s="22" t="s">
        <v>323</v>
      </c>
      <c r="Q1533" s="2" t="s">
        <v>329</v>
      </c>
      <c r="R1533">
        <v>47</v>
      </c>
      <c r="S1533" s="2">
        <v>18</v>
      </c>
      <c r="T1533" t="s">
        <v>297</v>
      </c>
      <c r="U1533" t="s">
        <v>300</v>
      </c>
      <c r="V1533" t="s">
        <v>301</v>
      </c>
      <c r="W1533" s="41"/>
      <c r="X1533" s="41"/>
      <c r="Y1533" s="34"/>
      <c r="Z1533" s="34"/>
      <c r="AA1533" s="35">
        <f>IF(TA[[#This Row],[Work Start time on Fault]]="NA","",(TA[[#This Row],[Fault Acknowledgement Time ]]-TA[[#This Row],[Fault Time]])*24)</f>
        <v>0</v>
      </c>
      <c r="AB1533" s="35">
        <f>(TA[[#This Row],[Work Start time on Fault]]-TA[[#This Row],[Fault Time]])*24</f>
        <v>0</v>
      </c>
      <c r="AC1533" s="34">
        <f>(TA[[#This Row],[Work Completion time on fault]]-TA[[#This Row],[Fault Time]])*24</f>
        <v>0</v>
      </c>
      <c r="AD1533" s="35">
        <f>IFERROR((TA[[#This Row],[Work Completion time on fault]]-TA[[#This Row],[Fault Time]])*24,"")</f>
        <v>0</v>
      </c>
      <c r="AE1533" t="s">
        <v>328</v>
      </c>
      <c r="AF1533" t="s">
        <v>256</v>
      </c>
      <c r="AG1533" s="2"/>
      <c r="AH1533" s="44">
        <f>1-COS(RADIANS(TA[[#This Row],[Avg. Target Angle during Fault Time (Radians)]]-TA[[#This Row],[Angle of affected equipment ]]))</f>
        <v>0.11705240714107301</v>
      </c>
      <c r="AI1533" s="35">
        <f>IFERROR(TA[[#This Row],[Breakdown Time]]*TA[[#This Row],[Plant Equivalent Weightage]],"")</f>
        <v>0</v>
      </c>
    </row>
    <row r="1534" spans="1:35">
      <c r="A1534" s="2">
        <f t="shared" si="187"/>
        <v>1531</v>
      </c>
      <c r="B1534" s="156">
        <f t="shared" si="188"/>
        <v>2026</v>
      </c>
      <c r="C1534" s="129">
        <f t="shared" si="189"/>
        <v>2025</v>
      </c>
      <c r="D1534" s="2" t="s">
        <v>155</v>
      </c>
      <c r="E1534" s="2" t="s">
        <v>155</v>
      </c>
      <c r="F1534" s="39">
        <v>45839</v>
      </c>
      <c r="G1534" s="2">
        <f>DAY(EOMONTH(TA[[#This Row],[Month Year]],0))</f>
        <v>31</v>
      </c>
      <c r="H1534" s="21">
        <v>45854</v>
      </c>
      <c r="I1534" s="41">
        <f>IFERROR(VLOOKUP(TA[[#This Row],[Date]],Raw_Data[[Date]:[Sunset Time (POA&lt;20 W/m2)]],3,0),"")</f>
        <v>0.25347222222222221</v>
      </c>
      <c r="J1534" s="41">
        <f>IFERROR(VLOOKUP(TA[[#This Row],[Date]],Raw_Data[[Date]:[Sunset Time (POA&lt;20 W/m2)]],4,0),"")</f>
        <v>0.76666666666666672</v>
      </c>
      <c r="K1534" s="35">
        <f>IFERROR((TA[[#This Row],[Sunset Time (POA&lt;20 W/m2)]]-TA[[#This Row],[Sunrise Time (POA&gt;20 W/m2)]])*24,"")</f>
        <v>12.316666666666668</v>
      </c>
      <c r="L1534" s="2" t="s">
        <v>296</v>
      </c>
      <c r="M1534" s="42">
        <f>IFERROR(VLOOKUP(TA[[#This Row],[Affected Equipment]],'Basic Data'!$I$2:$K$40,3,0),"")</f>
        <v>8.6206896551724102E-3</v>
      </c>
      <c r="N1534">
        <v>-28</v>
      </c>
      <c r="O1534" t="s">
        <v>134</v>
      </c>
      <c r="P1534" s="22" t="s">
        <v>330</v>
      </c>
      <c r="Q1534" s="2" t="s">
        <v>323</v>
      </c>
      <c r="R1534">
        <v>30</v>
      </c>
      <c r="S1534" s="2">
        <v>57</v>
      </c>
      <c r="T1534" t="s">
        <v>297</v>
      </c>
      <c r="U1534" t="s">
        <v>300</v>
      </c>
      <c r="V1534" t="s">
        <v>301</v>
      </c>
      <c r="W1534" s="41"/>
      <c r="X1534" s="41"/>
      <c r="Y1534" s="34"/>
      <c r="Z1534" s="34"/>
      <c r="AA1534" s="35">
        <f>IF(TA[[#This Row],[Work Start time on Fault]]="NA","",(TA[[#This Row],[Fault Acknowledgement Time ]]-TA[[#This Row],[Fault Time]])*24)</f>
        <v>0</v>
      </c>
      <c r="AB1534" s="35">
        <f>(TA[[#This Row],[Work Start time on Fault]]-TA[[#This Row],[Fault Time]])*24</f>
        <v>0</v>
      </c>
      <c r="AC1534" s="34">
        <f>(TA[[#This Row],[Work Completion time on fault]]-TA[[#This Row],[Fault Time]])*24</f>
        <v>0</v>
      </c>
      <c r="AD1534" s="35">
        <f>IFERROR((TA[[#This Row],[Work Completion time on fault]]-TA[[#This Row],[Fault Time]])*24,"")</f>
        <v>0</v>
      </c>
      <c r="AE1534" t="s">
        <v>328</v>
      </c>
      <c r="AF1534" t="s">
        <v>256</v>
      </c>
      <c r="AG1534" s="2"/>
      <c r="AH1534" s="44">
        <f>1-COS(RADIANS(TA[[#This Row],[Avg. Target Angle during Fault Time (Radians)]]-TA[[#This Row],[Angle of affected equipment ]]))</f>
        <v>0.11705240714107301</v>
      </c>
      <c r="AI1534" s="35">
        <f>IFERROR(TA[[#This Row],[Breakdown Time]]*TA[[#This Row],[Plant Equivalent Weightage]],"")</f>
        <v>0</v>
      </c>
    </row>
    <row r="1535" spans="1:35">
      <c r="A1535" s="2">
        <f t="shared" si="187"/>
        <v>1532</v>
      </c>
      <c r="B1535" s="156">
        <f t="shared" si="188"/>
        <v>2026</v>
      </c>
      <c r="C1535" s="129">
        <f t="shared" si="189"/>
        <v>2025</v>
      </c>
      <c r="D1535" s="2" t="s">
        <v>155</v>
      </c>
      <c r="E1535" s="2" t="s">
        <v>155</v>
      </c>
      <c r="F1535" s="39">
        <v>45839</v>
      </c>
      <c r="G1535" s="2">
        <f>DAY(EOMONTH(TA[[#This Row],[Month Year]],0))</f>
        <v>31</v>
      </c>
      <c r="H1535" s="21">
        <v>45854</v>
      </c>
      <c r="I1535" s="41">
        <f>IFERROR(VLOOKUP(TA[[#This Row],[Date]],Raw_Data[[Date]:[Sunset Time (POA&lt;20 W/m2)]],3,0),"")</f>
        <v>0.25347222222222221</v>
      </c>
      <c r="J1535" s="41">
        <f>IFERROR(VLOOKUP(TA[[#This Row],[Date]],Raw_Data[[Date]:[Sunset Time (POA&lt;20 W/m2)]],4,0),"")</f>
        <v>0.76666666666666672</v>
      </c>
      <c r="K1535" s="35">
        <f>IFERROR((TA[[#This Row],[Sunset Time (POA&lt;20 W/m2)]]-TA[[#This Row],[Sunrise Time (POA&gt;20 W/m2)]])*24,"")</f>
        <v>12.316666666666668</v>
      </c>
      <c r="L1535" s="2" t="s">
        <v>296</v>
      </c>
      <c r="M1535" s="42">
        <f>IFERROR(VLOOKUP(TA[[#This Row],[Affected Equipment]],'Basic Data'!$I$2:$K$40,3,0),"")</f>
        <v>8.6206896551724102E-3</v>
      </c>
      <c r="N1535">
        <v>-28</v>
      </c>
      <c r="O1535" t="s">
        <v>134</v>
      </c>
      <c r="P1535" s="22" t="s">
        <v>330</v>
      </c>
      <c r="Q1535" s="2" t="s">
        <v>323</v>
      </c>
      <c r="R1535">
        <v>31</v>
      </c>
      <c r="S1535" s="2">
        <v>61</v>
      </c>
      <c r="T1535" t="s">
        <v>297</v>
      </c>
      <c r="U1535" t="s">
        <v>300</v>
      </c>
      <c r="V1535" t="s">
        <v>301</v>
      </c>
      <c r="W1535" s="41"/>
      <c r="X1535" s="41"/>
      <c r="Y1535" s="34"/>
      <c r="Z1535" s="34"/>
      <c r="AA1535" s="35">
        <f>IF(TA[[#This Row],[Work Start time on Fault]]="NA","",(TA[[#This Row],[Fault Acknowledgement Time ]]-TA[[#This Row],[Fault Time]])*24)</f>
        <v>0</v>
      </c>
      <c r="AB1535" s="35">
        <f>(TA[[#This Row],[Work Start time on Fault]]-TA[[#This Row],[Fault Time]])*24</f>
        <v>0</v>
      </c>
      <c r="AC1535" s="34">
        <f>(TA[[#This Row],[Work Completion time on fault]]-TA[[#This Row],[Fault Time]])*24</f>
        <v>0</v>
      </c>
      <c r="AD1535" s="35">
        <f>IFERROR((TA[[#This Row],[Work Completion time on fault]]-TA[[#This Row],[Fault Time]])*24,"")</f>
        <v>0</v>
      </c>
      <c r="AE1535" t="s">
        <v>328</v>
      </c>
      <c r="AF1535" t="s">
        <v>256</v>
      </c>
      <c r="AG1535" s="2"/>
      <c r="AH1535" s="44">
        <f>1-COS(RADIANS(TA[[#This Row],[Avg. Target Angle during Fault Time (Radians)]]-TA[[#This Row],[Angle of affected equipment ]]))</f>
        <v>0.11705240714107301</v>
      </c>
      <c r="AI1535" s="35">
        <f>IFERROR(TA[[#This Row],[Breakdown Time]]*TA[[#This Row],[Plant Equivalent Weightage]],"")</f>
        <v>0</v>
      </c>
    </row>
    <row r="1536" spans="1:35">
      <c r="A1536" s="2">
        <f t="shared" si="187"/>
        <v>1533</v>
      </c>
      <c r="B1536" s="156">
        <f t="shared" si="188"/>
        <v>2026</v>
      </c>
      <c r="C1536" s="129">
        <f t="shared" si="189"/>
        <v>2025</v>
      </c>
      <c r="D1536" s="2" t="s">
        <v>155</v>
      </c>
      <c r="E1536" s="2" t="s">
        <v>155</v>
      </c>
      <c r="F1536" s="39">
        <v>45839</v>
      </c>
      <c r="G1536" s="2">
        <f>DAY(EOMONTH(TA[[#This Row],[Month Year]],0))</f>
        <v>31</v>
      </c>
      <c r="H1536" s="21">
        <v>45854</v>
      </c>
      <c r="I1536" s="41">
        <f>IFERROR(VLOOKUP(TA[[#This Row],[Date]],Raw_Data[[Date]:[Sunset Time (POA&lt;20 W/m2)]],3,0),"")</f>
        <v>0.25347222222222221</v>
      </c>
      <c r="J1536" s="41">
        <f>IFERROR(VLOOKUP(TA[[#This Row],[Date]],Raw_Data[[Date]:[Sunset Time (POA&lt;20 W/m2)]],4,0),"")</f>
        <v>0.76666666666666672</v>
      </c>
      <c r="K1536" s="35">
        <f>IFERROR((TA[[#This Row],[Sunset Time (POA&lt;20 W/m2)]]-TA[[#This Row],[Sunrise Time (POA&gt;20 W/m2)]])*24,"")</f>
        <v>12.316666666666668</v>
      </c>
      <c r="L1536" s="2" t="s">
        <v>312</v>
      </c>
      <c r="M1536" s="42">
        <f>IFERROR(VLOOKUP(TA[[#This Row],[Affected Equipment]],'Basic Data'!$I$2:$K$40,3,0),"")</f>
        <v>5.74712643678161E-3</v>
      </c>
      <c r="N1536">
        <v>-28</v>
      </c>
      <c r="O1536" t="s">
        <v>133</v>
      </c>
      <c r="P1536" s="22" t="s">
        <v>330</v>
      </c>
      <c r="Q1536" s="2" t="s">
        <v>323</v>
      </c>
      <c r="R1536">
        <v>26</v>
      </c>
      <c r="S1536" s="2">
        <v>37</v>
      </c>
      <c r="T1536" t="s">
        <v>297</v>
      </c>
      <c r="U1536" t="s">
        <v>300</v>
      </c>
      <c r="V1536" t="s">
        <v>301</v>
      </c>
      <c r="W1536" s="41"/>
      <c r="X1536" s="41"/>
      <c r="Y1536" s="34"/>
      <c r="Z1536" s="34"/>
      <c r="AA1536" s="35">
        <f>IF(TA[[#This Row],[Work Start time on Fault]]="NA","",(TA[[#This Row],[Fault Acknowledgement Time ]]-TA[[#This Row],[Fault Time]])*24)</f>
        <v>0</v>
      </c>
      <c r="AB1536" s="35">
        <f>(TA[[#This Row],[Work Start time on Fault]]-TA[[#This Row],[Fault Time]])*24</f>
        <v>0</v>
      </c>
      <c r="AC1536" s="34">
        <f>(TA[[#This Row],[Work Completion time on fault]]-TA[[#This Row],[Fault Time]])*24</f>
        <v>0</v>
      </c>
      <c r="AD1536" s="35">
        <f>IFERROR((TA[[#This Row],[Work Completion time on fault]]-TA[[#This Row],[Fault Time]])*24,"")</f>
        <v>0</v>
      </c>
      <c r="AE1536" t="s">
        <v>328</v>
      </c>
      <c r="AF1536" t="s">
        <v>256</v>
      </c>
      <c r="AG1536" s="2"/>
      <c r="AH1536" s="44">
        <f>1-COS(RADIANS(TA[[#This Row],[Avg. Target Angle during Fault Time (Radians)]]-TA[[#This Row],[Angle of affected equipment ]]))</f>
        <v>0.11705240714107301</v>
      </c>
      <c r="AI1536" s="35">
        <f>IFERROR(TA[[#This Row],[Breakdown Time]]*TA[[#This Row],[Plant Equivalent Weightage]],"")</f>
        <v>0</v>
      </c>
    </row>
    <row r="1537" spans="1:35">
      <c r="A1537" s="2">
        <f t="shared" si="187"/>
        <v>1534</v>
      </c>
      <c r="B1537" s="156">
        <f t="shared" si="188"/>
        <v>2026</v>
      </c>
      <c r="C1537" s="129">
        <f t="shared" si="189"/>
        <v>2025</v>
      </c>
      <c r="D1537" s="2" t="s">
        <v>155</v>
      </c>
      <c r="E1537" s="2" t="s">
        <v>155</v>
      </c>
      <c r="F1537" s="39">
        <v>45839</v>
      </c>
      <c r="G1537" s="2">
        <f>DAY(EOMONTH(TA[[#This Row],[Month Year]],0))</f>
        <v>31</v>
      </c>
      <c r="H1537" s="21">
        <v>45854</v>
      </c>
      <c r="I1537" s="41">
        <f>IFERROR(VLOOKUP(TA[[#This Row],[Date]],Raw_Data[[Date]:[Sunset Time (POA&lt;20 W/m2)]],3,0),"")</f>
        <v>0.25347222222222221</v>
      </c>
      <c r="J1537" s="41">
        <f>IFERROR(VLOOKUP(TA[[#This Row],[Date]],Raw_Data[[Date]:[Sunset Time (POA&lt;20 W/m2)]],4,0),"")</f>
        <v>0.76666666666666672</v>
      </c>
      <c r="K1537" s="35">
        <f>IFERROR((TA[[#This Row],[Sunset Time (POA&lt;20 W/m2)]]-TA[[#This Row],[Sunrise Time (POA&gt;20 W/m2)]])*24,"")</f>
        <v>12.316666666666668</v>
      </c>
      <c r="L1537" s="2" t="s">
        <v>312</v>
      </c>
      <c r="M1537" s="42">
        <f>IFERROR(VLOOKUP(TA[[#This Row],[Affected Equipment]],'Basic Data'!$I$2:$K$40,3,0),"")</f>
        <v>5.74712643678161E-3</v>
      </c>
      <c r="N1537">
        <v>-28</v>
      </c>
      <c r="O1537" t="s">
        <v>133</v>
      </c>
      <c r="P1537" s="22" t="s">
        <v>330</v>
      </c>
      <c r="Q1537" s="2" t="s">
        <v>323</v>
      </c>
      <c r="R1537">
        <v>27</v>
      </c>
      <c r="S1537" s="2">
        <v>42</v>
      </c>
      <c r="T1537" t="s">
        <v>297</v>
      </c>
      <c r="U1537" t="s">
        <v>300</v>
      </c>
      <c r="V1537" t="s">
        <v>301</v>
      </c>
      <c r="W1537" s="41">
        <f>IFERROR(VLOOKUP(TA[[#This Row],[Date]],Raw_Data[[Date]:[Sunset Time (POA&lt;20 W/m2)]],3,0),"")</f>
        <v>0.25347222222222221</v>
      </c>
      <c r="X1537" s="41">
        <f>IFERROR(VLOOKUP(TA[[#This Row],[Date]],Raw_Data[[Date]:[Sunset Time (POA&lt;20 W/m2)]],3,0),"")</f>
        <v>0.25347222222222221</v>
      </c>
      <c r="Y1537" s="34"/>
      <c r="Z1537" s="34">
        <v>0.76041666666666663</v>
      </c>
      <c r="AA1537" s="35">
        <f>IF(TA[[#This Row],[Work Start time on Fault]]="NA","",(TA[[#This Row],[Fault Acknowledgement Time ]]-TA[[#This Row],[Fault Time]])*24)</f>
        <v>0</v>
      </c>
      <c r="AB1537" s="35">
        <f>(TA[[#This Row],[Work Start time on Fault]]-TA[[#This Row],[Fault Time]])*24</f>
        <v>-6.083333333333333</v>
      </c>
      <c r="AC1537" s="34">
        <f>(TA[[#This Row],[Work Completion time on fault]]-TA[[#This Row],[Fault Time]])*24</f>
        <v>12.166666666666666</v>
      </c>
      <c r="AD1537" s="35">
        <f>IFERROR((TA[[#This Row],[Work Completion time on fault]]-TA[[#This Row],[Fault Time]])*24,"")</f>
        <v>12.166666666666666</v>
      </c>
      <c r="AE1537" t="s">
        <v>309</v>
      </c>
      <c r="AF1537" t="s">
        <v>256</v>
      </c>
      <c r="AG1537" s="2"/>
      <c r="AH1537" s="44">
        <f>1-COS(RADIANS(TA[[#This Row],[Avg. Target Angle during Fault Time (Radians)]]-TA[[#This Row],[Angle of affected equipment ]]))</f>
        <v>0.11705240714107301</v>
      </c>
      <c r="AI1537" s="35">
        <f>IFERROR(TA[[#This Row],[Breakdown Time]]*TA[[#This Row],[Plant Equivalent Weightage]],"")</f>
        <v>6.9923371647509586E-2</v>
      </c>
    </row>
    <row r="1538" spans="1:35">
      <c r="A1538" s="2">
        <f t="shared" si="187"/>
        <v>1535</v>
      </c>
      <c r="B1538" s="156">
        <f t="shared" ref="B1538:B1550" si="190">YEAR(H1538)+IF(MONTH(H1538)&gt;=4,1,0)</f>
        <v>2026</v>
      </c>
      <c r="C1538" s="129">
        <f t="shared" ref="C1538:C1550" si="191">YEAR(H1538)</f>
        <v>2025</v>
      </c>
      <c r="D1538" s="2" t="s">
        <v>155</v>
      </c>
      <c r="E1538" s="2" t="s">
        <v>155</v>
      </c>
      <c r="F1538" s="39">
        <v>45839</v>
      </c>
      <c r="G1538" s="233">
        <f>DAY(EOMONTH(TA[[#This Row],[Month Year]],0))</f>
        <v>31</v>
      </c>
      <c r="H1538" s="21">
        <v>45855</v>
      </c>
      <c r="I1538" s="41">
        <f>IFERROR(VLOOKUP(TA[[#This Row],[Date]],Raw_Data[[Date]:[Sunset Time (POA&lt;20 W/m2)]],3,0),"")</f>
        <v>0.25833333333333336</v>
      </c>
      <c r="J1538" s="41">
        <f>IFERROR(VLOOKUP(TA[[#This Row],[Date]],Raw_Data[[Date]:[Sunset Time (POA&lt;20 W/m2)]],4,0),"")</f>
        <v>0.77916666666666667</v>
      </c>
      <c r="K1538" s="35">
        <f>IFERROR((TA[[#This Row],[Sunset Time (POA&lt;20 W/m2)]]-TA[[#This Row],[Sunrise Time (POA&gt;20 W/m2)]])*24,"")</f>
        <v>12.499999999999998</v>
      </c>
      <c r="L1538" s="2" t="s">
        <v>294</v>
      </c>
      <c r="M1538" s="42">
        <f>IFERROR(VLOOKUP(TA[[#This Row],[Affected Equipment]],'Basic Data'!$I$2:$K$40,3,0),"")</f>
        <v>1.7241379310344799E-3</v>
      </c>
      <c r="N1538">
        <v>-28</v>
      </c>
      <c r="O1538" t="s">
        <v>135</v>
      </c>
      <c r="P1538" s="127" t="s">
        <v>318</v>
      </c>
      <c r="Q1538" s="126" t="s">
        <v>318</v>
      </c>
      <c r="R1538">
        <v>131</v>
      </c>
      <c r="S1538" s="2">
        <v>38</v>
      </c>
      <c r="T1538" t="s">
        <v>295</v>
      </c>
      <c r="U1538" t="s">
        <v>300</v>
      </c>
      <c r="V1538" t="s">
        <v>298</v>
      </c>
      <c r="W1538" s="41"/>
      <c r="X1538" s="41"/>
      <c r="Y1538" s="34"/>
      <c r="Z1538" s="34"/>
      <c r="AA1538" s="35">
        <f>IF(TA[[#This Row],[Work Start time on Fault]]="NA","",(TA[[#This Row],[Fault Acknowledgement Time ]]-TA[[#This Row],[Fault Time]])*24)</f>
        <v>0</v>
      </c>
      <c r="AB1538" s="35">
        <f>(TA[[#This Row],[Work Start time on Fault]]-TA[[#This Row],[Fault Time]])*24</f>
        <v>0</v>
      </c>
      <c r="AC1538" s="34">
        <f>(TA[[#This Row],[Work Completion time on fault]]-TA[[#This Row],[Fault Time]])*24</f>
        <v>0</v>
      </c>
      <c r="AD1538" s="35">
        <f>IFERROR((TA[[#This Row],[Work Completion time on fault]]-TA[[#This Row],[Fault Time]])*24,"")</f>
        <v>0</v>
      </c>
      <c r="AE1538" t="s">
        <v>328</v>
      </c>
      <c r="AF1538" t="s">
        <v>256</v>
      </c>
      <c r="AG1538" s="2"/>
      <c r="AH1538" s="44">
        <f>1-COS(RADIANS(TA[[#This Row],[Avg. Target Angle during Fault Time (Radians)]]-TA[[#This Row],[Angle of affected equipment ]]))</f>
        <v>0.11705240714107301</v>
      </c>
      <c r="AI1538" s="35">
        <f>IFERROR(TA[[#This Row],[Breakdown Time]]*TA[[#This Row],[Plant Equivalent Weightage]],"")</f>
        <v>0</v>
      </c>
    </row>
    <row r="1539" spans="1:35">
      <c r="A1539" s="2">
        <f t="shared" si="187"/>
        <v>1536</v>
      </c>
      <c r="B1539" s="156">
        <f t="shared" si="190"/>
        <v>2026</v>
      </c>
      <c r="C1539" s="129">
        <f t="shared" si="191"/>
        <v>2025</v>
      </c>
      <c r="D1539" s="2" t="s">
        <v>155</v>
      </c>
      <c r="E1539" s="2" t="s">
        <v>155</v>
      </c>
      <c r="F1539" s="39">
        <v>45839</v>
      </c>
      <c r="G1539" s="233">
        <f>DAY(EOMONTH(TA[[#This Row],[Month Year]],0))</f>
        <v>31</v>
      </c>
      <c r="H1539" s="21">
        <v>45855</v>
      </c>
      <c r="I1539" s="41">
        <f>IFERROR(VLOOKUP(TA[[#This Row],[Date]],Raw_Data[[Date]:[Sunset Time (POA&lt;20 W/m2)]],3,0),"")</f>
        <v>0.25833333333333336</v>
      </c>
      <c r="J1539" s="41">
        <f>IFERROR(VLOOKUP(TA[[#This Row],[Date]],Raw_Data[[Date]:[Sunset Time (POA&lt;20 W/m2)]],4,0),"")</f>
        <v>0.77916666666666667</v>
      </c>
      <c r="K1539" s="35">
        <f>IFERROR((TA[[#This Row],[Sunset Time (POA&lt;20 W/m2)]]-TA[[#This Row],[Sunrise Time (POA&gt;20 W/m2)]])*24,"")</f>
        <v>12.499999999999998</v>
      </c>
      <c r="L1539" s="2" t="s">
        <v>294</v>
      </c>
      <c r="M1539" s="42">
        <f>IFERROR(VLOOKUP(TA[[#This Row],[Affected Equipment]],'Basic Data'!$I$2:$K$40,3,0),"")</f>
        <v>1.7241379310344799E-3</v>
      </c>
      <c r="N1539">
        <v>-28</v>
      </c>
      <c r="O1539" t="s">
        <v>135</v>
      </c>
      <c r="P1539" s="127" t="s">
        <v>318</v>
      </c>
      <c r="Q1539" s="126" t="s">
        <v>318</v>
      </c>
      <c r="R1539">
        <v>131</v>
      </c>
      <c r="S1539" s="2">
        <v>39</v>
      </c>
      <c r="T1539" t="s">
        <v>295</v>
      </c>
      <c r="U1539" t="s">
        <v>300</v>
      </c>
      <c r="V1539" t="s">
        <v>298</v>
      </c>
      <c r="W1539" s="41"/>
      <c r="X1539" s="41"/>
      <c r="Y1539" s="34"/>
      <c r="Z1539" s="34"/>
      <c r="AA1539" s="35">
        <f>IF(TA[[#This Row],[Work Start time on Fault]]="NA","",(TA[[#This Row],[Fault Acknowledgement Time ]]-TA[[#This Row],[Fault Time]])*24)</f>
        <v>0</v>
      </c>
      <c r="AB1539" s="35">
        <f>(TA[[#This Row],[Work Start time on Fault]]-TA[[#This Row],[Fault Time]])*24</f>
        <v>0</v>
      </c>
      <c r="AC1539" s="34">
        <f>(TA[[#This Row],[Work Completion time on fault]]-TA[[#This Row],[Fault Time]])*24</f>
        <v>0</v>
      </c>
      <c r="AD1539" s="35">
        <f>IFERROR((TA[[#This Row],[Work Completion time on fault]]-TA[[#This Row],[Fault Time]])*24,"")</f>
        <v>0</v>
      </c>
      <c r="AE1539" t="s">
        <v>328</v>
      </c>
      <c r="AF1539" t="s">
        <v>256</v>
      </c>
      <c r="AG1539" s="2"/>
      <c r="AH1539" s="44">
        <f>1-COS(RADIANS(TA[[#This Row],[Avg. Target Angle during Fault Time (Radians)]]-TA[[#This Row],[Angle of affected equipment ]]))</f>
        <v>0.11705240714107301</v>
      </c>
      <c r="AI1539" s="35">
        <f>IFERROR(TA[[#This Row],[Breakdown Time]]*TA[[#This Row],[Plant Equivalent Weightage]],"")</f>
        <v>0</v>
      </c>
    </row>
    <row r="1540" spans="1:35">
      <c r="A1540" s="2">
        <f t="shared" si="187"/>
        <v>1537</v>
      </c>
      <c r="B1540" s="156">
        <f t="shared" si="190"/>
        <v>2026</v>
      </c>
      <c r="C1540" s="129">
        <f t="shared" si="191"/>
        <v>2025</v>
      </c>
      <c r="D1540" s="2" t="s">
        <v>155</v>
      </c>
      <c r="E1540" s="2" t="s">
        <v>155</v>
      </c>
      <c r="F1540" s="39">
        <v>45839</v>
      </c>
      <c r="G1540" s="233">
        <f>DAY(EOMONTH(TA[[#This Row],[Month Year]],0))</f>
        <v>31</v>
      </c>
      <c r="H1540" s="21">
        <v>45855</v>
      </c>
      <c r="I1540" s="41">
        <f>IFERROR(VLOOKUP(TA[[#This Row],[Date]],Raw_Data[[Date]:[Sunset Time (POA&lt;20 W/m2)]],3,0),"")</f>
        <v>0.25833333333333336</v>
      </c>
      <c r="J1540" s="41">
        <f>IFERROR(VLOOKUP(TA[[#This Row],[Date]],Raw_Data[[Date]:[Sunset Time (POA&lt;20 W/m2)]],4,0),"")</f>
        <v>0.77916666666666667</v>
      </c>
      <c r="K1540" s="35">
        <f>IFERROR((TA[[#This Row],[Sunset Time (POA&lt;20 W/m2)]]-TA[[#This Row],[Sunrise Time (POA&gt;20 W/m2)]])*24,"")</f>
        <v>12.499999999999998</v>
      </c>
      <c r="L1540" s="2" t="s">
        <v>296</v>
      </c>
      <c r="M1540" s="42">
        <f>IFERROR(VLOOKUP(TA[[#This Row],[Affected Equipment]],'Basic Data'!$I$2:$K$40,3,0),"")</f>
        <v>8.6206896551724102E-3</v>
      </c>
      <c r="N1540">
        <v>-28</v>
      </c>
      <c r="O1540" t="s">
        <v>135</v>
      </c>
      <c r="P1540" s="127" t="s">
        <v>318</v>
      </c>
      <c r="Q1540" s="2" t="s">
        <v>321</v>
      </c>
      <c r="R1540">
        <v>133</v>
      </c>
      <c r="S1540" s="2">
        <v>26</v>
      </c>
      <c r="T1540" t="s">
        <v>297</v>
      </c>
      <c r="U1540" t="s">
        <v>300</v>
      </c>
      <c r="V1540" t="s">
        <v>314</v>
      </c>
      <c r="W1540" s="41">
        <f>IFERROR(VLOOKUP(TA[[#This Row],[Date]],Raw_Data[[Date]:[Sunset Time (POA&lt;20 W/m2)]],3,0),"")</f>
        <v>0.25833333333333336</v>
      </c>
      <c r="X1540" s="41">
        <f>IFERROR(VLOOKUP(TA[[#This Row],[Date]],Raw_Data[[Date]:[Sunset Time (POA&lt;20 W/m2)]],3,0),"")</f>
        <v>0.25833333333333336</v>
      </c>
      <c r="Y1540" s="34"/>
      <c r="Z1540" s="34">
        <v>0.76041666666666663</v>
      </c>
      <c r="AA1540" s="35">
        <f>IF(TA[[#This Row],[Work Start time on Fault]]="NA","",(TA[[#This Row],[Fault Acknowledgement Time ]]-TA[[#This Row],[Fault Time]])*24)</f>
        <v>0</v>
      </c>
      <c r="AB1540" s="35">
        <f>(TA[[#This Row],[Work Start time on Fault]]-TA[[#This Row],[Fault Time]])*24</f>
        <v>-6.2000000000000011</v>
      </c>
      <c r="AC1540" s="34">
        <f>(TA[[#This Row],[Work Completion time on fault]]-TA[[#This Row],[Fault Time]])*24</f>
        <v>12.049999999999997</v>
      </c>
      <c r="AD1540" s="35">
        <f>IFERROR((TA[[#This Row],[Work Completion time on fault]]-TA[[#This Row],[Fault Time]])*24,"")</f>
        <v>12.049999999999997</v>
      </c>
      <c r="AE1540" t="s">
        <v>328</v>
      </c>
      <c r="AF1540" t="s">
        <v>256</v>
      </c>
      <c r="AG1540" s="2"/>
      <c r="AH1540" s="44">
        <f>1-COS(RADIANS(TA[[#This Row],[Avg. Target Angle during Fault Time (Radians)]]-TA[[#This Row],[Angle of affected equipment ]]))</f>
        <v>0.11705240714107301</v>
      </c>
      <c r="AI1540" s="35">
        <f>IFERROR(TA[[#This Row],[Breakdown Time]]*TA[[#This Row],[Plant Equivalent Weightage]],"")</f>
        <v>0.10387931034482752</v>
      </c>
    </row>
    <row r="1541" spans="1:35">
      <c r="A1541" s="2">
        <f t="shared" si="187"/>
        <v>1538</v>
      </c>
      <c r="B1541" s="156">
        <f t="shared" si="190"/>
        <v>2026</v>
      </c>
      <c r="C1541" s="129">
        <f t="shared" si="191"/>
        <v>2025</v>
      </c>
      <c r="D1541" s="2" t="s">
        <v>155</v>
      </c>
      <c r="E1541" s="2" t="s">
        <v>155</v>
      </c>
      <c r="F1541" s="39">
        <v>45839</v>
      </c>
      <c r="G1541" s="233">
        <f>DAY(EOMONTH(TA[[#This Row],[Month Year]],0))</f>
        <v>31</v>
      </c>
      <c r="H1541" s="21">
        <v>45855</v>
      </c>
      <c r="I1541" s="41">
        <f>IFERROR(VLOOKUP(TA[[#This Row],[Date]],Raw_Data[[Date]:[Sunset Time (POA&lt;20 W/m2)]],3,0),"")</f>
        <v>0.25833333333333336</v>
      </c>
      <c r="J1541" s="41">
        <f>IFERROR(VLOOKUP(TA[[#This Row],[Date]],Raw_Data[[Date]:[Sunset Time (POA&lt;20 W/m2)]],4,0),"")</f>
        <v>0.77916666666666667</v>
      </c>
      <c r="K1541" s="35">
        <f>IFERROR((TA[[#This Row],[Sunset Time (POA&lt;20 W/m2)]]-TA[[#This Row],[Sunrise Time (POA&gt;20 W/m2)]])*24,"")</f>
        <v>12.499999999999998</v>
      </c>
      <c r="L1541" s="2" t="s">
        <v>294</v>
      </c>
      <c r="M1541" s="42">
        <f>IFERROR(VLOOKUP(TA[[#This Row],[Affected Equipment]],'Basic Data'!$I$2:$K$40,3,0),"")</f>
        <v>1.7241379310344799E-3</v>
      </c>
      <c r="N1541">
        <v>-28</v>
      </c>
      <c r="O1541" t="s">
        <v>133</v>
      </c>
      <c r="P1541" s="127" t="s">
        <v>316</v>
      </c>
      <c r="Q1541" s="126" t="s">
        <v>317</v>
      </c>
      <c r="R1541">
        <v>7</v>
      </c>
      <c r="S1541" s="2">
        <v>32</v>
      </c>
      <c r="T1541" t="s">
        <v>295</v>
      </c>
      <c r="U1541" t="s">
        <v>300</v>
      </c>
      <c r="V1541" t="s">
        <v>298</v>
      </c>
      <c r="W1541" s="41"/>
      <c r="X1541" s="41"/>
      <c r="Y1541" s="34"/>
      <c r="Z1541" s="34"/>
      <c r="AA1541" s="35">
        <f>IF(TA[[#This Row],[Work Start time on Fault]]="NA","",(TA[[#This Row],[Fault Acknowledgement Time ]]-TA[[#This Row],[Fault Time]])*24)</f>
        <v>0</v>
      </c>
      <c r="AB1541" s="35">
        <f>(TA[[#This Row],[Work Start time on Fault]]-TA[[#This Row],[Fault Time]])*24</f>
        <v>0</v>
      </c>
      <c r="AC1541" s="34">
        <f>(TA[[#This Row],[Work Completion time on fault]]-TA[[#This Row],[Fault Time]])*24</f>
        <v>0</v>
      </c>
      <c r="AD1541" s="35">
        <f>IFERROR((TA[[#This Row],[Work Completion time on fault]]-TA[[#This Row],[Fault Time]])*24,"")</f>
        <v>0</v>
      </c>
      <c r="AE1541" t="s">
        <v>328</v>
      </c>
      <c r="AF1541" t="s">
        <v>256</v>
      </c>
      <c r="AG1541" s="2"/>
      <c r="AH1541" s="44">
        <f>1-COS(RADIANS(TA[[#This Row],[Avg. Target Angle during Fault Time (Radians)]]-TA[[#This Row],[Angle of affected equipment ]]))</f>
        <v>0.11705240714107301</v>
      </c>
      <c r="AI1541" s="35">
        <f>IFERROR(TA[[#This Row],[Breakdown Time]]*TA[[#This Row],[Plant Equivalent Weightage]],"")</f>
        <v>0</v>
      </c>
    </row>
    <row r="1542" spans="1:35">
      <c r="A1542" s="2">
        <f t="shared" si="187"/>
        <v>1539</v>
      </c>
      <c r="B1542" s="156">
        <f t="shared" si="190"/>
        <v>2026</v>
      </c>
      <c r="C1542" s="129">
        <f t="shared" si="191"/>
        <v>2025</v>
      </c>
      <c r="D1542" s="2" t="s">
        <v>155</v>
      </c>
      <c r="E1542" s="2" t="s">
        <v>155</v>
      </c>
      <c r="F1542" s="39">
        <v>45839</v>
      </c>
      <c r="G1542" s="233">
        <f>DAY(EOMONTH(TA[[#This Row],[Month Year]],0))</f>
        <v>31</v>
      </c>
      <c r="H1542" s="21">
        <v>45855</v>
      </c>
      <c r="I1542" s="41">
        <f>IFERROR(VLOOKUP(TA[[#This Row],[Date]],Raw_Data[[Date]:[Sunset Time (POA&lt;20 W/m2)]],3,0),"")</f>
        <v>0.25833333333333336</v>
      </c>
      <c r="J1542" s="41">
        <f>IFERROR(VLOOKUP(TA[[#This Row],[Date]],Raw_Data[[Date]:[Sunset Time (POA&lt;20 W/m2)]],4,0),"")</f>
        <v>0.77916666666666667</v>
      </c>
      <c r="K1542" s="35">
        <f>IFERROR((TA[[#This Row],[Sunset Time (POA&lt;20 W/m2)]]-TA[[#This Row],[Sunrise Time (POA&gt;20 W/m2)]])*24,"")</f>
        <v>12.499999999999998</v>
      </c>
      <c r="L1542" s="2" t="s">
        <v>294</v>
      </c>
      <c r="M1542" s="42">
        <f>IFERROR(VLOOKUP(TA[[#This Row],[Affected Equipment]],'Basic Data'!$I$2:$K$40,3,0),"")</f>
        <v>1.7241379310344799E-3</v>
      </c>
      <c r="N1542">
        <v>-28</v>
      </c>
      <c r="O1542" t="s">
        <v>137</v>
      </c>
      <c r="P1542" s="127" t="s">
        <v>315</v>
      </c>
      <c r="Q1542" s="126" t="s">
        <v>319</v>
      </c>
      <c r="R1542">
        <v>166</v>
      </c>
      <c r="S1542" s="2">
        <v>91</v>
      </c>
      <c r="T1542" t="s">
        <v>295</v>
      </c>
      <c r="U1542" t="s">
        <v>300</v>
      </c>
      <c r="V1542" t="s">
        <v>298</v>
      </c>
      <c r="W1542" s="41"/>
      <c r="X1542" s="41"/>
      <c r="Y1542" s="34"/>
      <c r="Z1542" s="34"/>
      <c r="AA1542" s="35">
        <f>IF(TA[[#This Row],[Work Start time on Fault]]="NA","",(TA[[#This Row],[Fault Acknowledgement Time ]]-TA[[#This Row],[Fault Time]])*24)</f>
        <v>0</v>
      </c>
      <c r="AB1542" s="35">
        <f>(TA[[#This Row],[Work Start time on Fault]]-TA[[#This Row],[Fault Time]])*24</f>
        <v>0</v>
      </c>
      <c r="AC1542" s="34">
        <f>(TA[[#This Row],[Work Completion time on fault]]-TA[[#This Row],[Fault Time]])*24</f>
        <v>0</v>
      </c>
      <c r="AD1542" s="35">
        <f>IFERROR((TA[[#This Row],[Work Completion time on fault]]-TA[[#This Row],[Fault Time]])*24,"")</f>
        <v>0</v>
      </c>
      <c r="AE1542" t="s">
        <v>328</v>
      </c>
      <c r="AF1542" t="s">
        <v>256</v>
      </c>
      <c r="AG1542" s="2"/>
      <c r="AH1542" s="44">
        <f>1-COS(RADIANS(TA[[#This Row],[Avg. Target Angle during Fault Time (Radians)]]-TA[[#This Row],[Angle of affected equipment ]]))</f>
        <v>0.11705240714107301</v>
      </c>
      <c r="AI1542" s="35">
        <f>IFERROR(TA[[#This Row],[Breakdown Time]]*TA[[#This Row],[Plant Equivalent Weightage]],"")</f>
        <v>0</v>
      </c>
    </row>
    <row r="1543" spans="1:35">
      <c r="A1543" s="2">
        <f t="shared" si="187"/>
        <v>1540</v>
      </c>
      <c r="B1543" s="156">
        <f t="shared" si="190"/>
        <v>2026</v>
      </c>
      <c r="C1543" s="129">
        <f t="shared" si="191"/>
        <v>2025</v>
      </c>
      <c r="D1543" s="2" t="s">
        <v>155</v>
      </c>
      <c r="E1543" s="2" t="s">
        <v>155</v>
      </c>
      <c r="F1543" s="39">
        <v>45839</v>
      </c>
      <c r="G1543" s="233">
        <f>DAY(EOMONTH(TA[[#This Row],[Month Year]],0))</f>
        <v>31</v>
      </c>
      <c r="H1543" s="21">
        <v>45855</v>
      </c>
      <c r="I1543" s="41">
        <f>IFERROR(VLOOKUP(TA[[#This Row],[Date]],Raw_Data[[Date]:[Sunset Time (POA&lt;20 W/m2)]],3,0),"")</f>
        <v>0.25833333333333336</v>
      </c>
      <c r="J1543" s="41">
        <f>IFERROR(VLOOKUP(TA[[#This Row],[Date]],Raw_Data[[Date]:[Sunset Time (POA&lt;20 W/m2)]],4,0),"")</f>
        <v>0.77916666666666667</v>
      </c>
      <c r="K1543" s="35">
        <f>IFERROR((TA[[#This Row],[Sunset Time (POA&lt;20 W/m2)]]-TA[[#This Row],[Sunrise Time (POA&gt;20 W/m2)]])*24,"")</f>
        <v>12.499999999999998</v>
      </c>
      <c r="L1543" s="2" t="s">
        <v>294</v>
      </c>
      <c r="M1543" s="42">
        <f>IFERROR(VLOOKUP(TA[[#This Row],[Affected Equipment]],'Basic Data'!$I$2:$K$40,3,0),"")</f>
        <v>1.7241379310344799E-3</v>
      </c>
      <c r="N1543">
        <v>-28</v>
      </c>
      <c r="O1543" t="s">
        <v>133</v>
      </c>
      <c r="P1543" s="127" t="s">
        <v>316</v>
      </c>
      <c r="Q1543" s="126" t="s">
        <v>316</v>
      </c>
      <c r="R1543">
        <v>117</v>
      </c>
      <c r="S1543" s="2">
        <v>20</v>
      </c>
      <c r="T1543" t="s">
        <v>295</v>
      </c>
      <c r="U1543" t="s">
        <v>300</v>
      </c>
      <c r="V1543" t="s">
        <v>298</v>
      </c>
      <c r="W1543" s="41"/>
      <c r="X1543" s="41"/>
      <c r="Y1543" s="34"/>
      <c r="Z1543" s="34"/>
      <c r="AA1543" s="35">
        <f>IF(TA[[#This Row],[Work Start time on Fault]]="NA","",(TA[[#This Row],[Fault Acknowledgement Time ]]-TA[[#This Row],[Fault Time]])*24)</f>
        <v>0</v>
      </c>
      <c r="AB1543" s="35">
        <f>(TA[[#This Row],[Work Start time on Fault]]-TA[[#This Row],[Fault Time]])*24</f>
        <v>0</v>
      </c>
      <c r="AC1543" s="34">
        <f>(TA[[#This Row],[Work Completion time on fault]]-TA[[#This Row],[Fault Time]])*24</f>
        <v>0</v>
      </c>
      <c r="AD1543" s="35">
        <f>IFERROR((TA[[#This Row],[Work Completion time on fault]]-TA[[#This Row],[Fault Time]])*24,"")</f>
        <v>0</v>
      </c>
      <c r="AE1543" t="s">
        <v>328</v>
      </c>
      <c r="AF1543" t="s">
        <v>256</v>
      </c>
      <c r="AG1543" s="2"/>
      <c r="AH1543" s="44">
        <f>1-COS(RADIANS(TA[[#This Row],[Avg. Target Angle during Fault Time (Radians)]]-TA[[#This Row],[Angle of affected equipment ]]))</f>
        <v>0.11705240714107301</v>
      </c>
      <c r="AI1543" s="35">
        <f>IFERROR(TA[[#This Row],[Breakdown Time]]*TA[[#This Row],[Plant Equivalent Weightage]],"")</f>
        <v>0</v>
      </c>
    </row>
    <row r="1544" spans="1:35">
      <c r="A1544" s="2">
        <f t="shared" si="187"/>
        <v>1541</v>
      </c>
      <c r="B1544" s="156">
        <f t="shared" si="190"/>
        <v>2026</v>
      </c>
      <c r="C1544" s="129">
        <f t="shared" si="191"/>
        <v>2025</v>
      </c>
      <c r="D1544" s="2" t="s">
        <v>155</v>
      </c>
      <c r="E1544" s="2" t="s">
        <v>155</v>
      </c>
      <c r="F1544" s="39">
        <v>45839</v>
      </c>
      <c r="G1544" s="233">
        <f>DAY(EOMONTH(TA[[#This Row],[Month Year]],0))</f>
        <v>31</v>
      </c>
      <c r="H1544" s="21">
        <v>45855</v>
      </c>
      <c r="I1544" s="41">
        <f>IFERROR(VLOOKUP(TA[[#This Row],[Date]],Raw_Data[[Date]:[Sunset Time (POA&lt;20 W/m2)]],3,0),"")</f>
        <v>0.25833333333333336</v>
      </c>
      <c r="J1544" s="41">
        <f>IFERROR(VLOOKUP(TA[[#This Row],[Date]],Raw_Data[[Date]:[Sunset Time (POA&lt;20 W/m2)]],4,0),"")</f>
        <v>0.77916666666666667</v>
      </c>
      <c r="K1544" s="35">
        <f>IFERROR((TA[[#This Row],[Sunset Time (POA&lt;20 W/m2)]]-TA[[#This Row],[Sunrise Time (POA&gt;20 W/m2)]])*24,"")</f>
        <v>12.499999999999998</v>
      </c>
      <c r="L1544" s="2" t="s">
        <v>294</v>
      </c>
      <c r="M1544" s="42">
        <f>IFERROR(VLOOKUP(TA[[#This Row],[Affected Equipment]],'Basic Data'!$I$2:$K$40,3,0),"")</f>
        <v>1.7241379310344799E-3</v>
      </c>
      <c r="N1544">
        <v>-28</v>
      </c>
      <c r="O1544" t="s">
        <v>133</v>
      </c>
      <c r="P1544" s="127" t="s">
        <v>316</v>
      </c>
      <c r="Q1544" s="126" t="s">
        <v>316</v>
      </c>
      <c r="R1544">
        <v>118</v>
      </c>
      <c r="S1544" s="2">
        <v>22</v>
      </c>
      <c r="T1544" t="s">
        <v>295</v>
      </c>
      <c r="U1544" t="s">
        <v>300</v>
      </c>
      <c r="V1544" t="s">
        <v>298</v>
      </c>
      <c r="W1544" s="41"/>
      <c r="X1544" s="41"/>
      <c r="Y1544" s="34"/>
      <c r="Z1544" s="34"/>
      <c r="AA1544" s="35">
        <f>IF(TA[[#This Row],[Work Start time on Fault]]="NA","",(TA[[#This Row],[Fault Acknowledgement Time ]]-TA[[#This Row],[Fault Time]])*24)</f>
        <v>0</v>
      </c>
      <c r="AB1544" s="35">
        <f>(TA[[#This Row],[Work Start time on Fault]]-TA[[#This Row],[Fault Time]])*24</f>
        <v>0</v>
      </c>
      <c r="AC1544" s="34">
        <f>(TA[[#This Row],[Work Completion time on fault]]-TA[[#This Row],[Fault Time]])*24</f>
        <v>0</v>
      </c>
      <c r="AD1544" s="35">
        <f>IFERROR((TA[[#This Row],[Work Completion time on fault]]-TA[[#This Row],[Fault Time]])*24,"")</f>
        <v>0</v>
      </c>
      <c r="AE1544" t="s">
        <v>328</v>
      </c>
      <c r="AF1544" t="s">
        <v>256</v>
      </c>
      <c r="AG1544" s="2"/>
      <c r="AH1544" s="44">
        <f>1-COS(RADIANS(TA[[#This Row],[Avg. Target Angle during Fault Time (Radians)]]-TA[[#This Row],[Angle of affected equipment ]]))</f>
        <v>0.11705240714107301</v>
      </c>
      <c r="AI1544" s="35">
        <f>IFERROR(TA[[#This Row],[Breakdown Time]]*TA[[#This Row],[Plant Equivalent Weightage]],"")</f>
        <v>0</v>
      </c>
    </row>
    <row r="1545" spans="1:35">
      <c r="A1545" s="2">
        <f t="shared" si="187"/>
        <v>1542</v>
      </c>
      <c r="B1545" s="156">
        <f t="shared" si="190"/>
        <v>2026</v>
      </c>
      <c r="C1545" s="129">
        <f t="shared" si="191"/>
        <v>2025</v>
      </c>
      <c r="D1545" s="2" t="s">
        <v>155</v>
      </c>
      <c r="E1545" s="2" t="s">
        <v>155</v>
      </c>
      <c r="F1545" s="39">
        <v>45839</v>
      </c>
      <c r="G1545" s="233">
        <f>DAY(EOMONTH(TA[[#This Row],[Month Year]],0))</f>
        <v>31</v>
      </c>
      <c r="H1545" s="21">
        <v>45855</v>
      </c>
      <c r="I1545" s="41">
        <f>IFERROR(VLOOKUP(TA[[#This Row],[Date]],Raw_Data[[Date]:[Sunset Time (POA&lt;20 W/m2)]],3,0),"")</f>
        <v>0.25833333333333336</v>
      </c>
      <c r="J1545" s="41">
        <f>IFERROR(VLOOKUP(TA[[#This Row],[Date]],Raw_Data[[Date]:[Sunset Time (POA&lt;20 W/m2)]],4,0),"")</f>
        <v>0.77916666666666667</v>
      </c>
      <c r="K1545" s="35">
        <f>IFERROR((TA[[#This Row],[Sunset Time (POA&lt;20 W/m2)]]-TA[[#This Row],[Sunrise Time (POA&gt;20 W/m2)]])*24,"")</f>
        <v>12.499999999999998</v>
      </c>
      <c r="L1545" s="2" t="s">
        <v>296</v>
      </c>
      <c r="M1545" s="42">
        <f>IFERROR(VLOOKUP(TA[[#This Row],[Affected Equipment]],'Basic Data'!$I$2:$K$40,3,0),"")</f>
        <v>8.6206896551724102E-3</v>
      </c>
      <c r="N1545">
        <v>-28</v>
      </c>
      <c r="O1545" t="s">
        <v>135</v>
      </c>
      <c r="P1545" s="22" t="s">
        <v>323</v>
      </c>
      <c r="Q1545" s="2" t="s">
        <v>329</v>
      </c>
      <c r="R1545">
        <v>45</v>
      </c>
      <c r="S1545" s="2">
        <v>8</v>
      </c>
      <c r="T1545" t="s">
        <v>297</v>
      </c>
      <c r="U1545" t="s">
        <v>300</v>
      </c>
      <c r="V1545" t="s">
        <v>301</v>
      </c>
      <c r="W1545" s="41"/>
      <c r="X1545" s="41"/>
      <c r="Y1545" s="34"/>
      <c r="Z1545" s="34"/>
      <c r="AA1545" s="35">
        <f>IF(TA[[#This Row],[Work Start time on Fault]]="NA","",(TA[[#This Row],[Fault Acknowledgement Time ]]-TA[[#This Row],[Fault Time]])*24)</f>
        <v>0</v>
      </c>
      <c r="AB1545" s="35">
        <f>(TA[[#This Row],[Work Start time on Fault]]-TA[[#This Row],[Fault Time]])*24</f>
        <v>0</v>
      </c>
      <c r="AC1545" s="34">
        <f>(TA[[#This Row],[Work Completion time on fault]]-TA[[#This Row],[Fault Time]])*24</f>
        <v>0</v>
      </c>
      <c r="AD1545" s="35">
        <f>IFERROR((TA[[#This Row],[Work Completion time on fault]]-TA[[#This Row],[Fault Time]])*24,"")</f>
        <v>0</v>
      </c>
      <c r="AE1545" t="s">
        <v>328</v>
      </c>
      <c r="AF1545" t="s">
        <v>256</v>
      </c>
      <c r="AG1545" s="2"/>
      <c r="AH1545" s="44">
        <f>1-COS(RADIANS(TA[[#This Row],[Avg. Target Angle during Fault Time (Radians)]]-TA[[#This Row],[Angle of affected equipment ]]))</f>
        <v>0.11705240714107301</v>
      </c>
      <c r="AI1545" s="35">
        <f>IFERROR(TA[[#This Row],[Breakdown Time]]*TA[[#This Row],[Plant Equivalent Weightage]],"")</f>
        <v>0</v>
      </c>
    </row>
    <row r="1546" spans="1:35">
      <c r="A1546" s="2">
        <f t="shared" si="187"/>
        <v>1543</v>
      </c>
      <c r="B1546" s="156">
        <f t="shared" si="190"/>
        <v>2026</v>
      </c>
      <c r="C1546" s="129">
        <f t="shared" si="191"/>
        <v>2025</v>
      </c>
      <c r="D1546" s="2" t="s">
        <v>155</v>
      </c>
      <c r="E1546" s="2" t="s">
        <v>155</v>
      </c>
      <c r="F1546" s="39">
        <v>45839</v>
      </c>
      <c r="G1546" s="233">
        <f>DAY(EOMONTH(TA[[#This Row],[Month Year]],0))</f>
        <v>31</v>
      </c>
      <c r="H1546" s="21">
        <v>45855</v>
      </c>
      <c r="I1546" s="41">
        <f>IFERROR(VLOOKUP(TA[[#This Row],[Date]],Raw_Data[[Date]:[Sunset Time (POA&lt;20 W/m2)]],3,0),"")</f>
        <v>0.25833333333333336</v>
      </c>
      <c r="J1546" s="41">
        <f>IFERROR(VLOOKUP(TA[[#This Row],[Date]],Raw_Data[[Date]:[Sunset Time (POA&lt;20 W/m2)]],4,0),"")</f>
        <v>0.77916666666666667</v>
      </c>
      <c r="K1546" s="35">
        <f>IFERROR((TA[[#This Row],[Sunset Time (POA&lt;20 W/m2)]]-TA[[#This Row],[Sunrise Time (POA&gt;20 W/m2)]])*24,"")</f>
        <v>12.499999999999998</v>
      </c>
      <c r="L1546" s="2" t="s">
        <v>296</v>
      </c>
      <c r="M1546" s="42">
        <f>IFERROR(VLOOKUP(TA[[#This Row],[Affected Equipment]],'Basic Data'!$I$2:$K$40,3,0),"")</f>
        <v>8.6206896551724102E-3</v>
      </c>
      <c r="N1546">
        <v>-28</v>
      </c>
      <c r="O1546" t="s">
        <v>135</v>
      </c>
      <c r="P1546" s="22" t="s">
        <v>323</v>
      </c>
      <c r="Q1546" s="2" t="s">
        <v>329</v>
      </c>
      <c r="R1546">
        <v>47</v>
      </c>
      <c r="S1546" s="2">
        <v>18</v>
      </c>
      <c r="T1546" t="s">
        <v>297</v>
      </c>
      <c r="U1546" t="s">
        <v>300</v>
      </c>
      <c r="V1546" t="s">
        <v>301</v>
      </c>
      <c r="W1546" s="41"/>
      <c r="X1546" s="41"/>
      <c r="Y1546" s="34"/>
      <c r="Z1546" s="34"/>
      <c r="AA1546" s="35">
        <f>IF(TA[[#This Row],[Work Start time on Fault]]="NA","",(TA[[#This Row],[Fault Acknowledgement Time ]]-TA[[#This Row],[Fault Time]])*24)</f>
        <v>0</v>
      </c>
      <c r="AB1546" s="35">
        <f>(TA[[#This Row],[Work Start time on Fault]]-TA[[#This Row],[Fault Time]])*24</f>
        <v>0</v>
      </c>
      <c r="AC1546" s="34">
        <f>(TA[[#This Row],[Work Completion time on fault]]-TA[[#This Row],[Fault Time]])*24</f>
        <v>0</v>
      </c>
      <c r="AD1546" s="35">
        <f>IFERROR((TA[[#This Row],[Work Completion time on fault]]-TA[[#This Row],[Fault Time]])*24,"")</f>
        <v>0</v>
      </c>
      <c r="AE1546" t="s">
        <v>328</v>
      </c>
      <c r="AF1546" t="s">
        <v>256</v>
      </c>
      <c r="AG1546" s="2"/>
      <c r="AH1546" s="44">
        <f>1-COS(RADIANS(TA[[#This Row],[Avg. Target Angle during Fault Time (Radians)]]-TA[[#This Row],[Angle of affected equipment ]]))</f>
        <v>0.11705240714107301</v>
      </c>
      <c r="AI1546" s="35">
        <f>IFERROR(TA[[#This Row],[Breakdown Time]]*TA[[#This Row],[Plant Equivalent Weightage]],"")</f>
        <v>0</v>
      </c>
    </row>
    <row r="1547" spans="1:35">
      <c r="A1547" s="2">
        <f t="shared" si="187"/>
        <v>1544</v>
      </c>
      <c r="B1547" s="156">
        <f t="shared" si="190"/>
        <v>2026</v>
      </c>
      <c r="C1547" s="129">
        <f t="shared" si="191"/>
        <v>2025</v>
      </c>
      <c r="D1547" s="2" t="s">
        <v>155</v>
      </c>
      <c r="E1547" s="2" t="s">
        <v>155</v>
      </c>
      <c r="F1547" s="39">
        <v>45839</v>
      </c>
      <c r="G1547" s="233">
        <f>DAY(EOMONTH(TA[[#This Row],[Month Year]],0))</f>
        <v>31</v>
      </c>
      <c r="H1547" s="21">
        <v>45855</v>
      </c>
      <c r="I1547" s="41">
        <f>IFERROR(VLOOKUP(TA[[#This Row],[Date]],Raw_Data[[Date]:[Sunset Time (POA&lt;20 W/m2)]],3,0),"")</f>
        <v>0.25833333333333336</v>
      </c>
      <c r="J1547" s="41">
        <f>IFERROR(VLOOKUP(TA[[#This Row],[Date]],Raw_Data[[Date]:[Sunset Time (POA&lt;20 W/m2)]],4,0),"")</f>
        <v>0.77916666666666667</v>
      </c>
      <c r="K1547" s="35">
        <f>IFERROR((TA[[#This Row],[Sunset Time (POA&lt;20 W/m2)]]-TA[[#This Row],[Sunrise Time (POA&gt;20 W/m2)]])*24,"")</f>
        <v>12.499999999999998</v>
      </c>
      <c r="L1547" s="2" t="s">
        <v>296</v>
      </c>
      <c r="M1547" s="42">
        <f>IFERROR(VLOOKUP(TA[[#This Row],[Affected Equipment]],'Basic Data'!$I$2:$K$40,3,0),"")</f>
        <v>8.6206896551724102E-3</v>
      </c>
      <c r="N1547">
        <v>-28</v>
      </c>
      <c r="O1547" t="s">
        <v>134</v>
      </c>
      <c r="P1547" s="22" t="s">
        <v>330</v>
      </c>
      <c r="Q1547" s="2" t="s">
        <v>323</v>
      </c>
      <c r="R1547">
        <v>30</v>
      </c>
      <c r="S1547" s="2">
        <v>57</v>
      </c>
      <c r="T1547" t="s">
        <v>297</v>
      </c>
      <c r="U1547" t="s">
        <v>300</v>
      </c>
      <c r="V1547" t="s">
        <v>301</v>
      </c>
      <c r="W1547" s="41"/>
      <c r="X1547" s="41"/>
      <c r="Y1547" s="34"/>
      <c r="Z1547" s="34"/>
      <c r="AA1547" s="35">
        <f>IF(TA[[#This Row],[Work Start time on Fault]]="NA","",(TA[[#This Row],[Fault Acknowledgement Time ]]-TA[[#This Row],[Fault Time]])*24)</f>
        <v>0</v>
      </c>
      <c r="AB1547" s="35">
        <f>(TA[[#This Row],[Work Start time on Fault]]-TA[[#This Row],[Fault Time]])*24</f>
        <v>0</v>
      </c>
      <c r="AC1547" s="34">
        <f>(TA[[#This Row],[Work Completion time on fault]]-TA[[#This Row],[Fault Time]])*24</f>
        <v>0</v>
      </c>
      <c r="AD1547" s="35">
        <f>IFERROR((TA[[#This Row],[Work Completion time on fault]]-TA[[#This Row],[Fault Time]])*24,"")</f>
        <v>0</v>
      </c>
      <c r="AE1547" t="s">
        <v>328</v>
      </c>
      <c r="AF1547" t="s">
        <v>256</v>
      </c>
      <c r="AG1547" s="2"/>
      <c r="AH1547" s="44">
        <f>1-COS(RADIANS(TA[[#This Row],[Avg. Target Angle during Fault Time (Radians)]]-TA[[#This Row],[Angle of affected equipment ]]))</f>
        <v>0.11705240714107301</v>
      </c>
      <c r="AI1547" s="35">
        <f>IFERROR(TA[[#This Row],[Breakdown Time]]*TA[[#This Row],[Plant Equivalent Weightage]],"")</f>
        <v>0</v>
      </c>
    </row>
    <row r="1548" spans="1:35">
      <c r="A1548" s="2">
        <f t="shared" si="187"/>
        <v>1545</v>
      </c>
      <c r="B1548" s="156">
        <f t="shared" si="190"/>
        <v>2026</v>
      </c>
      <c r="C1548" s="129">
        <f t="shared" si="191"/>
        <v>2025</v>
      </c>
      <c r="D1548" s="2" t="s">
        <v>155</v>
      </c>
      <c r="E1548" s="2" t="s">
        <v>155</v>
      </c>
      <c r="F1548" s="39">
        <v>45839</v>
      </c>
      <c r="G1548" s="233">
        <f>DAY(EOMONTH(TA[[#This Row],[Month Year]],0))</f>
        <v>31</v>
      </c>
      <c r="H1548" s="21">
        <v>45855</v>
      </c>
      <c r="I1548" s="41">
        <f>IFERROR(VLOOKUP(TA[[#This Row],[Date]],Raw_Data[[Date]:[Sunset Time (POA&lt;20 W/m2)]],3,0),"")</f>
        <v>0.25833333333333336</v>
      </c>
      <c r="J1548" s="41">
        <f>IFERROR(VLOOKUP(TA[[#This Row],[Date]],Raw_Data[[Date]:[Sunset Time (POA&lt;20 W/m2)]],4,0),"")</f>
        <v>0.77916666666666667</v>
      </c>
      <c r="K1548" s="35">
        <f>IFERROR((TA[[#This Row],[Sunset Time (POA&lt;20 W/m2)]]-TA[[#This Row],[Sunrise Time (POA&gt;20 W/m2)]])*24,"")</f>
        <v>12.499999999999998</v>
      </c>
      <c r="L1548" s="2" t="s">
        <v>296</v>
      </c>
      <c r="M1548" s="42">
        <f>IFERROR(VLOOKUP(TA[[#This Row],[Affected Equipment]],'Basic Data'!$I$2:$K$40,3,0),"")</f>
        <v>8.6206896551724102E-3</v>
      </c>
      <c r="N1548">
        <v>-28</v>
      </c>
      <c r="O1548" t="s">
        <v>134</v>
      </c>
      <c r="P1548" s="22" t="s">
        <v>330</v>
      </c>
      <c r="Q1548" s="2" t="s">
        <v>323</v>
      </c>
      <c r="R1548">
        <v>31</v>
      </c>
      <c r="S1548" s="2">
        <v>61</v>
      </c>
      <c r="T1548" t="s">
        <v>297</v>
      </c>
      <c r="U1548" t="s">
        <v>300</v>
      </c>
      <c r="V1548" t="s">
        <v>301</v>
      </c>
      <c r="W1548" s="41"/>
      <c r="X1548" s="41"/>
      <c r="Y1548" s="34"/>
      <c r="Z1548" s="34"/>
      <c r="AA1548" s="35">
        <f>IF(TA[[#This Row],[Work Start time on Fault]]="NA","",(TA[[#This Row],[Fault Acknowledgement Time ]]-TA[[#This Row],[Fault Time]])*24)</f>
        <v>0</v>
      </c>
      <c r="AB1548" s="35">
        <f>(TA[[#This Row],[Work Start time on Fault]]-TA[[#This Row],[Fault Time]])*24</f>
        <v>0</v>
      </c>
      <c r="AC1548" s="34">
        <f>(TA[[#This Row],[Work Completion time on fault]]-TA[[#This Row],[Fault Time]])*24</f>
        <v>0</v>
      </c>
      <c r="AD1548" s="35">
        <f>IFERROR((TA[[#This Row],[Work Completion time on fault]]-TA[[#This Row],[Fault Time]])*24,"")</f>
        <v>0</v>
      </c>
      <c r="AE1548" t="s">
        <v>328</v>
      </c>
      <c r="AF1548" t="s">
        <v>256</v>
      </c>
      <c r="AG1548" s="2"/>
      <c r="AH1548" s="44">
        <f>1-COS(RADIANS(TA[[#This Row],[Avg. Target Angle during Fault Time (Radians)]]-TA[[#This Row],[Angle of affected equipment ]]))</f>
        <v>0.11705240714107301</v>
      </c>
      <c r="AI1548" s="35">
        <f>IFERROR(TA[[#This Row],[Breakdown Time]]*TA[[#This Row],[Plant Equivalent Weightage]],"")</f>
        <v>0</v>
      </c>
    </row>
    <row r="1549" spans="1:35">
      <c r="A1549" s="2">
        <f t="shared" si="187"/>
        <v>1546</v>
      </c>
      <c r="B1549" s="156">
        <f t="shared" si="190"/>
        <v>2026</v>
      </c>
      <c r="C1549" s="129">
        <f t="shared" si="191"/>
        <v>2025</v>
      </c>
      <c r="D1549" s="2" t="s">
        <v>155</v>
      </c>
      <c r="E1549" s="2" t="s">
        <v>155</v>
      </c>
      <c r="F1549" s="39">
        <v>45839</v>
      </c>
      <c r="G1549" s="233">
        <f>DAY(EOMONTH(TA[[#This Row],[Month Year]],0))</f>
        <v>31</v>
      </c>
      <c r="H1549" s="21">
        <v>45855</v>
      </c>
      <c r="I1549" s="41">
        <f>IFERROR(VLOOKUP(TA[[#This Row],[Date]],Raw_Data[[Date]:[Sunset Time (POA&lt;20 W/m2)]],3,0),"")</f>
        <v>0.25833333333333336</v>
      </c>
      <c r="J1549" s="41">
        <f>IFERROR(VLOOKUP(TA[[#This Row],[Date]],Raw_Data[[Date]:[Sunset Time (POA&lt;20 W/m2)]],4,0),"")</f>
        <v>0.77916666666666667</v>
      </c>
      <c r="K1549" s="35">
        <f>IFERROR((TA[[#This Row],[Sunset Time (POA&lt;20 W/m2)]]-TA[[#This Row],[Sunrise Time (POA&gt;20 W/m2)]])*24,"")</f>
        <v>12.499999999999998</v>
      </c>
      <c r="L1549" s="2" t="s">
        <v>312</v>
      </c>
      <c r="M1549" s="42">
        <f>IFERROR(VLOOKUP(TA[[#This Row],[Affected Equipment]],'Basic Data'!$I$2:$K$40,3,0),"")</f>
        <v>5.74712643678161E-3</v>
      </c>
      <c r="N1549">
        <v>-28</v>
      </c>
      <c r="O1549" t="s">
        <v>133</v>
      </c>
      <c r="P1549" s="22" t="s">
        <v>330</v>
      </c>
      <c r="Q1549" s="2" t="s">
        <v>323</v>
      </c>
      <c r="R1549">
        <v>26</v>
      </c>
      <c r="S1549" s="2">
        <v>37</v>
      </c>
      <c r="T1549" t="s">
        <v>297</v>
      </c>
      <c r="U1549" t="s">
        <v>300</v>
      </c>
      <c r="V1549" t="s">
        <v>301</v>
      </c>
      <c r="W1549" s="41"/>
      <c r="X1549" s="41"/>
      <c r="Y1549" s="34"/>
      <c r="Z1549" s="34"/>
      <c r="AA1549" s="35">
        <f>IF(TA[[#This Row],[Work Start time on Fault]]="NA","",(TA[[#This Row],[Fault Acknowledgement Time ]]-TA[[#This Row],[Fault Time]])*24)</f>
        <v>0</v>
      </c>
      <c r="AB1549" s="35">
        <f>(TA[[#This Row],[Work Start time on Fault]]-TA[[#This Row],[Fault Time]])*24</f>
        <v>0</v>
      </c>
      <c r="AC1549" s="34">
        <f>(TA[[#This Row],[Work Completion time on fault]]-TA[[#This Row],[Fault Time]])*24</f>
        <v>0</v>
      </c>
      <c r="AD1549" s="35">
        <f>IFERROR((TA[[#This Row],[Work Completion time on fault]]-TA[[#This Row],[Fault Time]])*24,"")</f>
        <v>0</v>
      </c>
      <c r="AE1549" t="s">
        <v>328</v>
      </c>
      <c r="AF1549" t="s">
        <v>256</v>
      </c>
      <c r="AG1549" s="2"/>
      <c r="AH1549" s="44">
        <f>1-COS(RADIANS(TA[[#This Row],[Avg. Target Angle during Fault Time (Radians)]]-TA[[#This Row],[Angle of affected equipment ]]))</f>
        <v>0.11705240714107301</v>
      </c>
      <c r="AI1549" s="35">
        <f>IFERROR(TA[[#This Row],[Breakdown Time]]*TA[[#This Row],[Plant Equivalent Weightage]],"")</f>
        <v>0</v>
      </c>
    </row>
    <row r="1550" spans="1:35">
      <c r="A1550" s="2">
        <f t="shared" si="187"/>
        <v>1547</v>
      </c>
      <c r="B1550" s="156">
        <f t="shared" si="190"/>
        <v>2026</v>
      </c>
      <c r="C1550" s="129">
        <f t="shared" si="191"/>
        <v>2025</v>
      </c>
      <c r="D1550" s="2" t="s">
        <v>155</v>
      </c>
      <c r="E1550" s="2" t="s">
        <v>155</v>
      </c>
      <c r="F1550" s="39">
        <v>45839</v>
      </c>
      <c r="G1550" s="233">
        <f>DAY(EOMONTH(TA[[#This Row],[Month Year]],0))</f>
        <v>31</v>
      </c>
      <c r="H1550" s="21">
        <v>45855</v>
      </c>
      <c r="I1550" s="41">
        <f>IFERROR(VLOOKUP(TA[[#This Row],[Date]],Raw_Data[[Date]:[Sunset Time (POA&lt;20 W/m2)]],3,0),"")</f>
        <v>0.25833333333333336</v>
      </c>
      <c r="J1550" s="41">
        <f>IFERROR(VLOOKUP(TA[[#This Row],[Date]],Raw_Data[[Date]:[Sunset Time (POA&lt;20 W/m2)]],4,0),"")</f>
        <v>0.77916666666666667</v>
      </c>
      <c r="K1550" s="35">
        <f>IFERROR((TA[[#This Row],[Sunset Time (POA&lt;20 W/m2)]]-TA[[#This Row],[Sunrise Time (POA&gt;20 W/m2)]])*24,"")</f>
        <v>12.499999999999998</v>
      </c>
      <c r="L1550" s="2" t="s">
        <v>312</v>
      </c>
      <c r="M1550" s="42">
        <f>IFERROR(VLOOKUP(TA[[#This Row],[Affected Equipment]],'Basic Data'!$I$2:$K$40,3,0),"")</f>
        <v>5.74712643678161E-3</v>
      </c>
      <c r="N1550">
        <v>-28</v>
      </c>
      <c r="O1550" t="s">
        <v>133</v>
      </c>
      <c r="P1550" s="22" t="s">
        <v>330</v>
      </c>
      <c r="Q1550" s="2" t="s">
        <v>323</v>
      </c>
      <c r="R1550">
        <v>27</v>
      </c>
      <c r="S1550" s="2">
        <v>42</v>
      </c>
      <c r="T1550" t="s">
        <v>297</v>
      </c>
      <c r="U1550" t="s">
        <v>300</v>
      </c>
      <c r="V1550" t="s">
        <v>301</v>
      </c>
      <c r="W1550" s="41">
        <f>IFERROR(VLOOKUP(TA[[#This Row],[Date]],Raw_Data[[Date]:[Sunset Time (POA&lt;20 W/m2)]],3,0),"")</f>
        <v>0.25833333333333336</v>
      </c>
      <c r="X1550" s="41">
        <f>IFERROR(VLOOKUP(TA[[#This Row],[Date]],Raw_Data[[Date]:[Sunset Time (POA&lt;20 W/m2)]],3,0),"")</f>
        <v>0.25833333333333336</v>
      </c>
      <c r="Y1550" s="34"/>
      <c r="Z1550" s="34">
        <v>0.76041666666666663</v>
      </c>
      <c r="AA1550" s="35">
        <f>IF(TA[[#This Row],[Work Start time on Fault]]="NA","",(TA[[#This Row],[Fault Acknowledgement Time ]]-TA[[#This Row],[Fault Time]])*24)</f>
        <v>0</v>
      </c>
      <c r="AB1550" s="35">
        <f>(TA[[#This Row],[Work Start time on Fault]]-TA[[#This Row],[Fault Time]])*24</f>
        <v>-6.2000000000000011</v>
      </c>
      <c r="AC1550" s="34">
        <f>(TA[[#This Row],[Work Completion time on fault]]-TA[[#This Row],[Fault Time]])*24</f>
        <v>12.049999999999997</v>
      </c>
      <c r="AD1550" s="35">
        <f>IFERROR((TA[[#This Row],[Work Completion time on fault]]-TA[[#This Row],[Fault Time]])*24,"")</f>
        <v>12.049999999999997</v>
      </c>
      <c r="AE1550" t="s">
        <v>309</v>
      </c>
      <c r="AF1550" t="s">
        <v>256</v>
      </c>
      <c r="AG1550" s="2"/>
      <c r="AH1550" s="44">
        <f>1-COS(RADIANS(TA[[#This Row],[Avg. Target Angle during Fault Time (Radians)]]-TA[[#This Row],[Angle of affected equipment ]]))</f>
        <v>0.11705240714107301</v>
      </c>
      <c r="AI1550" s="35">
        <f>IFERROR(TA[[#This Row],[Breakdown Time]]*TA[[#This Row],[Plant Equivalent Weightage]],"")</f>
        <v>6.9252873563218381E-2</v>
      </c>
    </row>
  </sheetData>
  <pageMargins left="0.7" right="0.7" top="0.75" bottom="0.75" header="0.3" footer="0.3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'Basic Data'!$I$2:$I$40</xm:f>
          </x14:formula1>
          <xm:sqref>L4:L12 L19:L27 L34:L42 L49:L57 L64:L72 L79:L87 L94:L102 L109:L117 L124:L132 L139:L147 L154:L162 L169:L177 L184:L192 L199:L207 L214:L222 L229:L237 L244:L251 L258:L265 L272:L279 L286:L293 L300:L307 L314:L321 L328:L335 L342:L349 L356:L363 L370:L377 L384:L391 L398:L405 L412:L419 L426:L433 L441:L448 L456:L463 L471:L478 L486:L493 L500:L507 L514:L521 L528:L535 L542:L557 L564:L571 L578:L585 L592:L599 L606:L613 L620:L627 L634:L641 L648:L655 L662:L669 L676:L683 L690:L697 L704:L711 L718:L725 L732:L739 L746:L753 L760:L770 L777:L786 L793:L802 L824:L832 L809:L817 L839:L846 L853:L860 L867:L873 L880:L886 L893:L899 L906:L912 L919:L925 L932:L938 L945:L951 L958:L964 L971:L977 L984:L990 L997:L1003 L1010:L1016 L1023:L1029 L1036:L1042 L1049:L1055 L1062:L1068 L1075:L1081 L1088:L1094 L1101:L1107 L1122:L1128 L1135:L1141 L1148:L1154 L1161:L1167 L1174:L1180 L1187:L1193 L1200:L1206 L1213:L1219 L1226:L1232 L1239:L1245 L1252:L1258 L1265:L1271 L1278:L1284 L1291:L1297 L1304:L1310 L1317:L1323 L1330:L1336 L1343:L1349 L1356:L1362 L1369:L1375 L1382:L1388 L1395:L1401 L1408:L1414 L1421:L1427 L1434:L1440 L1447:L1453 L1460:L1466 L1473:L1479 L1486:L1492 L1499:L1505 L1512:L1518 L1525:L1531 L1538:L1544</xm:sqref>
        </x14:dataValidation>
        <x14:dataValidation type="list" allowBlank="1" showInputMessage="1" showErrorMessage="1" xr:uid="{00000000-0002-0000-0A00-000001000000}">
          <x14:formula1>
            <xm:f>'Basic Data'!$G$2:$G$17</xm:f>
          </x14:formula1>
          <xm:sqref>T4:T12 T19:T27 T34:T42 T49:T57 T64:T72 T79:T87 T94:T102 T109:T117 T124:T132 T139:T147 T154:T162 T169:T177 T184:T192 T199:T207 T214:T222 T229:T237 T244:T251 T258:T265 T272:T279 T286:T293 T300:T307 T314:T321 T328:T335 T342:T349 T356:T363 T370:T377 T384:T391 T398:T405 T412:T419 T426:T433 T441:T448 T456:T463 T471:T478 T486:T493 T500:T507 T514:T521 T528:T535 T542:T557 T564:T571 T578:T585 T592:T599 T606:T613 T620:T627 T634:T641 T648:T655 T662:T669 T676:T683 T690:T697 T704:T711 T718:T725 T732:T739 T746:T753 T760:T770 T777:T786 T793:T802 T824:T832 T809:T817 T839:T846 T853:T860 T867:T873 T880:T886 T893:T899 T906:T912 T919:T925 T932:T938 T945:T951 T958:T964 T971:T977 T984:T990 T997:T1003 T1010:T1016 T1023:T1029 T1036:T1042 T1049:T1055 T1062:T1068 T1075:T1081 T1088:T1094 T1101:T1107 T1122:T1128 T1135:T1141 T1148:T1154 T1161:T1167 T1174:T1180 T1187:T1193 T1200:T1206 T1213:T1219 T1226:T1232 T1239:T1245 T1252:T1258 T1265:T1271 T1278:T1284 T1291:T1297 T1304:T1310 T1317:T1323 T1330:T1336 T1343:T1349 T1356:T1362 T1369:T1375 T1382:T1388 T1395:T1401 T1408:T1414 T1421:T1427 T1434:T1440 T1447:T1453 T1460:T1466 T1473:T1479 T1486:T1492 T1499:T1505 T1512:T1518 T1525:T1531 T1538:T1544</xm:sqref>
        </x14:dataValidation>
        <x14:dataValidation type="list" allowBlank="1" showInputMessage="1" showErrorMessage="1" xr:uid="{00000000-0002-0000-0A00-000003000000}">
          <x14:formula1>
            <xm:f>'Basic Data'!$A$2:$A$7</xm:f>
          </x14:formula1>
          <xm:sqref>O4:O12 O19:O27 O34:O42 O49:O57 O64:O72 O79:O87 O94:O102 O109:O117 O124:O132 O139:O147 O154:O162 O169:O177 O184:O192 O199:O207 O214:O222 O229:O237 O244:O251 O258:O265 O272:O279 O286:O293 O300:O307 O314:O321 O328:O335 O342:O349 O356:O363 O370:O377 O384:O391 O398:O405 O412:O419 O426:O433 O441:O448 O456:O463 O471:O478 O486:O493 O500:O507 O514:O521 O528:O535 O542:O557 O564:O571 O578:O585 O592:O599 O606:O613 O620:O627 O634:O641 O648:O655 O662:O669 O676:O683 O690:O697 O704:O711 O718:O725 O732:O739 O746:O753 O760:O770 O777:O786 O793:O802 O824:O832 O809:O817 O839:O846 O853:O860 O867:O873 O880:O886 O893:O899 O906:O912 O919:O925 O932:O938 O945:O951 O958:O964 O971:O977 O984:O990 O997:O1003 O1010:O1016 O1023:O1029 O1036:O1042 O1049:O1055 O1062:O1068 O1075:O1081 O1088:O1094 O1101:O1107 O1122:O1128 O1135:O1141 O1148:O1154 O1161:O1167 O1174:O1180 O1187:O1193 O1200:O1206 O1213:O1219 O1226:O1232 O1239:O1245 O1252:O1258 O1265:O1271 O1278:O1284 O1291:O1297 O1304:O1310 O1317:O1323 O1330:O1336 O1343:O1349 O1356:O1362 O1369:O1375 O1382:O1388 O1395:O1401 O1408:O1414 O1421:O1427 O1434:O1440 O1447:O1453 O1460:O1466 O1473:O1479 O1486:O1492 O1499:O1505 O1512:O1518 O1525:O1531 O1538:O1544</xm:sqref>
        </x14:dataValidation>
        <x14:dataValidation type="list" allowBlank="1" showInputMessage="1" showErrorMessage="1" xr:uid="{00000000-0002-0000-0A00-000002000000}">
          <x14:formula1>
            <xm:f>'Basic Data'!$M$2:$M$4</xm:f>
          </x14:formula1>
          <xm:sqref>AF4:AF1550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513"/>
  <sheetViews>
    <sheetView topLeftCell="A2" zoomScale="98" zoomScaleNormal="98" workbookViewId="0">
      <pane xSplit="8" ySplit="1" topLeftCell="M34" activePane="bottomRight" state="frozen"/>
      <selection pane="topRight" activeCell="I2" sqref="I2"/>
      <selection pane="bottomLeft" activeCell="A3" sqref="A3"/>
      <selection pane="bottomRight" activeCell="M44" sqref="M44"/>
    </sheetView>
  </sheetViews>
  <sheetFormatPr defaultColWidth="9" defaultRowHeight="15"/>
  <cols>
    <col min="2" max="2" width="13.42578125" customWidth="1"/>
    <col min="3" max="3" width="13.7109375" style="2" customWidth="1"/>
    <col min="4" max="4" width="14.42578125" customWidth="1"/>
    <col min="5" max="5" width="13.5703125" customWidth="1"/>
    <col min="6" max="6" width="11.28515625" customWidth="1"/>
    <col min="7" max="7" width="9.7109375" style="2" customWidth="1"/>
    <col min="8" max="8" width="15.140625" customWidth="1"/>
    <col min="9" max="9" width="16.42578125" customWidth="1"/>
    <col min="10" max="10" width="12.7109375" customWidth="1"/>
    <col min="11" max="11" width="13.7109375" style="2" customWidth="1"/>
    <col min="12" max="12" width="11.5703125" customWidth="1"/>
    <col min="13" max="13" width="14.7109375" style="2" customWidth="1"/>
    <col min="14" max="14" width="13.7109375" customWidth="1"/>
    <col min="15" max="15" width="11.28515625" customWidth="1"/>
    <col min="16" max="16" width="10.28515625" customWidth="1"/>
    <col min="17" max="17" width="8.7109375" customWidth="1"/>
    <col min="18" max="18" width="23.28515625" customWidth="1"/>
    <col min="19" max="19" width="8.28515625" customWidth="1"/>
    <col min="20" max="20" width="9" customWidth="1"/>
    <col min="21" max="21" width="9.28515625" customWidth="1"/>
    <col min="22" max="22" width="13.28515625" customWidth="1"/>
    <col min="23" max="23" width="14.28515625" customWidth="1"/>
    <col min="24" max="24" width="12.5703125" customWidth="1"/>
    <col min="25" max="25" width="17.28515625" customWidth="1"/>
    <col min="26" max="26" width="17.7109375" customWidth="1"/>
    <col min="27" max="27" width="9.28515625" customWidth="1"/>
    <col min="28" max="28" width="22.42578125" customWidth="1"/>
    <col min="29" max="29" width="11.42578125" customWidth="1"/>
    <col min="30" max="30" width="15.42578125" customWidth="1"/>
    <col min="31" max="31" width="43.28515625" customWidth="1"/>
  </cols>
  <sheetData>
    <row r="1" spans="1:31" hidden="1"/>
    <row r="2" spans="1:31" ht="75">
      <c r="A2" s="20" t="s">
        <v>5</v>
      </c>
      <c r="B2" s="20" t="s">
        <v>125</v>
      </c>
      <c r="C2" s="20" t="s">
        <v>126</v>
      </c>
      <c r="D2" s="20" t="s">
        <v>127</v>
      </c>
      <c r="E2" s="20" t="s">
        <v>128</v>
      </c>
      <c r="F2" s="20" t="s">
        <v>84</v>
      </c>
      <c r="G2" s="20" t="s">
        <v>63</v>
      </c>
      <c r="H2" s="20" t="s">
        <v>34</v>
      </c>
      <c r="I2" s="20" t="s">
        <v>130</v>
      </c>
      <c r="J2" s="20" t="s">
        <v>131</v>
      </c>
      <c r="K2" s="20" t="s">
        <v>225</v>
      </c>
      <c r="L2" s="20" t="s">
        <v>226</v>
      </c>
      <c r="M2" s="20" t="s">
        <v>227</v>
      </c>
      <c r="N2" s="20" t="s">
        <v>229</v>
      </c>
      <c r="O2" s="20" t="s">
        <v>331</v>
      </c>
      <c r="P2" s="20" t="s">
        <v>228</v>
      </c>
      <c r="Q2" s="20" t="s">
        <v>231</v>
      </c>
      <c r="R2" s="20" t="s">
        <v>232</v>
      </c>
      <c r="S2" s="20" t="s">
        <v>233</v>
      </c>
      <c r="T2" s="20" t="s">
        <v>234</v>
      </c>
      <c r="U2" s="20" t="s">
        <v>235</v>
      </c>
      <c r="V2" s="20" t="s">
        <v>236</v>
      </c>
      <c r="W2" s="20" t="s">
        <v>237</v>
      </c>
      <c r="X2" s="20" t="s">
        <v>238</v>
      </c>
      <c r="Y2" s="20" t="s">
        <v>239</v>
      </c>
      <c r="Z2" s="20" t="s">
        <v>241</v>
      </c>
      <c r="AA2" s="20" t="s">
        <v>242</v>
      </c>
      <c r="AB2" s="20" t="s">
        <v>243</v>
      </c>
      <c r="AC2" s="20" t="s">
        <v>332</v>
      </c>
      <c r="AD2" s="20" t="s">
        <v>245</v>
      </c>
      <c r="AE2" s="36" t="s">
        <v>333</v>
      </c>
    </row>
    <row r="3" spans="1:31">
      <c r="A3" s="2">
        <v>1</v>
      </c>
      <c r="B3" s="156">
        <f>YEAR(H3)+IF(MONTH(H3)&gt;=4,1,0)</f>
        <v>2025</v>
      </c>
      <c r="C3" s="129">
        <f>YEAR(H3)</f>
        <v>2025</v>
      </c>
      <c r="D3" t="s">
        <v>155</v>
      </c>
      <c r="E3" s="17" t="s">
        <v>155</v>
      </c>
      <c r="F3" s="25">
        <v>45717</v>
      </c>
      <c r="G3" s="17">
        <f>DAY(EOMONTH(GA[[#This Row],[Month Year]],0))</f>
        <v>31</v>
      </c>
      <c r="H3" s="26">
        <v>45745</v>
      </c>
      <c r="I3" s="31">
        <f>IFERROR(VLOOKUP(GA[[#This Row],[Date]],Raw_Data[[#All],[Date]:[Sunset Time (POA&lt;20 W/m2)]],3,0),"")</f>
        <v>0.2590277777777778</v>
      </c>
      <c r="J3" s="31">
        <f>IFERROR(VLOOKUP(GA[[#This Row],[Date]],Raw_Data[[#All],[Date]:[Sunset Time (POA&lt;20 W/m2)]],4,0),"")</f>
        <v>0.76180555555555551</v>
      </c>
      <c r="K3" s="30">
        <f>IFERROR((GA[[#This Row],[Sunset Time (POA&lt;20 W/m2)]]-GA[[#This Row],[Sunrise Time (POA&gt;20 W/m2)]])*24,"")</f>
        <v>12.066666666666666</v>
      </c>
      <c r="L3" s="17" t="s">
        <v>334</v>
      </c>
      <c r="M3" s="17">
        <f>IFERROR(VLOOKUP(GA[[#This Row],[Affceted Equipment]],'Basic Data'!$A$1:$B$113,2,0),"")</f>
        <v>11710.44</v>
      </c>
      <c r="N3" s="17" t="s">
        <v>335</v>
      </c>
      <c r="O3" s="1" t="s">
        <v>277</v>
      </c>
      <c r="P3" s="28">
        <f>IFERROR(VLOOKUP(GA[[#This Row],[Affceted Equipment]],'Basic Data'!$A$2:$C$118,3,0),"")</f>
        <v>1</v>
      </c>
      <c r="Q3" s="17" t="s">
        <v>258</v>
      </c>
      <c r="R3" t="s">
        <v>339</v>
      </c>
      <c r="S3" s="24">
        <v>0.69236111111111109</v>
      </c>
      <c r="T3" s="24">
        <v>0.69236111111111109</v>
      </c>
      <c r="U3" s="24">
        <v>0.69444444444444442</v>
      </c>
      <c r="V3" s="24">
        <v>0.70277777777777772</v>
      </c>
      <c r="W3" s="34">
        <f>(GA[[#This Row],[Acknowledgemnet Time ]]-GA[[#This Row],[Fault Time]])*24</f>
        <v>0</v>
      </c>
      <c r="X3" s="35">
        <f>(GA[[#This Row],[Work Start time on Fault]]-GA[[#This Row],[Fault Time]])*24</f>
        <v>4.9999999999999822E-2</v>
      </c>
      <c r="Y3" s="35">
        <f>(GA[[#This Row],[Work Completiuon time on fualt]]-GA[[#This Row],[Fault Time]])*24</f>
        <v>0.24999999999999911</v>
      </c>
      <c r="Z3" s="2" t="s">
        <v>337</v>
      </c>
      <c r="AA3" s="2" t="s">
        <v>249</v>
      </c>
      <c r="AB3" s="2">
        <f>IFERROR(GA[[#This Row],[Plant Equivalent Weightage]]*GA[[#This Row],[Resolution Time]],"")</f>
        <v>0.24999999999999911</v>
      </c>
      <c r="AC3" s="2">
        <v>85</v>
      </c>
      <c r="AD3" s="32">
        <f>IFERROR((_xlfn.XLOOKUP(GA[[#This Row],[Month Year]],'Modelling New'!D:D,'Modelling New'!$O:$O)*GA[[#This Row],[Lost POA (Wh/m2)]]*GA[[#This Row],[DC Capacity Affceted (kW)]])/1000,"")</f>
        <v>815.98700178510705</v>
      </c>
      <c r="AE3" s="2"/>
    </row>
    <row r="4" spans="1:31">
      <c r="A4" s="2">
        <f t="shared" ref="A4:A31" si="0">A3+1</f>
        <v>2</v>
      </c>
      <c r="B4" s="156">
        <f t="shared" ref="B4:B67" si="1">YEAR(H4)+IF(MONTH(H4)&gt;=4,1,0)</f>
        <v>2026</v>
      </c>
      <c r="C4" s="129">
        <f t="shared" ref="C4:C67" si="2">YEAR(H4)</f>
        <v>2025</v>
      </c>
      <c r="D4" t="s">
        <v>155</v>
      </c>
      <c r="E4" s="17" t="s">
        <v>155</v>
      </c>
      <c r="F4" s="25">
        <v>45748</v>
      </c>
      <c r="G4" s="17">
        <f>DAY(EOMONTH(GA[[#This Row],[Month Year]],0))</f>
        <v>30</v>
      </c>
      <c r="H4" s="26">
        <v>45756</v>
      </c>
      <c r="I4" s="31">
        <f>IFERROR(VLOOKUP(GA[[#This Row],[Date]],Raw_Data[[#All],[Date]:[Sunset Time (POA&lt;20 W/m2)]],3,0),"")</f>
        <v>0.26527777777777778</v>
      </c>
      <c r="J4" s="31">
        <f>IFERROR(VLOOKUP(GA[[#This Row],[Date]],Raw_Data[[#All],[Date]:[Sunset Time (POA&lt;20 W/m2)]],4,0),"")</f>
        <v>0.7680555555555556</v>
      </c>
      <c r="K4" s="30">
        <f>IFERROR((GA[[#This Row],[Sunset Time (POA&lt;20 W/m2)]]-GA[[#This Row],[Sunrise Time (POA&gt;20 W/m2)]])*24,"")</f>
        <v>12.066666666666666</v>
      </c>
      <c r="L4" s="17" t="s">
        <v>334</v>
      </c>
      <c r="M4" s="17">
        <f>IFERROR(VLOOKUP(GA[[#This Row],[Affceted Equipment]],'Basic Data'!$A$1:$B$113,2,0),"")</f>
        <v>11710.44</v>
      </c>
      <c r="N4" s="17" t="s">
        <v>335</v>
      </c>
      <c r="O4" s="1" t="s">
        <v>277</v>
      </c>
      <c r="P4" s="28">
        <f>IFERROR(VLOOKUP(GA[[#This Row],[Affceted Equipment]],'Basic Data'!$A$2:$C$118,3,0),"")</f>
        <v>1</v>
      </c>
      <c r="Q4" s="17" t="s">
        <v>258</v>
      </c>
      <c r="R4" t="s">
        <v>336</v>
      </c>
      <c r="S4" s="24">
        <v>0.56527777777777777</v>
      </c>
      <c r="T4" s="24">
        <v>0.56527777777777777</v>
      </c>
      <c r="U4" s="24">
        <v>0.56944444444444442</v>
      </c>
      <c r="V4" s="24">
        <v>0.57222222222222219</v>
      </c>
      <c r="W4" s="34">
        <f>(GA[[#This Row],[Acknowledgemnet Time ]]-GA[[#This Row],[Fault Time]])*24</f>
        <v>0</v>
      </c>
      <c r="X4" s="35">
        <f>(GA[[#This Row],[Work Start time on Fault]]-GA[[#This Row],[Fault Time]])*24</f>
        <v>9.9999999999999645E-2</v>
      </c>
      <c r="Y4" s="35">
        <f>(GA[[#This Row],[Work Completiuon time on fualt]]-GA[[#This Row],[Fault Time]])*24</f>
        <v>0.16666666666666607</v>
      </c>
      <c r="Z4" s="2" t="s">
        <v>337</v>
      </c>
      <c r="AA4" s="2" t="s">
        <v>249</v>
      </c>
      <c r="AB4" s="2">
        <f>IFERROR(GA[[#This Row],[Plant Equivalent Weightage]]*GA[[#This Row],[Resolution Time]],"")</f>
        <v>0.16666666666666607</v>
      </c>
      <c r="AC4" s="2">
        <v>138</v>
      </c>
      <c r="AD4" s="32">
        <f>IFERROR((_xlfn.XLOOKUP(GA[[#This Row],[Month Year]],'Modelling New'!D:D,'Modelling New'!$O:$O)*GA[[#This Row],[Lost POA (Wh/m2)]]*GA[[#This Row],[DC Capacity Affceted (kW)]])/1000,"")</f>
        <v>1148.4610130709166</v>
      </c>
      <c r="AE4" s="2"/>
    </row>
    <row r="5" spans="1:31">
      <c r="A5" s="2">
        <f t="shared" si="0"/>
        <v>3</v>
      </c>
      <c r="B5" s="156">
        <f t="shared" si="1"/>
        <v>2026</v>
      </c>
      <c r="C5" s="129">
        <f t="shared" si="2"/>
        <v>2025</v>
      </c>
      <c r="D5" t="s">
        <v>155</v>
      </c>
      <c r="E5" s="17" t="s">
        <v>155</v>
      </c>
      <c r="F5" s="25">
        <v>45748</v>
      </c>
      <c r="G5" s="17">
        <f>DAY(EOMONTH(GA[[#This Row],[Month Year]],0))</f>
        <v>30</v>
      </c>
      <c r="H5" s="26">
        <v>45757</v>
      </c>
      <c r="I5" s="31">
        <f>IFERROR(VLOOKUP(GA[[#This Row],[Date]],Raw_Data[[#All],[Date]:[Sunset Time (POA&lt;20 W/m2)]],3,0),"")</f>
        <v>0.2638888888888889</v>
      </c>
      <c r="J5" s="31">
        <f>IFERROR(VLOOKUP(GA[[#This Row],[Date]],Raw_Data[[#All],[Date]:[Sunset Time (POA&lt;20 W/m2)]],4,0),"")</f>
        <v>0.76041666666666663</v>
      </c>
      <c r="K5" s="30">
        <f>IFERROR((GA[[#This Row],[Sunset Time (POA&lt;20 W/m2)]]-GA[[#This Row],[Sunrise Time (POA&gt;20 W/m2)]])*24,"")</f>
        <v>11.916666666666666</v>
      </c>
      <c r="L5" s="17" t="s">
        <v>334</v>
      </c>
      <c r="M5" s="17">
        <f>IFERROR(VLOOKUP(GA[[#This Row],[Affceted Equipment]],'Basic Data'!$A$1:$B$113,2,0),"")</f>
        <v>11710.44</v>
      </c>
      <c r="N5" s="17" t="s">
        <v>335</v>
      </c>
      <c r="O5" s="1" t="s">
        <v>277</v>
      </c>
      <c r="P5" s="28">
        <f>IFERROR(VLOOKUP(GA[[#This Row],[Affceted Equipment]],'Basic Data'!$A$2:$C$118,3,0),"")</f>
        <v>1</v>
      </c>
      <c r="Q5" s="17" t="s">
        <v>258</v>
      </c>
      <c r="R5" t="s">
        <v>336</v>
      </c>
      <c r="S5" s="24">
        <v>0.35416666666666669</v>
      </c>
      <c r="T5" s="24">
        <v>0.35555555555555557</v>
      </c>
      <c r="U5" s="24">
        <v>0.3576388888888889</v>
      </c>
      <c r="V5" s="24">
        <v>0.35972222222222222</v>
      </c>
      <c r="W5" s="34">
        <f>(GA[[#This Row],[Acknowledgemnet Time ]]-GA[[#This Row],[Fault Time]])*24</f>
        <v>3.3333333333333215E-2</v>
      </c>
      <c r="X5" s="35">
        <f>(GA[[#This Row],[Work Start time on Fault]]-GA[[#This Row],[Fault Time]])*24</f>
        <v>8.3333333333333037E-2</v>
      </c>
      <c r="Y5" s="35">
        <f>(GA[[#This Row],[Work Completiuon time on fualt]]-GA[[#This Row],[Fault Time]])*24</f>
        <v>0.13333333333333286</v>
      </c>
      <c r="Z5" s="2" t="s">
        <v>337</v>
      </c>
      <c r="AA5" s="2" t="s">
        <v>249</v>
      </c>
      <c r="AB5" s="2">
        <f>IFERROR(GA[[#This Row],[Plant Equivalent Weightage]]*GA[[#This Row],[Resolution Time]],"")</f>
        <v>0.13333333333333286</v>
      </c>
      <c r="AC5" s="2">
        <v>80</v>
      </c>
      <c r="AD5" s="32">
        <f>IFERROR((_xlfn.XLOOKUP(GA[[#This Row],[Month Year]],'Modelling New'!D:D,'Modelling New'!$O:$O)*GA[[#This Row],[Lost POA (Wh/m2)]]*GA[[#This Row],[DC Capacity Affceted (kW)]])/1000,"")</f>
        <v>665.77450033096613</v>
      </c>
      <c r="AE5" s="2"/>
    </row>
    <row r="6" spans="1:31">
      <c r="A6" s="2">
        <f t="shared" si="0"/>
        <v>4</v>
      </c>
      <c r="B6" s="156">
        <f t="shared" si="1"/>
        <v>2026</v>
      </c>
      <c r="C6" s="129">
        <f t="shared" si="2"/>
        <v>2025</v>
      </c>
      <c r="D6" t="s">
        <v>155</v>
      </c>
      <c r="E6" s="17" t="s">
        <v>155</v>
      </c>
      <c r="F6" s="25">
        <v>45748</v>
      </c>
      <c r="G6" s="17">
        <f>DAY(EOMONTH(GA[[#This Row],[Month Year]],0))</f>
        <v>30</v>
      </c>
      <c r="H6" s="26">
        <v>45757</v>
      </c>
      <c r="I6" s="31">
        <f>IFERROR(VLOOKUP(GA[[#This Row],[Date]],Raw_Data[[#All],[Date]:[Sunset Time (POA&lt;20 W/m2)]],3,0),"")</f>
        <v>0.2638888888888889</v>
      </c>
      <c r="J6" s="31">
        <f>IFERROR(VLOOKUP(GA[[#This Row],[Date]],Raw_Data[[#All],[Date]:[Sunset Time (POA&lt;20 W/m2)]],4,0),"")</f>
        <v>0.76041666666666663</v>
      </c>
      <c r="K6" s="30">
        <f>IFERROR((GA[[#This Row],[Sunset Time (POA&lt;20 W/m2)]]-GA[[#This Row],[Sunrise Time (POA&gt;20 W/m2)]])*24,"")</f>
        <v>11.916666666666666</v>
      </c>
      <c r="L6" s="17" t="s">
        <v>334</v>
      </c>
      <c r="M6" s="17">
        <f>IFERROR(VLOOKUP(GA[[#This Row],[Affceted Equipment]],'Basic Data'!$A$1:$B$113,2,0),"")</f>
        <v>11710.44</v>
      </c>
      <c r="N6" s="17" t="s">
        <v>335</v>
      </c>
      <c r="O6" s="1" t="s">
        <v>277</v>
      </c>
      <c r="P6" s="28">
        <f>IFERROR(VLOOKUP(GA[[#This Row],[Affceted Equipment]],'Basic Data'!$A$2:$C$118,3,0),"")</f>
        <v>1</v>
      </c>
      <c r="Q6" s="17" t="s">
        <v>258</v>
      </c>
      <c r="R6" t="s">
        <v>336</v>
      </c>
      <c r="S6" s="24">
        <v>0.63472222222222219</v>
      </c>
      <c r="T6" s="24">
        <v>0.63749999999999996</v>
      </c>
      <c r="U6" s="24">
        <v>0.66666666666666663</v>
      </c>
      <c r="V6" s="24">
        <v>0.71875</v>
      </c>
      <c r="W6" s="34">
        <f>(GA[[#This Row],[Acknowledgemnet Time ]]-GA[[#This Row],[Fault Time]])*24</f>
        <v>6.666666666666643E-2</v>
      </c>
      <c r="X6" s="35">
        <f>(GA[[#This Row],[Work Start time on Fault]]-GA[[#This Row],[Fault Time]])*24</f>
        <v>0.76666666666666661</v>
      </c>
      <c r="Y6" s="35">
        <f>(GA[[#This Row],[Work Completiuon time on fualt]]-GA[[#This Row],[Fault Time]])*24</f>
        <v>2.0166666666666675</v>
      </c>
      <c r="Z6" s="2" t="s">
        <v>337</v>
      </c>
      <c r="AA6" s="2" t="s">
        <v>249</v>
      </c>
      <c r="AB6" s="2">
        <f>IFERROR(GA[[#This Row],[Plant Equivalent Weightage]]*GA[[#This Row],[Resolution Time]],"")</f>
        <v>2.0166666666666675</v>
      </c>
      <c r="AC6" s="2">
        <v>84</v>
      </c>
      <c r="AD6" s="32">
        <f>IFERROR((_xlfn.XLOOKUP(GA[[#This Row],[Month Year]],'Modelling New'!D:D,'Modelling New'!$O:$O)*GA[[#This Row],[Lost POA (Wh/m2)]]*GA[[#This Row],[DC Capacity Affceted (kW)]])/1000,"")</f>
        <v>699.06322534751439</v>
      </c>
      <c r="AE6" s="2"/>
    </row>
    <row r="7" spans="1:31">
      <c r="A7" s="2">
        <f t="shared" si="0"/>
        <v>5</v>
      </c>
      <c r="B7" s="156">
        <f t="shared" si="1"/>
        <v>2026</v>
      </c>
      <c r="C7" s="129">
        <f t="shared" si="2"/>
        <v>2025</v>
      </c>
      <c r="D7" t="s">
        <v>155</v>
      </c>
      <c r="E7" s="17" t="s">
        <v>155</v>
      </c>
      <c r="F7" s="25">
        <v>45748</v>
      </c>
      <c r="G7" s="17">
        <f>DAY(EOMONTH(GA[[#This Row],[Month Year]],0))</f>
        <v>30</v>
      </c>
      <c r="H7" s="26">
        <v>45758</v>
      </c>
      <c r="I7" s="31">
        <f>IFERROR(VLOOKUP(GA[[#This Row],[Date]],Raw_Data[[#All],[Date]:[Sunset Time (POA&lt;20 W/m2)]],3,0),"")</f>
        <v>0.26250000000000001</v>
      </c>
      <c r="J7" s="31">
        <f>IFERROR(VLOOKUP(GA[[#This Row],[Date]],Raw_Data[[#All],[Date]:[Sunset Time (POA&lt;20 W/m2)]],4,0),"")</f>
        <v>0.75555555555555554</v>
      </c>
      <c r="K7" s="30">
        <f>IFERROR((GA[[#This Row],[Sunset Time (POA&lt;20 W/m2)]]-GA[[#This Row],[Sunrise Time (POA&gt;20 W/m2)]])*24,"")</f>
        <v>11.833333333333332</v>
      </c>
      <c r="L7" s="17" t="s">
        <v>334</v>
      </c>
      <c r="M7" s="17">
        <f>IFERROR(VLOOKUP(GA[[#This Row],[Affceted Equipment]],'Basic Data'!$A$1:$B$113,2,0),"")</f>
        <v>11710.44</v>
      </c>
      <c r="N7" s="17" t="s">
        <v>335</v>
      </c>
      <c r="O7" s="1" t="s">
        <v>277</v>
      </c>
      <c r="P7" s="28">
        <f>IFERROR(VLOOKUP(GA[[#This Row],[Affceted Equipment]],'Basic Data'!$A$2:$C$118,3,0),"")</f>
        <v>1</v>
      </c>
      <c r="Q7" s="17" t="s">
        <v>258</v>
      </c>
      <c r="R7" t="s">
        <v>336</v>
      </c>
      <c r="S7" s="24">
        <v>0.48333333333333334</v>
      </c>
      <c r="T7" s="24">
        <v>0.48333333333333334</v>
      </c>
      <c r="U7" s="24">
        <v>0.4861111111111111</v>
      </c>
      <c r="V7" s="24">
        <v>0.49027777777777776</v>
      </c>
      <c r="W7" s="34">
        <f>(GA[[#This Row],[Acknowledgemnet Time ]]-GA[[#This Row],[Fault Time]])*24</f>
        <v>0</v>
      </c>
      <c r="X7" s="35">
        <f>(GA[[#This Row],[Work Start time on Fault]]-GA[[#This Row],[Fault Time]])*24</f>
        <v>6.666666666666643E-2</v>
      </c>
      <c r="Y7" s="35">
        <f>(GA[[#This Row],[Work Completiuon time on fualt]]-GA[[#This Row],[Fault Time]])*24</f>
        <v>0.16666666666666607</v>
      </c>
      <c r="Z7" s="2" t="s">
        <v>337</v>
      </c>
      <c r="AA7" s="2" t="s">
        <v>249</v>
      </c>
      <c r="AB7" s="2">
        <f>IFERROR(GA[[#This Row],[Plant Equivalent Weightage]]*GA[[#This Row],[Resolution Time]],"")</f>
        <v>0.16666666666666607</v>
      </c>
      <c r="AC7" s="2">
        <v>154</v>
      </c>
      <c r="AD7" s="32">
        <f>IFERROR((_xlfn.XLOOKUP(GA[[#This Row],[Month Year]],'Modelling New'!D:D,'Modelling New'!$O:$O)*GA[[#This Row],[Lost POA (Wh/m2)]]*GA[[#This Row],[DC Capacity Affceted (kW)]])/1000,"")</f>
        <v>1281.6159131371098</v>
      </c>
      <c r="AE7" s="2"/>
    </row>
    <row r="8" spans="1:31">
      <c r="A8" s="2">
        <f t="shared" si="0"/>
        <v>6</v>
      </c>
      <c r="B8" s="156">
        <f t="shared" si="1"/>
        <v>2026</v>
      </c>
      <c r="C8" s="129">
        <f t="shared" si="2"/>
        <v>2025</v>
      </c>
      <c r="D8" t="s">
        <v>155</v>
      </c>
      <c r="E8" s="17" t="s">
        <v>155</v>
      </c>
      <c r="F8" s="25">
        <v>45748</v>
      </c>
      <c r="G8" s="17">
        <f>DAY(EOMONTH(GA[[#This Row],[Month Year]],0))</f>
        <v>30</v>
      </c>
      <c r="H8" s="26">
        <v>45769</v>
      </c>
      <c r="I8" s="31">
        <f>IFERROR(VLOOKUP(GA[[#This Row],[Date]],Raw_Data[[#All],[Date]:[Sunset Time (POA&lt;20 W/m2)]],3,0),"")</f>
        <v>0.2638888888888889</v>
      </c>
      <c r="J8" s="31">
        <f>IFERROR(VLOOKUP(GA[[#This Row],[Date]],Raw_Data[[#All],[Date]:[Sunset Time (POA&lt;20 W/m2)]],4,0),"")</f>
        <v>0.7680555555555556</v>
      </c>
      <c r="K8" s="30">
        <f>IFERROR((GA[[#This Row],[Sunset Time (POA&lt;20 W/m2)]]-GA[[#This Row],[Sunrise Time (POA&gt;20 W/m2)]])*24,"")</f>
        <v>12.1</v>
      </c>
      <c r="L8" s="17" t="s">
        <v>334</v>
      </c>
      <c r="M8" s="17">
        <f>IFERROR(VLOOKUP(GA[[#This Row],[Affceted Equipment]],'Basic Data'!$A$1:$B$113,2,0),"")</f>
        <v>11710.44</v>
      </c>
      <c r="N8" s="17" t="s">
        <v>335</v>
      </c>
      <c r="O8" s="1" t="s">
        <v>277</v>
      </c>
      <c r="P8" s="28">
        <f>IFERROR(VLOOKUP(GA[[#This Row],[Affceted Equipment]],'Basic Data'!$A$2:$C$118,3,0),"")</f>
        <v>1</v>
      </c>
      <c r="Q8" s="17" t="s">
        <v>258</v>
      </c>
      <c r="R8" t="s">
        <v>340</v>
      </c>
      <c r="S8" s="24">
        <v>0.45624999999999999</v>
      </c>
      <c r="T8" s="24">
        <v>0.45624999999999999</v>
      </c>
      <c r="U8" s="24">
        <v>0.46180555555555558</v>
      </c>
      <c r="V8" s="24">
        <v>0.4826388888888889</v>
      </c>
      <c r="W8" s="34">
        <f>(GA[[#This Row],[Acknowledgemnet Time ]]-GA[[#This Row],[Fault Time]])*24</f>
        <v>0</v>
      </c>
      <c r="X8" s="35">
        <f>(GA[[#This Row],[Work Start time on Fault]]-GA[[#This Row],[Fault Time]])*24</f>
        <v>0.13333333333333419</v>
      </c>
      <c r="Y8" s="35">
        <f>(GA[[#This Row],[Work Completiuon time on fualt]]-GA[[#This Row],[Fault Time]])*24</f>
        <v>0.63333333333333375</v>
      </c>
      <c r="Z8" s="2" t="s">
        <v>337</v>
      </c>
      <c r="AA8" s="2" t="s">
        <v>249</v>
      </c>
      <c r="AB8" s="2">
        <f>IFERROR(GA[[#This Row],[Plant Equivalent Weightage]]*GA[[#This Row],[Resolution Time]],"")</f>
        <v>0.63333333333333375</v>
      </c>
      <c r="AC8" s="2">
        <v>595</v>
      </c>
      <c r="AD8" s="32">
        <f>IFERROR((_xlfn.XLOOKUP(GA[[#This Row],[Month Year]],'Modelling New'!D:D,'Modelling New'!$O:$O)*GA[[#This Row],[Lost POA (Wh/m2)]]*GA[[#This Row],[DC Capacity Affceted (kW)]])/1000,"")</f>
        <v>4951.6978462115603</v>
      </c>
      <c r="AE8" s="2"/>
    </row>
    <row r="9" spans="1:31">
      <c r="A9" s="2">
        <f t="shared" si="0"/>
        <v>7</v>
      </c>
      <c r="B9" s="156">
        <f t="shared" si="1"/>
        <v>2026</v>
      </c>
      <c r="C9" s="129">
        <f t="shared" si="2"/>
        <v>2025</v>
      </c>
      <c r="D9" t="s">
        <v>155</v>
      </c>
      <c r="E9" s="17" t="s">
        <v>155</v>
      </c>
      <c r="F9" s="25">
        <v>45748</v>
      </c>
      <c r="G9" s="17">
        <f>DAY(EOMONTH(GA[[#This Row],[Month Year]],0))</f>
        <v>30</v>
      </c>
      <c r="H9" s="26">
        <v>45769</v>
      </c>
      <c r="I9" s="31">
        <f>IFERROR(VLOOKUP(GA[[#This Row],[Date]],Raw_Data[[#All],[Date]:[Sunset Time (POA&lt;20 W/m2)]],3,0),"")</f>
        <v>0.2638888888888889</v>
      </c>
      <c r="J9" s="31">
        <f>IFERROR(VLOOKUP(GA[[#This Row],[Date]],Raw_Data[[#All],[Date]:[Sunset Time (POA&lt;20 W/m2)]],4,0),"")</f>
        <v>0.7680555555555556</v>
      </c>
      <c r="K9" s="30">
        <f>IFERROR((GA[[#This Row],[Sunset Time (POA&lt;20 W/m2)]]-GA[[#This Row],[Sunrise Time (POA&gt;20 W/m2)]])*24,"")</f>
        <v>12.1</v>
      </c>
      <c r="L9" s="17" t="s">
        <v>334</v>
      </c>
      <c r="M9" s="17">
        <f>IFERROR(VLOOKUP(GA[[#This Row],[Affceted Equipment]],'Basic Data'!$A$1:$B$113,2,0),"")</f>
        <v>11710.44</v>
      </c>
      <c r="N9" s="17" t="s">
        <v>335</v>
      </c>
      <c r="O9" s="1" t="s">
        <v>277</v>
      </c>
      <c r="P9" s="28">
        <f>IFERROR(VLOOKUP(GA[[#This Row],[Affceted Equipment]],'Basic Data'!$A$2:$C$118,3,0),"")</f>
        <v>1</v>
      </c>
      <c r="Q9" s="17" t="s">
        <v>258</v>
      </c>
      <c r="R9" t="s">
        <v>340</v>
      </c>
      <c r="S9" s="24">
        <v>0.4909722222222222</v>
      </c>
      <c r="T9" s="24">
        <v>0.4909722222222222</v>
      </c>
      <c r="U9" s="24">
        <v>0.49305555555555558</v>
      </c>
      <c r="V9" s="24">
        <v>0.50486111111111109</v>
      </c>
      <c r="W9" s="34">
        <f>(GA[[#This Row],[Acknowledgemnet Time ]]-GA[[#This Row],[Fault Time]])*24</f>
        <v>0</v>
      </c>
      <c r="X9" s="35">
        <f>(GA[[#This Row],[Work Start time on Fault]]-GA[[#This Row],[Fault Time]])*24</f>
        <v>5.0000000000001155E-2</v>
      </c>
      <c r="Y9" s="35">
        <f>(GA[[#This Row],[Work Completiuon time on fualt]]-GA[[#This Row],[Fault Time]])*24</f>
        <v>0.33333333333333348</v>
      </c>
      <c r="Z9" s="2" t="s">
        <v>337</v>
      </c>
      <c r="AA9" s="2" t="s">
        <v>249</v>
      </c>
      <c r="AB9" s="2">
        <f>IFERROR(GA[[#This Row],[Plant Equivalent Weightage]]*GA[[#This Row],[Resolution Time]],"")</f>
        <v>0.33333333333333348</v>
      </c>
      <c r="AC9" s="2">
        <v>346</v>
      </c>
      <c r="AD9" s="32">
        <f>IFERROR((_xlfn.XLOOKUP(GA[[#This Row],[Month Year]],'Modelling New'!D:D,'Modelling New'!$O:$O)*GA[[#This Row],[Lost POA (Wh/m2)]]*GA[[#This Row],[DC Capacity Affceted (kW)]])/1000,"")</f>
        <v>2879.4747139314281</v>
      </c>
      <c r="AE9" s="2"/>
    </row>
    <row r="10" spans="1:31">
      <c r="A10" s="2">
        <f t="shared" si="0"/>
        <v>8</v>
      </c>
      <c r="B10" s="156">
        <f t="shared" si="1"/>
        <v>2026</v>
      </c>
      <c r="C10" s="129">
        <f t="shared" si="2"/>
        <v>2025</v>
      </c>
      <c r="D10" t="s">
        <v>155</v>
      </c>
      <c r="E10" s="17" t="s">
        <v>155</v>
      </c>
      <c r="F10" s="25">
        <v>45748</v>
      </c>
      <c r="G10" s="17">
        <f>DAY(EOMONTH(GA[[#This Row],[Month Year]],0))</f>
        <v>30</v>
      </c>
      <c r="H10" s="26">
        <v>45771</v>
      </c>
      <c r="I10" s="31">
        <f>IFERROR(VLOOKUP(GA[[#This Row],[Date]],Raw_Data[[#All],[Date]:[Sunset Time (POA&lt;20 W/m2)]],3,0),"")</f>
        <v>0.26111111111111113</v>
      </c>
      <c r="J10" s="31">
        <f>IFERROR(VLOOKUP(GA[[#This Row],[Date]],Raw_Data[[#All],[Date]:[Sunset Time (POA&lt;20 W/m2)]],4,0),"")</f>
        <v>0.76041666666666663</v>
      </c>
      <c r="K10" s="30">
        <f>IFERROR((GA[[#This Row],[Sunset Time (POA&lt;20 W/m2)]]-GA[[#This Row],[Sunrise Time (POA&gt;20 W/m2)]])*24,"")</f>
        <v>11.983333333333333</v>
      </c>
      <c r="L10" s="17" t="s">
        <v>334</v>
      </c>
      <c r="M10" s="17">
        <f>IFERROR(VLOOKUP(GA[[#This Row],[Affceted Equipment]],'Basic Data'!$A$1:$B$113,2,0),"")</f>
        <v>11710.44</v>
      </c>
      <c r="N10" s="17" t="s">
        <v>335</v>
      </c>
      <c r="O10" s="1" t="s">
        <v>277</v>
      </c>
      <c r="P10" s="28">
        <f>IFERROR(VLOOKUP(GA[[#This Row],[Affceted Equipment]],'Basic Data'!$A$2:$C$118,3,0),"")</f>
        <v>1</v>
      </c>
      <c r="Q10" s="17" t="s">
        <v>258</v>
      </c>
      <c r="R10" t="s">
        <v>341</v>
      </c>
      <c r="S10" s="24">
        <v>0.4909722222222222</v>
      </c>
      <c r="T10" s="24">
        <v>0.4909722222222222</v>
      </c>
      <c r="U10" s="24">
        <v>0.49305555555555558</v>
      </c>
      <c r="V10" s="24">
        <v>0.50486111111111109</v>
      </c>
      <c r="W10" s="34">
        <f>(GA[[#This Row],[Acknowledgemnet Time ]]-GA[[#This Row],[Fault Time]])*24</f>
        <v>0</v>
      </c>
      <c r="X10" s="35">
        <f>(GA[[#This Row],[Work Start time on Fault]]-GA[[#This Row],[Fault Time]])*24</f>
        <v>5.0000000000001155E-2</v>
      </c>
      <c r="Y10" s="35">
        <f>(GA[[#This Row],[Work Completiuon time on fualt]]-GA[[#This Row],[Fault Time]])*24</f>
        <v>0.33333333333333348</v>
      </c>
      <c r="Z10" s="2" t="s">
        <v>337</v>
      </c>
      <c r="AA10" s="2" t="s">
        <v>249</v>
      </c>
      <c r="AB10" s="2">
        <f>IFERROR(GA[[#This Row],[Plant Equivalent Weightage]]*GA[[#This Row],[Resolution Time]],"")</f>
        <v>0.33333333333333348</v>
      </c>
      <c r="AC10" s="2">
        <v>50</v>
      </c>
      <c r="AD10" s="32">
        <f>IFERROR((_xlfn.XLOOKUP(GA[[#This Row],[Month Year]],'Modelling New'!D:D,'Modelling New'!$O:$O)*GA[[#This Row],[Lost POA (Wh/m2)]]*GA[[#This Row],[DC Capacity Affceted (kW)]])/1000,"")</f>
        <v>416.10906270685382</v>
      </c>
      <c r="AE10" s="2"/>
    </row>
    <row r="11" spans="1:31">
      <c r="A11" s="2">
        <f t="shared" si="0"/>
        <v>9</v>
      </c>
      <c r="B11" s="156">
        <f t="shared" si="1"/>
        <v>2026</v>
      </c>
      <c r="C11" s="129">
        <f t="shared" si="2"/>
        <v>2025</v>
      </c>
      <c r="D11" t="s">
        <v>155</v>
      </c>
      <c r="E11" s="17" t="s">
        <v>155</v>
      </c>
      <c r="F11" s="25">
        <v>45748</v>
      </c>
      <c r="G11" s="17">
        <f>DAY(EOMONTH(GA[[#This Row],[Month Year]],0))</f>
        <v>30</v>
      </c>
      <c r="H11" s="26">
        <v>45772</v>
      </c>
      <c r="I11" s="31">
        <f>IFERROR(VLOOKUP(GA[[#This Row],[Date]],Raw_Data[[#All],[Date]:[Sunset Time (POA&lt;20 W/m2)]],3,0),"")</f>
        <v>0.25555555555555554</v>
      </c>
      <c r="J11" s="31">
        <f>IFERROR(VLOOKUP(GA[[#This Row],[Date]],Raw_Data[[#All],[Date]:[Sunset Time (POA&lt;20 W/m2)]],4,0),"")</f>
        <v>0.72083333333333333</v>
      </c>
      <c r="K11" s="30">
        <f>IFERROR((GA[[#This Row],[Sunset Time (POA&lt;20 W/m2)]]-GA[[#This Row],[Sunrise Time (POA&gt;20 W/m2)]])*24,"")</f>
        <v>11.166666666666668</v>
      </c>
      <c r="L11" s="17" t="s">
        <v>334</v>
      </c>
      <c r="M11" s="17">
        <f>IFERROR(VLOOKUP(GA[[#This Row],[Affceted Equipment]],'Basic Data'!$A$1:$B$113,2,0),"")</f>
        <v>11710.44</v>
      </c>
      <c r="N11" s="17" t="s">
        <v>335</v>
      </c>
      <c r="O11" s="1" t="s">
        <v>277</v>
      </c>
      <c r="P11" s="28">
        <f>IFERROR(VLOOKUP(GA[[#This Row],[Affceted Equipment]],'Basic Data'!$A$2:$C$118,3,0),"")</f>
        <v>1</v>
      </c>
      <c r="Q11" s="17" t="s">
        <v>258</v>
      </c>
      <c r="R11" t="s">
        <v>338</v>
      </c>
      <c r="S11" s="24">
        <v>0.65833333333333333</v>
      </c>
      <c r="T11" s="24">
        <v>0.65833333333333333</v>
      </c>
      <c r="U11" s="24">
        <v>0.66666666666666663</v>
      </c>
      <c r="V11" s="24">
        <v>0.71875</v>
      </c>
      <c r="W11" s="34">
        <f>(GA[[#This Row],[Acknowledgemnet Time ]]-GA[[#This Row],[Fault Time]])*24</f>
        <v>0</v>
      </c>
      <c r="X11" s="35">
        <f>(GA[[#This Row],[Work Start time on Fault]]-GA[[#This Row],[Fault Time]])*24</f>
        <v>0.19999999999999929</v>
      </c>
      <c r="Y11" s="35">
        <f>(GA[[#This Row],[Work Completiuon time on fualt]]-GA[[#This Row],[Fault Time]])*24</f>
        <v>1.4500000000000002</v>
      </c>
      <c r="Z11" s="2" t="s">
        <v>337</v>
      </c>
      <c r="AA11" s="2" t="s">
        <v>249</v>
      </c>
      <c r="AB11" s="2">
        <f>IFERROR(GA[[#This Row],[Plant Equivalent Weightage]]*GA[[#This Row],[Resolution Time]],"")</f>
        <v>1.4500000000000002</v>
      </c>
      <c r="AC11" s="2">
        <v>35</v>
      </c>
      <c r="AD11" s="32">
        <f>IFERROR((_xlfn.XLOOKUP(GA[[#This Row],[Month Year]],'Modelling New'!D:D,'Modelling New'!$O:$O)*GA[[#This Row],[Lost POA (Wh/m2)]]*GA[[#This Row],[DC Capacity Affceted (kW)]])/1000,"")</f>
        <v>291.27634389479766</v>
      </c>
      <c r="AE11" s="2"/>
    </row>
    <row r="12" spans="1:31">
      <c r="A12" s="2">
        <f t="shared" si="0"/>
        <v>10</v>
      </c>
      <c r="B12" s="156">
        <f t="shared" si="1"/>
        <v>2026</v>
      </c>
      <c r="C12" s="129">
        <f t="shared" si="2"/>
        <v>2025</v>
      </c>
      <c r="D12" t="s">
        <v>155</v>
      </c>
      <c r="E12" s="17" t="s">
        <v>155</v>
      </c>
      <c r="F12" s="25">
        <v>45748</v>
      </c>
      <c r="G12" s="17">
        <f>DAY(EOMONTH(GA[[#This Row],[Month Year]],0))</f>
        <v>30</v>
      </c>
      <c r="H12" s="26">
        <v>45774</v>
      </c>
      <c r="I12" s="31">
        <f>IFERROR(VLOOKUP(GA[[#This Row],[Date]],Raw_Data[[#All],[Date]:[Sunset Time (POA&lt;20 W/m2)]],3,0),"")</f>
        <v>0.27083333333333331</v>
      </c>
      <c r="J12" s="31">
        <f>IFERROR(VLOOKUP(GA[[#This Row],[Date]],Raw_Data[[#All],[Date]:[Sunset Time (POA&lt;20 W/m2)]],4,0),"")</f>
        <v>0.72916666666666663</v>
      </c>
      <c r="K12" s="30">
        <f>IFERROR((GA[[#This Row],[Sunset Time (POA&lt;20 W/m2)]]-GA[[#This Row],[Sunrise Time (POA&gt;20 W/m2)]])*24,"")</f>
        <v>11</v>
      </c>
      <c r="L12" s="17" t="s">
        <v>334</v>
      </c>
      <c r="M12" s="17">
        <f>IFERROR(VLOOKUP(GA[[#This Row],[Affceted Equipment]],'Basic Data'!$A$1:$B$113,2,0),"")</f>
        <v>11710.44</v>
      </c>
      <c r="N12" s="17" t="s">
        <v>335</v>
      </c>
      <c r="O12" s="1" t="s">
        <v>277</v>
      </c>
      <c r="P12" s="28">
        <f>IFERROR(VLOOKUP(GA[[#This Row],[Affceted Equipment]],'Basic Data'!$A$2:$C$118,3,0),"")</f>
        <v>1</v>
      </c>
      <c r="Q12" s="17" t="s">
        <v>258</v>
      </c>
      <c r="R12" t="s">
        <v>338</v>
      </c>
      <c r="S12" s="24">
        <v>0.70833333333333337</v>
      </c>
      <c r="T12" s="24">
        <v>0.70902777777777781</v>
      </c>
      <c r="U12" s="24">
        <v>0.71875</v>
      </c>
      <c r="V12" s="24">
        <v>0.72916666666666663</v>
      </c>
      <c r="W12" s="34">
        <f>(GA[[#This Row],[Acknowledgemnet Time ]]-GA[[#This Row],[Fault Time]])*24</f>
        <v>1.6666666666666607E-2</v>
      </c>
      <c r="X12" s="35">
        <f>(GA[[#This Row],[Work Start time on Fault]]-GA[[#This Row],[Fault Time]])*24</f>
        <v>0.24999999999999911</v>
      </c>
      <c r="Y12" s="35">
        <f>(GA[[#This Row],[Work Completiuon time on fualt]]-GA[[#This Row],[Fault Time]])*24</f>
        <v>0.49999999999999822</v>
      </c>
      <c r="Z12" s="2" t="s">
        <v>337</v>
      </c>
      <c r="AA12" s="2" t="s">
        <v>249</v>
      </c>
      <c r="AB12" s="2">
        <f>IFERROR(GA[[#This Row],[Plant Equivalent Weightage]]*GA[[#This Row],[Resolution Time]],"")</f>
        <v>0.49999999999999822</v>
      </c>
      <c r="AC12" s="2"/>
      <c r="AD12" s="32">
        <f>IFERROR((_xlfn.XLOOKUP(GA[[#This Row],[Month Year]],'Modelling New'!D:D,'Modelling New'!$O:$O)*GA[[#This Row],[Lost POA (Wh/m2)]]*GA[[#This Row],[DC Capacity Affceted (kW)]])/1000,"")</f>
        <v>0</v>
      </c>
      <c r="AE12" s="2"/>
    </row>
    <row r="13" spans="1:31">
      <c r="A13" s="2">
        <f t="shared" si="0"/>
        <v>11</v>
      </c>
      <c r="B13" s="156">
        <f t="shared" si="1"/>
        <v>2026</v>
      </c>
      <c r="C13" s="129">
        <f t="shared" si="2"/>
        <v>2025</v>
      </c>
      <c r="D13" t="s">
        <v>155</v>
      </c>
      <c r="E13" s="17" t="s">
        <v>155</v>
      </c>
      <c r="F13" s="25">
        <v>45748</v>
      </c>
      <c r="G13" s="17">
        <f>DAY(EOMONTH(GA[[#This Row],[Month Year]],0))</f>
        <v>30</v>
      </c>
      <c r="H13" s="26">
        <v>45775</v>
      </c>
      <c r="I13" s="31">
        <f>IFERROR(VLOOKUP(GA[[#This Row],[Date]],Raw_Data[[#All],[Date]:[Sunset Time (POA&lt;20 W/m2)]],3,0),"")</f>
        <v>0.25208333333333333</v>
      </c>
      <c r="J13" s="31">
        <f>IFERROR(VLOOKUP(GA[[#This Row],[Date]],Raw_Data[[#All],[Date]:[Sunset Time (POA&lt;20 W/m2)]],4,0),"")</f>
        <v>0.76527777777777772</v>
      </c>
      <c r="K13" s="30">
        <f>IFERROR((GA[[#This Row],[Sunset Time (POA&lt;20 W/m2)]]-GA[[#This Row],[Sunrise Time (POA&gt;20 W/m2)]])*24,"")</f>
        <v>12.316666666666666</v>
      </c>
      <c r="L13" s="17" t="s">
        <v>334</v>
      </c>
      <c r="M13" s="17">
        <f>IFERROR(VLOOKUP(GA[[#This Row],[Affceted Equipment]],'Basic Data'!$A$1:$B$113,2,0),"")</f>
        <v>11710.44</v>
      </c>
      <c r="N13" s="17" t="s">
        <v>335</v>
      </c>
      <c r="O13" s="1" t="s">
        <v>277</v>
      </c>
      <c r="P13" s="28">
        <f>IFERROR(VLOOKUP(GA[[#This Row],[Affceted Equipment]],'Basic Data'!$A$2:$C$118,3,0),"")</f>
        <v>1</v>
      </c>
      <c r="Q13" s="17" t="s">
        <v>258</v>
      </c>
      <c r="R13" t="s">
        <v>342</v>
      </c>
      <c r="S13" s="24">
        <v>0.73472222222222228</v>
      </c>
      <c r="T13" s="24">
        <v>0.73541666666666672</v>
      </c>
      <c r="U13" s="24">
        <v>0.73611111111111116</v>
      </c>
      <c r="V13" s="24">
        <v>0.7416666666666667</v>
      </c>
      <c r="W13" s="34">
        <f>(GA[[#This Row],[Acknowledgemnet Time ]]-GA[[#This Row],[Fault Time]])*24</f>
        <v>1.6666666666666607E-2</v>
      </c>
      <c r="X13" s="35">
        <f>(GA[[#This Row],[Work Start time on Fault]]-GA[[#This Row],[Fault Time]])*24</f>
        <v>3.3333333333333215E-2</v>
      </c>
      <c r="Y13" s="35">
        <f>(GA[[#This Row],[Work Completiuon time on fualt]]-GA[[#This Row],[Fault Time]])*24</f>
        <v>0.16666666666666607</v>
      </c>
      <c r="Z13" s="2" t="s">
        <v>337</v>
      </c>
      <c r="AA13" s="2" t="s">
        <v>249</v>
      </c>
      <c r="AB13" s="2">
        <f>IFERROR(GA[[#This Row],[Plant Equivalent Weightage]]*GA[[#This Row],[Resolution Time]],"")</f>
        <v>0.16666666666666607</v>
      </c>
      <c r="AC13" s="2">
        <v>22</v>
      </c>
      <c r="AD13" s="32">
        <f>IFERROR((_xlfn.XLOOKUP(GA[[#This Row],[Month Year]],'Modelling New'!D:D,'Modelling New'!$O:$O)*GA[[#This Row],[Lost POA (Wh/m2)]]*GA[[#This Row],[DC Capacity Affceted (kW)]])/1000,"")</f>
        <v>183.08798759101566</v>
      </c>
      <c r="AE13" s="2"/>
    </row>
    <row r="14" spans="1:31">
      <c r="A14" s="2">
        <f t="shared" si="0"/>
        <v>12</v>
      </c>
      <c r="B14" s="156">
        <f t="shared" si="1"/>
        <v>2026</v>
      </c>
      <c r="C14" s="129">
        <f t="shared" si="2"/>
        <v>2025</v>
      </c>
      <c r="D14" t="s">
        <v>155</v>
      </c>
      <c r="E14" s="17" t="s">
        <v>155</v>
      </c>
      <c r="F14" s="25">
        <v>45748</v>
      </c>
      <c r="G14" s="17">
        <f>DAY(EOMONTH(GA[[#This Row],[Month Year]],0))</f>
        <v>30</v>
      </c>
      <c r="H14" s="26">
        <v>45777</v>
      </c>
      <c r="I14" s="31">
        <f>IFERROR(VLOOKUP(GA[[#This Row],[Date]],Raw_Data[[#All],[Date]:[Sunset Time (POA&lt;20 W/m2)]],3,0),"")</f>
        <v>0.25277777777777777</v>
      </c>
      <c r="J14" s="31">
        <f>IFERROR(VLOOKUP(GA[[#This Row],[Date]],Raw_Data[[#All],[Date]:[Sunset Time (POA&lt;20 W/m2)]],4,0),"")</f>
        <v>0.76944444444444449</v>
      </c>
      <c r="K14" s="30">
        <f>IFERROR((GA[[#This Row],[Sunset Time (POA&lt;20 W/m2)]]-GA[[#This Row],[Sunrise Time (POA&gt;20 W/m2)]])*24,"")</f>
        <v>12.400000000000002</v>
      </c>
      <c r="L14" s="17" t="s">
        <v>334</v>
      </c>
      <c r="M14" s="17">
        <f>IFERROR(VLOOKUP(GA[[#This Row],[Affceted Equipment]],'Basic Data'!$A$1:$B$113,2,0),"")</f>
        <v>11710.44</v>
      </c>
      <c r="N14" s="17" t="s">
        <v>335</v>
      </c>
      <c r="O14" s="1" t="s">
        <v>277</v>
      </c>
      <c r="P14" s="28">
        <f>IFERROR(VLOOKUP(GA[[#This Row],[Affceted Equipment]],'Basic Data'!$A$2:$C$118,3,0),"")</f>
        <v>1</v>
      </c>
      <c r="Q14" s="17" t="s">
        <v>258</v>
      </c>
      <c r="R14" t="s">
        <v>338</v>
      </c>
      <c r="S14" s="24">
        <v>0.72222222222222221</v>
      </c>
      <c r="T14" s="24">
        <v>0.72430555555555554</v>
      </c>
      <c r="U14" s="24">
        <v>0.72569444444444442</v>
      </c>
      <c r="V14" s="24">
        <v>0.73055555555555551</v>
      </c>
      <c r="W14" s="34">
        <f>(GA[[#This Row],[Acknowledgemnet Time ]]-GA[[#This Row],[Fault Time]])*24</f>
        <v>4.9999999999999822E-2</v>
      </c>
      <c r="X14" s="35">
        <f>(GA[[#This Row],[Work Start time on Fault]]-GA[[#This Row],[Fault Time]])*24</f>
        <v>8.3333333333333037E-2</v>
      </c>
      <c r="Y14" s="35">
        <f>(GA[[#This Row],[Work Completiuon time on fualt]]-GA[[#This Row],[Fault Time]])*24</f>
        <v>0.19999999999999929</v>
      </c>
      <c r="Z14" s="2" t="s">
        <v>337</v>
      </c>
      <c r="AA14" s="2" t="s">
        <v>249</v>
      </c>
      <c r="AB14" s="2">
        <f>IFERROR(GA[[#This Row],[Plant Equivalent Weightage]]*GA[[#This Row],[Resolution Time]],"")</f>
        <v>0.19999999999999929</v>
      </c>
      <c r="AC14" s="2">
        <v>38</v>
      </c>
      <c r="AD14" s="32">
        <f>IFERROR((_xlfn.XLOOKUP(GA[[#This Row],[Month Year]],'Modelling New'!D:D,'Modelling New'!$O:$O)*GA[[#This Row],[Lost POA (Wh/m2)]]*GA[[#This Row],[DC Capacity Affceted (kW)]])/1000,"")</f>
        <v>316.24288765720888</v>
      </c>
      <c r="AE14" s="2"/>
    </row>
    <row r="15" spans="1:31">
      <c r="A15" s="2">
        <f t="shared" si="0"/>
        <v>13</v>
      </c>
      <c r="B15" s="156">
        <f t="shared" si="1"/>
        <v>2026</v>
      </c>
      <c r="C15" s="129">
        <f t="shared" si="2"/>
        <v>2025</v>
      </c>
      <c r="D15" t="s">
        <v>155</v>
      </c>
      <c r="E15" s="17" t="s">
        <v>155</v>
      </c>
      <c r="F15" s="25">
        <v>45748</v>
      </c>
      <c r="G15" s="17">
        <f>DAY(EOMONTH(GA[[#This Row],[Month Year]],0))</f>
        <v>30</v>
      </c>
      <c r="H15" s="26">
        <v>45777</v>
      </c>
      <c r="I15" s="31">
        <f>IFERROR(VLOOKUP(GA[[#This Row],[Date]],Raw_Data[[#All],[Date]:[Sunset Time (POA&lt;20 W/m2)]],3,0),"")</f>
        <v>0.25277777777777777</v>
      </c>
      <c r="J15" s="31">
        <f>IFERROR(VLOOKUP(GA[[#This Row],[Date]],Raw_Data[[#All],[Date]:[Sunset Time (POA&lt;20 W/m2)]],4,0),"")</f>
        <v>0.76944444444444449</v>
      </c>
      <c r="K15" s="30">
        <f>IFERROR((GA[[#This Row],[Sunset Time (POA&lt;20 W/m2)]]-GA[[#This Row],[Sunrise Time (POA&gt;20 W/m2)]])*24,"")</f>
        <v>12.400000000000002</v>
      </c>
      <c r="L15" s="17" t="s">
        <v>334</v>
      </c>
      <c r="M15" s="17">
        <f>IFERROR(VLOOKUP(GA[[#This Row],[Affceted Equipment]],'Basic Data'!$A$1:$B$113,2,0),"")</f>
        <v>11710.44</v>
      </c>
      <c r="N15" s="17" t="s">
        <v>335</v>
      </c>
      <c r="O15" s="1" t="s">
        <v>277</v>
      </c>
      <c r="P15" s="28">
        <f>IFERROR(VLOOKUP(GA[[#This Row],[Affceted Equipment]],'Basic Data'!$A$2:$C$118,3,0),"")</f>
        <v>1</v>
      </c>
      <c r="Q15" s="17" t="s">
        <v>258</v>
      </c>
      <c r="R15" t="s">
        <v>338</v>
      </c>
      <c r="S15" s="24">
        <v>0.74513888888888891</v>
      </c>
      <c r="T15" s="24">
        <v>0.74513888888888891</v>
      </c>
      <c r="U15" s="24">
        <v>0.74652777777777779</v>
      </c>
      <c r="V15" s="24">
        <v>0.7583333333333333</v>
      </c>
      <c r="W15" s="34">
        <f>(GA[[#This Row],[Acknowledgemnet Time ]]-GA[[#This Row],[Fault Time]])*24</f>
        <v>0</v>
      </c>
      <c r="X15" s="35">
        <f>(GA[[#This Row],[Work Start time on Fault]]-GA[[#This Row],[Fault Time]])*24</f>
        <v>3.3333333333333215E-2</v>
      </c>
      <c r="Y15" s="35">
        <f>(GA[[#This Row],[Work Completiuon time on fualt]]-GA[[#This Row],[Fault Time]])*24</f>
        <v>0.31666666666666554</v>
      </c>
      <c r="Z15" s="2" t="s">
        <v>337</v>
      </c>
      <c r="AA15" s="2" t="s">
        <v>249</v>
      </c>
      <c r="AB15" s="2">
        <f>IFERROR(GA[[#This Row],[Plant Equivalent Weightage]]*GA[[#This Row],[Resolution Time]],"")</f>
        <v>0.31666666666666554</v>
      </c>
      <c r="AC15" s="2">
        <v>12</v>
      </c>
      <c r="AD15" s="32">
        <f>IFERROR((_xlfn.XLOOKUP(GA[[#This Row],[Month Year]],'Modelling New'!D:D,'Modelling New'!$O:$O)*GA[[#This Row],[Lost POA (Wh/m2)]]*GA[[#This Row],[DC Capacity Affceted (kW)]])/1000,"")</f>
        <v>99.866175049644923</v>
      </c>
      <c r="AE15" s="2"/>
    </row>
    <row r="16" spans="1:31">
      <c r="A16" s="2">
        <f t="shared" si="0"/>
        <v>14</v>
      </c>
      <c r="B16" s="156">
        <f t="shared" si="1"/>
        <v>2026</v>
      </c>
      <c r="C16" s="129">
        <f t="shared" si="2"/>
        <v>2025</v>
      </c>
      <c r="D16" t="s">
        <v>155</v>
      </c>
      <c r="E16" s="17" t="s">
        <v>155</v>
      </c>
      <c r="F16" s="25">
        <v>45778</v>
      </c>
      <c r="G16" s="17">
        <f>DAY(EOMONTH(GA[[#This Row],[Month Year]],0))</f>
        <v>31</v>
      </c>
      <c r="H16" s="26">
        <v>45782</v>
      </c>
      <c r="I16" s="31">
        <f>IFERROR(VLOOKUP(GA[[#This Row],[Date]],Raw_Data[[#All],[Date]:[Sunset Time (POA&lt;20 W/m2)]],3,0),"")</f>
        <v>0.25208333333333333</v>
      </c>
      <c r="J16" s="31">
        <f>IFERROR(VLOOKUP(GA[[#This Row],[Date]],Raw_Data[[#All],[Date]:[Sunset Time (POA&lt;20 W/m2)]],4,0),"")</f>
        <v>0.77152777777777781</v>
      </c>
      <c r="K16" s="30">
        <f>IFERROR((GA[[#This Row],[Sunset Time (POA&lt;20 W/m2)]]-GA[[#This Row],[Sunrise Time (POA&gt;20 W/m2)]])*24,"")</f>
        <v>12.466666666666669</v>
      </c>
      <c r="L16" s="17" t="s">
        <v>334</v>
      </c>
      <c r="M16" s="17">
        <f>IFERROR(VLOOKUP(GA[[#This Row],[Affceted Equipment]],'Basic Data'!$A$1:$B$113,2,0),"")</f>
        <v>11710.44</v>
      </c>
      <c r="N16" s="17" t="s">
        <v>335</v>
      </c>
      <c r="O16" s="1" t="s">
        <v>277</v>
      </c>
      <c r="P16" s="28">
        <f>IFERROR(VLOOKUP(GA[[#This Row],[Affceted Equipment]],'Basic Data'!$A$2:$C$118,3,0),"")</f>
        <v>1</v>
      </c>
      <c r="Q16" s="17" t="s">
        <v>258</v>
      </c>
      <c r="R16" t="s">
        <v>338</v>
      </c>
      <c r="S16" s="24">
        <v>0.67847222222222225</v>
      </c>
      <c r="T16" s="24">
        <v>0.67847222222222225</v>
      </c>
      <c r="U16" s="24">
        <v>0.67986111111111114</v>
      </c>
      <c r="V16" s="24">
        <v>0.68402777777777779</v>
      </c>
      <c r="W16" s="34">
        <f>(GA[[#This Row],[Acknowledgemnet Time ]]-GA[[#This Row],[Fault Time]])*24</f>
        <v>0</v>
      </c>
      <c r="X16" s="35">
        <f>(GA[[#This Row],[Work Start time on Fault]]-GA[[#This Row],[Fault Time]])*24</f>
        <v>3.3333333333333215E-2</v>
      </c>
      <c r="Y16" s="35">
        <f>(GA[[#This Row],[Work Completiuon time on fualt]]-GA[[#This Row],[Fault Time]])*24</f>
        <v>0.13333333333333286</v>
      </c>
      <c r="Z16" s="2" t="s">
        <v>337</v>
      </c>
      <c r="AA16" s="2" t="s">
        <v>249</v>
      </c>
      <c r="AB16" s="2">
        <f>IFERROR(GA[[#This Row],[Plant Equivalent Weightage]]*GA[[#This Row],[Resolution Time]],"")</f>
        <v>0.13333333333333286</v>
      </c>
      <c r="AC16" s="2">
        <v>65</v>
      </c>
      <c r="AD16" s="32">
        <f>IFERROR((_xlfn.XLOOKUP(GA[[#This Row],[Month Year]],'Modelling New'!D:D,'Modelling New'!$O:$O)*GA[[#This Row],[Lost POA (Wh/m2)]]*GA[[#This Row],[DC Capacity Affceted (kW)]])/1000,"")</f>
        <v>556.86450300051627</v>
      </c>
      <c r="AE16" s="2"/>
    </row>
    <row r="17" spans="1:31">
      <c r="A17" s="2">
        <f t="shared" si="0"/>
        <v>15</v>
      </c>
      <c r="B17" s="156">
        <f t="shared" ref="B17" si="3">YEAR(H17)+IF(MONTH(H17)&gt;=4,1,0)</f>
        <v>2026</v>
      </c>
      <c r="C17" s="129">
        <f t="shared" ref="C17" si="4">YEAR(H17)</f>
        <v>2025</v>
      </c>
      <c r="D17" t="s">
        <v>155</v>
      </c>
      <c r="E17" s="17" t="s">
        <v>155</v>
      </c>
      <c r="F17" s="25">
        <v>45778</v>
      </c>
      <c r="G17" s="17">
        <f>DAY(EOMONTH(GA[[#This Row],[Month Year]],0))</f>
        <v>31</v>
      </c>
      <c r="H17" s="26">
        <v>45786</v>
      </c>
      <c r="I17" s="31">
        <f>IFERROR(VLOOKUP(GA[[#This Row],[Date]],Raw_Data[[#All],[Date]:[Sunset Time (POA&lt;20 W/m2)]],3,0),"")</f>
        <v>0.25</v>
      </c>
      <c r="J17" s="31">
        <f>IFERROR(VLOOKUP(GA[[#This Row],[Date]],Raw_Data[[#All],[Date]:[Sunset Time (POA&lt;20 W/m2)]],4,0),"")</f>
        <v>0.77013888888888893</v>
      </c>
      <c r="K17" s="30">
        <f>IFERROR((GA[[#This Row],[Sunset Time (POA&lt;20 W/m2)]]-GA[[#This Row],[Sunrise Time (POA&gt;20 W/m2)]])*24,"")</f>
        <v>12.483333333333334</v>
      </c>
      <c r="L17" s="17" t="s">
        <v>334</v>
      </c>
      <c r="M17" s="17">
        <f>IFERROR(VLOOKUP(GA[[#This Row],[Affceted Equipment]],'Basic Data'!$A$1:$B$113,2,0),"")</f>
        <v>11710.44</v>
      </c>
      <c r="N17" s="17" t="s">
        <v>335</v>
      </c>
      <c r="O17" s="1" t="s">
        <v>277</v>
      </c>
      <c r="P17" s="28">
        <f>IFERROR(VLOOKUP(GA[[#This Row],[Affceted Equipment]],'Basic Data'!$A$2:$C$118,3,0),"")</f>
        <v>1</v>
      </c>
      <c r="Q17" s="17" t="s">
        <v>258</v>
      </c>
      <c r="R17" t="s">
        <v>338</v>
      </c>
      <c r="S17" s="24">
        <v>0.70416666666666672</v>
      </c>
      <c r="T17" s="24">
        <v>0.70486111111111116</v>
      </c>
      <c r="U17" s="24">
        <v>0.70694444444444449</v>
      </c>
      <c r="V17" s="24">
        <v>0.71388888888888891</v>
      </c>
      <c r="W17" s="34">
        <f>(GA[[#This Row],[Acknowledgemnet Time ]]-GA[[#This Row],[Fault Time]])*24</f>
        <v>1.6666666666666607E-2</v>
      </c>
      <c r="X17" s="35">
        <f>(GA[[#This Row],[Work Start time on Fault]]-GA[[#This Row],[Fault Time]])*24</f>
        <v>6.666666666666643E-2</v>
      </c>
      <c r="Y17" s="35">
        <f>(GA[[#This Row],[Work Completiuon time on fualt]]-GA[[#This Row],[Fault Time]])*24</f>
        <v>0.2333333333333325</v>
      </c>
      <c r="Z17" s="2" t="s">
        <v>337</v>
      </c>
      <c r="AA17" s="2" t="s">
        <v>249</v>
      </c>
      <c r="AB17" s="2">
        <f>IFERROR(GA[[#This Row],[Plant Equivalent Weightage]]*GA[[#This Row],[Resolution Time]],"")</f>
        <v>0.2333333333333325</v>
      </c>
      <c r="AC17" s="2">
        <v>100</v>
      </c>
      <c r="AD17" s="32">
        <f>IFERROR((_xlfn.XLOOKUP(GA[[#This Row],[Month Year]],'Modelling New'!D:D,'Modelling New'!$O:$O)*GA[[#This Row],[Lost POA (Wh/m2)]]*GA[[#This Row],[DC Capacity Affceted (kW)]])/1000,"")</f>
        <v>856.7146200007943</v>
      </c>
      <c r="AE17" s="2"/>
    </row>
    <row r="18" spans="1:31">
      <c r="A18" s="2">
        <f t="shared" si="0"/>
        <v>16</v>
      </c>
      <c r="B18" s="156">
        <f t="shared" si="1"/>
        <v>2026</v>
      </c>
      <c r="C18" s="129">
        <f t="shared" si="2"/>
        <v>2025</v>
      </c>
      <c r="D18" t="s">
        <v>155</v>
      </c>
      <c r="E18" s="17" t="s">
        <v>155</v>
      </c>
      <c r="F18" s="25">
        <v>45778</v>
      </c>
      <c r="G18" s="17">
        <f>DAY(EOMONTH(GA[[#This Row],[Month Year]],0))</f>
        <v>31</v>
      </c>
      <c r="H18" s="26">
        <v>45790</v>
      </c>
      <c r="I18" s="31">
        <f>IFERROR(VLOOKUP(GA[[#This Row],[Date]],Raw_Data[[#All],[Date]:[Sunset Time (POA&lt;20 W/m2)]],3,0),"")</f>
        <v>0.26041666666666669</v>
      </c>
      <c r="J18" s="31">
        <f>IFERROR(VLOOKUP(GA[[#This Row],[Date]],Raw_Data[[#All],[Date]:[Sunset Time (POA&lt;20 W/m2)]],4,0),"")</f>
        <v>0.75486111111111109</v>
      </c>
      <c r="K18" s="30">
        <f>IFERROR((GA[[#This Row],[Sunset Time (POA&lt;20 W/m2)]]-GA[[#This Row],[Sunrise Time (POA&gt;20 W/m2)]])*24,"")</f>
        <v>11.866666666666665</v>
      </c>
      <c r="L18" s="17" t="s">
        <v>334</v>
      </c>
      <c r="M18" s="17">
        <f>IFERROR(VLOOKUP(GA[[#This Row],[Affceted Equipment]],'Basic Data'!$A$1:$B$113,2,0),"")</f>
        <v>11710.44</v>
      </c>
      <c r="N18" s="17" t="s">
        <v>335</v>
      </c>
      <c r="O18" s="1" t="s">
        <v>277</v>
      </c>
      <c r="P18" s="28">
        <f>IFERROR(VLOOKUP(GA[[#This Row],[Affceted Equipment]],'Basic Data'!$A$2:$C$118,3,0),"")</f>
        <v>1</v>
      </c>
      <c r="Q18" s="17" t="s">
        <v>258</v>
      </c>
      <c r="R18" t="s">
        <v>490</v>
      </c>
      <c r="S18" s="24">
        <v>0.26041666666666669</v>
      </c>
      <c r="T18" s="24">
        <v>0.26041666666666669</v>
      </c>
      <c r="U18" s="24">
        <v>0.28125</v>
      </c>
      <c r="V18" s="24">
        <v>0.46875</v>
      </c>
      <c r="W18" s="34">
        <f>(GA[[#This Row],[Acknowledgemnet Time ]]-GA[[#This Row],[Fault Time]])*24</f>
        <v>0</v>
      </c>
      <c r="X18" s="35">
        <f>(GA[[#This Row],[Work Start time on Fault]]-GA[[#This Row],[Fault Time]])*24</f>
        <v>0.49999999999999956</v>
      </c>
      <c r="Y18" s="35">
        <f>(GA[[#This Row],[Work Completiuon time on fualt]]-GA[[#This Row],[Fault Time]])*24</f>
        <v>5</v>
      </c>
      <c r="Z18" s="2" t="s">
        <v>337</v>
      </c>
      <c r="AA18" s="2" t="s">
        <v>249</v>
      </c>
      <c r="AB18" s="2">
        <f>IFERROR(GA[[#This Row],[Plant Equivalent Weightage]]*GA[[#This Row],[Resolution Time]],"")</f>
        <v>5</v>
      </c>
      <c r="AC18" s="2">
        <v>1400</v>
      </c>
      <c r="AD18" s="32">
        <f>IFERROR((_xlfn.XLOOKUP(GA[[#This Row],[Month Year]],'Modelling New'!D:D,'Modelling New'!$O:$O)*GA[[#This Row],[Lost POA (Wh/m2)]]*GA[[#This Row],[DC Capacity Affceted (kW)]])/1000,"")</f>
        <v>11994.004680011119</v>
      </c>
      <c r="AE18" s="2"/>
    </row>
    <row r="19" spans="1:31">
      <c r="A19" s="2">
        <f t="shared" si="0"/>
        <v>17</v>
      </c>
      <c r="B19" s="156">
        <f t="shared" si="1"/>
        <v>2026</v>
      </c>
      <c r="C19" s="129">
        <f t="shared" si="2"/>
        <v>2025</v>
      </c>
      <c r="D19" t="s">
        <v>155</v>
      </c>
      <c r="E19" s="17" t="s">
        <v>155</v>
      </c>
      <c r="F19" s="25">
        <v>45778</v>
      </c>
      <c r="G19" s="17">
        <f>DAY(EOMONTH(GA[[#This Row],[Month Year]],0))</f>
        <v>31</v>
      </c>
      <c r="H19" s="26">
        <v>45793</v>
      </c>
      <c r="I19" s="31">
        <f>IFERROR(VLOOKUP(GA[[#This Row],[Date]],Raw_Data[[#All],[Date]:[Sunset Time (POA&lt;20 W/m2)]],3,0),"")</f>
        <v>0.25138888888888888</v>
      </c>
      <c r="J19" s="31">
        <f>IFERROR(VLOOKUP(GA[[#This Row],[Date]],Raw_Data[[#All],[Date]:[Sunset Time (POA&lt;20 W/m2)]],4,0),"")</f>
        <v>0.77222222222222225</v>
      </c>
      <c r="K19" s="30">
        <f>IFERROR((GA[[#This Row],[Sunset Time (POA&lt;20 W/m2)]]-GA[[#This Row],[Sunrise Time (POA&gt;20 W/m2)]])*24,"")</f>
        <v>12.5</v>
      </c>
      <c r="L19" s="17" t="s">
        <v>334</v>
      </c>
      <c r="M19" s="17">
        <f>IFERROR(VLOOKUP(GA[[#This Row],[Affceted Equipment]],'Basic Data'!$A$1:$B$113,2,0),"")</f>
        <v>11710.44</v>
      </c>
      <c r="N19" s="17" t="s">
        <v>335</v>
      </c>
      <c r="O19" s="1" t="s">
        <v>277</v>
      </c>
      <c r="P19" s="28">
        <f>IFERROR(VLOOKUP(GA[[#This Row],[Affceted Equipment]],'Basic Data'!$A$2:$C$118,3,0),"")</f>
        <v>1</v>
      </c>
      <c r="Q19" s="17" t="s">
        <v>258</v>
      </c>
      <c r="R19" t="s">
        <v>339</v>
      </c>
      <c r="S19" s="24">
        <v>0.48402777777777778</v>
      </c>
      <c r="T19" s="24">
        <v>0.48402777777777778</v>
      </c>
      <c r="U19" s="24">
        <v>0.48958333333333331</v>
      </c>
      <c r="V19" s="24">
        <v>0.49652777777777779</v>
      </c>
      <c r="W19" s="34">
        <f>(GA[[#This Row],[Acknowledgemnet Time ]]-GA[[#This Row],[Fault Time]])*24</f>
        <v>0</v>
      </c>
      <c r="X19" s="35">
        <f>(GA[[#This Row],[Work Start time on Fault]]-GA[[#This Row],[Fault Time]])*24</f>
        <v>0.13333333333333286</v>
      </c>
      <c r="Y19" s="35">
        <f>(GA[[#This Row],[Work Completiuon time on fualt]]-GA[[#This Row],[Fault Time]])*24</f>
        <v>0.30000000000000027</v>
      </c>
      <c r="Z19" s="2" t="s">
        <v>337</v>
      </c>
      <c r="AA19" s="2" t="s">
        <v>249</v>
      </c>
      <c r="AB19" s="2">
        <f>IFERROR(GA[[#This Row],[Plant Equivalent Weightage]]*GA[[#This Row],[Resolution Time]],"")</f>
        <v>0.30000000000000027</v>
      </c>
      <c r="AC19" s="2">
        <v>257</v>
      </c>
      <c r="AD19" s="32">
        <f>IFERROR((_xlfn.XLOOKUP(GA[[#This Row],[Month Year]],'Modelling New'!D:D,'Modelling New'!$O:$O)*GA[[#This Row],[Lost POA (Wh/m2)]]*GA[[#This Row],[DC Capacity Affceted (kW)]])/1000,"")</f>
        <v>2201.7565734020418</v>
      </c>
      <c r="AE19" s="2"/>
    </row>
    <row r="20" spans="1:31">
      <c r="A20" s="2">
        <f t="shared" si="0"/>
        <v>18</v>
      </c>
      <c r="B20" s="156">
        <f t="shared" ref="B20" si="5">YEAR(H20)+IF(MONTH(H20)&gt;=4,1,0)</f>
        <v>2026</v>
      </c>
      <c r="C20" s="129">
        <f t="shared" ref="C20" si="6">YEAR(H20)</f>
        <v>2025</v>
      </c>
      <c r="D20" t="s">
        <v>155</v>
      </c>
      <c r="E20" s="17" t="s">
        <v>155</v>
      </c>
      <c r="F20" s="25">
        <v>45778</v>
      </c>
      <c r="G20" s="17">
        <f>DAY(EOMONTH(GA[[#This Row],[Month Year]],0))</f>
        <v>31</v>
      </c>
      <c r="H20" s="26">
        <v>45794</v>
      </c>
      <c r="I20" s="31">
        <f>IFERROR(VLOOKUP(GA[[#This Row],[Date]],Raw_Data[[#All],[Date]:[Sunset Time (POA&lt;20 W/m2)]],3,0),"")</f>
        <v>0.25138888888888888</v>
      </c>
      <c r="J20" s="31">
        <f>IFERROR(VLOOKUP(GA[[#This Row],[Date]],Raw_Data[[#All],[Date]:[Sunset Time (POA&lt;20 W/m2)]],4,0),"")</f>
        <v>0.76041666666666663</v>
      </c>
      <c r="K20" s="30">
        <f>IFERROR((GA[[#This Row],[Sunset Time (POA&lt;20 W/m2)]]-GA[[#This Row],[Sunrise Time (POA&gt;20 W/m2)]])*24,"")</f>
        <v>12.216666666666665</v>
      </c>
      <c r="L20" s="17" t="s">
        <v>334</v>
      </c>
      <c r="M20" s="17">
        <f>IFERROR(VLOOKUP(GA[[#This Row],[Affceted Equipment]],'Basic Data'!$A$1:$B$113,2,0),"")</f>
        <v>11710.44</v>
      </c>
      <c r="N20" s="17" t="s">
        <v>335</v>
      </c>
      <c r="O20" s="1" t="s">
        <v>277</v>
      </c>
      <c r="P20" s="28">
        <f>IFERROR(VLOOKUP(GA[[#This Row],[Affceted Equipment]],'Basic Data'!$A$2:$C$118,3,0),"")</f>
        <v>1</v>
      </c>
      <c r="Q20" s="17" t="s">
        <v>258</v>
      </c>
      <c r="R20" s="1" t="s">
        <v>491</v>
      </c>
      <c r="S20" s="24">
        <v>0.6645833333333333</v>
      </c>
      <c r="T20" s="24">
        <v>0.6645833333333333</v>
      </c>
      <c r="U20" s="24">
        <v>0.65972222222222221</v>
      </c>
      <c r="V20" s="24">
        <v>0.69861111111111107</v>
      </c>
      <c r="W20" s="34">
        <f>(GA[[#This Row],[Acknowledgemnet Time ]]-GA[[#This Row],[Fault Time]])*24</f>
        <v>0</v>
      </c>
      <c r="X20" s="35">
        <f>(GA[[#This Row],[Work Start time on Fault]]-GA[[#This Row],[Fault Time]])*24</f>
        <v>-0.11666666666666625</v>
      </c>
      <c r="Y20" s="35">
        <f>(GA[[#This Row],[Work Completiuon time on fualt]]-GA[[#This Row],[Fault Time]])*24</f>
        <v>0.81666666666666643</v>
      </c>
      <c r="Z20" s="2" t="s">
        <v>337</v>
      </c>
      <c r="AA20" s="2" t="s">
        <v>249</v>
      </c>
      <c r="AB20" s="2">
        <f>IFERROR(GA[[#This Row],[Plant Equivalent Weightage]]*GA[[#This Row],[Resolution Time]],"")</f>
        <v>0.81666666666666643</v>
      </c>
      <c r="AC20" s="2">
        <v>457</v>
      </c>
      <c r="AD20" s="32">
        <f>IFERROR((_xlfn.XLOOKUP(GA[[#This Row],[Month Year]],'Modelling New'!D:D,'Modelling New'!$O:$O)*GA[[#This Row],[Lost POA (Wh/m2)]]*GA[[#This Row],[DC Capacity Affceted (kW)]])/1000,"")</f>
        <v>3915.1858134036302</v>
      </c>
      <c r="AE20" s="2"/>
    </row>
    <row r="21" spans="1:31">
      <c r="A21" s="2">
        <f t="shared" si="0"/>
        <v>19</v>
      </c>
      <c r="B21" s="156">
        <f t="shared" ref="B21" si="7">YEAR(H21)+IF(MONTH(H21)&gt;=4,1,0)</f>
        <v>2026</v>
      </c>
      <c r="C21" s="129">
        <f t="shared" ref="C21" si="8">YEAR(H21)</f>
        <v>2025</v>
      </c>
      <c r="D21" t="s">
        <v>155</v>
      </c>
      <c r="E21" s="17" t="s">
        <v>155</v>
      </c>
      <c r="F21" s="25">
        <v>45778</v>
      </c>
      <c r="G21" s="17">
        <f>DAY(EOMONTH(GA[[#This Row],[Month Year]],0))</f>
        <v>31</v>
      </c>
      <c r="H21" s="26">
        <v>45796</v>
      </c>
      <c r="I21" s="31">
        <f>IFERROR(VLOOKUP(GA[[#This Row],[Date]],Raw_Data[[#All],[Date]:[Sunset Time (POA&lt;20 W/m2)]],3,0),"")</f>
        <v>0.25208333333333333</v>
      </c>
      <c r="J21" s="31">
        <f>IFERROR(VLOOKUP(GA[[#This Row],[Date]],Raw_Data[[#All],[Date]:[Sunset Time (POA&lt;20 W/m2)]],4,0),"")</f>
        <v>0.77083333333333337</v>
      </c>
      <c r="K21" s="30">
        <f>IFERROR((GA[[#This Row],[Sunset Time (POA&lt;20 W/m2)]]-GA[[#This Row],[Sunrise Time (POA&gt;20 W/m2)]])*24,"")</f>
        <v>12.450000000000001</v>
      </c>
      <c r="L21" s="17" t="s">
        <v>334</v>
      </c>
      <c r="M21" s="17">
        <f>IFERROR(VLOOKUP(GA[[#This Row],[Affceted Equipment]],'Basic Data'!$A$1:$B$113,2,0),"")</f>
        <v>11710.44</v>
      </c>
      <c r="N21" s="17" t="s">
        <v>335</v>
      </c>
      <c r="O21" s="1" t="s">
        <v>277</v>
      </c>
      <c r="P21" s="28">
        <f>IFERROR(VLOOKUP(GA[[#This Row],[Affceted Equipment]],'Basic Data'!$A$2:$C$118,3,0),"")</f>
        <v>1</v>
      </c>
      <c r="Q21" s="17" t="s">
        <v>258</v>
      </c>
      <c r="R21" t="s">
        <v>490</v>
      </c>
      <c r="S21" s="24">
        <v>0.25208333333333333</v>
      </c>
      <c r="T21" s="24">
        <v>0.25208333333333333</v>
      </c>
      <c r="U21" s="24">
        <v>0.25208333333333333</v>
      </c>
      <c r="V21" s="24">
        <v>0.41805555555555557</v>
      </c>
      <c r="W21" s="34">
        <f>(GA[[#This Row],[Acknowledgemnet Time ]]-GA[[#This Row],[Fault Time]])*24</f>
        <v>0</v>
      </c>
      <c r="X21" s="35">
        <f>(GA[[#This Row],[Work Start time on Fault]]-GA[[#This Row],[Fault Time]])*24</f>
        <v>0</v>
      </c>
      <c r="Y21" s="35">
        <f>(GA[[#This Row],[Work Completiuon time on fualt]]-GA[[#This Row],[Fault Time]])*24</f>
        <v>3.9833333333333338</v>
      </c>
      <c r="Z21" s="2" t="s">
        <v>337</v>
      </c>
      <c r="AA21" s="2" t="s">
        <v>249</v>
      </c>
      <c r="AB21" s="2">
        <f>IFERROR(GA[[#This Row],[Plant Equivalent Weightage]]*GA[[#This Row],[Resolution Time]],"")</f>
        <v>3.9833333333333338</v>
      </c>
      <c r="AC21" s="2">
        <v>1551</v>
      </c>
      <c r="AD21" s="32">
        <f>IFERROR((_xlfn.XLOOKUP(GA[[#This Row],[Month Year]],'Modelling New'!D:D,'Modelling New'!$O:$O)*GA[[#This Row],[Lost POA (Wh/m2)]]*GA[[#This Row],[DC Capacity Affceted (kW)]])/1000,"")</f>
        <v>13287.643756212321</v>
      </c>
      <c r="AE21" s="2"/>
    </row>
    <row r="22" spans="1:31">
      <c r="A22" s="2">
        <f t="shared" si="0"/>
        <v>20</v>
      </c>
      <c r="B22" s="156">
        <f t="shared" ref="B22" si="9">YEAR(H22)+IF(MONTH(H22)&gt;=4,1,0)</f>
        <v>2026</v>
      </c>
      <c r="C22" s="129">
        <f t="shared" ref="C22" si="10">YEAR(H22)</f>
        <v>2025</v>
      </c>
      <c r="D22" t="s">
        <v>155</v>
      </c>
      <c r="E22" s="17" t="s">
        <v>155</v>
      </c>
      <c r="F22" s="25">
        <v>45778</v>
      </c>
      <c r="G22" s="17">
        <f>DAY(EOMONTH(GA[[#This Row],[Month Year]],0))</f>
        <v>31</v>
      </c>
      <c r="H22" s="26">
        <v>45798</v>
      </c>
      <c r="I22" s="31">
        <f>IFERROR(VLOOKUP(GA[[#This Row],[Date]],Raw_Data[[#All],[Date]:[Sunset Time (POA&lt;20 W/m2)]],3,0),"")</f>
        <v>0.29444444444444445</v>
      </c>
      <c r="J22" s="31">
        <f>IFERROR(VLOOKUP(GA[[#This Row],[Date]],Raw_Data[[#All],[Date]:[Sunset Time (POA&lt;20 W/m2)]],4,0),"")</f>
        <v>0.69305555555555554</v>
      </c>
      <c r="K22" s="30">
        <f>IFERROR((GA[[#This Row],[Sunset Time (POA&lt;20 W/m2)]]-GA[[#This Row],[Sunrise Time (POA&gt;20 W/m2)]])*24,"")</f>
        <v>9.5666666666666664</v>
      </c>
      <c r="L22" s="17" t="s">
        <v>334</v>
      </c>
      <c r="M22" s="17">
        <f>IFERROR(VLOOKUP(GA[[#This Row],[Affceted Equipment]],'Basic Data'!$A$1:$B$113,2,0),"")</f>
        <v>11710.44</v>
      </c>
      <c r="N22" s="17" t="s">
        <v>335</v>
      </c>
      <c r="O22" s="1" t="s">
        <v>277</v>
      </c>
      <c r="P22" s="28">
        <f>IFERROR(VLOOKUP(GA[[#This Row],[Affceted Equipment]],'Basic Data'!$A$2:$C$118,3,0),"")</f>
        <v>1</v>
      </c>
      <c r="Q22" s="17" t="s">
        <v>258</v>
      </c>
      <c r="R22" t="s">
        <v>490</v>
      </c>
      <c r="S22" s="24">
        <v>0.37569444444444444</v>
      </c>
      <c r="T22" s="24">
        <v>0.37638888888888888</v>
      </c>
      <c r="U22" s="24">
        <v>0.38541666666666669</v>
      </c>
      <c r="V22" s="24">
        <v>0.40555555555555556</v>
      </c>
      <c r="W22" s="34">
        <f>(GA[[#This Row],[Acknowledgemnet Time ]]-GA[[#This Row],[Fault Time]])*24</f>
        <v>1.6666666666666607E-2</v>
      </c>
      <c r="X22" s="35">
        <f>(GA[[#This Row],[Work Start time on Fault]]-GA[[#This Row],[Fault Time]])*24</f>
        <v>0.23333333333333384</v>
      </c>
      <c r="Y22" s="35">
        <f>(GA[[#This Row],[Work Completiuon time on fualt]]-GA[[#This Row],[Fault Time]])*24</f>
        <v>0.71666666666666679</v>
      </c>
      <c r="Z22" s="2" t="s">
        <v>337</v>
      </c>
      <c r="AA22" s="2" t="s">
        <v>249</v>
      </c>
      <c r="AB22" s="2">
        <f>IFERROR(GA[[#This Row],[Plant Equivalent Weightage]]*GA[[#This Row],[Resolution Time]],"")</f>
        <v>0.71666666666666679</v>
      </c>
      <c r="AC22" s="2">
        <v>239</v>
      </c>
      <c r="AD22" s="32">
        <f>IFERROR((_xlfn.XLOOKUP(GA[[#This Row],[Month Year]],'Modelling New'!D:D,'Modelling New'!$O:$O)*GA[[#This Row],[Lost POA (Wh/m2)]]*GA[[#This Row],[DC Capacity Affceted (kW)]])/1000,"")</f>
        <v>2047.5479418018986</v>
      </c>
      <c r="AE22" s="2"/>
    </row>
    <row r="23" spans="1:31">
      <c r="A23" s="2">
        <f t="shared" si="0"/>
        <v>21</v>
      </c>
      <c r="B23" s="156">
        <f t="shared" ref="B23" si="11">YEAR(H23)+IF(MONTH(H23)&gt;=4,1,0)</f>
        <v>2026</v>
      </c>
      <c r="C23" s="129">
        <f t="shared" ref="C23:C24" si="12">YEAR(H23)</f>
        <v>2025</v>
      </c>
      <c r="D23" t="s">
        <v>155</v>
      </c>
      <c r="E23" s="17" t="s">
        <v>155</v>
      </c>
      <c r="F23" s="25">
        <v>45778</v>
      </c>
      <c r="G23" s="17">
        <f>DAY(EOMONTH(GA[[#This Row],[Month Year]],0))</f>
        <v>31</v>
      </c>
      <c r="H23" s="26">
        <v>45798</v>
      </c>
      <c r="I23" s="31">
        <f>IFERROR(VLOOKUP(GA[[#This Row],[Date]],Raw_Data[[#All],[Date]:[Sunset Time (POA&lt;20 W/m2)]],3,0),"")</f>
        <v>0.29444444444444445</v>
      </c>
      <c r="J23" s="31">
        <f>IFERROR(VLOOKUP(GA[[#This Row],[Date]],Raw_Data[[#All],[Date]:[Sunset Time (POA&lt;20 W/m2)]],4,0),"")</f>
        <v>0.69305555555555554</v>
      </c>
      <c r="K23" s="30">
        <f>IFERROR((GA[[#This Row],[Sunset Time (POA&lt;20 W/m2)]]-GA[[#This Row],[Sunrise Time (POA&gt;20 W/m2)]])*24,"")</f>
        <v>9.5666666666666664</v>
      </c>
      <c r="L23" s="17" t="s">
        <v>334</v>
      </c>
      <c r="M23" s="17">
        <f>IFERROR(VLOOKUP(GA[[#This Row],[Affceted Equipment]],'Basic Data'!$A$1:$B$113,2,0),"")</f>
        <v>11710.44</v>
      </c>
      <c r="N23" s="17" t="s">
        <v>335</v>
      </c>
      <c r="O23" s="1" t="s">
        <v>277</v>
      </c>
      <c r="P23" s="28">
        <f>IFERROR(VLOOKUP(GA[[#This Row],[Affceted Equipment]],'Basic Data'!$A$2:$C$118,3,0),"")</f>
        <v>1</v>
      </c>
      <c r="Q23" s="17" t="s">
        <v>258</v>
      </c>
      <c r="R23" t="s">
        <v>490</v>
      </c>
      <c r="S23" s="24">
        <v>0.42916666666666664</v>
      </c>
      <c r="T23" s="24">
        <v>0.42916666666666664</v>
      </c>
      <c r="U23" s="24">
        <v>0.4375</v>
      </c>
      <c r="V23" s="24">
        <v>0.44722222222222224</v>
      </c>
      <c r="W23" s="34">
        <f>(GA[[#This Row],[Acknowledgemnet Time ]]-GA[[#This Row],[Fault Time]])*24</f>
        <v>0</v>
      </c>
      <c r="X23" s="35">
        <f>(GA[[#This Row],[Work Start time on Fault]]-GA[[#This Row],[Fault Time]])*24</f>
        <v>0.20000000000000062</v>
      </c>
      <c r="Y23" s="35">
        <f>(GA[[#This Row],[Work Completiuon time on fualt]]-GA[[#This Row],[Fault Time]])*24</f>
        <v>0.43333333333333446</v>
      </c>
      <c r="Z23" s="2" t="s">
        <v>337</v>
      </c>
      <c r="AA23" s="2" t="s">
        <v>249</v>
      </c>
      <c r="AB23" s="2">
        <f>IFERROR(GA[[#This Row],[Plant Equivalent Weightage]]*GA[[#This Row],[Resolution Time]],"")</f>
        <v>0.43333333333333446</v>
      </c>
      <c r="AC23" s="2">
        <v>221</v>
      </c>
      <c r="AD23" s="32">
        <f>IFERROR((_xlfn.XLOOKUP(GA[[#This Row],[Month Year]],'Modelling New'!D:D,'Modelling New'!$O:$O)*GA[[#This Row],[Lost POA (Wh/m2)]]*GA[[#This Row],[DC Capacity Affceted (kW)]])/1000,"")</f>
        <v>1893.3393102017553</v>
      </c>
      <c r="AE23" s="2"/>
    </row>
    <row r="24" spans="1:31">
      <c r="A24" s="2">
        <f t="shared" si="0"/>
        <v>22</v>
      </c>
      <c r="B24" s="156">
        <f t="shared" si="1"/>
        <v>2026</v>
      </c>
      <c r="C24" s="129">
        <f t="shared" si="12"/>
        <v>2025</v>
      </c>
      <c r="D24" t="s">
        <v>155</v>
      </c>
      <c r="E24" s="17" t="s">
        <v>155</v>
      </c>
      <c r="F24" s="25">
        <v>45778</v>
      </c>
      <c r="G24" s="17">
        <f>DAY(EOMONTH(GA[[#This Row],[Month Year]],0))</f>
        <v>31</v>
      </c>
      <c r="H24" s="26">
        <v>45799</v>
      </c>
      <c r="I24" s="31">
        <f>IFERROR(VLOOKUP(GA[[#This Row],[Date]],Raw_Data[[#All],[Date]:[Sunset Time (POA&lt;20 W/m2)]],3,0),"")</f>
        <v>0.27986111111111112</v>
      </c>
      <c r="J24" s="31">
        <f>IFERROR(VLOOKUP(GA[[#This Row],[Date]],Raw_Data[[#All],[Date]:[Sunset Time (POA&lt;20 W/m2)]],4,0),"")</f>
        <v>0.72569444444444442</v>
      </c>
      <c r="K24" s="30">
        <f>IFERROR((GA[[#This Row],[Sunset Time (POA&lt;20 W/m2)]]-GA[[#This Row],[Sunrise Time (POA&gt;20 W/m2)]])*24,"")</f>
        <v>10.7</v>
      </c>
      <c r="L24" s="17" t="s">
        <v>334</v>
      </c>
      <c r="M24" s="17">
        <f>IFERROR(VLOOKUP(GA[[#This Row],[Affceted Equipment]],'Basic Data'!$A$1:$B$113,2,0),"")</f>
        <v>11710.44</v>
      </c>
      <c r="N24" s="17" t="s">
        <v>335</v>
      </c>
      <c r="O24" s="1" t="s">
        <v>277</v>
      </c>
      <c r="P24" s="28">
        <f>IFERROR(VLOOKUP(GA[[#This Row],[Affceted Equipment]],'Basic Data'!$A$2:$C$118,3,0),"")</f>
        <v>1</v>
      </c>
      <c r="Q24" s="17" t="s">
        <v>258</v>
      </c>
      <c r="R24" t="s">
        <v>492</v>
      </c>
      <c r="S24" s="24">
        <v>0.51249999999999996</v>
      </c>
      <c r="T24" s="24">
        <v>0.51249999999999996</v>
      </c>
      <c r="U24" s="24">
        <v>0.51527777777777772</v>
      </c>
      <c r="V24" s="24">
        <v>0.52777777777777779</v>
      </c>
      <c r="W24" s="34">
        <f>(GA[[#This Row],[Acknowledgemnet Time ]]-GA[[#This Row],[Fault Time]])*24</f>
        <v>0</v>
      </c>
      <c r="X24" s="35">
        <f>(GA[[#This Row],[Work Start time on Fault]]-GA[[#This Row],[Fault Time]])*24</f>
        <v>6.666666666666643E-2</v>
      </c>
      <c r="Y24" s="35">
        <f>(GA[[#This Row],[Work Completiuon time on fualt]]-GA[[#This Row],[Fault Time]])*24</f>
        <v>0.36666666666666803</v>
      </c>
      <c r="Z24" s="2" t="s">
        <v>337</v>
      </c>
      <c r="AA24" s="2" t="s">
        <v>249</v>
      </c>
      <c r="AB24" s="2">
        <f>IFERROR(GA[[#This Row],[Plant Equivalent Weightage]]*GA[[#This Row],[Resolution Time]],"")</f>
        <v>0.36666666666666803</v>
      </c>
      <c r="AC24" s="2">
        <v>211</v>
      </c>
      <c r="AD24" s="32">
        <f>IFERROR((_xlfn.XLOOKUP(GA[[#This Row],[Month Year]],'Modelling New'!D:D,'Modelling New'!$O:$O)*GA[[#This Row],[Lost POA (Wh/m2)]]*GA[[#This Row],[DC Capacity Affceted (kW)]])/1000,"")</f>
        <v>1807.667848201676</v>
      </c>
      <c r="AE24" s="2"/>
    </row>
    <row r="25" spans="1:31">
      <c r="A25" s="2">
        <f t="shared" si="0"/>
        <v>23</v>
      </c>
      <c r="B25" s="156">
        <f t="shared" si="1"/>
        <v>2026</v>
      </c>
      <c r="C25" s="129">
        <f t="shared" si="2"/>
        <v>2025</v>
      </c>
      <c r="D25" t="s">
        <v>155</v>
      </c>
      <c r="E25" s="17" t="s">
        <v>155</v>
      </c>
      <c r="F25" s="25">
        <v>45778</v>
      </c>
      <c r="G25" s="17">
        <f>DAY(EOMONTH(GA[[#This Row],[Month Year]],0))</f>
        <v>31</v>
      </c>
      <c r="H25" s="26">
        <v>45803</v>
      </c>
      <c r="I25" s="31">
        <f>IFERROR(VLOOKUP(GA[[#This Row],[Date]],Raw_Data[[#All],[Date]:[Sunset Time (POA&lt;20 W/m2)]],3,0),"")</f>
        <v>0.25</v>
      </c>
      <c r="J25" s="31">
        <f>IFERROR(VLOOKUP(GA[[#This Row],[Date]],Raw_Data[[#All],[Date]:[Sunset Time (POA&lt;20 W/m2)]],4,0),"")</f>
        <v>0.76736111111111116</v>
      </c>
      <c r="K25" s="30">
        <f>IFERROR((GA[[#This Row],[Sunset Time (POA&lt;20 W/m2)]]-GA[[#This Row],[Sunrise Time (POA&gt;20 W/m2)]])*24,"")</f>
        <v>12.416666666666668</v>
      </c>
      <c r="L25" s="17" t="s">
        <v>334</v>
      </c>
      <c r="M25" s="17">
        <f>IFERROR(VLOOKUP(GA[[#This Row],[Affceted Equipment]],'Basic Data'!$A$1:$B$113,2,0),"")</f>
        <v>11710.44</v>
      </c>
      <c r="N25" s="17" t="s">
        <v>335</v>
      </c>
      <c r="O25" s="1" t="s">
        <v>277</v>
      </c>
      <c r="P25" s="28">
        <f>IFERROR(VLOOKUP(GA[[#This Row],[Affceted Equipment]],'Basic Data'!$A$2:$C$118,3,0),"")</f>
        <v>1</v>
      </c>
      <c r="Q25" s="17" t="s">
        <v>258</v>
      </c>
      <c r="R25" t="s">
        <v>341</v>
      </c>
      <c r="S25" s="24">
        <v>0.30833333333333335</v>
      </c>
      <c r="T25" s="24">
        <v>0.30833333333333335</v>
      </c>
      <c r="U25" s="24">
        <v>0.3125</v>
      </c>
      <c r="V25" s="24">
        <v>0.34375</v>
      </c>
      <c r="W25" s="34">
        <f>(GA[[#This Row],[Acknowledgemnet Time ]]-GA[[#This Row],[Fault Time]])*24</f>
        <v>0</v>
      </c>
      <c r="X25" s="35">
        <f>(GA[[#This Row],[Work Start time on Fault]]-GA[[#This Row],[Fault Time]])*24</f>
        <v>9.9999999999999645E-2</v>
      </c>
      <c r="Y25" s="35">
        <f>(GA[[#This Row],[Work Completiuon time on fualt]]-GA[[#This Row],[Fault Time]])*24</f>
        <v>0.84999999999999964</v>
      </c>
      <c r="Z25" s="2" t="s">
        <v>337</v>
      </c>
      <c r="AA25" s="2" t="s">
        <v>249</v>
      </c>
      <c r="AB25" s="2">
        <f>IFERROR(GA[[#This Row],[Plant Equivalent Weightage]]*GA[[#This Row],[Resolution Time]],"")</f>
        <v>0.84999999999999964</v>
      </c>
      <c r="AC25" s="2">
        <v>175</v>
      </c>
      <c r="AD25" s="32">
        <f>IFERROR((_xlfn.XLOOKUP(GA[[#This Row],[Month Year]],'Modelling New'!D:D,'Modelling New'!$O:$O)*GA[[#This Row],[Lost POA (Wh/m2)]]*GA[[#This Row],[DC Capacity Affceted (kW)]])/1000,"")</f>
        <v>1499.2505850013899</v>
      </c>
      <c r="AE25" s="2"/>
    </row>
    <row r="26" spans="1:31">
      <c r="A26" s="2">
        <f t="shared" si="0"/>
        <v>24</v>
      </c>
      <c r="B26" s="156">
        <f t="shared" si="1"/>
        <v>2026</v>
      </c>
      <c r="C26" s="129">
        <f t="shared" si="2"/>
        <v>2025</v>
      </c>
      <c r="D26" t="s">
        <v>155</v>
      </c>
      <c r="E26" s="17" t="s">
        <v>155</v>
      </c>
      <c r="F26" s="25">
        <v>45778</v>
      </c>
      <c r="G26" s="17">
        <f>DAY(EOMONTH(GA[[#This Row],[Month Year]],0))</f>
        <v>31</v>
      </c>
      <c r="H26" s="26">
        <v>45804</v>
      </c>
      <c r="I26" s="31">
        <f>IFERROR(VLOOKUP(GA[[#This Row],[Date]],Raw_Data[[#All],[Date]:[Sunset Time (POA&lt;20 W/m2)]],3,0),"")</f>
        <v>0.24513888888888888</v>
      </c>
      <c r="J26" s="31">
        <f>IFERROR(VLOOKUP(GA[[#This Row],[Date]],Raw_Data[[#All],[Date]:[Sunset Time (POA&lt;20 W/m2)]],4,0),"")</f>
        <v>0.72986111111111107</v>
      </c>
      <c r="K26" s="30">
        <f>IFERROR((GA[[#This Row],[Sunset Time (POA&lt;20 W/m2)]]-GA[[#This Row],[Sunrise Time (POA&gt;20 W/m2)]])*24,"")</f>
        <v>11.633333333333333</v>
      </c>
      <c r="L26" s="17" t="s">
        <v>334</v>
      </c>
      <c r="M26" s="17">
        <f>IFERROR(VLOOKUP(GA[[#This Row],[Affceted Equipment]],'Basic Data'!$A$1:$B$113,2,0),"")</f>
        <v>11710.44</v>
      </c>
      <c r="N26" s="17" t="s">
        <v>335</v>
      </c>
      <c r="O26" s="1" t="s">
        <v>277</v>
      </c>
      <c r="P26" s="28">
        <f>IFERROR(VLOOKUP(GA[[#This Row],[Affceted Equipment]],'Basic Data'!$A$2:$C$118,3,0),"")</f>
        <v>1</v>
      </c>
      <c r="Q26" s="17" t="s">
        <v>258</v>
      </c>
      <c r="R26" t="s">
        <v>341</v>
      </c>
      <c r="S26" s="24">
        <v>0.69444444444444442</v>
      </c>
      <c r="T26" s="24">
        <v>0.69791666666666663</v>
      </c>
      <c r="U26" s="24">
        <v>0.70138888888888884</v>
      </c>
      <c r="V26" s="24">
        <v>0.72013888888888888</v>
      </c>
      <c r="W26" s="34">
        <f>(GA[[#This Row],[Acknowledgemnet Time ]]-GA[[#This Row],[Fault Time]])*24</f>
        <v>8.3333333333333037E-2</v>
      </c>
      <c r="X26" s="35">
        <f>(GA[[#This Row],[Work Start time on Fault]]-GA[[#This Row],[Fault Time]])*24</f>
        <v>0.16666666666666607</v>
      </c>
      <c r="Y26" s="35">
        <f>(GA[[#This Row],[Work Completiuon time on fualt]]-GA[[#This Row],[Fault Time]])*24</f>
        <v>0.61666666666666714</v>
      </c>
      <c r="Z26" s="2" t="s">
        <v>337</v>
      </c>
      <c r="AA26" s="2" t="s">
        <v>249</v>
      </c>
      <c r="AB26" s="2">
        <f>IFERROR(GA[[#This Row],[Plant Equivalent Weightage]]*GA[[#This Row],[Resolution Time]],"")</f>
        <v>0.61666666666666714</v>
      </c>
      <c r="AC26" s="2">
        <v>72</v>
      </c>
      <c r="AD26" s="32">
        <f>IFERROR((_xlfn.XLOOKUP(GA[[#This Row],[Month Year]],'Modelling New'!D:D,'Modelling New'!$O:$O)*GA[[#This Row],[Lost POA (Wh/m2)]]*GA[[#This Row],[DC Capacity Affceted (kW)]])/1000,"")</f>
        <v>616.83452640057192</v>
      </c>
      <c r="AE26" s="2"/>
    </row>
    <row r="27" spans="1:31">
      <c r="A27" s="2">
        <f t="shared" si="0"/>
        <v>25</v>
      </c>
      <c r="B27" s="156">
        <f t="shared" si="1"/>
        <v>2026</v>
      </c>
      <c r="C27" s="129">
        <f t="shared" si="2"/>
        <v>2025</v>
      </c>
      <c r="D27" t="s">
        <v>155</v>
      </c>
      <c r="E27" s="17" t="s">
        <v>155</v>
      </c>
      <c r="F27" s="25">
        <v>45778</v>
      </c>
      <c r="G27" s="17">
        <f>DAY(EOMONTH(GA[[#This Row],[Month Year]],0))</f>
        <v>31</v>
      </c>
      <c r="H27" s="26">
        <v>45805</v>
      </c>
      <c r="I27" s="31">
        <f>IFERROR(VLOOKUP(GA[[#This Row],[Date]],Raw_Data[[#All],[Date]:[Sunset Time (POA&lt;20 W/m2)]],3,0),"")</f>
        <v>0.25</v>
      </c>
      <c r="J27" s="31">
        <f>IFERROR(VLOOKUP(GA[[#This Row],[Date]],Raw_Data[[#All],[Date]:[Sunset Time (POA&lt;20 W/m2)]],4,0),"")</f>
        <v>0.77013888888888893</v>
      </c>
      <c r="K27" s="30">
        <f>IFERROR((GA[[#This Row],[Sunset Time (POA&lt;20 W/m2)]]-GA[[#This Row],[Sunrise Time (POA&gt;20 W/m2)]])*24,"")</f>
        <v>12.483333333333334</v>
      </c>
      <c r="L27" s="17" t="s">
        <v>334</v>
      </c>
      <c r="M27" s="17">
        <f>IFERROR(VLOOKUP(GA[[#This Row],[Affceted Equipment]],'Basic Data'!$A$1:$B$113,2,0),"")</f>
        <v>11710.44</v>
      </c>
      <c r="N27" s="17" t="s">
        <v>335</v>
      </c>
      <c r="O27" s="1" t="s">
        <v>277</v>
      </c>
      <c r="P27" s="28">
        <f>IFERROR(VLOOKUP(GA[[#This Row],[Affceted Equipment]],'Basic Data'!$A$2:$C$118,3,0),"")</f>
        <v>1</v>
      </c>
      <c r="Q27" s="17" t="s">
        <v>258</v>
      </c>
      <c r="R27" t="s">
        <v>498</v>
      </c>
      <c r="S27" s="24">
        <v>0.43333333333333335</v>
      </c>
      <c r="T27" s="24">
        <v>0.43402777777777779</v>
      </c>
      <c r="U27" s="24">
        <v>0.4548611111111111</v>
      </c>
      <c r="V27" s="24">
        <v>0.77083333333333337</v>
      </c>
      <c r="W27" s="34">
        <f>(GA[[#This Row],[Acknowledgemnet Time ]]-GA[[#This Row],[Fault Time]])*24</f>
        <v>1.6666666666666607E-2</v>
      </c>
      <c r="X27" s="35">
        <f>(GA[[#This Row],[Work Start time on Fault]]-GA[[#This Row],[Fault Time]])*24</f>
        <v>0.51666666666666616</v>
      </c>
      <c r="Y27" s="35">
        <f>(GA[[#This Row],[Work Completiuon time on fualt]]-GA[[#This Row],[Fault Time]])*24</f>
        <v>8.1000000000000014</v>
      </c>
      <c r="Z27" s="2" t="s">
        <v>337</v>
      </c>
      <c r="AA27" s="2" t="s">
        <v>249</v>
      </c>
      <c r="AB27" s="2">
        <f>IFERROR(GA[[#This Row],[Plant Equivalent Weightage]]*GA[[#This Row],[Resolution Time]],"")</f>
        <v>8.1000000000000014</v>
      </c>
      <c r="AC27" s="2">
        <v>2803</v>
      </c>
      <c r="AD27" s="32">
        <f>IFERROR((_xlfn.XLOOKUP(GA[[#This Row],[Month Year]],'Modelling New'!D:D,'Modelling New'!$O:$O)*GA[[#This Row],[Lost POA (Wh/m2)]]*GA[[#This Row],[DC Capacity Affceted (kW)]])/1000,"")</f>
        <v>24013.710798622265</v>
      </c>
      <c r="AE27" s="2"/>
    </row>
    <row r="28" spans="1:31">
      <c r="A28" s="2">
        <f t="shared" si="0"/>
        <v>26</v>
      </c>
      <c r="B28" s="156">
        <f t="shared" si="1"/>
        <v>2026</v>
      </c>
      <c r="C28" s="129">
        <f t="shared" si="2"/>
        <v>2025</v>
      </c>
      <c r="D28" t="s">
        <v>155</v>
      </c>
      <c r="E28" s="17" t="s">
        <v>155</v>
      </c>
      <c r="F28" s="25">
        <v>45778</v>
      </c>
      <c r="G28" s="17">
        <f>DAY(EOMONTH(GA[[#This Row],[Month Year]],0))</f>
        <v>31</v>
      </c>
      <c r="H28" s="26">
        <v>45808</v>
      </c>
      <c r="I28" s="31">
        <f>IFERROR(VLOOKUP(GA[[#This Row],[Date]],Raw_Data[[#All],[Date]:[Sunset Time (POA&lt;20 W/m2)]],3,0),"")</f>
        <v>0.24444444444444444</v>
      </c>
      <c r="J28" s="31">
        <f>IFERROR(VLOOKUP(GA[[#This Row],[Date]],Raw_Data[[#All],[Date]:[Sunset Time (POA&lt;20 W/m2)]],4,0),"")</f>
        <v>0.77569444444444446</v>
      </c>
      <c r="K28" s="30">
        <f>IFERROR((GA[[#This Row],[Sunset Time (POA&lt;20 W/m2)]]-GA[[#This Row],[Sunrise Time (POA&gt;20 W/m2)]])*24,"")</f>
        <v>12.75</v>
      </c>
      <c r="L28" s="17" t="s">
        <v>334</v>
      </c>
      <c r="M28" s="17">
        <f>IFERROR(VLOOKUP(GA[[#This Row],[Affceted Equipment]],'Basic Data'!$A$1:$B$113,2,0),"")</f>
        <v>11710.44</v>
      </c>
      <c r="N28" s="17" t="s">
        <v>335</v>
      </c>
      <c r="O28" s="1" t="s">
        <v>277</v>
      </c>
      <c r="P28" s="28">
        <f>IFERROR(VLOOKUP(GA[[#This Row],[Affceted Equipment]],'Basic Data'!$A$2:$C$118,3,0),"")</f>
        <v>1</v>
      </c>
      <c r="Q28" s="17" t="s">
        <v>258</v>
      </c>
      <c r="R28" t="s">
        <v>514</v>
      </c>
      <c r="S28" s="24">
        <v>0.49722222222222223</v>
      </c>
      <c r="T28" s="24">
        <v>0.49722222222222223</v>
      </c>
      <c r="U28" s="24">
        <v>0.51041666666666663</v>
      </c>
      <c r="V28" s="24">
        <v>0.53819444444444442</v>
      </c>
      <c r="W28" s="34">
        <f>(GA[[#This Row],[Acknowledgemnet Time ]]-GA[[#This Row],[Fault Time]])*24</f>
        <v>0</v>
      </c>
      <c r="X28" s="35">
        <f>(GA[[#This Row],[Work Start time on Fault]]-GA[[#This Row],[Fault Time]])*24</f>
        <v>0.31666666666666554</v>
      </c>
      <c r="Y28" s="35">
        <f>(GA[[#This Row],[Work Completiuon time on fualt]]-GA[[#This Row],[Fault Time]])*24</f>
        <v>0.9833333333333325</v>
      </c>
      <c r="Z28" s="2" t="s">
        <v>337</v>
      </c>
      <c r="AA28" s="2" t="s">
        <v>249</v>
      </c>
      <c r="AB28" s="2">
        <f>IFERROR(GA[[#This Row],[Plant Equivalent Weightage]]*GA[[#This Row],[Resolution Time]],"")</f>
        <v>0.9833333333333325</v>
      </c>
      <c r="AC28" s="2">
        <v>993</v>
      </c>
      <c r="AD28" s="32">
        <f>IFERROR((_xlfn.XLOOKUP(GA[[#This Row],[Month Year]],'Modelling New'!D:D,'Modelling New'!$O:$O)*GA[[#This Row],[Lost POA (Wh/m2)]]*GA[[#This Row],[DC Capacity Affceted (kW)]])/1000,"")</f>
        <v>8507.1761766078871</v>
      </c>
      <c r="AE28" s="2"/>
    </row>
    <row r="29" spans="1:31">
      <c r="A29" s="2">
        <f t="shared" si="0"/>
        <v>27</v>
      </c>
      <c r="B29" s="156">
        <f t="shared" si="1"/>
        <v>2026</v>
      </c>
      <c r="C29" s="129">
        <f t="shared" si="2"/>
        <v>2025</v>
      </c>
      <c r="D29" t="s">
        <v>155</v>
      </c>
      <c r="E29" s="17" t="s">
        <v>155</v>
      </c>
      <c r="F29" s="25">
        <v>45810</v>
      </c>
      <c r="G29" s="17">
        <f>DAY(EOMONTH(GA[[#This Row],[Month Year]],0))</f>
        <v>30</v>
      </c>
      <c r="H29" s="26">
        <v>45810</v>
      </c>
      <c r="I29" s="31">
        <f>IFERROR(VLOOKUP(GA[[#This Row],[Date]],Raw_Data[[#All],[Date]:[Sunset Time (POA&lt;20 W/m2)]],3,0),"")</f>
        <v>0.24166666666666667</v>
      </c>
      <c r="J29" s="31">
        <f>IFERROR(VLOOKUP(GA[[#This Row],[Date]],Raw_Data[[#All],[Date]:[Sunset Time (POA&lt;20 W/m2)]],4,0),"")</f>
        <v>0.77083333333333337</v>
      </c>
      <c r="K29" s="30">
        <f>IFERROR((GA[[#This Row],[Sunset Time (POA&lt;20 W/m2)]]-GA[[#This Row],[Sunrise Time (POA&gt;20 W/m2)]])*24,"")</f>
        <v>12.7</v>
      </c>
      <c r="L29" s="17" t="s">
        <v>334</v>
      </c>
      <c r="M29" s="17">
        <f>IFERROR(VLOOKUP(GA[[#This Row],[Affceted Equipment]],'Basic Data'!$A$1:$B$113,2,0),"")</f>
        <v>11710.44</v>
      </c>
      <c r="N29" s="17" t="s">
        <v>335</v>
      </c>
      <c r="O29" s="1" t="s">
        <v>277</v>
      </c>
      <c r="P29" s="28">
        <f>IFERROR(VLOOKUP(GA[[#This Row],[Affceted Equipment]],'Basic Data'!$A$2:$C$118,3,0),"")</f>
        <v>1</v>
      </c>
      <c r="Q29" s="17" t="s">
        <v>258</v>
      </c>
      <c r="R29" t="s">
        <v>503</v>
      </c>
      <c r="S29" s="24">
        <v>0.68333333333333335</v>
      </c>
      <c r="T29" s="24">
        <v>0.68402777777777779</v>
      </c>
      <c r="U29" s="24">
        <v>0.6875</v>
      </c>
      <c r="V29" s="24">
        <v>0.71388888888888891</v>
      </c>
      <c r="W29" s="34">
        <f>(GA[[#This Row],[Acknowledgemnet Time ]]-GA[[#This Row],[Fault Time]])*24</f>
        <v>1.6666666666666607E-2</v>
      </c>
      <c r="X29" s="35">
        <f>(GA[[#This Row],[Work Start time on Fault]]-GA[[#This Row],[Fault Time]])*24</f>
        <v>9.9999999999999645E-2</v>
      </c>
      <c r="Y29" s="35">
        <f>(GA[[#This Row],[Work Completiuon time on fualt]]-GA[[#This Row],[Fault Time]])*24</f>
        <v>0.73333333333333339</v>
      </c>
      <c r="Z29" s="2" t="s">
        <v>337</v>
      </c>
      <c r="AA29" s="2" t="s">
        <v>249</v>
      </c>
      <c r="AB29" s="2">
        <f>IFERROR(GA[[#This Row],[Plant Equivalent Weightage]]*GA[[#This Row],[Resolution Time]],"")</f>
        <v>0.73333333333333339</v>
      </c>
      <c r="AC29" s="2">
        <v>174</v>
      </c>
      <c r="AD29" s="32" t="str">
        <f>IFERROR((_xlfn.XLOOKUP(GA[[#This Row],[Month Year]],'Modelling New'!D:D,'Modelling New'!$O:$O)*GA[[#This Row],[Lost POA (Wh/m2)]]*GA[[#This Row],[DC Capacity Affceted (kW)]])/1000,"")</f>
        <v/>
      </c>
      <c r="AE29" s="2"/>
    </row>
    <row r="30" spans="1:31">
      <c r="A30" s="2">
        <f t="shared" si="0"/>
        <v>28</v>
      </c>
      <c r="B30" s="156">
        <f t="shared" si="1"/>
        <v>2026</v>
      </c>
      <c r="C30" s="129">
        <f t="shared" si="2"/>
        <v>2025</v>
      </c>
      <c r="D30" t="s">
        <v>155</v>
      </c>
      <c r="E30" s="17" t="s">
        <v>155</v>
      </c>
      <c r="F30" s="25">
        <v>45810</v>
      </c>
      <c r="G30" s="17">
        <f>DAY(EOMONTH(GA[[#This Row],[Month Year]],0))</f>
        <v>30</v>
      </c>
      <c r="H30" s="26">
        <v>45811</v>
      </c>
      <c r="I30" s="31">
        <f>IFERROR(VLOOKUP(GA[[#This Row],[Date]],Raw_Data[[#All],[Date]:[Sunset Time (POA&lt;20 W/m2)]],3,0),"")</f>
        <v>0.24374999999999999</v>
      </c>
      <c r="J30" s="31">
        <f>IFERROR(VLOOKUP(GA[[#This Row],[Date]],Raw_Data[[#All],[Date]:[Sunset Time (POA&lt;20 W/m2)]],4,0),"")</f>
        <v>0.77361111111111114</v>
      </c>
      <c r="K30" s="30">
        <f>IFERROR((GA[[#This Row],[Sunset Time (POA&lt;20 W/m2)]]-GA[[#This Row],[Sunrise Time (POA&gt;20 W/m2)]])*24,"")</f>
        <v>12.716666666666667</v>
      </c>
      <c r="L30" s="17" t="s">
        <v>334</v>
      </c>
      <c r="M30" s="17">
        <f>IFERROR(VLOOKUP(GA[[#This Row],[Affceted Equipment]],'Basic Data'!$A$1:$B$113,2,0),"")</f>
        <v>11710.44</v>
      </c>
      <c r="N30" s="17" t="s">
        <v>335</v>
      </c>
      <c r="O30" s="1" t="s">
        <v>277</v>
      </c>
      <c r="P30" s="28">
        <f>IFERROR(VLOOKUP(GA[[#This Row],[Affceted Equipment]],'Basic Data'!$A$2:$C$118,3,0),"")</f>
        <v>1</v>
      </c>
      <c r="Q30" s="17" t="s">
        <v>258</v>
      </c>
      <c r="R30" t="s">
        <v>504</v>
      </c>
      <c r="S30" s="24">
        <v>0.42916666666666664</v>
      </c>
      <c r="T30" s="24">
        <v>0.42916666666666664</v>
      </c>
      <c r="U30" s="24">
        <v>0.43402777777777779</v>
      </c>
      <c r="V30" s="24">
        <v>0.4597222222222222</v>
      </c>
      <c r="W30" s="34">
        <f>(GA[[#This Row],[Acknowledgemnet Time ]]-GA[[#This Row],[Fault Time]])*24</f>
        <v>0</v>
      </c>
      <c r="X30" s="35">
        <f>(GA[[#This Row],[Work Start time on Fault]]-GA[[#This Row],[Fault Time]])*24</f>
        <v>0.11666666666666758</v>
      </c>
      <c r="Y30" s="35">
        <f>(GA[[#This Row],[Work Completiuon time on fualt]]-GA[[#This Row],[Fault Time]])*24</f>
        <v>0.73333333333333339</v>
      </c>
      <c r="Z30" s="2" t="s">
        <v>337</v>
      </c>
      <c r="AA30" s="2" t="s">
        <v>249</v>
      </c>
      <c r="AB30" s="2">
        <f>IFERROR(GA[[#This Row],[Plant Equivalent Weightage]]*GA[[#This Row],[Resolution Time]],"")</f>
        <v>0.73333333333333339</v>
      </c>
      <c r="AC30" s="2">
        <v>656</v>
      </c>
      <c r="AD30" s="32" t="str">
        <f>IFERROR((_xlfn.XLOOKUP(GA[[#This Row],[Month Year]],'Modelling New'!D:D,'Modelling New'!$O:$O)*GA[[#This Row],[Lost POA (Wh/m2)]]*GA[[#This Row],[DC Capacity Affceted (kW)]])/1000,"")</f>
        <v/>
      </c>
      <c r="AE30" s="2"/>
    </row>
    <row r="31" spans="1:31">
      <c r="A31" s="2">
        <f t="shared" si="0"/>
        <v>29</v>
      </c>
      <c r="B31" s="156">
        <f t="shared" si="1"/>
        <v>2026</v>
      </c>
      <c r="C31" s="129">
        <f t="shared" si="2"/>
        <v>2025</v>
      </c>
      <c r="D31" t="s">
        <v>155</v>
      </c>
      <c r="E31" s="17" t="s">
        <v>155</v>
      </c>
      <c r="F31" s="25">
        <v>45810</v>
      </c>
      <c r="G31" s="17">
        <f>DAY(EOMONTH(GA[[#This Row],[Month Year]],0))</f>
        <v>30</v>
      </c>
      <c r="H31" s="26">
        <v>45814</v>
      </c>
      <c r="I31" s="31">
        <f>IFERROR(VLOOKUP(GA[[#This Row],[Date]],Raw_Data[[#All],[Date]:[Sunset Time (POA&lt;20 W/m2)]],3,0),"")</f>
        <v>0.25069444444444444</v>
      </c>
      <c r="J31" s="31">
        <f>IFERROR(VLOOKUP(GA[[#This Row],[Date]],Raw_Data[[#All],[Date]:[Sunset Time (POA&lt;20 W/m2)]],4,0),"")</f>
        <v>0.77361111111111114</v>
      </c>
      <c r="K31" s="30">
        <f>IFERROR((GA[[#This Row],[Sunset Time (POA&lt;20 W/m2)]]-GA[[#This Row],[Sunrise Time (POA&gt;20 W/m2)]])*24,"")</f>
        <v>12.55</v>
      </c>
      <c r="L31" s="17" t="s">
        <v>334</v>
      </c>
      <c r="M31" s="17">
        <f>IFERROR(VLOOKUP(GA[[#This Row],[Affceted Equipment]],'Basic Data'!$A$1:$B$113,2,0),"")</f>
        <v>11710.44</v>
      </c>
      <c r="N31" s="17" t="s">
        <v>335</v>
      </c>
      <c r="O31" s="1" t="s">
        <v>277</v>
      </c>
      <c r="P31" s="28">
        <f>IFERROR(VLOOKUP(GA[[#This Row],[Affceted Equipment]],'Basic Data'!$A$2:$C$118,3,0),"")</f>
        <v>1</v>
      </c>
      <c r="Q31" s="17" t="s">
        <v>258</v>
      </c>
      <c r="R31" t="s">
        <v>505</v>
      </c>
      <c r="S31" s="24">
        <v>0.56180555555555556</v>
      </c>
      <c r="T31" s="24">
        <v>0.5625</v>
      </c>
      <c r="U31" s="24">
        <v>0.56597222222222221</v>
      </c>
      <c r="V31" s="24">
        <v>0.69444444444444442</v>
      </c>
      <c r="W31" s="34">
        <f>(GA[[#This Row],[Acknowledgemnet Time ]]-GA[[#This Row],[Fault Time]])*24</f>
        <v>1.6666666666666607E-2</v>
      </c>
      <c r="X31" s="35">
        <f>(GA[[#This Row],[Work Start time on Fault]]-GA[[#This Row],[Fault Time]])*24</f>
        <v>9.9999999999999645E-2</v>
      </c>
      <c r="Y31" s="35">
        <f>(GA[[#This Row],[Work Completiuon time on fualt]]-GA[[#This Row],[Fault Time]])*24</f>
        <v>3.1833333333333327</v>
      </c>
      <c r="Z31" s="2" t="s">
        <v>337</v>
      </c>
      <c r="AA31" s="2" t="s">
        <v>249</v>
      </c>
      <c r="AB31" s="2">
        <f>IFERROR(GA[[#This Row],[Plant Equivalent Weightage]]*GA[[#This Row],[Resolution Time]],"")</f>
        <v>3.1833333333333327</v>
      </c>
      <c r="AC31" s="2">
        <v>2062</v>
      </c>
      <c r="AD31" s="32" t="str">
        <f>IFERROR((_xlfn.XLOOKUP(GA[[#This Row],[Month Year]],'Modelling New'!D:D,'Modelling New'!$O:$O)*GA[[#This Row],[Lost POA (Wh/m2)]]*GA[[#This Row],[DC Capacity Affceted (kW)]])/1000,"")</f>
        <v/>
      </c>
      <c r="AE31" s="2"/>
    </row>
    <row r="32" spans="1:31">
      <c r="A32" s="2">
        <f t="shared" ref="A32:A95" si="13">A31+1</f>
        <v>30</v>
      </c>
      <c r="B32" s="156">
        <f t="shared" si="1"/>
        <v>2026</v>
      </c>
      <c r="C32" s="129">
        <f t="shared" si="2"/>
        <v>2025</v>
      </c>
      <c r="D32" t="s">
        <v>155</v>
      </c>
      <c r="E32" s="17" t="s">
        <v>155</v>
      </c>
      <c r="F32" s="25">
        <v>45810</v>
      </c>
      <c r="G32" s="17">
        <f>DAY(EOMONTH(GA[[#This Row],[Month Year]],0))</f>
        <v>30</v>
      </c>
      <c r="H32" s="26">
        <v>45815</v>
      </c>
      <c r="I32" s="31">
        <f>IFERROR(VLOOKUP(GA[[#This Row],[Date]],Raw_Data[[#All],[Date]:[Sunset Time (POA&lt;20 W/m2)]],3,0),"")</f>
        <v>0.24583333333333332</v>
      </c>
      <c r="J32" s="31">
        <f>IFERROR(VLOOKUP(GA[[#This Row],[Date]],Raw_Data[[#All],[Date]:[Sunset Time (POA&lt;20 W/m2)]],4,0),"")</f>
        <v>0.77569444444444446</v>
      </c>
      <c r="K32" s="30">
        <f>IFERROR((GA[[#This Row],[Sunset Time (POA&lt;20 W/m2)]]-GA[[#This Row],[Sunrise Time (POA&gt;20 W/m2)]])*24,"")</f>
        <v>12.716666666666667</v>
      </c>
      <c r="L32" s="17" t="s">
        <v>334</v>
      </c>
      <c r="M32" s="17">
        <f>IFERROR(VLOOKUP(GA[[#This Row],[Affceted Equipment]],'Basic Data'!$A$1:$B$113,2,0),"")</f>
        <v>11710.44</v>
      </c>
      <c r="N32" s="17" t="s">
        <v>335</v>
      </c>
      <c r="O32" s="1" t="s">
        <v>277</v>
      </c>
      <c r="P32" s="28">
        <f>IFERROR(VLOOKUP(GA[[#This Row],[Affceted Equipment]],'Basic Data'!$A$2:$C$118,3,0),"")</f>
        <v>1</v>
      </c>
      <c r="Q32" s="17" t="s">
        <v>258</v>
      </c>
      <c r="R32" t="s">
        <v>338</v>
      </c>
      <c r="S32" s="24">
        <v>0.62291666666666667</v>
      </c>
      <c r="T32" s="24">
        <v>0.62430555555555556</v>
      </c>
      <c r="U32" s="24">
        <v>0.625</v>
      </c>
      <c r="V32" s="24">
        <v>0.62986111111111109</v>
      </c>
      <c r="W32" s="34">
        <f>(GA[[#This Row],[Acknowledgemnet Time ]]-GA[[#This Row],[Fault Time]])*24</f>
        <v>3.3333333333333215E-2</v>
      </c>
      <c r="X32" s="35">
        <f>(GA[[#This Row],[Work Start time on Fault]]-GA[[#This Row],[Fault Time]])*24</f>
        <v>4.9999999999999822E-2</v>
      </c>
      <c r="Y32" s="35">
        <f>(GA[[#This Row],[Work Completiuon time on fualt]]-GA[[#This Row],[Fault Time]])*24</f>
        <v>0.16666666666666607</v>
      </c>
      <c r="Z32" s="2" t="s">
        <v>337</v>
      </c>
      <c r="AA32" s="2" t="s">
        <v>249</v>
      </c>
      <c r="AB32" s="2">
        <f>IFERROR(GA[[#This Row],[Plant Equivalent Weightage]]*GA[[#This Row],[Resolution Time]],"")</f>
        <v>0.16666666666666607</v>
      </c>
      <c r="AC32" s="2">
        <v>49</v>
      </c>
      <c r="AD32" s="32" t="str">
        <f>IFERROR((_xlfn.XLOOKUP(GA[[#This Row],[Month Year]],'Modelling New'!D:D,'Modelling New'!$O:$O)*GA[[#This Row],[Lost POA (Wh/m2)]]*GA[[#This Row],[DC Capacity Affceted (kW)]])/1000,"")</f>
        <v/>
      </c>
      <c r="AE32" s="2"/>
    </row>
    <row r="33" spans="1:31">
      <c r="A33" s="2">
        <f t="shared" si="13"/>
        <v>31</v>
      </c>
      <c r="B33" s="156">
        <f t="shared" si="1"/>
        <v>2026</v>
      </c>
      <c r="C33" s="129">
        <f t="shared" si="2"/>
        <v>2025</v>
      </c>
      <c r="D33" t="s">
        <v>155</v>
      </c>
      <c r="E33" s="17" t="s">
        <v>155</v>
      </c>
      <c r="F33" s="25">
        <v>45810</v>
      </c>
      <c r="G33" s="17">
        <f>DAY(EOMONTH(GA[[#This Row],[Month Year]],0))</f>
        <v>30</v>
      </c>
      <c r="H33" s="26">
        <v>45819</v>
      </c>
      <c r="I33" s="31">
        <f>IFERROR(VLOOKUP(GA[[#This Row],[Date]],Raw_Data[[#All],[Date]:[Sunset Time (POA&lt;20 W/m2)]],3,0),"")</f>
        <v>0.29166666666666669</v>
      </c>
      <c r="J33" s="31">
        <f>IFERROR(VLOOKUP(GA[[#This Row],[Date]],Raw_Data[[#All],[Date]:[Sunset Time (POA&lt;20 W/m2)]],4,0),"")</f>
        <v>0.77708333333333335</v>
      </c>
      <c r="K33" s="30">
        <f>IFERROR((GA[[#This Row],[Sunset Time (POA&lt;20 W/m2)]]-GA[[#This Row],[Sunrise Time (POA&gt;20 W/m2)]])*24,"")</f>
        <v>11.65</v>
      </c>
      <c r="L33" s="17" t="s">
        <v>334</v>
      </c>
      <c r="M33" s="17">
        <f>IFERROR(VLOOKUP(GA[[#This Row],[Affceted Equipment]],'Basic Data'!$A$1:$B$113,2,0),"")</f>
        <v>11710.44</v>
      </c>
      <c r="N33" s="17" t="s">
        <v>335</v>
      </c>
      <c r="O33" s="1" t="s">
        <v>277</v>
      </c>
      <c r="P33" s="28">
        <f>IFERROR(VLOOKUP(GA[[#This Row],[Affceted Equipment]],'Basic Data'!$A$2:$C$118,3,0),"")</f>
        <v>1</v>
      </c>
      <c r="Q33" s="17" t="s">
        <v>258</v>
      </c>
      <c r="R33" t="s">
        <v>341</v>
      </c>
      <c r="S33" s="24">
        <v>0.42152777777777778</v>
      </c>
      <c r="T33" s="24">
        <v>0.42152777777777778</v>
      </c>
      <c r="U33" s="24">
        <v>0.42222222222222222</v>
      </c>
      <c r="V33" s="24">
        <v>0.43194444444444446</v>
      </c>
      <c r="W33" s="34">
        <f>(GA[[#This Row],[Acknowledgemnet Time ]]-GA[[#This Row],[Fault Time]])*24</f>
        <v>0</v>
      </c>
      <c r="X33" s="35">
        <f>(GA[[#This Row],[Work Start time on Fault]]-GA[[#This Row],[Fault Time]])*24</f>
        <v>1.6666666666666607E-2</v>
      </c>
      <c r="Y33" s="35">
        <f>(GA[[#This Row],[Work Completiuon time on fualt]]-GA[[#This Row],[Fault Time]])*24</f>
        <v>0.25000000000000044</v>
      </c>
      <c r="Z33" s="2" t="s">
        <v>337</v>
      </c>
      <c r="AA33" s="2" t="s">
        <v>249</v>
      </c>
      <c r="AB33" s="2">
        <f>IFERROR(GA[[#This Row],[Plant Equivalent Weightage]]*GA[[#This Row],[Resolution Time]],"")</f>
        <v>0.25000000000000044</v>
      </c>
      <c r="AC33" s="2">
        <v>50</v>
      </c>
      <c r="AD33" s="32" t="str">
        <f>IFERROR((_xlfn.XLOOKUP(GA[[#This Row],[Month Year]],'Modelling New'!D:D,'Modelling New'!$O:$O)*GA[[#This Row],[Lost POA (Wh/m2)]]*GA[[#This Row],[DC Capacity Affceted (kW)]])/1000,"")</f>
        <v/>
      </c>
      <c r="AE33" s="2"/>
    </row>
    <row r="34" spans="1:31">
      <c r="A34" s="2">
        <f t="shared" si="13"/>
        <v>32</v>
      </c>
      <c r="B34" s="156">
        <f t="shared" si="1"/>
        <v>2026</v>
      </c>
      <c r="C34" s="129">
        <f t="shared" si="2"/>
        <v>2025</v>
      </c>
      <c r="D34" t="s">
        <v>155</v>
      </c>
      <c r="E34" s="17" t="s">
        <v>155</v>
      </c>
      <c r="F34" s="25">
        <v>45810</v>
      </c>
      <c r="G34" s="17">
        <f>DAY(EOMONTH(GA[[#This Row],[Month Year]],0))</f>
        <v>30</v>
      </c>
      <c r="H34" s="26">
        <v>45820</v>
      </c>
      <c r="I34" s="31">
        <f>IFERROR(VLOOKUP(GA[[#This Row],[Date]],Raw_Data[[#All],[Date]:[Sunset Time (POA&lt;20 W/m2)]],3,0),"")</f>
        <v>0.28125</v>
      </c>
      <c r="J34" s="31">
        <f>IFERROR(VLOOKUP(GA[[#This Row],[Date]],Raw_Data[[#All],[Date]:[Sunset Time (POA&lt;20 W/m2)]],4,0),"")</f>
        <v>0.77430555555555558</v>
      </c>
      <c r="K34" s="30">
        <f>IFERROR((GA[[#This Row],[Sunset Time (POA&lt;20 W/m2)]]-GA[[#This Row],[Sunrise Time (POA&gt;20 W/m2)]])*24,"")</f>
        <v>11.833333333333334</v>
      </c>
      <c r="L34" s="17" t="s">
        <v>334</v>
      </c>
      <c r="M34" s="17">
        <f>IFERROR(VLOOKUP(GA[[#This Row],[Affceted Equipment]],'Basic Data'!$A$1:$B$113,2,0),"")</f>
        <v>11710.44</v>
      </c>
      <c r="N34" s="17" t="s">
        <v>335</v>
      </c>
      <c r="O34" s="1" t="s">
        <v>277</v>
      </c>
      <c r="P34" s="28">
        <f>IFERROR(VLOOKUP(GA[[#This Row],[Affceted Equipment]],'Basic Data'!$A$2:$C$118,3,0),"")</f>
        <v>1</v>
      </c>
      <c r="Q34" s="17" t="s">
        <v>258</v>
      </c>
      <c r="R34" t="s">
        <v>338</v>
      </c>
      <c r="S34" s="24">
        <v>0.70208333333333328</v>
      </c>
      <c r="T34" s="24">
        <v>0.70208333333333328</v>
      </c>
      <c r="U34" s="24">
        <v>0.70486111111111116</v>
      </c>
      <c r="V34" s="24">
        <v>0.70833333333333337</v>
      </c>
      <c r="W34" s="34">
        <f>(GA[[#This Row],[Acknowledgemnet Time ]]-GA[[#This Row],[Fault Time]])*24</f>
        <v>0</v>
      </c>
      <c r="X34" s="35">
        <f>(GA[[#This Row],[Work Start time on Fault]]-GA[[#This Row],[Fault Time]])*24</f>
        <v>6.6666666666669094E-2</v>
      </c>
      <c r="Y34" s="35">
        <f>(GA[[#This Row],[Work Completiuon time on fualt]]-GA[[#This Row],[Fault Time]])*24</f>
        <v>0.15000000000000213</v>
      </c>
      <c r="Z34" s="2" t="s">
        <v>337</v>
      </c>
      <c r="AA34" s="2" t="s">
        <v>249</v>
      </c>
      <c r="AB34" s="2">
        <f>IFERROR(GA[[#This Row],[Plant Equivalent Weightage]]*GA[[#This Row],[Resolution Time]],"")</f>
        <v>0.15000000000000213</v>
      </c>
      <c r="AC34" s="2">
        <v>50</v>
      </c>
      <c r="AD34" s="32" t="str">
        <f>IFERROR((_xlfn.XLOOKUP(GA[[#This Row],[Month Year]],'Modelling New'!D:D,'Modelling New'!$O:$O)*GA[[#This Row],[Lost POA (Wh/m2)]]*GA[[#This Row],[DC Capacity Affceted (kW)]])/1000,"")</f>
        <v/>
      </c>
      <c r="AE34" s="2"/>
    </row>
    <row r="35" spans="1:31">
      <c r="A35" s="2">
        <f t="shared" si="13"/>
        <v>33</v>
      </c>
      <c r="B35" s="156">
        <f t="shared" si="1"/>
        <v>2026</v>
      </c>
      <c r="C35" s="129">
        <f t="shared" si="2"/>
        <v>2025</v>
      </c>
      <c r="D35" t="s">
        <v>155</v>
      </c>
      <c r="E35" s="17" t="s">
        <v>155</v>
      </c>
      <c r="F35" s="25">
        <v>45810</v>
      </c>
      <c r="G35" s="17">
        <f>DAY(EOMONTH(GA[[#This Row],[Month Year]],0))</f>
        <v>30</v>
      </c>
      <c r="H35" s="26">
        <v>45821</v>
      </c>
      <c r="I35" s="31">
        <f>IFERROR(VLOOKUP(GA[[#This Row],[Date]],Raw_Data[[#All],[Date]:[Sunset Time (POA&lt;20 W/m2)]],3,0),"")</f>
        <v>0.24861111111111112</v>
      </c>
      <c r="J35" s="31">
        <f>IFERROR(VLOOKUP(GA[[#This Row],[Date]],Raw_Data[[#All],[Date]:[Sunset Time (POA&lt;20 W/m2)]],4,0),"")</f>
        <v>0.77569444444444446</v>
      </c>
      <c r="K35" s="30">
        <f>IFERROR((GA[[#This Row],[Sunset Time (POA&lt;20 W/m2)]]-GA[[#This Row],[Sunrise Time (POA&gt;20 W/m2)]])*24,"")</f>
        <v>12.65</v>
      </c>
      <c r="L35" s="17" t="s">
        <v>334</v>
      </c>
      <c r="M35" s="17">
        <f>IFERROR(VLOOKUP(GA[[#This Row],[Affceted Equipment]],'Basic Data'!$A$1:$B$113,2,0),"")</f>
        <v>11710.44</v>
      </c>
      <c r="N35" s="17" t="s">
        <v>335</v>
      </c>
      <c r="O35" s="1" t="s">
        <v>277</v>
      </c>
      <c r="P35" s="28">
        <f>IFERROR(VLOOKUP(GA[[#This Row],[Affceted Equipment]],'Basic Data'!$A$2:$C$118,3,0),"")</f>
        <v>1</v>
      </c>
      <c r="Q35" s="17" t="s">
        <v>258</v>
      </c>
      <c r="R35" t="s">
        <v>506</v>
      </c>
      <c r="S35" s="24">
        <v>0.53194444444444444</v>
      </c>
      <c r="T35" s="24">
        <v>0.53194444444444444</v>
      </c>
      <c r="U35" s="24">
        <v>0.53819444444444442</v>
      </c>
      <c r="V35" s="24">
        <v>0.65694444444444444</v>
      </c>
      <c r="W35" s="34">
        <f>(GA[[#This Row],[Acknowledgemnet Time ]]-GA[[#This Row],[Fault Time]])*24</f>
        <v>0</v>
      </c>
      <c r="X35" s="35">
        <f>(GA[[#This Row],[Work Start time on Fault]]-GA[[#This Row],[Fault Time]])*24</f>
        <v>0.14999999999999947</v>
      </c>
      <c r="Y35" s="35">
        <f>(GA[[#This Row],[Work Completiuon time on fualt]]-GA[[#This Row],[Fault Time]])*24</f>
        <v>3</v>
      </c>
      <c r="Z35" s="2" t="s">
        <v>337</v>
      </c>
      <c r="AA35" s="2" t="s">
        <v>249</v>
      </c>
      <c r="AB35" s="2">
        <f>IFERROR(GA[[#This Row],[Plant Equivalent Weightage]]*GA[[#This Row],[Resolution Time]],"")</f>
        <v>3</v>
      </c>
      <c r="AC35" s="2">
        <v>1097</v>
      </c>
      <c r="AD35" s="32" t="str">
        <f>IFERROR((_xlfn.XLOOKUP(GA[[#This Row],[Month Year]],'Modelling New'!D:D,'Modelling New'!$O:$O)*GA[[#This Row],[Lost POA (Wh/m2)]]*GA[[#This Row],[DC Capacity Affceted (kW)]])/1000,"")</f>
        <v/>
      </c>
      <c r="AE35" s="2"/>
    </row>
    <row r="36" spans="1:31">
      <c r="A36" s="2">
        <f t="shared" si="13"/>
        <v>34</v>
      </c>
      <c r="B36" s="156">
        <f t="shared" si="1"/>
        <v>2026</v>
      </c>
      <c r="C36" s="129">
        <f t="shared" si="2"/>
        <v>2025</v>
      </c>
      <c r="D36" t="s">
        <v>155</v>
      </c>
      <c r="E36" s="17" t="s">
        <v>155</v>
      </c>
      <c r="F36" s="25">
        <v>45810</v>
      </c>
      <c r="G36" s="17">
        <f>DAY(EOMONTH(GA[[#This Row],[Month Year]],0))</f>
        <v>30</v>
      </c>
      <c r="H36" s="26">
        <v>45823</v>
      </c>
      <c r="I36" s="31">
        <f>IFERROR(VLOOKUP(GA[[#This Row],[Date]],Raw_Data[[#All],[Date]:[Sunset Time (POA&lt;20 W/m2)]],3,0),"")</f>
        <v>0.25</v>
      </c>
      <c r="J36" s="31">
        <f>IFERROR(VLOOKUP(GA[[#This Row],[Date]],Raw_Data[[#All],[Date]:[Sunset Time (POA&lt;20 W/m2)]],4,0),"")</f>
        <v>0.76249999999999996</v>
      </c>
      <c r="K36" s="30">
        <f>IFERROR((GA[[#This Row],[Sunset Time (POA&lt;20 W/m2)]]-GA[[#This Row],[Sunrise Time (POA&gt;20 W/m2)]])*24,"")</f>
        <v>12.299999999999999</v>
      </c>
      <c r="L36" s="17" t="s">
        <v>334</v>
      </c>
      <c r="M36" s="17">
        <f>IFERROR(VLOOKUP(GA[[#This Row],[Affceted Equipment]],'Basic Data'!$A$1:$B$113,2,0),"")</f>
        <v>11710.44</v>
      </c>
      <c r="N36" s="17" t="s">
        <v>335</v>
      </c>
      <c r="O36" s="1" t="s">
        <v>277</v>
      </c>
      <c r="P36" s="28">
        <f>IFERROR(VLOOKUP(GA[[#This Row],[Affceted Equipment]],'Basic Data'!$A$2:$C$118,3,0),"")</f>
        <v>1</v>
      </c>
      <c r="Q36" s="17" t="s">
        <v>258</v>
      </c>
      <c r="R36" t="s">
        <v>512</v>
      </c>
      <c r="S36" s="24">
        <v>0.51736111111111116</v>
      </c>
      <c r="T36" s="24">
        <v>0.51736111111111116</v>
      </c>
      <c r="U36" s="24">
        <v>0.53125</v>
      </c>
      <c r="V36" s="24">
        <v>0.62222222222222223</v>
      </c>
      <c r="W36" s="34">
        <f>(GA[[#This Row],[Acknowledgemnet Time ]]-GA[[#This Row],[Fault Time]])*24</f>
        <v>0</v>
      </c>
      <c r="X36" s="35">
        <f>(GA[[#This Row],[Work Start time on Fault]]-GA[[#This Row],[Fault Time]])*24</f>
        <v>0.33333333333333215</v>
      </c>
      <c r="Y36" s="35">
        <f>(GA[[#This Row],[Work Completiuon time on fualt]]-GA[[#This Row],[Fault Time]])*24</f>
        <v>2.5166666666666657</v>
      </c>
      <c r="Z36" s="2" t="s">
        <v>337</v>
      </c>
      <c r="AA36" s="2" t="s">
        <v>249</v>
      </c>
      <c r="AB36" s="2">
        <f>IFERROR(GA[[#This Row],[Plant Equivalent Weightage]]*GA[[#This Row],[Resolution Time]],"")</f>
        <v>2.5166666666666657</v>
      </c>
      <c r="AC36" s="2">
        <v>1253</v>
      </c>
      <c r="AD36" s="32" t="str">
        <f>IFERROR((_xlfn.XLOOKUP(GA[[#This Row],[Month Year]],'Modelling New'!D:D,'Modelling New'!$O:$O)*GA[[#This Row],[Lost POA (Wh/m2)]]*GA[[#This Row],[DC Capacity Affceted (kW)]])/1000,"")</f>
        <v/>
      </c>
      <c r="AE36" s="2"/>
    </row>
    <row r="37" spans="1:31">
      <c r="A37" s="2">
        <f t="shared" si="13"/>
        <v>35</v>
      </c>
      <c r="B37" s="156">
        <f t="shared" si="1"/>
        <v>2026</v>
      </c>
      <c r="C37" s="129">
        <f t="shared" si="2"/>
        <v>2025</v>
      </c>
      <c r="D37" t="s">
        <v>155</v>
      </c>
      <c r="E37" s="17" t="s">
        <v>155</v>
      </c>
      <c r="F37" s="25">
        <v>45810</v>
      </c>
      <c r="G37" s="17">
        <f>DAY(EOMONTH(GA[[#This Row],[Month Year]],0))</f>
        <v>30</v>
      </c>
      <c r="H37" s="26">
        <v>45824</v>
      </c>
      <c r="I37" s="31">
        <f>IFERROR(VLOOKUP(GA[[#This Row],[Date]],Raw_Data[[#All],[Date]:[Sunset Time (POA&lt;20 W/m2)]],3,0),"")</f>
        <v>0.25763888888888886</v>
      </c>
      <c r="J37" s="31">
        <f>IFERROR(VLOOKUP(GA[[#This Row],[Date]],Raw_Data[[#All],[Date]:[Sunset Time (POA&lt;20 W/m2)]],4,0),"")</f>
        <v>0.75416666666666665</v>
      </c>
      <c r="K37" s="30">
        <f>IFERROR((GA[[#This Row],[Sunset Time (POA&lt;20 W/m2)]]-GA[[#This Row],[Sunrise Time (POA&gt;20 W/m2)]])*24,"")</f>
        <v>11.916666666666668</v>
      </c>
      <c r="L37" s="17" t="s">
        <v>334</v>
      </c>
      <c r="M37" s="17">
        <f>IFERROR(VLOOKUP(GA[[#This Row],[Affceted Equipment]],'Basic Data'!$A$1:$B$113,2,0),"")</f>
        <v>11710.44</v>
      </c>
      <c r="N37" s="17" t="s">
        <v>335</v>
      </c>
      <c r="O37" s="1" t="s">
        <v>277</v>
      </c>
      <c r="P37" s="28">
        <f>IFERROR(VLOOKUP(GA[[#This Row],[Affceted Equipment]],'Basic Data'!$A$2:$C$118,3,0),"")</f>
        <v>1</v>
      </c>
      <c r="Q37" s="17" t="s">
        <v>258</v>
      </c>
      <c r="R37" t="s">
        <v>513</v>
      </c>
      <c r="S37" s="24">
        <v>0.50694444444444442</v>
      </c>
      <c r="T37" s="24">
        <v>0.50694444444444442</v>
      </c>
      <c r="U37" s="24">
        <v>0.52083333333333337</v>
      </c>
      <c r="V37" s="24">
        <v>0.56388888888888888</v>
      </c>
      <c r="W37" s="34">
        <f>(GA[[#This Row],[Acknowledgemnet Time ]]-GA[[#This Row],[Fault Time]])*24</f>
        <v>0</v>
      </c>
      <c r="X37" s="35">
        <f>(GA[[#This Row],[Work Start time on Fault]]-GA[[#This Row],[Fault Time]])*24</f>
        <v>0.33333333333333481</v>
      </c>
      <c r="Y37" s="35">
        <f>(GA[[#This Row],[Work Completiuon time on fualt]]-GA[[#This Row],[Fault Time]])*24</f>
        <v>1.3666666666666671</v>
      </c>
      <c r="Z37" s="2" t="s">
        <v>337</v>
      </c>
      <c r="AA37" s="2" t="s">
        <v>249</v>
      </c>
      <c r="AB37" s="2">
        <f>IFERROR(GA[[#This Row],[Plant Equivalent Weightage]]*GA[[#This Row],[Resolution Time]],"")</f>
        <v>1.3666666666666671</v>
      </c>
      <c r="AC37" s="2">
        <v>618</v>
      </c>
      <c r="AD37" s="32" t="str">
        <f>IFERROR((_xlfn.XLOOKUP(GA[[#This Row],[Month Year]],'Modelling New'!D:D,'Modelling New'!$O:$O)*GA[[#This Row],[Lost POA (Wh/m2)]]*GA[[#This Row],[DC Capacity Affceted (kW)]])/1000,"")</f>
        <v/>
      </c>
      <c r="AE37" s="2"/>
    </row>
    <row r="38" spans="1:31">
      <c r="A38" s="2">
        <f t="shared" si="13"/>
        <v>36</v>
      </c>
      <c r="B38" s="156">
        <f t="shared" si="1"/>
        <v>2026</v>
      </c>
      <c r="C38" s="129">
        <f t="shared" si="2"/>
        <v>2025</v>
      </c>
      <c r="D38" t="s">
        <v>155</v>
      </c>
      <c r="E38" s="17" t="s">
        <v>155</v>
      </c>
      <c r="F38" s="25">
        <v>45810</v>
      </c>
      <c r="G38" s="17">
        <f>DAY(EOMONTH(GA[[#This Row],[Month Year]],0))</f>
        <v>30</v>
      </c>
      <c r="H38" s="26">
        <v>45826</v>
      </c>
      <c r="I38" s="31">
        <f>IFERROR(VLOOKUP(GA[[#This Row],[Date]],Raw_Data[[#All],[Date]:[Sunset Time (POA&lt;20 W/m2)]],3,0),"")</f>
        <v>0.24444444444444444</v>
      </c>
      <c r="J38" s="31">
        <f>IFERROR(VLOOKUP(GA[[#This Row],[Date]],Raw_Data[[#All],[Date]:[Sunset Time (POA&lt;20 W/m2)]],4,0),"")</f>
        <v>0.77430555555555558</v>
      </c>
      <c r="K38" s="30">
        <f>IFERROR((GA[[#This Row],[Sunset Time (POA&lt;20 W/m2)]]-GA[[#This Row],[Sunrise Time (POA&gt;20 W/m2)]])*24,"")</f>
        <v>12.716666666666667</v>
      </c>
      <c r="L38" s="17" t="s">
        <v>334</v>
      </c>
      <c r="M38" s="17">
        <f>IFERROR(VLOOKUP(GA[[#This Row],[Affceted Equipment]],'Basic Data'!$A$1:$B$113,2,0),"")</f>
        <v>11710.44</v>
      </c>
      <c r="N38" s="17" t="s">
        <v>335</v>
      </c>
      <c r="O38" s="1" t="s">
        <v>277</v>
      </c>
      <c r="P38" s="28">
        <f>IFERROR(VLOOKUP(GA[[#This Row],[Affceted Equipment]],'Basic Data'!$A$2:$C$118,3,0),"")</f>
        <v>1</v>
      </c>
      <c r="Q38" s="17" t="s">
        <v>258</v>
      </c>
      <c r="R38" t="s">
        <v>514</v>
      </c>
      <c r="S38" s="24">
        <v>0.40069444444444446</v>
      </c>
      <c r="T38" s="24">
        <v>0.40069444444444446</v>
      </c>
      <c r="U38" s="24">
        <v>0.40277777777777779</v>
      </c>
      <c r="V38" s="24">
        <v>0.41319444444444442</v>
      </c>
      <c r="W38" s="34">
        <f>(GA[[#This Row],[Acknowledgemnet Time ]]-GA[[#This Row],[Fault Time]])*24</f>
        <v>0</v>
      </c>
      <c r="X38" s="35">
        <f>(GA[[#This Row],[Work Start time on Fault]]-GA[[#This Row],[Fault Time]])*24</f>
        <v>4.9999999999999822E-2</v>
      </c>
      <c r="Y38" s="35">
        <f>(GA[[#This Row],[Work Completiuon time on fualt]]-GA[[#This Row],[Fault Time]])*24</f>
        <v>0.29999999999999893</v>
      </c>
      <c r="Z38" s="2" t="s">
        <v>337</v>
      </c>
      <c r="AA38" s="2" t="s">
        <v>249</v>
      </c>
      <c r="AB38" s="2">
        <f>IFERROR(GA[[#This Row],[Plant Equivalent Weightage]]*GA[[#This Row],[Resolution Time]],"")</f>
        <v>0.29999999999999893</v>
      </c>
      <c r="AC38" s="2">
        <v>216</v>
      </c>
      <c r="AD38" s="32" t="str">
        <f>IFERROR((_xlfn.XLOOKUP(GA[[#This Row],[Month Year]],'Modelling New'!D:D,'Modelling New'!$O:$O)*GA[[#This Row],[Lost POA (Wh/m2)]]*GA[[#This Row],[DC Capacity Affceted (kW)]])/1000,"")</f>
        <v/>
      </c>
      <c r="AE38" s="2"/>
    </row>
    <row r="39" spans="1:31">
      <c r="A39" s="2">
        <f t="shared" si="13"/>
        <v>37</v>
      </c>
      <c r="B39" s="156">
        <f t="shared" si="1"/>
        <v>2026</v>
      </c>
      <c r="C39" s="129">
        <f t="shared" si="2"/>
        <v>2025</v>
      </c>
      <c r="D39" t="s">
        <v>155</v>
      </c>
      <c r="E39" s="17" t="s">
        <v>155</v>
      </c>
      <c r="F39" s="25">
        <v>45810</v>
      </c>
      <c r="G39" s="17">
        <f>DAY(EOMONTH(GA[[#This Row],[Month Year]],0))</f>
        <v>30</v>
      </c>
      <c r="H39" s="26">
        <v>45826</v>
      </c>
      <c r="I39" s="31">
        <f>IFERROR(VLOOKUP(GA[[#This Row],[Date]],Raw_Data[[#All],[Date]:[Sunset Time (POA&lt;20 W/m2)]],3,0),"")</f>
        <v>0.24444444444444444</v>
      </c>
      <c r="J39" s="31">
        <f>IFERROR(VLOOKUP(GA[[#This Row],[Date]],Raw_Data[[#All],[Date]:[Sunset Time (POA&lt;20 W/m2)]],4,0),"")</f>
        <v>0.77430555555555558</v>
      </c>
      <c r="K39" s="30">
        <f>IFERROR((GA[[#This Row],[Sunset Time (POA&lt;20 W/m2)]]-GA[[#This Row],[Sunrise Time (POA&gt;20 W/m2)]])*24,"")</f>
        <v>12.716666666666667</v>
      </c>
      <c r="L39" s="17" t="s">
        <v>334</v>
      </c>
      <c r="M39" s="17">
        <f>IFERROR(VLOOKUP(GA[[#This Row],[Affceted Equipment]],'Basic Data'!$A$1:$B$113,2,0),"")</f>
        <v>11710.44</v>
      </c>
      <c r="N39" s="17" t="s">
        <v>335</v>
      </c>
      <c r="O39" s="1" t="s">
        <v>277</v>
      </c>
      <c r="P39" s="28">
        <f>IFERROR(VLOOKUP(GA[[#This Row],[Affceted Equipment]],'Basic Data'!$A$2:$C$118,3,0),"")</f>
        <v>1</v>
      </c>
      <c r="Q39" s="17" t="s">
        <v>258</v>
      </c>
      <c r="R39" t="s">
        <v>514</v>
      </c>
      <c r="S39" s="24">
        <v>0.50208333333333333</v>
      </c>
      <c r="T39" s="24">
        <v>0.54166666666666663</v>
      </c>
      <c r="U39" s="24">
        <v>0.56944444444444442</v>
      </c>
      <c r="V39" s="24">
        <v>0.54166666666666663</v>
      </c>
      <c r="W39" s="34">
        <f>(GA[[#This Row],[Acknowledgemnet Time ]]-GA[[#This Row],[Fault Time]])*24</f>
        <v>0.94999999999999929</v>
      </c>
      <c r="X39" s="35">
        <f>(GA[[#This Row],[Work Start time on Fault]]-GA[[#This Row],[Fault Time]])*24</f>
        <v>1.6166666666666663</v>
      </c>
      <c r="Y39" s="35">
        <f>(GA[[#This Row],[Work Completiuon time on fualt]]-GA[[#This Row],[Fault Time]])*24</f>
        <v>0.94999999999999929</v>
      </c>
      <c r="Z39" s="2" t="s">
        <v>337</v>
      </c>
      <c r="AA39" s="2" t="s">
        <v>249</v>
      </c>
      <c r="AB39" s="2">
        <f>IFERROR(GA[[#This Row],[Plant Equivalent Weightage]]*GA[[#This Row],[Resolution Time]],"")</f>
        <v>0.94999999999999929</v>
      </c>
      <c r="AC39" s="2">
        <v>570</v>
      </c>
      <c r="AD39" s="32" t="str">
        <f>IFERROR((_xlfn.XLOOKUP(GA[[#This Row],[Month Year]],'Modelling New'!D:D,'Modelling New'!$O:$O)*GA[[#This Row],[Lost POA (Wh/m2)]]*GA[[#This Row],[DC Capacity Affceted (kW)]])/1000,"")</f>
        <v/>
      </c>
      <c r="AE39" s="2"/>
    </row>
    <row r="40" spans="1:31">
      <c r="A40" s="2">
        <f t="shared" si="13"/>
        <v>38</v>
      </c>
      <c r="B40" s="156">
        <f t="shared" si="1"/>
        <v>2026</v>
      </c>
      <c r="C40" s="129">
        <f t="shared" si="2"/>
        <v>2025</v>
      </c>
      <c r="D40" t="s">
        <v>155</v>
      </c>
      <c r="E40" s="17" t="s">
        <v>155</v>
      </c>
      <c r="F40" s="25">
        <v>45810</v>
      </c>
      <c r="G40" s="17">
        <f>DAY(EOMONTH(GA[[#This Row],[Month Year]],0))</f>
        <v>30</v>
      </c>
      <c r="H40" s="26">
        <v>45826</v>
      </c>
      <c r="I40" s="31">
        <f>IFERROR(VLOOKUP(GA[[#This Row],[Date]],Raw_Data[[#All],[Date]:[Sunset Time (POA&lt;20 W/m2)]],3,0),"")</f>
        <v>0.24444444444444444</v>
      </c>
      <c r="J40" s="31">
        <f>IFERROR(VLOOKUP(GA[[#This Row],[Date]],Raw_Data[[#All],[Date]:[Sunset Time (POA&lt;20 W/m2)]],4,0),"")</f>
        <v>0.77430555555555558</v>
      </c>
      <c r="K40" s="30">
        <f>IFERROR((GA[[#This Row],[Sunset Time (POA&lt;20 W/m2)]]-GA[[#This Row],[Sunrise Time (POA&gt;20 W/m2)]])*24,"")</f>
        <v>12.716666666666667</v>
      </c>
      <c r="L40" s="17" t="s">
        <v>334</v>
      </c>
      <c r="M40" s="17">
        <f>IFERROR(VLOOKUP(GA[[#This Row],[Affceted Equipment]],'Basic Data'!$A$1:$B$113,2,0),"")</f>
        <v>11710.44</v>
      </c>
      <c r="N40" s="17" t="s">
        <v>335</v>
      </c>
      <c r="O40" s="1" t="s">
        <v>277</v>
      </c>
      <c r="P40" s="28">
        <f>IFERROR(VLOOKUP(GA[[#This Row],[Affceted Equipment]],'Basic Data'!$A$2:$C$118,3,0),"")</f>
        <v>1</v>
      </c>
      <c r="Q40" s="17" t="s">
        <v>258</v>
      </c>
      <c r="R40" t="s">
        <v>514</v>
      </c>
      <c r="S40" s="24">
        <v>0.66666666666666663</v>
      </c>
      <c r="T40" s="24">
        <v>0.66666666666666663</v>
      </c>
      <c r="U40" s="24">
        <v>0.6875</v>
      </c>
      <c r="V40" s="24">
        <v>0.73124999999999996</v>
      </c>
      <c r="W40" s="34">
        <f>(GA[[#This Row],[Acknowledgemnet Time ]]-GA[[#This Row],[Fault Time]])*24</f>
        <v>0</v>
      </c>
      <c r="X40" s="35">
        <f>(GA[[#This Row],[Work Start time on Fault]]-GA[[#This Row],[Fault Time]])*24</f>
        <v>0.50000000000000089</v>
      </c>
      <c r="Y40" s="35">
        <f>(GA[[#This Row],[Work Completiuon time on fualt]]-GA[[#This Row],[Fault Time]])*24</f>
        <v>1.5499999999999998</v>
      </c>
      <c r="Z40" s="2" t="s">
        <v>337</v>
      </c>
      <c r="AA40" s="2" t="s">
        <v>249</v>
      </c>
      <c r="AB40" s="2">
        <f>IFERROR(GA[[#This Row],[Plant Equivalent Weightage]]*GA[[#This Row],[Resolution Time]],"")</f>
        <v>1.5499999999999998</v>
      </c>
      <c r="AC40" s="2">
        <v>337</v>
      </c>
      <c r="AD40" s="32" t="str">
        <f>IFERROR((_xlfn.XLOOKUP(GA[[#This Row],[Month Year]],'Modelling New'!D:D,'Modelling New'!$O:$O)*GA[[#This Row],[Lost POA (Wh/m2)]]*GA[[#This Row],[DC Capacity Affceted (kW)]])/1000,"")</f>
        <v/>
      </c>
      <c r="AE40" s="2"/>
    </row>
    <row r="41" spans="1:31">
      <c r="A41" s="2">
        <f t="shared" si="13"/>
        <v>39</v>
      </c>
      <c r="B41" s="156">
        <f t="shared" si="1"/>
        <v>2026</v>
      </c>
      <c r="C41" s="129">
        <f t="shared" si="2"/>
        <v>2025</v>
      </c>
      <c r="D41" t="s">
        <v>155</v>
      </c>
      <c r="E41" s="17" t="s">
        <v>155</v>
      </c>
      <c r="F41" s="25">
        <v>45810</v>
      </c>
      <c r="G41" s="17">
        <f>DAY(EOMONTH(GA[[#This Row],[Month Year]],0))</f>
        <v>30</v>
      </c>
      <c r="H41" s="26">
        <v>45827</v>
      </c>
      <c r="I41" s="31">
        <f>IFERROR(VLOOKUP(GA[[#This Row],[Date]],Raw_Data[[#All],[Date]:[Sunset Time (POA&lt;20 W/m2)]],3,0),"")</f>
        <v>0.24861111111111112</v>
      </c>
      <c r="J41" s="31">
        <f>IFERROR(VLOOKUP(GA[[#This Row],[Date]],Raw_Data[[#All],[Date]:[Sunset Time (POA&lt;20 W/m2)]],4,0),"")</f>
        <v>0.77083333333333337</v>
      </c>
      <c r="K41" s="30">
        <f>IFERROR((GA[[#This Row],[Sunset Time (POA&lt;20 W/m2)]]-GA[[#This Row],[Sunrise Time (POA&gt;20 W/m2)]])*24,"")</f>
        <v>12.533333333333335</v>
      </c>
      <c r="L41" s="17" t="s">
        <v>334</v>
      </c>
      <c r="M41" s="17">
        <f>IFERROR(VLOOKUP(GA[[#This Row],[Affceted Equipment]],'Basic Data'!$A$1:$B$113,2,0),"")</f>
        <v>11710.44</v>
      </c>
      <c r="N41" s="17" t="s">
        <v>335</v>
      </c>
      <c r="O41" s="1" t="s">
        <v>277</v>
      </c>
      <c r="P41" s="28">
        <f>IFERROR(VLOOKUP(GA[[#This Row],[Affceted Equipment]],'Basic Data'!$A$2:$C$118,3,0),"")</f>
        <v>1</v>
      </c>
      <c r="Q41" s="17" t="s">
        <v>258</v>
      </c>
      <c r="R41" s="1" t="s">
        <v>515</v>
      </c>
      <c r="S41" s="24">
        <v>0.34027777777777779</v>
      </c>
      <c r="T41" s="24">
        <v>0.34097222222222223</v>
      </c>
      <c r="U41" s="24">
        <v>0.375</v>
      </c>
      <c r="V41" s="24">
        <v>0.77083333333333337</v>
      </c>
      <c r="W41" s="34">
        <f>(GA[[#This Row],[Acknowledgemnet Time ]]-GA[[#This Row],[Fault Time]])*24</f>
        <v>1.6666666666666607E-2</v>
      </c>
      <c r="X41" s="35">
        <f>(GA[[#This Row],[Work Start time on Fault]]-GA[[#This Row],[Fault Time]])*24</f>
        <v>0.83333333333333304</v>
      </c>
      <c r="Y41" s="35">
        <f>(GA[[#This Row],[Work Completiuon time on fualt]]-GA[[#This Row],[Fault Time]])*24</f>
        <v>10.333333333333334</v>
      </c>
      <c r="Z41" s="2" t="s">
        <v>337</v>
      </c>
      <c r="AA41" s="2" t="s">
        <v>249</v>
      </c>
      <c r="AB41" s="2">
        <f>IFERROR(GA[[#This Row],[Plant Equivalent Weightage]]*GA[[#This Row],[Resolution Time]],"")</f>
        <v>10.333333333333334</v>
      </c>
      <c r="AC41" s="2">
        <v>5160</v>
      </c>
      <c r="AD41" s="32" t="str">
        <f>IFERROR((_xlfn.XLOOKUP(GA[[#This Row],[Month Year]],'Modelling New'!D:D,'Modelling New'!$O:$O)*GA[[#This Row],[Lost POA (Wh/m2)]]*GA[[#This Row],[DC Capacity Affceted (kW)]])/1000,"")</f>
        <v/>
      </c>
      <c r="AE41" s="2"/>
    </row>
    <row r="42" spans="1:31">
      <c r="A42" s="2">
        <f t="shared" si="13"/>
        <v>40</v>
      </c>
      <c r="B42" s="156">
        <f t="shared" si="1"/>
        <v>2026</v>
      </c>
      <c r="C42" s="129">
        <f t="shared" si="2"/>
        <v>2025</v>
      </c>
      <c r="D42" t="s">
        <v>155</v>
      </c>
      <c r="E42" s="17" t="s">
        <v>155</v>
      </c>
      <c r="F42" s="25">
        <v>45810</v>
      </c>
      <c r="G42" s="17">
        <f>DAY(EOMONTH(GA[[#This Row],[Month Year]],0))</f>
        <v>30</v>
      </c>
      <c r="H42" s="26">
        <v>45833</v>
      </c>
      <c r="I42" s="31">
        <f>IFERROR(VLOOKUP(GA[[#This Row],[Date]],Raw_Data[[#All],[Date]:[Sunset Time (POA&lt;20 W/m2)]],3,0),"")</f>
        <v>0.25416666666666665</v>
      </c>
      <c r="J42" s="31">
        <f>IFERROR(VLOOKUP(GA[[#This Row],[Date]],Raw_Data[[#All],[Date]:[Sunset Time (POA&lt;20 W/m2)]],4,0),"")</f>
        <v>0.77777777777777779</v>
      </c>
      <c r="K42" s="30">
        <f>IFERROR((GA[[#This Row],[Sunset Time (POA&lt;20 W/m2)]]-GA[[#This Row],[Sunrise Time (POA&gt;20 W/m2)]])*24,"")</f>
        <v>12.566666666666666</v>
      </c>
      <c r="L42" s="17" t="s">
        <v>334</v>
      </c>
      <c r="M42" s="17">
        <f>IFERROR(VLOOKUP(GA[[#This Row],[Affceted Equipment]],'Basic Data'!$A$1:$B$113,2,0),"")</f>
        <v>11710.44</v>
      </c>
      <c r="N42" s="17" t="s">
        <v>335</v>
      </c>
      <c r="O42" s="1" t="s">
        <v>277</v>
      </c>
      <c r="P42" s="28">
        <f>IFERROR(VLOOKUP(GA[[#This Row],[Affceted Equipment]],'Basic Data'!$A$2:$C$118,3,0),"")</f>
        <v>1</v>
      </c>
      <c r="Q42" s="17" t="s">
        <v>258</v>
      </c>
      <c r="R42" t="s">
        <v>338</v>
      </c>
      <c r="S42" s="24">
        <v>0.4201388888888889</v>
      </c>
      <c r="T42" s="24">
        <v>0.4201388888888889</v>
      </c>
      <c r="U42" s="24">
        <v>0.4236111111111111</v>
      </c>
      <c r="V42" s="24">
        <v>0.42777777777777776</v>
      </c>
      <c r="W42" s="34">
        <f>(GA[[#This Row],[Acknowledgemnet Time ]]-GA[[#This Row],[Fault Time]])*24</f>
        <v>0</v>
      </c>
      <c r="X42" s="35">
        <f>(GA[[#This Row],[Work Start time on Fault]]-GA[[#This Row],[Fault Time]])*24</f>
        <v>8.3333333333333037E-2</v>
      </c>
      <c r="Y42" s="35">
        <f>(GA[[#This Row],[Work Completiuon time on fualt]]-GA[[#This Row],[Fault Time]])*24</f>
        <v>0.18333333333333268</v>
      </c>
      <c r="Z42" s="2" t="s">
        <v>337</v>
      </c>
      <c r="AA42" s="2" t="s">
        <v>249</v>
      </c>
      <c r="AB42" s="2">
        <f>IFERROR(GA[[#This Row],[Plant Equivalent Weightage]]*GA[[#This Row],[Resolution Time]],"")</f>
        <v>0.18333333333333268</v>
      </c>
      <c r="AC42" s="2">
        <v>124</v>
      </c>
      <c r="AD42" s="32" t="str">
        <f>IFERROR((_xlfn.XLOOKUP(GA[[#This Row],[Month Year]],'Modelling New'!D:D,'Modelling New'!$O:$O)*GA[[#This Row],[Lost POA (Wh/m2)]]*GA[[#This Row],[DC Capacity Affceted (kW)]])/1000,"")</f>
        <v/>
      </c>
      <c r="AE42" s="2"/>
    </row>
    <row r="43" spans="1:31">
      <c r="A43" s="2">
        <f t="shared" si="13"/>
        <v>41</v>
      </c>
      <c r="B43" s="156">
        <f t="shared" si="1"/>
        <v>2026</v>
      </c>
      <c r="C43" s="129">
        <f t="shared" si="2"/>
        <v>2025</v>
      </c>
      <c r="D43" t="s">
        <v>155</v>
      </c>
      <c r="E43" s="17" t="s">
        <v>155</v>
      </c>
      <c r="F43" s="25">
        <v>45810</v>
      </c>
      <c r="G43" s="17">
        <f>DAY(EOMONTH(GA[[#This Row],[Month Year]],0))</f>
        <v>30</v>
      </c>
      <c r="H43" s="26">
        <v>45839</v>
      </c>
      <c r="I43" s="31">
        <f>IFERROR(VLOOKUP(GA[[#This Row],[Date]],Raw_Data[[#All],[Date]:[Sunset Time (POA&lt;20 W/m2)]],3,0),"")</f>
        <v>0.25833333333333336</v>
      </c>
      <c r="J43" s="31">
        <f>IFERROR(VLOOKUP(GA[[#This Row],[Date]],Raw_Data[[#All],[Date]:[Sunset Time (POA&lt;20 W/m2)]],4,0),"")</f>
        <v>0.77083333333333337</v>
      </c>
      <c r="K43" s="30">
        <f>IFERROR((GA[[#This Row],[Sunset Time (POA&lt;20 W/m2)]]-GA[[#This Row],[Sunrise Time (POA&gt;20 W/m2)]])*24,"")</f>
        <v>12.299999999999999</v>
      </c>
      <c r="L43" s="17" t="s">
        <v>334</v>
      </c>
      <c r="M43" s="17">
        <f>IFERROR(VLOOKUP(GA[[#This Row],[Affceted Equipment]],'Basic Data'!$A$1:$B$113,2,0),"")</f>
        <v>11710.44</v>
      </c>
      <c r="N43" s="17" t="s">
        <v>335</v>
      </c>
      <c r="O43" s="1" t="s">
        <v>277</v>
      </c>
      <c r="P43" s="28">
        <f>IFERROR(VLOOKUP(GA[[#This Row],[Affceted Equipment]],'Basic Data'!$A$2:$C$118,3,0),"")</f>
        <v>1</v>
      </c>
      <c r="Q43" s="17" t="s">
        <v>258</v>
      </c>
      <c r="R43" t="s">
        <v>492</v>
      </c>
      <c r="S43" s="24">
        <v>0.59791666666666665</v>
      </c>
      <c r="T43" s="24">
        <v>0.59791666666666665</v>
      </c>
      <c r="U43" s="24">
        <v>0.60763888888888884</v>
      </c>
      <c r="V43" s="24">
        <v>0.63541666666666663</v>
      </c>
      <c r="W43" s="34">
        <f>(GA[[#This Row],[Acknowledgemnet Time ]]-GA[[#This Row],[Fault Time]])*24</f>
        <v>0</v>
      </c>
      <c r="X43" s="35">
        <f>(GA[[#This Row],[Work Start time on Fault]]-GA[[#This Row],[Fault Time]])*24</f>
        <v>0.2333333333333325</v>
      </c>
      <c r="Y43" s="35">
        <f>(GA[[#This Row],[Work Completiuon time on fualt]]-GA[[#This Row],[Fault Time]])*24</f>
        <v>0.89999999999999947</v>
      </c>
      <c r="Z43" s="2" t="s">
        <v>337</v>
      </c>
      <c r="AA43" s="2" t="s">
        <v>249</v>
      </c>
      <c r="AB43" s="2">
        <f>IFERROR(GA[[#This Row],[Plant Equivalent Weightage]]*GA[[#This Row],[Resolution Time]],"")</f>
        <v>0.89999999999999947</v>
      </c>
      <c r="AC43" s="2">
        <v>506</v>
      </c>
      <c r="AD43" s="32" t="str">
        <f>IFERROR((_xlfn.XLOOKUP(GA[[#This Row],[Month Year]],'Modelling New'!D:D,'Modelling New'!$O:$O)*GA[[#This Row],[Lost POA (Wh/m2)]]*GA[[#This Row],[DC Capacity Affceted (kW)]])/1000,"")</f>
        <v/>
      </c>
      <c r="AE43" s="2"/>
    </row>
    <row r="44" spans="1:31">
      <c r="A44" s="2">
        <f t="shared" si="13"/>
        <v>42</v>
      </c>
      <c r="B44" s="156">
        <f t="shared" si="1"/>
        <v>2026</v>
      </c>
      <c r="C44" s="129">
        <f t="shared" si="2"/>
        <v>2025</v>
      </c>
      <c r="D44" t="s">
        <v>155</v>
      </c>
      <c r="E44" s="17" t="s">
        <v>155</v>
      </c>
      <c r="F44" s="25">
        <v>45810</v>
      </c>
      <c r="G44" s="17">
        <f>DAY(EOMONTH(GA[[#This Row],[Month Year]],0))</f>
        <v>30</v>
      </c>
      <c r="H44" s="26">
        <v>45853</v>
      </c>
      <c r="I44" s="31">
        <f>IFERROR(VLOOKUP(GA[[#This Row],[Date]],Raw_Data[[#All],[Date]:[Sunset Time (POA&lt;20 W/m2)]],3,0),"")</f>
        <v>0.25763888888888886</v>
      </c>
      <c r="J44" s="31">
        <f>IFERROR(VLOOKUP(GA[[#This Row],[Date]],Raw_Data[[#All],[Date]:[Sunset Time (POA&lt;20 W/m2)]],4,0),"")</f>
        <v>0.78680555555555554</v>
      </c>
      <c r="K44" s="30">
        <f>IFERROR((GA[[#This Row],[Sunset Time (POA&lt;20 W/m2)]]-GA[[#This Row],[Sunrise Time (POA&gt;20 W/m2)]])*24,"")</f>
        <v>12.7</v>
      </c>
      <c r="L44" s="17" t="s">
        <v>334</v>
      </c>
      <c r="M44" s="17">
        <f>IFERROR(VLOOKUP(GA[[#This Row],[Affceted Equipment]],'Basic Data'!$A$1:$B$113,2,0),"")</f>
        <v>11710.44</v>
      </c>
      <c r="N44" s="17" t="s">
        <v>335</v>
      </c>
      <c r="O44" s="1" t="s">
        <v>277</v>
      </c>
      <c r="P44" s="28">
        <f>IFERROR(VLOOKUP(GA[[#This Row],[Affceted Equipment]],'Basic Data'!$A$2:$C$118,3,0),"")</f>
        <v>1</v>
      </c>
      <c r="Q44" s="17" t="s">
        <v>258</v>
      </c>
      <c r="R44" t="s">
        <v>526</v>
      </c>
      <c r="S44" s="24">
        <v>0.71805555555555556</v>
      </c>
      <c r="T44" s="24">
        <v>0.71944444444444444</v>
      </c>
      <c r="U44" s="24">
        <v>0.72916666666666663</v>
      </c>
      <c r="V44" s="24">
        <v>0.75</v>
      </c>
      <c r="W44" s="34">
        <f>(GA[[#This Row],[Acknowledgemnet Time ]]-GA[[#This Row],[Fault Time]])*24</f>
        <v>3.3333333333333215E-2</v>
      </c>
      <c r="X44" s="35">
        <f>(GA[[#This Row],[Work Start time on Fault]]-GA[[#This Row],[Fault Time]])*24</f>
        <v>0.26666666666666572</v>
      </c>
      <c r="Y44" s="35">
        <f>(GA[[#This Row],[Work Completiuon time on fualt]]-GA[[#This Row],[Fault Time]])*24</f>
        <v>0.76666666666666661</v>
      </c>
      <c r="Z44" s="2" t="s">
        <v>337</v>
      </c>
      <c r="AA44" s="2" t="s">
        <v>249</v>
      </c>
      <c r="AB44" s="2">
        <f>IFERROR(GA[[#This Row],[Plant Equivalent Weightage]]*GA[[#This Row],[Resolution Time]],"")</f>
        <v>0.76666666666666661</v>
      </c>
      <c r="AC44" s="2">
        <v>114</v>
      </c>
      <c r="AD44" s="32" t="str">
        <f>IFERROR((_xlfn.XLOOKUP(GA[[#This Row],[Month Year]],'Modelling New'!D:D,'Modelling New'!$O:$O)*GA[[#This Row],[Lost POA (Wh/m2)]]*GA[[#This Row],[DC Capacity Affceted (kW)]])/1000,"")</f>
        <v/>
      </c>
      <c r="AE44" s="2"/>
    </row>
    <row r="45" spans="1:31">
      <c r="A45" s="2">
        <f t="shared" si="13"/>
        <v>43</v>
      </c>
      <c r="B45" s="156">
        <f t="shared" si="1"/>
        <v>1900</v>
      </c>
      <c r="C45" s="129">
        <f t="shared" si="2"/>
        <v>1900</v>
      </c>
      <c r="I45" s="31" t="str">
        <f>IFERROR(VLOOKUP(GA[[#This Row],[Date]],Raw_Data[[#All],[Date]:[Sunset Time (POA&lt;20 W/m2)]],3,0),"")</f>
        <v/>
      </c>
      <c r="J45" s="31" t="str">
        <f>IFERROR(VLOOKUP(GA[[#This Row],[Date]],Raw_Data[[#All],[Date]:[Sunset Time (POA&lt;20 W/m2)]],4,0),"")</f>
        <v/>
      </c>
      <c r="K45" s="30" t="str">
        <f>IFERROR((GA[[#This Row],[Sunset Time (POA&lt;20 W/m2)]]-GA[[#This Row],[Sunrise Time (POA&gt;20 W/m2)]])*24,"")</f>
        <v/>
      </c>
      <c r="M45" s="17" t="str">
        <f>IFERROR(VLOOKUP(GA[[#This Row],[Affceted Equipment]],'Basic Data'!$A$1:$B$113,2,0),"")</f>
        <v/>
      </c>
      <c r="P45" s="28" t="str">
        <f>IFERROR(VLOOKUP(GA[[#This Row],[Affceted Equipment]],'Basic Data'!$A$2:$C$118,3,0),"")</f>
        <v/>
      </c>
      <c r="Q45" s="2"/>
      <c r="W45" s="34"/>
      <c r="X45" s="35"/>
      <c r="Y45" s="35"/>
      <c r="Z45" s="2"/>
      <c r="AA45" s="2"/>
      <c r="AB45" s="2" t="str">
        <f>IFERROR(GA[[#This Row],[Plant Equivalent Weightage]]*GA[[#This Row],[Resolution Time]],"")</f>
        <v/>
      </c>
      <c r="AC45" s="2"/>
      <c r="AD45" s="32" t="str">
        <f>IFERROR((_xlfn.XLOOKUP(GA[[#This Row],[Month Year]],'Modelling New'!D:D,'Modelling New'!$O:$O)*GA[[#This Row],[Lost POA (Wh/m2)]]*GA[[#This Row],[DC Capacity Affceted (kW)]])/1000,"")</f>
        <v/>
      </c>
      <c r="AE45" s="2"/>
    </row>
    <row r="46" spans="1:31">
      <c r="A46" s="2">
        <f t="shared" si="13"/>
        <v>44</v>
      </c>
      <c r="B46" s="156">
        <f t="shared" si="1"/>
        <v>1900</v>
      </c>
      <c r="C46" s="129">
        <f t="shared" si="2"/>
        <v>1900</v>
      </c>
      <c r="I46" s="31" t="str">
        <f>IFERROR(VLOOKUP(GA[[#This Row],[Date]],Raw_Data[[#All],[Date]:[Sunset Time (POA&lt;20 W/m2)]],3,0),"")</f>
        <v/>
      </c>
      <c r="J46" s="31" t="str">
        <f>IFERROR(VLOOKUP(GA[[#This Row],[Date]],Raw_Data[[#All],[Date]:[Sunset Time (POA&lt;20 W/m2)]],4,0),"")</f>
        <v/>
      </c>
      <c r="K46" s="30" t="str">
        <f>IFERROR((GA[[#This Row],[Sunset Time (POA&lt;20 W/m2)]]-GA[[#This Row],[Sunrise Time (POA&gt;20 W/m2)]])*24,"")</f>
        <v/>
      </c>
      <c r="M46" s="17" t="str">
        <f>IFERROR(VLOOKUP(GA[[#This Row],[Affceted Equipment]],'Basic Data'!$A$1:$B$113,2,0),"")</f>
        <v/>
      </c>
      <c r="P46" s="28" t="str">
        <f>IFERROR(VLOOKUP(GA[[#This Row],[Affceted Equipment]],'Basic Data'!$A$2:$C$118,3,0),"")</f>
        <v/>
      </c>
      <c r="Q46" s="2"/>
      <c r="W46" s="34"/>
      <c r="X46" s="35"/>
      <c r="Y46" s="35"/>
      <c r="Z46" s="2"/>
      <c r="AA46" s="2"/>
      <c r="AB46" s="2" t="str">
        <f>IFERROR(GA[[#This Row],[Plant Equivalent Weightage]]*GA[[#This Row],[Resolution Time]],"")</f>
        <v/>
      </c>
      <c r="AC46" s="2"/>
      <c r="AD46" s="32" t="str">
        <f>IFERROR((_xlfn.XLOOKUP(GA[[#This Row],[Month Year]],'Modelling New'!D:D,'Modelling New'!$O:$O)*GA[[#This Row],[Lost POA (Wh/m2)]]*GA[[#This Row],[DC Capacity Affceted (kW)]])/1000,"")</f>
        <v/>
      </c>
      <c r="AE46" s="2"/>
    </row>
    <row r="47" spans="1:31">
      <c r="A47" s="2">
        <f t="shared" si="13"/>
        <v>45</v>
      </c>
      <c r="B47" s="156">
        <f t="shared" si="1"/>
        <v>1900</v>
      </c>
      <c r="C47" s="129">
        <f t="shared" si="2"/>
        <v>1900</v>
      </c>
      <c r="I47" s="31" t="str">
        <f>IFERROR(VLOOKUP(GA[[#This Row],[Date]],Raw_Data[[#All],[Date]:[Sunset Time (POA&lt;20 W/m2)]],3,0),"")</f>
        <v/>
      </c>
      <c r="J47" s="31" t="str">
        <f>IFERROR(VLOOKUP(GA[[#This Row],[Date]],Raw_Data[[#All],[Date]:[Sunset Time (POA&lt;20 W/m2)]],4,0),"")</f>
        <v/>
      </c>
      <c r="K47" s="30" t="str">
        <f>IFERROR((GA[[#This Row],[Sunset Time (POA&lt;20 W/m2)]]-GA[[#This Row],[Sunrise Time (POA&gt;20 W/m2)]])*24,"")</f>
        <v/>
      </c>
      <c r="M47" s="17" t="str">
        <f>IFERROR(VLOOKUP(GA[[#This Row],[Affceted Equipment]],'Basic Data'!$A$1:$B$113,2,0),"")</f>
        <v/>
      </c>
      <c r="P47" s="28" t="str">
        <f>IFERROR(VLOOKUP(GA[[#This Row],[Affceted Equipment]],'Basic Data'!$A$2:$C$118,3,0),"")</f>
        <v/>
      </c>
      <c r="Q47" s="2"/>
      <c r="W47" s="34"/>
      <c r="X47" s="35"/>
      <c r="Y47" s="35"/>
      <c r="Z47" s="2"/>
      <c r="AA47" s="2"/>
      <c r="AB47" s="2" t="str">
        <f>IFERROR(GA[[#This Row],[Plant Equivalent Weightage]]*GA[[#This Row],[Resolution Time]],"")</f>
        <v/>
      </c>
      <c r="AC47" s="2"/>
      <c r="AD47" s="32" t="str">
        <f>IFERROR((_xlfn.XLOOKUP(GA[[#This Row],[Month Year]],'Modelling New'!D:D,'Modelling New'!$O:$O)*GA[[#This Row],[Lost POA (Wh/m2)]]*GA[[#This Row],[DC Capacity Affceted (kW)]])/1000,"")</f>
        <v/>
      </c>
      <c r="AE47" s="2"/>
    </row>
    <row r="48" spans="1:31">
      <c r="A48" s="2">
        <f t="shared" si="13"/>
        <v>46</v>
      </c>
      <c r="B48" s="156">
        <f t="shared" si="1"/>
        <v>1900</v>
      </c>
      <c r="C48" s="129">
        <f t="shared" si="2"/>
        <v>1900</v>
      </c>
      <c r="I48" s="31" t="str">
        <f>IFERROR(VLOOKUP(GA[[#This Row],[Date]],Raw_Data[[#All],[Date]:[Sunset Time (POA&lt;20 W/m2)]],3,0),"")</f>
        <v/>
      </c>
      <c r="J48" s="31" t="str">
        <f>IFERROR(VLOOKUP(GA[[#This Row],[Date]],Raw_Data[[#All],[Date]:[Sunset Time (POA&lt;20 W/m2)]],4,0),"")</f>
        <v/>
      </c>
      <c r="K48" s="30" t="str">
        <f>IFERROR((GA[[#This Row],[Sunset Time (POA&lt;20 W/m2)]]-GA[[#This Row],[Sunrise Time (POA&gt;20 W/m2)]])*24,"")</f>
        <v/>
      </c>
      <c r="M48" s="17" t="str">
        <f>IFERROR(VLOOKUP(GA[[#This Row],[Affceted Equipment]],'Basic Data'!$A$1:$B$113,2,0),"")</f>
        <v/>
      </c>
      <c r="P48" s="28" t="str">
        <f>IFERROR(VLOOKUP(GA[[#This Row],[Affceted Equipment]],'Basic Data'!$A$2:$C$118,3,0),"")</f>
        <v/>
      </c>
      <c r="Q48" s="2"/>
      <c r="W48" s="34"/>
      <c r="X48" s="35"/>
      <c r="Y48" s="35"/>
      <c r="Z48" s="2"/>
      <c r="AA48" s="2"/>
      <c r="AB48" s="2" t="str">
        <f>IFERROR(GA[[#This Row],[Plant Equivalent Weightage]]*GA[[#This Row],[Resolution Time]],"")</f>
        <v/>
      </c>
      <c r="AC48" s="2"/>
      <c r="AD48" s="32" t="str">
        <f>IFERROR((_xlfn.XLOOKUP(GA[[#This Row],[Month Year]],'Modelling New'!D:D,'Modelling New'!$O:$O)*GA[[#This Row],[Lost POA (Wh/m2)]]*GA[[#This Row],[DC Capacity Affceted (kW)]])/1000,"")</f>
        <v/>
      </c>
      <c r="AE48" s="2"/>
    </row>
    <row r="49" spans="1:31">
      <c r="A49" s="2">
        <f t="shared" si="13"/>
        <v>47</v>
      </c>
      <c r="B49" s="156">
        <f t="shared" si="1"/>
        <v>1900</v>
      </c>
      <c r="C49" s="129">
        <f t="shared" si="2"/>
        <v>1900</v>
      </c>
      <c r="I49" s="31" t="str">
        <f>IFERROR(VLOOKUP(GA[[#This Row],[Date]],Raw_Data[[#All],[Date]:[Sunset Time (POA&lt;20 W/m2)]],3,0),"")</f>
        <v/>
      </c>
      <c r="J49" s="31" t="str">
        <f>IFERROR(VLOOKUP(GA[[#This Row],[Date]],Raw_Data[[#All],[Date]:[Sunset Time (POA&lt;20 W/m2)]],4,0),"")</f>
        <v/>
      </c>
      <c r="K49" s="30" t="str">
        <f>IFERROR((GA[[#This Row],[Sunset Time (POA&lt;20 W/m2)]]-GA[[#This Row],[Sunrise Time (POA&gt;20 W/m2)]])*24,"")</f>
        <v/>
      </c>
      <c r="M49" s="17" t="str">
        <f>IFERROR(VLOOKUP(GA[[#This Row],[Affceted Equipment]],'Basic Data'!$A$1:$B$113,2,0),"")</f>
        <v/>
      </c>
      <c r="P49" s="28" t="str">
        <f>IFERROR(VLOOKUP(GA[[#This Row],[Affceted Equipment]],'Basic Data'!$A$2:$C$118,3,0),"")</f>
        <v/>
      </c>
      <c r="Q49" s="2"/>
      <c r="W49" s="34"/>
      <c r="X49" s="35"/>
      <c r="Y49" s="35"/>
      <c r="Z49" s="2"/>
      <c r="AA49" s="2"/>
      <c r="AB49" s="2" t="str">
        <f>IFERROR(GA[[#This Row],[Plant Equivalent Weightage]]*GA[[#This Row],[Resolution Time]],"")</f>
        <v/>
      </c>
      <c r="AC49" s="2"/>
      <c r="AD49" s="32" t="str">
        <f>IFERROR((_xlfn.XLOOKUP(GA[[#This Row],[Month Year]],'Modelling New'!D:D,'Modelling New'!$O:$O)*GA[[#This Row],[Lost POA (Wh/m2)]]*GA[[#This Row],[DC Capacity Affceted (kW)]])/1000,"")</f>
        <v/>
      </c>
      <c r="AE49" s="2"/>
    </row>
    <row r="50" spans="1:31">
      <c r="A50" s="2">
        <f t="shared" si="13"/>
        <v>48</v>
      </c>
      <c r="B50" s="156">
        <f t="shared" si="1"/>
        <v>1900</v>
      </c>
      <c r="C50" s="129">
        <f t="shared" si="2"/>
        <v>1900</v>
      </c>
      <c r="I50" s="31" t="str">
        <f>IFERROR(VLOOKUP(GA[[#This Row],[Date]],Raw_Data[[#All],[Date]:[Sunset Time (POA&lt;20 W/m2)]],3,0),"")</f>
        <v/>
      </c>
      <c r="J50" s="31" t="str">
        <f>IFERROR(VLOOKUP(GA[[#This Row],[Date]],Raw_Data[[#All],[Date]:[Sunset Time (POA&lt;20 W/m2)]],4,0),"")</f>
        <v/>
      </c>
      <c r="K50" s="30" t="str">
        <f>IFERROR((GA[[#This Row],[Sunset Time (POA&lt;20 W/m2)]]-GA[[#This Row],[Sunrise Time (POA&gt;20 W/m2)]])*24,"")</f>
        <v/>
      </c>
      <c r="M50" s="17" t="str">
        <f>IFERROR(VLOOKUP(GA[[#This Row],[Affceted Equipment]],'Basic Data'!$A$1:$B$113,2,0),"")</f>
        <v/>
      </c>
      <c r="P50" s="28" t="str">
        <f>IFERROR(VLOOKUP(GA[[#This Row],[Affceted Equipment]],'Basic Data'!$A$2:$C$118,3,0),"")</f>
        <v/>
      </c>
      <c r="Q50" s="2"/>
      <c r="W50" s="34"/>
      <c r="X50" s="35"/>
      <c r="Y50" s="35"/>
      <c r="Z50" s="2"/>
      <c r="AA50" s="2"/>
      <c r="AB50" s="2" t="str">
        <f>IFERROR(GA[[#This Row],[Plant Equivalent Weightage]]*GA[[#This Row],[Resolution Time]],"")</f>
        <v/>
      </c>
      <c r="AC50" s="2"/>
      <c r="AD50" s="32" t="str">
        <f>IFERROR((_xlfn.XLOOKUP(GA[[#This Row],[Month Year]],'Modelling New'!D:D,'Modelling New'!$O:$O)*GA[[#This Row],[Lost POA (Wh/m2)]]*GA[[#This Row],[DC Capacity Affceted (kW)]])/1000,"")</f>
        <v/>
      </c>
      <c r="AE50" s="2"/>
    </row>
    <row r="51" spans="1:31">
      <c r="A51" s="2">
        <f t="shared" si="13"/>
        <v>49</v>
      </c>
      <c r="B51" s="156">
        <f t="shared" si="1"/>
        <v>1900</v>
      </c>
      <c r="C51" s="129">
        <f t="shared" si="2"/>
        <v>1900</v>
      </c>
      <c r="I51" s="31" t="str">
        <f>IFERROR(VLOOKUP(GA[[#This Row],[Date]],Raw_Data[[#All],[Date]:[Sunset Time (POA&lt;20 W/m2)]],3,0),"")</f>
        <v/>
      </c>
      <c r="J51" s="31" t="str">
        <f>IFERROR(VLOOKUP(GA[[#This Row],[Date]],Raw_Data[[#All],[Date]:[Sunset Time (POA&lt;20 W/m2)]],4,0),"")</f>
        <v/>
      </c>
      <c r="K51" s="30" t="str">
        <f>IFERROR((GA[[#This Row],[Sunset Time (POA&lt;20 W/m2)]]-GA[[#This Row],[Sunrise Time (POA&gt;20 W/m2)]])*24,"")</f>
        <v/>
      </c>
      <c r="M51" s="17" t="str">
        <f>IFERROR(VLOOKUP(GA[[#This Row],[Affceted Equipment]],'Basic Data'!$A$1:$B$113,2,0),"")</f>
        <v/>
      </c>
      <c r="P51" s="28" t="str">
        <f>IFERROR(VLOOKUP(GA[[#This Row],[Affceted Equipment]],'Basic Data'!$A$2:$C$118,3,0),"")</f>
        <v/>
      </c>
      <c r="Q51" s="2"/>
      <c r="W51" s="34"/>
      <c r="X51" s="35"/>
      <c r="Y51" s="35"/>
      <c r="Z51" s="2"/>
      <c r="AA51" s="2"/>
      <c r="AB51" s="2" t="str">
        <f>IFERROR(GA[[#This Row],[Plant Equivalent Weightage]]*GA[[#This Row],[Resolution Time]],"")</f>
        <v/>
      </c>
      <c r="AC51" s="2"/>
      <c r="AD51" s="32" t="str">
        <f>IFERROR((_xlfn.XLOOKUP(GA[[#This Row],[Month Year]],'Modelling New'!D:D,'Modelling New'!$O:$O)*GA[[#This Row],[Lost POA (Wh/m2)]]*GA[[#This Row],[DC Capacity Affceted (kW)]])/1000,"")</f>
        <v/>
      </c>
      <c r="AE51" s="2"/>
    </row>
    <row r="52" spans="1:31">
      <c r="A52" s="2">
        <f t="shared" si="13"/>
        <v>50</v>
      </c>
      <c r="B52" s="156">
        <f t="shared" si="1"/>
        <v>1900</v>
      </c>
      <c r="C52" s="129">
        <f t="shared" si="2"/>
        <v>1900</v>
      </c>
      <c r="I52" s="31" t="str">
        <f>IFERROR(VLOOKUP(GA[[#This Row],[Date]],Raw_Data[[#All],[Date]:[Sunset Time (POA&lt;20 W/m2)]],3,0),"")</f>
        <v/>
      </c>
      <c r="J52" s="31" t="str">
        <f>IFERROR(VLOOKUP(GA[[#This Row],[Date]],Raw_Data[[#All],[Date]:[Sunset Time (POA&lt;20 W/m2)]],4,0),"")</f>
        <v/>
      </c>
      <c r="K52" s="30" t="str">
        <f>IFERROR((GA[[#This Row],[Sunset Time (POA&lt;20 W/m2)]]-GA[[#This Row],[Sunrise Time (POA&gt;20 W/m2)]])*24,"")</f>
        <v/>
      </c>
      <c r="M52" s="17" t="str">
        <f>IFERROR(VLOOKUP(GA[[#This Row],[Affceted Equipment]],'Basic Data'!$A$1:$B$113,2,0),"")</f>
        <v/>
      </c>
      <c r="P52" s="28" t="str">
        <f>IFERROR(VLOOKUP(GA[[#This Row],[Affceted Equipment]],'Basic Data'!$A$2:$C$118,3,0),"")</f>
        <v/>
      </c>
      <c r="Q52" s="2"/>
      <c r="W52" s="34"/>
      <c r="X52" s="35"/>
      <c r="Y52" s="35"/>
      <c r="Z52" s="2"/>
      <c r="AA52" s="2"/>
      <c r="AB52" s="2" t="str">
        <f>IFERROR(GA[[#This Row],[Plant Equivalent Weightage]]*GA[[#This Row],[Resolution Time]],"")</f>
        <v/>
      </c>
      <c r="AC52" s="2"/>
      <c r="AD52" s="32" t="str">
        <f>IFERROR((_xlfn.XLOOKUP(GA[[#This Row],[Month Year]],'Modelling New'!D:D,'Modelling New'!$O:$O)*GA[[#This Row],[Lost POA (Wh/m2)]]*GA[[#This Row],[DC Capacity Affceted (kW)]])/1000,"")</f>
        <v/>
      </c>
      <c r="AE52" s="2"/>
    </row>
    <row r="53" spans="1:31">
      <c r="A53" s="2">
        <f t="shared" si="13"/>
        <v>51</v>
      </c>
      <c r="B53" s="156">
        <f t="shared" si="1"/>
        <v>1900</v>
      </c>
      <c r="C53" s="129">
        <f t="shared" si="2"/>
        <v>1900</v>
      </c>
      <c r="I53" s="31" t="str">
        <f>IFERROR(VLOOKUP(GA[[#This Row],[Date]],Raw_Data[[#All],[Date]:[Sunset Time (POA&lt;20 W/m2)]],3,0),"")</f>
        <v/>
      </c>
      <c r="J53" s="31" t="str">
        <f>IFERROR(VLOOKUP(GA[[#This Row],[Date]],Raw_Data[[#All],[Date]:[Sunset Time (POA&lt;20 W/m2)]],4,0),"")</f>
        <v/>
      </c>
      <c r="K53" s="30" t="str">
        <f>IFERROR((GA[[#This Row],[Sunset Time (POA&lt;20 W/m2)]]-GA[[#This Row],[Sunrise Time (POA&gt;20 W/m2)]])*24,"")</f>
        <v/>
      </c>
      <c r="M53" s="17" t="str">
        <f>IFERROR(VLOOKUP(GA[[#This Row],[Affceted Equipment]],'Basic Data'!$A$1:$B$113,2,0),"")</f>
        <v/>
      </c>
      <c r="P53" s="28" t="str">
        <f>IFERROR(VLOOKUP(GA[[#This Row],[Affceted Equipment]],'Basic Data'!$A$2:$C$118,3,0),"")</f>
        <v/>
      </c>
      <c r="Q53" s="2"/>
      <c r="W53" s="34"/>
      <c r="X53" s="35"/>
      <c r="Y53" s="35"/>
      <c r="Z53" s="2"/>
      <c r="AA53" s="2"/>
      <c r="AB53" s="2" t="str">
        <f>IFERROR(GA[[#This Row],[Plant Equivalent Weightage]]*GA[[#This Row],[Resolution Time]],"")</f>
        <v/>
      </c>
      <c r="AC53" s="2"/>
      <c r="AD53" s="32" t="str">
        <f>IFERROR((_xlfn.XLOOKUP(GA[[#This Row],[Month Year]],'Modelling New'!D:D,'Modelling New'!$O:$O)*GA[[#This Row],[Lost POA (Wh/m2)]]*GA[[#This Row],[DC Capacity Affceted (kW)]])/1000,"")</f>
        <v/>
      </c>
      <c r="AE53" s="2"/>
    </row>
    <row r="54" spans="1:31">
      <c r="A54" s="2">
        <f t="shared" si="13"/>
        <v>52</v>
      </c>
      <c r="B54" s="156">
        <f t="shared" si="1"/>
        <v>1900</v>
      </c>
      <c r="C54" s="129">
        <f t="shared" si="2"/>
        <v>1900</v>
      </c>
      <c r="I54" s="31" t="str">
        <f>IFERROR(VLOOKUP(GA[[#This Row],[Date]],Raw_Data[[#All],[Date]:[Sunset Time (POA&lt;20 W/m2)]],3,0),"")</f>
        <v/>
      </c>
      <c r="J54" s="31" t="str">
        <f>IFERROR(VLOOKUP(GA[[#This Row],[Date]],Raw_Data[[#All],[Date]:[Sunset Time (POA&lt;20 W/m2)]],4,0),"")</f>
        <v/>
      </c>
      <c r="K54" s="30" t="str">
        <f>IFERROR((GA[[#This Row],[Sunset Time (POA&lt;20 W/m2)]]-GA[[#This Row],[Sunrise Time (POA&gt;20 W/m2)]])*24,"")</f>
        <v/>
      </c>
      <c r="M54" s="17" t="str">
        <f>IFERROR(VLOOKUP(GA[[#This Row],[Affceted Equipment]],'Basic Data'!$A$1:$B$113,2,0),"")</f>
        <v/>
      </c>
      <c r="P54" s="28" t="str">
        <f>IFERROR(VLOOKUP(GA[[#This Row],[Affceted Equipment]],'Basic Data'!$A$2:$C$118,3,0),"")</f>
        <v/>
      </c>
      <c r="Q54" s="2"/>
      <c r="W54" s="34"/>
      <c r="X54" s="35"/>
      <c r="Y54" s="35"/>
      <c r="Z54" s="2"/>
      <c r="AA54" s="2"/>
      <c r="AB54" s="2" t="str">
        <f>IFERROR(GA[[#This Row],[Plant Equivalent Weightage]]*GA[[#This Row],[Resolution Time]],"")</f>
        <v/>
      </c>
      <c r="AC54" s="2"/>
      <c r="AD54" s="32" t="str">
        <f>IFERROR((_xlfn.XLOOKUP(GA[[#This Row],[Month Year]],'Modelling New'!D:D,'Modelling New'!$O:$O)*GA[[#This Row],[Lost POA (Wh/m2)]]*GA[[#This Row],[DC Capacity Affceted (kW)]])/1000,"")</f>
        <v/>
      </c>
      <c r="AE54" s="2"/>
    </row>
    <row r="55" spans="1:31">
      <c r="A55" s="2">
        <f t="shared" si="13"/>
        <v>53</v>
      </c>
      <c r="B55" s="156">
        <f t="shared" si="1"/>
        <v>1900</v>
      </c>
      <c r="C55" s="129">
        <f t="shared" si="2"/>
        <v>1900</v>
      </c>
      <c r="I55" s="31" t="str">
        <f>IFERROR(VLOOKUP(GA[[#This Row],[Date]],Raw_Data[[#All],[Date]:[Sunset Time (POA&lt;20 W/m2)]],3,0),"")</f>
        <v/>
      </c>
      <c r="J55" s="31" t="str">
        <f>IFERROR(VLOOKUP(GA[[#This Row],[Date]],Raw_Data[[#All],[Date]:[Sunset Time (POA&lt;20 W/m2)]],4,0),"")</f>
        <v/>
      </c>
      <c r="K55" s="30" t="str">
        <f>IFERROR((GA[[#This Row],[Sunset Time (POA&lt;20 W/m2)]]-GA[[#This Row],[Sunrise Time (POA&gt;20 W/m2)]])*24,"")</f>
        <v/>
      </c>
      <c r="M55" s="17" t="str">
        <f>IFERROR(VLOOKUP(GA[[#This Row],[Affceted Equipment]],'Basic Data'!$A$1:$B$113,2,0),"")</f>
        <v/>
      </c>
      <c r="P55" s="28" t="str">
        <f>IFERROR(VLOOKUP(GA[[#This Row],[Affceted Equipment]],'Basic Data'!$A$2:$C$118,3,0),"")</f>
        <v/>
      </c>
      <c r="Q55" s="2"/>
      <c r="W55" s="34"/>
      <c r="X55" s="35"/>
      <c r="Y55" s="35"/>
      <c r="Z55" s="2"/>
      <c r="AA55" s="2"/>
      <c r="AB55" s="2" t="str">
        <f>IFERROR(GA[[#This Row],[Plant Equivalent Weightage]]*GA[[#This Row],[Resolution Time]],"")</f>
        <v/>
      </c>
      <c r="AC55" s="2"/>
      <c r="AD55" s="32" t="str">
        <f>IFERROR((_xlfn.XLOOKUP(GA[[#This Row],[Month Year]],'Modelling New'!D:D,'Modelling New'!$O:$O)*GA[[#This Row],[Lost POA (Wh/m2)]]*GA[[#This Row],[DC Capacity Affceted (kW)]])/1000,"")</f>
        <v/>
      </c>
      <c r="AE55" s="2"/>
    </row>
    <row r="56" spans="1:31">
      <c r="A56" s="2">
        <f t="shared" si="13"/>
        <v>54</v>
      </c>
      <c r="B56" s="156">
        <f t="shared" si="1"/>
        <v>1900</v>
      </c>
      <c r="C56" s="129">
        <f t="shared" si="2"/>
        <v>1900</v>
      </c>
      <c r="I56" s="31" t="str">
        <f>IFERROR(VLOOKUP(GA[[#This Row],[Date]],Raw_Data[[#All],[Date]:[Sunset Time (POA&lt;20 W/m2)]],3,0),"")</f>
        <v/>
      </c>
      <c r="J56" s="31" t="str">
        <f>IFERROR(VLOOKUP(GA[[#This Row],[Date]],Raw_Data[[#All],[Date]:[Sunset Time (POA&lt;20 W/m2)]],4,0),"")</f>
        <v/>
      </c>
      <c r="K56" s="30" t="str">
        <f>IFERROR((GA[[#This Row],[Sunset Time (POA&lt;20 W/m2)]]-GA[[#This Row],[Sunrise Time (POA&gt;20 W/m2)]])*24,"")</f>
        <v/>
      </c>
      <c r="M56" s="17" t="str">
        <f>IFERROR(VLOOKUP(GA[[#This Row],[Affceted Equipment]],'Basic Data'!$A$1:$B$113,2,0),"")</f>
        <v/>
      </c>
      <c r="P56" s="28" t="str">
        <f>IFERROR(VLOOKUP(GA[[#This Row],[Affceted Equipment]],'Basic Data'!$A$2:$C$118,3,0),"")</f>
        <v/>
      </c>
      <c r="Q56" s="2"/>
      <c r="W56" s="34"/>
      <c r="X56" s="35"/>
      <c r="Y56" s="35"/>
      <c r="Z56" s="2"/>
      <c r="AA56" s="2"/>
      <c r="AB56" s="2" t="str">
        <f>IFERROR(GA[[#This Row],[Plant Equivalent Weightage]]*GA[[#This Row],[Resolution Time]],"")</f>
        <v/>
      </c>
      <c r="AC56" s="2"/>
      <c r="AD56" s="32" t="str">
        <f>IFERROR((_xlfn.XLOOKUP(GA[[#This Row],[Month Year]],'Modelling New'!D:D,'Modelling New'!$O:$O)*GA[[#This Row],[Lost POA (Wh/m2)]]*GA[[#This Row],[DC Capacity Affceted (kW)]])/1000,"")</f>
        <v/>
      </c>
      <c r="AE56" s="2"/>
    </row>
    <row r="57" spans="1:31">
      <c r="A57" s="2">
        <f t="shared" si="13"/>
        <v>55</v>
      </c>
      <c r="B57" s="156">
        <f t="shared" si="1"/>
        <v>1900</v>
      </c>
      <c r="C57" s="129">
        <f t="shared" si="2"/>
        <v>1900</v>
      </c>
      <c r="I57" s="31" t="str">
        <f>IFERROR(VLOOKUP(GA[[#This Row],[Date]],Raw_Data[[#All],[Date]:[Sunset Time (POA&lt;20 W/m2)]],3,0),"")</f>
        <v/>
      </c>
      <c r="J57" s="31" t="str">
        <f>IFERROR(VLOOKUP(GA[[#This Row],[Date]],Raw_Data[[#All],[Date]:[Sunset Time (POA&lt;20 W/m2)]],4,0),"")</f>
        <v/>
      </c>
      <c r="K57" s="30" t="str">
        <f>IFERROR((GA[[#This Row],[Sunset Time (POA&lt;20 W/m2)]]-GA[[#This Row],[Sunrise Time (POA&gt;20 W/m2)]])*24,"")</f>
        <v/>
      </c>
      <c r="M57" s="17" t="str">
        <f>IFERROR(VLOOKUP(GA[[#This Row],[Affceted Equipment]],'Basic Data'!$A$1:$B$113,2,0),"")</f>
        <v/>
      </c>
      <c r="P57" s="28" t="str">
        <f>IFERROR(VLOOKUP(GA[[#This Row],[Affceted Equipment]],'Basic Data'!$A$2:$C$118,3,0),"")</f>
        <v/>
      </c>
      <c r="Q57" s="2"/>
      <c r="W57" s="34"/>
      <c r="X57" s="35"/>
      <c r="Y57" s="35"/>
      <c r="Z57" s="2"/>
      <c r="AA57" s="2"/>
      <c r="AB57" s="2" t="str">
        <f>IFERROR(GA[[#This Row],[Plant Equivalent Weightage]]*GA[[#This Row],[Resolution Time]],"")</f>
        <v/>
      </c>
      <c r="AC57" s="2"/>
      <c r="AD57" s="32" t="str">
        <f>IFERROR((_xlfn.XLOOKUP(GA[[#This Row],[Month Year]],'Modelling New'!D:D,'Modelling New'!$O:$O)*GA[[#This Row],[Lost POA (Wh/m2)]]*GA[[#This Row],[DC Capacity Affceted (kW)]])/1000,"")</f>
        <v/>
      </c>
      <c r="AE57" s="2"/>
    </row>
    <row r="58" spans="1:31">
      <c r="A58" s="2">
        <f t="shared" si="13"/>
        <v>56</v>
      </c>
      <c r="B58" s="156">
        <f t="shared" si="1"/>
        <v>1900</v>
      </c>
      <c r="C58" s="129">
        <f t="shared" si="2"/>
        <v>1900</v>
      </c>
      <c r="I58" s="31" t="str">
        <f>IFERROR(VLOOKUP(GA[[#This Row],[Date]],Raw_Data[[#All],[Date]:[Sunset Time (POA&lt;20 W/m2)]],3,0),"")</f>
        <v/>
      </c>
      <c r="J58" s="31" t="str">
        <f>IFERROR(VLOOKUP(GA[[#This Row],[Date]],Raw_Data[[#All],[Date]:[Sunset Time (POA&lt;20 W/m2)]],4,0),"")</f>
        <v/>
      </c>
      <c r="K58" s="30" t="str">
        <f>IFERROR((GA[[#This Row],[Sunset Time (POA&lt;20 W/m2)]]-GA[[#This Row],[Sunrise Time (POA&gt;20 W/m2)]])*24,"")</f>
        <v/>
      </c>
      <c r="M58" s="17" t="str">
        <f>IFERROR(VLOOKUP(GA[[#This Row],[Affceted Equipment]],'Basic Data'!$A$1:$B$113,2,0),"")</f>
        <v/>
      </c>
      <c r="P58" s="28" t="str">
        <f>IFERROR(VLOOKUP(GA[[#This Row],[Affceted Equipment]],'Basic Data'!$A$2:$C$118,3,0),"")</f>
        <v/>
      </c>
      <c r="Q58" s="2"/>
      <c r="W58" s="34"/>
      <c r="X58" s="35"/>
      <c r="Y58" s="35"/>
      <c r="Z58" s="2"/>
      <c r="AA58" s="2"/>
      <c r="AB58" s="2" t="str">
        <f>IFERROR(GA[[#This Row],[Plant Equivalent Weightage]]*GA[[#This Row],[Resolution Time]],"")</f>
        <v/>
      </c>
      <c r="AC58" s="2"/>
      <c r="AD58" s="32" t="str">
        <f>IFERROR((_xlfn.XLOOKUP(GA[[#This Row],[Month Year]],'Modelling New'!D:D,'Modelling New'!$O:$O)*GA[[#This Row],[Lost POA (Wh/m2)]]*GA[[#This Row],[DC Capacity Affceted (kW)]])/1000,"")</f>
        <v/>
      </c>
      <c r="AE58" s="2"/>
    </row>
    <row r="59" spans="1:31">
      <c r="A59" s="2">
        <f t="shared" si="13"/>
        <v>57</v>
      </c>
      <c r="B59" s="156">
        <f t="shared" si="1"/>
        <v>1900</v>
      </c>
      <c r="C59" s="129">
        <f t="shared" si="2"/>
        <v>1900</v>
      </c>
      <c r="I59" s="31" t="str">
        <f>IFERROR(VLOOKUP(GA[[#This Row],[Date]],Raw_Data[[#All],[Date]:[Sunset Time (POA&lt;20 W/m2)]],3,0),"")</f>
        <v/>
      </c>
      <c r="J59" s="31" t="str">
        <f>IFERROR(VLOOKUP(GA[[#This Row],[Date]],Raw_Data[[#All],[Date]:[Sunset Time (POA&lt;20 W/m2)]],4,0),"")</f>
        <v/>
      </c>
      <c r="K59" s="30" t="str">
        <f>IFERROR((GA[[#This Row],[Sunset Time (POA&lt;20 W/m2)]]-GA[[#This Row],[Sunrise Time (POA&gt;20 W/m2)]])*24,"")</f>
        <v/>
      </c>
      <c r="M59" s="17" t="str">
        <f>IFERROR(VLOOKUP(GA[[#This Row],[Affceted Equipment]],'Basic Data'!$A$1:$B$113,2,0),"")</f>
        <v/>
      </c>
      <c r="P59" s="28" t="str">
        <f>IFERROR(VLOOKUP(GA[[#This Row],[Affceted Equipment]],'Basic Data'!$A$2:$C$118,3,0),"")</f>
        <v/>
      </c>
      <c r="Q59" s="2"/>
      <c r="W59" s="34"/>
      <c r="X59" s="35"/>
      <c r="Y59" s="35"/>
      <c r="Z59" s="2"/>
      <c r="AA59" s="2"/>
      <c r="AB59" s="2" t="str">
        <f>IFERROR(GA[[#This Row],[Plant Equivalent Weightage]]*GA[[#This Row],[Resolution Time]],"")</f>
        <v/>
      </c>
      <c r="AC59" s="2"/>
      <c r="AD59" s="32" t="str">
        <f>IFERROR((_xlfn.XLOOKUP(GA[[#This Row],[Month Year]],'Modelling New'!D:D,'Modelling New'!$O:$O)*GA[[#This Row],[Lost POA (Wh/m2)]]*GA[[#This Row],[DC Capacity Affceted (kW)]])/1000,"")</f>
        <v/>
      </c>
      <c r="AE59" s="2"/>
    </row>
    <row r="60" spans="1:31">
      <c r="A60" s="2">
        <f t="shared" si="13"/>
        <v>58</v>
      </c>
      <c r="B60" s="156">
        <f t="shared" si="1"/>
        <v>1900</v>
      </c>
      <c r="C60" s="129">
        <f t="shared" si="2"/>
        <v>1900</v>
      </c>
      <c r="I60" s="31" t="str">
        <f>IFERROR(VLOOKUP(GA[[#This Row],[Date]],Raw_Data[[#All],[Date]:[Sunset Time (POA&lt;20 W/m2)]],3,0),"")</f>
        <v/>
      </c>
      <c r="J60" s="31" t="str">
        <f>IFERROR(VLOOKUP(GA[[#This Row],[Date]],Raw_Data[[#All],[Date]:[Sunset Time (POA&lt;20 W/m2)]],4,0),"")</f>
        <v/>
      </c>
      <c r="K60" s="30" t="str">
        <f>IFERROR((GA[[#This Row],[Sunset Time (POA&lt;20 W/m2)]]-GA[[#This Row],[Sunrise Time (POA&gt;20 W/m2)]])*24,"")</f>
        <v/>
      </c>
      <c r="M60" s="17" t="str">
        <f>IFERROR(VLOOKUP(GA[[#This Row],[Affceted Equipment]],'Basic Data'!$A$1:$B$113,2,0),"")</f>
        <v/>
      </c>
      <c r="P60" s="28" t="str">
        <f>IFERROR(VLOOKUP(GA[[#This Row],[Affceted Equipment]],'Basic Data'!$A$2:$C$118,3,0),"")</f>
        <v/>
      </c>
      <c r="Q60" s="2"/>
      <c r="W60" s="34"/>
      <c r="X60" s="35"/>
      <c r="Y60" s="35"/>
      <c r="Z60" s="2"/>
      <c r="AA60" s="2"/>
      <c r="AB60" s="2" t="str">
        <f>IFERROR(GA[[#This Row],[Plant Equivalent Weightage]]*GA[[#This Row],[Resolution Time]],"")</f>
        <v/>
      </c>
      <c r="AC60" s="2"/>
      <c r="AD60" s="32" t="str">
        <f>IFERROR((_xlfn.XLOOKUP(GA[[#This Row],[Month Year]],'Modelling New'!D:D,'Modelling New'!$O:$O)*GA[[#This Row],[Lost POA (Wh/m2)]]*GA[[#This Row],[DC Capacity Affceted (kW)]])/1000,"")</f>
        <v/>
      </c>
      <c r="AE60" s="2"/>
    </row>
    <row r="61" spans="1:31">
      <c r="A61" s="2">
        <f t="shared" si="13"/>
        <v>59</v>
      </c>
      <c r="B61" s="156">
        <f t="shared" si="1"/>
        <v>1900</v>
      </c>
      <c r="C61" s="129">
        <f t="shared" si="2"/>
        <v>1900</v>
      </c>
      <c r="I61" s="31" t="str">
        <f>IFERROR(VLOOKUP(GA[[#This Row],[Date]],Raw_Data[[#All],[Date]:[Sunset Time (POA&lt;20 W/m2)]],3,0),"")</f>
        <v/>
      </c>
      <c r="J61" s="31" t="str">
        <f>IFERROR(VLOOKUP(GA[[#This Row],[Date]],Raw_Data[[#All],[Date]:[Sunset Time (POA&lt;20 W/m2)]],4,0),"")</f>
        <v/>
      </c>
      <c r="K61" s="30" t="str">
        <f>IFERROR((GA[[#This Row],[Sunset Time (POA&lt;20 W/m2)]]-GA[[#This Row],[Sunrise Time (POA&gt;20 W/m2)]])*24,"")</f>
        <v/>
      </c>
      <c r="M61" s="17" t="str">
        <f>IFERROR(VLOOKUP(GA[[#This Row],[Affceted Equipment]],'Basic Data'!$A$1:$B$113,2,0),"")</f>
        <v/>
      </c>
      <c r="P61" s="28" t="str">
        <f>IFERROR(VLOOKUP(GA[[#This Row],[Affceted Equipment]],'Basic Data'!$A$2:$C$118,3,0),"")</f>
        <v/>
      </c>
      <c r="Q61" s="2"/>
      <c r="W61" s="34"/>
      <c r="X61" s="35"/>
      <c r="Y61" s="35"/>
      <c r="Z61" s="2"/>
      <c r="AA61" s="2"/>
      <c r="AB61" s="2" t="str">
        <f>IFERROR(GA[[#This Row],[Plant Equivalent Weightage]]*GA[[#This Row],[Resolution Time]],"")</f>
        <v/>
      </c>
      <c r="AC61" s="2"/>
      <c r="AD61" s="32" t="str">
        <f>IFERROR((_xlfn.XLOOKUP(GA[[#This Row],[Month Year]],'Modelling New'!D:D,'Modelling New'!$O:$O)*GA[[#This Row],[Lost POA (Wh/m2)]]*GA[[#This Row],[DC Capacity Affceted (kW)]])/1000,"")</f>
        <v/>
      </c>
      <c r="AE61" s="2"/>
    </row>
    <row r="62" spans="1:31">
      <c r="A62" s="2">
        <f t="shared" si="13"/>
        <v>60</v>
      </c>
      <c r="B62" s="156">
        <f t="shared" si="1"/>
        <v>1900</v>
      </c>
      <c r="C62" s="129">
        <f t="shared" si="2"/>
        <v>1900</v>
      </c>
      <c r="I62" s="31" t="str">
        <f>IFERROR(VLOOKUP(GA[[#This Row],[Date]],Raw_Data[[#All],[Date]:[Sunset Time (POA&lt;20 W/m2)]],3,0),"")</f>
        <v/>
      </c>
      <c r="J62" s="31" t="str">
        <f>IFERROR(VLOOKUP(GA[[#This Row],[Date]],Raw_Data[[#All],[Date]:[Sunset Time (POA&lt;20 W/m2)]],4,0),"")</f>
        <v/>
      </c>
      <c r="K62" s="30" t="str">
        <f>IFERROR((GA[[#This Row],[Sunset Time (POA&lt;20 W/m2)]]-GA[[#This Row],[Sunrise Time (POA&gt;20 W/m2)]])*24,"")</f>
        <v/>
      </c>
      <c r="M62" s="17" t="str">
        <f>IFERROR(VLOOKUP(GA[[#This Row],[Affceted Equipment]],'Basic Data'!$A$1:$B$113,2,0),"")</f>
        <v/>
      </c>
      <c r="P62" s="28" t="str">
        <f>IFERROR(VLOOKUP(GA[[#This Row],[Affceted Equipment]],'Basic Data'!$A$2:$C$118,3,0),"")</f>
        <v/>
      </c>
      <c r="Q62" s="2"/>
      <c r="W62" s="34"/>
      <c r="X62" s="35"/>
      <c r="Y62" s="35"/>
      <c r="Z62" s="2"/>
      <c r="AA62" s="2"/>
      <c r="AB62" s="2" t="str">
        <f>IFERROR(GA[[#This Row],[Plant Equivalent Weightage]]*GA[[#This Row],[Resolution Time]],"")</f>
        <v/>
      </c>
      <c r="AC62" s="2"/>
      <c r="AD62" s="32" t="str">
        <f>IFERROR((_xlfn.XLOOKUP(GA[[#This Row],[Month Year]],'Modelling New'!D:D,'Modelling New'!$O:$O)*GA[[#This Row],[Lost POA (Wh/m2)]]*GA[[#This Row],[DC Capacity Affceted (kW)]])/1000,"")</f>
        <v/>
      </c>
      <c r="AE62" s="2"/>
    </row>
    <row r="63" spans="1:31">
      <c r="A63" s="2">
        <f t="shared" si="13"/>
        <v>61</v>
      </c>
      <c r="B63" s="156">
        <f t="shared" si="1"/>
        <v>1900</v>
      </c>
      <c r="C63" s="129">
        <f t="shared" si="2"/>
        <v>1900</v>
      </c>
      <c r="I63" s="31" t="str">
        <f>IFERROR(VLOOKUP(GA[[#This Row],[Date]],Raw_Data[[#All],[Date]:[Sunset Time (POA&lt;20 W/m2)]],3,0),"")</f>
        <v/>
      </c>
      <c r="J63" s="31" t="str">
        <f>IFERROR(VLOOKUP(GA[[#This Row],[Date]],Raw_Data[[#All],[Date]:[Sunset Time (POA&lt;20 W/m2)]],4,0),"")</f>
        <v/>
      </c>
      <c r="K63" s="30" t="str">
        <f>IFERROR((GA[[#This Row],[Sunset Time (POA&lt;20 W/m2)]]-GA[[#This Row],[Sunrise Time (POA&gt;20 W/m2)]])*24,"")</f>
        <v/>
      </c>
      <c r="M63" s="17" t="str">
        <f>IFERROR(VLOOKUP(GA[[#This Row],[Affceted Equipment]],'Basic Data'!$A$1:$B$113,2,0),"")</f>
        <v/>
      </c>
      <c r="P63" s="28" t="str">
        <f>IFERROR(VLOOKUP(GA[[#This Row],[Affceted Equipment]],'Basic Data'!$A$2:$C$118,3,0),"")</f>
        <v/>
      </c>
      <c r="Q63" s="2"/>
      <c r="W63" s="34"/>
      <c r="X63" s="35"/>
      <c r="Y63" s="35"/>
      <c r="Z63" s="2"/>
      <c r="AA63" s="2"/>
      <c r="AB63" s="2" t="str">
        <f>IFERROR(GA[[#This Row],[Plant Equivalent Weightage]]*GA[[#This Row],[Resolution Time]],"")</f>
        <v/>
      </c>
      <c r="AC63" s="2"/>
      <c r="AD63" s="32" t="str">
        <f>IFERROR((_xlfn.XLOOKUP(GA[[#This Row],[Month Year]],'Modelling New'!D:D,'Modelling New'!$O:$O)*GA[[#This Row],[Lost POA (Wh/m2)]]*GA[[#This Row],[DC Capacity Affceted (kW)]])/1000,"")</f>
        <v/>
      </c>
      <c r="AE63" s="2"/>
    </row>
    <row r="64" spans="1:31">
      <c r="A64" s="2">
        <f t="shared" si="13"/>
        <v>62</v>
      </c>
      <c r="B64" s="156">
        <f t="shared" si="1"/>
        <v>1900</v>
      </c>
      <c r="C64" s="129">
        <f t="shared" si="2"/>
        <v>1900</v>
      </c>
      <c r="I64" s="31" t="str">
        <f>IFERROR(VLOOKUP(GA[[#This Row],[Date]],Raw_Data[[#All],[Date]:[Sunset Time (POA&lt;20 W/m2)]],3,0),"")</f>
        <v/>
      </c>
      <c r="J64" s="31" t="str">
        <f>IFERROR(VLOOKUP(GA[[#This Row],[Date]],Raw_Data[[#All],[Date]:[Sunset Time (POA&lt;20 W/m2)]],4,0),"")</f>
        <v/>
      </c>
      <c r="K64" s="30" t="str">
        <f>IFERROR((GA[[#This Row],[Sunset Time (POA&lt;20 W/m2)]]-GA[[#This Row],[Sunrise Time (POA&gt;20 W/m2)]])*24,"")</f>
        <v/>
      </c>
      <c r="M64" s="17" t="str">
        <f>IFERROR(VLOOKUP(GA[[#This Row],[Affceted Equipment]],'Basic Data'!$A$1:$B$113,2,0),"")</f>
        <v/>
      </c>
      <c r="P64" s="28" t="str">
        <f>IFERROR(VLOOKUP(GA[[#This Row],[Affceted Equipment]],'Basic Data'!$A$2:$C$118,3,0),"")</f>
        <v/>
      </c>
      <c r="Q64" s="2"/>
      <c r="W64" s="34"/>
      <c r="X64" s="35"/>
      <c r="Y64" s="35"/>
      <c r="Z64" s="2"/>
      <c r="AA64" s="2"/>
      <c r="AB64" s="2" t="str">
        <f>IFERROR(GA[[#This Row],[Plant Equivalent Weightage]]*GA[[#This Row],[Resolution Time]],"")</f>
        <v/>
      </c>
      <c r="AC64" s="2"/>
      <c r="AD64" s="32" t="str">
        <f>IFERROR((_xlfn.XLOOKUP(GA[[#This Row],[Month Year]],'Modelling New'!D:D,'Modelling New'!$O:$O)*GA[[#This Row],[Lost POA (Wh/m2)]]*GA[[#This Row],[DC Capacity Affceted (kW)]])/1000,"")</f>
        <v/>
      </c>
      <c r="AE64" s="2"/>
    </row>
    <row r="65" spans="1:31">
      <c r="A65" s="2">
        <f t="shared" si="13"/>
        <v>63</v>
      </c>
      <c r="B65" s="156">
        <f t="shared" si="1"/>
        <v>1900</v>
      </c>
      <c r="C65" s="129">
        <f t="shared" si="2"/>
        <v>1900</v>
      </c>
      <c r="I65" s="31" t="str">
        <f>IFERROR(VLOOKUP(GA[[#This Row],[Date]],Raw_Data[[#All],[Date]:[Sunset Time (POA&lt;20 W/m2)]],3,0),"")</f>
        <v/>
      </c>
      <c r="J65" s="31" t="str">
        <f>IFERROR(VLOOKUP(GA[[#This Row],[Date]],Raw_Data[[#All],[Date]:[Sunset Time (POA&lt;20 W/m2)]],4,0),"")</f>
        <v/>
      </c>
      <c r="K65" s="30" t="str">
        <f>IFERROR((GA[[#This Row],[Sunset Time (POA&lt;20 W/m2)]]-GA[[#This Row],[Sunrise Time (POA&gt;20 W/m2)]])*24,"")</f>
        <v/>
      </c>
      <c r="M65" s="17" t="str">
        <f>IFERROR(VLOOKUP(GA[[#This Row],[Affceted Equipment]],'Basic Data'!$A$1:$B$113,2,0),"")</f>
        <v/>
      </c>
      <c r="P65" s="28" t="str">
        <f>IFERROR(VLOOKUP(GA[[#This Row],[Affceted Equipment]],'Basic Data'!$A$2:$C$118,3,0),"")</f>
        <v/>
      </c>
      <c r="Q65" s="2"/>
      <c r="W65" s="34"/>
      <c r="X65" s="35"/>
      <c r="Y65" s="35"/>
      <c r="Z65" s="2"/>
      <c r="AA65" s="2"/>
      <c r="AB65" s="2" t="str">
        <f>IFERROR(GA[[#This Row],[Plant Equivalent Weightage]]*GA[[#This Row],[Resolution Time]],"")</f>
        <v/>
      </c>
      <c r="AC65" s="2"/>
      <c r="AD65" s="32" t="str">
        <f>IFERROR((_xlfn.XLOOKUP(GA[[#This Row],[Month Year]],'Modelling New'!D:D,'Modelling New'!$O:$O)*GA[[#This Row],[Lost POA (Wh/m2)]]*GA[[#This Row],[DC Capacity Affceted (kW)]])/1000,"")</f>
        <v/>
      </c>
      <c r="AE65" s="2"/>
    </row>
    <row r="66" spans="1:31">
      <c r="A66" s="2">
        <f t="shared" si="13"/>
        <v>64</v>
      </c>
      <c r="B66" s="156">
        <f t="shared" si="1"/>
        <v>1900</v>
      </c>
      <c r="C66" s="129">
        <f t="shared" si="2"/>
        <v>1900</v>
      </c>
      <c r="I66" s="31" t="str">
        <f>IFERROR(VLOOKUP(GA[[#This Row],[Date]],Raw_Data[[#All],[Date]:[Sunset Time (POA&lt;20 W/m2)]],3,0),"")</f>
        <v/>
      </c>
      <c r="J66" s="31" t="str">
        <f>IFERROR(VLOOKUP(GA[[#This Row],[Date]],Raw_Data[[#All],[Date]:[Sunset Time (POA&lt;20 W/m2)]],4,0),"")</f>
        <v/>
      </c>
      <c r="K66" s="30" t="str">
        <f>IFERROR((GA[[#This Row],[Sunset Time (POA&lt;20 W/m2)]]-GA[[#This Row],[Sunrise Time (POA&gt;20 W/m2)]])*24,"")</f>
        <v/>
      </c>
      <c r="M66" s="17" t="str">
        <f>IFERROR(VLOOKUP(GA[[#This Row],[Affceted Equipment]],'Basic Data'!$A$1:$B$113,2,0),"")</f>
        <v/>
      </c>
      <c r="P66" s="28" t="str">
        <f>IFERROR(VLOOKUP(GA[[#This Row],[Affceted Equipment]],'Basic Data'!$A$2:$C$118,3,0),"")</f>
        <v/>
      </c>
      <c r="Q66" s="2"/>
      <c r="W66" s="34"/>
      <c r="X66" s="35"/>
      <c r="Y66" s="35"/>
      <c r="Z66" s="2"/>
      <c r="AA66" s="2"/>
      <c r="AB66" s="2" t="str">
        <f>IFERROR(GA[[#This Row],[Plant Equivalent Weightage]]*GA[[#This Row],[Resolution Time]],"")</f>
        <v/>
      </c>
      <c r="AC66" s="2"/>
      <c r="AD66" s="32" t="str">
        <f>IFERROR((_xlfn.XLOOKUP(GA[[#This Row],[Month Year]],'Modelling New'!D:D,'Modelling New'!$O:$O)*GA[[#This Row],[Lost POA (Wh/m2)]]*GA[[#This Row],[DC Capacity Affceted (kW)]])/1000,"")</f>
        <v/>
      </c>
      <c r="AE66" s="2"/>
    </row>
    <row r="67" spans="1:31">
      <c r="A67" s="2">
        <f t="shared" si="13"/>
        <v>65</v>
      </c>
      <c r="B67" s="156">
        <f t="shared" si="1"/>
        <v>1900</v>
      </c>
      <c r="C67" s="129">
        <f t="shared" si="2"/>
        <v>1900</v>
      </c>
      <c r="I67" s="31" t="str">
        <f>IFERROR(VLOOKUP(GA[[#This Row],[Date]],Raw_Data[[#All],[Date]:[Sunset Time (POA&lt;20 W/m2)]],3,0),"")</f>
        <v/>
      </c>
      <c r="J67" s="31" t="str">
        <f>IFERROR(VLOOKUP(GA[[#This Row],[Date]],Raw_Data[[#All],[Date]:[Sunset Time (POA&lt;20 W/m2)]],4,0),"")</f>
        <v/>
      </c>
      <c r="K67" s="30" t="str">
        <f>IFERROR((GA[[#This Row],[Sunset Time (POA&lt;20 W/m2)]]-GA[[#This Row],[Sunrise Time (POA&gt;20 W/m2)]])*24,"")</f>
        <v/>
      </c>
      <c r="M67" s="17" t="str">
        <f>IFERROR(VLOOKUP(GA[[#This Row],[Affceted Equipment]],'Basic Data'!$A$1:$B$113,2,0),"")</f>
        <v/>
      </c>
      <c r="P67" s="28" t="str">
        <f>IFERROR(VLOOKUP(GA[[#This Row],[Affceted Equipment]],'Basic Data'!$A$2:$C$118,3,0),"")</f>
        <v/>
      </c>
      <c r="Q67" s="2"/>
      <c r="W67" s="34"/>
      <c r="X67" s="35"/>
      <c r="Y67" s="35"/>
      <c r="Z67" s="2"/>
      <c r="AA67" s="2"/>
      <c r="AB67" s="2" t="str">
        <f>IFERROR(GA[[#This Row],[Plant Equivalent Weightage]]*GA[[#This Row],[Resolution Time]],"")</f>
        <v/>
      </c>
      <c r="AC67" s="2"/>
      <c r="AD67" s="32" t="str">
        <f>IFERROR((_xlfn.XLOOKUP(GA[[#This Row],[Month Year]],'Modelling New'!D:D,'Modelling New'!$O:$O)*GA[[#This Row],[Lost POA (Wh/m2)]]*GA[[#This Row],[DC Capacity Affceted (kW)]])/1000,"")</f>
        <v/>
      </c>
      <c r="AE67" s="2"/>
    </row>
    <row r="68" spans="1:31">
      <c r="A68" s="2">
        <f t="shared" si="13"/>
        <v>66</v>
      </c>
      <c r="B68" s="156">
        <f t="shared" ref="B68:B131" si="14">YEAR(H68)+IF(MONTH(H68)&gt;=4,1,0)</f>
        <v>1900</v>
      </c>
      <c r="C68" s="129">
        <f t="shared" ref="C68:C131" si="15">YEAR(H68)</f>
        <v>1900</v>
      </c>
      <c r="I68" s="31" t="str">
        <f>IFERROR(VLOOKUP(GA[[#This Row],[Date]],Raw_Data[[#All],[Date]:[Sunset Time (POA&lt;20 W/m2)]],3,0),"")</f>
        <v/>
      </c>
      <c r="J68" s="31" t="str">
        <f>IFERROR(VLOOKUP(GA[[#This Row],[Date]],Raw_Data[[#All],[Date]:[Sunset Time (POA&lt;20 W/m2)]],4,0),"")</f>
        <v/>
      </c>
      <c r="K68" s="30" t="str">
        <f>IFERROR((GA[[#This Row],[Sunset Time (POA&lt;20 W/m2)]]-GA[[#This Row],[Sunrise Time (POA&gt;20 W/m2)]])*24,"")</f>
        <v/>
      </c>
      <c r="M68" s="17" t="str">
        <f>IFERROR(VLOOKUP(GA[[#This Row],[Affceted Equipment]],'Basic Data'!$A$1:$B$113,2,0),"")</f>
        <v/>
      </c>
      <c r="P68" s="28" t="str">
        <f>IFERROR(VLOOKUP(GA[[#This Row],[Affceted Equipment]],'Basic Data'!$A$2:$C$118,3,0),"")</f>
        <v/>
      </c>
      <c r="Q68" s="2"/>
      <c r="W68" s="34"/>
      <c r="X68" s="35"/>
      <c r="Y68" s="35"/>
      <c r="Z68" s="2"/>
      <c r="AA68" s="2"/>
      <c r="AB68" s="2" t="str">
        <f>IFERROR(GA[[#This Row],[Plant Equivalent Weightage]]*GA[[#This Row],[Resolution Time]],"")</f>
        <v/>
      </c>
      <c r="AC68" s="2"/>
      <c r="AD68" s="32" t="str">
        <f>IFERROR((_xlfn.XLOOKUP(GA[[#This Row],[Month Year]],'Modelling New'!D:D,'Modelling New'!$O:$O)*GA[[#This Row],[Lost POA (Wh/m2)]]*GA[[#This Row],[DC Capacity Affceted (kW)]])/1000,"")</f>
        <v/>
      </c>
      <c r="AE68" s="2"/>
    </row>
    <row r="69" spans="1:31">
      <c r="A69" s="2">
        <f t="shared" si="13"/>
        <v>67</v>
      </c>
      <c r="B69" s="156">
        <f t="shared" si="14"/>
        <v>1900</v>
      </c>
      <c r="C69" s="129">
        <f t="shared" si="15"/>
        <v>1900</v>
      </c>
      <c r="I69" s="31" t="str">
        <f>IFERROR(VLOOKUP(GA[[#This Row],[Date]],Raw_Data[[#All],[Date]:[Sunset Time (POA&lt;20 W/m2)]],3,0),"")</f>
        <v/>
      </c>
      <c r="J69" s="31" t="str">
        <f>IFERROR(VLOOKUP(GA[[#This Row],[Date]],Raw_Data[[#All],[Date]:[Sunset Time (POA&lt;20 W/m2)]],4,0),"")</f>
        <v/>
      </c>
      <c r="K69" s="30" t="str">
        <f>IFERROR((GA[[#This Row],[Sunset Time (POA&lt;20 W/m2)]]-GA[[#This Row],[Sunrise Time (POA&gt;20 W/m2)]])*24,"")</f>
        <v/>
      </c>
      <c r="M69" s="17" t="str">
        <f>IFERROR(VLOOKUP(GA[[#This Row],[Affceted Equipment]],'Basic Data'!$A$1:$B$113,2,0),"")</f>
        <v/>
      </c>
      <c r="P69" s="28" t="str">
        <f>IFERROR(VLOOKUP(GA[[#This Row],[Affceted Equipment]],'Basic Data'!$A$2:$C$118,3,0),"")</f>
        <v/>
      </c>
      <c r="Q69" s="2"/>
      <c r="W69" s="34"/>
      <c r="X69" s="35"/>
      <c r="Y69" s="35"/>
      <c r="Z69" s="2"/>
      <c r="AA69" s="2"/>
      <c r="AB69" s="2" t="str">
        <f>IFERROR(GA[[#This Row],[Plant Equivalent Weightage]]*GA[[#This Row],[Resolution Time]],"")</f>
        <v/>
      </c>
      <c r="AC69" s="2"/>
      <c r="AD69" s="32" t="str">
        <f>IFERROR((_xlfn.XLOOKUP(GA[[#This Row],[Month Year]],'Modelling New'!D:D,'Modelling New'!$O:$O)*GA[[#This Row],[Lost POA (Wh/m2)]]*GA[[#This Row],[DC Capacity Affceted (kW)]])/1000,"")</f>
        <v/>
      </c>
      <c r="AE69" s="2"/>
    </row>
    <row r="70" spans="1:31">
      <c r="A70" s="2">
        <f t="shared" si="13"/>
        <v>68</v>
      </c>
      <c r="B70" s="156">
        <f t="shared" si="14"/>
        <v>1900</v>
      </c>
      <c r="C70" s="129">
        <f t="shared" si="15"/>
        <v>1900</v>
      </c>
      <c r="I70" s="31" t="str">
        <f>IFERROR(VLOOKUP(GA[[#This Row],[Date]],Raw_Data[[#All],[Date]:[Sunset Time (POA&lt;20 W/m2)]],3,0),"")</f>
        <v/>
      </c>
      <c r="J70" s="31" t="str">
        <f>IFERROR(VLOOKUP(GA[[#This Row],[Date]],Raw_Data[[#All],[Date]:[Sunset Time (POA&lt;20 W/m2)]],4,0),"")</f>
        <v/>
      </c>
      <c r="K70" s="30" t="str">
        <f>IFERROR((GA[[#This Row],[Sunset Time (POA&lt;20 W/m2)]]-GA[[#This Row],[Sunrise Time (POA&gt;20 W/m2)]])*24,"")</f>
        <v/>
      </c>
      <c r="M70" s="17" t="str">
        <f>IFERROR(VLOOKUP(GA[[#This Row],[Affceted Equipment]],'Basic Data'!$A$1:$B$113,2,0),"")</f>
        <v/>
      </c>
      <c r="P70" s="28" t="str">
        <f>IFERROR(VLOOKUP(GA[[#This Row],[Affceted Equipment]],'Basic Data'!$A$2:$C$118,3,0),"")</f>
        <v/>
      </c>
      <c r="Q70" s="2"/>
      <c r="W70" s="34"/>
      <c r="X70" s="35"/>
      <c r="Y70" s="35"/>
      <c r="Z70" s="2"/>
      <c r="AA70" s="2"/>
      <c r="AB70" s="2" t="str">
        <f>IFERROR(GA[[#This Row],[Plant Equivalent Weightage]]*GA[[#This Row],[Resolution Time]],"")</f>
        <v/>
      </c>
      <c r="AC70" s="2"/>
      <c r="AD70" s="32" t="str">
        <f>IFERROR((_xlfn.XLOOKUP(GA[[#This Row],[Month Year]],'Modelling New'!D:D,'Modelling New'!$O:$O)*GA[[#This Row],[Lost POA (Wh/m2)]]*GA[[#This Row],[DC Capacity Affceted (kW)]])/1000,"")</f>
        <v/>
      </c>
      <c r="AE70" s="2"/>
    </row>
    <row r="71" spans="1:31">
      <c r="A71" s="2">
        <f t="shared" si="13"/>
        <v>69</v>
      </c>
      <c r="B71" s="156">
        <f t="shared" si="14"/>
        <v>1900</v>
      </c>
      <c r="C71" s="129">
        <f t="shared" si="15"/>
        <v>1900</v>
      </c>
      <c r="I71" s="31" t="str">
        <f>IFERROR(VLOOKUP(GA[[#This Row],[Date]],Raw_Data[[#All],[Date]:[Sunset Time (POA&lt;20 W/m2)]],3,0),"")</f>
        <v/>
      </c>
      <c r="J71" s="31" t="str">
        <f>IFERROR(VLOOKUP(GA[[#This Row],[Date]],Raw_Data[[#All],[Date]:[Sunset Time (POA&lt;20 W/m2)]],4,0),"")</f>
        <v/>
      </c>
      <c r="K71" s="30" t="str">
        <f>IFERROR((GA[[#This Row],[Sunset Time (POA&lt;20 W/m2)]]-GA[[#This Row],[Sunrise Time (POA&gt;20 W/m2)]])*24,"")</f>
        <v/>
      </c>
      <c r="M71" s="17" t="str">
        <f>IFERROR(VLOOKUP(GA[[#This Row],[Affceted Equipment]],'Basic Data'!$A$1:$B$113,2,0),"")</f>
        <v/>
      </c>
      <c r="P71" s="28" t="str">
        <f>IFERROR(VLOOKUP(GA[[#This Row],[Affceted Equipment]],'Basic Data'!$A$2:$C$118,3,0),"")</f>
        <v/>
      </c>
      <c r="Q71" s="2"/>
      <c r="W71" s="34"/>
      <c r="X71" s="35"/>
      <c r="Y71" s="35"/>
      <c r="Z71" s="2"/>
      <c r="AA71" s="2"/>
      <c r="AB71" s="2" t="str">
        <f>IFERROR(GA[[#This Row],[Plant Equivalent Weightage]]*GA[[#This Row],[Resolution Time]],"")</f>
        <v/>
      </c>
      <c r="AC71" s="2"/>
      <c r="AD71" s="32" t="str">
        <f>IFERROR((_xlfn.XLOOKUP(GA[[#This Row],[Month Year]],'Modelling New'!D:D,'Modelling New'!$O:$O)*GA[[#This Row],[Lost POA (Wh/m2)]]*GA[[#This Row],[DC Capacity Affceted (kW)]])/1000,"")</f>
        <v/>
      </c>
      <c r="AE71" s="2"/>
    </row>
    <row r="72" spans="1:31">
      <c r="A72" s="2">
        <f t="shared" si="13"/>
        <v>70</v>
      </c>
      <c r="B72" s="156">
        <f t="shared" si="14"/>
        <v>1900</v>
      </c>
      <c r="C72" s="129">
        <f t="shared" si="15"/>
        <v>1900</v>
      </c>
      <c r="I72" s="31" t="str">
        <f>IFERROR(VLOOKUP(GA[[#This Row],[Date]],Raw_Data[[#All],[Date]:[Sunset Time (POA&lt;20 W/m2)]],3,0),"")</f>
        <v/>
      </c>
      <c r="J72" s="31" t="str">
        <f>IFERROR(VLOOKUP(GA[[#This Row],[Date]],Raw_Data[[#All],[Date]:[Sunset Time (POA&lt;20 W/m2)]],4,0),"")</f>
        <v/>
      </c>
      <c r="K72" s="30" t="str">
        <f>IFERROR((GA[[#This Row],[Sunset Time (POA&lt;20 W/m2)]]-GA[[#This Row],[Sunrise Time (POA&gt;20 W/m2)]])*24,"")</f>
        <v/>
      </c>
      <c r="M72" s="17" t="str">
        <f>IFERROR(VLOOKUP(GA[[#This Row],[Affceted Equipment]],'Basic Data'!$A$1:$B$113,2,0),"")</f>
        <v/>
      </c>
      <c r="P72" s="28" t="str">
        <f>IFERROR(VLOOKUP(GA[[#This Row],[Affceted Equipment]],'Basic Data'!$A$2:$C$118,3,0),"")</f>
        <v/>
      </c>
      <c r="Q72" s="2"/>
      <c r="W72" s="34"/>
      <c r="X72" s="35"/>
      <c r="Y72" s="35"/>
      <c r="Z72" s="2"/>
      <c r="AA72" s="2"/>
      <c r="AB72" s="2" t="str">
        <f>IFERROR(GA[[#This Row],[Plant Equivalent Weightage]]*GA[[#This Row],[Resolution Time]],"")</f>
        <v/>
      </c>
      <c r="AC72" s="2"/>
      <c r="AD72" s="32" t="str">
        <f>IFERROR((_xlfn.XLOOKUP(GA[[#This Row],[Month Year]],'Modelling New'!D:D,'Modelling New'!$O:$O)*GA[[#This Row],[Lost POA (Wh/m2)]]*GA[[#This Row],[DC Capacity Affceted (kW)]])/1000,"")</f>
        <v/>
      </c>
      <c r="AE72" s="2"/>
    </row>
    <row r="73" spans="1:31">
      <c r="A73" s="2">
        <f t="shared" si="13"/>
        <v>71</v>
      </c>
      <c r="B73" s="156">
        <f t="shared" si="14"/>
        <v>1900</v>
      </c>
      <c r="C73" s="129">
        <f t="shared" si="15"/>
        <v>1900</v>
      </c>
      <c r="I73" s="31" t="str">
        <f>IFERROR(VLOOKUP(GA[[#This Row],[Date]],Raw_Data[[#All],[Date]:[Sunset Time (POA&lt;20 W/m2)]],3,0),"")</f>
        <v/>
      </c>
      <c r="J73" s="31" t="str">
        <f>IFERROR(VLOOKUP(GA[[#This Row],[Date]],Raw_Data[[#All],[Date]:[Sunset Time (POA&lt;20 W/m2)]],4,0),"")</f>
        <v/>
      </c>
      <c r="K73" s="30" t="str">
        <f>IFERROR((GA[[#This Row],[Sunset Time (POA&lt;20 W/m2)]]-GA[[#This Row],[Sunrise Time (POA&gt;20 W/m2)]])*24,"")</f>
        <v/>
      </c>
      <c r="M73" s="17" t="str">
        <f>IFERROR(VLOOKUP(GA[[#This Row],[Affceted Equipment]],'Basic Data'!$A$1:$B$113,2,0),"")</f>
        <v/>
      </c>
      <c r="P73" s="28" t="str">
        <f>IFERROR(VLOOKUP(GA[[#This Row],[Affceted Equipment]],'Basic Data'!$A$2:$C$118,3,0),"")</f>
        <v/>
      </c>
      <c r="Q73" s="2"/>
      <c r="W73" s="34"/>
      <c r="X73" s="35"/>
      <c r="Y73" s="35"/>
      <c r="Z73" s="2"/>
      <c r="AA73" s="2"/>
      <c r="AB73" s="2" t="str">
        <f>IFERROR(GA[[#This Row],[Plant Equivalent Weightage]]*GA[[#This Row],[Resolution Time]],"")</f>
        <v/>
      </c>
      <c r="AC73" s="2"/>
      <c r="AD73" s="32" t="str">
        <f>IFERROR((_xlfn.XLOOKUP(GA[[#This Row],[Month Year]],'Modelling New'!D:D,'Modelling New'!$O:$O)*GA[[#This Row],[Lost POA (Wh/m2)]]*GA[[#This Row],[DC Capacity Affceted (kW)]])/1000,"")</f>
        <v/>
      </c>
      <c r="AE73" s="2"/>
    </row>
    <row r="74" spans="1:31">
      <c r="A74" s="2">
        <f t="shared" si="13"/>
        <v>72</v>
      </c>
      <c r="B74" s="156">
        <f t="shared" si="14"/>
        <v>1900</v>
      </c>
      <c r="C74" s="129">
        <f t="shared" si="15"/>
        <v>1900</v>
      </c>
      <c r="I74" s="31" t="str">
        <f>IFERROR(VLOOKUP(GA[[#This Row],[Date]],Raw_Data[[#All],[Date]:[Sunset Time (POA&lt;20 W/m2)]],3,0),"")</f>
        <v/>
      </c>
      <c r="J74" s="31" t="str">
        <f>IFERROR(VLOOKUP(GA[[#This Row],[Date]],Raw_Data[[#All],[Date]:[Sunset Time (POA&lt;20 W/m2)]],4,0),"")</f>
        <v/>
      </c>
      <c r="K74" s="30" t="str">
        <f>IFERROR((GA[[#This Row],[Sunset Time (POA&lt;20 W/m2)]]-GA[[#This Row],[Sunrise Time (POA&gt;20 W/m2)]])*24,"")</f>
        <v/>
      </c>
      <c r="M74" s="17" t="str">
        <f>IFERROR(VLOOKUP(GA[[#This Row],[Affceted Equipment]],'Basic Data'!$A$1:$B$113,2,0),"")</f>
        <v/>
      </c>
      <c r="P74" s="28" t="str">
        <f>IFERROR(VLOOKUP(GA[[#This Row],[Affceted Equipment]],'Basic Data'!$A$2:$C$118,3,0),"")</f>
        <v/>
      </c>
      <c r="Q74" s="2"/>
      <c r="W74" s="34"/>
      <c r="X74" s="35"/>
      <c r="Y74" s="35"/>
      <c r="Z74" s="2"/>
      <c r="AA74" s="2"/>
      <c r="AB74" s="2" t="str">
        <f>IFERROR(GA[[#This Row],[Plant Equivalent Weightage]]*GA[[#This Row],[Resolution Time]],"")</f>
        <v/>
      </c>
      <c r="AC74" s="2"/>
      <c r="AD74" s="32" t="str">
        <f>IFERROR((_xlfn.XLOOKUP(GA[[#This Row],[Month Year]],'Modelling New'!D:D,'Modelling New'!$O:$O)*GA[[#This Row],[Lost POA (Wh/m2)]]*GA[[#This Row],[DC Capacity Affceted (kW)]])/1000,"")</f>
        <v/>
      </c>
      <c r="AE74" s="2"/>
    </row>
    <row r="75" spans="1:31">
      <c r="A75" s="2">
        <f t="shared" si="13"/>
        <v>73</v>
      </c>
      <c r="B75" s="156">
        <f t="shared" si="14"/>
        <v>1900</v>
      </c>
      <c r="C75" s="129">
        <f t="shared" si="15"/>
        <v>1900</v>
      </c>
      <c r="I75" s="31" t="str">
        <f>IFERROR(VLOOKUP(GA[[#This Row],[Date]],Raw_Data[[#All],[Date]:[Sunset Time (POA&lt;20 W/m2)]],3,0),"")</f>
        <v/>
      </c>
      <c r="J75" s="31" t="str">
        <f>IFERROR(VLOOKUP(GA[[#This Row],[Date]],Raw_Data[[#All],[Date]:[Sunset Time (POA&lt;20 W/m2)]],4,0),"")</f>
        <v/>
      </c>
      <c r="K75" s="30" t="str">
        <f>IFERROR((GA[[#This Row],[Sunset Time (POA&lt;20 W/m2)]]-GA[[#This Row],[Sunrise Time (POA&gt;20 W/m2)]])*24,"")</f>
        <v/>
      </c>
      <c r="M75" s="17" t="str">
        <f>IFERROR(VLOOKUP(GA[[#This Row],[Affceted Equipment]],'Basic Data'!$A$1:$B$113,2,0),"")</f>
        <v/>
      </c>
      <c r="P75" s="28" t="str">
        <f>IFERROR(VLOOKUP(GA[[#This Row],[Affceted Equipment]],'Basic Data'!$A$2:$C$118,3,0),"")</f>
        <v/>
      </c>
      <c r="Q75" s="2"/>
      <c r="W75" s="34"/>
      <c r="X75" s="35"/>
      <c r="Y75" s="35"/>
      <c r="Z75" s="2"/>
      <c r="AA75" s="2"/>
      <c r="AB75" s="2" t="str">
        <f>IFERROR(GA[[#This Row],[Plant Equivalent Weightage]]*GA[[#This Row],[Resolution Time]],"")</f>
        <v/>
      </c>
      <c r="AC75" s="2"/>
      <c r="AD75" s="32" t="str">
        <f>IFERROR((_xlfn.XLOOKUP(GA[[#This Row],[Month Year]],'Modelling New'!D:D,'Modelling New'!$O:$O)*GA[[#This Row],[Lost POA (Wh/m2)]]*GA[[#This Row],[DC Capacity Affceted (kW)]])/1000,"")</f>
        <v/>
      </c>
      <c r="AE75" s="2"/>
    </row>
    <row r="76" spans="1:31">
      <c r="A76" s="2">
        <f t="shared" si="13"/>
        <v>74</v>
      </c>
      <c r="B76" s="156">
        <f t="shared" si="14"/>
        <v>1900</v>
      </c>
      <c r="C76" s="129">
        <f t="shared" si="15"/>
        <v>1900</v>
      </c>
      <c r="I76" s="31" t="str">
        <f>IFERROR(VLOOKUP(GA[[#This Row],[Date]],Raw_Data[[#All],[Date]:[Sunset Time (POA&lt;20 W/m2)]],3,0),"")</f>
        <v/>
      </c>
      <c r="J76" s="31" t="str">
        <f>IFERROR(VLOOKUP(GA[[#This Row],[Date]],Raw_Data[[#All],[Date]:[Sunset Time (POA&lt;20 W/m2)]],4,0),"")</f>
        <v/>
      </c>
      <c r="K76" s="30" t="str">
        <f>IFERROR((GA[[#This Row],[Sunset Time (POA&lt;20 W/m2)]]-GA[[#This Row],[Sunrise Time (POA&gt;20 W/m2)]])*24,"")</f>
        <v/>
      </c>
      <c r="M76" s="17" t="str">
        <f>IFERROR(VLOOKUP(GA[[#This Row],[Affceted Equipment]],'Basic Data'!$A$1:$B$113,2,0),"")</f>
        <v/>
      </c>
      <c r="P76" s="28" t="str">
        <f>IFERROR(VLOOKUP(GA[[#This Row],[Affceted Equipment]],'Basic Data'!$A$2:$C$118,3,0),"")</f>
        <v/>
      </c>
      <c r="Q76" s="2"/>
      <c r="W76" s="34"/>
      <c r="X76" s="35"/>
      <c r="Y76" s="35"/>
      <c r="Z76" s="2"/>
      <c r="AA76" s="2"/>
      <c r="AB76" s="2" t="str">
        <f>IFERROR(GA[[#This Row],[Plant Equivalent Weightage]]*GA[[#This Row],[Resolution Time]],"")</f>
        <v/>
      </c>
      <c r="AC76" s="2"/>
      <c r="AD76" s="32" t="str">
        <f>IFERROR((_xlfn.XLOOKUP(GA[[#This Row],[Month Year]],'Modelling New'!D:D,'Modelling New'!$O:$O)*GA[[#This Row],[Lost POA (Wh/m2)]]*GA[[#This Row],[DC Capacity Affceted (kW)]])/1000,"")</f>
        <v/>
      </c>
      <c r="AE76" s="2"/>
    </row>
    <row r="77" spans="1:31">
      <c r="A77" s="2">
        <f t="shared" si="13"/>
        <v>75</v>
      </c>
      <c r="B77" s="156">
        <f t="shared" si="14"/>
        <v>1900</v>
      </c>
      <c r="C77" s="129">
        <f t="shared" si="15"/>
        <v>1900</v>
      </c>
      <c r="I77" s="31" t="str">
        <f>IFERROR(VLOOKUP(GA[[#This Row],[Date]],Raw_Data[[#All],[Date]:[Sunset Time (POA&lt;20 W/m2)]],3,0),"")</f>
        <v/>
      </c>
      <c r="J77" s="31" t="str">
        <f>IFERROR(VLOOKUP(GA[[#This Row],[Date]],Raw_Data[[#All],[Date]:[Sunset Time (POA&lt;20 W/m2)]],4,0),"")</f>
        <v/>
      </c>
      <c r="K77" s="30" t="str">
        <f>IFERROR((GA[[#This Row],[Sunset Time (POA&lt;20 W/m2)]]-GA[[#This Row],[Sunrise Time (POA&gt;20 W/m2)]])*24,"")</f>
        <v/>
      </c>
      <c r="M77" s="17" t="str">
        <f>IFERROR(VLOOKUP(GA[[#This Row],[Affceted Equipment]],'Basic Data'!$A$1:$B$113,2,0),"")</f>
        <v/>
      </c>
      <c r="P77" s="28" t="str">
        <f>IFERROR(VLOOKUP(GA[[#This Row],[Affceted Equipment]],'Basic Data'!$A$2:$C$118,3,0),"")</f>
        <v/>
      </c>
      <c r="Q77" s="2"/>
      <c r="W77" s="34"/>
      <c r="X77" s="35"/>
      <c r="Y77" s="35"/>
      <c r="Z77" s="2"/>
      <c r="AA77" s="2"/>
      <c r="AB77" s="2" t="str">
        <f>IFERROR(GA[[#This Row],[Plant Equivalent Weightage]]*GA[[#This Row],[Resolution Time]],"")</f>
        <v/>
      </c>
      <c r="AC77" s="2"/>
      <c r="AD77" s="32" t="str">
        <f>IFERROR((_xlfn.XLOOKUP(GA[[#This Row],[Month Year]],'Modelling New'!D:D,'Modelling New'!$O:$O)*GA[[#This Row],[Lost POA (Wh/m2)]]*GA[[#This Row],[DC Capacity Affceted (kW)]])/1000,"")</f>
        <v/>
      </c>
      <c r="AE77" s="2"/>
    </row>
    <row r="78" spans="1:31">
      <c r="A78" s="2">
        <f t="shared" si="13"/>
        <v>76</v>
      </c>
      <c r="B78" s="156">
        <f t="shared" si="14"/>
        <v>1900</v>
      </c>
      <c r="C78" s="129">
        <f t="shared" si="15"/>
        <v>1900</v>
      </c>
      <c r="I78" s="31" t="str">
        <f>IFERROR(VLOOKUP(GA[[#This Row],[Date]],Raw_Data[[#All],[Date]:[Sunset Time (POA&lt;20 W/m2)]],3,0),"")</f>
        <v/>
      </c>
      <c r="J78" s="31" t="str">
        <f>IFERROR(VLOOKUP(GA[[#This Row],[Date]],Raw_Data[[#All],[Date]:[Sunset Time (POA&lt;20 W/m2)]],4,0),"")</f>
        <v/>
      </c>
      <c r="K78" s="30" t="str">
        <f>IFERROR((GA[[#This Row],[Sunset Time (POA&lt;20 W/m2)]]-GA[[#This Row],[Sunrise Time (POA&gt;20 W/m2)]])*24,"")</f>
        <v/>
      </c>
      <c r="M78" s="17" t="str">
        <f>IFERROR(VLOOKUP(GA[[#This Row],[Affceted Equipment]],'Basic Data'!$A$1:$B$113,2,0),"")</f>
        <v/>
      </c>
      <c r="P78" s="28" t="str">
        <f>IFERROR(VLOOKUP(GA[[#This Row],[Affceted Equipment]],'Basic Data'!$A$2:$C$118,3,0),"")</f>
        <v/>
      </c>
      <c r="Q78" s="2"/>
      <c r="W78" s="34"/>
      <c r="X78" s="35"/>
      <c r="Y78" s="35"/>
      <c r="Z78" s="2"/>
      <c r="AA78" s="2"/>
      <c r="AB78" s="2" t="str">
        <f>IFERROR(GA[[#This Row],[Plant Equivalent Weightage]]*GA[[#This Row],[Resolution Time]],"")</f>
        <v/>
      </c>
      <c r="AC78" s="2"/>
      <c r="AD78" s="32" t="str">
        <f>IFERROR((_xlfn.XLOOKUP(GA[[#This Row],[Month Year]],'Modelling New'!D:D,'Modelling New'!$O:$O)*GA[[#This Row],[Lost POA (Wh/m2)]]*GA[[#This Row],[DC Capacity Affceted (kW)]])/1000,"")</f>
        <v/>
      </c>
      <c r="AE78" s="2"/>
    </row>
    <row r="79" spans="1:31">
      <c r="A79" s="2">
        <f t="shared" si="13"/>
        <v>77</v>
      </c>
      <c r="B79" s="156">
        <f t="shared" si="14"/>
        <v>1900</v>
      </c>
      <c r="C79" s="129">
        <f t="shared" si="15"/>
        <v>1900</v>
      </c>
      <c r="I79" s="31" t="str">
        <f>IFERROR(VLOOKUP(GA[[#This Row],[Date]],Raw_Data[[#All],[Date]:[Sunset Time (POA&lt;20 W/m2)]],3,0),"")</f>
        <v/>
      </c>
      <c r="J79" s="31" t="str">
        <f>IFERROR(VLOOKUP(GA[[#This Row],[Date]],Raw_Data[[#All],[Date]:[Sunset Time (POA&lt;20 W/m2)]],4,0),"")</f>
        <v/>
      </c>
      <c r="K79" s="30" t="str">
        <f>IFERROR((GA[[#This Row],[Sunset Time (POA&lt;20 W/m2)]]-GA[[#This Row],[Sunrise Time (POA&gt;20 W/m2)]])*24,"")</f>
        <v/>
      </c>
      <c r="M79" s="17" t="str">
        <f>IFERROR(VLOOKUP(GA[[#This Row],[Affceted Equipment]],'Basic Data'!$A$1:$B$113,2,0),"")</f>
        <v/>
      </c>
      <c r="P79" s="28" t="str">
        <f>IFERROR(VLOOKUP(GA[[#This Row],[Affceted Equipment]],'Basic Data'!$A$2:$C$118,3,0),"")</f>
        <v/>
      </c>
      <c r="Q79" s="2"/>
      <c r="W79" s="34"/>
      <c r="X79" s="35"/>
      <c r="Y79" s="35"/>
      <c r="Z79" s="2"/>
      <c r="AA79" s="2"/>
      <c r="AB79" s="2" t="str">
        <f>IFERROR(GA[[#This Row],[Plant Equivalent Weightage]]*GA[[#This Row],[Resolution Time]],"")</f>
        <v/>
      </c>
      <c r="AC79" s="2"/>
      <c r="AD79" s="32" t="str">
        <f>IFERROR((_xlfn.XLOOKUP(GA[[#This Row],[Month Year]],'Modelling New'!D:D,'Modelling New'!$O:$O)*GA[[#This Row],[Lost POA (Wh/m2)]]*GA[[#This Row],[DC Capacity Affceted (kW)]])/1000,"")</f>
        <v/>
      </c>
      <c r="AE79" s="2"/>
    </row>
    <row r="80" spans="1:31">
      <c r="A80" s="2">
        <f t="shared" si="13"/>
        <v>78</v>
      </c>
      <c r="B80" s="156">
        <f t="shared" si="14"/>
        <v>1900</v>
      </c>
      <c r="C80" s="129">
        <f t="shared" si="15"/>
        <v>1900</v>
      </c>
      <c r="I80" s="31" t="str">
        <f>IFERROR(VLOOKUP(GA[[#This Row],[Date]],Raw_Data[[#All],[Date]:[Sunset Time (POA&lt;20 W/m2)]],3,0),"")</f>
        <v/>
      </c>
      <c r="J80" s="31" t="str">
        <f>IFERROR(VLOOKUP(GA[[#This Row],[Date]],Raw_Data[[#All],[Date]:[Sunset Time (POA&lt;20 W/m2)]],4,0),"")</f>
        <v/>
      </c>
      <c r="K80" s="30" t="str">
        <f>IFERROR((GA[[#This Row],[Sunset Time (POA&lt;20 W/m2)]]-GA[[#This Row],[Sunrise Time (POA&gt;20 W/m2)]])*24,"")</f>
        <v/>
      </c>
      <c r="M80" s="17" t="str">
        <f>IFERROR(VLOOKUP(GA[[#This Row],[Affceted Equipment]],'Basic Data'!$A$1:$B$113,2,0),"")</f>
        <v/>
      </c>
      <c r="P80" s="28" t="str">
        <f>IFERROR(VLOOKUP(GA[[#This Row],[Affceted Equipment]],'Basic Data'!$A$2:$C$118,3,0),"")</f>
        <v/>
      </c>
      <c r="Q80" s="2"/>
      <c r="W80" s="34"/>
      <c r="X80" s="35"/>
      <c r="Y80" s="35"/>
      <c r="Z80" s="2"/>
      <c r="AA80" s="2"/>
      <c r="AB80" s="2" t="str">
        <f>IFERROR(GA[[#This Row],[Plant Equivalent Weightage]]*GA[[#This Row],[Resolution Time]],"")</f>
        <v/>
      </c>
      <c r="AC80" s="2"/>
      <c r="AD80" s="32" t="str">
        <f>IFERROR((_xlfn.XLOOKUP(GA[[#This Row],[Month Year]],'Modelling New'!D:D,'Modelling New'!$O:$O)*GA[[#This Row],[Lost POA (Wh/m2)]]*GA[[#This Row],[DC Capacity Affceted (kW)]])/1000,"")</f>
        <v/>
      </c>
      <c r="AE80" s="2"/>
    </row>
    <row r="81" spans="1:31">
      <c r="A81" s="2">
        <f t="shared" si="13"/>
        <v>79</v>
      </c>
      <c r="B81" s="156">
        <f t="shared" si="14"/>
        <v>1900</v>
      </c>
      <c r="C81" s="129">
        <f t="shared" si="15"/>
        <v>1900</v>
      </c>
      <c r="I81" s="31" t="str">
        <f>IFERROR(VLOOKUP(GA[[#This Row],[Date]],Raw_Data[[#All],[Date]:[Sunset Time (POA&lt;20 W/m2)]],3,0),"")</f>
        <v/>
      </c>
      <c r="J81" s="31" t="str">
        <f>IFERROR(VLOOKUP(GA[[#This Row],[Date]],Raw_Data[[#All],[Date]:[Sunset Time (POA&lt;20 W/m2)]],4,0),"")</f>
        <v/>
      </c>
      <c r="K81" s="30" t="str">
        <f>IFERROR((GA[[#This Row],[Sunset Time (POA&lt;20 W/m2)]]-GA[[#This Row],[Sunrise Time (POA&gt;20 W/m2)]])*24,"")</f>
        <v/>
      </c>
      <c r="M81" s="17" t="str">
        <f>IFERROR(VLOOKUP(GA[[#This Row],[Affceted Equipment]],'Basic Data'!$A$1:$B$113,2,0),"")</f>
        <v/>
      </c>
      <c r="P81" s="28" t="str">
        <f>IFERROR(VLOOKUP(GA[[#This Row],[Affceted Equipment]],'Basic Data'!$A$2:$C$118,3,0),"")</f>
        <v/>
      </c>
      <c r="Q81" s="2"/>
      <c r="W81" s="34"/>
      <c r="X81" s="35"/>
      <c r="Y81" s="35"/>
      <c r="Z81" s="2"/>
      <c r="AA81" s="2"/>
      <c r="AB81" s="2" t="str">
        <f>IFERROR(GA[[#This Row],[Plant Equivalent Weightage]]*GA[[#This Row],[Resolution Time]],"")</f>
        <v/>
      </c>
      <c r="AC81" s="2"/>
      <c r="AD81" s="32" t="str">
        <f>IFERROR((_xlfn.XLOOKUP(GA[[#This Row],[Month Year]],'Modelling New'!D:D,'Modelling New'!$O:$O)*GA[[#This Row],[Lost POA (Wh/m2)]]*GA[[#This Row],[DC Capacity Affceted (kW)]])/1000,"")</f>
        <v/>
      </c>
      <c r="AE81" s="2"/>
    </row>
    <row r="82" spans="1:31">
      <c r="A82" s="2">
        <f t="shared" si="13"/>
        <v>80</v>
      </c>
      <c r="B82" s="156">
        <f t="shared" si="14"/>
        <v>1900</v>
      </c>
      <c r="C82" s="129">
        <f t="shared" si="15"/>
        <v>1900</v>
      </c>
      <c r="I82" s="31" t="str">
        <f>IFERROR(VLOOKUP(GA[[#This Row],[Date]],Raw_Data[[#All],[Date]:[Sunset Time (POA&lt;20 W/m2)]],3,0),"")</f>
        <v/>
      </c>
      <c r="J82" s="31" t="str">
        <f>IFERROR(VLOOKUP(GA[[#This Row],[Date]],Raw_Data[[#All],[Date]:[Sunset Time (POA&lt;20 W/m2)]],4,0),"")</f>
        <v/>
      </c>
      <c r="K82" s="30" t="str">
        <f>IFERROR((GA[[#This Row],[Sunset Time (POA&lt;20 W/m2)]]-GA[[#This Row],[Sunrise Time (POA&gt;20 W/m2)]])*24,"")</f>
        <v/>
      </c>
      <c r="M82" s="17" t="str">
        <f>IFERROR(VLOOKUP(GA[[#This Row],[Affceted Equipment]],'Basic Data'!$A$1:$B$113,2,0),"")</f>
        <v/>
      </c>
      <c r="P82" s="28" t="str">
        <f>IFERROR(VLOOKUP(GA[[#This Row],[Affceted Equipment]],'Basic Data'!$A$2:$C$118,3,0),"")</f>
        <v/>
      </c>
      <c r="Q82" s="2"/>
      <c r="W82" s="34"/>
      <c r="X82" s="35"/>
      <c r="Y82" s="35"/>
      <c r="Z82" s="2"/>
      <c r="AA82" s="2"/>
      <c r="AB82" s="2" t="str">
        <f>IFERROR(GA[[#This Row],[Plant Equivalent Weightage]]*GA[[#This Row],[Resolution Time]],"")</f>
        <v/>
      </c>
      <c r="AC82" s="2"/>
      <c r="AD82" s="32" t="str">
        <f>IFERROR((_xlfn.XLOOKUP(GA[[#This Row],[Month Year]],'Modelling New'!D:D,'Modelling New'!$O:$O)*GA[[#This Row],[Lost POA (Wh/m2)]]*GA[[#This Row],[DC Capacity Affceted (kW)]])/1000,"")</f>
        <v/>
      </c>
      <c r="AE82" s="2"/>
    </row>
    <row r="83" spans="1:31">
      <c r="A83" s="2">
        <f t="shared" si="13"/>
        <v>81</v>
      </c>
      <c r="B83" s="156">
        <f t="shared" si="14"/>
        <v>1900</v>
      </c>
      <c r="C83" s="129">
        <f t="shared" si="15"/>
        <v>1900</v>
      </c>
      <c r="I83" s="31" t="str">
        <f>IFERROR(VLOOKUP(GA[[#This Row],[Date]],Raw_Data[[#All],[Date]:[Sunset Time (POA&lt;20 W/m2)]],3,0),"")</f>
        <v/>
      </c>
      <c r="J83" s="31" t="str">
        <f>IFERROR(VLOOKUP(GA[[#This Row],[Date]],Raw_Data[[#All],[Date]:[Sunset Time (POA&lt;20 W/m2)]],4,0),"")</f>
        <v/>
      </c>
      <c r="K83" s="30" t="str">
        <f>IFERROR((GA[[#This Row],[Sunset Time (POA&lt;20 W/m2)]]-GA[[#This Row],[Sunrise Time (POA&gt;20 W/m2)]])*24,"")</f>
        <v/>
      </c>
      <c r="M83" s="17" t="str">
        <f>IFERROR(VLOOKUP(GA[[#This Row],[Affceted Equipment]],'Basic Data'!$A$1:$B$113,2,0),"")</f>
        <v/>
      </c>
      <c r="P83" s="28" t="str">
        <f>IFERROR(VLOOKUP(GA[[#This Row],[Affceted Equipment]],'Basic Data'!$A$2:$C$118,3,0),"")</f>
        <v/>
      </c>
      <c r="Q83" s="2"/>
      <c r="W83" s="34"/>
      <c r="X83" s="35"/>
      <c r="Y83" s="35"/>
      <c r="Z83" s="2"/>
      <c r="AA83" s="2"/>
      <c r="AB83" s="2" t="str">
        <f>IFERROR(GA[[#This Row],[Plant Equivalent Weightage]]*GA[[#This Row],[Resolution Time]],"")</f>
        <v/>
      </c>
      <c r="AC83" s="2"/>
      <c r="AD83" s="32" t="str">
        <f>IFERROR((_xlfn.XLOOKUP(GA[[#This Row],[Month Year]],'Modelling New'!D:D,'Modelling New'!$O:$O)*GA[[#This Row],[Lost POA (Wh/m2)]]*GA[[#This Row],[DC Capacity Affceted (kW)]])/1000,"")</f>
        <v/>
      </c>
      <c r="AE83" s="2"/>
    </row>
    <row r="84" spans="1:31">
      <c r="A84" s="2">
        <f t="shared" si="13"/>
        <v>82</v>
      </c>
      <c r="B84" s="156">
        <f t="shared" si="14"/>
        <v>1900</v>
      </c>
      <c r="C84" s="129">
        <f t="shared" si="15"/>
        <v>1900</v>
      </c>
      <c r="I84" s="31" t="str">
        <f>IFERROR(VLOOKUP(GA[[#This Row],[Date]],Raw_Data[[#All],[Date]:[Sunset Time (POA&lt;20 W/m2)]],3,0),"")</f>
        <v/>
      </c>
      <c r="J84" s="31" t="str">
        <f>IFERROR(VLOOKUP(GA[[#This Row],[Date]],Raw_Data[[#All],[Date]:[Sunset Time (POA&lt;20 W/m2)]],4,0),"")</f>
        <v/>
      </c>
      <c r="K84" s="30" t="str">
        <f>IFERROR((GA[[#This Row],[Sunset Time (POA&lt;20 W/m2)]]-GA[[#This Row],[Sunrise Time (POA&gt;20 W/m2)]])*24,"")</f>
        <v/>
      </c>
      <c r="M84" s="17" t="str">
        <f>IFERROR(VLOOKUP(GA[[#This Row],[Affceted Equipment]],'Basic Data'!$A$1:$B$113,2,0),"")</f>
        <v/>
      </c>
      <c r="P84" s="28" t="str">
        <f>IFERROR(VLOOKUP(GA[[#This Row],[Affceted Equipment]],'Basic Data'!$A$2:$C$118,3,0),"")</f>
        <v/>
      </c>
      <c r="Q84" s="2"/>
      <c r="W84" s="34"/>
      <c r="X84" s="35"/>
      <c r="Y84" s="35"/>
      <c r="Z84" s="2"/>
      <c r="AA84" s="2"/>
      <c r="AB84" s="2" t="str">
        <f>IFERROR(GA[[#This Row],[Plant Equivalent Weightage]]*GA[[#This Row],[Resolution Time]],"")</f>
        <v/>
      </c>
      <c r="AC84" s="2"/>
      <c r="AD84" s="32" t="str">
        <f>IFERROR((_xlfn.XLOOKUP(GA[[#This Row],[Month Year]],'Modelling New'!D:D,'Modelling New'!$O:$O)*GA[[#This Row],[Lost POA (Wh/m2)]]*GA[[#This Row],[DC Capacity Affceted (kW)]])/1000,"")</f>
        <v/>
      </c>
      <c r="AE84" s="2"/>
    </row>
    <row r="85" spans="1:31">
      <c r="A85" s="2">
        <f t="shared" si="13"/>
        <v>83</v>
      </c>
      <c r="B85" s="156">
        <f t="shared" si="14"/>
        <v>1900</v>
      </c>
      <c r="C85" s="129">
        <f t="shared" si="15"/>
        <v>1900</v>
      </c>
      <c r="I85" s="31" t="str">
        <f>IFERROR(VLOOKUP(GA[[#This Row],[Date]],Raw_Data[[#All],[Date]:[Sunset Time (POA&lt;20 W/m2)]],3,0),"")</f>
        <v/>
      </c>
      <c r="J85" s="31" t="str">
        <f>IFERROR(VLOOKUP(GA[[#This Row],[Date]],Raw_Data[[#All],[Date]:[Sunset Time (POA&lt;20 W/m2)]],4,0),"")</f>
        <v/>
      </c>
      <c r="K85" s="30" t="str">
        <f>IFERROR((GA[[#This Row],[Sunset Time (POA&lt;20 W/m2)]]-GA[[#This Row],[Sunrise Time (POA&gt;20 W/m2)]])*24,"")</f>
        <v/>
      </c>
      <c r="M85" s="17" t="str">
        <f>IFERROR(VLOOKUP(GA[[#This Row],[Affceted Equipment]],'Basic Data'!$A$1:$B$113,2,0),"")</f>
        <v/>
      </c>
      <c r="P85" s="28" t="str">
        <f>IFERROR(VLOOKUP(GA[[#This Row],[Affceted Equipment]],'Basic Data'!$A$2:$C$118,3,0),"")</f>
        <v/>
      </c>
      <c r="Q85" s="2"/>
      <c r="W85" s="34"/>
      <c r="X85" s="35"/>
      <c r="Y85" s="35"/>
      <c r="Z85" s="2"/>
      <c r="AA85" s="2"/>
      <c r="AB85" s="2" t="str">
        <f>IFERROR(GA[[#This Row],[Plant Equivalent Weightage]]*GA[[#This Row],[Resolution Time]],"")</f>
        <v/>
      </c>
      <c r="AC85" s="2"/>
      <c r="AD85" s="32" t="str">
        <f>IFERROR((_xlfn.XLOOKUP(GA[[#This Row],[Month Year]],'Modelling New'!D:D,'Modelling New'!$O:$O)*GA[[#This Row],[Lost POA (Wh/m2)]]*GA[[#This Row],[DC Capacity Affceted (kW)]])/1000,"")</f>
        <v/>
      </c>
      <c r="AE85" s="2"/>
    </row>
    <row r="86" spans="1:31">
      <c r="A86" s="2">
        <f t="shared" si="13"/>
        <v>84</v>
      </c>
      <c r="B86" s="156">
        <f t="shared" si="14"/>
        <v>1900</v>
      </c>
      <c r="C86" s="129">
        <f t="shared" si="15"/>
        <v>1900</v>
      </c>
      <c r="I86" s="31" t="str">
        <f>IFERROR(VLOOKUP(GA[[#This Row],[Date]],Raw_Data[[#All],[Date]:[Sunset Time (POA&lt;20 W/m2)]],3,0),"")</f>
        <v/>
      </c>
      <c r="J86" s="31" t="str">
        <f>IFERROR(VLOOKUP(GA[[#This Row],[Date]],Raw_Data[[#All],[Date]:[Sunset Time (POA&lt;20 W/m2)]],4,0),"")</f>
        <v/>
      </c>
      <c r="K86" s="30" t="str">
        <f>IFERROR((GA[[#This Row],[Sunset Time (POA&lt;20 W/m2)]]-GA[[#This Row],[Sunrise Time (POA&gt;20 W/m2)]])*24,"")</f>
        <v/>
      </c>
      <c r="M86" s="17" t="str">
        <f>IFERROR(VLOOKUP(GA[[#This Row],[Affceted Equipment]],'Basic Data'!$A$1:$B$113,2,0),"")</f>
        <v/>
      </c>
      <c r="P86" s="28" t="str">
        <f>IFERROR(VLOOKUP(GA[[#This Row],[Affceted Equipment]],'Basic Data'!$A$2:$C$118,3,0),"")</f>
        <v/>
      </c>
      <c r="Q86" s="2"/>
      <c r="W86" s="34"/>
      <c r="X86" s="35"/>
      <c r="Y86" s="35"/>
      <c r="Z86" s="2"/>
      <c r="AA86" s="2"/>
      <c r="AB86" s="2" t="str">
        <f>IFERROR(GA[[#This Row],[Plant Equivalent Weightage]]*GA[[#This Row],[Resolution Time]],"")</f>
        <v/>
      </c>
      <c r="AC86" s="2"/>
      <c r="AD86" s="32" t="str">
        <f>IFERROR((_xlfn.XLOOKUP(GA[[#This Row],[Month Year]],'Modelling New'!D:D,'Modelling New'!$O:$O)*GA[[#This Row],[Lost POA (Wh/m2)]]*GA[[#This Row],[DC Capacity Affceted (kW)]])/1000,"")</f>
        <v/>
      </c>
      <c r="AE86" s="2"/>
    </row>
    <row r="87" spans="1:31">
      <c r="A87" s="2">
        <f t="shared" si="13"/>
        <v>85</v>
      </c>
      <c r="B87" s="156">
        <f t="shared" si="14"/>
        <v>1900</v>
      </c>
      <c r="C87" s="129">
        <f t="shared" si="15"/>
        <v>1900</v>
      </c>
      <c r="I87" s="31" t="str">
        <f>IFERROR(VLOOKUP(GA[[#This Row],[Date]],Raw_Data[[#All],[Date]:[Sunset Time (POA&lt;20 W/m2)]],3,0),"")</f>
        <v/>
      </c>
      <c r="J87" s="31" t="str">
        <f>IFERROR(VLOOKUP(GA[[#This Row],[Date]],Raw_Data[[#All],[Date]:[Sunset Time (POA&lt;20 W/m2)]],4,0),"")</f>
        <v/>
      </c>
      <c r="K87" s="30" t="str">
        <f>IFERROR((GA[[#This Row],[Sunset Time (POA&lt;20 W/m2)]]-GA[[#This Row],[Sunrise Time (POA&gt;20 W/m2)]])*24,"")</f>
        <v/>
      </c>
      <c r="M87" s="17" t="str">
        <f>IFERROR(VLOOKUP(GA[[#This Row],[Affceted Equipment]],'Basic Data'!$A$1:$B$113,2,0),"")</f>
        <v/>
      </c>
      <c r="P87" s="28" t="str">
        <f>IFERROR(VLOOKUP(GA[[#This Row],[Affceted Equipment]],'Basic Data'!$A$2:$C$118,3,0),"")</f>
        <v/>
      </c>
      <c r="Q87" s="2"/>
      <c r="W87" s="34"/>
      <c r="X87" s="35"/>
      <c r="Y87" s="35"/>
      <c r="Z87" s="2"/>
      <c r="AA87" s="2"/>
      <c r="AB87" s="2" t="str">
        <f>IFERROR(GA[[#This Row],[Plant Equivalent Weightage]]*GA[[#This Row],[Resolution Time]],"")</f>
        <v/>
      </c>
      <c r="AC87" s="2"/>
      <c r="AD87" s="32" t="str">
        <f>IFERROR((_xlfn.XLOOKUP(GA[[#This Row],[Month Year]],'Modelling New'!D:D,'Modelling New'!$O:$O)*GA[[#This Row],[Lost POA (Wh/m2)]]*GA[[#This Row],[DC Capacity Affceted (kW)]])/1000,"")</f>
        <v/>
      </c>
      <c r="AE87" s="2"/>
    </row>
    <row r="88" spans="1:31">
      <c r="A88" s="2">
        <f t="shared" si="13"/>
        <v>86</v>
      </c>
      <c r="B88" s="156">
        <f t="shared" si="14"/>
        <v>1900</v>
      </c>
      <c r="C88" s="129">
        <f t="shared" si="15"/>
        <v>1900</v>
      </c>
      <c r="I88" s="31" t="str">
        <f>IFERROR(VLOOKUP(GA[[#This Row],[Date]],Raw_Data[[#All],[Date]:[Sunset Time (POA&lt;20 W/m2)]],3,0),"")</f>
        <v/>
      </c>
      <c r="J88" s="31" t="str">
        <f>IFERROR(VLOOKUP(GA[[#This Row],[Date]],Raw_Data[[#All],[Date]:[Sunset Time (POA&lt;20 W/m2)]],4,0),"")</f>
        <v/>
      </c>
      <c r="K88" s="30" t="str">
        <f>IFERROR((GA[[#This Row],[Sunset Time (POA&lt;20 W/m2)]]-GA[[#This Row],[Sunrise Time (POA&gt;20 W/m2)]])*24,"")</f>
        <v/>
      </c>
      <c r="M88" s="17" t="str">
        <f>IFERROR(VLOOKUP(GA[[#This Row],[Affceted Equipment]],'Basic Data'!$A$1:$B$113,2,0),"")</f>
        <v/>
      </c>
      <c r="P88" s="28" t="str">
        <f>IFERROR(VLOOKUP(GA[[#This Row],[Affceted Equipment]],'Basic Data'!$A$2:$C$118,3,0),"")</f>
        <v/>
      </c>
      <c r="Q88" s="2"/>
      <c r="W88" s="34"/>
      <c r="X88" s="35"/>
      <c r="Y88" s="35"/>
      <c r="Z88" s="2"/>
      <c r="AA88" s="2"/>
      <c r="AB88" s="2" t="str">
        <f>IFERROR(GA[[#This Row],[Plant Equivalent Weightage]]*GA[[#This Row],[Resolution Time]],"")</f>
        <v/>
      </c>
      <c r="AC88" s="2"/>
      <c r="AD88" s="32" t="str">
        <f>IFERROR((_xlfn.XLOOKUP(GA[[#This Row],[Month Year]],'Modelling New'!D:D,'Modelling New'!$O:$O)*GA[[#This Row],[Lost POA (Wh/m2)]]*GA[[#This Row],[DC Capacity Affceted (kW)]])/1000,"")</f>
        <v/>
      </c>
      <c r="AE88" s="2"/>
    </row>
    <row r="89" spans="1:31">
      <c r="A89" s="2">
        <f t="shared" si="13"/>
        <v>87</v>
      </c>
      <c r="B89" s="156">
        <f t="shared" si="14"/>
        <v>1900</v>
      </c>
      <c r="C89" s="129">
        <f t="shared" si="15"/>
        <v>1900</v>
      </c>
      <c r="I89" s="31" t="str">
        <f>IFERROR(VLOOKUP(GA[[#This Row],[Date]],Raw_Data[[#All],[Date]:[Sunset Time (POA&lt;20 W/m2)]],3,0),"")</f>
        <v/>
      </c>
      <c r="J89" s="31" t="str">
        <f>IFERROR(VLOOKUP(GA[[#This Row],[Date]],Raw_Data[[#All],[Date]:[Sunset Time (POA&lt;20 W/m2)]],4,0),"")</f>
        <v/>
      </c>
      <c r="K89" s="30" t="str">
        <f>IFERROR((GA[[#This Row],[Sunset Time (POA&lt;20 W/m2)]]-GA[[#This Row],[Sunrise Time (POA&gt;20 W/m2)]])*24,"")</f>
        <v/>
      </c>
      <c r="M89" s="17" t="str">
        <f>IFERROR(VLOOKUP(GA[[#This Row],[Affceted Equipment]],'Basic Data'!$A$1:$B$113,2,0),"")</f>
        <v/>
      </c>
      <c r="P89" s="28" t="str">
        <f>IFERROR(VLOOKUP(GA[[#This Row],[Affceted Equipment]],'Basic Data'!$A$2:$C$118,3,0),"")</f>
        <v/>
      </c>
      <c r="Q89" s="2"/>
      <c r="W89" s="34"/>
      <c r="X89" s="35"/>
      <c r="Y89" s="35"/>
      <c r="Z89" s="2"/>
      <c r="AA89" s="2"/>
      <c r="AB89" s="2" t="str">
        <f>IFERROR(GA[[#This Row],[Plant Equivalent Weightage]]*GA[[#This Row],[Resolution Time]],"")</f>
        <v/>
      </c>
      <c r="AC89" s="2"/>
      <c r="AD89" s="32" t="str">
        <f>IFERROR((_xlfn.XLOOKUP(GA[[#This Row],[Month Year]],'Modelling New'!D:D,'Modelling New'!$O:$O)*GA[[#This Row],[Lost POA (Wh/m2)]]*GA[[#This Row],[DC Capacity Affceted (kW)]])/1000,"")</f>
        <v/>
      </c>
      <c r="AE89" s="2"/>
    </row>
    <row r="90" spans="1:31">
      <c r="A90" s="2">
        <f t="shared" si="13"/>
        <v>88</v>
      </c>
      <c r="B90" s="156">
        <f t="shared" si="14"/>
        <v>1900</v>
      </c>
      <c r="C90" s="129">
        <f t="shared" si="15"/>
        <v>1900</v>
      </c>
      <c r="I90" s="31" t="str">
        <f>IFERROR(VLOOKUP(GA[[#This Row],[Date]],Raw_Data[[#All],[Date]:[Sunset Time (POA&lt;20 W/m2)]],3,0),"")</f>
        <v/>
      </c>
      <c r="J90" s="31" t="str">
        <f>IFERROR(VLOOKUP(GA[[#This Row],[Date]],Raw_Data[[#All],[Date]:[Sunset Time (POA&lt;20 W/m2)]],4,0),"")</f>
        <v/>
      </c>
      <c r="K90" s="30" t="str">
        <f>IFERROR((GA[[#This Row],[Sunset Time (POA&lt;20 W/m2)]]-GA[[#This Row],[Sunrise Time (POA&gt;20 W/m2)]])*24,"")</f>
        <v/>
      </c>
      <c r="M90" s="17" t="str">
        <f>IFERROR(VLOOKUP(GA[[#This Row],[Affceted Equipment]],'Basic Data'!$A$1:$B$113,2,0),"")</f>
        <v/>
      </c>
      <c r="P90" s="28" t="str">
        <f>IFERROR(VLOOKUP(GA[[#This Row],[Affceted Equipment]],'Basic Data'!$A$2:$C$118,3,0),"")</f>
        <v/>
      </c>
      <c r="Q90" s="2"/>
      <c r="W90" s="34"/>
      <c r="X90" s="35"/>
      <c r="Y90" s="35"/>
      <c r="Z90" s="2"/>
      <c r="AA90" s="2"/>
      <c r="AB90" s="2" t="str">
        <f>IFERROR(GA[[#This Row],[Plant Equivalent Weightage]]*GA[[#This Row],[Resolution Time]],"")</f>
        <v/>
      </c>
      <c r="AC90" s="2"/>
      <c r="AD90" s="32" t="str">
        <f>IFERROR((_xlfn.XLOOKUP(GA[[#This Row],[Month Year]],'Modelling New'!D:D,'Modelling New'!$O:$O)*GA[[#This Row],[Lost POA (Wh/m2)]]*GA[[#This Row],[DC Capacity Affceted (kW)]])/1000,"")</f>
        <v/>
      </c>
      <c r="AE90" s="2"/>
    </row>
    <row r="91" spans="1:31">
      <c r="A91" s="2">
        <f t="shared" si="13"/>
        <v>89</v>
      </c>
      <c r="B91" s="156">
        <f t="shared" si="14"/>
        <v>1900</v>
      </c>
      <c r="C91" s="129">
        <f t="shared" si="15"/>
        <v>1900</v>
      </c>
      <c r="I91" s="31" t="str">
        <f>IFERROR(VLOOKUP(GA[[#This Row],[Date]],Raw_Data[[#All],[Date]:[Sunset Time (POA&lt;20 W/m2)]],3,0),"")</f>
        <v/>
      </c>
      <c r="J91" s="31" t="str">
        <f>IFERROR(VLOOKUP(GA[[#This Row],[Date]],Raw_Data[[#All],[Date]:[Sunset Time (POA&lt;20 W/m2)]],4,0),"")</f>
        <v/>
      </c>
      <c r="K91" s="30" t="str">
        <f>IFERROR((GA[[#This Row],[Sunset Time (POA&lt;20 W/m2)]]-GA[[#This Row],[Sunrise Time (POA&gt;20 W/m2)]])*24,"")</f>
        <v/>
      </c>
      <c r="M91" s="17" t="str">
        <f>IFERROR(VLOOKUP(GA[[#This Row],[Affceted Equipment]],'Basic Data'!$A$1:$B$113,2,0),"")</f>
        <v/>
      </c>
      <c r="P91" s="28" t="str">
        <f>IFERROR(VLOOKUP(GA[[#This Row],[Affceted Equipment]],'Basic Data'!$A$2:$C$118,3,0),"")</f>
        <v/>
      </c>
      <c r="Q91" s="2"/>
      <c r="W91" s="34"/>
      <c r="X91" s="35"/>
      <c r="Y91" s="35"/>
      <c r="Z91" s="2"/>
      <c r="AA91" s="2"/>
      <c r="AB91" s="2" t="str">
        <f>IFERROR(GA[[#This Row],[Plant Equivalent Weightage]]*GA[[#This Row],[Resolution Time]],"")</f>
        <v/>
      </c>
      <c r="AC91" s="2"/>
      <c r="AD91" s="32" t="str">
        <f>IFERROR((_xlfn.XLOOKUP(GA[[#This Row],[Month Year]],'Modelling New'!D:D,'Modelling New'!$O:$O)*GA[[#This Row],[Lost POA (Wh/m2)]]*GA[[#This Row],[DC Capacity Affceted (kW)]])/1000,"")</f>
        <v/>
      </c>
      <c r="AE91" s="2"/>
    </row>
    <row r="92" spans="1:31">
      <c r="A92" s="2">
        <f t="shared" si="13"/>
        <v>90</v>
      </c>
      <c r="B92" s="156">
        <f t="shared" si="14"/>
        <v>1900</v>
      </c>
      <c r="C92" s="129">
        <f t="shared" si="15"/>
        <v>1900</v>
      </c>
      <c r="I92" s="31" t="str">
        <f>IFERROR(VLOOKUP(GA[[#This Row],[Date]],Raw_Data[[#All],[Date]:[Sunset Time (POA&lt;20 W/m2)]],3,0),"")</f>
        <v/>
      </c>
      <c r="J92" s="31" t="str">
        <f>IFERROR(VLOOKUP(GA[[#This Row],[Date]],Raw_Data[[#All],[Date]:[Sunset Time (POA&lt;20 W/m2)]],4,0),"")</f>
        <v/>
      </c>
      <c r="K92" s="30" t="str">
        <f>IFERROR((GA[[#This Row],[Sunset Time (POA&lt;20 W/m2)]]-GA[[#This Row],[Sunrise Time (POA&gt;20 W/m2)]])*24,"")</f>
        <v/>
      </c>
      <c r="M92" s="17" t="str">
        <f>IFERROR(VLOOKUP(GA[[#This Row],[Affceted Equipment]],'Basic Data'!$A$1:$B$113,2,0),"")</f>
        <v/>
      </c>
      <c r="P92" s="28" t="str">
        <f>IFERROR(VLOOKUP(GA[[#This Row],[Affceted Equipment]],'Basic Data'!$A$2:$C$118,3,0),"")</f>
        <v/>
      </c>
      <c r="Q92" s="2"/>
      <c r="W92" s="34"/>
      <c r="X92" s="35"/>
      <c r="Y92" s="35"/>
      <c r="Z92" s="2"/>
      <c r="AA92" s="2"/>
      <c r="AB92" s="2" t="str">
        <f>IFERROR(GA[[#This Row],[Plant Equivalent Weightage]]*GA[[#This Row],[Resolution Time]],"")</f>
        <v/>
      </c>
      <c r="AC92" s="2"/>
      <c r="AD92" s="32" t="str">
        <f>IFERROR((_xlfn.XLOOKUP(GA[[#This Row],[Month Year]],'Modelling New'!D:D,'Modelling New'!$O:$O)*GA[[#This Row],[Lost POA (Wh/m2)]]*GA[[#This Row],[DC Capacity Affceted (kW)]])/1000,"")</f>
        <v/>
      </c>
      <c r="AE92" s="2"/>
    </row>
    <row r="93" spans="1:31">
      <c r="A93" s="2">
        <f t="shared" si="13"/>
        <v>91</v>
      </c>
      <c r="B93" s="156">
        <f t="shared" si="14"/>
        <v>1900</v>
      </c>
      <c r="C93" s="129">
        <f t="shared" si="15"/>
        <v>1900</v>
      </c>
      <c r="I93" s="31" t="str">
        <f>IFERROR(VLOOKUP(GA[[#This Row],[Date]],Raw_Data[[#All],[Date]:[Sunset Time (POA&lt;20 W/m2)]],3,0),"")</f>
        <v/>
      </c>
      <c r="J93" s="31" t="str">
        <f>IFERROR(VLOOKUP(GA[[#This Row],[Date]],Raw_Data[[#All],[Date]:[Sunset Time (POA&lt;20 W/m2)]],4,0),"")</f>
        <v/>
      </c>
      <c r="K93" s="30" t="str">
        <f>IFERROR((GA[[#This Row],[Sunset Time (POA&lt;20 W/m2)]]-GA[[#This Row],[Sunrise Time (POA&gt;20 W/m2)]])*24,"")</f>
        <v/>
      </c>
      <c r="M93" s="17" t="str">
        <f>IFERROR(VLOOKUP(GA[[#This Row],[Affceted Equipment]],'Basic Data'!$A$1:$B$113,2,0),"")</f>
        <v/>
      </c>
      <c r="P93" s="28" t="str">
        <f>IFERROR(VLOOKUP(GA[[#This Row],[Affceted Equipment]],'Basic Data'!$A$2:$C$118,3,0),"")</f>
        <v/>
      </c>
      <c r="Q93" s="2"/>
      <c r="W93" s="34"/>
      <c r="X93" s="35"/>
      <c r="Y93" s="35"/>
      <c r="Z93" s="2"/>
      <c r="AA93" s="2"/>
      <c r="AB93" s="2" t="str">
        <f>IFERROR(GA[[#This Row],[Plant Equivalent Weightage]]*GA[[#This Row],[Resolution Time]],"")</f>
        <v/>
      </c>
      <c r="AC93" s="2"/>
      <c r="AD93" s="32" t="str">
        <f>IFERROR((_xlfn.XLOOKUP(GA[[#This Row],[Month Year]],'Modelling New'!D:D,'Modelling New'!$O:$O)*GA[[#This Row],[Lost POA (Wh/m2)]]*GA[[#This Row],[DC Capacity Affceted (kW)]])/1000,"")</f>
        <v/>
      </c>
      <c r="AE93" s="2"/>
    </row>
    <row r="94" spans="1:31">
      <c r="A94" s="2">
        <f t="shared" si="13"/>
        <v>92</v>
      </c>
      <c r="B94" s="156">
        <f t="shared" si="14"/>
        <v>1900</v>
      </c>
      <c r="C94" s="129">
        <f t="shared" si="15"/>
        <v>1900</v>
      </c>
      <c r="I94" s="31" t="str">
        <f>IFERROR(VLOOKUP(GA[[#This Row],[Date]],Raw_Data[[#All],[Date]:[Sunset Time (POA&lt;20 W/m2)]],3,0),"")</f>
        <v/>
      </c>
      <c r="J94" s="31" t="str">
        <f>IFERROR(VLOOKUP(GA[[#This Row],[Date]],Raw_Data[[#All],[Date]:[Sunset Time (POA&lt;20 W/m2)]],4,0),"")</f>
        <v/>
      </c>
      <c r="K94" s="30" t="str">
        <f>IFERROR((GA[[#This Row],[Sunset Time (POA&lt;20 W/m2)]]-GA[[#This Row],[Sunrise Time (POA&gt;20 W/m2)]])*24,"")</f>
        <v/>
      </c>
      <c r="M94" s="17" t="str">
        <f>IFERROR(VLOOKUP(GA[[#This Row],[Affceted Equipment]],'Basic Data'!$A$1:$B$113,2,0),"")</f>
        <v/>
      </c>
      <c r="P94" s="28" t="str">
        <f>IFERROR(VLOOKUP(GA[[#This Row],[Affceted Equipment]],'Basic Data'!$A$2:$C$118,3,0),"")</f>
        <v/>
      </c>
      <c r="Q94" s="2"/>
      <c r="W94" s="34"/>
      <c r="X94" s="35"/>
      <c r="Y94" s="35"/>
      <c r="Z94" s="2"/>
      <c r="AA94" s="2"/>
      <c r="AB94" s="2" t="str">
        <f>IFERROR(GA[[#This Row],[Plant Equivalent Weightage]]*GA[[#This Row],[Resolution Time]],"")</f>
        <v/>
      </c>
      <c r="AC94" s="2"/>
      <c r="AD94" s="32" t="str">
        <f>IFERROR((_xlfn.XLOOKUP(GA[[#This Row],[Month Year]],'Modelling New'!D:D,'Modelling New'!$O:$O)*GA[[#This Row],[Lost POA (Wh/m2)]]*GA[[#This Row],[DC Capacity Affceted (kW)]])/1000,"")</f>
        <v/>
      </c>
      <c r="AE94" s="2"/>
    </row>
    <row r="95" spans="1:31">
      <c r="A95" s="2">
        <f t="shared" si="13"/>
        <v>93</v>
      </c>
      <c r="B95" s="156">
        <f t="shared" si="14"/>
        <v>1900</v>
      </c>
      <c r="C95" s="129">
        <f t="shared" si="15"/>
        <v>1900</v>
      </c>
      <c r="I95" s="31" t="str">
        <f>IFERROR(VLOOKUP(GA[[#This Row],[Date]],Raw_Data[[#All],[Date]:[Sunset Time (POA&lt;20 W/m2)]],3,0),"")</f>
        <v/>
      </c>
      <c r="J95" s="31" t="str">
        <f>IFERROR(VLOOKUP(GA[[#This Row],[Date]],Raw_Data[[#All],[Date]:[Sunset Time (POA&lt;20 W/m2)]],4,0),"")</f>
        <v/>
      </c>
      <c r="K95" s="30" t="str">
        <f>IFERROR((GA[[#This Row],[Sunset Time (POA&lt;20 W/m2)]]-GA[[#This Row],[Sunrise Time (POA&gt;20 W/m2)]])*24,"")</f>
        <v/>
      </c>
      <c r="M95" s="17" t="str">
        <f>IFERROR(VLOOKUP(GA[[#This Row],[Affceted Equipment]],'Basic Data'!$A$1:$B$113,2,0),"")</f>
        <v/>
      </c>
      <c r="P95" s="28" t="str">
        <f>IFERROR(VLOOKUP(GA[[#This Row],[Affceted Equipment]],'Basic Data'!$A$2:$C$118,3,0),"")</f>
        <v/>
      </c>
      <c r="Q95" s="2"/>
      <c r="W95" s="34"/>
      <c r="X95" s="35"/>
      <c r="Y95" s="35"/>
      <c r="Z95" s="2"/>
      <c r="AA95" s="2"/>
      <c r="AB95" s="2" t="str">
        <f>IFERROR(GA[[#This Row],[Plant Equivalent Weightage]]*GA[[#This Row],[Resolution Time]],"")</f>
        <v/>
      </c>
      <c r="AC95" s="2"/>
      <c r="AD95" s="32" t="str">
        <f>IFERROR((_xlfn.XLOOKUP(GA[[#This Row],[Month Year]],'Modelling New'!D:D,'Modelling New'!$O:$O)*GA[[#This Row],[Lost POA (Wh/m2)]]*GA[[#This Row],[DC Capacity Affceted (kW)]])/1000,"")</f>
        <v/>
      </c>
      <c r="AE95" s="2"/>
    </row>
    <row r="96" spans="1:31">
      <c r="A96" s="2">
        <f t="shared" ref="A96:A159" si="16">A95+1</f>
        <v>94</v>
      </c>
      <c r="B96" s="156">
        <f t="shared" si="14"/>
        <v>1900</v>
      </c>
      <c r="C96" s="129">
        <f t="shared" si="15"/>
        <v>1900</v>
      </c>
      <c r="I96" s="31" t="str">
        <f>IFERROR(VLOOKUP(GA[[#This Row],[Date]],Raw_Data[[#All],[Date]:[Sunset Time (POA&lt;20 W/m2)]],3,0),"")</f>
        <v/>
      </c>
      <c r="J96" s="31" t="str">
        <f>IFERROR(VLOOKUP(GA[[#This Row],[Date]],Raw_Data[[#All],[Date]:[Sunset Time (POA&lt;20 W/m2)]],4,0),"")</f>
        <v/>
      </c>
      <c r="K96" s="30" t="str">
        <f>IFERROR((GA[[#This Row],[Sunset Time (POA&lt;20 W/m2)]]-GA[[#This Row],[Sunrise Time (POA&gt;20 W/m2)]])*24,"")</f>
        <v/>
      </c>
      <c r="M96" s="17" t="str">
        <f>IFERROR(VLOOKUP(GA[[#This Row],[Affceted Equipment]],'Basic Data'!$A$1:$B$113,2,0),"")</f>
        <v/>
      </c>
      <c r="P96" s="28" t="str">
        <f>IFERROR(VLOOKUP(GA[[#This Row],[Affceted Equipment]],'Basic Data'!$A$2:$C$118,3,0),"")</f>
        <v/>
      </c>
      <c r="Q96" s="2"/>
      <c r="W96" s="34"/>
      <c r="X96" s="35"/>
      <c r="Y96" s="35"/>
      <c r="Z96" s="2"/>
      <c r="AA96" s="2"/>
      <c r="AB96" s="2" t="str">
        <f>IFERROR(GA[[#This Row],[Plant Equivalent Weightage]]*GA[[#This Row],[Resolution Time]],"")</f>
        <v/>
      </c>
      <c r="AC96" s="2"/>
      <c r="AD96" s="32" t="str">
        <f>IFERROR((_xlfn.XLOOKUP(GA[[#This Row],[Month Year]],'Modelling New'!D:D,'Modelling New'!$O:$O)*GA[[#This Row],[Lost POA (Wh/m2)]]*GA[[#This Row],[DC Capacity Affceted (kW)]])/1000,"")</f>
        <v/>
      </c>
      <c r="AE96" s="2"/>
    </row>
    <row r="97" spans="1:31">
      <c r="A97" s="2">
        <f t="shared" si="16"/>
        <v>95</v>
      </c>
      <c r="B97" s="156">
        <f t="shared" si="14"/>
        <v>1900</v>
      </c>
      <c r="C97" s="129">
        <f t="shared" si="15"/>
        <v>1900</v>
      </c>
      <c r="I97" s="31" t="str">
        <f>IFERROR(VLOOKUP(GA[[#This Row],[Date]],Raw_Data[[#All],[Date]:[Sunset Time (POA&lt;20 W/m2)]],3,0),"")</f>
        <v/>
      </c>
      <c r="J97" s="31" t="str">
        <f>IFERROR(VLOOKUP(GA[[#This Row],[Date]],Raw_Data[[#All],[Date]:[Sunset Time (POA&lt;20 W/m2)]],4,0),"")</f>
        <v/>
      </c>
      <c r="K97" s="30" t="str">
        <f>IFERROR((GA[[#This Row],[Sunset Time (POA&lt;20 W/m2)]]-GA[[#This Row],[Sunrise Time (POA&gt;20 W/m2)]])*24,"")</f>
        <v/>
      </c>
      <c r="M97" s="17" t="str">
        <f>IFERROR(VLOOKUP(GA[[#This Row],[Affceted Equipment]],'Basic Data'!$A$1:$B$113,2,0),"")</f>
        <v/>
      </c>
      <c r="P97" s="28" t="str">
        <f>IFERROR(VLOOKUP(GA[[#This Row],[Affceted Equipment]],'Basic Data'!$A$2:$C$118,3,0),"")</f>
        <v/>
      </c>
      <c r="Q97" s="2"/>
      <c r="W97" s="34"/>
      <c r="X97" s="35"/>
      <c r="Y97" s="35"/>
      <c r="Z97" s="2"/>
      <c r="AA97" s="2"/>
      <c r="AB97" s="2" t="str">
        <f>IFERROR(GA[[#This Row],[Plant Equivalent Weightage]]*GA[[#This Row],[Resolution Time]],"")</f>
        <v/>
      </c>
      <c r="AC97" s="2"/>
      <c r="AD97" s="32" t="str">
        <f>IFERROR((_xlfn.XLOOKUP(GA[[#This Row],[Month Year]],'Modelling New'!D:D,'Modelling New'!$O:$O)*GA[[#This Row],[Lost POA (Wh/m2)]]*GA[[#This Row],[DC Capacity Affceted (kW)]])/1000,"")</f>
        <v/>
      </c>
      <c r="AE97" s="2"/>
    </row>
    <row r="98" spans="1:31">
      <c r="A98" s="2">
        <f t="shared" si="16"/>
        <v>96</v>
      </c>
      <c r="B98" s="156">
        <f t="shared" si="14"/>
        <v>1900</v>
      </c>
      <c r="C98" s="129">
        <f t="shared" si="15"/>
        <v>1900</v>
      </c>
      <c r="I98" s="31" t="str">
        <f>IFERROR(VLOOKUP(GA[[#This Row],[Date]],Raw_Data[[#All],[Date]:[Sunset Time (POA&lt;20 W/m2)]],3,0),"")</f>
        <v/>
      </c>
      <c r="J98" s="31" t="str">
        <f>IFERROR(VLOOKUP(GA[[#This Row],[Date]],Raw_Data[[#All],[Date]:[Sunset Time (POA&lt;20 W/m2)]],4,0),"")</f>
        <v/>
      </c>
      <c r="K98" s="30" t="str">
        <f>IFERROR((GA[[#This Row],[Sunset Time (POA&lt;20 W/m2)]]-GA[[#This Row],[Sunrise Time (POA&gt;20 W/m2)]])*24,"")</f>
        <v/>
      </c>
      <c r="M98" s="17" t="str">
        <f>IFERROR(VLOOKUP(GA[[#This Row],[Affceted Equipment]],'Basic Data'!$A$1:$B$113,2,0),"")</f>
        <v/>
      </c>
      <c r="P98" s="28" t="str">
        <f>IFERROR(VLOOKUP(GA[[#This Row],[Affceted Equipment]],'Basic Data'!$A$2:$C$118,3,0),"")</f>
        <v/>
      </c>
      <c r="Q98" s="2"/>
      <c r="W98" s="34"/>
      <c r="X98" s="35"/>
      <c r="Y98" s="35"/>
      <c r="Z98" s="2"/>
      <c r="AA98" s="2"/>
      <c r="AB98" s="2" t="str">
        <f>IFERROR(GA[[#This Row],[Plant Equivalent Weightage]]*GA[[#This Row],[Resolution Time]],"")</f>
        <v/>
      </c>
      <c r="AC98" s="2"/>
      <c r="AD98" s="32" t="str">
        <f>IFERROR((_xlfn.XLOOKUP(GA[[#This Row],[Month Year]],'Modelling New'!D:D,'Modelling New'!$O:$O)*GA[[#This Row],[Lost POA (Wh/m2)]]*GA[[#This Row],[DC Capacity Affceted (kW)]])/1000,"")</f>
        <v/>
      </c>
      <c r="AE98" s="2"/>
    </row>
    <row r="99" spans="1:31">
      <c r="A99" s="2">
        <f t="shared" si="16"/>
        <v>97</v>
      </c>
      <c r="B99" s="156">
        <f t="shared" si="14"/>
        <v>1900</v>
      </c>
      <c r="C99" s="129">
        <f t="shared" si="15"/>
        <v>1900</v>
      </c>
      <c r="I99" s="31" t="str">
        <f>IFERROR(VLOOKUP(GA[[#This Row],[Date]],Raw_Data[[#All],[Date]:[Sunset Time (POA&lt;20 W/m2)]],3,0),"")</f>
        <v/>
      </c>
      <c r="J99" s="31" t="str">
        <f>IFERROR(VLOOKUP(GA[[#This Row],[Date]],Raw_Data[[#All],[Date]:[Sunset Time (POA&lt;20 W/m2)]],4,0),"")</f>
        <v/>
      </c>
      <c r="K99" s="30" t="str">
        <f>IFERROR((GA[[#This Row],[Sunset Time (POA&lt;20 W/m2)]]-GA[[#This Row],[Sunrise Time (POA&gt;20 W/m2)]])*24,"")</f>
        <v/>
      </c>
      <c r="M99" s="17" t="str">
        <f>IFERROR(VLOOKUP(GA[[#This Row],[Affceted Equipment]],'Basic Data'!$A$1:$B$113,2,0),"")</f>
        <v/>
      </c>
      <c r="P99" s="28" t="str">
        <f>IFERROR(VLOOKUP(GA[[#This Row],[Affceted Equipment]],'Basic Data'!$A$2:$C$118,3,0),"")</f>
        <v/>
      </c>
      <c r="Q99" s="2"/>
      <c r="W99" s="34"/>
      <c r="X99" s="35"/>
      <c r="Y99" s="35"/>
      <c r="Z99" s="2"/>
      <c r="AA99" s="2"/>
      <c r="AB99" s="2" t="str">
        <f>IFERROR(GA[[#This Row],[Plant Equivalent Weightage]]*GA[[#This Row],[Resolution Time]],"")</f>
        <v/>
      </c>
      <c r="AC99" s="2"/>
      <c r="AD99" s="32" t="str">
        <f>IFERROR((_xlfn.XLOOKUP(GA[[#This Row],[Month Year]],'Modelling New'!D:D,'Modelling New'!$O:$O)*GA[[#This Row],[Lost POA (Wh/m2)]]*GA[[#This Row],[DC Capacity Affceted (kW)]])/1000,"")</f>
        <v/>
      </c>
      <c r="AE99" s="2"/>
    </row>
    <row r="100" spans="1:31">
      <c r="A100" s="2">
        <f t="shared" si="16"/>
        <v>98</v>
      </c>
      <c r="B100" s="156">
        <f t="shared" si="14"/>
        <v>1900</v>
      </c>
      <c r="C100" s="129">
        <f t="shared" si="15"/>
        <v>1900</v>
      </c>
      <c r="I100" s="31" t="str">
        <f>IFERROR(VLOOKUP(GA[[#This Row],[Date]],Raw_Data[[#All],[Date]:[Sunset Time (POA&lt;20 W/m2)]],3,0),"")</f>
        <v/>
      </c>
      <c r="J100" s="31" t="str">
        <f>IFERROR(VLOOKUP(GA[[#This Row],[Date]],Raw_Data[[#All],[Date]:[Sunset Time (POA&lt;20 W/m2)]],4,0),"")</f>
        <v/>
      </c>
      <c r="K100" s="30" t="str">
        <f>IFERROR((GA[[#This Row],[Sunset Time (POA&lt;20 W/m2)]]-GA[[#This Row],[Sunrise Time (POA&gt;20 W/m2)]])*24,"")</f>
        <v/>
      </c>
      <c r="M100" s="17" t="str">
        <f>IFERROR(VLOOKUP(GA[[#This Row],[Affceted Equipment]],'Basic Data'!$A$1:$B$113,2,0),"")</f>
        <v/>
      </c>
      <c r="P100" s="28" t="str">
        <f>IFERROR(VLOOKUP(GA[[#This Row],[Affceted Equipment]],'Basic Data'!$A$2:$C$118,3,0),"")</f>
        <v/>
      </c>
      <c r="Q100" s="2"/>
      <c r="W100" s="34"/>
      <c r="X100" s="35"/>
      <c r="Y100" s="35"/>
      <c r="Z100" s="2"/>
      <c r="AA100" s="2"/>
      <c r="AB100" s="2" t="str">
        <f>IFERROR(GA[[#This Row],[Plant Equivalent Weightage]]*GA[[#This Row],[Resolution Time]],"")</f>
        <v/>
      </c>
      <c r="AC100" s="2"/>
      <c r="AD100" s="32" t="str">
        <f>IFERROR((_xlfn.XLOOKUP(GA[[#This Row],[Month Year]],'Modelling New'!D:D,'Modelling New'!$O:$O)*GA[[#This Row],[Lost POA (Wh/m2)]]*GA[[#This Row],[DC Capacity Affceted (kW)]])/1000,"")</f>
        <v/>
      </c>
      <c r="AE100" s="2"/>
    </row>
    <row r="101" spans="1:31">
      <c r="A101" s="2">
        <f t="shared" si="16"/>
        <v>99</v>
      </c>
      <c r="B101" s="156">
        <f t="shared" si="14"/>
        <v>1900</v>
      </c>
      <c r="C101" s="129">
        <f t="shared" si="15"/>
        <v>1900</v>
      </c>
      <c r="I101" s="31" t="str">
        <f>IFERROR(VLOOKUP(GA[[#This Row],[Date]],Raw_Data[[#All],[Date]:[Sunset Time (POA&lt;20 W/m2)]],3,0),"")</f>
        <v/>
      </c>
      <c r="J101" s="31" t="str">
        <f>IFERROR(VLOOKUP(GA[[#This Row],[Date]],Raw_Data[[#All],[Date]:[Sunset Time (POA&lt;20 W/m2)]],4,0),"")</f>
        <v/>
      </c>
      <c r="K101" s="30" t="str">
        <f>IFERROR((GA[[#This Row],[Sunset Time (POA&lt;20 W/m2)]]-GA[[#This Row],[Sunrise Time (POA&gt;20 W/m2)]])*24,"")</f>
        <v/>
      </c>
      <c r="M101" s="17" t="str">
        <f>IFERROR(VLOOKUP(GA[[#This Row],[Affceted Equipment]],'Basic Data'!$A$1:$B$113,2,0),"")</f>
        <v/>
      </c>
      <c r="P101" s="28" t="str">
        <f>IFERROR(VLOOKUP(GA[[#This Row],[Affceted Equipment]],'Basic Data'!$A$2:$C$118,3,0),"")</f>
        <v/>
      </c>
      <c r="Q101" s="2"/>
      <c r="W101" s="34"/>
      <c r="X101" s="35"/>
      <c r="Y101" s="35"/>
      <c r="Z101" s="2"/>
      <c r="AA101" s="2"/>
      <c r="AB101" s="2" t="str">
        <f>IFERROR(GA[[#This Row],[Plant Equivalent Weightage]]*GA[[#This Row],[Resolution Time]],"")</f>
        <v/>
      </c>
      <c r="AC101" s="2"/>
      <c r="AD101" s="32" t="str">
        <f>IFERROR((_xlfn.XLOOKUP(GA[[#This Row],[Month Year]],'Modelling New'!D:D,'Modelling New'!$O:$O)*GA[[#This Row],[Lost POA (Wh/m2)]]*GA[[#This Row],[DC Capacity Affceted (kW)]])/1000,"")</f>
        <v/>
      </c>
      <c r="AE101" s="2"/>
    </row>
    <row r="102" spans="1:31">
      <c r="A102" s="2">
        <f t="shared" si="16"/>
        <v>100</v>
      </c>
      <c r="B102" s="156">
        <f t="shared" si="14"/>
        <v>1900</v>
      </c>
      <c r="C102" s="129">
        <f t="shared" si="15"/>
        <v>1900</v>
      </c>
      <c r="I102" s="31" t="str">
        <f>IFERROR(VLOOKUP(GA[[#This Row],[Date]],Raw_Data[[#All],[Date]:[Sunset Time (POA&lt;20 W/m2)]],3,0),"")</f>
        <v/>
      </c>
      <c r="J102" s="31" t="str">
        <f>IFERROR(VLOOKUP(GA[[#This Row],[Date]],Raw_Data[[#All],[Date]:[Sunset Time (POA&lt;20 W/m2)]],4,0),"")</f>
        <v/>
      </c>
      <c r="K102" s="30" t="str">
        <f>IFERROR((GA[[#This Row],[Sunset Time (POA&lt;20 W/m2)]]-GA[[#This Row],[Sunrise Time (POA&gt;20 W/m2)]])*24,"")</f>
        <v/>
      </c>
      <c r="M102" s="17" t="str">
        <f>IFERROR(VLOOKUP(GA[[#This Row],[Affceted Equipment]],'Basic Data'!$A$1:$B$113,2,0),"")</f>
        <v/>
      </c>
      <c r="P102" s="28" t="str">
        <f>IFERROR(VLOOKUP(GA[[#This Row],[Affceted Equipment]],'Basic Data'!$A$2:$C$118,3,0),"")</f>
        <v/>
      </c>
      <c r="Q102" s="2"/>
      <c r="W102" s="34"/>
      <c r="X102" s="35"/>
      <c r="Y102" s="35"/>
      <c r="Z102" s="2"/>
      <c r="AA102" s="2"/>
      <c r="AB102" s="2" t="str">
        <f>IFERROR(GA[[#This Row],[Plant Equivalent Weightage]]*GA[[#This Row],[Resolution Time]],"")</f>
        <v/>
      </c>
      <c r="AC102" s="2"/>
      <c r="AD102" s="32" t="str">
        <f>IFERROR((_xlfn.XLOOKUP(GA[[#This Row],[Month Year]],'Modelling New'!D:D,'Modelling New'!$O:$O)*GA[[#This Row],[Lost POA (Wh/m2)]]*GA[[#This Row],[DC Capacity Affceted (kW)]])/1000,"")</f>
        <v/>
      </c>
      <c r="AE102" s="2"/>
    </row>
    <row r="103" spans="1:31">
      <c r="A103" s="2">
        <f t="shared" si="16"/>
        <v>101</v>
      </c>
      <c r="B103" s="156">
        <f t="shared" si="14"/>
        <v>1900</v>
      </c>
      <c r="C103" s="129">
        <f t="shared" si="15"/>
        <v>1900</v>
      </c>
      <c r="I103" s="31" t="str">
        <f>IFERROR(VLOOKUP(GA[[#This Row],[Date]],Raw_Data[[#All],[Date]:[Sunset Time (POA&lt;20 W/m2)]],3,0),"")</f>
        <v/>
      </c>
      <c r="J103" s="31" t="str">
        <f>IFERROR(VLOOKUP(GA[[#This Row],[Date]],Raw_Data[[#All],[Date]:[Sunset Time (POA&lt;20 W/m2)]],4,0),"")</f>
        <v/>
      </c>
      <c r="K103" s="30" t="str">
        <f>IFERROR((GA[[#This Row],[Sunset Time (POA&lt;20 W/m2)]]-GA[[#This Row],[Sunrise Time (POA&gt;20 W/m2)]])*24,"")</f>
        <v/>
      </c>
      <c r="M103" s="17" t="str">
        <f>IFERROR(VLOOKUP(GA[[#This Row],[Affceted Equipment]],'Basic Data'!$A$1:$B$113,2,0),"")</f>
        <v/>
      </c>
      <c r="P103" s="28" t="str">
        <f>IFERROR(VLOOKUP(GA[[#This Row],[Affceted Equipment]],'Basic Data'!$A$2:$C$118,3,0),"")</f>
        <v/>
      </c>
      <c r="Q103" s="2"/>
      <c r="W103" s="34"/>
      <c r="X103" s="35"/>
      <c r="Y103" s="35"/>
      <c r="Z103" s="2"/>
      <c r="AA103" s="2"/>
      <c r="AB103" s="2" t="str">
        <f>IFERROR(GA[[#This Row],[Plant Equivalent Weightage]]*GA[[#This Row],[Resolution Time]],"")</f>
        <v/>
      </c>
      <c r="AC103" s="2"/>
      <c r="AD103" s="32" t="str">
        <f>IFERROR((_xlfn.XLOOKUP(GA[[#This Row],[Month Year]],'Modelling New'!D:D,'Modelling New'!$O:$O)*GA[[#This Row],[Lost POA (Wh/m2)]]*GA[[#This Row],[DC Capacity Affceted (kW)]])/1000,"")</f>
        <v/>
      </c>
      <c r="AE103" s="2"/>
    </row>
    <row r="104" spans="1:31">
      <c r="A104" s="2">
        <f t="shared" si="16"/>
        <v>102</v>
      </c>
      <c r="B104" s="156">
        <f t="shared" si="14"/>
        <v>1900</v>
      </c>
      <c r="C104" s="129">
        <f t="shared" si="15"/>
        <v>1900</v>
      </c>
      <c r="I104" s="31" t="str">
        <f>IFERROR(VLOOKUP(GA[[#This Row],[Date]],Raw_Data[[#All],[Date]:[Sunset Time (POA&lt;20 W/m2)]],3,0),"")</f>
        <v/>
      </c>
      <c r="J104" s="31" t="str">
        <f>IFERROR(VLOOKUP(GA[[#This Row],[Date]],Raw_Data[[#All],[Date]:[Sunset Time (POA&lt;20 W/m2)]],4,0),"")</f>
        <v/>
      </c>
      <c r="K104" s="30" t="str">
        <f>IFERROR((GA[[#This Row],[Sunset Time (POA&lt;20 W/m2)]]-GA[[#This Row],[Sunrise Time (POA&gt;20 W/m2)]])*24,"")</f>
        <v/>
      </c>
      <c r="M104" s="17" t="str">
        <f>IFERROR(VLOOKUP(GA[[#This Row],[Affceted Equipment]],'Basic Data'!$A$1:$B$113,2,0),"")</f>
        <v/>
      </c>
      <c r="P104" s="28" t="str">
        <f>IFERROR(VLOOKUP(GA[[#This Row],[Affceted Equipment]],'Basic Data'!$A$2:$C$118,3,0),"")</f>
        <v/>
      </c>
      <c r="Q104" s="2"/>
      <c r="W104" s="34"/>
      <c r="X104" s="35"/>
      <c r="Y104" s="35"/>
      <c r="Z104" s="2"/>
      <c r="AA104" s="2"/>
      <c r="AB104" s="2" t="str">
        <f>IFERROR(GA[[#This Row],[Plant Equivalent Weightage]]*GA[[#This Row],[Resolution Time]],"")</f>
        <v/>
      </c>
      <c r="AC104" s="2"/>
      <c r="AD104" s="32" t="str">
        <f>IFERROR((_xlfn.XLOOKUP(GA[[#This Row],[Month Year]],'Modelling New'!D:D,'Modelling New'!$O:$O)*GA[[#This Row],[Lost POA (Wh/m2)]]*GA[[#This Row],[DC Capacity Affceted (kW)]])/1000,"")</f>
        <v/>
      </c>
      <c r="AE104" s="2"/>
    </row>
    <row r="105" spans="1:31">
      <c r="A105" s="2">
        <f t="shared" si="16"/>
        <v>103</v>
      </c>
      <c r="B105" s="156">
        <f t="shared" si="14"/>
        <v>1900</v>
      </c>
      <c r="C105" s="129">
        <f t="shared" si="15"/>
        <v>1900</v>
      </c>
      <c r="I105" s="31" t="str">
        <f>IFERROR(VLOOKUP(GA[[#This Row],[Date]],Raw_Data[[#All],[Date]:[Sunset Time (POA&lt;20 W/m2)]],3,0),"")</f>
        <v/>
      </c>
      <c r="J105" s="31" t="str">
        <f>IFERROR(VLOOKUP(GA[[#This Row],[Date]],Raw_Data[[#All],[Date]:[Sunset Time (POA&lt;20 W/m2)]],4,0),"")</f>
        <v/>
      </c>
      <c r="K105" s="30" t="str">
        <f>IFERROR((GA[[#This Row],[Sunset Time (POA&lt;20 W/m2)]]-GA[[#This Row],[Sunrise Time (POA&gt;20 W/m2)]])*24,"")</f>
        <v/>
      </c>
      <c r="M105" s="17" t="str">
        <f>IFERROR(VLOOKUP(GA[[#This Row],[Affceted Equipment]],'Basic Data'!$A$1:$B$113,2,0),"")</f>
        <v/>
      </c>
      <c r="P105" s="28" t="str">
        <f>IFERROR(VLOOKUP(GA[[#This Row],[Affceted Equipment]],'Basic Data'!$A$2:$C$118,3,0),"")</f>
        <v/>
      </c>
      <c r="Q105" s="2"/>
      <c r="W105" s="34"/>
      <c r="X105" s="35"/>
      <c r="Y105" s="35"/>
      <c r="Z105" s="2"/>
      <c r="AA105" s="2"/>
      <c r="AB105" s="2" t="str">
        <f>IFERROR(GA[[#This Row],[Plant Equivalent Weightage]]*GA[[#This Row],[Resolution Time]],"")</f>
        <v/>
      </c>
      <c r="AC105" s="2"/>
      <c r="AD105" s="32" t="str">
        <f>IFERROR((_xlfn.XLOOKUP(GA[[#This Row],[Month Year]],'Modelling New'!D:D,'Modelling New'!$O:$O)*GA[[#This Row],[Lost POA (Wh/m2)]]*GA[[#This Row],[DC Capacity Affceted (kW)]])/1000,"")</f>
        <v/>
      </c>
      <c r="AE105" s="2"/>
    </row>
    <row r="106" spans="1:31">
      <c r="A106" s="2">
        <f t="shared" si="16"/>
        <v>104</v>
      </c>
      <c r="B106" s="156">
        <f t="shared" si="14"/>
        <v>1900</v>
      </c>
      <c r="C106" s="129">
        <f t="shared" si="15"/>
        <v>1900</v>
      </c>
      <c r="I106" s="31" t="str">
        <f>IFERROR(VLOOKUP(GA[[#This Row],[Date]],Raw_Data[[#All],[Date]:[Sunset Time (POA&lt;20 W/m2)]],3,0),"")</f>
        <v/>
      </c>
      <c r="J106" s="31" t="str">
        <f>IFERROR(VLOOKUP(GA[[#This Row],[Date]],Raw_Data[[#All],[Date]:[Sunset Time (POA&lt;20 W/m2)]],4,0),"")</f>
        <v/>
      </c>
      <c r="K106" s="30" t="str">
        <f>IFERROR((GA[[#This Row],[Sunset Time (POA&lt;20 W/m2)]]-GA[[#This Row],[Sunrise Time (POA&gt;20 W/m2)]])*24,"")</f>
        <v/>
      </c>
      <c r="M106" s="17" t="str">
        <f>IFERROR(VLOOKUP(GA[[#This Row],[Affceted Equipment]],'Basic Data'!$A$1:$B$113,2,0),"")</f>
        <v/>
      </c>
      <c r="P106" s="28" t="str">
        <f>IFERROR(VLOOKUP(GA[[#This Row],[Affceted Equipment]],'Basic Data'!$A$2:$C$118,3,0),"")</f>
        <v/>
      </c>
      <c r="Q106" s="2"/>
      <c r="W106" s="34"/>
      <c r="X106" s="35"/>
      <c r="Y106" s="35"/>
      <c r="Z106" s="2"/>
      <c r="AA106" s="2"/>
      <c r="AB106" s="2" t="str">
        <f>IFERROR(GA[[#This Row],[Plant Equivalent Weightage]]*GA[[#This Row],[Resolution Time]],"")</f>
        <v/>
      </c>
      <c r="AC106" s="2"/>
      <c r="AD106" s="32" t="str">
        <f>IFERROR((_xlfn.XLOOKUP(GA[[#This Row],[Month Year]],'Modelling New'!D:D,'Modelling New'!$O:$O)*GA[[#This Row],[Lost POA (Wh/m2)]]*GA[[#This Row],[DC Capacity Affceted (kW)]])/1000,"")</f>
        <v/>
      </c>
      <c r="AE106" s="2"/>
    </row>
    <row r="107" spans="1:31">
      <c r="A107" s="2">
        <f t="shared" si="16"/>
        <v>105</v>
      </c>
      <c r="B107" s="156">
        <f t="shared" si="14"/>
        <v>1900</v>
      </c>
      <c r="C107" s="129">
        <f t="shared" si="15"/>
        <v>1900</v>
      </c>
      <c r="I107" s="31" t="str">
        <f>IFERROR(VLOOKUP(GA[[#This Row],[Date]],Raw_Data[[#All],[Date]:[Sunset Time (POA&lt;20 W/m2)]],3,0),"")</f>
        <v/>
      </c>
      <c r="J107" s="31" t="str">
        <f>IFERROR(VLOOKUP(GA[[#This Row],[Date]],Raw_Data[[#All],[Date]:[Sunset Time (POA&lt;20 W/m2)]],4,0),"")</f>
        <v/>
      </c>
      <c r="K107" s="30" t="str">
        <f>IFERROR((GA[[#This Row],[Sunset Time (POA&lt;20 W/m2)]]-GA[[#This Row],[Sunrise Time (POA&gt;20 W/m2)]])*24,"")</f>
        <v/>
      </c>
      <c r="M107" s="17" t="str">
        <f>IFERROR(VLOOKUP(GA[[#This Row],[Affceted Equipment]],'Basic Data'!$A$1:$B$113,2,0),"")</f>
        <v/>
      </c>
      <c r="P107" s="28" t="str">
        <f>IFERROR(VLOOKUP(GA[[#This Row],[Affceted Equipment]],'Basic Data'!$A$2:$C$118,3,0),"")</f>
        <v/>
      </c>
      <c r="Q107" s="2"/>
      <c r="W107" s="34"/>
      <c r="X107" s="35"/>
      <c r="Y107" s="35"/>
      <c r="Z107" s="2"/>
      <c r="AA107" s="2"/>
      <c r="AB107" s="2" t="str">
        <f>IFERROR(GA[[#This Row],[Plant Equivalent Weightage]]*GA[[#This Row],[Resolution Time]],"")</f>
        <v/>
      </c>
      <c r="AC107" s="2"/>
      <c r="AD107" s="32" t="str">
        <f>IFERROR((_xlfn.XLOOKUP(GA[[#This Row],[Month Year]],'Modelling New'!D:D,'Modelling New'!$O:$O)*GA[[#This Row],[Lost POA (Wh/m2)]]*GA[[#This Row],[DC Capacity Affceted (kW)]])/1000,"")</f>
        <v/>
      </c>
      <c r="AE107" s="2"/>
    </row>
    <row r="108" spans="1:31">
      <c r="A108" s="2">
        <f t="shared" si="16"/>
        <v>106</v>
      </c>
      <c r="B108" s="156">
        <f t="shared" si="14"/>
        <v>1900</v>
      </c>
      <c r="C108" s="129">
        <f t="shared" si="15"/>
        <v>1900</v>
      </c>
      <c r="I108" s="31" t="str">
        <f>IFERROR(VLOOKUP(GA[[#This Row],[Date]],Raw_Data[[#All],[Date]:[Sunset Time (POA&lt;20 W/m2)]],3,0),"")</f>
        <v/>
      </c>
      <c r="J108" s="31" t="str">
        <f>IFERROR(VLOOKUP(GA[[#This Row],[Date]],Raw_Data[[#All],[Date]:[Sunset Time (POA&lt;20 W/m2)]],4,0),"")</f>
        <v/>
      </c>
      <c r="K108" s="30" t="str">
        <f>IFERROR((GA[[#This Row],[Sunset Time (POA&lt;20 W/m2)]]-GA[[#This Row],[Sunrise Time (POA&gt;20 W/m2)]])*24,"")</f>
        <v/>
      </c>
      <c r="M108" s="17" t="str">
        <f>IFERROR(VLOOKUP(GA[[#This Row],[Affceted Equipment]],'Basic Data'!$A$1:$B$113,2,0),"")</f>
        <v/>
      </c>
      <c r="P108" s="28" t="str">
        <f>IFERROR(VLOOKUP(GA[[#This Row],[Affceted Equipment]],'Basic Data'!$A$2:$C$118,3,0),"")</f>
        <v/>
      </c>
      <c r="Q108" s="2"/>
      <c r="W108" s="34"/>
      <c r="X108" s="35"/>
      <c r="Y108" s="35"/>
      <c r="Z108" s="2"/>
      <c r="AA108" s="2"/>
      <c r="AB108" s="2" t="str">
        <f>IFERROR(GA[[#This Row],[Plant Equivalent Weightage]]*GA[[#This Row],[Resolution Time]],"")</f>
        <v/>
      </c>
      <c r="AC108" s="2"/>
      <c r="AD108" s="32" t="str">
        <f>IFERROR((_xlfn.XLOOKUP(GA[[#This Row],[Month Year]],'Modelling New'!D:D,'Modelling New'!$O:$O)*GA[[#This Row],[Lost POA (Wh/m2)]]*GA[[#This Row],[DC Capacity Affceted (kW)]])/1000,"")</f>
        <v/>
      </c>
      <c r="AE108" s="2"/>
    </row>
    <row r="109" spans="1:31">
      <c r="A109" s="2">
        <f t="shared" si="16"/>
        <v>107</v>
      </c>
      <c r="B109" s="156">
        <f t="shared" si="14"/>
        <v>1900</v>
      </c>
      <c r="C109" s="129">
        <f t="shared" si="15"/>
        <v>1900</v>
      </c>
      <c r="I109" s="31" t="str">
        <f>IFERROR(VLOOKUP(GA[[#This Row],[Date]],Raw_Data[[#All],[Date]:[Sunset Time (POA&lt;20 W/m2)]],3,0),"")</f>
        <v/>
      </c>
      <c r="J109" s="31" t="str">
        <f>IFERROR(VLOOKUP(GA[[#This Row],[Date]],Raw_Data[[#All],[Date]:[Sunset Time (POA&lt;20 W/m2)]],4,0),"")</f>
        <v/>
      </c>
      <c r="K109" s="30" t="str">
        <f>IFERROR((GA[[#This Row],[Sunset Time (POA&lt;20 W/m2)]]-GA[[#This Row],[Sunrise Time (POA&gt;20 W/m2)]])*24,"")</f>
        <v/>
      </c>
      <c r="M109" s="17" t="str">
        <f>IFERROR(VLOOKUP(GA[[#This Row],[Affceted Equipment]],'Basic Data'!$A$1:$B$113,2,0),"")</f>
        <v/>
      </c>
      <c r="P109" s="28" t="str">
        <f>IFERROR(VLOOKUP(GA[[#This Row],[Affceted Equipment]],'Basic Data'!$A$2:$C$118,3,0),"")</f>
        <v/>
      </c>
      <c r="Q109" s="2"/>
      <c r="W109" s="34"/>
      <c r="X109" s="35"/>
      <c r="Y109" s="35"/>
      <c r="Z109" s="2"/>
      <c r="AA109" s="2"/>
      <c r="AB109" s="2" t="str">
        <f>IFERROR(GA[[#This Row],[Plant Equivalent Weightage]]*GA[[#This Row],[Resolution Time]],"")</f>
        <v/>
      </c>
      <c r="AC109" s="2"/>
      <c r="AD109" s="32" t="str">
        <f>IFERROR((_xlfn.XLOOKUP(GA[[#This Row],[Month Year]],'Modelling New'!D:D,'Modelling New'!$O:$O)*GA[[#This Row],[Lost POA (Wh/m2)]]*GA[[#This Row],[DC Capacity Affceted (kW)]])/1000,"")</f>
        <v/>
      </c>
      <c r="AE109" s="2"/>
    </row>
    <row r="110" spans="1:31">
      <c r="A110" s="2">
        <f t="shared" si="16"/>
        <v>108</v>
      </c>
      <c r="B110" s="156">
        <f t="shared" si="14"/>
        <v>1900</v>
      </c>
      <c r="C110" s="129">
        <f t="shared" si="15"/>
        <v>1900</v>
      </c>
      <c r="I110" s="31" t="str">
        <f>IFERROR(VLOOKUP(GA[[#This Row],[Date]],Raw_Data[[#All],[Date]:[Sunset Time (POA&lt;20 W/m2)]],3,0),"")</f>
        <v/>
      </c>
      <c r="J110" s="31" t="str">
        <f>IFERROR(VLOOKUP(GA[[#This Row],[Date]],Raw_Data[[#All],[Date]:[Sunset Time (POA&lt;20 W/m2)]],4,0),"")</f>
        <v/>
      </c>
      <c r="K110" s="30" t="str">
        <f>IFERROR((GA[[#This Row],[Sunset Time (POA&lt;20 W/m2)]]-GA[[#This Row],[Sunrise Time (POA&gt;20 W/m2)]])*24,"")</f>
        <v/>
      </c>
      <c r="M110" s="17" t="str">
        <f>IFERROR(VLOOKUP(GA[[#This Row],[Affceted Equipment]],'Basic Data'!$A$1:$B$113,2,0),"")</f>
        <v/>
      </c>
      <c r="P110" s="28" t="str">
        <f>IFERROR(VLOOKUP(GA[[#This Row],[Affceted Equipment]],'Basic Data'!$A$2:$C$118,3,0),"")</f>
        <v/>
      </c>
      <c r="Q110" s="2"/>
      <c r="W110" s="34"/>
      <c r="X110" s="35"/>
      <c r="Y110" s="35"/>
      <c r="Z110" s="2"/>
      <c r="AA110" s="2"/>
      <c r="AB110" s="2" t="str">
        <f>IFERROR(GA[[#This Row],[Plant Equivalent Weightage]]*GA[[#This Row],[Resolution Time]],"")</f>
        <v/>
      </c>
      <c r="AC110" s="2"/>
      <c r="AD110" s="32" t="str">
        <f>IFERROR((_xlfn.XLOOKUP(GA[[#This Row],[Month Year]],'Modelling New'!D:D,'Modelling New'!$O:$O)*GA[[#This Row],[Lost POA (Wh/m2)]]*GA[[#This Row],[DC Capacity Affceted (kW)]])/1000,"")</f>
        <v/>
      </c>
      <c r="AE110" s="2"/>
    </row>
    <row r="111" spans="1:31">
      <c r="A111" s="2">
        <f t="shared" si="16"/>
        <v>109</v>
      </c>
      <c r="B111" s="156">
        <f t="shared" si="14"/>
        <v>1900</v>
      </c>
      <c r="C111" s="129">
        <f t="shared" si="15"/>
        <v>1900</v>
      </c>
      <c r="I111" s="31" t="str">
        <f>IFERROR(VLOOKUP(GA[[#This Row],[Date]],Raw_Data[[#All],[Date]:[Sunset Time (POA&lt;20 W/m2)]],3,0),"")</f>
        <v/>
      </c>
      <c r="J111" s="31" t="str">
        <f>IFERROR(VLOOKUP(GA[[#This Row],[Date]],Raw_Data[[#All],[Date]:[Sunset Time (POA&lt;20 W/m2)]],4,0),"")</f>
        <v/>
      </c>
      <c r="K111" s="30" t="str">
        <f>IFERROR((GA[[#This Row],[Sunset Time (POA&lt;20 W/m2)]]-GA[[#This Row],[Sunrise Time (POA&gt;20 W/m2)]])*24,"")</f>
        <v/>
      </c>
      <c r="M111" s="17" t="str">
        <f>IFERROR(VLOOKUP(GA[[#This Row],[Affceted Equipment]],'Basic Data'!$A$1:$B$113,2,0),"")</f>
        <v/>
      </c>
      <c r="P111" s="28" t="str">
        <f>IFERROR(VLOOKUP(GA[[#This Row],[Affceted Equipment]],'Basic Data'!$A$2:$C$118,3,0),"")</f>
        <v/>
      </c>
      <c r="Q111" s="2"/>
      <c r="W111" s="34"/>
      <c r="X111" s="35"/>
      <c r="Y111" s="35"/>
      <c r="Z111" s="2"/>
      <c r="AA111" s="2"/>
      <c r="AB111" s="2" t="str">
        <f>IFERROR(GA[[#This Row],[Plant Equivalent Weightage]]*GA[[#This Row],[Resolution Time]],"")</f>
        <v/>
      </c>
      <c r="AC111" s="2"/>
      <c r="AD111" s="32" t="str">
        <f>IFERROR((_xlfn.XLOOKUP(GA[[#This Row],[Month Year]],'Modelling New'!D:D,'Modelling New'!$O:$O)*GA[[#This Row],[Lost POA (Wh/m2)]]*GA[[#This Row],[DC Capacity Affceted (kW)]])/1000,"")</f>
        <v/>
      </c>
      <c r="AE111" s="2"/>
    </row>
    <row r="112" spans="1:31">
      <c r="A112" s="2">
        <f t="shared" si="16"/>
        <v>110</v>
      </c>
      <c r="B112" s="156">
        <f t="shared" si="14"/>
        <v>1900</v>
      </c>
      <c r="C112" s="129">
        <f t="shared" si="15"/>
        <v>1900</v>
      </c>
      <c r="I112" s="31" t="str">
        <f>IFERROR(VLOOKUP(GA[[#This Row],[Date]],Raw_Data[[#All],[Date]:[Sunset Time (POA&lt;20 W/m2)]],3,0),"")</f>
        <v/>
      </c>
      <c r="J112" s="31" t="str">
        <f>IFERROR(VLOOKUP(GA[[#This Row],[Date]],Raw_Data[[#All],[Date]:[Sunset Time (POA&lt;20 W/m2)]],4,0),"")</f>
        <v/>
      </c>
      <c r="K112" s="30" t="str">
        <f>IFERROR((GA[[#This Row],[Sunset Time (POA&lt;20 W/m2)]]-GA[[#This Row],[Sunrise Time (POA&gt;20 W/m2)]])*24,"")</f>
        <v/>
      </c>
      <c r="M112" s="17" t="str">
        <f>IFERROR(VLOOKUP(GA[[#This Row],[Affceted Equipment]],'Basic Data'!$A$1:$B$113,2,0),"")</f>
        <v/>
      </c>
      <c r="P112" s="28" t="str">
        <f>IFERROR(VLOOKUP(GA[[#This Row],[Affceted Equipment]],'Basic Data'!$A$2:$C$118,3,0),"")</f>
        <v/>
      </c>
      <c r="Q112" s="2"/>
      <c r="W112" s="34"/>
      <c r="X112" s="35"/>
      <c r="Y112" s="35"/>
      <c r="Z112" s="2"/>
      <c r="AA112" s="2"/>
      <c r="AB112" s="2" t="str">
        <f>IFERROR(GA[[#This Row],[Plant Equivalent Weightage]]*GA[[#This Row],[Resolution Time]],"")</f>
        <v/>
      </c>
      <c r="AC112" s="2"/>
      <c r="AD112" s="32" t="str">
        <f>IFERROR((_xlfn.XLOOKUP(GA[[#This Row],[Month Year]],'Modelling New'!D:D,'Modelling New'!$O:$O)*GA[[#This Row],[Lost POA (Wh/m2)]]*GA[[#This Row],[DC Capacity Affceted (kW)]])/1000,"")</f>
        <v/>
      </c>
      <c r="AE112" s="2"/>
    </row>
    <row r="113" spans="1:31">
      <c r="A113" s="2">
        <f t="shared" si="16"/>
        <v>111</v>
      </c>
      <c r="B113" s="156">
        <f t="shared" si="14"/>
        <v>1900</v>
      </c>
      <c r="C113" s="129">
        <f t="shared" si="15"/>
        <v>1900</v>
      </c>
      <c r="I113" s="31" t="str">
        <f>IFERROR(VLOOKUP(GA[[#This Row],[Date]],Raw_Data[[#All],[Date]:[Sunset Time (POA&lt;20 W/m2)]],3,0),"")</f>
        <v/>
      </c>
      <c r="J113" s="31" t="str">
        <f>IFERROR(VLOOKUP(GA[[#This Row],[Date]],Raw_Data[[#All],[Date]:[Sunset Time (POA&lt;20 W/m2)]],4,0),"")</f>
        <v/>
      </c>
      <c r="K113" s="30" t="str">
        <f>IFERROR((GA[[#This Row],[Sunset Time (POA&lt;20 W/m2)]]-GA[[#This Row],[Sunrise Time (POA&gt;20 W/m2)]])*24,"")</f>
        <v/>
      </c>
      <c r="M113" s="17" t="str">
        <f>IFERROR(VLOOKUP(GA[[#This Row],[Affceted Equipment]],'Basic Data'!$A$1:$B$113,2,0),"")</f>
        <v/>
      </c>
      <c r="P113" s="28" t="str">
        <f>IFERROR(VLOOKUP(GA[[#This Row],[Affceted Equipment]],'Basic Data'!$A$2:$C$118,3,0),"")</f>
        <v/>
      </c>
      <c r="Q113" s="2"/>
      <c r="W113" s="34"/>
      <c r="X113" s="35"/>
      <c r="Y113" s="35"/>
      <c r="Z113" s="2"/>
      <c r="AA113" s="2"/>
      <c r="AB113" s="2" t="str">
        <f>IFERROR(GA[[#This Row],[Plant Equivalent Weightage]]*GA[[#This Row],[Resolution Time]],"")</f>
        <v/>
      </c>
      <c r="AC113" s="2"/>
      <c r="AD113" s="32" t="str">
        <f>IFERROR((_xlfn.XLOOKUP(GA[[#This Row],[Month Year]],'Modelling New'!D:D,'Modelling New'!$O:$O)*GA[[#This Row],[Lost POA (Wh/m2)]]*GA[[#This Row],[DC Capacity Affceted (kW)]])/1000,"")</f>
        <v/>
      </c>
      <c r="AE113" s="2"/>
    </row>
    <row r="114" spans="1:31">
      <c r="A114" s="2">
        <f t="shared" si="16"/>
        <v>112</v>
      </c>
      <c r="B114" s="156">
        <f t="shared" si="14"/>
        <v>1900</v>
      </c>
      <c r="C114" s="129">
        <f t="shared" si="15"/>
        <v>1900</v>
      </c>
      <c r="I114" s="31" t="str">
        <f>IFERROR(VLOOKUP(GA[[#This Row],[Date]],Raw_Data[[#All],[Date]:[Sunset Time (POA&lt;20 W/m2)]],3,0),"")</f>
        <v/>
      </c>
      <c r="J114" s="31" t="str">
        <f>IFERROR(VLOOKUP(GA[[#This Row],[Date]],Raw_Data[[#All],[Date]:[Sunset Time (POA&lt;20 W/m2)]],4,0),"")</f>
        <v/>
      </c>
      <c r="K114" s="30" t="str">
        <f>IFERROR((GA[[#This Row],[Sunset Time (POA&lt;20 W/m2)]]-GA[[#This Row],[Sunrise Time (POA&gt;20 W/m2)]])*24,"")</f>
        <v/>
      </c>
      <c r="M114" s="17" t="str">
        <f>IFERROR(VLOOKUP(GA[[#This Row],[Affceted Equipment]],'Basic Data'!$A$1:$B$113,2,0),"")</f>
        <v/>
      </c>
      <c r="P114" s="28" t="str">
        <f>IFERROR(VLOOKUP(GA[[#This Row],[Affceted Equipment]],'Basic Data'!$A$2:$C$118,3,0),"")</f>
        <v/>
      </c>
      <c r="Q114" s="2"/>
      <c r="W114" s="34"/>
      <c r="X114" s="35"/>
      <c r="Y114" s="35"/>
      <c r="Z114" s="2"/>
      <c r="AA114" s="2"/>
      <c r="AB114" s="2" t="str">
        <f>IFERROR(GA[[#This Row],[Plant Equivalent Weightage]]*GA[[#This Row],[Resolution Time]],"")</f>
        <v/>
      </c>
      <c r="AC114" s="2"/>
      <c r="AD114" s="32" t="str">
        <f>IFERROR((_xlfn.XLOOKUP(GA[[#This Row],[Month Year]],'Modelling New'!D:D,'Modelling New'!$O:$O)*GA[[#This Row],[Lost POA (Wh/m2)]]*GA[[#This Row],[DC Capacity Affceted (kW)]])/1000,"")</f>
        <v/>
      </c>
      <c r="AE114" s="2"/>
    </row>
    <row r="115" spans="1:31">
      <c r="A115" s="2">
        <f t="shared" si="16"/>
        <v>113</v>
      </c>
      <c r="B115" s="156">
        <f t="shared" si="14"/>
        <v>1900</v>
      </c>
      <c r="C115" s="129">
        <f t="shared" si="15"/>
        <v>1900</v>
      </c>
      <c r="I115" s="31" t="str">
        <f>IFERROR(VLOOKUP(GA[[#This Row],[Date]],Raw_Data[[#All],[Date]:[Sunset Time (POA&lt;20 W/m2)]],3,0),"")</f>
        <v/>
      </c>
      <c r="J115" s="31" t="str">
        <f>IFERROR(VLOOKUP(GA[[#This Row],[Date]],Raw_Data[[#All],[Date]:[Sunset Time (POA&lt;20 W/m2)]],4,0),"")</f>
        <v/>
      </c>
      <c r="K115" s="30" t="str">
        <f>IFERROR((GA[[#This Row],[Sunset Time (POA&lt;20 W/m2)]]-GA[[#This Row],[Sunrise Time (POA&gt;20 W/m2)]])*24,"")</f>
        <v/>
      </c>
      <c r="M115" s="17" t="str">
        <f>IFERROR(VLOOKUP(GA[[#This Row],[Affceted Equipment]],'Basic Data'!$A$1:$B$113,2,0),"")</f>
        <v/>
      </c>
      <c r="P115" s="28" t="str">
        <f>IFERROR(VLOOKUP(GA[[#This Row],[Affceted Equipment]],'Basic Data'!$A$2:$C$118,3,0),"")</f>
        <v/>
      </c>
      <c r="Q115" s="2"/>
      <c r="W115" s="34"/>
      <c r="X115" s="35"/>
      <c r="Y115" s="35"/>
      <c r="Z115" s="2"/>
      <c r="AA115" s="2"/>
      <c r="AB115" s="2" t="str">
        <f>IFERROR(GA[[#This Row],[Plant Equivalent Weightage]]*GA[[#This Row],[Resolution Time]],"")</f>
        <v/>
      </c>
      <c r="AC115" s="2"/>
      <c r="AD115" s="32" t="str">
        <f>IFERROR((_xlfn.XLOOKUP(GA[[#This Row],[Month Year]],'Modelling New'!D:D,'Modelling New'!$O:$O)*GA[[#This Row],[Lost POA (Wh/m2)]]*GA[[#This Row],[DC Capacity Affceted (kW)]])/1000,"")</f>
        <v/>
      </c>
      <c r="AE115" s="2"/>
    </row>
    <row r="116" spans="1:31">
      <c r="A116" s="2">
        <f t="shared" si="16"/>
        <v>114</v>
      </c>
      <c r="B116" s="156">
        <f t="shared" si="14"/>
        <v>1900</v>
      </c>
      <c r="C116" s="129">
        <f t="shared" si="15"/>
        <v>1900</v>
      </c>
      <c r="I116" s="31" t="str">
        <f>IFERROR(VLOOKUP(GA[[#This Row],[Date]],Raw_Data[[#All],[Date]:[Sunset Time (POA&lt;20 W/m2)]],3,0),"")</f>
        <v/>
      </c>
      <c r="J116" s="31" t="str">
        <f>IFERROR(VLOOKUP(GA[[#This Row],[Date]],Raw_Data[[#All],[Date]:[Sunset Time (POA&lt;20 W/m2)]],4,0),"")</f>
        <v/>
      </c>
      <c r="K116" s="30" t="str">
        <f>IFERROR((GA[[#This Row],[Sunset Time (POA&lt;20 W/m2)]]-GA[[#This Row],[Sunrise Time (POA&gt;20 W/m2)]])*24,"")</f>
        <v/>
      </c>
      <c r="M116" s="17" t="str">
        <f>IFERROR(VLOOKUP(GA[[#This Row],[Affceted Equipment]],'Basic Data'!$A$1:$B$113,2,0),"")</f>
        <v/>
      </c>
      <c r="P116" s="28" t="str">
        <f>IFERROR(VLOOKUP(GA[[#This Row],[Affceted Equipment]],'Basic Data'!$A$2:$C$118,3,0),"")</f>
        <v/>
      </c>
      <c r="Q116" s="2"/>
      <c r="W116" s="34"/>
      <c r="X116" s="35"/>
      <c r="Y116" s="35"/>
      <c r="Z116" s="2"/>
      <c r="AA116" s="2"/>
      <c r="AB116" s="2" t="str">
        <f>IFERROR(GA[[#This Row],[Plant Equivalent Weightage]]*GA[[#This Row],[Resolution Time]],"")</f>
        <v/>
      </c>
      <c r="AC116" s="2"/>
      <c r="AD116" s="32" t="str">
        <f>IFERROR((_xlfn.XLOOKUP(GA[[#This Row],[Month Year]],'Modelling New'!D:D,'Modelling New'!$O:$O)*GA[[#This Row],[Lost POA (Wh/m2)]]*GA[[#This Row],[DC Capacity Affceted (kW)]])/1000,"")</f>
        <v/>
      </c>
      <c r="AE116" s="2"/>
    </row>
    <row r="117" spans="1:31">
      <c r="A117" s="2">
        <f t="shared" si="16"/>
        <v>115</v>
      </c>
      <c r="B117" s="156">
        <f t="shared" si="14"/>
        <v>1900</v>
      </c>
      <c r="C117" s="129">
        <f t="shared" si="15"/>
        <v>1900</v>
      </c>
      <c r="I117" s="31" t="str">
        <f>IFERROR(VLOOKUP(GA[[#This Row],[Date]],Raw_Data[[#All],[Date]:[Sunset Time (POA&lt;20 W/m2)]],3,0),"")</f>
        <v/>
      </c>
      <c r="J117" s="31" t="str">
        <f>IFERROR(VLOOKUP(GA[[#This Row],[Date]],Raw_Data[[#All],[Date]:[Sunset Time (POA&lt;20 W/m2)]],4,0),"")</f>
        <v/>
      </c>
      <c r="K117" s="30" t="str">
        <f>IFERROR((GA[[#This Row],[Sunset Time (POA&lt;20 W/m2)]]-GA[[#This Row],[Sunrise Time (POA&gt;20 W/m2)]])*24,"")</f>
        <v/>
      </c>
      <c r="M117" s="17" t="str">
        <f>IFERROR(VLOOKUP(GA[[#This Row],[Affceted Equipment]],'Basic Data'!$A$1:$B$113,2,0),"")</f>
        <v/>
      </c>
      <c r="P117" s="28" t="str">
        <f>IFERROR(VLOOKUP(GA[[#This Row],[Affceted Equipment]],'Basic Data'!$A$2:$C$118,3,0),"")</f>
        <v/>
      </c>
      <c r="Q117" s="2"/>
      <c r="W117" s="34"/>
      <c r="X117" s="35"/>
      <c r="Y117" s="35"/>
      <c r="Z117" s="2"/>
      <c r="AA117" s="2"/>
      <c r="AB117" s="2" t="str">
        <f>IFERROR(GA[[#This Row],[Plant Equivalent Weightage]]*GA[[#This Row],[Resolution Time]],"")</f>
        <v/>
      </c>
      <c r="AC117" s="2"/>
      <c r="AD117" s="32" t="str">
        <f>IFERROR((_xlfn.XLOOKUP(GA[[#This Row],[Month Year]],'Modelling New'!D:D,'Modelling New'!$O:$O)*GA[[#This Row],[Lost POA (Wh/m2)]]*GA[[#This Row],[DC Capacity Affceted (kW)]])/1000,"")</f>
        <v/>
      </c>
      <c r="AE117" s="2"/>
    </row>
    <row r="118" spans="1:31">
      <c r="A118" s="2">
        <f t="shared" si="16"/>
        <v>116</v>
      </c>
      <c r="B118" s="156">
        <f t="shared" si="14"/>
        <v>1900</v>
      </c>
      <c r="C118" s="129">
        <f t="shared" si="15"/>
        <v>1900</v>
      </c>
      <c r="I118" s="31" t="str">
        <f>IFERROR(VLOOKUP(GA[[#This Row],[Date]],Raw_Data[[#All],[Date]:[Sunset Time (POA&lt;20 W/m2)]],3,0),"")</f>
        <v/>
      </c>
      <c r="J118" s="31" t="str">
        <f>IFERROR(VLOOKUP(GA[[#This Row],[Date]],Raw_Data[[#All],[Date]:[Sunset Time (POA&lt;20 W/m2)]],4,0),"")</f>
        <v/>
      </c>
      <c r="K118" s="30" t="str">
        <f>IFERROR((GA[[#This Row],[Sunset Time (POA&lt;20 W/m2)]]-GA[[#This Row],[Sunrise Time (POA&gt;20 W/m2)]])*24,"")</f>
        <v/>
      </c>
      <c r="M118" s="17" t="str">
        <f>IFERROR(VLOOKUP(GA[[#This Row],[Affceted Equipment]],'Basic Data'!$A$1:$B$113,2,0),"")</f>
        <v/>
      </c>
      <c r="P118" s="28" t="str">
        <f>IFERROR(VLOOKUP(GA[[#This Row],[Affceted Equipment]],'Basic Data'!$A$2:$C$118,3,0),"")</f>
        <v/>
      </c>
      <c r="Q118" s="2"/>
      <c r="W118" s="34"/>
      <c r="X118" s="35"/>
      <c r="Y118" s="35"/>
      <c r="Z118" s="2"/>
      <c r="AA118" s="2"/>
      <c r="AB118" s="2" t="str">
        <f>IFERROR(GA[[#This Row],[Plant Equivalent Weightage]]*GA[[#This Row],[Resolution Time]],"")</f>
        <v/>
      </c>
      <c r="AC118" s="2"/>
      <c r="AD118" s="32" t="str">
        <f>IFERROR((_xlfn.XLOOKUP(GA[[#This Row],[Month Year]],'Modelling New'!D:D,'Modelling New'!$O:$O)*GA[[#This Row],[Lost POA (Wh/m2)]]*GA[[#This Row],[DC Capacity Affceted (kW)]])/1000,"")</f>
        <v/>
      </c>
      <c r="AE118" s="2"/>
    </row>
    <row r="119" spans="1:31">
      <c r="A119" s="2">
        <f t="shared" si="16"/>
        <v>117</v>
      </c>
      <c r="B119" s="156">
        <f t="shared" si="14"/>
        <v>1900</v>
      </c>
      <c r="C119" s="129">
        <f t="shared" si="15"/>
        <v>1900</v>
      </c>
      <c r="I119" s="31" t="str">
        <f>IFERROR(VLOOKUP(GA[[#This Row],[Date]],Raw_Data[[#All],[Date]:[Sunset Time (POA&lt;20 W/m2)]],3,0),"")</f>
        <v/>
      </c>
      <c r="J119" s="31" t="str">
        <f>IFERROR(VLOOKUP(GA[[#This Row],[Date]],Raw_Data[[#All],[Date]:[Sunset Time (POA&lt;20 W/m2)]],4,0),"")</f>
        <v/>
      </c>
      <c r="K119" s="30" t="str">
        <f>IFERROR((GA[[#This Row],[Sunset Time (POA&lt;20 W/m2)]]-GA[[#This Row],[Sunrise Time (POA&gt;20 W/m2)]])*24,"")</f>
        <v/>
      </c>
      <c r="M119" s="17" t="str">
        <f>IFERROR(VLOOKUP(GA[[#This Row],[Affceted Equipment]],'Basic Data'!$A$1:$B$113,2,0),"")</f>
        <v/>
      </c>
      <c r="P119" s="28" t="str">
        <f>IFERROR(VLOOKUP(GA[[#This Row],[Affceted Equipment]],'Basic Data'!$A$2:$C$118,3,0),"")</f>
        <v/>
      </c>
      <c r="Q119" s="2"/>
      <c r="W119" s="34"/>
      <c r="X119" s="35"/>
      <c r="Y119" s="35"/>
      <c r="Z119" s="2"/>
      <c r="AA119" s="2"/>
      <c r="AB119" s="2" t="str">
        <f>IFERROR(GA[[#This Row],[Plant Equivalent Weightage]]*GA[[#This Row],[Resolution Time]],"")</f>
        <v/>
      </c>
      <c r="AC119" s="2"/>
      <c r="AD119" s="32" t="str">
        <f>IFERROR((_xlfn.XLOOKUP(GA[[#This Row],[Month Year]],'Modelling New'!D:D,'Modelling New'!$O:$O)*GA[[#This Row],[Lost POA (Wh/m2)]]*GA[[#This Row],[DC Capacity Affceted (kW)]])/1000,"")</f>
        <v/>
      </c>
      <c r="AE119" s="2"/>
    </row>
    <row r="120" spans="1:31">
      <c r="A120" s="2">
        <f t="shared" si="16"/>
        <v>118</v>
      </c>
      <c r="B120" s="156">
        <f t="shared" si="14"/>
        <v>1900</v>
      </c>
      <c r="C120" s="129">
        <f t="shared" si="15"/>
        <v>1900</v>
      </c>
      <c r="I120" s="31" t="str">
        <f>IFERROR(VLOOKUP(GA[[#This Row],[Date]],Raw_Data[[#All],[Date]:[Sunset Time (POA&lt;20 W/m2)]],3,0),"")</f>
        <v/>
      </c>
      <c r="J120" s="31" t="str">
        <f>IFERROR(VLOOKUP(GA[[#This Row],[Date]],Raw_Data[[#All],[Date]:[Sunset Time (POA&lt;20 W/m2)]],4,0),"")</f>
        <v/>
      </c>
      <c r="K120" s="30" t="str">
        <f>IFERROR((GA[[#This Row],[Sunset Time (POA&lt;20 W/m2)]]-GA[[#This Row],[Sunrise Time (POA&gt;20 W/m2)]])*24,"")</f>
        <v/>
      </c>
      <c r="M120" s="17" t="str">
        <f>IFERROR(VLOOKUP(GA[[#This Row],[Affceted Equipment]],'Basic Data'!$A$1:$B$113,2,0),"")</f>
        <v/>
      </c>
      <c r="P120" s="28" t="str">
        <f>IFERROR(VLOOKUP(GA[[#This Row],[Affceted Equipment]],'Basic Data'!$A$2:$C$118,3,0),"")</f>
        <v/>
      </c>
      <c r="Q120" s="2"/>
      <c r="W120" s="34"/>
      <c r="X120" s="35"/>
      <c r="Y120" s="35"/>
      <c r="Z120" s="2"/>
      <c r="AA120" s="2"/>
      <c r="AB120" s="2" t="str">
        <f>IFERROR(GA[[#This Row],[Plant Equivalent Weightage]]*GA[[#This Row],[Resolution Time]],"")</f>
        <v/>
      </c>
      <c r="AC120" s="2"/>
      <c r="AD120" s="32" t="str">
        <f>IFERROR((_xlfn.XLOOKUP(GA[[#This Row],[Month Year]],'Modelling New'!D:D,'Modelling New'!$O:$O)*GA[[#This Row],[Lost POA (Wh/m2)]]*GA[[#This Row],[DC Capacity Affceted (kW)]])/1000,"")</f>
        <v/>
      </c>
      <c r="AE120" s="2"/>
    </row>
    <row r="121" spans="1:31">
      <c r="A121" s="2">
        <f t="shared" si="16"/>
        <v>119</v>
      </c>
      <c r="B121" s="156">
        <f t="shared" si="14"/>
        <v>1900</v>
      </c>
      <c r="C121" s="129">
        <f t="shared" si="15"/>
        <v>1900</v>
      </c>
      <c r="I121" s="31" t="str">
        <f>IFERROR(VLOOKUP(GA[[#This Row],[Date]],Raw_Data[[#All],[Date]:[Sunset Time (POA&lt;20 W/m2)]],3,0),"")</f>
        <v/>
      </c>
      <c r="J121" s="31" t="str">
        <f>IFERROR(VLOOKUP(GA[[#This Row],[Date]],Raw_Data[[#All],[Date]:[Sunset Time (POA&lt;20 W/m2)]],4,0),"")</f>
        <v/>
      </c>
      <c r="K121" s="30" t="str">
        <f>IFERROR((GA[[#This Row],[Sunset Time (POA&lt;20 W/m2)]]-GA[[#This Row],[Sunrise Time (POA&gt;20 W/m2)]])*24,"")</f>
        <v/>
      </c>
      <c r="M121" s="17" t="str">
        <f>IFERROR(VLOOKUP(GA[[#This Row],[Affceted Equipment]],'Basic Data'!$A$1:$B$113,2,0),"")</f>
        <v/>
      </c>
      <c r="P121" s="28" t="str">
        <f>IFERROR(VLOOKUP(GA[[#This Row],[Affceted Equipment]],'Basic Data'!$A$2:$C$118,3,0),"")</f>
        <v/>
      </c>
      <c r="Q121" s="2"/>
      <c r="W121" s="34"/>
      <c r="X121" s="35"/>
      <c r="Y121" s="35"/>
      <c r="Z121" s="2"/>
      <c r="AA121" s="2"/>
      <c r="AB121" s="2" t="str">
        <f>IFERROR(GA[[#This Row],[Plant Equivalent Weightage]]*GA[[#This Row],[Resolution Time]],"")</f>
        <v/>
      </c>
      <c r="AC121" s="2"/>
      <c r="AD121" s="32" t="str">
        <f>IFERROR((_xlfn.XLOOKUP(GA[[#This Row],[Month Year]],'Modelling New'!D:D,'Modelling New'!$O:$O)*GA[[#This Row],[Lost POA (Wh/m2)]]*GA[[#This Row],[DC Capacity Affceted (kW)]])/1000,"")</f>
        <v/>
      </c>
      <c r="AE121" s="2"/>
    </row>
    <row r="122" spans="1:31">
      <c r="A122" s="2">
        <f t="shared" si="16"/>
        <v>120</v>
      </c>
      <c r="B122" s="156">
        <f t="shared" si="14"/>
        <v>1900</v>
      </c>
      <c r="C122" s="129">
        <f t="shared" si="15"/>
        <v>1900</v>
      </c>
      <c r="I122" s="31" t="str">
        <f>IFERROR(VLOOKUP(GA[[#This Row],[Date]],Raw_Data[[#All],[Date]:[Sunset Time (POA&lt;20 W/m2)]],3,0),"")</f>
        <v/>
      </c>
      <c r="J122" s="31" t="str">
        <f>IFERROR(VLOOKUP(GA[[#This Row],[Date]],Raw_Data[[#All],[Date]:[Sunset Time (POA&lt;20 W/m2)]],4,0),"")</f>
        <v/>
      </c>
      <c r="K122" s="30" t="str">
        <f>IFERROR((GA[[#This Row],[Sunset Time (POA&lt;20 W/m2)]]-GA[[#This Row],[Sunrise Time (POA&gt;20 W/m2)]])*24,"")</f>
        <v/>
      </c>
      <c r="M122" s="17" t="str">
        <f>IFERROR(VLOOKUP(GA[[#This Row],[Affceted Equipment]],'Basic Data'!$A$1:$B$113,2,0),"")</f>
        <v/>
      </c>
      <c r="P122" s="28" t="str">
        <f>IFERROR(VLOOKUP(GA[[#This Row],[Affceted Equipment]],'Basic Data'!$A$2:$C$118,3,0),"")</f>
        <v/>
      </c>
      <c r="Q122" s="2"/>
      <c r="W122" s="34"/>
      <c r="X122" s="35"/>
      <c r="Y122" s="35"/>
      <c r="Z122" s="2"/>
      <c r="AA122" s="2"/>
      <c r="AB122" s="2" t="str">
        <f>IFERROR(GA[[#This Row],[Plant Equivalent Weightage]]*GA[[#This Row],[Resolution Time]],"")</f>
        <v/>
      </c>
      <c r="AC122" s="2"/>
      <c r="AD122" s="32" t="str">
        <f>IFERROR((_xlfn.XLOOKUP(GA[[#This Row],[Month Year]],'Modelling New'!D:D,'Modelling New'!$O:$O)*GA[[#This Row],[Lost POA (Wh/m2)]]*GA[[#This Row],[DC Capacity Affceted (kW)]])/1000,"")</f>
        <v/>
      </c>
      <c r="AE122" s="2"/>
    </row>
    <row r="123" spans="1:31">
      <c r="A123" s="2">
        <f t="shared" si="16"/>
        <v>121</v>
      </c>
      <c r="B123" s="156">
        <f t="shared" si="14"/>
        <v>1900</v>
      </c>
      <c r="C123" s="129">
        <f t="shared" si="15"/>
        <v>1900</v>
      </c>
      <c r="I123" s="31" t="str">
        <f>IFERROR(VLOOKUP(GA[[#This Row],[Date]],Raw_Data[[#All],[Date]:[Sunset Time (POA&lt;20 W/m2)]],3,0),"")</f>
        <v/>
      </c>
      <c r="J123" s="31" t="str">
        <f>IFERROR(VLOOKUP(GA[[#This Row],[Date]],Raw_Data[[#All],[Date]:[Sunset Time (POA&lt;20 W/m2)]],4,0),"")</f>
        <v/>
      </c>
      <c r="K123" s="30" t="str">
        <f>IFERROR((GA[[#This Row],[Sunset Time (POA&lt;20 W/m2)]]-GA[[#This Row],[Sunrise Time (POA&gt;20 W/m2)]])*24,"")</f>
        <v/>
      </c>
      <c r="M123" s="17" t="str">
        <f>IFERROR(VLOOKUP(GA[[#This Row],[Affceted Equipment]],'Basic Data'!$A$1:$B$113,2,0),"")</f>
        <v/>
      </c>
      <c r="P123" s="28" t="str">
        <f>IFERROR(VLOOKUP(GA[[#This Row],[Affceted Equipment]],'Basic Data'!$A$2:$C$118,3,0),"")</f>
        <v/>
      </c>
      <c r="Q123" s="2"/>
      <c r="W123" s="34"/>
      <c r="X123" s="35"/>
      <c r="Y123" s="35"/>
      <c r="Z123" s="2"/>
      <c r="AA123" s="2"/>
      <c r="AB123" s="2" t="str">
        <f>IFERROR(GA[[#This Row],[Plant Equivalent Weightage]]*GA[[#This Row],[Resolution Time]],"")</f>
        <v/>
      </c>
      <c r="AC123" s="2"/>
      <c r="AD123" s="32" t="str">
        <f>IFERROR((_xlfn.XLOOKUP(GA[[#This Row],[Month Year]],'Modelling New'!D:D,'Modelling New'!$O:$O)*GA[[#This Row],[Lost POA (Wh/m2)]]*GA[[#This Row],[DC Capacity Affceted (kW)]])/1000,"")</f>
        <v/>
      </c>
      <c r="AE123" s="2"/>
    </row>
    <row r="124" spans="1:31">
      <c r="A124" s="2">
        <f t="shared" si="16"/>
        <v>122</v>
      </c>
      <c r="B124" s="156">
        <f t="shared" si="14"/>
        <v>1900</v>
      </c>
      <c r="C124" s="129">
        <f t="shared" si="15"/>
        <v>1900</v>
      </c>
      <c r="I124" s="31" t="str">
        <f>IFERROR(VLOOKUP(GA[[#This Row],[Date]],Raw_Data[[#All],[Date]:[Sunset Time (POA&lt;20 W/m2)]],3,0),"")</f>
        <v/>
      </c>
      <c r="J124" s="31" t="str">
        <f>IFERROR(VLOOKUP(GA[[#This Row],[Date]],Raw_Data[[#All],[Date]:[Sunset Time (POA&lt;20 W/m2)]],4,0),"")</f>
        <v/>
      </c>
      <c r="K124" s="30" t="str">
        <f>IFERROR((GA[[#This Row],[Sunset Time (POA&lt;20 W/m2)]]-GA[[#This Row],[Sunrise Time (POA&gt;20 W/m2)]])*24,"")</f>
        <v/>
      </c>
      <c r="M124" s="17" t="str">
        <f>IFERROR(VLOOKUP(GA[[#This Row],[Affceted Equipment]],'Basic Data'!$A$1:$B$113,2,0),"")</f>
        <v/>
      </c>
      <c r="P124" s="28" t="str">
        <f>IFERROR(VLOOKUP(GA[[#This Row],[Affceted Equipment]],'Basic Data'!$A$2:$C$118,3,0),"")</f>
        <v/>
      </c>
      <c r="Q124" s="2"/>
      <c r="W124" s="34"/>
      <c r="X124" s="35"/>
      <c r="Y124" s="35"/>
      <c r="Z124" s="2"/>
      <c r="AA124" s="2"/>
      <c r="AB124" s="2" t="str">
        <f>IFERROR(GA[[#This Row],[Plant Equivalent Weightage]]*GA[[#This Row],[Resolution Time]],"")</f>
        <v/>
      </c>
      <c r="AC124" s="2"/>
      <c r="AD124" s="32" t="str">
        <f>IFERROR((_xlfn.XLOOKUP(GA[[#This Row],[Month Year]],'Modelling New'!D:D,'Modelling New'!$O:$O)*GA[[#This Row],[Lost POA (Wh/m2)]]*GA[[#This Row],[DC Capacity Affceted (kW)]])/1000,"")</f>
        <v/>
      </c>
      <c r="AE124" s="2"/>
    </row>
    <row r="125" spans="1:31">
      <c r="A125" s="2">
        <f t="shared" si="16"/>
        <v>123</v>
      </c>
      <c r="B125" s="156">
        <f t="shared" si="14"/>
        <v>1900</v>
      </c>
      <c r="C125" s="129">
        <f t="shared" si="15"/>
        <v>1900</v>
      </c>
      <c r="I125" s="31" t="str">
        <f>IFERROR(VLOOKUP(GA[[#This Row],[Date]],Raw_Data[[#All],[Date]:[Sunset Time (POA&lt;20 W/m2)]],3,0),"")</f>
        <v/>
      </c>
      <c r="J125" s="31" t="str">
        <f>IFERROR(VLOOKUP(GA[[#This Row],[Date]],Raw_Data[[#All],[Date]:[Sunset Time (POA&lt;20 W/m2)]],4,0),"")</f>
        <v/>
      </c>
      <c r="K125" s="30" t="str">
        <f>IFERROR((GA[[#This Row],[Sunset Time (POA&lt;20 W/m2)]]-GA[[#This Row],[Sunrise Time (POA&gt;20 W/m2)]])*24,"")</f>
        <v/>
      </c>
      <c r="M125" s="17" t="str">
        <f>IFERROR(VLOOKUP(GA[[#This Row],[Affceted Equipment]],'Basic Data'!$A$1:$B$113,2,0),"")</f>
        <v/>
      </c>
      <c r="P125" s="28" t="str">
        <f>IFERROR(VLOOKUP(GA[[#This Row],[Affceted Equipment]],'Basic Data'!$A$2:$C$118,3,0),"")</f>
        <v/>
      </c>
      <c r="Q125" s="2"/>
      <c r="W125" s="34"/>
      <c r="X125" s="35"/>
      <c r="Y125" s="35"/>
      <c r="Z125" s="2"/>
      <c r="AA125" s="2"/>
      <c r="AB125" s="2" t="str">
        <f>IFERROR(GA[[#This Row],[Plant Equivalent Weightage]]*GA[[#This Row],[Resolution Time]],"")</f>
        <v/>
      </c>
      <c r="AC125" s="2"/>
      <c r="AD125" s="32" t="str">
        <f>IFERROR((_xlfn.XLOOKUP(GA[[#This Row],[Month Year]],'Modelling New'!D:D,'Modelling New'!$O:$O)*GA[[#This Row],[Lost POA (Wh/m2)]]*GA[[#This Row],[DC Capacity Affceted (kW)]])/1000,"")</f>
        <v/>
      </c>
      <c r="AE125" s="2"/>
    </row>
    <row r="126" spans="1:31">
      <c r="A126" s="2">
        <f t="shared" si="16"/>
        <v>124</v>
      </c>
      <c r="B126" s="156">
        <f t="shared" si="14"/>
        <v>1900</v>
      </c>
      <c r="C126" s="129">
        <f t="shared" si="15"/>
        <v>1900</v>
      </c>
      <c r="I126" s="31" t="str">
        <f>IFERROR(VLOOKUP(GA[[#This Row],[Date]],Raw_Data[[#All],[Date]:[Sunset Time (POA&lt;20 W/m2)]],3,0),"")</f>
        <v/>
      </c>
      <c r="J126" s="31" t="str">
        <f>IFERROR(VLOOKUP(GA[[#This Row],[Date]],Raw_Data[[#All],[Date]:[Sunset Time (POA&lt;20 W/m2)]],4,0),"")</f>
        <v/>
      </c>
      <c r="K126" s="30" t="str">
        <f>IFERROR((GA[[#This Row],[Sunset Time (POA&lt;20 W/m2)]]-GA[[#This Row],[Sunrise Time (POA&gt;20 W/m2)]])*24,"")</f>
        <v/>
      </c>
      <c r="M126" s="17" t="str">
        <f>IFERROR(VLOOKUP(GA[[#This Row],[Affceted Equipment]],'Basic Data'!$A$1:$B$113,2,0),"")</f>
        <v/>
      </c>
      <c r="P126" s="28" t="str">
        <f>IFERROR(VLOOKUP(GA[[#This Row],[Affceted Equipment]],'Basic Data'!$A$2:$C$118,3,0),"")</f>
        <v/>
      </c>
      <c r="Q126" s="2"/>
      <c r="W126" s="34"/>
      <c r="X126" s="35"/>
      <c r="Y126" s="35"/>
      <c r="Z126" s="2"/>
      <c r="AA126" s="2"/>
      <c r="AB126" s="2" t="str">
        <f>IFERROR(GA[[#This Row],[Plant Equivalent Weightage]]*GA[[#This Row],[Resolution Time]],"")</f>
        <v/>
      </c>
      <c r="AC126" s="2"/>
      <c r="AD126" s="32" t="str">
        <f>IFERROR((_xlfn.XLOOKUP(GA[[#This Row],[Month Year]],'Modelling New'!D:D,'Modelling New'!$O:$O)*GA[[#This Row],[Lost POA (Wh/m2)]]*GA[[#This Row],[DC Capacity Affceted (kW)]])/1000,"")</f>
        <v/>
      </c>
      <c r="AE126" s="2"/>
    </row>
    <row r="127" spans="1:31">
      <c r="A127" s="2">
        <f t="shared" si="16"/>
        <v>125</v>
      </c>
      <c r="B127" s="156">
        <f t="shared" si="14"/>
        <v>1900</v>
      </c>
      <c r="C127" s="129">
        <f t="shared" si="15"/>
        <v>1900</v>
      </c>
      <c r="I127" s="31" t="str">
        <f>IFERROR(VLOOKUP(GA[[#This Row],[Date]],Raw_Data[[#All],[Date]:[Sunset Time (POA&lt;20 W/m2)]],3,0),"")</f>
        <v/>
      </c>
      <c r="J127" s="31" t="str">
        <f>IFERROR(VLOOKUP(GA[[#This Row],[Date]],Raw_Data[[#All],[Date]:[Sunset Time (POA&lt;20 W/m2)]],4,0),"")</f>
        <v/>
      </c>
      <c r="K127" s="30" t="str">
        <f>IFERROR((GA[[#This Row],[Sunset Time (POA&lt;20 W/m2)]]-GA[[#This Row],[Sunrise Time (POA&gt;20 W/m2)]])*24,"")</f>
        <v/>
      </c>
      <c r="M127" s="17" t="str">
        <f>IFERROR(VLOOKUP(GA[[#This Row],[Affceted Equipment]],'Basic Data'!$A$1:$B$113,2,0),"")</f>
        <v/>
      </c>
      <c r="P127" s="28" t="str">
        <f>IFERROR(VLOOKUP(GA[[#This Row],[Affceted Equipment]],'Basic Data'!$A$2:$C$118,3,0),"")</f>
        <v/>
      </c>
      <c r="Q127" s="2"/>
      <c r="W127" s="34"/>
      <c r="X127" s="35"/>
      <c r="Y127" s="35"/>
      <c r="Z127" s="2"/>
      <c r="AA127" s="2"/>
      <c r="AB127" s="2" t="str">
        <f>IFERROR(GA[[#This Row],[Plant Equivalent Weightage]]*GA[[#This Row],[Resolution Time]],"")</f>
        <v/>
      </c>
      <c r="AC127" s="2"/>
      <c r="AD127" s="32" t="str">
        <f>IFERROR((_xlfn.XLOOKUP(GA[[#This Row],[Month Year]],'Modelling New'!D:D,'Modelling New'!$O:$O)*GA[[#This Row],[Lost POA (Wh/m2)]]*GA[[#This Row],[DC Capacity Affceted (kW)]])/1000,"")</f>
        <v/>
      </c>
      <c r="AE127" s="2"/>
    </row>
    <row r="128" spans="1:31">
      <c r="A128" s="2">
        <f t="shared" si="16"/>
        <v>126</v>
      </c>
      <c r="B128" s="156">
        <f t="shared" si="14"/>
        <v>1900</v>
      </c>
      <c r="C128" s="129">
        <f t="shared" si="15"/>
        <v>1900</v>
      </c>
      <c r="I128" s="31" t="str">
        <f>IFERROR(VLOOKUP(GA[[#This Row],[Date]],Raw_Data[[#All],[Date]:[Sunset Time (POA&lt;20 W/m2)]],3,0),"")</f>
        <v/>
      </c>
      <c r="J128" s="31" t="str">
        <f>IFERROR(VLOOKUP(GA[[#This Row],[Date]],Raw_Data[[#All],[Date]:[Sunset Time (POA&lt;20 W/m2)]],4,0),"")</f>
        <v/>
      </c>
      <c r="K128" s="30" t="str">
        <f>IFERROR((GA[[#This Row],[Sunset Time (POA&lt;20 W/m2)]]-GA[[#This Row],[Sunrise Time (POA&gt;20 W/m2)]])*24,"")</f>
        <v/>
      </c>
      <c r="M128" s="17" t="str">
        <f>IFERROR(VLOOKUP(GA[[#This Row],[Affceted Equipment]],'Basic Data'!$A$1:$B$113,2,0),"")</f>
        <v/>
      </c>
      <c r="P128" s="28" t="str">
        <f>IFERROR(VLOOKUP(GA[[#This Row],[Affceted Equipment]],'Basic Data'!$A$2:$C$118,3,0),"")</f>
        <v/>
      </c>
      <c r="Q128" s="2"/>
      <c r="W128" s="34"/>
      <c r="X128" s="35"/>
      <c r="Y128" s="35"/>
      <c r="Z128" s="2"/>
      <c r="AA128" s="2"/>
      <c r="AB128" s="2" t="str">
        <f>IFERROR(GA[[#This Row],[Plant Equivalent Weightage]]*GA[[#This Row],[Resolution Time]],"")</f>
        <v/>
      </c>
      <c r="AC128" s="2"/>
      <c r="AD128" s="32" t="str">
        <f>IFERROR((_xlfn.XLOOKUP(GA[[#This Row],[Month Year]],'Modelling New'!D:D,'Modelling New'!$O:$O)*GA[[#This Row],[Lost POA (Wh/m2)]]*GA[[#This Row],[DC Capacity Affceted (kW)]])/1000,"")</f>
        <v/>
      </c>
      <c r="AE128" s="2"/>
    </row>
    <row r="129" spans="1:31">
      <c r="A129" s="2">
        <f t="shared" si="16"/>
        <v>127</v>
      </c>
      <c r="B129" s="156">
        <f t="shared" si="14"/>
        <v>1900</v>
      </c>
      <c r="C129" s="129">
        <f t="shared" si="15"/>
        <v>1900</v>
      </c>
      <c r="I129" s="31" t="str">
        <f>IFERROR(VLOOKUP(GA[[#This Row],[Date]],Raw_Data[[#All],[Date]:[Sunset Time (POA&lt;20 W/m2)]],3,0),"")</f>
        <v/>
      </c>
      <c r="J129" s="31" t="str">
        <f>IFERROR(VLOOKUP(GA[[#This Row],[Date]],Raw_Data[[#All],[Date]:[Sunset Time (POA&lt;20 W/m2)]],4,0),"")</f>
        <v/>
      </c>
      <c r="K129" s="30" t="str">
        <f>IFERROR((GA[[#This Row],[Sunset Time (POA&lt;20 W/m2)]]-GA[[#This Row],[Sunrise Time (POA&gt;20 W/m2)]])*24,"")</f>
        <v/>
      </c>
      <c r="M129" s="17" t="str">
        <f>IFERROR(VLOOKUP(GA[[#This Row],[Affceted Equipment]],'Basic Data'!$A$1:$B$113,2,0),"")</f>
        <v/>
      </c>
      <c r="P129" s="28" t="str">
        <f>IFERROR(VLOOKUP(GA[[#This Row],[Affceted Equipment]],'Basic Data'!$A$2:$C$118,3,0),"")</f>
        <v/>
      </c>
      <c r="Q129" s="2"/>
      <c r="W129" s="34"/>
      <c r="X129" s="35"/>
      <c r="Y129" s="35"/>
      <c r="Z129" s="2"/>
      <c r="AA129" s="2"/>
      <c r="AB129" s="2" t="str">
        <f>IFERROR(GA[[#This Row],[Plant Equivalent Weightage]]*GA[[#This Row],[Resolution Time]],"")</f>
        <v/>
      </c>
      <c r="AC129" s="2"/>
      <c r="AD129" s="32" t="str">
        <f>IFERROR((_xlfn.XLOOKUP(GA[[#This Row],[Month Year]],'Modelling New'!D:D,'Modelling New'!$O:$O)*GA[[#This Row],[Lost POA (Wh/m2)]]*GA[[#This Row],[DC Capacity Affceted (kW)]])/1000,"")</f>
        <v/>
      </c>
      <c r="AE129" s="2"/>
    </row>
    <row r="130" spans="1:31">
      <c r="A130" s="2">
        <f t="shared" si="16"/>
        <v>128</v>
      </c>
      <c r="B130" s="156">
        <f t="shared" si="14"/>
        <v>1900</v>
      </c>
      <c r="C130" s="129">
        <f t="shared" si="15"/>
        <v>1900</v>
      </c>
      <c r="I130" s="31" t="str">
        <f>IFERROR(VLOOKUP(GA[[#This Row],[Date]],Raw_Data[[#All],[Date]:[Sunset Time (POA&lt;20 W/m2)]],3,0),"")</f>
        <v/>
      </c>
      <c r="J130" s="31" t="str">
        <f>IFERROR(VLOOKUP(GA[[#This Row],[Date]],Raw_Data[[#All],[Date]:[Sunset Time (POA&lt;20 W/m2)]],4,0),"")</f>
        <v/>
      </c>
      <c r="K130" s="30" t="str">
        <f>IFERROR((GA[[#This Row],[Sunset Time (POA&lt;20 W/m2)]]-GA[[#This Row],[Sunrise Time (POA&gt;20 W/m2)]])*24,"")</f>
        <v/>
      </c>
      <c r="M130" s="17" t="str">
        <f>IFERROR(VLOOKUP(GA[[#This Row],[Affceted Equipment]],'Basic Data'!$A$1:$B$113,2,0),"")</f>
        <v/>
      </c>
      <c r="P130" s="28" t="str">
        <f>IFERROR(VLOOKUP(GA[[#This Row],[Affceted Equipment]],'Basic Data'!$A$2:$C$118,3,0),"")</f>
        <v/>
      </c>
      <c r="Q130" s="2"/>
      <c r="W130" s="34"/>
      <c r="X130" s="35"/>
      <c r="Y130" s="35"/>
      <c r="Z130" s="2"/>
      <c r="AA130" s="2"/>
      <c r="AB130" s="2" t="str">
        <f>IFERROR(GA[[#This Row],[Plant Equivalent Weightage]]*GA[[#This Row],[Resolution Time]],"")</f>
        <v/>
      </c>
      <c r="AC130" s="2"/>
      <c r="AD130" s="32" t="str">
        <f>IFERROR((_xlfn.XLOOKUP(GA[[#This Row],[Month Year]],'Modelling New'!D:D,'Modelling New'!$O:$O)*GA[[#This Row],[Lost POA (Wh/m2)]]*GA[[#This Row],[DC Capacity Affceted (kW)]])/1000,"")</f>
        <v/>
      </c>
      <c r="AE130" s="2"/>
    </row>
    <row r="131" spans="1:31">
      <c r="A131" s="2">
        <f t="shared" si="16"/>
        <v>129</v>
      </c>
      <c r="B131" s="156">
        <f t="shared" si="14"/>
        <v>1900</v>
      </c>
      <c r="C131" s="129">
        <f t="shared" si="15"/>
        <v>1900</v>
      </c>
      <c r="I131" s="31" t="str">
        <f>IFERROR(VLOOKUP(GA[[#This Row],[Date]],Raw_Data[[#All],[Date]:[Sunset Time (POA&lt;20 W/m2)]],3,0),"")</f>
        <v/>
      </c>
      <c r="J131" s="31" t="str">
        <f>IFERROR(VLOOKUP(GA[[#This Row],[Date]],Raw_Data[[#All],[Date]:[Sunset Time (POA&lt;20 W/m2)]],4,0),"")</f>
        <v/>
      </c>
      <c r="K131" s="30" t="str">
        <f>IFERROR((GA[[#This Row],[Sunset Time (POA&lt;20 W/m2)]]-GA[[#This Row],[Sunrise Time (POA&gt;20 W/m2)]])*24,"")</f>
        <v/>
      </c>
      <c r="M131" s="17" t="str">
        <f>IFERROR(VLOOKUP(GA[[#This Row],[Affceted Equipment]],'Basic Data'!$A$1:$B$113,2,0),"")</f>
        <v/>
      </c>
      <c r="P131" s="28" t="str">
        <f>IFERROR(VLOOKUP(GA[[#This Row],[Affceted Equipment]],'Basic Data'!$A$2:$C$118,3,0),"")</f>
        <v/>
      </c>
      <c r="Q131" s="2"/>
      <c r="W131" s="34"/>
      <c r="X131" s="35"/>
      <c r="Y131" s="35"/>
      <c r="Z131" s="2"/>
      <c r="AA131" s="2"/>
      <c r="AB131" s="2" t="str">
        <f>IFERROR(GA[[#This Row],[Plant Equivalent Weightage]]*GA[[#This Row],[Resolution Time]],"")</f>
        <v/>
      </c>
      <c r="AC131" s="2"/>
      <c r="AD131" s="32" t="str">
        <f>IFERROR((_xlfn.XLOOKUP(GA[[#This Row],[Month Year]],'Modelling New'!D:D,'Modelling New'!$O:$O)*GA[[#This Row],[Lost POA (Wh/m2)]]*GA[[#This Row],[DC Capacity Affceted (kW)]])/1000,"")</f>
        <v/>
      </c>
      <c r="AE131" s="2"/>
    </row>
    <row r="132" spans="1:31">
      <c r="A132" s="2">
        <f t="shared" si="16"/>
        <v>130</v>
      </c>
      <c r="B132" s="156">
        <f t="shared" ref="B132:B195" si="17">YEAR(H132)+IF(MONTH(H132)&gt;=4,1,0)</f>
        <v>1900</v>
      </c>
      <c r="C132" s="129">
        <f t="shared" ref="C132:C195" si="18">YEAR(H132)</f>
        <v>1900</v>
      </c>
      <c r="I132" s="31" t="str">
        <f>IFERROR(VLOOKUP(GA[[#This Row],[Date]],Raw_Data[[#All],[Date]:[Sunset Time (POA&lt;20 W/m2)]],3,0),"")</f>
        <v/>
      </c>
      <c r="J132" s="31" t="str">
        <f>IFERROR(VLOOKUP(GA[[#This Row],[Date]],Raw_Data[[#All],[Date]:[Sunset Time (POA&lt;20 W/m2)]],4,0),"")</f>
        <v/>
      </c>
      <c r="K132" s="30" t="str">
        <f>IFERROR((GA[[#This Row],[Sunset Time (POA&lt;20 W/m2)]]-GA[[#This Row],[Sunrise Time (POA&gt;20 W/m2)]])*24,"")</f>
        <v/>
      </c>
      <c r="M132" s="17" t="str">
        <f>IFERROR(VLOOKUP(GA[[#This Row],[Affceted Equipment]],'Basic Data'!$A$1:$B$113,2,0),"")</f>
        <v/>
      </c>
      <c r="P132" s="28" t="str">
        <f>IFERROR(VLOOKUP(GA[[#This Row],[Affceted Equipment]],'Basic Data'!$A$2:$C$118,3,0),"")</f>
        <v/>
      </c>
      <c r="Q132" s="2"/>
      <c r="W132" s="34"/>
      <c r="X132" s="35"/>
      <c r="Y132" s="35"/>
      <c r="Z132" s="2"/>
      <c r="AA132" s="2"/>
      <c r="AB132" s="2" t="str">
        <f>IFERROR(GA[[#This Row],[Plant Equivalent Weightage]]*GA[[#This Row],[Resolution Time]],"")</f>
        <v/>
      </c>
      <c r="AC132" s="2"/>
      <c r="AD132" s="32" t="str">
        <f>IFERROR((_xlfn.XLOOKUP(GA[[#This Row],[Month Year]],'Modelling New'!D:D,'Modelling New'!$O:$O)*GA[[#This Row],[Lost POA (Wh/m2)]]*GA[[#This Row],[DC Capacity Affceted (kW)]])/1000,"")</f>
        <v/>
      </c>
      <c r="AE132" s="2"/>
    </row>
    <row r="133" spans="1:31">
      <c r="A133" s="2">
        <f t="shared" si="16"/>
        <v>131</v>
      </c>
      <c r="B133" s="156">
        <f t="shared" si="17"/>
        <v>1900</v>
      </c>
      <c r="C133" s="129">
        <f t="shared" si="18"/>
        <v>1900</v>
      </c>
      <c r="I133" s="31" t="str">
        <f>IFERROR(VLOOKUP(GA[[#This Row],[Date]],Raw_Data[[#All],[Date]:[Sunset Time (POA&lt;20 W/m2)]],3,0),"")</f>
        <v/>
      </c>
      <c r="J133" s="31" t="str">
        <f>IFERROR(VLOOKUP(GA[[#This Row],[Date]],Raw_Data[[#All],[Date]:[Sunset Time (POA&lt;20 W/m2)]],4,0),"")</f>
        <v/>
      </c>
      <c r="K133" s="30" t="str">
        <f>IFERROR((GA[[#This Row],[Sunset Time (POA&lt;20 W/m2)]]-GA[[#This Row],[Sunrise Time (POA&gt;20 W/m2)]])*24,"")</f>
        <v/>
      </c>
      <c r="M133" s="17" t="str">
        <f>IFERROR(VLOOKUP(GA[[#This Row],[Affceted Equipment]],'Basic Data'!$A$1:$B$113,2,0),"")</f>
        <v/>
      </c>
      <c r="P133" s="28" t="str">
        <f>IFERROR(VLOOKUP(GA[[#This Row],[Affceted Equipment]],'Basic Data'!$A$2:$C$118,3,0),"")</f>
        <v/>
      </c>
      <c r="Q133" s="2"/>
      <c r="W133" s="34"/>
      <c r="X133" s="35"/>
      <c r="Y133" s="35"/>
      <c r="Z133" s="2"/>
      <c r="AA133" s="2"/>
      <c r="AB133" s="2" t="str">
        <f>IFERROR(GA[[#This Row],[Plant Equivalent Weightage]]*GA[[#This Row],[Resolution Time]],"")</f>
        <v/>
      </c>
      <c r="AC133" s="2"/>
      <c r="AD133" s="32" t="str">
        <f>IFERROR((_xlfn.XLOOKUP(GA[[#This Row],[Month Year]],'Modelling New'!D:D,'Modelling New'!$O:$O)*GA[[#This Row],[Lost POA (Wh/m2)]]*GA[[#This Row],[DC Capacity Affceted (kW)]])/1000,"")</f>
        <v/>
      </c>
      <c r="AE133" s="2"/>
    </row>
    <row r="134" spans="1:31">
      <c r="A134" s="2">
        <f t="shared" si="16"/>
        <v>132</v>
      </c>
      <c r="B134" s="156">
        <f t="shared" si="17"/>
        <v>1900</v>
      </c>
      <c r="C134" s="129">
        <f t="shared" si="18"/>
        <v>1900</v>
      </c>
      <c r="I134" s="31" t="str">
        <f>IFERROR(VLOOKUP(GA[[#This Row],[Date]],Raw_Data[[#All],[Date]:[Sunset Time (POA&lt;20 W/m2)]],3,0),"")</f>
        <v/>
      </c>
      <c r="J134" s="31" t="str">
        <f>IFERROR(VLOOKUP(GA[[#This Row],[Date]],Raw_Data[[#All],[Date]:[Sunset Time (POA&lt;20 W/m2)]],4,0),"")</f>
        <v/>
      </c>
      <c r="K134" s="30" t="str">
        <f>IFERROR((GA[[#This Row],[Sunset Time (POA&lt;20 W/m2)]]-GA[[#This Row],[Sunrise Time (POA&gt;20 W/m2)]])*24,"")</f>
        <v/>
      </c>
      <c r="M134" s="17" t="str">
        <f>IFERROR(VLOOKUP(GA[[#This Row],[Affceted Equipment]],'Basic Data'!$A$1:$B$113,2,0),"")</f>
        <v/>
      </c>
      <c r="P134" s="28" t="str">
        <f>IFERROR(VLOOKUP(GA[[#This Row],[Affceted Equipment]],'Basic Data'!$A$2:$C$118,3,0),"")</f>
        <v/>
      </c>
      <c r="Q134" s="2"/>
      <c r="W134" s="34"/>
      <c r="X134" s="35"/>
      <c r="Y134" s="35"/>
      <c r="Z134" s="2"/>
      <c r="AA134" s="2"/>
      <c r="AB134" s="2" t="str">
        <f>IFERROR(GA[[#This Row],[Plant Equivalent Weightage]]*GA[[#This Row],[Resolution Time]],"")</f>
        <v/>
      </c>
      <c r="AC134" s="2"/>
      <c r="AD134" s="32" t="str">
        <f>IFERROR((_xlfn.XLOOKUP(GA[[#This Row],[Month Year]],'Modelling New'!D:D,'Modelling New'!$O:$O)*GA[[#This Row],[Lost POA (Wh/m2)]]*GA[[#This Row],[DC Capacity Affceted (kW)]])/1000,"")</f>
        <v/>
      </c>
      <c r="AE134" s="2"/>
    </row>
    <row r="135" spans="1:31">
      <c r="A135" s="2">
        <f t="shared" si="16"/>
        <v>133</v>
      </c>
      <c r="B135" s="156">
        <f t="shared" si="17"/>
        <v>1900</v>
      </c>
      <c r="C135" s="129">
        <f t="shared" si="18"/>
        <v>1900</v>
      </c>
      <c r="I135" s="31" t="str">
        <f>IFERROR(VLOOKUP(GA[[#This Row],[Date]],Raw_Data[[#All],[Date]:[Sunset Time (POA&lt;20 W/m2)]],3,0),"")</f>
        <v/>
      </c>
      <c r="J135" s="31" t="str">
        <f>IFERROR(VLOOKUP(GA[[#This Row],[Date]],Raw_Data[[#All],[Date]:[Sunset Time (POA&lt;20 W/m2)]],4,0),"")</f>
        <v/>
      </c>
      <c r="K135" s="30" t="str">
        <f>IFERROR((GA[[#This Row],[Sunset Time (POA&lt;20 W/m2)]]-GA[[#This Row],[Sunrise Time (POA&gt;20 W/m2)]])*24,"")</f>
        <v/>
      </c>
      <c r="M135" s="17" t="str">
        <f>IFERROR(VLOOKUP(GA[[#This Row],[Affceted Equipment]],'Basic Data'!$A$1:$B$113,2,0),"")</f>
        <v/>
      </c>
      <c r="P135" s="28" t="str">
        <f>IFERROR(VLOOKUP(GA[[#This Row],[Affceted Equipment]],'Basic Data'!$A$2:$C$118,3,0),"")</f>
        <v/>
      </c>
      <c r="Q135" s="2"/>
      <c r="W135" s="34"/>
      <c r="X135" s="35"/>
      <c r="Y135" s="35"/>
      <c r="Z135" s="2"/>
      <c r="AA135" s="2"/>
      <c r="AB135" s="2" t="str">
        <f>IFERROR(GA[[#This Row],[Plant Equivalent Weightage]]*GA[[#This Row],[Resolution Time]],"")</f>
        <v/>
      </c>
      <c r="AC135" s="2"/>
      <c r="AD135" s="32" t="str">
        <f>IFERROR((_xlfn.XLOOKUP(GA[[#This Row],[Month Year]],'Modelling New'!D:D,'Modelling New'!$O:$O)*GA[[#This Row],[Lost POA (Wh/m2)]]*GA[[#This Row],[DC Capacity Affceted (kW)]])/1000,"")</f>
        <v/>
      </c>
      <c r="AE135" s="2"/>
    </row>
    <row r="136" spans="1:31">
      <c r="A136" s="2">
        <f t="shared" si="16"/>
        <v>134</v>
      </c>
      <c r="B136" s="156">
        <f t="shared" si="17"/>
        <v>1900</v>
      </c>
      <c r="C136" s="129">
        <f t="shared" si="18"/>
        <v>1900</v>
      </c>
      <c r="I136" s="31" t="str">
        <f>IFERROR(VLOOKUP(GA[[#This Row],[Date]],Raw_Data[[#All],[Date]:[Sunset Time (POA&lt;20 W/m2)]],3,0),"")</f>
        <v/>
      </c>
      <c r="J136" s="31" t="str">
        <f>IFERROR(VLOOKUP(GA[[#This Row],[Date]],Raw_Data[[#All],[Date]:[Sunset Time (POA&lt;20 W/m2)]],4,0),"")</f>
        <v/>
      </c>
      <c r="K136" s="30" t="str">
        <f>IFERROR((GA[[#This Row],[Sunset Time (POA&lt;20 W/m2)]]-GA[[#This Row],[Sunrise Time (POA&gt;20 W/m2)]])*24,"")</f>
        <v/>
      </c>
      <c r="M136" s="17" t="str">
        <f>IFERROR(VLOOKUP(GA[[#This Row],[Affceted Equipment]],'Basic Data'!$A$1:$B$113,2,0),"")</f>
        <v/>
      </c>
      <c r="P136" s="28" t="str">
        <f>IFERROR(VLOOKUP(GA[[#This Row],[Affceted Equipment]],'Basic Data'!$A$2:$C$118,3,0),"")</f>
        <v/>
      </c>
      <c r="Q136" s="2"/>
      <c r="W136" s="34"/>
      <c r="X136" s="35"/>
      <c r="Y136" s="35"/>
      <c r="Z136" s="2"/>
      <c r="AA136" s="2"/>
      <c r="AB136" s="2" t="str">
        <f>IFERROR(GA[[#This Row],[Plant Equivalent Weightage]]*GA[[#This Row],[Resolution Time]],"")</f>
        <v/>
      </c>
      <c r="AC136" s="2"/>
      <c r="AD136" s="32" t="str">
        <f>IFERROR((_xlfn.XLOOKUP(GA[[#This Row],[Month Year]],'Modelling New'!D:D,'Modelling New'!$O:$O)*GA[[#This Row],[Lost POA (Wh/m2)]]*GA[[#This Row],[DC Capacity Affceted (kW)]])/1000,"")</f>
        <v/>
      </c>
      <c r="AE136" s="2"/>
    </row>
    <row r="137" spans="1:31">
      <c r="A137" s="2">
        <f t="shared" si="16"/>
        <v>135</v>
      </c>
      <c r="B137" s="156">
        <f t="shared" si="17"/>
        <v>1900</v>
      </c>
      <c r="C137" s="129">
        <f t="shared" si="18"/>
        <v>1900</v>
      </c>
      <c r="I137" s="31" t="str">
        <f>IFERROR(VLOOKUP(GA[[#This Row],[Date]],Raw_Data[[#All],[Date]:[Sunset Time (POA&lt;20 W/m2)]],3,0),"")</f>
        <v/>
      </c>
      <c r="J137" s="31" t="str">
        <f>IFERROR(VLOOKUP(GA[[#This Row],[Date]],Raw_Data[[#All],[Date]:[Sunset Time (POA&lt;20 W/m2)]],4,0),"")</f>
        <v/>
      </c>
      <c r="K137" s="30" t="str">
        <f>IFERROR((GA[[#This Row],[Sunset Time (POA&lt;20 W/m2)]]-GA[[#This Row],[Sunrise Time (POA&gt;20 W/m2)]])*24,"")</f>
        <v/>
      </c>
      <c r="M137" s="17" t="str">
        <f>IFERROR(VLOOKUP(GA[[#This Row],[Affceted Equipment]],'Basic Data'!$A$1:$B$113,2,0),"")</f>
        <v/>
      </c>
      <c r="P137" s="28" t="str">
        <f>IFERROR(VLOOKUP(GA[[#This Row],[Affceted Equipment]],'Basic Data'!$A$2:$C$118,3,0),"")</f>
        <v/>
      </c>
      <c r="Q137" s="2"/>
      <c r="W137" s="34"/>
      <c r="X137" s="35"/>
      <c r="Y137" s="35"/>
      <c r="Z137" s="2"/>
      <c r="AA137" s="2"/>
      <c r="AB137" s="2" t="str">
        <f>IFERROR(GA[[#This Row],[Plant Equivalent Weightage]]*GA[[#This Row],[Resolution Time]],"")</f>
        <v/>
      </c>
      <c r="AC137" s="2"/>
      <c r="AD137" s="32" t="str">
        <f>IFERROR((_xlfn.XLOOKUP(GA[[#This Row],[Month Year]],'Modelling New'!D:D,'Modelling New'!$O:$O)*GA[[#This Row],[Lost POA (Wh/m2)]]*GA[[#This Row],[DC Capacity Affceted (kW)]])/1000,"")</f>
        <v/>
      </c>
      <c r="AE137" s="2"/>
    </row>
    <row r="138" spans="1:31">
      <c r="A138" s="2">
        <f t="shared" si="16"/>
        <v>136</v>
      </c>
      <c r="B138" s="156">
        <f t="shared" si="17"/>
        <v>1900</v>
      </c>
      <c r="C138" s="129">
        <f t="shared" si="18"/>
        <v>1900</v>
      </c>
      <c r="I138" s="31" t="str">
        <f>IFERROR(VLOOKUP(GA[[#This Row],[Date]],Raw_Data[[#All],[Date]:[Sunset Time (POA&lt;20 W/m2)]],3,0),"")</f>
        <v/>
      </c>
      <c r="J138" s="31" t="str">
        <f>IFERROR(VLOOKUP(GA[[#This Row],[Date]],Raw_Data[[#All],[Date]:[Sunset Time (POA&lt;20 W/m2)]],4,0),"")</f>
        <v/>
      </c>
      <c r="K138" s="30" t="str">
        <f>IFERROR((GA[[#This Row],[Sunset Time (POA&lt;20 W/m2)]]-GA[[#This Row],[Sunrise Time (POA&gt;20 W/m2)]])*24,"")</f>
        <v/>
      </c>
      <c r="M138" s="17" t="str">
        <f>IFERROR(VLOOKUP(GA[[#This Row],[Affceted Equipment]],'Basic Data'!$A$1:$B$113,2,0),"")</f>
        <v/>
      </c>
      <c r="P138" s="28" t="str">
        <f>IFERROR(VLOOKUP(GA[[#This Row],[Affceted Equipment]],'Basic Data'!$A$2:$C$118,3,0),"")</f>
        <v/>
      </c>
      <c r="Q138" s="2"/>
      <c r="W138" s="34"/>
      <c r="X138" s="35"/>
      <c r="Y138" s="35"/>
      <c r="Z138" s="2"/>
      <c r="AA138" s="2"/>
      <c r="AB138" s="2" t="str">
        <f>IFERROR(GA[[#This Row],[Plant Equivalent Weightage]]*GA[[#This Row],[Resolution Time]],"")</f>
        <v/>
      </c>
      <c r="AC138" s="2"/>
      <c r="AD138" s="32" t="str">
        <f>IFERROR((_xlfn.XLOOKUP(GA[[#This Row],[Month Year]],'Modelling New'!D:D,'Modelling New'!$O:$O)*GA[[#This Row],[Lost POA (Wh/m2)]]*GA[[#This Row],[DC Capacity Affceted (kW)]])/1000,"")</f>
        <v/>
      </c>
      <c r="AE138" s="2"/>
    </row>
    <row r="139" spans="1:31">
      <c r="A139" s="2">
        <f t="shared" si="16"/>
        <v>137</v>
      </c>
      <c r="B139" s="156">
        <f t="shared" si="17"/>
        <v>1900</v>
      </c>
      <c r="C139" s="129">
        <f t="shared" si="18"/>
        <v>1900</v>
      </c>
      <c r="I139" s="31" t="str">
        <f>IFERROR(VLOOKUP(GA[[#This Row],[Date]],Raw_Data[[#All],[Date]:[Sunset Time (POA&lt;20 W/m2)]],3,0),"")</f>
        <v/>
      </c>
      <c r="J139" s="31" t="str">
        <f>IFERROR(VLOOKUP(GA[[#This Row],[Date]],Raw_Data[[#All],[Date]:[Sunset Time (POA&lt;20 W/m2)]],4,0),"")</f>
        <v/>
      </c>
      <c r="K139" s="30" t="str">
        <f>IFERROR((GA[[#This Row],[Sunset Time (POA&lt;20 W/m2)]]-GA[[#This Row],[Sunrise Time (POA&gt;20 W/m2)]])*24,"")</f>
        <v/>
      </c>
      <c r="M139" s="17" t="str">
        <f>IFERROR(VLOOKUP(GA[[#This Row],[Affceted Equipment]],'Basic Data'!$A$1:$B$113,2,0),"")</f>
        <v/>
      </c>
      <c r="P139" s="28" t="str">
        <f>IFERROR(VLOOKUP(GA[[#This Row],[Affceted Equipment]],'Basic Data'!$A$2:$C$118,3,0),"")</f>
        <v/>
      </c>
      <c r="Q139" s="2"/>
      <c r="W139" s="34"/>
      <c r="X139" s="35"/>
      <c r="Y139" s="35"/>
      <c r="Z139" s="2"/>
      <c r="AA139" s="2"/>
      <c r="AB139" s="2" t="str">
        <f>IFERROR(GA[[#This Row],[Plant Equivalent Weightage]]*GA[[#This Row],[Resolution Time]],"")</f>
        <v/>
      </c>
      <c r="AC139" s="2"/>
      <c r="AD139" s="32" t="str">
        <f>IFERROR((_xlfn.XLOOKUP(GA[[#This Row],[Month Year]],'Modelling New'!D:D,'Modelling New'!$O:$O)*GA[[#This Row],[Lost POA (Wh/m2)]]*GA[[#This Row],[DC Capacity Affceted (kW)]])/1000,"")</f>
        <v/>
      </c>
      <c r="AE139" s="2"/>
    </row>
    <row r="140" spans="1:31">
      <c r="A140" s="2">
        <f t="shared" si="16"/>
        <v>138</v>
      </c>
      <c r="B140" s="156">
        <f t="shared" si="17"/>
        <v>1900</v>
      </c>
      <c r="C140" s="129">
        <f t="shared" si="18"/>
        <v>1900</v>
      </c>
      <c r="I140" s="31" t="str">
        <f>IFERROR(VLOOKUP(GA[[#This Row],[Date]],Raw_Data[[#All],[Date]:[Sunset Time (POA&lt;20 W/m2)]],3,0),"")</f>
        <v/>
      </c>
      <c r="J140" s="31" t="str">
        <f>IFERROR(VLOOKUP(GA[[#This Row],[Date]],Raw_Data[[#All],[Date]:[Sunset Time (POA&lt;20 W/m2)]],4,0),"")</f>
        <v/>
      </c>
      <c r="K140" s="30" t="str">
        <f>IFERROR((GA[[#This Row],[Sunset Time (POA&lt;20 W/m2)]]-GA[[#This Row],[Sunrise Time (POA&gt;20 W/m2)]])*24,"")</f>
        <v/>
      </c>
      <c r="M140" s="17" t="str">
        <f>IFERROR(VLOOKUP(GA[[#This Row],[Affceted Equipment]],'Basic Data'!$A$1:$B$113,2,0),"")</f>
        <v/>
      </c>
      <c r="P140" s="28" t="str">
        <f>IFERROR(VLOOKUP(GA[[#This Row],[Affceted Equipment]],'Basic Data'!$A$2:$C$118,3,0),"")</f>
        <v/>
      </c>
      <c r="Q140" s="2"/>
      <c r="W140" s="34"/>
      <c r="X140" s="35"/>
      <c r="Y140" s="35"/>
      <c r="Z140" s="2"/>
      <c r="AA140" s="2"/>
      <c r="AB140" s="2" t="str">
        <f>IFERROR(GA[[#This Row],[Plant Equivalent Weightage]]*GA[[#This Row],[Resolution Time]],"")</f>
        <v/>
      </c>
      <c r="AC140" s="2"/>
      <c r="AD140" s="32" t="str">
        <f>IFERROR((_xlfn.XLOOKUP(GA[[#This Row],[Month Year]],'Modelling New'!D:D,'Modelling New'!$O:$O)*GA[[#This Row],[Lost POA (Wh/m2)]]*GA[[#This Row],[DC Capacity Affceted (kW)]])/1000,"")</f>
        <v/>
      </c>
      <c r="AE140" s="2"/>
    </row>
    <row r="141" spans="1:31">
      <c r="A141" s="2">
        <f t="shared" si="16"/>
        <v>139</v>
      </c>
      <c r="B141" s="156">
        <f t="shared" si="17"/>
        <v>1900</v>
      </c>
      <c r="C141" s="129">
        <f t="shared" si="18"/>
        <v>1900</v>
      </c>
      <c r="I141" s="31" t="str">
        <f>IFERROR(VLOOKUP(GA[[#This Row],[Date]],Raw_Data[[#All],[Date]:[Sunset Time (POA&lt;20 W/m2)]],3,0),"")</f>
        <v/>
      </c>
      <c r="J141" s="31" t="str">
        <f>IFERROR(VLOOKUP(GA[[#This Row],[Date]],Raw_Data[[#All],[Date]:[Sunset Time (POA&lt;20 W/m2)]],4,0),"")</f>
        <v/>
      </c>
      <c r="K141" s="30" t="str">
        <f>IFERROR((GA[[#This Row],[Sunset Time (POA&lt;20 W/m2)]]-GA[[#This Row],[Sunrise Time (POA&gt;20 W/m2)]])*24,"")</f>
        <v/>
      </c>
      <c r="M141" s="17" t="str">
        <f>IFERROR(VLOOKUP(GA[[#This Row],[Affceted Equipment]],'Basic Data'!$A$1:$B$113,2,0),"")</f>
        <v/>
      </c>
      <c r="P141" s="28" t="str">
        <f>IFERROR(VLOOKUP(GA[[#This Row],[Affceted Equipment]],'Basic Data'!$A$2:$C$118,3,0),"")</f>
        <v/>
      </c>
      <c r="Q141" s="2"/>
      <c r="W141" s="34"/>
      <c r="X141" s="35"/>
      <c r="Y141" s="35"/>
      <c r="Z141" s="2"/>
      <c r="AA141" s="2"/>
      <c r="AB141" s="2" t="str">
        <f>IFERROR(GA[[#This Row],[Plant Equivalent Weightage]]*GA[[#This Row],[Resolution Time]],"")</f>
        <v/>
      </c>
      <c r="AC141" s="2"/>
      <c r="AD141" s="32" t="str">
        <f>IFERROR((_xlfn.XLOOKUP(GA[[#This Row],[Month Year]],'Modelling New'!D:D,'Modelling New'!$O:$O)*GA[[#This Row],[Lost POA (Wh/m2)]]*GA[[#This Row],[DC Capacity Affceted (kW)]])/1000,"")</f>
        <v/>
      </c>
      <c r="AE141" s="2"/>
    </row>
    <row r="142" spans="1:31">
      <c r="A142" s="2">
        <f t="shared" si="16"/>
        <v>140</v>
      </c>
      <c r="B142" s="156">
        <f t="shared" si="17"/>
        <v>1900</v>
      </c>
      <c r="C142" s="129">
        <f t="shared" si="18"/>
        <v>1900</v>
      </c>
      <c r="I142" s="31" t="str">
        <f>IFERROR(VLOOKUP(GA[[#This Row],[Date]],Raw_Data[[#All],[Date]:[Sunset Time (POA&lt;20 W/m2)]],3,0),"")</f>
        <v/>
      </c>
      <c r="J142" s="31" t="str">
        <f>IFERROR(VLOOKUP(GA[[#This Row],[Date]],Raw_Data[[#All],[Date]:[Sunset Time (POA&lt;20 W/m2)]],4,0),"")</f>
        <v/>
      </c>
      <c r="K142" s="30" t="str">
        <f>IFERROR((GA[[#This Row],[Sunset Time (POA&lt;20 W/m2)]]-GA[[#This Row],[Sunrise Time (POA&gt;20 W/m2)]])*24,"")</f>
        <v/>
      </c>
      <c r="M142" s="17" t="str">
        <f>IFERROR(VLOOKUP(GA[[#This Row],[Affceted Equipment]],'Basic Data'!$A$1:$B$113,2,0),"")</f>
        <v/>
      </c>
      <c r="P142" s="28" t="str">
        <f>IFERROR(VLOOKUP(GA[[#This Row],[Affceted Equipment]],'Basic Data'!$A$2:$C$118,3,0),"")</f>
        <v/>
      </c>
      <c r="Q142" s="2"/>
      <c r="W142" s="34"/>
      <c r="X142" s="35"/>
      <c r="Y142" s="35"/>
      <c r="Z142" s="2"/>
      <c r="AA142" s="2"/>
      <c r="AB142" s="2" t="str">
        <f>IFERROR(GA[[#This Row],[Plant Equivalent Weightage]]*GA[[#This Row],[Resolution Time]],"")</f>
        <v/>
      </c>
      <c r="AC142" s="2"/>
      <c r="AD142" s="32" t="str">
        <f>IFERROR((_xlfn.XLOOKUP(GA[[#This Row],[Month Year]],'Modelling New'!D:D,'Modelling New'!$O:$O)*GA[[#This Row],[Lost POA (Wh/m2)]]*GA[[#This Row],[DC Capacity Affceted (kW)]])/1000,"")</f>
        <v/>
      </c>
      <c r="AE142" s="2"/>
    </row>
    <row r="143" spans="1:31">
      <c r="A143" s="2">
        <f t="shared" si="16"/>
        <v>141</v>
      </c>
      <c r="B143" s="156">
        <f t="shared" si="17"/>
        <v>1900</v>
      </c>
      <c r="C143" s="129">
        <f t="shared" si="18"/>
        <v>1900</v>
      </c>
      <c r="I143" s="31" t="str">
        <f>IFERROR(VLOOKUP(GA[[#This Row],[Date]],Raw_Data[[#All],[Date]:[Sunset Time (POA&lt;20 W/m2)]],3,0),"")</f>
        <v/>
      </c>
      <c r="J143" s="31" t="str">
        <f>IFERROR(VLOOKUP(GA[[#This Row],[Date]],Raw_Data[[#All],[Date]:[Sunset Time (POA&lt;20 W/m2)]],4,0),"")</f>
        <v/>
      </c>
      <c r="K143" s="30" t="str">
        <f>IFERROR((GA[[#This Row],[Sunset Time (POA&lt;20 W/m2)]]-GA[[#This Row],[Sunrise Time (POA&gt;20 W/m2)]])*24,"")</f>
        <v/>
      </c>
      <c r="M143" s="17" t="str">
        <f>IFERROR(VLOOKUP(GA[[#This Row],[Affceted Equipment]],'Basic Data'!$A$1:$B$113,2,0),"")</f>
        <v/>
      </c>
      <c r="P143" s="28" t="str">
        <f>IFERROR(VLOOKUP(GA[[#This Row],[Affceted Equipment]],'Basic Data'!$A$2:$C$118,3,0),"")</f>
        <v/>
      </c>
      <c r="Q143" s="2"/>
      <c r="W143" s="34"/>
      <c r="X143" s="35"/>
      <c r="Y143" s="35"/>
      <c r="Z143" s="2"/>
      <c r="AA143" s="2"/>
      <c r="AB143" s="2" t="str">
        <f>IFERROR(GA[[#This Row],[Plant Equivalent Weightage]]*GA[[#This Row],[Resolution Time]],"")</f>
        <v/>
      </c>
      <c r="AC143" s="2"/>
      <c r="AD143" s="32" t="str">
        <f>IFERROR((_xlfn.XLOOKUP(GA[[#This Row],[Month Year]],'Modelling New'!D:D,'Modelling New'!$O:$O)*GA[[#This Row],[Lost POA (Wh/m2)]]*GA[[#This Row],[DC Capacity Affceted (kW)]])/1000,"")</f>
        <v/>
      </c>
      <c r="AE143" s="2"/>
    </row>
    <row r="144" spans="1:31">
      <c r="A144" s="2">
        <f t="shared" si="16"/>
        <v>142</v>
      </c>
      <c r="B144" s="156">
        <f t="shared" si="17"/>
        <v>1900</v>
      </c>
      <c r="C144" s="129">
        <f t="shared" si="18"/>
        <v>1900</v>
      </c>
      <c r="I144" s="31" t="str">
        <f>IFERROR(VLOOKUP(GA[[#This Row],[Date]],Raw_Data[[#All],[Date]:[Sunset Time (POA&lt;20 W/m2)]],3,0),"")</f>
        <v/>
      </c>
      <c r="J144" s="31" t="str">
        <f>IFERROR(VLOOKUP(GA[[#This Row],[Date]],Raw_Data[[#All],[Date]:[Sunset Time (POA&lt;20 W/m2)]],4,0),"")</f>
        <v/>
      </c>
      <c r="K144" s="30" t="str">
        <f>IFERROR((GA[[#This Row],[Sunset Time (POA&lt;20 W/m2)]]-GA[[#This Row],[Sunrise Time (POA&gt;20 W/m2)]])*24,"")</f>
        <v/>
      </c>
      <c r="M144" s="17" t="str">
        <f>IFERROR(VLOOKUP(GA[[#This Row],[Affceted Equipment]],'Basic Data'!$A$1:$B$113,2,0),"")</f>
        <v/>
      </c>
      <c r="P144" s="28" t="str">
        <f>IFERROR(VLOOKUP(GA[[#This Row],[Affceted Equipment]],'Basic Data'!$A$2:$C$118,3,0),"")</f>
        <v/>
      </c>
      <c r="Q144" s="2"/>
      <c r="W144" s="34"/>
      <c r="X144" s="35"/>
      <c r="Y144" s="35"/>
      <c r="Z144" s="2"/>
      <c r="AA144" s="2"/>
      <c r="AB144" s="2" t="str">
        <f>IFERROR(GA[[#This Row],[Plant Equivalent Weightage]]*GA[[#This Row],[Resolution Time]],"")</f>
        <v/>
      </c>
      <c r="AC144" s="2"/>
      <c r="AD144" s="32" t="str">
        <f>IFERROR((_xlfn.XLOOKUP(GA[[#This Row],[Month Year]],'Modelling New'!D:D,'Modelling New'!$O:$O)*GA[[#This Row],[Lost POA (Wh/m2)]]*GA[[#This Row],[DC Capacity Affceted (kW)]])/1000,"")</f>
        <v/>
      </c>
      <c r="AE144" s="2"/>
    </row>
    <row r="145" spans="1:31">
      <c r="A145" s="2">
        <f t="shared" si="16"/>
        <v>143</v>
      </c>
      <c r="B145" s="156">
        <f t="shared" si="17"/>
        <v>1900</v>
      </c>
      <c r="C145" s="129">
        <f t="shared" si="18"/>
        <v>1900</v>
      </c>
      <c r="I145" s="31" t="str">
        <f>IFERROR(VLOOKUP(GA[[#This Row],[Date]],Raw_Data[[#All],[Date]:[Sunset Time (POA&lt;20 W/m2)]],3,0),"")</f>
        <v/>
      </c>
      <c r="J145" s="31" t="str">
        <f>IFERROR(VLOOKUP(GA[[#This Row],[Date]],Raw_Data[[#All],[Date]:[Sunset Time (POA&lt;20 W/m2)]],4,0),"")</f>
        <v/>
      </c>
      <c r="K145" s="30" t="str">
        <f>IFERROR((GA[[#This Row],[Sunset Time (POA&lt;20 W/m2)]]-GA[[#This Row],[Sunrise Time (POA&gt;20 W/m2)]])*24,"")</f>
        <v/>
      </c>
      <c r="M145" s="17" t="str">
        <f>IFERROR(VLOOKUP(GA[[#This Row],[Affceted Equipment]],'Basic Data'!$A$1:$B$113,2,0),"")</f>
        <v/>
      </c>
      <c r="P145" s="28" t="str">
        <f>IFERROR(VLOOKUP(GA[[#This Row],[Affceted Equipment]],'Basic Data'!$A$2:$C$118,3,0),"")</f>
        <v/>
      </c>
      <c r="Q145" s="2"/>
      <c r="W145" s="34"/>
      <c r="X145" s="35"/>
      <c r="Y145" s="35"/>
      <c r="Z145" s="2"/>
      <c r="AA145" s="2"/>
      <c r="AB145" s="2" t="str">
        <f>IFERROR(GA[[#This Row],[Plant Equivalent Weightage]]*GA[[#This Row],[Resolution Time]],"")</f>
        <v/>
      </c>
      <c r="AC145" s="2"/>
      <c r="AD145" s="32" t="str">
        <f>IFERROR((_xlfn.XLOOKUP(GA[[#This Row],[Month Year]],'Modelling New'!D:D,'Modelling New'!$O:$O)*GA[[#This Row],[Lost POA (Wh/m2)]]*GA[[#This Row],[DC Capacity Affceted (kW)]])/1000,"")</f>
        <v/>
      </c>
      <c r="AE145" s="2"/>
    </row>
    <row r="146" spans="1:31">
      <c r="A146" s="2">
        <f t="shared" si="16"/>
        <v>144</v>
      </c>
      <c r="B146" s="156">
        <f t="shared" si="17"/>
        <v>1900</v>
      </c>
      <c r="C146" s="129">
        <f t="shared" si="18"/>
        <v>1900</v>
      </c>
      <c r="I146" s="31" t="str">
        <f>IFERROR(VLOOKUP(GA[[#This Row],[Date]],Raw_Data[[#All],[Date]:[Sunset Time (POA&lt;20 W/m2)]],3,0),"")</f>
        <v/>
      </c>
      <c r="J146" s="31" t="str">
        <f>IFERROR(VLOOKUP(GA[[#This Row],[Date]],Raw_Data[[#All],[Date]:[Sunset Time (POA&lt;20 W/m2)]],4,0),"")</f>
        <v/>
      </c>
      <c r="K146" s="30" t="str">
        <f>IFERROR((GA[[#This Row],[Sunset Time (POA&lt;20 W/m2)]]-GA[[#This Row],[Sunrise Time (POA&gt;20 W/m2)]])*24,"")</f>
        <v/>
      </c>
      <c r="M146" s="17" t="str">
        <f>IFERROR(VLOOKUP(GA[[#This Row],[Affceted Equipment]],'Basic Data'!$A$1:$B$113,2,0),"")</f>
        <v/>
      </c>
      <c r="P146" s="28" t="str">
        <f>IFERROR(VLOOKUP(GA[[#This Row],[Affceted Equipment]],'Basic Data'!$A$2:$C$118,3,0),"")</f>
        <v/>
      </c>
      <c r="Q146" s="2"/>
      <c r="W146" s="34"/>
      <c r="X146" s="35"/>
      <c r="Y146" s="35"/>
      <c r="Z146" s="2"/>
      <c r="AA146" s="2"/>
      <c r="AB146" s="2" t="str">
        <f>IFERROR(GA[[#This Row],[Plant Equivalent Weightage]]*GA[[#This Row],[Resolution Time]],"")</f>
        <v/>
      </c>
      <c r="AC146" s="2"/>
      <c r="AD146" s="32" t="str">
        <f>IFERROR((_xlfn.XLOOKUP(GA[[#This Row],[Month Year]],'Modelling New'!D:D,'Modelling New'!$O:$O)*GA[[#This Row],[Lost POA (Wh/m2)]]*GA[[#This Row],[DC Capacity Affceted (kW)]])/1000,"")</f>
        <v/>
      </c>
      <c r="AE146" s="2"/>
    </row>
    <row r="147" spans="1:31">
      <c r="A147" s="2">
        <f t="shared" si="16"/>
        <v>145</v>
      </c>
      <c r="B147" s="156">
        <f t="shared" si="17"/>
        <v>1900</v>
      </c>
      <c r="C147" s="129">
        <f t="shared" si="18"/>
        <v>1900</v>
      </c>
      <c r="I147" s="31" t="str">
        <f>IFERROR(VLOOKUP(GA[[#This Row],[Date]],Raw_Data[[#All],[Date]:[Sunset Time (POA&lt;20 W/m2)]],3,0),"")</f>
        <v/>
      </c>
      <c r="J147" s="31" t="str">
        <f>IFERROR(VLOOKUP(GA[[#This Row],[Date]],Raw_Data[[#All],[Date]:[Sunset Time (POA&lt;20 W/m2)]],4,0),"")</f>
        <v/>
      </c>
      <c r="K147" s="30" t="str">
        <f>IFERROR((GA[[#This Row],[Sunset Time (POA&lt;20 W/m2)]]-GA[[#This Row],[Sunrise Time (POA&gt;20 W/m2)]])*24,"")</f>
        <v/>
      </c>
      <c r="M147" s="17" t="str">
        <f>IFERROR(VLOOKUP(GA[[#This Row],[Affceted Equipment]],'Basic Data'!$A$1:$B$113,2,0),"")</f>
        <v/>
      </c>
      <c r="P147" s="28" t="str">
        <f>IFERROR(VLOOKUP(GA[[#This Row],[Affceted Equipment]],'Basic Data'!$A$2:$C$118,3,0),"")</f>
        <v/>
      </c>
      <c r="Q147" s="2"/>
      <c r="W147" s="34"/>
      <c r="X147" s="35"/>
      <c r="Y147" s="35"/>
      <c r="Z147" s="2"/>
      <c r="AA147" s="2"/>
      <c r="AB147" s="2" t="str">
        <f>IFERROR(GA[[#This Row],[Plant Equivalent Weightage]]*GA[[#This Row],[Resolution Time]],"")</f>
        <v/>
      </c>
      <c r="AC147" s="2"/>
      <c r="AD147" s="32" t="str">
        <f>IFERROR((_xlfn.XLOOKUP(GA[[#This Row],[Month Year]],'Modelling New'!D:D,'Modelling New'!$O:$O)*GA[[#This Row],[Lost POA (Wh/m2)]]*GA[[#This Row],[DC Capacity Affceted (kW)]])/1000,"")</f>
        <v/>
      </c>
      <c r="AE147" s="2"/>
    </row>
    <row r="148" spans="1:31">
      <c r="A148" s="2">
        <f t="shared" si="16"/>
        <v>146</v>
      </c>
      <c r="B148" s="156">
        <f t="shared" si="17"/>
        <v>1900</v>
      </c>
      <c r="C148" s="129">
        <f t="shared" si="18"/>
        <v>1900</v>
      </c>
      <c r="I148" s="31" t="str">
        <f>IFERROR(VLOOKUP(GA[[#This Row],[Date]],Raw_Data[[#All],[Date]:[Sunset Time (POA&lt;20 W/m2)]],3,0),"")</f>
        <v/>
      </c>
      <c r="J148" s="31" t="str">
        <f>IFERROR(VLOOKUP(GA[[#This Row],[Date]],Raw_Data[[#All],[Date]:[Sunset Time (POA&lt;20 W/m2)]],4,0),"")</f>
        <v/>
      </c>
      <c r="K148" s="30" t="str">
        <f>IFERROR((GA[[#This Row],[Sunset Time (POA&lt;20 W/m2)]]-GA[[#This Row],[Sunrise Time (POA&gt;20 W/m2)]])*24,"")</f>
        <v/>
      </c>
      <c r="M148" s="17" t="str">
        <f>IFERROR(VLOOKUP(GA[[#This Row],[Affceted Equipment]],'Basic Data'!$A$1:$B$113,2,0),"")</f>
        <v/>
      </c>
      <c r="P148" s="28" t="str">
        <f>IFERROR(VLOOKUP(GA[[#This Row],[Affceted Equipment]],'Basic Data'!$A$2:$C$118,3,0),"")</f>
        <v/>
      </c>
      <c r="Q148" s="2"/>
      <c r="W148" s="34"/>
      <c r="X148" s="35"/>
      <c r="Y148" s="35"/>
      <c r="Z148" s="2"/>
      <c r="AA148" s="2"/>
      <c r="AB148" s="2" t="str">
        <f>IFERROR(GA[[#This Row],[Plant Equivalent Weightage]]*GA[[#This Row],[Resolution Time]],"")</f>
        <v/>
      </c>
      <c r="AC148" s="2"/>
      <c r="AD148" s="32" t="str">
        <f>IFERROR((_xlfn.XLOOKUP(GA[[#This Row],[Month Year]],'Modelling New'!D:D,'Modelling New'!$O:$O)*GA[[#This Row],[Lost POA (Wh/m2)]]*GA[[#This Row],[DC Capacity Affceted (kW)]])/1000,"")</f>
        <v/>
      </c>
      <c r="AE148" s="2"/>
    </row>
    <row r="149" spans="1:31">
      <c r="A149" s="2">
        <f t="shared" si="16"/>
        <v>147</v>
      </c>
      <c r="B149" s="156">
        <f t="shared" si="17"/>
        <v>1900</v>
      </c>
      <c r="C149" s="129">
        <f t="shared" si="18"/>
        <v>1900</v>
      </c>
      <c r="I149" s="31" t="str">
        <f>IFERROR(VLOOKUP(GA[[#This Row],[Date]],Raw_Data[[#All],[Date]:[Sunset Time (POA&lt;20 W/m2)]],3,0),"")</f>
        <v/>
      </c>
      <c r="J149" s="31" t="str">
        <f>IFERROR(VLOOKUP(GA[[#This Row],[Date]],Raw_Data[[#All],[Date]:[Sunset Time (POA&lt;20 W/m2)]],4,0),"")</f>
        <v/>
      </c>
      <c r="K149" s="30" t="str">
        <f>IFERROR((GA[[#This Row],[Sunset Time (POA&lt;20 W/m2)]]-GA[[#This Row],[Sunrise Time (POA&gt;20 W/m2)]])*24,"")</f>
        <v/>
      </c>
      <c r="M149" s="17" t="str">
        <f>IFERROR(VLOOKUP(GA[[#This Row],[Affceted Equipment]],'Basic Data'!$A$1:$B$113,2,0),"")</f>
        <v/>
      </c>
      <c r="P149" s="28" t="str">
        <f>IFERROR(VLOOKUP(GA[[#This Row],[Affceted Equipment]],'Basic Data'!$A$2:$C$118,3,0),"")</f>
        <v/>
      </c>
      <c r="Q149" s="2"/>
      <c r="W149" s="34"/>
      <c r="X149" s="35"/>
      <c r="Y149" s="35"/>
      <c r="Z149" s="2"/>
      <c r="AA149" s="2"/>
      <c r="AB149" s="2" t="str">
        <f>IFERROR(GA[[#This Row],[Plant Equivalent Weightage]]*GA[[#This Row],[Resolution Time]],"")</f>
        <v/>
      </c>
      <c r="AC149" s="2"/>
      <c r="AD149" s="32" t="str">
        <f>IFERROR((_xlfn.XLOOKUP(GA[[#This Row],[Month Year]],'Modelling New'!D:D,'Modelling New'!$O:$O)*GA[[#This Row],[Lost POA (Wh/m2)]]*GA[[#This Row],[DC Capacity Affceted (kW)]])/1000,"")</f>
        <v/>
      </c>
      <c r="AE149" s="2"/>
    </row>
    <row r="150" spans="1:31">
      <c r="A150" s="2">
        <f t="shared" si="16"/>
        <v>148</v>
      </c>
      <c r="B150" s="156">
        <f t="shared" si="17"/>
        <v>1900</v>
      </c>
      <c r="C150" s="129">
        <f t="shared" si="18"/>
        <v>1900</v>
      </c>
      <c r="I150" s="31" t="str">
        <f>IFERROR(VLOOKUP(GA[[#This Row],[Date]],Raw_Data[[#All],[Date]:[Sunset Time (POA&lt;20 W/m2)]],3,0),"")</f>
        <v/>
      </c>
      <c r="J150" s="31" t="str">
        <f>IFERROR(VLOOKUP(GA[[#This Row],[Date]],Raw_Data[[#All],[Date]:[Sunset Time (POA&lt;20 W/m2)]],4,0),"")</f>
        <v/>
      </c>
      <c r="K150" s="30" t="str">
        <f>IFERROR((GA[[#This Row],[Sunset Time (POA&lt;20 W/m2)]]-GA[[#This Row],[Sunrise Time (POA&gt;20 W/m2)]])*24,"")</f>
        <v/>
      </c>
      <c r="M150" s="17" t="str">
        <f>IFERROR(VLOOKUP(GA[[#This Row],[Affceted Equipment]],'Basic Data'!$A$1:$B$113,2,0),"")</f>
        <v/>
      </c>
      <c r="P150" s="28" t="str">
        <f>IFERROR(VLOOKUP(GA[[#This Row],[Affceted Equipment]],'Basic Data'!$A$2:$C$118,3,0),"")</f>
        <v/>
      </c>
      <c r="Q150" s="2"/>
      <c r="W150" s="34"/>
      <c r="X150" s="35"/>
      <c r="Y150" s="35"/>
      <c r="Z150" s="2"/>
      <c r="AA150" s="2"/>
      <c r="AB150" s="2" t="str">
        <f>IFERROR(GA[[#This Row],[Plant Equivalent Weightage]]*GA[[#This Row],[Resolution Time]],"")</f>
        <v/>
      </c>
      <c r="AC150" s="2"/>
      <c r="AD150" s="32" t="str">
        <f>IFERROR((_xlfn.XLOOKUP(GA[[#This Row],[Month Year]],'Modelling New'!D:D,'Modelling New'!$O:$O)*GA[[#This Row],[Lost POA (Wh/m2)]]*GA[[#This Row],[DC Capacity Affceted (kW)]])/1000,"")</f>
        <v/>
      </c>
      <c r="AE150" s="2"/>
    </row>
    <row r="151" spans="1:31">
      <c r="A151" s="2">
        <f t="shared" si="16"/>
        <v>149</v>
      </c>
      <c r="B151" s="156">
        <f t="shared" si="17"/>
        <v>1900</v>
      </c>
      <c r="C151" s="129">
        <f t="shared" si="18"/>
        <v>1900</v>
      </c>
      <c r="I151" s="31" t="str">
        <f>IFERROR(VLOOKUP(GA[[#This Row],[Date]],Raw_Data[[#All],[Date]:[Sunset Time (POA&lt;20 W/m2)]],3,0),"")</f>
        <v/>
      </c>
      <c r="J151" s="31" t="str">
        <f>IFERROR(VLOOKUP(GA[[#This Row],[Date]],Raw_Data[[#All],[Date]:[Sunset Time (POA&lt;20 W/m2)]],4,0),"")</f>
        <v/>
      </c>
      <c r="K151" s="30" t="str">
        <f>IFERROR((GA[[#This Row],[Sunset Time (POA&lt;20 W/m2)]]-GA[[#This Row],[Sunrise Time (POA&gt;20 W/m2)]])*24,"")</f>
        <v/>
      </c>
      <c r="M151" s="17" t="str">
        <f>IFERROR(VLOOKUP(GA[[#This Row],[Affceted Equipment]],'Basic Data'!$A$1:$B$113,2,0),"")</f>
        <v/>
      </c>
      <c r="P151" s="28" t="str">
        <f>IFERROR(VLOOKUP(GA[[#This Row],[Affceted Equipment]],'Basic Data'!$A$2:$C$118,3,0),"")</f>
        <v/>
      </c>
      <c r="Q151" s="2"/>
      <c r="W151" s="34"/>
      <c r="X151" s="35"/>
      <c r="Y151" s="35"/>
      <c r="Z151" s="2"/>
      <c r="AA151" s="2"/>
      <c r="AB151" s="2" t="str">
        <f>IFERROR(GA[[#This Row],[Plant Equivalent Weightage]]*GA[[#This Row],[Resolution Time]],"")</f>
        <v/>
      </c>
      <c r="AC151" s="2"/>
      <c r="AD151" s="32" t="str">
        <f>IFERROR((_xlfn.XLOOKUP(GA[[#This Row],[Month Year]],'Modelling New'!D:D,'Modelling New'!$O:$O)*GA[[#This Row],[Lost POA (Wh/m2)]]*GA[[#This Row],[DC Capacity Affceted (kW)]])/1000,"")</f>
        <v/>
      </c>
      <c r="AE151" s="2"/>
    </row>
    <row r="152" spans="1:31">
      <c r="A152" s="2">
        <f t="shared" si="16"/>
        <v>150</v>
      </c>
      <c r="B152" s="156">
        <f t="shared" si="17"/>
        <v>1900</v>
      </c>
      <c r="C152" s="129">
        <f t="shared" si="18"/>
        <v>1900</v>
      </c>
      <c r="I152" s="31" t="str">
        <f>IFERROR(VLOOKUP(GA[[#This Row],[Date]],Raw_Data[[#All],[Date]:[Sunset Time (POA&lt;20 W/m2)]],3,0),"")</f>
        <v/>
      </c>
      <c r="J152" s="31" t="str">
        <f>IFERROR(VLOOKUP(GA[[#This Row],[Date]],Raw_Data[[#All],[Date]:[Sunset Time (POA&lt;20 W/m2)]],4,0),"")</f>
        <v/>
      </c>
      <c r="K152" s="30" t="str">
        <f>IFERROR((GA[[#This Row],[Sunset Time (POA&lt;20 W/m2)]]-GA[[#This Row],[Sunrise Time (POA&gt;20 W/m2)]])*24,"")</f>
        <v/>
      </c>
      <c r="M152" s="17" t="str">
        <f>IFERROR(VLOOKUP(GA[[#This Row],[Affceted Equipment]],'Basic Data'!$A$1:$B$113,2,0),"")</f>
        <v/>
      </c>
      <c r="P152" s="28" t="str">
        <f>IFERROR(VLOOKUP(GA[[#This Row],[Affceted Equipment]],'Basic Data'!$A$2:$C$118,3,0),"")</f>
        <v/>
      </c>
      <c r="Q152" s="2"/>
      <c r="W152" s="34"/>
      <c r="X152" s="35"/>
      <c r="Y152" s="35"/>
      <c r="Z152" s="2"/>
      <c r="AA152" s="2"/>
      <c r="AB152" s="2" t="str">
        <f>IFERROR(GA[[#This Row],[Plant Equivalent Weightage]]*GA[[#This Row],[Resolution Time]],"")</f>
        <v/>
      </c>
      <c r="AC152" s="2"/>
      <c r="AD152" s="32" t="str">
        <f>IFERROR((_xlfn.XLOOKUP(GA[[#This Row],[Month Year]],'Modelling New'!D:D,'Modelling New'!$O:$O)*GA[[#This Row],[Lost POA (Wh/m2)]]*GA[[#This Row],[DC Capacity Affceted (kW)]])/1000,"")</f>
        <v/>
      </c>
      <c r="AE152" s="2"/>
    </row>
    <row r="153" spans="1:31">
      <c r="A153" s="2">
        <f t="shared" si="16"/>
        <v>151</v>
      </c>
      <c r="B153" s="156">
        <f t="shared" si="17"/>
        <v>1900</v>
      </c>
      <c r="C153" s="129">
        <f t="shared" si="18"/>
        <v>1900</v>
      </c>
      <c r="I153" s="31" t="str">
        <f>IFERROR(VLOOKUP(GA[[#This Row],[Date]],Raw_Data[[#All],[Date]:[Sunset Time (POA&lt;20 W/m2)]],3,0),"")</f>
        <v/>
      </c>
      <c r="J153" s="31" t="str">
        <f>IFERROR(VLOOKUP(GA[[#This Row],[Date]],Raw_Data[[#All],[Date]:[Sunset Time (POA&lt;20 W/m2)]],4,0),"")</f>
        <v/>
      </c>
      <c r="K153" s="30" t="str">
        <f>IFERROR((GA[[#This Row],[Sunset Time (POA&lt;20 W/m2)]]-GA[[#This Row],[Sunrise Time (POA&gt;20 W/m2)]])*24,"")</f>
        <v/>
      </c>
      <c r="M153" s="17" t="str">
        <f>IFERROR(VLOOKUP(GA[[#This Row],[Affceted Equipment]],'Basic Data'!$A$1:$B$113,2,0),"")</f>
        <v/>
      </c>
      <c r="P153" s="28" t="str">
        <f>IFERROR(VLOOKUP(GA[[#This Row],[Affceted Equipment]],'Basic Data'!$A$2:$C$118,3,0),"")</f>
        <v/>
      </c>
      <c r="Q153" s="2"/>
      <c r="W153" s="34"/>
      <c r="X153" s="35"/>
      <c r="Y153" s="35"/>
      <c r="Z153" s="2"/>
      <c r="AA153" s="2"/>
      <c r="AB153" s="2" t="str">
        <f>IFERROR(GA[[#This Row],[Plant Equivalent Weightage]]*GA[[#This Row],[Resolution Time]],"")</f>
        <v/>
      </c>
      <c r="AC153" s="2"/>
      <c r="AD153" s="32" t="str">
        <f>IFERROR((_xlfn.XLOOKUP(GA[[#This Row],[Month Year]],'Modelling New'!D:D,'Modelling New'!$O:$O)*GA[[#This Row],[Lost POA (Wh/m2)]]*GA[[#This Row],[DC Capacity Affceted (kW)]])/1000,"")</f>
        <v/>
      </c>
      <c r="AE153" s="2"/>
    </row>
    <row r="154" spans="1:31">
      <c r="A154" s="2">
        <f t="shared" si="16"/>
        <v>152</v>
      </c>
      <c r="B154" s="156">
        <f t="shared" si="17"/>
        <v>1900</v>
      </c>
      <c r="C154" s="129">
        <f t="shared" si="18"/>
        <v>1900</v>
      </c>
      <c r="I154" s="31" t="str">
        <f>IFERROR(VLOOKUP(GA[[#This Row],[Date]],Raw_Data[[#All],[Date]:[Sunset Time (POA&lt;20 W/m2)]],3,0),"")</f>
        <v/>
      </c>
      <c r="J154" s="31" t="str">
        <f>IFERROR(VLOOKUP(GA[[#This Row],[Date]],Raw_Data[[#All],[Date]:[Sunset Time (POA&lt;20 W/m2)]],4,0),"")</f>
        <v/>
      </c>
      <c r="K154" s="30" t="str">
        <f>IFERROR((GA[[#This Row],[Sunset Time (POA&lt;20 W/m2)]]-GA[[#This Row],[Sunrise Time (POA&gt;20 W/m2)]])*24,"")</f>
        <v/>
      </c>
      <c r="M154" s="17" t="str">
        <f>IFERROR(VLOOKUP(GA[[#This Row],[Affceted Equipment]],'Basic Data'!$A$1:$B$113,2,0),"")</f>
        <v/>
      </c>
      <c r="P154" s="28" t="str">
        <f>IFERROR(VLOOKUP(GA[[#This Row],[Affceted Equipment]],'Basic Data'!$A$2:$C$118,3,0),"")</f>
        <v/>
      </c>
      <c r="Q154" s="2"/>
      <c r="W154" s="34"/>
      <c r="X154" s="35"/>
      <c r="Y154" s="35"/>
      <c r="Z154" s="2"/>
      <c r="AA154" s="2"/>
      <c r="AB154" s="2" t="str">
        <f>IFERROR(GA[[#This Row],[Plant Equivalent Weightage]]*GA[[#This Row],[Resolution Time]],"")</f>
        <v/>
      </c>
      <c r="AC154" s="2"/>
      <c r="AD154" s="32" t="str">
        <f>IFERROR((_xlfn.XLOOKUP(GA[[#This Row],[Month Year]],'Modelling New'!D:D,'Modelling New'!$O:$O)*GA[[#This Row],[Lost POA (Wh/m2)]]*GA[[#This Row],[DC Capacity Affceted (kW)]])/1000,"")</f>
        <v/>
      </c>
      <c r="AE154" s="2"/>
    </row>
    <row r="155" spans="1:31">
      <c r="A155" s="2">
        <f t="shared" si="16"/>
        <v>153</v>
      </c>
      <c r="B155" s="156">
        <f t="shared" si="17"/>
        <v>1900</v>
      </c>
      <c r="C155" s="129">
        <f t="shared" si="18"/>
        <v>1900</v>
      </c>
      <c r="I155" s="31" t="str">
        <f>IFERROR(VLOOKUP(GA[[#This Row],[Date]],Raw_Data[[#All],[Date]:[Sunset Time (POA&lt;20 W/m2)]],3,0),"")</f>
        <v/>
      </c>
      <c r="J155" s="31" t="str">
        <f>IFERROR(VLOOKUP(GA[[#This Row],[Date]],Raw_Data[[#All],[Date]:[Sunset Time (POA&lt;20 W/m2)]],4,0),"")</f>
        <v/>
      </c>
      <c r="K155" s="30" t="str">
        <f>IFERROR((GA[[#This Row],[Sunset Time (POA&lt;20 W/m2)]]-GA[[#This Row],[Sunrise Time (POA&gt;20 W/m2)]])*24,"")</f>
        <v/>
      </c>
      <c r="M155" s="17" t="str">
        <f>IFERROR(VLOOKUP(GA[[#This Row],[Affceted Equipment]],'Basic Data'!$A$1:$B$113,2,0),"")</f>
        <v/>
      </c>
      <c r="P155" s="28" t="str">
        <f>IFERROR(VLOOKUP(GA[[#This Row],[Affceted Equipment]],'Basic Data'!$A$2:$C$118,3,0),"")</f>
        <v/>
      </c>
      <c r="Q155" s="2"/>
      <c r="W155" s="34"/>
      <c r="X155" s="35"/>
      <c r="Y155" s="35"/>
      <c r="Z155" s="2"/>
      <c r="AA155" s="2"/>
      <c r="AB155" s="2" t="str">
        <f>IFERROR(GA[[#This Row],[Plant Equivalent Weightage]]*GA[[#This Row],[Resolution Time]],"")</f>
        <v/>
      </c>
      <c r="AC155" s="2"/>
      <c r="AD155" s="32" t="str">
        <f>IFERROR((_xlfn.XLOOKUP(GA[[#This Row],[Month Year]],'Modelling New'!D:D,'Modelling New'!$O:$O)*GA[[#This Row],[Lost POA (Wh/m2)]]*GA[[#This Row],[DC Capacity Affceted (kW)]])/1000,"")</f>
        <v/>
      </c>
      <c r="AE155" s="2"/>
    </row>
    <row r="156" spans="1:31">
      <c r="A156" s="2">
        <f t="shared" si="16"/>
        <v>154</v>
      </c>
      <c r="B156" s="156">
        <f t="shared" si="17"/>
        <v>1900</v>
      </c>
      <c r="C156" s="129">
        <f t="shared" si="18"/>
        <v>1900</v>
      </c>
      <c r="I156" s="31" t="str">
        <f>IFERROR(VLOOKUP(GA[[#This Row],[Date]],Raw_Data[[#All],[Date]:[Sunset Time (POA&lt;20 W/m2)]],3,0),"")</f>
        <v/>
      </c>
      <c r="J156" s="31" t="str">
        <f>IFERROR(VLOOKUP(GA[[#This Row],[Date]],Raw_Data[[#All],[Date]:[Sunset Time (POA&lt;20 W/m2)]],4,0),"")</f>
        <v/>
      </c>
      <c r="K156" s="30" t="str">
        <f>IFERROR((GA[[#This Row],[Sunset Time (POA&lt;20 W/m2)]]-GA[[#This Row],[Sunrise Time (POA&gt;20 W/m2)]])*24,"")</f>
        <v/>
      </c>
      <c r="M156" s="17" t="str">
        <f>IFERROR(VLOOKUP(GA[[#This Row],[Affceted Equipment]],'Basic Data'!$A$1:$B$113,2,0),"")</f>
        <v/>
      </c>
      <c r="P156" s="28" t="str">
        <f>IFERROR(VLOOKUP(GA[[#This Row],[Affceted Equipment]],'Basic Data'!$A$2:$C$118,3,0),"")</f>
        <v/>
      </c>
      <c r="Q156" s="2"/>
      <c r="W156" s="34"/>
      <c r="X156" s="35"/>
      <c r="Y156" s="35"/>
      <c r="Z156" s="2"/>
      <c r="AA156" s="2"/>
      <c r="AB156" s="2" t="str">
        <f>IFERROR(GA[[#This Row],[Plant Equivalent Weightage]]*GA[[#This Row],[Resolution Time]],"")</f>
        <v/>
      </c>
      <c r="AC156" s="2"/>
      <c r="AD156" s="32" t="str">
        <f>IFERROR((_xlfn.XLOOKUP(GA[[#This Row],[Month Year]],'Modelling New'!D:D,'Modelling New'!$O:$O)*GA[[#This Row],[Lost POA (Wh/m2)]]*GA[[#This Row],[DC Capacity Affceted (kW)]])/1000,"")</f>
        <v/>
      </c>
      <c r="AE156" s="2"/>
    </row>
    <row r="157" spans="1:31">
      <c r="A157" s="2">
        <f t="shared" si="16"/>
        <v>155</v>
      </c>
      <c r="B157" s="156">
        <f t="shared" si="17"/>
        <v>1900</v>
      </c>
      <c r="C157" s="129">
        <f t="shared" si="18"/>
        <v>1900</v>
      </c>
      <c r="I157" s="31" t="str">
        <f>IFERROR(VLOOKUP(GA[[#This Row],[Date]],Raw_Data[[#All],[Date]:[Sunset Time (POA&lt;20 W/m2)]],3,0),"")</f>
        <v/>
      </c>
      <c r="J157" s="31" t="str">
        <f>IFERROR(VLOOKUP(GA[[#This Row],[Date]],Raw_Data[[#All],[Date]:[Sunset Time (POA&lt;20 W/m2)]],4,0),"")</f>
        <v/>
      </c>
      <c r="K157" s="30" t="str">
        <f>IFERROR((GA[[#This Row],[Sunset Time (POA&lt;20 W/m2)]]-GA[[#This Row],[Sunrise Time (POA&gt;20 W/m2)]])*24,"")</f>
        <v/>
      </c>
      <c r="M157" s="17" t="str">
        <f>IFERROR(VLOOKUP(GA[[#This Row],[Affceted Equipment]],'Basic Data'!$A$1:$B$113,2,0),"")</f>
        <v/>
      </c>
      <c r="P157" s="28" t="str">
        <f>IFERROR(VLOOKUP(GA[[#This Row],[Affceted Equipment]],'Basic Data'!$A$2:$C$118,3,0),"")</f>
        <v/>
      </c>
      <c r="Q157" s="2"/>
      <c r="W157" s="34"/>
      <c r="X157" s="35"/>
      <c r="Y157" s="35"/>
      <c r="Z157" s="2"/>
      <c r="AA157" s="2"/>
      <c r="AB157" s="2" t="str">
        <f>IFERROR(GA[[#This Row],[Plant Equivalent Weightage]]*GA[[#This Row],[Resolution Time]],"")</f>
        <v/>
      </c>
      <c r="AC157" s="2"/>
      <c r="AD157" s="32" t="str">
        <f>IFERROR((_xlfn.XLOOKUP(GA[[#This Row],[Month Year]],'Modelling New'!D:D,'Modelling New'!$O:$O)*GA[[#This Row],[Lost POA (Wh/m2)]]*GA[[#This Row],[DC Capacity Affceted (kW)]])/1000,"")</f>
        <v/>
      </c>
      <c r="AE157" s="2"/>
    </row>
    <row r="158" spans="1:31">
      <c r="A158" s="2">
        <f t="shared" si="16"/>
        <v>156</v>
      </c>
      <c r="B158" s="156">
        <f t="shared" si="17"/>
        <v>1900</v>
      </c>
      <c r="C158" s="129">
        <f t="shared" si="18"/>
        <v>1900</v>
      </c>
      <c r="I158" s="31" t="str">
        <f>IFERROR(VLOOKUP(GA[[#This Row],[Date]],Raw_Data[[#All],[Date]:[Sunset Time (POA&lt;20 W/m2)]],3,0),"")</f>
        <v/>
      </c>
      <c r="J158" s="31" t="str">
        <f>IFERROR(VLOOKUP(GA[[#This Row],[Date]],Raw_Data[[#All],[Date]:[Sunset Time (POA&lt;20 W/m2)]],4,0),"")</f>
        <v/>
      </c>
      <c r="K158" s="30" t="str">
        <f>IFERROR((GA[[#This Row],[Sunset Time (POA&lt;20 W/m2)]]-GA[[#This Row],[Sunrise Time (POA&gt;20 W/m2)]])*24,"")</f>
        <v/>
      </c>
      <c r="M158" s="17" t="str">
        <f>IFERROR(VLOOKUP(GA[[#This Row],[Affceted Equipment]],'Basic Data'!$A$1:$B$113,2,0),"")</f>
        <v/>
      </c>
      <c r="P158" s="28" t="str">
        <f>IFERROR(VLOOKUP(GA[[#This Row],[Affceted Equipment]],'Basic Data'!$A$2:$C$118,3,0),"")</f>
        <v/>
      </c>
      <c r="Q158" s="2"/>
      <c r="W158" s="34"/>
      <c r="X158" s="35"/>
      <c r="Y158" s="35"/>
      <c r="Z158" s="2"/>
      <c r="AA158" s="2"/>
      <c r="AB158" s="2" t="str">
        <f>IFERROR(GA[[#This Row],[Plant Equivalent Weightage]]*GA[[#This Row],[Resolution Time]],"")</f>
        <v/>
      </c>
      <c r="AC158" s="2"/>
      <c r="AD158" s="32" t="str">
        <f>IFERROR((_xlfn.XLOOKUP(GA[[#This Row],[Month Year]],'Modelling New'!D:D,'Modelling New'!$O:$O)*GA[[#This Row],[Lost POA (Wh/m2)]]*GA[[#This Row],[DC Capacity Affceted (kW)]])/1000,"")</f>
        <v/>
      </c>
      <c r="AE158" s="2"/>
    </row>
    <row r="159" spans="1:31">
      <c r="A159" s="2">
        <f t="shared" si="16"/>
        <v>157</v>
      </c>
      <c r="B159" s="156">
        <f t="shared" si="17"/>
        <v>1900</v>
      </c>
      <c r="C159" s="129">
        <f t="shared" si="18"/>
        <v>1900</v>
      </c>
      <c r="I159" s="31" t="str">
        <f>IFERROR(VLOOKUP(GA[[#This Row],[Date]],Raw_Data[[#All],[Date]:[Sunset Time (POA&lt;20 W/m2)]],3,0),"")</f>
        <v/>
      </c>
      <c r="J159" s="31" t="str">
        <f>IFERROR(VLOOKUP(GA[[#This Row],[Date]],Raw_Data[[#All],[Date]:[Sunset Time (POA&lt;20 W/m2)]],4,0),"")</f>
        <v/>
      </c>
      <c r="K159" s="30" t="str">
        <f>IFERROR((GA[[#This Row],[Sunset Time (POA&lt;20 W/m2)]]-GA[[#This Row],[Sunrise Time (POA&gt;20 W/m2)]])*24,"")</f>
        <v/>
      </c>
      <c r="M159" s="17" t="str">
        <f>IFERROR(VLOOKUP(GA[[#This Row],[Affceted Equipment]],'Basic Data'!$A$1:$B$113,2,0),"")</f>
        <v/>
      </c>
      <c r="P159" s="28" t="str">
        <f>IFERROR(VLOOKUP(GA[[#This Row],[Affceted Equipment]],'Basic Data'!$A$2:$C$118,3,0),"")</f>
        <v/>
      </c>
      <c r="Q159" s="2"/>
      <c r="W159" s="34"/>
      <c r="X159" s="35"/>
      <c r="Y159" s="35"/>
      <c r="Z159" s="2"/>
      <c r="AA159" s="2"/>
      <c r="AB159" s="2" t="str">
        <f>IFERROR(GA[[#This Row],[Plant Equivalent Weightage]]*GA[[#This Row],[Resolution Time]],"")</f>
        <v/>
      </c>
      <c r="AC159" s="2"/>
      <c r="AD159" s="32" t="str">
        <f>IFERROR((_xlfn.XLOOKUP(GA[[#This Row],[Month Year]],'Modelling New'!D:D,'Modelling New'!$O:$O)*GA[[#This Row],[Lost POA (Wh/m2)]]*GA[[#This Row],[DC Capacity Affceted (kW)]])/1000,"")</f>
        <v/>
      </c>
      <c r="AE159" s="2"/>
    </row>
    <row r="160" spans="1:31">
      <c r="A160" s="2">
        <f t="shared" ref="A160:A223" si="19">A159+1</f>
        <v>158</v>
      </c>
      <c r="B160" s="156">
        <f t="shared" si="17"/>
        <v>1900</v>
      </c>
      <c r="C160" s="129">
        <f t="shared" si="18"/>
        <v>1900</v>
      </c>
      <c r="I160" s="31" t="str">
        <f>IFERROR(VLOOKUP(GA[[#This Row],[Date]],Raw_Data[[#All],[Date]:[Sunset Time (POA&lt;20 W/m2)]],3,0),"")</f>
        <v/>
      </c>
      <c r="J160" s="31" t="str">
        <f>IFERROR(VLOOKUP(GA[[#This Row],[Date]],Raw_Data[[#All],[Date]:[Sunset Time (POA&lt;20 W/m2)]],4,0),"")</f>
        <v/>
      </c>
      <c r="K160" s="30" t="str">
        <f>IFERROR((GA[[#This Row],[Sunset Time (POA&lt;20 W/m2)]]-GA[[#This Row],[Sunrise Time (POA&gt;20 W/m2)]])*24,"")</f>
        <v/>
      </c>
      <c r="M160" s="17" t="str">
        <f>IFERROR(VLOOKUP(GA[[#This Row],[Affceted Equipment]],'Basic Data'!$A$1:$B$113,2,0),"")</f>
        <v/>
      </c>
      <c r="P160" s="28" t="str">
        <f>IFERROR(VLOOKUP(GA[[#This Row],[Affceted Equipment]],'Basic Data'!$A$2:$C$118,3,0),"")</f>
        <v/>
      </c>
      <c r="Q160" s="2"/>
      <c r="W160" s="34"/>
      <c r="X160" s="35"/>
      <c r="Y160" s="35"/>
      <c r="Z160" s="2"/>
      <c r="AA160" s="2"/>
      <c r="AB160" s="2" t="str">
        <f>IFERROR(GA[[#This Row],[Plant Equivalent Weightage]]*GA[[#This Row],[Resolution Time]],"")</f>
        <v/>
      </c>
      <c r="AC160" s="2"/>
      <c r="AD160" s="32" t="str">
        <f>IFERROR((_xlfn.XLOOKUP(GA[[#This Row],[Month Year]],'Modelling New'!D:D,'Modelling New'!$O:$O)*GA[[#This Row],[Lost POA (Wh/m2)]]*GA[[#This Row],[DC Capacity Affceted (kW)]])/1000,"")</f>
        <v/>
      </c>
      <c r="AE160" s="2"/>
    </row>
    <row r="161" spans="1:31">
      <c r="A161" s="2">
        <f t="shared" si="19"/>
        <v>159</v>
      </c>
      <c r="B161" s="156">
        <f t="shared" si="17"/>
        <v>1900</v>
      </c>
      <c r="C161" s="129">
        <f t="shared" si="18"/>
        <v>1900</v>
      </c>
      <c r="I161" s="31" t="str">
        <f>IFERROR(VLOOKUP(GA[[#This Row],[Date]],Raw_Data[[#All],[Date]:[Sunset Time (POA&lt;20 W/m2)]],3,0),"")</f>
        <v/>
      </c>
      <c r="J161" s="31" t="str">
        <f>IFERROR(VLOOKUP(GA[[#This Row],[Date]],Raw_Data[[#All],[Date]:[Sunset Time (POA&lt;20 W/m2)]],4,0),"")</f>
        <v/>
      </c>
      <c r="K161" s="30" t="str">
        <f>IFERROR((GA[[#This Row],[Sunset Time (POA&lt;20 W/m2)]]-GA[[#This Row],[Sunrise Time (POA&gt;20 W/m2)]])*24,"")</f>
        <v/>
      </c>
      <c r="M161" s="17" t="str">
        <f>IFERROR(VLOOKUP(GA[[#This Row],[Affceted Equipment]],'Basic Data'!$A$1:$B$113,2,0),"")</f>
        <v/>
      </c>
      <c r="P161" s="28" t="str">
        <f>IFERROR(VLOOKUP(GA[[#This Row],[Affceted Equipment]],'Basic Data'!$A$2:$C$118,3,0),"")</f>
        <v/>
      </c>
      <c r="Q161" s="2"/>
      <c r="W161" s="34"/>
      <c r="X161" s="35"/>
      <c r="Y161" s="35"/>
      <c r="Z161" s="2"/>
      <c r="AA161" s="2"/>
      <c r="AB161" s="2" t="str">
        <f>IFERROR(GA[[#This Row],[Plant Equivalent Weightage]]*GA[[#This Row],[Resolution Time]],"")</f>
        <v/>
      </c>
      <c r="AC161" s="2"/>
      <c r="AD161" s="32" t="str">
        <f>IFERROR((_xlfn.XLOOKUP(GA[[#This Row],[Month Year]],'Modelling New'!D:D,'Modelling New'!$O:$O)*GA[[#This Row],[Lost POA (Wh/m2)]]*GA[[#This Row],[DC Capacity Affceted (kW)]])/1000,"")</f>
        <v/>
      </c>
      <c r="AE161" s="2"/>
    </row>
    <row r="162" spans="1:31">
      <c r="A162" s="2">
        <f t="shared" si="19"/>
        <v>160</v>
      </c>
      <c r="B162" s="156">
        <f t="shared" si="17"/>
        <v>1900</v>
      </c>
      <c r="C162" s="129">
        <f t="shared" si="18"/>
        <v>1900</v>
      </c>
      <c r="I162" s="31" t="str">
        <f>IFERROR(VLOOKUP(GA[[#This Row],[Date]],Raw_Data[[#All],[Date]:[Sunset Time (POA&lt;20 W/m2)]],3,0),"")</f>
        <v/>
      </c>
      <c r="J162" s="31" t="str">
        <f>IFERROR(VLOOKUP(GA[[#This Row],[Date]],Raw_Data[[#All],[Date]:[Sunset Time (POA&lt;20 W/m2)]],4,0),"")</f>
        <v/>
      </c>
      <c r="K162" s="30" t="str">
        <f>IFERROR((GA[[#This Row],[Sunset Time (POA&lt;20 W/m2)]]-GA[[#This Row],[Sunrise Time (POA&gt;20 W/m2)]])*24,"")</f>
        <v/>
      </c>
      <c r="M162" s="17" t="str">
        <f>IFERROR(VLOOKUP(GA[[#This Row],[Affceted Equipment]],'Basic Data'!$A$1:$B$113,2,0),"")</f>
        <v/>
      </c>
      <c r="P162" s="28" t="str">
        <f>IFERROR(VLOOKUP(GA[[#This Row],[Affceted Equipment]],'Basic Data'!$A$2:$C$118,3,0),"")</f>
        <v/>
      </c>
      <c r="Q162" s="2"/>
      <c r="W162" s="34"/>
      <c r="X162" s="35"/>
      <c r="Y162" s="35"/>
      <c r="Z162" s="2"/>
      <c r="AA162" s="2"/>
      <c r="AB162" s="2" t="str">
        <f>IFERROR(GA[[#This Row],[Plant Equivalent Weightage]]*GA[[#This Row],[Resolution Time]],"")</f>
        <v/>
      </c>
      <c r="AC162" s="2"/>
      <c r="AD162" s="32" t="str">
        <f>IFERROR((_xlfn.XLOOKUP(GA[[#This Row],[Month Year]],'Modelling New'!D:D,'Modelling New'!$O:$O)*GA[[#This Row],[Lost POA (Wh/m2)]]*GA[[#This Row],[DC Capacity Affceted (kW)]])/1000,"")</f>
        <v/>
      </c>
      <c r="AE162" s="2"/>
    </row>
    <row r="163" spans="1:31">
      <c r="A163" s="2">
        <f t="shared" si="19"/>
        <v>161</v>
      </c>
      <c r="B163" s="156">
        <f t="shared" si="17"/>
        <v>1900</v>
      </c>
      <c r="C163" s="129">
        <f t="shared" si="18"/>
        <v>1900</v>
      </c>
      <c r="I163" s="31" t="str">
        <f>IFERROR(VLOOKUP(GA[[#This Row],[Date]],Raw_Data[[#All],[Date]:[Sunset Time (POA&lt;20 W/m2)]],3,0),"")</f>
        <v/>
      </c>
      <c r="J163" s="31" t="str">
        <f>IFERROR(VLOOKUP(GA[[#This Row],[Date]],Raw_Data[[#All],[Date]:[Sunset Time (POA&lt;20 W/m2)]],4,0),"")</f>
        <v/>
      </c>
      <c r="K163" s="30" t="str">
        <f>IFERROR((GA[[#This Row],[Sunset Time (POA&lt;20 W/m2)]]-GA[[#This Row],[Sunrise Time (POA&gt;20 W/m2)]])*24,"")</f>
        <v/>
      </c>
      <c r="M163" s="17" t="str">
        <f>IFERROR(VLOOKUP(GA[[#This Row],[Affceted Equipment]],'Basic Data'!$A$1:$B$113,2,0),"")</f>
        <v/>
      </c>
      <c r="P163" s="28" t="str">
        <f>IFERROR(VLOOKUP(GA[[#This Row],[Affceted Equipment]],'Basic Data'!$A$2:$C$118,3,0),"")</f>
        <v/>
      </c>
      <c r="Q163" s="2"/>
      <c r="W163" s="34"/>
      <c r="X163" s="35"/>
      <c r="Y163" s="35"/>
      <c r="Z163" s="2"/>
      <c r="AA163" s="2"/>
      <c r="AB163" s="2" t="str">
        <f>IFERROR(GA[[#This Row],[Plant Equivalent Weightage]]*GA[[#This Row],[Resolution Time]],"")</f>
        <v/>
      </c>
      <c r="AC163" s="2"/>
      <c r="AD163" s="32" t="str">
        <f>IFERROR((_xlfn.XLOOKUP(GA[[#This Row],[Month Year]],'Modelling New'!D:D,'Modelling New'!$O:$O)*GA[[#This Row],[Lost POA (Wh/m2)]]*GA[[#This Row],[DC Capacity Affceted (kW)]])/1000,"")</f>
        <v/>
      </c>
      <c r="AE163" s="2"/>
    </row>
    <row r="164" spans="1:31">
      <c r="A164" s="2">
        <f t="shared" si="19"/>
        <v>162</v>
      </c>
      <c r="B164" s="156">
        <f t="shared" si="17"/>
        <v>1900</v>
      </c>
      <c r="C164" s="129">
        <f t="shared" si="18"/>
        <v>1900</v>
      </c>
      <c r="I164" s="31" t="str">
        <f>IFERROR(VLOOKUP(GA[[#This Row],[Date]],Raw_Data[[#All],[Date]:[Sunset Time (POA&lt;20 W/m2)]],3,0),"")</f>
        <v/>
      </c>
      <c r="J164" s="31" t="str">
        <f>IFERROR(VLOOKUP(GA[[#This Row],[Date]],Raw_Data[[#All],[Date]:[Sunset Time (POA&lt;20 W/m2)]],4,0),"")</f>
        <v/>
      </c>
      <c r="K164" s="30" t="str">
        <f>IFERROR((GA[[#This Row],[Sunset Time (POA&lt;20 W/m2)]]-GA[[#This Row],[Sunrise Time (POA&gt;20 W/m2)]])*24,"")</f>
        <v/>
      </c>
      <c r="M164" s="17" t="str">
        <f>IFERROR(VLOOKUP(GA[[#This Row],[Affceted Equipment]],'Basic Data'!$A$1:$B$113,2,0),"")</f>
        <v/>
      </c>
      <c r="P164" s="28" t="str">
        <f>IFERROR(VLOOKUP(GA[[#This Row],[Affceted Equipment]],'Basic Data'!$A$2:$C$118,3,0),"")</f>
        <v/>
      </c>
      <c r="Q164" s="2"/>
      <c r="W164" s="34"/>
      <c r="X164" s="35"/>
      <c r="Y164" s="35"/>
      <c r="Z164" s="2"/>
      <c r="AA164" s="2"/>
      <c r="AB164" s="2" t="str">
        <f>IFERROR(GA[[#This Row],[Plant Equivalent Weightage]]*GA[[#This Row],[Resolution Time]],"")</f>
        <v/>
      </c>
      <c r="AC164" s="2"/>
      <c r="AD164" s="32" t="str">
        <f>IFERROR((_xlfn.XLOOKUP(GA[[#This Row],[Month Year]],'Modelling New'!D:D,'Modelling New'!$O:$O)*GA[[#This Row],[Lost POA (Wh/m2)]]*GA[[#This Row],[DC Capacity Affceted (kW)]])/1000,"")</f>
        <v/>
      </c>
      <c r="AE164" s="2"/>
    </row>
    <row r="165" spans="1:31">
      <c r="A165" s="2">
        <f t="shared" si="19"/>
        <v>163</v>
      </c>
      <c r="B165" s="156">
        <f t="shared" si="17"/>
        <v>1900</v>
      </c>
      <c r="C165" s="129">
        <f t="shared" si="18"/>
        <v>1900</v>
      </c>
      <c r="I165" s="31" t="str">
        <f>IFERROR(VLOOKUP(GA[[#This Row],[Date]],Raw_Data[[#All],[Date]:[Sunset Time (POA&lt;20 W/m2)]],3,0),"")</f>
        <v/>
      </c>
      <c r="J165" s="31" t="str">
        <f>IFERROR(VLOOKUP(GA[[#This Row],[Date]],Raw_Data[[#All],[Date]:[Sunset Time (POA&lt;20 W/m2)]],4,0),"")</f>
        <v/>
      </c>
      <c r="K165" s="30" t="str">
        <f>IFERROR((GA[[#This Row],[Sunset Time (POA&lt;20 W/m2)]]-GA[[#This Row],[Sunrise Time (POA&gt;20 W/m2)]])*24,"")</f>
        <v/>
      </c>
      <c r="M165" s="17" t="str">
        <f>IFERROR(VLOOKUP(GA[[#This Row],[Affceted Equipment]],'Basic Data'!$A$1:$B$113,2,0),"")</f>
        <v/>
      </c>
      <c r="P165" s="28" t="str">
        <f>IFERROR(VLOOKUP(GA[[#This Row],[Affceted Equipment]],'Basic Data'!$A$2:$C$118,3,0),"")</f>
        <v/>
      </c>
      <c r="Q165" s="2"/>
      <c r="W165" s="34"/>
      <c r="X165" s="35"/>
      <c r="Y165" s="35"/>
      <c r="Z165" s="2"/>
      <c r="AA165" s="2"/>
      <c r="AB165" s="2" t="str">
        <f>IFERROR(GA[[#This Row],[Plant Equivalent Weightage]]*GA[[#This Row],[Resolution Time]],"")</f>
        <v/>
      </c>
      <c r="AC165" s="2"/>
      <c r="AD165" s="32" t="str">
        <f>IFERROR((_xlfn.XLOOKUP(GA[[#This Row],[Month Year]],'Modelling New'!D:D,'Modelling New'!$O:$O)*GA[[#This Row],[Lost POA (Wh/m2)]]*GA[[#This Row],[DC Capacity Affceted (kW)]])/1000,"")</f>
        <v/>
      </c>
      <c r="AE165" s="2"/>
    </row>
    <row r="166" spans="1:31">
      <c r="A166" s="2">
        <f t="shared" si="19"/>
        <v>164</v>
      </c>
      <c r="B166" s="156">
        <f t="shared" si="17"/>
        <v>1900</v>
      </c>
      <c r="C166" s="129">
        <f t="shared" si="18"/>
        <v>1900</v>
      </c>
      <c r="I166" s="31" t="str">
        <f>IFERROR(VLOOKUP(GA[[#This Row],[Date]],Raw_Data[[#All],[Date]:[Sunset Time (POA&lt;20 W/m2)]],3,0),"")</f>
        <v/>
      </c>
      <c r="J166" s="31" t="str">
        <f>IFERROR(VLOOKUP(GA[[#This Row],[Date]],Raw_Data[[#All],[Date]:[Sunset Time (POA&lt;20 W/m2)]],4,0),"")</f>
        <v/>
      </c>
      <c r="K166" s="30" t="str">
        <f>IFERROR((GA[[#This Row],[Sunset Time (POA&lt;20 W/m2)]]-GA[[#This Row],[Sunrise Time (POA&gt;20 W/m2)]])*24,"")</f>
        <v/>
      </c>
      <c r="M166" s="17" t="str">
        <f>IFERROR(VLOOKUP(GA[[#This Row],[Affceted Equipment]],'Basic Data'!$A$1:$B$113,2,0),"")</f>
        <v/>
      </c>
      <c r="P166" s="28" t="str">
        <f>IFERROR(VLOOKUP(GA[[#This Row],[Affceted Equipment]],'Basic Data'!$A$2:$C$118,3,0),"")</f>
        <v/>
      </c>
      <c r="Q166" s="2"/>
      <c r="W166" s="34"/>
      <c r="X166" s="35"/>
      <c r="Y166" s="35"/>
      <c r="Z166" s="2"/>
      <c r="AA166" s="2"/>
      <c r="AB166" s="2" t="str">
        <f>IFERROR(GA[[#This Row],[Plant Equivalent Weightage]]*GA[[#This Row],[Resolution Time]],"")</f>
        <v/>
      </c>
      <c r="AC166" s="2"/>
      <c r="AD166" s="32" t="str">
        <f>IFERROR((_xlfn.XLOOKUP(GA[[#This Row],[Month Year]],'Modelling New'!D:D,'Modelling New'!$O:$O)*GA[[#This Row],[Lost POA (Wh/m2)]]*GA[[#This Row],[DC Capacity Affceted (kW)]])/1000,"")</f>
        <v/>
      </c>
      <c r="AE166" s="2"/>
    </row>
    <row r="167" spans="1:31">
      <c r="A167" s="2">
        <f t="shared" si="19"/>
        <v>165</v>
      </c>
      <c r="B167" s="156">
        <f t="shared" si="17"/>
        <v>1900</v>
      </c>
      <c r="C167" s="129">
        <f t="shared" si="18"/>
        <v>1900</v>
      </c>
      <c r="I167" s="31" t="str">
        <f>IFERROR(VLOOKUP(GA[[#This Row],[Date]],Raw_Data[[#All],[Date]:[Sunset Time (POA&lt;20 W/m2)]],3,0),"")</f>
        <v/>
      </c>
      <c r="J167" s="31" t="str">
        <f>IFERROR(VLOOKUP(GA[[#This Row],[Date]],Raw_Data[[#All],[Date]:[Sunset Time (POA&lt;20 W/m2)]],4,0),"")</f>
        <v/>
      </c>
      <c r="K167" s="30" t="str">
        <f>IFERROR((GA[[#This Row],[Sunset Time (POA&lt;20 W/m2)]]-GA[[#This Row],[Sunrise Time (POA&gt;20 W/m2)]])*24,"")</f>
        <v/>
      </c>
      <c r="M167" s="17" t="str">
        <f>IFERROR(VLOOKUP(GA[[#This Row],[Affceted Equipment]],'Basic Data'!$A$1:$B$113,2,0),"")</f>
        <v/>
      </c>
      <c r="P167" s="28" t="str">
        <f>IFERROR(VLOOKUP(GA[[#This Row],[Affceted Equipment]],'Basic Data'!$A$2:$C$118,3,0),"")</f>
        <v/>
      </c>
      <c r="Q167" s="2"/>
      <c r="W167" s="34"/>
      <c r="X167" s="35"/>
      <c r="Y167" s="35"/>
      <c r="Z167" s="2"/>
      <c r="AA167" s="2"/>
      <c r="AB167" s="2" t="str">
        <f>IFERROR(GA[[#This Row],[Plant Equivalent Weightage]]*GA[[#This Row],[Resolution Time]],"")</f>
        <v/>
      </c>
      <c r="AC167" s="2"/>
      <c r="AD167" s="32" t="str">
        <f>IFERROR((_xlfn.XLOOKUP(GA[[#This Row],[Month Year]],'Modelling New'!D:D,'Modelling New'!$O:$O)*GA[[#This Row],[Lost POA (Wh/m2)]]*GA[[#This Row],[DC Capacity Affceted (kW)]])/1000,"")</f>
        <v/>
      </c>
      <c r="AE167" s="2"/>
    </row>
    <row r="168" spans="1:31">
      <c r="A168" s="2">
        <f t="shared" si="19"/>
        <v>166</v>
      </c>
      <c r="B168" s="156">
        <f t="shared" si="17"/>
        <v>1900</v>
      </c>
      <c r="C168" s="129">
        <f t="shared" si="18"/>
        <v>1900</v>
      </c>
      <c r="I168" s="31" t="str">
        <f>IFERROR(VLOOKUP(GA[[#This Row],[Date]],Raw_Data[[#All],[Date]:[Sunset Time (POA&lt;20 W/m2)]],3,0),"")</f>
        <v/>
      </c>
      <c r="J168" s="31" t="str">
        <f>IFERROR(VLOOKUP(GA[[#This Row],[Date]],Raw_Data[[#All],[Date]:[Sunset Time (POA&lt;20 W/m2)]],4,0),"")</f>
        <v/>
      </c>
      <c r="K168" s="30" t="str">
        <f>IFERROR((GA[[#This Row],[Sunset Time (POA&lt;20 W/m2)]]-GA[[#This Row],[Sunrise Time (POA&gt;20 W/m2)]])*24,"")</f>
        <v/>
      </c>
      <c r="M168" s="17" t="str">
        <f>IFERROR(VLOOKUP(GA[[#This Row],[Affceted Equipment]],'Basic Data'!$A$1:$B$113,2,0),"")</f>
        <v/>
      </c>
      <c r="P168" s="28" t="str">
        <f>IFERROR(VLOOKUP(GA[[#This Row],[Affceted Equipment]],'Basic Data'!$A$2:$C$118,3,0),"")</f>
        <v/>
      </c>
      <c r="Q168" s="2"/>
      <c r="W168" s="34"/>
      <c r="X168" s="35"/>
      <c r="Y168" s="35"/>
      <c r="Z168" s="2"/>
      <c r="AA168" s="2"/>
      <c r="AB168" s="2" t="str">
        <f>IFERROR(GA[[#This Row],[Plant Equivalent Weightage]]*GA[[#This Row],[Resolution Time]],"")</f>
        <v/>
      </c>
      <c r="AC168" s="2"/>
      <c r="AD168" s="32" t="str">
        <f>IFERROR((_xlfn.XLOOKUP(GA[[#This Row],[Month Year]],'Modelling New'!D:D,'Modelling New'!$O:$O)*GA[[#This Row],[Lost POA (Wh/m2)]]*GA[[#This Row],[DC Capacity Affceted (kW)]])/1000,"")</f>
        <v/>
      </c>
      <c r="AE168" s="2"/>
    </row>
    <row r="169" spans="1:31">
      <c r="A169" s="2">
        <f t="shared" si="19"/>
        <v>167</v>
      </c>
      <c r="B169" s="156">
        <f t="shared" si="17"/>
        <v>1900</v>
      </c>
      <c r="C169" s="129">
        <f t="shared" si="18"/>
        <v>1900</v>
      </c>
      <c r="I169" s="31" t="str">
        <f>IFERROR(VLOOKUP(GA[[#This Row],[Date]],Raw_Data[[#All],[Date]:[Sunset Time (POA&lt;20 W/m2)]],3,0),"")</f>
        <v/>
      </c>
      <c r="J169" s="31" t="str">
        <f>IFERROR(VLOOKUP(GA[[#This Row],[Date]],Raw_Data[[#All],[Date]:[Sunset Time (POA&lt;20 W/m2)]],4,0),"")</f>
        <v/>
      </c>
      <c r="K169" s="30" t="str">
        <f>IFERROR((GA[[#This Row],[Sunset Time (POA&lt;20 W/m2)]]-GA[[#This Row],[Sunrise Time (POA&gt;20 W/m2)]])*24,"")</f>
        <v/>
      </c>
      <c r="M169" s="17" t="str">
        <f>IFERROR(VLOOKUP(GA[[#This Row],[Affceted Equipment]],'Basic Data'!$A$1:$B$113,2,0),"")</f>
        <v/>
      </c>
      <c r="P169" s="28" t="str">
        <f>IFERROR(VLOOKUP(GA[[#This Row],[Affceted Equipment]],'Basic Data'!$A$2:$C$118,3,0),"")</f>
        <v/>
      </c>
      <c r="Q169" s="2"/>
      <c r="W169" s="34"/>
      <c r="X169" s="35"/>
      <c r="Y169" s="35"/>
      <c r="Z169" s="2"/>
      <c r="AA169" s="2"/>
      <c r="AB169" s="2" t="str">
        <f>IFERROR(GA[[#This Row],[Plant Equivalent Weightage]]*GA[[#This Row],[Resolution Time]],"")</f>
        <v/>
      </c>
      <c r="AC169" s="2"/>
      <c r="AD169" s="32" t="str">
        <f>IFERROR((_xlfn.XLOOKUP(GA[[#This Row],[Month Year]],'Modelling New'!D:D,'Modelling New'!$O:$O)*GA[[#This Row],[Lost POA (Wh/m2)]]*GA[[#This Row],[DC Capacity Affceted (kW)]])/1000,"")</f>
        <v/>
      </c>
      <c r="AE169" s="2"/>
    </row>
    <row r="170" spans="1:31">
      <c r="A170" s="2">
        <f t="shared" si="19"/>
        <v>168</v>
      </c>
      <c r="B170" s="156">
        <f t="shared" si="17"/>
        <v>1900</v>
      </c>
      <c r="C170" s="129">
        <f t="shared" si="18"/>
        <v>1900</v>
      </c>
      <c r="I170" s="31" t="str">
        <f>IFERROR(VLOOKUP(GA[[#This Row],[Date]],Raw_Data[[#All],[Date]:[Sunset Time (POA&lt;20 W/m2)]],3,0),"")</f>
        <v/>
      </c>
      <c r="J170" s="31" t="str">
        <f>IFERROR(VLOOKUP(GA[[#This Row],[Date]],Raw_Data[[#All],[Date]:[Sunset Time (POA&lt;20 W/m2)]],4,0),"")</f>
        <v/>
      </c>
      <c r="K170" s="30" t="str">
        <f>IFERROR((GA[[#This Row],[Sunset Time (POA&lt;20 W/m2)]]-GA[[#This Row],[Sunrise Time (POA&gt;20 W/m2)]])*24,"")</f>
        <v/>
      </c>
      <c r="M170" s="17" t="str">
        <f>IFERROR(VLOOKUP(GA[[#This Row],[Affceted Equipment]],'Basic Data'!$A$1:$B$113,2,0),"")</f>
        <v/>
      </c>
      <c r="P170" s="28" t="str">
        <f>IFERROR(VLOOKUP(GA[[#This Row],[Affceted Equipment]],'Basic Data'!$A$2:$C$118,3,0),"")</f>
        <v/>
      </c>
      <c r="Q170" s="2"/>
      <c r="W170" s="34"/>
      <c r="X170" s="35"/>
      <c r="Y170" s="35"/>
      <c r="Z170" s="2"/>
      <c r="AA170" s="2"/>
      <c r="AB170" s="2" t="str">
        <f>IFERROR(GA[[#This Row],[Plant Equivalent Weightage]]*GA[[#This Row],[Resolution Time]],"")</f>
        <v/>
      </c>
      <c r="AC170" s="2"/>
      <c r="AD170" s="32" t="str">
        <f>IFERROR((_xlfn.XLOOKUP(GA[[#This Row],[Month Year]],'Modelling New'!D:D,'Modelling New'!$O:$O)*GA[[#This Row],[Lost POA (Wh/m2)]]*GA[[#This Row],[DC Capacity Affceted (kW)]])/1000,"")</f>
        <v/>
      </c>
      <c r="AE170" s="2"/>
    </row>
    <row r="171" spans="1:31">
      <c r="A171" s="2">
        <f t="shared" si="19"/>
        <v>169</v>
      </c>
      <c r="B171" s="156">
        <f t="shared" si="17"/>
        <v>1900</v>
      </c>
      <c r="C171" s="129">
        <f t="shared" si="18"/>
        <v>1900</v>
      </c>
      <c r="I171" s="31" t="str">
        <f>IFERROR(VLOOKUP(GA[[#This Row],[Date]],Raw_Data[[#All],[Date]:[Sunset Time (POA&lt;20 W/m2)]],3,0),"")</f>
        <v/>
      </c>
      <c r="J171" s="31" t="str">
        <f>IFERROR(VLOOKUP(GA[[#This Row],[Date]],Raw_Data[[#All],[Date]:[Sunset Time (POA&lt;20 W/m2)]],4,0),"")</f>
        <v/>
      </c>
      <c r="K171" s="30" t="str">
        <f>IFERROR((GA[[#This Row],[Sunset Time (POA&lt;20 W/m2)]]-GA[[#This Row],[Sunrise Time (POA&gt;20 W/m2)]])*24,"")</f>
        <v/>
      </c>
      <c r="M171" s="17" t="str">
        <f>IFERROR(VLOOKUP(GA[[#This Row],[Affceted Equipment]],'Basic Data'!$A$1:$B$113,2,0),"")</f>
        <v/>
      </c>
      <c r="P171" s="28" t="str">
        <f>IFERROR(VLOOKUP(GA[[#This Row],[Affceted Equipment]],'Basic Data'!$A$2:$C$118,3,0),"")</f>
        <v/>
      </c>
      <c r="Q171" s="2"/>
      <c r="W171" s="34"/>
      <c r="X171" s="35"/>
      <c r="Y171" s="35"/>
      <c r="Z171" s="2"/>
      <c r="AA171" s="2"/>
      <c r="AB171" s="2" t="str">
        <f>IFERROR(GA[[#This Row],[Plant Equivalent Weightage]]*GA[[#This Row],[Resolution Time]],"")</f>
        <v/>
      </c>
      <c r="AC171" s="2"/>
      <c r="AD171" s="32" t="str">
        <f>IFERROR((_xlfn.XLOOKUP(GA[[#This Row],[Month Year]],'Modelling New'!D:D,'Modelling New'!$O:$O)*GA[[#This Row],[Lost POA (Wh/m2)]]*GA[[#This Row],[DC Capacity Affceted (kW)]])/1000,"")</f>
        <v/>
      </c>
      <c r="AE171" s="2"/>
    </row>
    <row r="172" spans="1:31">
      <c r="A172" s="2">
        <f t="shared" si="19"/>
        <v>170</v>
      </c>
      <c r="B172" s="156">
        <f t="shared" si="17"/>
        <v>1900</v>
      </c>
      <c r="C172" s="129">
        <f t="shared" si="18"/>
        <v>1900</v>
      </c>
      <c r="I172" s="31" t="str">
        <f>IFERROR(VLOOKUP(GA[[#This Row],[Date]],Raw_Data[[#All],[Date]:[Sunset Time (POA&lt;20 W/m2)]],3,0),"")</f>
        <v/>
      </c>
      <c r="J172" s="31" t="str">
        <f>IFERROR(VLOOKUP(GA[[#This Row],[Date]],Raw_Data[[#All],[Date]:[Sunset Time (POA&lt;20 W/m2)]],4,0),"")</f>
        <v/>
      </c>
      <c r="K172" s="30" t="str">
        <f>IFERROR((GA[[#This Row],[Sunset Time (POA&lt;20 W/m2)]]-GA[[#This Row],[Sunrise Time (POA&gt;20 W/m2)]])*24,"")</f>
        <v/>
      </c>
      <c r="M172" s="17" t="str">
        <f>IFERROR(VLOOKUP(GA[[#This Row],[Affceted Equipment]],'Basic Data'!$A$1:$B$113,2,0),"")</f>
        <v/>
      </c>
      <c r="P172" s="28" t="str">
        <f>IFERROR(VLOOKUP(GA[[#This Row],[Affceted Equipment]],'Basic Data'!$A$2:$C$118,3,0),"")</f>
        <v/>
      </c>
      <c r="Q172" s="2"/>
      <c r="W172" s="34"/>
      <c r="X172" s="35"/>
      <c r="Y172" s="35"/>
      <c r="Z172" s="2"/>
      <c r="AA172" s="2"/>
      <c r="AB172" s="2" t="str">
        <f>IFERROR(GA[[#This Row],[Plant Equivalent Weightage]]*GA[[#This Row],[Resolution Time]],"")</f>
        <v/>
      </c>
      <c r="AC172" s="2"/>
      <c r="AD172" s="32" t="str">
        <f>IFERROR((_xlfn.XLOOKUP(GA[[#This Row],[Month Year]],'Modelling New'!D:D,'Modelling New'!$O:$O)*GA[[#This Row],[Lost POA (Wh/m2)]]*GA[[#This Row],[DC Capacity Affceted (kW)]])/1000,"")</f>
        <v/>
      </c>
      <c r="AE172" s="2"/>
    </row>
    <row r="173" spans="1:31">
      <c r="A173" s="2">
        <f t="shared" si="19"/>
        <v>171</v>
      </c>
      <c r="B173" s="156">
        <f t="shared" si="17"/>
        <v>1900</v>
      </c>
      <c r="C173" s="129">
        <f t="shared" si="18"/>
        <v>1900</v>
      </c>
      <c r="I173" s="31" t="str">
        <f>IFERROR(VLOOKUP(GA[[#This Row],[Date]],Raw_Data[[#All],[Date]:[Sunset Time (POA&lt;20 W/m2)]],3,0),"")</f>
        <v/>
      </c>
      <c r="J173" s="31" t="str">
        <f>IFERROR(VLOOKUP(GA[[#This Row],[Date]],Raw_Data[[#All],[Date]:[Sunset Time (POA&lt;20 W/m2)]],4,0),"")</f>
        <v/>
      </c>
      <c r="K173" s="30" t="str">
        <f>IFERROR((GA[[#This Row],[Sunset Time (POA&lt;20 W/m2)]]-GA[[#This Row],[Sunrise Time (POA&gt;20 W/m2)]])*24,"")</f>
        <v/>
      </c>
      <c r="M173" s="17" t="str">
        <f>IFERROR(VLOOKUP(GA[[#This Row],[Affceted Equipment]],'Basic Data'!$A$1:$B$113,2,0),"")</f>
        <v/>
      </c>
      <c r="P173" s="28" t="str">
        <f>IFERROR(VLOOKUP(GA[[#This Row],[Affceted Equipment]],'Basic Data'!$A$2:$C$118,3,0),"")</f>
        <v/>
      </c>
      <c r="Q173" s="2"/>
      <c r="W173" s="34"/>
      <c r="X173" s="35"/>
      <c r="Y173" s="35"/>
      <c r="Z173" s="2"/>
      <c r="AA173" s="2"/>
      <c r="AB173" s="2" t="str">
        <f>IFERROR(GA[[#This Row],[Plant Equivalent Weightage]]*GA[[#This Row],[Resolution Time]],"")</f>
        <v/>
      </c>
      <c r="AC173" s="2"/>
      <c r="AD173" s="32" t="str">
        <f>IFERROR((_xlfn.XLOOKUP(GA[[#This Row],[Month Year]],'Modelling New'!D:D,'Modelling New'!$O:$O)*GA[[#This Row],[Lost POA (Wh/m2)]]*GA[[#This Row],[DC Capacity Affceted (kW)]])/1000,"")</f>
        <v/>
      </c>
      <c r="AE173" s="2"/>
    </row>
    <row r="174" spans="1:31">
      <c r="A174" s="2">
        <f t="shared" si="19"/>
        <v>172</v>
      </c>
      <c r="B174" s="156">
        <f t="shared" si="17"/>
        <v>1900</v>
      </c>
      <c r="C174" s="129">
        <f t="shared" si="18"/>
        <v>1900</v>
      </c>
      <c r="I174" s="31" t="str">
        <f>IFERROR(VLOOKUP(GA[[#This Row],[Date]],Raw_Data[[#All],[Date]:[Sunset Time (POA&lt;20 W/m2)]],3,0),"")</f>
        <v/>
      </c>
      <c r="J174" s="31" t="str">
        <f>IFERROR(VLOOKUP(GA[[#This Row],[Date]],Raw_Data[[#All],[Date]:[Sunset Time (POA&lt;20 W/m2)]],4,0),"")</f>
        <v/>
      </c>
      <c r="K174" s="30" t="str">
        <f>IFERROR((GA[[#This Row],[Sunset Time (POA&lt;20 W/m2)]]-GA[[#This Row],[Sunrise Time (POA&gt;20 W/m2)]])*24,"")</f>
        <v/>
      </c>
      <c r="M174" s="17" t="str">
        <f>IFERROR(VLOOKUP(GA[[#This Row],[Affceted Equipment]],'Basic Data'!$A$1:$B$113,2,0),"")</f>
        <v/>
      </c>
      <c r="P174" s="28" t="str">
        <f>IFERROR(VLOOKUP(GA[[#This Row],[Affceted Equipment]],'Basic Data'!$A$2:$C$118,3,0),"")</f>
        <v/>
      </c>
      <c r="Q174" s="2"/>
      <c r="W174" s="34"/>
      <c r="X174" s="35"/>
      <c r="Y174" s="35"/>
      <c r="Z174" s="2"/>
      <c r="AA174" s="2"/>
      <c r="AB174" s="2" t="str">
        <f>IFERROR(GA[[#This Row],[Plant Equivalent Weightage]]*GA[[#This Row],[Resolution Time]],"")</f>
        <v/>
      </c>
      <c r="AC174" s="2"/>
      <c r="AD174" s="32" t="str">
        <f>IFERROR((_xlfn.XLOOKUP(GA[[#This Row],[Month Year]],'Modelling New'!D:D,'Modelling New'!$O:$O)*GA[[#This Row],[Lost POA (Wh/m2)]]*GA[[#This Row],[DC Capacity Affceted (kW)]])/1000,"")</f>
        <v/>
      </c>
      <c r="AE174" s="2"/>
    </row>
    <row r="175" spans="1:31">
      <c r="A175" s="2">
        <f t="shared" si="19"/>
        <v>173</v>
      </c>
      <c r="B175" s="156">
        <f t="shared" si="17"/>
        <v>1900</v>
      </c>
      <c r="C175" s="129">
        <f t="shared" si="18"/>
        <v>1900</v>
      </c>
      <c r="I175" s="31" t="str">
        <f>IFERROR(VLOOKUP(GA[[#This Row],[Date]],Raw_Data[[#All],[Date]:[Sunset Time (POA&lt;20 W/m2)]],3,0),"")</f>
        <v/>
      </c>
      <c r="J175" s="31" t="str">
        <f>IFERROR(VLOOKUP(GA[[#This Row],[Date]],Raw_Data[[#All],[Date]:[Sunset Time (POA&lt;20 W/m2)]],4,0),"")</f>
        <v/>
      </c>
      <c r="K175" s="30" t="str">
        <f>IFERROR((GA[[#This Row],[Sunset Time (POA&lt;20 W/m2)]]-GA[[#This Row],[Sunrise Time (POA&gt;20 W/m2)]])*24,"")</f>
        <v/>
      </c>
      <c r="M175" s="17" t="str">
        <f>IFERROR(VLOOKUP(GA[[#This Row],[Affceted Equipment]],'Basic Data'!$A$1:$B$113,2,0),"")</f>
        <v/>
      </c>
      <c r="P175" s="28" t="str">
        <f>IFERROR(VLOOKUP(GA[[#This Row],[Affceted Equipment]],'Basic Data'!$A$2:$C$118,3,0),"")</f>
        <v/>
      </c>
      <c r="Q175" s="2"/>
      <c r="W175" s="34"/>
      <c r="X175" s="35"/>
      <c r="Y175" s="35"/>
      <c r="Z175" s="2"/>
      <c r="AA175" s="2"/>
      <c r="AB175" s="2" t="str">
        <f>IFERROR(GA[[#This Row],[Plant Equivalent Weightage]]*GA[[#This Row],[Resolution Time]],"")</f>
        <v/>
      </c>
      <c r="AC175" s="2"/>
      <c r="AD175" s="32" t="str">
        <f>IFERROR((_xlfn.XLOOKUP(GA[[#This Row],[Month Year]],'Modelling New'!D:D,'Modelling New'!$O:$O)*GA[[#This Row],[Lost POA (Wh/m2)]]*GA[[#This Row],[DC Capacity Affceted (kW)]])/1000,"")</f>
        <v/>
      </c>
      <c r="AE175" s="2"/>
    </row>
    <row r="176" spans="1:31">
      <c r="A176" s="2">
        <f t="shared" si="19"/>
        <v>174</v>
      </c>
      <c r="B176" s="156">
        <f t="shared" si="17"/>
        <v>1900</v>
      </c>
      <c r="C176" s="129">
        <f t="shared" si="18"/>
        <v>1900</v>
      </c>
      <c r="I176" s="31" t="str">
        <f>IFERROR(VLOOKUP(GA[[#This Row],[Date]],Raw_Data[[#All],[Date]:[Sunset Time (POA&lt;20 W/m2)]],3,0),"")</f>
        <v/>
      </c>
      <c r="J176" s="31" t="str">
        <f>IFERROR(VLOOKUP(GA[[#This Row],[Date]],Raw_Data[[#All],[Date]:[Sunset Time (POA&lt;20 W/m2)]],4,0),"")</f>
        <v/>
      </c>
      <c r="K176" s="30" t="str">
        <f>IFERROR((GA[[#This Row],[Sunset Time (POA&lt;20 W/m2)]]-GA[[#This Row],[Sunrise Time (POA&gt;20 W/m2)]])*24,"")</f>
        <v/>
      </c>
      <c r="M176" s="17" t="str">
        <f>IFERROR(VLOOKUP(GA[[#This Row],[Affceted Equipment]],'Basic Data'!$A$1:$B$113,2,0),"")</f>
        <v/>
      </c>
      <c r="P176" s="28" t="str">
        <f>IFERROR(VLOOKUP(GA[[#This Row],[Affceted Equipment]],'Basic Data'!$A$2:$C$118,3,0),"")</f>
        <v/>
      </c>
      <c r="Q176" s="2"/>
      <c r="W176" s="34"/>
      <c r="X176" s="35"/>
      <c r="Y176" s="35"/>
      <c r="Z176" s="2"/>
      <c r="AA176" s="2"/>
      <c r="AB176" s="2" t="str">
        <f>IFERROR(GA[[#This Row],[Plant Equivalent Weightage]]*GA[[#This Row],[Resolution Time]],"")</f>
        <v/>
      </c>
      <c r="AC176" s="2"/>
      <c r="AD176" s="32" t="str">
        <f>IFERROR((_xlfn.XLOOKUP(GA[[#This Row],[Month Year]],'Modelling New'!D:D,'Modelling New'!$O:$O)*GA[[#This Row],[Lost POA (Wh/m2)]]*GA[[#This Row],[DC Capacity Affceted (kW)]])/1000,"")</f>
        <v/>
      </c>
      <c r="AE176" s="2"/>
    </row>
    <row r="177" spans="1:31">
      <c r="A177" s="2">
        <f t="shared" si="19"/>
        <v>175</v>
      </c>
      <c r="B177" s="156">
        <f t="shared" si="17"/>
        <v>1900</v>
      </c>
      <c r="C177" s="129">
        <f t="shared" si="18"/>
        <v>1900</v>
      </c>
      <c r="I177" s="31" t="str">
        <f>IFERROR(VLOOKUP(GA[[#This Row],[Date]],Raw_Data[[#All],[Date]:[Sunset Time (POA&lt;20 W/m2)]],3,0),"")</f>
        <v/>
      </c>
      <c r="J177" s="31" t="str">
        <f>IFERROR(VLOOKUP(GA[[#This Row],[Date]],Raw_Data[[#All],[Date]:[Sunset Time (POA&lt;20 W/m2)]],4,0),"")</f>
        <v/>
      </c>
      <c r="K177" s="30" t="str">
        <f>IFERROR((GA[[#This Row],[Sunset Time (POA&lt;20 W/m2)]]-GA[[#This Row],[Sunrise Time (POA&gt;20 W/m2)]])*24,"")</f>
        <v/>
      </c>
      <c r="M177" s="17" t="str">
        <f>IFERROR(VLOOKUP(GA[[#This Row],[Affceted Equipment]],'Basic Data'!$A$1:$B$113,2,0),"")</f>
        <v/>
      </c>
      <c r="P177" s="28" t="str">
        <f>IFERROR(VLOOKUP(GA[[#This Row],[Affceted Equipment]],'Basic Data'!$A$2:$C$118,3,0),"")</f>
        <v/>
      </c>
      <c r="Q177" s="2"/>
      <c r="W177" s="34"/>
      <c r="X177" s="35"/>
      <c r="Y177" s="35"/>
      <c r="Z177" s="2"/>
      <c r="AA177" s="2"/>
      <c r="AB177" s="2" t="str">
        <f>IFERROR(GA[[#This Row],[Plant Equivalent Weightage]]*GA[[#This Row],[Resolution Time]],"")</f>
        <v/>
      </c>
      <c r="AC177" s="2"/>
      <c r="AD177" s="32" t="str">
        <f>IFERROR((_xlfn.XLOOKUP(GA[[#This Row],[Month Year]],'Modelling New'!D:D,'Modelling New'!$O:$O)*GA[[#This Row],[Lost POA (Wh/m2)]]*GA[[#This Row],[DC Capacity Affceted (kW)]])/1000,"")</f>
        <v/>
      </c>
      <c r="AE177" s="2"/>
    </row>
    <row r="178" spans="1:31">
      <c r="A178" s="2">
        <f t="shared" si="19"/>
        <v>176</v>
      </c>
      <c r="B178" s="156">
        <f t="shared" si="17"/>
        <v>1900</v>
      </c>
      <c r="C178" s="129">
        <f t="shared" si="18"/>
        <v>1900</v>
      </c>
      <c r="I178" s="31" t="str">
        <f>IFERROR(VLOOKUP(GA[[#This Row],[Date]],Raw_Data[[#All],[Date]:[Sunset Time (POA&lt;20 W/m2)]],3,0),"")</f>
        <v/>
      </c>
      <c r="J178" s="31" t="str">
        <f>IFERROR(VLOOKUP(GA[[#This Row],[Date]],Raw_Data[[#All],[Date]:[Sunset Time (POA&lt;20 W/m2)]],4,0),"")</f>
        <v/>
      </c>
      <c r="K178" s="30" t="str">
        <f>IFERROR((GA[[#This Row],[Sunset Time (POA&lt;20 W/m2)]]-GA[[#This Row],[Sunrise Time (POA&gt;20 W/m2)]])*24,"")</f>
        <v/>
      </c>
      <c r="M178" s="17" t="str">
        <f>IFERROR(VLOOKUP(GA[[#This Row],[Affceted Equipment]],'Basic Data'!$A$1:$B$113,2,0),"")</f>
        <v/>
      </c>
      <c r="P178" s="28" t="str">
        <f>IFERROR(VLOOKUP(GA[[#This Row],[Affceted Equipment]],'Basic Data'!$A$2:$C$118,3,0),"")</f>
        <v/>
      </c>
      <c r="Q178" s="2"/>
      <c r="W178" s="34"/>
      <c r="X178" s="35"/>
      <c r="Y178" s="35"/>
      <c r="Z178" s="2"/>
      <c r="AA178" s="2"/>
      <c r="AB178" s="2" t="str">
        <f>IFERROR(GA[[#This Row],[Plant Equivalent Weightage]]*GA[[#This Row],[Resolution Time]],"")</f>
        <v/>
      </c>
      <c r="AC178" s="2"/>
      <c r="AD178" s="32" t="str">
        <f>IFERROR((_xlfn.XLOOKUP(GA[[#This Row],[Month Year]],'Modelling New'!D:D,'Modelling New'!$O:$O)*GA[[#This Row],[Lost POA (Wh/m2)]]*GA[[#This Row],[DC Capacity Affceted (kW)]])/1000,"")</f>
        <v/>
      </c>
      <c r="AE178" s="2"/>
    </row>
    <row r="179" spans="1:31">
      <c r="A179" s="2">
        <f t="shared" si="19"/>
        <v>177</v>
      </c>
      <c r="B179" s="156">
        <f t="shared" si="17"/>
        <v>1900</v>
      </c>
      <c r="C179" s="129">
        <f t="shared" si="18"/>
        <v>1900</v>
      </c>
      <c r="I179" s="31" t="str">
        <f>IFERROR(VLOOKUP(GA[[#This Row],[Date]],Raw_Data[[#All],[Date]:[Sunset Time (POA&lt;20 W/m2)]],3,0),"")</f>
        <v/>
      </c>
      <c r="J179" s="31" t="str">
        <f>IFERROR(VLOOKUP(GA[[#This Row],[Date]],Raw_Data[[#All],[Date]:[Sunset Time (POA&lt;20 W/m2)]],4,0),"")</f>
        <v/>
      </c>
      <c r="K179" s="30" t="str">
        <f>IFERROR((GA[[#This Row],[Sunset Time (POA&lt;20 W/m2)]]-GA[[#This Row],[Sunrise Time (POA&gt;20 W/m2)]])*24,"")</f>
        <v/>
      </c>
      <c r="M179" s="17" t="str">
        <f>IFERROR(VLOOKUP(GA[[#This Row],[Affceted Equipment]],'Basic Data'!$A$1:$B$113,2,0),"")</f>
        <v/>
      </c>
      <c r="P179" s="28" t="str">
        <f>IFERROR(VLOOKUP(GA[[#This Row],[Affceted Equipment]],'Basic Data'!$A$2:$C$118,3,0),"")</f>
        <v/>
      </c>
      <c r="Q179" s="2"/>
      <c r="W179" s="34"/>
      <c r="X179" s="35"/>
      <c r="Y179" s="35"/>
      <c r="Z179" s="2"/>
      <c r="AA179" s="2"/>
      <c r="AB179" s="2" t="str">
        <f>IFERROR(GA[[#This Row],[Plant Equivalent Weightage]]*GA[[#This Row],[Resolution Time]],"")</f>
        <v/>
      </c>
      <c r="AC179" s="2"/>
      <c r="AD179" s="32" t="str">
        <f>IFERROR((_xlfn.XLOOKUP(GA[[#This Row],[Month Year]],'Modelling New'!D:D,'Modelling New'!$O:$O)*GA[[#This Row],[Lost POA (Wh/m2)]]*GA[[#This Row],[DC Capacity Affceted (kW)]])/1000,"")</f>
        <v/>
      </c>
      <c r="AE179" s="2"/>
    </row>
    <row r="180" spans="1:31">
      <c r="A180" s="2">
        <f t="shared" si="19"/>
        <v>178</v>
      </c>
      <c r="B180" s="156">
        <f t="shared" si="17"/>
        <v>1900</v>
      </c>
      <c r="C180" s="129">
        <f t="shared" si="18"/>
        <v>1900</v>
      </c>
      <c r="I180" s="31" t="str">
        <f>IFERROR(VLOOKUP(GA[[#This Row],[Date]],Raw_Data[[#All],[Date]:[Sunset Time (POA&lt;20 W/m2)]],3,0),"")</f>
        <v/>
      </c>
      <c r="J180" s="31" t="str">
        <f>IFERROR(VLOOKUP(GA[[#This Row],[Date]],Raw_Data[[#All],[Date]:[Sunset Time (POA&lt;20 W/m2)]],4,0),"")</f>
        <v/>
      </c>
      <c r="K180" s="30" t="str">
        <f>IFERROR((GA[[#This Row],[Sunset Time (POA&lt;20 W/m2)]]-GA[[#This Row],[Sunrise Time (POA&gt;20 W/m2)]])*24,"")</f>
        <v/>
      </c>
      <c r="M180" s="17" t="str">
        <f>IFERROR(VLOOKUP(GA[[#This Row],[Affceted Equipment]],'Basic Data'!$A$1:$B$113,2,0),"")</f>
        <v/>
      </c>
      <c r="P180" s="28" t="str">
        <f>IFERROR(VLOOKUP(GA[[#This Row],[Affceted Equipment]],'Basic Data'!$A$2:$C$118,3,0),"")</f>
        <v/>
      </c>
      <c r="Q180" s="2"/>
      <c r="W180" s="34"/>
      <c r="X180" s="35"/>
      <c r="Y180" s="35"/>
      <c r="Z180" s="2"/>
      <c r="AA180" s="2"/>
      <c r="AB180" s="2" t="str">
        <f>IFERROR(GA[[#This Row],[Plant Equivalent Weightage]]*GA[[#This Row],[Resolution Time]],"")</f>
        <v/>
      </c>
      <c r="AC180" s="2"/>
      <c r="AD180" s="32" t="str">
        <f>IFERROR((_xlfn.XLOOKUP(GA[[#This Row],[Month Year]],'Modelling New'!D:D,'Modelling New'!$O:$O)*GA[[#This Row],[Lost POA (Wh/m2)]]*GA[[#This Row],[DC Capacity Affceted (kW)]])/1000,"")</f>
        <v/>
      </c>
      <c r="AE180" s="2"/>
    </row>
    <row r="181" spans="1:31">
      <c r="A181" s="2">
        <f t="shared" si="19"/>
        <v>179</v>
      </c>
      <c r="B181" s="156">
        <f t="shared" si="17"/>
        <v>1900</v>
      </c>
      <c r="C181" s="129">
        <f t="shared" si="18"/>
        <v>1900</v>
      </c>
      <c r="I181" s="31" t="str">
        <f>IFERROR(VLOOKUP(GA[[#This Row],[Date]],Raw_Data[[#All],[Date]:[Sunset Time (POA&lt;20 W/m2)]],3,0),"")</f>
        <v/>
      </c>
      <c r="J181" s="31" t="str">
        <f>IFERROR(VLOOKUP(GA[[#This Row],[Date]],Raw_Data[[#All],[Date]:[Sunset Time (POA&lt;20 W/m2)]],4,0),"")</f>
        <v/>
      </c>
      <c r="K181" s="30" t="str">
        <f>IFERROR((GA[[#This Row],[Sunset Time (POA&lt;20 W/m2)]]-GA[[#This Row],[Sunrise Time (POA&gt;20 W/m2)]])*24,"")</f>
        <v/>
      </c>
      <c r="M181" s="17" t="str">
        <f>IFERROR(VLOOKUP(GA[[#This Row],[Affceted Equipment]],'Basic Data'!$A$1:$B$113,2,0),"")</f>
        <v/>
      </c>
      <c r="P181" s="28" t="str">
        <f>IFERROR(VLOOKUP(GA[[#This Row],[Affceted Equipment]],'Basic Data'!$A$2:$C$118,3,0),"")</f>
        <v/>
      </c>
      <c r="Q181" s="2"/>
      <c r="W181" s="34"/>
      <c r="X181" s="35"/>
      <c r="Y181" s="35"/>
      <c r="Z181" s="2"/>
      <c r="AA181" s="2"/>
      <c r="AB181" s="2" t="str">
        <f>IFERROR(GA[[#This Row],[Plant Equivalent Weightage]]*GA[[#This Row],[Resolution Time]],"")</f>
        <v/>
      </c>
      <c r="AC181" s="2"/>
      <c r="AD181" s="32" t="str">
        <f>IFERROR((_xlfn.XLOOKUP(GA[[#This Row],[Month Year]],'Modelling New'!D:D,'Modelling New'!$O:$O)*GA[[#This Row],[Lost POA (Wh/m2)]]*GA[[#This Row],[DC Capacity Affceted (kW)]])/1000,"")</f>
        <v/>
      </c>
      <c r="AE181" s="2"/>
    </row>
    <row r="182" spans="1:31">
      <c r="A182" s="2">
        <f t="shared" si="19"/>
        <v>180</v>
      </c>
      <c r="B182" s="156">
        <f t="shared" si="17"/>
        <v>1900</v>
      </c>
      <c r="C182" s="129">
        <f t="shared" si="18"/>
        <v>1900</v>
      </c>
      <c r="I182" s="31" t="str">
        <f>IFERROR(VLOOKUP(GA[[#This Row],[Date]],Raw_Data[[#All],[Date]:[Sunset Time (POA&lt;20 W/m2)]],3,0),"")</f>
        <v/>
      </c>
      <c r="J182" s="31" t="str">
        <f>IFERROR(VLOOKUP(GA[[#This Row],[Date]],Raw_Data[[#All],[Date]:[Sunset Time (POA&lt;20 W/m2)]],4,0),"")</f>
        <v/>
      </c>
      <c r="K182" s="30" t="str">
        <f>IFERROR((GA[[#This Row],[Sunset Time (POA&lt;20 W/m2)]]-GA[[#This Row],[Sunrise Time (POA&gt;20 W/m2)]])*24,"")</f>
        <v/>
      </c>
      <c r="M182" s="17" t="str">
        <f>IFERROR(VLOOKUP(GA[[#This Row],[Affceted Equipment]],'Basic Data'!$A$1:$B$113,2,0),"")</f>
        <v/>
      </c>
      <c r="P182" s="28" t="str">
        <f>IFERROR(VLOOKUP(GA[[#This Row],[Affceted Equipment]],'Basic Data'!$A$2:$C$118,3,0),"")</f>
        <v/>
      </c>
      <c r="Q182" s="2"/>
      <c r="W182" s="34"/>
      <c r="X182" s="35"/>
      <c r="Y182" s="35"/>
      <c r="Z182" s="2"/>
      <c r="AA182" s="2"/>
      <c r="AB182" s="2" t="str">
        <f>IFERROR(GA[[#This Row],[Plant Equivalent Weightage]]*GA[[#This Row],[Resolution Time]],"")</f>
        <v/>
      </c>
      <c r="AC182" s="2"/>
      <c r="AD182" s="32" t="str">
        <f>IFERROR((_xlfn.XLOOKUP(GA[[#This Row],[Month Year]],'Modelling New'!D:D,'Modelling New'!$O:$O)*GA[[#This Row],[Lost POA (Wh/m2)]]*GA[[#This Row],[DC Capacity Affceted (kW)]])/1000,"")</f>
        <v/>
      </c>
      <c r="AE182" s="2"/>
    </row>
    <row r="183" spans="1:31">
      <c r="A183" s="2">
        <f t="shared" si="19"/>
        <v>181</v>
      </c>
      <c r="B183" s="156">
        <f t="shared" si="17"/>
        <v>1900</v>
      </c>
      <c r="C183" s="129">
        <f t="shared" si="18"/>
        <v>1900</v>
      </c>
      <c r="I183" s="31" t="str">
        <f>IFERROR(VLOOKUP(GA[[#This Row],[Date]],Raw_Data[[#All],[Date]:[Sunset Time (POA&lt;20 W/m2)]],3,0),"")</f>
        <v/>
      </c>
      <c r="J183" s="31" t="str">
        <f>IFERROR(VLOOKUP(GA[[#This Row],[Date]],Raw_Data[[#All],[Date]:[Sunset Time (POA&lt;20 W/m2)]],4,0),"")</f>
        <v/>
      </c>
      <c r="K183" s="30" t="str">
        <f>IFERROR((GA[[#This Row],[Sunset Time (POA&lt;20 W/m2)]]-GA[[#This Row],[Sunrise Time (POA&gt;20 W/m2)]])*24,"")</f>
        <v/>
      </c>
      <c r="M183" s="17" t="str">
        <f>IFERROR(VLOOKUP(GA[[#This Row],[Affceted Equipment]],'Basic Data'!$A$1:$B$113,2,0),"")</f>
        <v/>
      </c>
      <c r="P183" s="28" t="str">
        <f>IFERROR(VLOOKUP(GA[[#This Row],[Affceted Equipment]],'Basic Data'!$A$2:$C$118,3,0),"")</f>
        <v/>
      </c>
      <c r="Q183" s="2"/>
      <c r="W183" s="34"/>
      <c r="X183" s="35"/>
      <c r="Y183" s="35"/>
      <c r="Z183" s="2"/>
      <c r="AA183" s="2"/>
      <c r="AB183" s="2" t="str">
        <f>IFERROR(GA[[#This Row],[Plant Equivalent Weightage]]*GA[[#This Row],[Resolution Time]],"")</f>
        <v/>
      </c>
      <c r="AC183" s="2"/>
      <c r="AD183" s="32" t="str">
        <f>IFERROR((_xlfn.XLOOKUP(GA[[#This Row],[Month Year]],'Modelling New'!D:D,'Modelling New'!$O:$O)*GA[[#This Row],[Lost POA (Wh/m2)]]*GA[[#This Row],[DC Capacity Affceted (kW)]])/1000,"")</f>
        <v/>
      </c>
      <c r="AE183" s="2"/>
    </row>
    <row r="184" spans="1:31">
      <c r="A184" s="2">
        <f t="shared" si="19"/>
        <v>182</v>
      </c>
      <c r="B184" s="156">
        <f t="shared" si="17"/>
        <v>1900</v>
      </c>
      <c r="C184" s="129">
        <f t="shared" si="18"/>
        <v>1900</v>
      </c>
      <c r="I184" s="31" t="str">
        <f>IFERROR(VLOOKUP(GA[[#This Row],[Date]],Raw_Data[[#All],[Date]:[Sunset Time (POA&lt;20 W/m2)]],3,0),"")</f>
        <v/>
      </c>
      <c r="J184" s="31" t="str">
        <f>IFERROR(VLOOKUP(GA[[#This Row],[Date]],Raw_Data[[#All],[Date]:[Sunset Time (POA&lt;20 W/m2)]],4,0),"")</f>
        <v/>
      </c>
      <c r="K184" s="30" t="str">
        <f>IFERROR((GA[[#This Row],[Sunset Time (POA&lt;20 W/m2)]]-GA[[#This Row],[Sunrise Time (POA&gt;20 W/m2)]])*24,"")</f>
        <v/>
      </c>
      <c r="M184" s="17" t="str">
        <f>IFERROR(VLOOKUP(GA[[#This Row],[Affceted Equipment]],'Basic Data'!$A$1:$B$113,2,0),"")</f>
        <v/>
      </c>
      <c r="P184" s="28" t="str">
        <f>IFERROR(VLOOKUP(GA[[#This Row],[Affceted Equipment]],'Basic Data'!$A$2:$C$118,3,0),"")</f>
        <v/>
      </c>
      <c r="Q184" s="2"/>
      <c r="W184" s="34"/>
      <c r="X184" s="35"/>
      <c r="Y184" s="35"/>
      <c r="Z184" s="2"/>
      <c r="AA184" s="2"/>
      <c r="AB184" s="2" t="str">
        <f>IFERROR(GA[[#This Row],[Plant Equivalent Weightage]]*GA[[#This Row],[Resolution Time]],"")</f>
        <v/>
      </c>
      <c r="AC184" s="2"/>
      <c r="AD184" s="32" t="str">
        <f>IFERROR((_xlfn.XLOOKUP(GA[[#This Row],[Month Year]],'Modelling New'!D:D,'Modelling New'!$O:$O)*GA[[#This Row],[Lost POA (Wh/m2)]]*GA[[#This Row],[DC Capacity Affceted (kW)]])/1000,"")</f>
        <v/>
      </c>
      <c r="AE184" s="2"/>
    </row>
    <row r="185" spans="1:31">
      <c r="A185" s="2">
        <f t="shared" si="19"/>
        <v>183</v>
      </c>
      <c r="B185" s="156">
        <f t="shared" si="17"/>
        <v>1900</v>
      </c>
      <c r="C185" s="129">
        <f t="shared" si="18"/>
        <v>1900</v>
      </c>
      <c r="I185" s="31" t="str">
        <f>IFERROR(VLOOKUP(GA[[#This Row],[Date]],Raw_Data[[#All],[Date]:[Sunset Time (POA&lt;20 W/m2)]],3,0),"")</f>
        <v/>
      </c>
      <c r="J185" s="31" t="str">
        <f>IFERROR(VLOOKUP(GA[[#This Row],[Date]],Raw_Data[[#All],[Date]:[Sunset Time (POA&lt;20 W/m2)]],4,0),"")</f>
        <v/>
      </c>
      <c r="K185" s="30" t="str">
        <f>IFERROR((GA[[#This Row],[Sunset Time (POA&lt;20 W/m2)]]-GA[[#This Row],[Sunrise Time (POA&gt;20 W/m2)]])*24,"")</f>
        <v/>
      </c>
      <c r="M185" s="17" t="str">
        <f>IFERROR(VLOOKUP(GA[[#This Row],[Affceted Equipment]],'Basic Data'!$A$1:$B$113,2,0),"")</f>
        <v/>
      </c>
      <c r="P185" s="28" t="str">
        <f>IFERROR(VLOOKUP(GA[[#This Row],[Affceted Equipment]],'Basic Data'!$A$2:$C$118,3,0),"")</f>
        <v/>
      </c>
      <c r="Q185" s="2"/>
      <c r="W185" s="34"/>
      <c r="X185" s="35"/>
      <c r="Y185" s="35"/>
      <c r="Z185" s="2"/>
      <c r="AA185" s="2"/>
      <c r="AB185" s="2" t="str">
        <f>IFERROR(GA[[#This Row],[Plant Equivalent Weightage]]*GA[[#This Row],[Resolution Time]],"")</f>
        <v/>
      </c>
      <c r="AC185" s="2"/>
      <c r="AD185" s="32" t="str">
        <f>IFERROR((_xlfn.XLOOKUP(GA[[#This Row],[Month Year]],'Modelling New'!D:D,'Modelling New'!$O:$O)*GA[[#This Row],[Lost POA (Wh/m2)]]*GA[[#This Row],[DC Capacity Affceted (kW)]])/1000,"")</f>
        <v/>
      </c>
      <c r="AE185" s="2"/>
    </row>
    <row r="186" spans="1:31">
      <c r="A186" s="2">
        <f t="shared" si="19"/>
        <v>184</v>
      </c>
      <c r="B186" s="156">
        <f t="shared" si="17"/>
        <v>1900</v>
      </c>
      <c r="C186" s="129">
        <f t="shared" si="18"/>
        <v>1900</v>
      </c>
      <c r="I186" s="31" t="str">
        <f>IFERROR(VLOOKUP(GA[[#This Row],[Date]],Raw_Data[[#All],[Date]:[Sunset Time (POA&lt;20 W/m2)]],3,0),"")</f>
        <v/>
      </c>
      <c r="J186" s="31" t="str">
        <f>IFERROR(VLOOKUP(GA[[#This Row],[Date]],Raw_Data[[#All],[Date]:[Sunset Time (POA&lt;20 W/m2)]],4,0),"")</f>
        <v/>
      </c>
      <c r="K186" s="30" t="str">
        <f>IFERROR((GA[[#This Row],[Sunset Time (POA&lt;20 W/m2)]]-GA[[#This Row],[Sunrise Time (POA&gt;20 W/m2)]])*24,"")</f>
        <v/>
      </c>
      <c r="M186" s="17" t="str">
        <f>IFERROR(VLOOKUP(GA[[#This Row],[Affceted Equipment]],'Basic Data'!$A$1:$B$113,2,0),"")</f>
        <v/>
      </c>
      <c r="P186" s="28" t="str">
        <f>IFERROR(VLOOKUP(GA[[#This Row],[Affceted Equipment]],'Basic Data'!$A$2:$C$118,3,0),"")</f>
        <v/>
      </c>
      <c r="Q186" s="2"/>
      <c r="W186" s="34"/>
      <c r="X186" s="35"/>
      <c r="Y186" s="35"/>
      <c r="Z186" s="2"/>
      <c r="AA186" s="2"/>
      <c r="AB186" s="2" t="str">
        <f>IFERROR(GA[[#This Row],[Plant Equivalent Weightage]]*GA[[#This Row],[Resolution Time]],"")</f>
        <v/>
      </c>
      <c r="AC186" s="2"/>
      <c r="AD186" s="32" t="str">
        <f>IFERROR((_xlfn.XLOOKUP(GA[[#This Row],[Month Year]],'Modelling New'!D:D,'Modelling New'!$O:$O)*GA[[#This Row],[Lost POA (Wh/m2)]]*GA[[#This Row],[DC Capacity Affceted (kW)]])/1000,"")</f>
        <v/>
      </c>
      <c r="AE186" s="2"/>
    </row>
    <row r="187" spans="1:31">
      <c r="A187" s="2">
        <f t="shared" si="19"/>
        <v>185</v>
      </c>
      <c r="B187" s="156">
        <f t="shared" si="17"/>
        <v>1900</v>
      </c>
      <c r="C187" s="129">
        <f t="shared" si="18"/>
        <v>1900</v>
      </c>
      <c r="I187" s="31" t="str">
        <f>IFERROR(VLOOKUP(GA[[#This Row],[Date]],Raw_Data[[#All],[Date]:[Sunset Time (POA&lt;20 W/m2)]],3,0),"")</f>
        <v/>
      </c>
      <c r="J187" s="31" t="str">
        <f>IFERROR(VLOOKUP(GA[[#This Row],[Date]],Raw_Data[[#All],[Date]:[Sunset Time (POA&lt;20 W/m2)]],4,0),"")</f>
        <v/>
      </c>
      <c r="K187" s="30" t="str">
        <f>IFERROR((GA[[#This Row],[Sunset Time (POA&lt;20 W/m2)]]-GA[[#This Row],[Sunrise Time (POA&gt;20 W/m2)]])*24,"")</f>
        <v/>
      </c>
      <c r="M187" s="17" t="str">
        <f>IFERROR(VLOOKUP(GA[[#This Row],[Affceted Equipment]],'Basic Data'!$A$1:$B$113,2,0),"")</f>
        <v/>
      </c>
      <c r="P187" s="28" t="str">
        <f>IFERROR(VLOOKUP(GA[[#This Row],[Affceted Equipment]],'Basic Data'!$A$2:$C$118,3,0),"")</f>
        <v/>
      </c>
      <c r="Q187" s="2"/>
      <c r="W187" s="34"/>
      <c r="X187" s="35"/>
      <c r="Y187" s="35"/>
      <c r="Z187" s="2"/>
      <c r="AA187" s="2"/>
      <c r="AB187" s="2" t="str">
        <f>IFERROR(GA[[#This Row],[Plant Equivalent Weightage]]*GA[[#This Row],[Resolution Time]],"")</f>
        <v/>
      </c>
      <c r="AC187" s="2"/>
      <c r="AD187" s="32" t="str">
        <f>IFERROR((_xlfn.XLOOKUP(GA[[#This Row],[Month Year]],'Modelling New'!D:D,'Modelling New'!$O:$O)*GA[[#This Row],[Lost POA (Wh/m2)]]*GA[[#This Row],[DC Capacity Affceted (kW)]])/1000,"")</f>
        <v/>
      </c>
      <c r="AE187" s="2"/>
    </row>
    <row r="188" spans="1:31">
      <c r="A188" s="2">
        <f t="shared" si="19"/>
        <v>186</v>
      </c>
      <c r="B188" s="156">
        <f t="shared" si="17"/>
        <v>1900</v>
      </c>
      <c r="C188" s="129">
        <f t="shared" si="18"/>
        <v>1900</v>
      </c>
      <c r="I188" s="31" t="str">
        <f>IFERROR(VLOOKUP(GA[[#This Row],[Date]],Raw_Data[[#All],[Date]:[Sunset Time (POA&lt;20 W/m2)]],3,0),"")</f>
        <v/>
      </c>
      <c r="J188" s="31" t="str">
        <f>IFERROR(VLOOKUP(GA[[#This Row],[Date]],Raw_Data[[#All],[Date]:[Sunset Time (POA&lt;20 W/m2)]],4,0),"")</f>
        <v/>
      </c>
      <c r="K188" s="30" t="str">
        <f>IFERROR((GA[[#This Row],[Sunset Time (POA&lt;20 W/m2)]]-GA[[#This Row],[Sunrise Time (POA&gt;20 W/m2)]])*24,"")</f>
        <v/>
      </c>
      <c r="M188" s="17" t="str">
        <f>IFERROR(VLOOKUP(GA[[#This Row],[Affceted Equipment]],'Basic Data'!$A$1:$B$113,2,0),"")</f>
        <v/>
      </c>
      <c r="P188" s="28" t="str">
        <f>IFERROR(VLOOKUP(GA[[#This Row],[Affceted Equipment]],'Basic Data'!$A$2:$C$118,3,0),"")</f>
        <v/>
      </c>
      <c r="Q188" s="2"/>
      <c r="W188" s="34"/>
      <c r="X188" s="35"/>
      <c r="Y188" s="35"/>
      <c r="Z188" s="2"/>
      <c r="AA188" s="2"/>
      <c r="AB188" s="2" t="str">
        <f>IFERROR(GA[[#This Row],[Plant Equivalent Weightage]]*GA[[#This Row],[Resolution Time]],"")</f>
        <v/>
      </c>
      <c r="AC188" s="2"/>
      <c r="AD188" s="32" t="str">
        <f>IFERROR((_xlfn.XLOOKUP(GA[[#This Row],[Month Year]],'Modelling New'!D:D,'Modelling New'!$O:$O)*GA[[#This Row],[Lost POA (Wh/m2)]]*GA[[#This Row],[DC Capacity Affceted (kW)]])/1000,"")</f>
        <v/>
      </c>
      <c r="AE188" s="2"/>
    </row>
    <row r="189" spans="1:31">
      <c r="A189" s="2">
        <f t="shared" si="19"/>
        <v>187</v>
      </c>
      <c r="B189" s="156">
        <f t="shared" si="17"/>
        <v>1900</v>
      </c>
      <c r="C189" s="129">
        <f t="shared" si="18"/>
        <v>1900</v>
      </c>
      <c r="I189" s="31" t="str">
        <f>IFERROR(VLOOKUP(GA[[#This Row],[Date]],Raw_Data[[#All],[Date]:[Sunset Time (POA&lt;20 W/m2)]],3,0),"")</f>
        <v/>
      </c>
      <c r="J189" s="31" t="str">
        <f>IFERROR(VLOOKUP(GA[[#This Row],[Date]],Raw_Data[[#All],[Date]:[Sunset Time (POA&lt;20 W/m2)]],4,0),"")</f>
        <v/>
      </c>
      <c r="K189" s="30" t="str">
        <f>IFERROR((GA[[#This Row],[Sunset Time (POA&lt;20 W/m2)]]-GA[[#This Row],[Sunrise Time (POA&gt;20 W/m2)]])*24,"")</f>
        <v/>
      </c>
      <c r="M189" s="17" t="str">
        <f>IFERROR(VLOOKUP(GA[[#This Row],[Affceted Equipment]],'Basic Data'!$A$1:$B$113,2,0),"")</f>
        <v/>
      </c>
      <c r="P189" s="28" t="str">
        <f>IFERROR(VLOOKUP(GA[[#This Row],[Affceted Equipment]],'Basic Data'!$A$2:$C$118,3,0),"")</f>
        <v/>
      </c>
      <c r="Q189" s="2"/>
      <c r="W189" s="34"/>
      <c r="X189" s="35"/>
      <c r="Y189" s="35"/>
      <c r="Z189" s="2"/>
      <c r="AA189" s="2"/>
      <c r="AB189" s="2" t="str">
        <f>IFERROR(GA[[#This Row],[Plant Equivalent Weightage]]*GA[[#This Row],[Resolution Time]],"")</f>
        <v/>
      </c>
      <c r="AC189" s="2"/>
      <c r="AD189" s="32" t="str">
        <f>IFERROR((_xlfn.XLOOKUP(GA[[#This Row],[Month Year]],'Modelling New'!D:D,'Modelling New'!$O:$O)*GA[[#This Row],[Lost POA (Wh/m2)]]*GA[[#This Row],[DC Capacity Affceted (kW)]])/1000,"")</f>
        <v/>
      </c>
      <c r="AE189" s="2"/>
    </row>
    <row r="190" spans="1:31">
      <c r="A190" s="2">
        <f t="shared" si="19"/>
        <v>188</v>
      </c>
      <c r="B190" s="156">
        <f t="shared" si="17"/>
        <v>1900</v>
      </c>
      <c r="C190" s="129">
        <f t="shared" si="18"/>
        <v>1900</v>
      </c>
      <c r="I190" s="31" t="str">
        <f>IFERROR(VLOOKUP(GA[[#This Row],[Date]],Raw_Data[[#All],[Date]:[Sunset Time (POA&lt;20 W/m2)]],3,0),"")</f>
        <v/>
      </c>
      <c r="J190" s="31" t="str">
        <f>IFERROR(VLOOKUP(GA[[#This Row],[Date]],Raw_Data[[#All],[Date]:[Sunset Time (POA&lt;20 W/m2)]],4,0),"")</f>
        <v/>
      </c>
      <c r="K190" s="30" t="str">
        <f>IFERROR((GA[[#This Row],[Sunset Time (POA&lt;20 W/m2)]]-GA[[#This Row],[Sunrise Time (POA&gt;20 W/m2)]])*24,"")</f>
        <v/>
      </c>
      <c r="M190" s="17" t="str">
        <f>IFERROR(VLOOKUP(GA[[#This Row],[Affceted Equipment]],'Basic Data'!$A$1:$B$113,2,0),"")</f>
        <v/>
      </c>
      <c r="P190" s="28" t="str">
        <f>IFERROR(VLOOKUP(GA[[#This Row],[Affceted Equipment]],'Basic Data'!$A$2:$C$118,3,0),"")</f>
        <v/>
      </c>
      <c r="Q190" s="2"/>
      <c r="W190" s="34"/>
      <c r="X190" s="35"/>
      <c r="Y190" s="35"/>
      <c r="Z190" s="2"/>
      <c r="AA190" s="2"/>
      <c r="AB190" s="2" t="str">
        <f>IFERROR(GA[[#This Row],[Plant Equivalent Weightage]]*GA[[#This Row],[Resolution Time]],"")</f>
        <v/>
      </c>
      <c r="AC190" s="2"/>
      <c r="AD190" s="32" t="str">
        <f>IFERROR((_xlfn.XLOOKUP(GA[[#This Row],[Month Year]],'Modelling New'!D:D,'Modelling New'!$O:$O)*GA[[#This Row],[Lost POA (Wh/m2)]]*GA[[#This Row],[DC Capacity Affceted (kW)]])/1000,"")</f>
        <v/>
      </c>
      <c r="AE190" s="2"/>
    </row>
    <row r="191" spans="1:31">
      <c r="A191" s="2">
        <f t="shared" si="19"/>
        <v>189</v>
      </c>
      <c r="B191" s="156">
        <f t="shared" si="17"/>
        <v>1900</v>
      </c>
      <c r="C191" s="129">
        <f t="shared" si="18"/>
        <v>1900</v>
      </c>
      <c r="I191" s="31" t="str">
        <f>IFERROR(VLOOKUP(GA[[#This Row],[Date]],Raw_Data[[#All],[Date]:[Sunset Time (POA&lt;20 W/m2)]],3,0),"")</f>
        <v/>
      </c>
      <c r="J191" s="31" t="str">
        <f>IFERROR(VLOOKUP(GA[[#This Row],[Date]],Raw_Data[[#All],[Date]:[Sunset Time (POA&lt;20 W/m2)]],4,0),"")</f>
        <v/>
      </c>
      <c r="K191" s="30" t="str">
        <f>IFERROR((GA[[#This Row],[Sunset Time (POA&lt;20 W/m2)]]-GA[[#This Row],[Sunrise Time (POA&gt;20 W/m2)]])*24,"")</f>
        <v/>
      </c>
      <c r="M191" s="17" t="str">
        <f>IFERROR(VLOOKUP(GA[[#This Row],[Affceted Equipment]],'Basic Data'!$A$1:$B$113,2,0),"")</f>
        <v/>
      </c>
      <c r="P191" s="28" t="str">
        <f>IFERROR(VLOOKUP(GA[[#This Row],[Affceted Equipment]],'Basic Data'!$A$2:$C$118,3,0),"")</f>
        <v/>
      </c>
      <c r="Q191" s="2"/>
      <c r="W191" s="34"/>
      <c r="X191" s="35"/>
      <c r="Y191" s="35"/>
      <c r="Z191" s="2"/>
      <c r="AA191" s="2"/>
      <c r="AB191" s="2" t="str">
        <f>IFERROR(GA[[#This Row],[Plant Equivalent Weightage]]*GA[[#This Row],[Resolution Time]],"")</f>
        <v/>
      </c>
      <c r="AC191" s="2"/>
      <c r="AD191" s="32" t="str">
        <f>IFERROR((_xlfn.XLOOKUP(GA[[#This Row],[Month Year]],'Modelling New'!D:D,'Modelling New'!$O:$O)*GA[[#This Row],[Lost POA (Wh/m2)]]*GA[[#This Row],[DC Capacity Affceted (kW)]])/1000,"")</f>
        <v/>
      </c>
      <c r="AE191" s="2"/>
    </row>
    <row r="192" spans="1:31">
      <c r="A192" s="2">
        <f t="shared" si="19"/>
        <v>190</v>
      </c>
      <c r="B192" s="156">
        <f t="shared" si="17"/>
        <v>1900</v>
      </c>
      <c r="C192" s="129">
        <f t="shared" si="18"/>
        <v>1900</v>
      </c>
      <c r="I192" s="31" t="str">
        <f>IFERROR(VLOOKUP(GA[[#This Row],[Date]],Raw_Data[[#All],[Date]:[Sunset Time (POA&lt;20 W/m2)]],3,0),"")</f>
        <v/>
      </c>
      <c r="J192" s="31" t="str">
        <f>IFERROR(VLOOKUP(GA[[#This Row],[Date]],Raw_Data[[#All],[Date]:[Sunset Time (POA&lt;20 W/m2)]],4,0),"")</f>
        <v/>
      </c>
      <c r="K192" s="30" t="str">
        <f>IFERROR((GA[[#This Row],[Sunset Time (POA&lt;20 W/m2)]]-GA[[#This Row],[Sunrise Time (POA&gt;20 W/m2)]])*24,"")</f>
        <v/>
      </c>
      <c r="M192" s="17" t="str">
        <f>IFERROR(VLOOKUP(GA[[#This Row],[Affceted Equipment]],'Basic Data'!$A$1:$B$113,2,0),"")</f>
        <v/>
      </c>
      <c r="P192" s="28" t="str">
        <f>IFERROR(VLOOKUP(GA[[#This Row],[Affceted Equipment]],'Basic Data'!$A$2:$C$118,3,0),"")</f>
        <v/>
      </c>
      <c r="Q192" s="2"/>
      <c r="W192" s="34"/>
      <c r="X192" s="35"/>
      <c r="Y192" s="35"/>
      <c r="Z192" s="2"/>
      <c r="AA192" s="2"/>
      <c r="AB192" s="2" t="str">
        <f>IFERROR(GA[[#This Row],[Plant Equivalent Weightage]]*GA[[#This Row],[Resolution Time]],"")</f>
        <v/>
      </c>
      <c r="AC192" s="2"/>
      <c r="AD192" s="32" t="str">
        <f>IFERROR((_xlfn.XLOOKUP(GA[[#This Row],[Month Year]],'Modelling New'!D:D,'Modelling New'!$O:$O)*GA[[#This Row],[Lost POA (Wh/m2)]]*GA[[#This Row],[DC Capacity Affceted (kW)]])/1000,"")</f>
        <v/>
      </c>
      <c r="AE192" s="2"/>
    </row>
    <row r="193" spans="1:31">
      <c r="A193" s="2">
        <f t="shared" si="19"/>
        <v>191</v>
      </c>
      <c r="B193" s="156">
        <f t="shared" si="17"/>
        <v>1900</v>
      </c>
      <c r="C193" s="129">
        <f t="shared" si="18"/>
        <v>1900</v>
      </c>
      <c r="I193" s="31" t="str">
        <f>IFERROR(VLOOKUP(GA[[#This Row],[Date]],Raw_Data[[#All],[Date]:[Sunset Time (POA&lt;20 W/m2)]],3,0),"")</f>
        <v/>
      </c>
      <c r="J193" s="31" t="str">
        <f>IFERROR(VLOOKUP(GA[[#This Row],[Date]],Raw_Data[[#All],[Date]:[Sunset Time (POA&lt;20 W/m2)]],4,0),"")</f>
        <v/>
      </c>
      <c r="K193" s="30" t="str">
        <f>IFERROR((GA[[#This Row],[Sunset Time (POA&lt;20 W/m2)]]-GA[[#This Row],[Sunrise Time (POA&gt;20 W/m2)]])*24,"")</f>
        <v/>
      </c>
      <c r="M193" s="17" t="str">
        <f>IFERROR(VLOOKUP(GA[[#This Row],[Affceted Equipment]],'Basic Data'!$A$1:$B$113,2,0),"")</f>
        <v/>
      </c>
      <c r="P193" s="28" t="str">
        <f>IFERROR(VLOOKUP(GA[[#This Row],[Affceted Equipment]],'Basic Data'!$A$2:$C$118,3,0),"")</f>
        <v/>
      </c>
      <c r="Q193" s="2"/>
      <c r="W193" s="34"/>
      <c r="X193" s="35"/>
      <c r="Y193" s="35"/>
      <c r="Z193" s="2"/>
      <c r="AA193" s="2"/>
      <c r="AB193" s="2" t="str">
        <f>IFERROR(GA[[#This Row],[Plant Equivalent Weightage]]*GA[[#This Row],[Resolution Time]],"")</f>
        <v/>
      </c>
      <c r="AC193" s="2"/>
      <c r="AD193" s="32" t="str">
        <f>IFERROR((_xlfn.XLOOKUP(GA[[#This Row],[Month Year]],'Modelling New'!D:D,'Modelling New'!$O:$O)*GA[[#This Row],[Lost POA (Wh/m2)]]*GA[[#This Row],[DC Capacity Affceted (kW)]])/1000,"")</f>
        <v/>
      </c>
      <c r="AE193" s="2"/>
    </row>
    <row r="194" spans="1:31">
      <c r="A194" s="2">
        <f t="shared" si="19"/>
        <v>192</v>
      </c>
      <c r="B194" s="156">
        <f t="shared" si="17"/>
        <v>1900</v>
      </c>
      <c r="C194" s="129">
        <f t="shared" si="18"/>
        <v>1900</v>
      </c>
      <c r="I194" s="31" t="str">
        <f>IFERROR(VLOOKUP(GA[[#This Row],[Date]],Raw_Data[[#All],[Date]:[Sunset Time (POA&lt;20 W/m2)]],3,0),"")</f>
        <v/>
      </c>
      <c r="J194" s="31" t="str">
        <f>IFERROR(VLOOKUP(GA[[#This Row],[Date]],Raw_Data[[#All],[Date]:[Sunset Time (POA&lt;20 W/m2)]],4,0),"")</f>
        <v/>
      </c>
      <c r="K194" s="30" t="str">
        <f>IFERROR((GA[[#This Row],[Sunset Time (POA&lt;20 W/m2)]]-GA[[#This Row],[Sunrise Time (POA&gt;20 W/m2)]])*24,"")</f>
        <v/>
      </c>
      <c r="M194" s="17" t="str">
        <f>IFERROR(VLOOKUP(GA[[#This Row],[Affceted Equipment]],'Basic Data'!$A$1:$B$113,2,0),"")</f>
        <v/>
      </c>
      <c r="P194" s="28" t="str">
        <f>IFERROR(VLOOKUP(GA[[#This Row],[Affceted Equipment]],'Basic Data'!$A$2:$C$118,3,0),"")</f>
        <v/>
      </c>
      <c r="Q194" s="2"/>
      <c r="W194" s="34"/>
      <c r="X194" s="35"/>
      <c r="Y194" s="35"/>
      <c r="Z194" s="2"/>
      <c r="AA194" s="2"/>
      <c r="AB194" s="2" t="str">
        <f>IFERROR(GA[[#This Row],[Plant Equivalent Weightage]]*GA[[#This Row],[Resolution Time]],"")</f>
        <v/>
      </c>
      <c r="AC194" s="2"/>
      <c r="AD194" s="32" t="str">
        <f>IFERROR((_xlfn.XLOOKUP(GA[[#This Row],[Month Year]],'Modelling New'!D:D,'Modelling New'!$O:$O)*GA[[#This Row],[Lost POA (Wh/m2)]]*GA[[#This Row],[DC Capacity Affceted (kW)]])/1000,"")</f>
        <v/>
      </c>
      <c r="AE194" s="2"/>
    </row>
    <row r="195" spans="1:31">
      <c r="A195" s="2">
        <f t="shared" si="19"/>
        <v>193</v>
      </c>
      <c r="B195" s="156">
        <f t="shared" si="17"/>
        <v>1900</v>
      </c>
      <c r="C195" s="129">
        <f t="shared" si="18"/>
        <v>1900</v>
      </c>
      <c r="I195" s="31" t="str">
        <f>IFERROR(VLOOKUP(GA[[#This Row],[Date]],Raw_Data[[#All],[Date]:[Sunset Time (POA&lt;20 W/m2)]],3,0),"")</f>
        <v/>
      </c>
      <c r="J195" s="31" t="str">
        <f>IFERROR(VLOOKUP(GA[[#This Row],[Date]],Raw_Data[[#All],[Date]:[Sunset Time (POA&lt;20 W/m2)]],4,0),"")</f>
        <v/>
      </c>
      <c r="K195" s="30" t="str">
        <f>IFERROR((GA[[#This Row],[Sunset Time (POA&lt;20 W/m2)]]-GA[[#This Row],[Sunrise Time (POA&gt;20 W/m2)]])*24,"")</f>
        <v/>
      </c>
      <c r="M195" s="17" t="str">
        <f>IFERROR(VLOOKUP(GA[[#This Row],[Affceted Equipment]],'Basic Data'!$A$1:$B$113,2,0),"")</f>
        <v/>
      </c>
      <c r="P195" s="28" t="str">
        <f>IFERROR(VLOOKUP(GA[[#This Row],[Affceted Equipment]],'Basic Data'!$A$2:$C$118,3,0),"")</f>
        <v/>
      </c>
      <c r="Q195" s="2"/>
      <c r="W195" s="34"/>
      <c r="X195" s="35"/>
      <c r="Y195" s="35"/>
      <c r="Z195" s="2"/>
      <c r="AA195" s="2"/>
      <c r="AB195" s="2" t="str">
        <f>IFERROR(GA[[#This Row],[Plant Equivalent Weightage]]*GA[[#This Row],[Resolution Time]],"")</f>
        <v/>
      </c>
      <c r="AC195" s="2"/>
      <c r="AD195" s="32" t="str">
        <f>IFERROR((_xlfn.XLOOKUP(GA[[#This Row],[Month Year]],'Modelling New'!D:D,'Modelling New'!$O:$O)*GA[[#This Row],[Lost POA (Wh/m2)]]*GA[[#This Row],[DC Capacity Affceted (kW)]])/1000,"")</f>
        <v/>
      </c>
      <c r="AE195" s="2"/>
    </row>
    <row r="196" spans="1:31">
      <c r="A196" s="2">
        <f t="shared" si="19"/>
        <v>194</v>
      </c>
      <c r="B196" s="156">
        <f t="shared" ref="B196:B259" si="20">YEAR(H196)+IF(MONTH(H196)&gt;=4,1,0)</f>
        <v>1900</v>
      </c>
      <c r="C196" s="129">
        <f t="shared" ref="C196:C259" si="21">YEAR(H196)</f>
        <v>1900</v>
      </c>
      <c r="I196" s="31" t="str">
        <f>IFERROR(VLOOKUP(GA[[#This Row],[Date]],Raw_Data[[#All],[Date]:[Sunset Time (POA&lt;20 W/m2)]],3,0),"")</f>
        <v/>
      </c>
      <c r="J196" s="31" t="str">
        <f>IFERROR(VLOOKUP(GA[[#This Row],[Date]],Raw_Data[[#All],[Date]:[Sunset Time (POA&lt;20 W/m2)]],4,0),"")</f>
        <v/>
      </c>
      <c r="K196" s="30" t="str">
        <f>IFERROR((GA[[#This Row],[Sunset Time (POA&lt;20 W/m2)]]-GA[[#This Row],[Sunrise Time (POA&gt;20 W/m2)]])*24,"")</f>
        <v/>
      </c>
      <c r="M196" s="17" t="str">
        <f>IFERROR(VLOOKUP(GA[[#This Row],[Affceted Equipment]],'Basic Data'!$A$1:$B$113,2,0),"")</f>
        <v/>
      </c>
      <c r="P196" s="28" t="str">
        <f>IFERROR(VLOOKUP(GA[[#This Row],[Affceted Equipment]],'Basic Data'!$A$2:$C$118,3,0),"")</f>
        <v/>
      </c>
      <c r="Q196" s="2"/>
      <c r="W196" s="34"/>
      <c r="X196" s="35"/>
      <c r="Y196" s="35"/>
      <c r="Z196" s="2"/>
      <c r="AA196" s="2"/>
      <c r="AB196" s="2" t="str">
        <f>IFERROR(GA[[#This Row],[Plant Equivalent Weightage]]*GA[[#This Row],[Resolution Time]],"")</f>
        <v/>
      </c>
      <c r="AC196" s="2"/>
      <c r="AD196" s="32" t="str">
        <f>IFERROR((_xlfn.XLOOKUP(GA[[#This Row],[Month Year]],'Modelling New'!D:D,'Modelling New'!$O:$O)*GA[[#This Row],[Lost POA (Wh/m2)]]*GA[[#This Row],[DC Capacity Affceted (kW)]])/1000,"")</f>
        <v/>
      </c>
      <c r="AE196" s="2"/>
    </row>
    <row r="197" spans="1:31">
      <c r="A197" s="2">
        <f t="shared" si="19"/>
        <v>195</v>
      </c>
      <c r="B197" s="156">
        <f t="shared" si="20"/>
        <v>1900</v>
      </c>
      <c r="C197" s="129">
        <f t="shared" si="21"/>
        <v>1900</v>
      </c>
      <c r="I197" s="31" t="str">
        <f>IFERROR(VLOOKUP(GA[[#This Row],[Date]],Raw_Data[[#All],[Date]:[Sunset Time (POA&lt;20 W/m2)]],3,0),"")</f>
        <v/>
      </c>
      <c r="J197" s="31" t="str">
        <f>IFERROR(VLOOKUP(GA[[#This Row],[Date]],Raw_Data[[#All],[Date]:[Sunset Time (POA&lt;20 W/m2)]],4,0),"")</f>
        <v/>
      </c>
      <c r="K197" s="30" t="str">
        <f>IFERROR((GA[[#This Row],[Sunset Time (POA&lt;20 W/m2)]]-GA[[#This Row],[Sunrise Time (POA&gt;20 W/m2)]])*24,"")</f>
        <v/>
      </c>
      <c r="M197" s="17" t="str">
        <f>IFERROR(VLOOKUP(GA[[#This Row],[Affceted Equipment]],'Basic Data'!$A$1:$B$113,2,0),"")</f>
        <v/>
      </c>
      <c r="P197" s="28" t="str">
        <f>IFERROR(VLOOKUP(GA[[#This Row],[Affceted Equipment]],'Basic Data'!$A$2:$C$118,3,0),"")</f>
        <v/>
      </c>
      <c r="Q197" s="2"/>
      <c r="W197" s="34"/>
      <c r="X197" s="35"/>
      <c r="Y197" s="35"/>
      <c r="Z197" s="2"/>
      <c r="AA197" s="2"/>
      <c r="AB197" s="2" t="str">
        <f>IFERROR(GA[[#This Row],[Plant Equivalent Weightage]]*GA[[#This Row],[Resolution Time]],"")</f>
        <v/>
      </c>
      <c r="AC197" s="2"/>
      <c r="AD197" s="32" t="str">
        <f>IFERROR((_xlfn.XLOOKUP(GA[[#This Row],[Month Year]],'Modelling New'!D:D,'Modelling New'!$O:$O)*GA[[#This Row],[Lost POA (Wh/m2)]]*GA[[#This Row],[DC Capacity Affceted (kW)]])/1000,"")</f>
        <v/>
      </c>
      <c r="AE197" s="2"/>
    </row>
    <row r="198" spans="1:31">
      <c r="A198" s="2">
        <f t="shared" si="19"/>
        <v>196</v>
      </c>
      <c r="B198" s="156">
        <f t="shared" si="20"/>
        <v>1900</v>
      </c>
      <c r="C198" s="129">
        <f t="shared" si="21"/>
        <v>1900</v>
      </c>
      <c r="I198" s="31" t="str">
        <f>IFERROR(VLOOKUP(GA[[#This Row],[Date]],Raw_Data[[#All],[Date]:[Sunset Time (POA&lt;20 W/m2)]],3,0),"")</f>
        <v/>
      </c>
      <c r="J198" s="31" t="str">
        <f>IFERROR(VLOOKUP(GA[[#This Row],[Date]],Raw_Data[[#All],[Date]:[Sunset Time (POA&lt;20 W/m2)]],4,0),"")</f>
        <v/>
      </c>
      <c r="K198" s="30" t="str">
        <f>IFERROR((GA[[#This Row],[Sunset Time (POA&lt;20 W/m2)]]-GA[[#This Row],[Sunrise Time (POA&gt;20 W/m2)]])*24,"")</f>
        <v/>
      </c>
      <c r="M198" s="17" t="str">
        <f>IFERROR(VLOOKUP(GA[[#This Row],[Affceted Equipment]],'Basic Data'!$A$1:$B$113,2,0),"")</f>
        <v/>
      </c>
      <c r="P198" s="28" t="str">
        <f>IFERROR(VLOOKUP(GA[[#This Row],[Affceted Equipment]],'Basic Data'!$A$2:$C$118,3,0),"")</f>
        <v/>
      </c>
      <c r="Q198" s="2"/>
      <c r="W198" s="34"/>
      <c r="X198" s="35"/>
      <c r="Y198" s="35"/>
      <c r="Z198" s="2"/>
      <c r="AA198" s="2"/>
      <c r="AB198" s="2" t="str">
        <f>IFERROR(GA[[#This Row],[Plant Equivalent Weightage]]*GA[[#This Row],[Resolution Time]],"")</f>
        <v/>
      </c>
      <c r="AC198" s="2"/>
      <c r="AD198" s="32" t="str">
        <f>IFERROR((_xlfn.XLOOKUP(GA[[#This Row],[Month Year]],'Modelling New'!D:D,'Modelling New'!$O:$O)*GA[[#This Row],[Lost POA (Wh/m2)]]*GA[[#This Row],[DC Capacity Affceted (kW)]])/1000,"")</f>
        <v/>
      </c>
      <c r="AE198" s="2"/>
    </row>
    <row r="199" spans="1:31">
      <c r="A199" s="2">
        <f t="shared" si="19"/>
        <v>197</v>
      </c>
      <c r="B199" s="156">
        <f t="shared" si="20"/>
        <v>1900</v>
      </c>
      <c r="C199" s="129">
        <f t="shared" si="21"/>
        <v>1900</v>
      </c>
      <c r="I199" s="31" t="str">
        <f>IFERROR(VLOOKUP(GA[[#This Row],[Date]],Raw_Data[[#All],[Date]:[Sunset Time (POA&lt;20 W/m2)]],3,0),"")</f>
        <v/>
      </c>
      <c r="J199" s="31" t="str">
        <f>IFERROR(VLOOKUP(GA[[#This Row],[Date]],Raw_Data[[#All],[Date]:[Sunset Time (POA&lt;20 W/m2)]],4,0),"")</f>
        <v/>
      </c>
      <c r="K199" s="30" t="str">
        <f>IFERROR((GA[[#This Row],[Sunset Time (POA&lt;20 W/m2)]]-GA[[#This Row],[Sunrise Time (POA&gt;20 W/m2)]])*24,"")</f>
        <v/>
      </c>
      <c r="M199" s="17" t="str">
        <f>IFERROR(VLOOKUP(GA[[#This Row],[Affceted Equipment]],'Basic Data'!$A$1:$B$113,2,0),"")</f>
        <v/>
      </c>
      <c r="P199" s="28" t="str">
        <f>IFERROR(VLOOKUP(GA[[#This Row],[Affceted Equipment]],'Basic Data'!$A$2:$C$118,3,0),"")</f>
        <v/>
      </c>
      <c r="Q199" s="2"/>
      <c r="W199" s="34"/>
      <c r="X199" s="35"/>
      <c r="Y199" s="35"/>
      <c r="Z199" s="2"/>
      <c r="AA199" s="2"/>
      <c r="AB199" s="2" t="str">
        <f>IFERROR(GA[[#This Row],[Plant Equivalent Weightage]]*GA[[#This Row],[Resolution Time]],"")</f>
        <v/>
      </c>
      <c r="AC199" s="2"/>
      <c r="AD199" s="32" t="str">
        <f>IFERROR((_xlfn.XLOOKUP(GA[[#This Row],[Month Year]],'Modelling New'!D:D,'Modelling New'!$O:$O)*GA[[#This Row],[Lost POA (Wh/m2)]]*GA[[#This Row],[DC Capacity Affceted (kW)]])/1000,"")</f>
        <v/>
      </c>
      <c r="AE199" s="2"/>
    </row>
    <row r="200" spans="1:31">
      <c r="A200" s="2">
        <f t="shared" si="19"/>
        <v>198</v>
      </c>
      <c r="B200" s="156">
        <f t="shared" si="20"/>
        <v>1900</v>
      </c>
      <c r="C200" s="129">
        <f t="shared" si="21"/>
        <v>1900</v>
      </c>
      <c r="I200" s="31" t="str">
        <f>IFERROR(VLOOKUP(GA[[#This Row],[Date]],Raw_Data[[#All],[Date]:[Sunset Time (POA&lt;20 W/m2)]],3,0),"")</f>
        <v/>
      </c>
      <c r="J200" s="31" t="str">
        <f>IFERROR(VLOOKUP(GA[[#This Row],[Date]],Raw_Data[[#All],[Date]:[Sunset Time (POA&lt;20 W/m2)]],4,0),"")</f>
        <v/>
      </c>
      <c r="K200" s="30" t="str">
        <f>IFERROR((GA[[#This Row],[Sunset Time (POA&lt;20 W/m2)]]-GA[[#This Row],[Sunrise Time (POA&gt;20 W/m2)]])*24,"")</f>
        <v/>
      </c>
      <c r="M200" s="17" t="str">
        <f>IFERROR(VLOOKUP(GA[[#This Row],[Affceted Equipment]],'Basic Data'!$A$1:$B$113,2,0),"")</f>
        <v/>
      </c>
      <c r="P200" s="28" t="str">
        <f>IFERROR(VLOOKUP(GA[[#This Row],[Affceted Equipment]],'Basic Data'!$A$2:$C$118,3,0),"")</f>
        <v/>
      </c>
      <c r="Q200" s="2"/>
      <c r="W200" s="34"/>
      <c r="X200" s="35"/>
      <c r="Y200" s="35"/>
      <c r="Z200" s="2"/>
      <c r="AA200" s="2"/>
      <c r="AB200" s="2" t="str">
        <f>IFERROR(GA[[#This Row],[Plant Equivalent Weightage]]*GA[[#This Row],[Resolution Time]],"")</f>
        <v/>
      </c>
      <c r="AC200" s="2"/>
      <c r="AD200" s="32" t="str">
        <f>IFERROR((_xlfn.XLOOKUP(GA[[#This Row],[Month Year]],'Modelling New'!D:D,'Modelling New'!$O:$O)*GA[[#This Row],[Lost POA (Wh/m2)]]*GA[[#This Row],[DC Capacity Affceted (kW)]])/1000,"")</f>
        <v/>
      </c>
      <c r="AE200" s="2"/>
    </row>
    <row r="201" spans="1:31">
      <c r="A201" s="2">
        <f t="shared" si="19"/>
        <v>199</v>
      </c>
      <c r="B201" s="156">
        <f t="shared" si="20"/>
        <v>1900</v>
      </c>
      <c r="C201" s="129">
        <f t="shared" si="21"/>
        <v>1900</v>
      </c>
      <c r="I201" s="31" t="str">
        <f>IFERROR(VLOOKUP(GA[[#This Row],[Date]],Raw_Data[[#All],[Date]:[Sunset Time (POA&lt;20 W/m2)]],3,0),"")</f>
        <v/>
      </c>
      <c r="J201" s="31" t="str">
        <f>IFERROR(VLOOKUP(GA[[#This Row],[Date]],Raw_Data[[#All],[Date]:[Sunset Time (POA&lt;20 W/m2)]],4,0),"")</f>
        <v/>
      </c>
      <c r="K201" s="30" t="str">
        <f>IFERROR((GA[[#This Row],[Sunset Time (POA&lt;20 W/m2)]]-GA[[#This Row],[Sunrise Time (POA&gt;20 W/m2)]])*24,"")</f>
        <v/>
      </c>
      <c r="M201" s="17" t="str">
        <f>IFERROR(VLOOKUP(GA[[#This Row],[Affceted Equipment]],'Basic Data'!$A$1:$B$113,2,0),"")</f>
        <v/>
      </c>
      <c r="P201" s="28" t="str">
        <f>IFERROR(VLOOKUP(GA[[#This Row],[Affceted Equipment]],'Basic Data'!$A$2:$C$118,3,0),"")</f>
        <v/>
      </c>
      <c r="Q201" s="2"/>
      <c r="W201" s="34"/>
      <c r="X201" s="35"/>
      <c r="Y201" s="35"/>
      <c r="Z201" s="2"/>
      <c r="AA201" s="2"/>
      <c r="AB201" s="2" t="str">
        <f>IFERROR(GA[[#This Row],[Plant Equivalent Weightage]]*GA[[#This Row],[Resolution Time]],"")</f>
        <v/>
      </c>
      <c r="AC201" s="2"/>
      <c r="AD201" s="32" t="str">
        <f>IFERROR((_xlfn.XLOOKUP(GA[[#This Row],[Month Year]],'Modelling New'!D:D,'Modelling New'!$O:$O)*GA[[#This Row],[Lost POA (Wh/m2)]]*GA[[#This Row],[DC Capacity Affceted (kW)]])/1000,"")</f>
        <v/>
      </c>
      <c r="AE201" s="2"/>
    </row>
    <row r="202" spans="1:31">
      <c r="A202" s="2">
        <f t="shared" si="19"/>
        <v>200</v>
      </c>
      <c r="B202" s="156">
        <f t="shared" si="20"/>
        <v>1900</v>
      </c>
      <c r="C202" s="129">
        <f t="shared" si="21"/>
        <v>1900</v>
      </c>
      <c r="I202" s="31" t="str">
        <f>IFERROR(VLOOKUP(GA[[#This Row],[Date]],Raw_Data[[#All],[Date]:[Sunset Time (POA&lt;20 W/m2)]],3,0),"")</f>
        <v/>
      </c>
      <c r="J202" s="31" t="str">
        <f>IFERROR(VLOOKUP(GA[[#This Row],[Date]],Raw_Data[[#All],[Date]:[Sunset Time (POA&lt;20 W/m2)]],4,0),"")</f>
        <v/>
      </c>
      <c r="K202" s="30" t="str">
        <f>IFERROR((GA[[#This Row],[Sunset Time (POA&lt;20 W/m2)]]-GA[[#This Row],[Sunrise Time (POA&gt;20 W/m2)]])*24,"")</f>
        <v/>
      </c>
      <c r="M202" s="17" t="str">
        <f>IFERROR(VLOOKUP(GA[[#This Row],[Affceted Equipment]],'Basic Data'!$A$1:$B$113,2,0),"")</f>
        <v/>
      </c>
      <c r="P202" s="28" t="str">
        <f>IFERROR(VLOOKUP(GA[[#This Row],[Affceted Equipment]],'Basic Data'!$A$2:$C$118,3,0),"")</f>
        <v/>
      </c>
      <c r="Q202" s="2"/>
      <c r="W202" s="34"/>
      <c r="X202" s="35"/>
      <c r="Y202" s="35"/>
      <c r="Z202" s="2"/>
      <c r="AA202" s="2"/>
      <c r="AB202" s="2" t="str">
        <f>IFERROR(GA[[#This Row],[Plant Equivalent Weightage]]*GA[[#This Row],[Resolution Time]],"")</f>
        <v/>
      </c>
      <c r="AC202" s="2"/>
      <c r="AD202" s="32" t="str">
        <f>IFERROR((_xlfn.XLOOKUP(GA[[#This Row],[Month Year]],'Modelling New'!D:D,'Modelling New'!$O:$O)*GA[[#This Row],[Lost POA (Wh/m2)]]*GA[[#This Row],[DC Capacity Affceted (kW)]])/1000,"")</f>
        <v/>
      </c>
      <c r="AE202" s="2"/>
    </row>
    <row r="203" spans="1:31">
      <c r="A203" s="2">
        <f t="shared" si="19"/>
        <v>201</v>
      </c>
      <c r="B203" s="156">
        <f t="shared" si="20"/>
        <v>1900</v>
      </c>
      <c r="C203" s="129">
        <f t="shared" si="21"/>
        <v>1900</v>
      </c>
      <c r="I203" s="31" t="str">
        <f>IFERROR(VLOOKUP(GA[[#This Row],[Date]],Raw_Data[[#All],[Date]:[Sunset Time (POA&lt;20 W/m2)]],3,0),"")</f>
        <v/>
      </c>
      <c r="J203" s="31" t="str">
        <f>IFERROR(VLOOKUP(GA[[#This Row],[Date]],Raw_Data[[#All],[Date]:[Sunset Time (POA&lt;20 W/m2)]],4,0),"")</f>
        <v/>
      </c>
      <c r="K203" s="30" t="str">
        <f>IFERROR((GA[[#This Row],[Sunset Time (POA&lt;20 W/m2)]]-GA[[#This Row],[Sunrise Time (POA&gt;20 W/m2)]])*24,"")</f>
        <v/>
      </c>
      <c r="M203" s="17" t="str">
        <f>IFERROR(VLOOKUP(GA[[#This Row],[Affceted Equipment]],'Basic Data'!$A$1:$B$113,2,0),"")</f>
        <v/>
      </c>
      <c r="P203" s="28" t="str">
        <f>IFERROR(VLOOKUP(GA[[#This Row],[Affceted Equipment]],'Basic Data'!$A$2:$C$118,3,0),"")</f>
        <v/>
      </c>
      <c r="Q203" s="2"/>
      <c r="W203" s="34"/>
      <c r="X203" s="35"/>
      <c r="Y203" s="35"/>
      <c r="Z203" s="2"/>
      <c r="AA203" s="2"/>
      <c r="AB203" s="2" t="str">
        <f>IFERROR(GA[[#This Row],[Plant Equivalent Weightage]]*GA[[#This Row],[Resolution Time]],"")</f>
        <v/>
      </c>
      <c r="AC203" s="2"/>
      <c r="AD203" s="32" t="str">
        <f>IFERROR((_xlfn.XLOOKUP(GA[[#This Row],[Month Year]],'Modelling New'!D:D,'Modelling New'!$O:$O)*GA[[#This Row],[Lost POA (Wh/m2)]]*GA[[#This Row],[DC Capacity Affceted (kW)]])/1000,"")</f>
        <v/>
      </c>
      <c r="AE203" s="2"/>
    </row>
    <row r="204" spans="1:31">
      <c r="A204" s="2">
        <f t="shared" si="19"/>
        <v>202</v>
      </c>
      <c r="B204" s="156">
        <f t="shared" si="20"/>
        <v>1900</v>
      </c>
      <c r="C204" s="129">
        <f t="shared" si="21"/>
        <v>1900</v>
      </c>
      <c r="I204" s="31" t="str">
        <f>IFERROR(VLOOKUP(GA[[#This Row],[Date]],Raw_Data[[#All],[Date]:[Sunset Time (POA&lt;20 W/m2)]],3,0),"")</f>
        <v/>
      </c>
      <c r="J204" s="31" t="str">
        <f>IFERROR(VLOOKUP(GA[[#This Row],[Date]],Raw_Data[[#All],[Date]:[Sunset Time (POA&lt;20 W/m2)]],4,0),"")</f>
        <v/>
      </c>
      <c r="K204" s="30" t="str">
        <f>IFERROR((GA[[#This Row],[Sunset Time (POA&lt;20 W/m2)]]-GA[[#This Row],[Sunrise Time (POA&gt;20 W/m2)]])*24,"")</f>
        <v/>
      </c>
      <c r="M204" s="17" t="str">
        <f>IFERROR(VLOOKUP(GA[[#This Row],[Affceted Equipment]],'Basic Data'!$A$1:$B$113,2,0),"")</f>
        <v/>
      </c>
      <c r="P204" s="28" t="str">
        <f>IFERROR(VLOOKUP(GA[[#This Row],[Affceted Equipment]],'Basic Data'!$A$2:$C$118,3,0),"")</f>
        <v/>
      </c>
      <c r="Q204" s="2"/>
      <c r="W204" s="34"/>
      <c r="X204" s="35"/>
      <c r="Y204" s="35"/>
      <c r="Z204" s="2"/>
      <c r="AA204" s="2"/>
      <c r="AB204" s="2" t="str">
        <f>IFERROR(GA[[#This Row],[Plant Equivalent Weightage]]*GA[[#This Row],[Resolution Time]],"")</f>
        <v/>
      </c>
      <c r="AC204" s="2"/>
      <c r="AD204" s="32" t="str">
        <f>IFERROR((_xlfn.XLOOKUP(GA[[#This Row],[Month Year]],'Modelling New'!D:D,'Modelling New'!$O:$O)*GA[[#This Row],[Lost POA (Wh/m2)]]*GA[[#This Row],[DC Capacity Affceted (kW)]])/1000,"")</f>
        <v/>
      </c>
      <c r="AE204" s="2"/>
    </row>
    <row r="205" spans="1:31">
      <c r="A205" s="2">
        <f t="shared" si="19"/>
        <v>203</v>
      </c>
      <c r="B205" s="156">
        <f t="shared" si="20"/>
        <v>1900</v>
      </c>
      <c r="C205" s="129">
        <f t="shared" si="21"/>
        <v>1900</v>
      </c>
      <c r="I205" s="31" t="str">
        <f>IFERROR(VLOOKUP(GA[[#This Row],[Date]],Raw_Data[[#All],[Date]:[Sunset Time (POA&lt;20 W/m2)]],3,0),"")</f>
        <v/>
      </c>
      <c r="J205" s="31" t="str">
        <f>IFERROR(VLOOKUP(GA[[#This Row],[Date]],Raw_Data[[#All],[Date]:[Sunset Time (POA&lt;20 W/m2)]],4,0),"")</f>
        <v/>
      </c>
      <c r="K205" s="30" t="str">
        <f>IFERROR((GA[[#This Row],[Sunset Time (POA&lt;20 W/m2)]]-GA[[#This Row],[Sunrise Time (POA&gt;20 W/m2)]])*24,"")</f>
        <v/>
      </c>
      <c r="M205" s="17" t="str">
        <f>IFERROR(VLOOKUP(GA[[#This Row],[Affceted Equipment]],'Basic Data'!$A$1:$B$113,2,0),"")</f>
        <v/>
      </c>
      <c r="P205" s="28" t="str">
        <f>IFERROR(VLOOKUP(GA[[#This Row],[Affceted Equipment]],'Basic Data'!$A$2:$C$118,3,0),"")</f>
        <v/>
      </c>
      <c r="Q205" s="2"/>
      <c r="W205" s="34"/>
      <c r="X205" s="35"/>
      <c r="Y205" s="35"/>
      <c r="Z205" s="2"/>
      <c r="AA205" s="2"/>
      <c r="AB205" s="2" t="str">
        <f>IFERROR(GA[[#This Row],[Plant Equivalent Weightage]]*GA[[#This Row],[Resolution Time]],"")</f>
        <v/>
      </c>
      <c r="AC205" s="2"/>
      <c r="AD205" s="32" t="str">
        <f>IFERROR((_xlfn.XLOOKUP(GA[[#This Row],[Month Year]],'Modelling New'!D:D,'Modelling New'!$O:$O)*GA[[#This Row],[Lost POA (Wh/m2)]]*GA[[#This Row],[DC Capacity Affceted (kW)]])/1000,"")</f>
        <v/>
      </c>
      <c r="AE205" s="2"/>
    </row>
    <row r="206" spans="1:31">
      <c r="A206" s="2">
        <f t="shared" si="19"/>
        <v>204</v>
      </c>
      <c r="B206" s="156">
        <f t="shared" si="20"/>
        <v>1900</v>
      </c>
      <c r="C206" s="129">
        <f t="shared" si="21"/>
        <v>1900</v>
      </c>
      <c r="I206" s="31" t="str">
        <f>IFERROR(VLOOKUP(GA[[#This Row],[Date]],Raw_Data[[#All],[Date]:[Sunset Time (POA&lt;20 W/m2)]],3,0),"")</f>
        <v/>
      </c>
      <c r="J206" s="31" t="str">
        <f>IFERROR(VLOOKUP(GA[[#This Row],[Date]],Raw_Data[[#All],[Date]:[Sunset Time (POA&lt;20 W/m2)]],4,0),"")</f>
        <v/>
      </c>
      <c r="K206" s="30" t="str">
        <f>IFERROR((GA[[#This Row],[Sunset Time (POA&lt;20 W/m2)]]-GA[[#This Row],[Sunrise Time (POA&gt;20 W/m2)]])*24,"")</f>
        <v/>
      </c>
      <c r="M206" s="17" t="str">
        <f>IFERROR(VLOOKUP(GA[[#This Row],[Affceted Equipment]],'Basic Data'!$A$1:$B$113,2,0),"")</f>
        <v/>
      </c>
      <c r="P206" s="28" t="str">
        <f>IFERROR(VLOOKUP(GA[[#This Row],[Affceted Equipment]],'Basic Data'!$A$2:$C$118,3,0),"")</f>
        <v/>
      </c>
      <c r="Q206" s="2"/>
      <c r="W206" s="34"/>
      <c r="X206" s="35"/>
      <c r="Y206" s="35"/>
      <c r="Z206" s="2"/>
      <c r="AA206" s="2"/>
      <c r="AB206" s="2" t="str">
        <f>IFERROR(GA[[#This Row],[Plant Equivalent Weightage]]*GA[[#This Row],[Resolution Time]],"")</f>
        <v/>
      </c>
      <c r="AC206" s="2"/>
      <c r="AD206" s="32" t="str">
        <f>IFERROR((_xlfn.XLOOKUP(GA[[#This Row],[Month Year]],'Modelling New'!D:D,'Modelling New'!$O:$O)*GA[[#This Row],[Lost POA (Wh/m2)]]*GA[[#This Row],[DC Capacity Affceted (kW)]])/1000,"")</f>
        <v/>
      </c>
      <c r="AE206" s="2"/>
    </row>
    <row r="207" spans="1:31">
      <c r="A207" s="2">
        <f t="shared" si="19"/>
        <v>205</v>
      </c>
      <c r="B207" s="156">
        <f t="shared" si="20"/>
        <v>1900</v>
      </c>
      <c r="C207" s="129">
        <f t="shared" si="21"/>
        <v>1900</v>
      </c>
      <c r="I207" s="31" t="str">
        <f>IFERROR(VLOOKUP(GA[[#This Row],[Date]],Raw_Data[[#All],[Date]:[Sunset Time (POA&lt;20 W/m2)]],3,0),"")</f>
        <v/>
      </c>
      <c r="J207" s="31" t="str">
        <f>IFERROR(VLOOKUP(GA[[#This Row],[Date]],Raw_Data[[#All],[Date]:[Sunset Time (POA&lt;20 W/m2)]],4,0),"")</f>
        <v/>
      </c>
      <c r="K207" s="30" t="str">
        <f>IFERROR((GA[[#This Row],[Sunset Time (POA&lt;20 W/m2)]]-GA[[#This Row],[Sunrise Time (POA&gt;20 W/m2)]])*24,"")</f>
        <v/>
      </c>
      <c r="M207" s="17" t="str">
        <f>IFERROR(VLOOKUP(GA[[#This Row],[Affceted Equipment]],'Basic Data'!$A$1:$B$113,2,0),"")</f>
        <v/>
      </c>
      <c r="P207" s="28" t="str">
        <f>IFERROR(VLOOKUP(GA[[#This Row],[Affceted Equipment]],'Basic Data'!$A$2:$C$118,3,0),"")</f>
        <v/>
      </c>
      <c r="Q207" s="2"/>
      <c r="W207" s="34"/>
      <c r="X207" s="35"/>
      <c r="Y207" s="35"/>
      <c r="Z207" s="2"/>
      <c r="AA207" s="2"/>
      <c r="AB207" s="2" t="str">
        <f>IFERROR(GA[[#This Row],[Plant Equivalent Weightage]]*GA[[#This Row],[Resolution Time]],"")</f>
        <v/>
      </c>
      <c r="AC207" s="2"/>
      <c r="AD207" s="32" t="str">
        <f>IFERROR((_xlfn.XLOOKUP(GA[[#This Row],[Month Year]],'Modelling New'!D:D,'Modelling New'!$O:$O)*GA[[#This Row],[Lost POA (Wh/m2)]]*GA[[#This Row],[DC Capacity Affceted (kW)]])/1000,"")</f>
        <v/>
      </c>
      <c r="AE207" s="2"/>
    </row>
    <row r="208" spans="1:31">
      <c r="A208" s="2">
        <f t="shared" si="19"/>
        <v>206</v>
      </c>
      <c r="B208" s="156">
        <f t="shared" si="20"/>
        <v>1900</v>
      </c>
      <c r="C208" s="129">
        <f t="shared" si="21"/>
        <v>1900</v>
      </c>
      <c r="I208" s="31" t="str">
        <f>IFERROR(VLOOKUP(GA[[#This Row],[Date]],Raw_Data[[#All],[Date]:[Sunset Time (POA&lt;20 W/m2)]],3,0),"")</f>
        <v/>
      </c>
      <c r="J208" s="31" t="str">
        <f>IFERROR(VLOOKUP(GA[[#This Row],[Date]],Raw_Data[[#All],[Date]:[Sunset Time (POA&lt;20 W/m2)]],4,0),"")</f>
        <v/>
      </c>
      <c r="K208" s="30" t="str">
        <f>IFERROR((GA[[#This Row],[Sunset Time (POA&lt;20 W/m2)]]-GA[[#This Row],[Sunrise Time (POA&gt;20 W/m2)]])*24,"")</f>
        <v/>
      </c>
      <c r="M208" s="17" t="str">
        <f>IFERROR(VLOOKUP(GA[[#This Row],[Affceted Equipment]],'Basic Data'!$A$1:$B$113,2,0),"")</f>
        <v/>
      </c>
      <c r="P208" s="28" t="str">
        <f>IFERROR(VLOOKUP(GA[[#This Row],[Affceted Equipment]],'Basic Data'!$A$2:$C$118,3,0),"")</f>
        <v/>
      </c>
      <c r="Q208" s="2"/>
      <c r="W208" s="34"/>
      <c r="X208" s="35"/>
      <c r="Y208" s="35"/>
      <c r="Z208" s="2"/>
      <c r="AA208" s="2"/>
      <c r="AB208" s="2" t="str">
        <f>IFERROR(GA[[#This Row],[Plant Equivalent Weightage]]*GA[[#This Row],[Resolution Time]],"")</f>
        <v/>
      </c>
      <c r="AC208" s="2"/>
      <c r="AD208" s="32" t="str">
        <f>IFERROR((_xlfn.XLOOKUP(GA[[#This Row],[Month Year]],'Modelling New'!D:D,'Modelling New'!$O:$O)*GA[[#This Row],[Lost POA (Wh/m2)]]*GA[[#This Row],[DC Capacity Affceted (kW)]])/1000,"")</f>
        <v/>
      </c>
      <c r="AE208" s="2"/>
    </row>
    <row r="209" spans="1:31">
      <c r="A209" s="2">
        <f t="shared" si="19"/>
        <v>207</v>
      </c>
      <c r="B209" s="156">
        <f t="shared" si="20"/>
        <v>1900</v>
      </c>
      <c r="C209" s="129">
        <f t="shared" si="21"/>
        <v>1900</v>
      </c>
      <c r="I209" s="31" t="str">
        <f>IFERROR(VLOOKUP(GA[[#This Row],[Date]],Raw_Data[[#All],[Date]:[Sunset Time (POA&lt;20 W/m2)]],3,0),"")</f>
        <v/>
      </c>
      <c r="J209" s="31" t="str">
        <f>IFERROR(VLOOKUP(GA[[#This Row],[Date]],Raw_Data[[#All],[Date]:[Sunset Time (POA&lt;20 W/m2)]],4,0),"")</f>
        <v/>
      </c>
      <c r="K209" s="30" t="str">
        <f>IFERROR((GA[[#This Row],[Sunset Time (POA&lt;20 W/m2)]]-GA[[#This Row],[Sunrise Time (POA&gt;20 W/m2)]])*24,"")</f>
        <v/>
      </c>
      <c r="M209" s="17" t="str">
        <f>IFERROR(VLOOKUP(GA[[#This Row],[Affceted Equipment]],'Basic Data'!$A$1:$B$113,2,0),"")</f>
        <v/>
      </c>
      <c r="P209" s="28" t="str">
        <f>IFERROR(VLOOKUP(GA[[#This Row],[Affceted Equipment]],'Basic Data'!$A$2:$C$118,3,0),"")</f>
        <v/>
      </c>
      <c r="Q209" s="2"/>
      <c r="W209" s="34"/>
      <c r="X209" s="35"/>
      <c r="Y209" s="35"/>
      <c r="Z209" s="2"/>
      <c r="AA209" s="2"/>
      <c r="AB209" s="2" t="str">
        <f>IFERROR(GA[[#This Row],[Plant Equivalent Weightage]]*GA[[#This Row],[Resolution Time]],"")</f>
        <v/>
      </c>
      <c r="AC209" s="2"/>
      <c r="AD209" s="32" t="str">
        <f>IFERROR((_xlfn.XLOOKUP(GA[[#This Row],[Month Year]],'Modelling New'!D:D,'Modelling New'!$O:$O)*GA[[#This Row],[Lost POA (Wh/m2)]]*GA[[#This Row],[DC Capacity Affceted (kW)]])/1000,"")</f>
        <v/>
      </c>
      <c r="AE209" s="2"/>
    </row>
    <row r="210" spans="1:31">
      <c r="A210" s="2">
        <f t="shared" si="19"/>
        <v>208</v>
      </c>
      <c r="B210" s="156">
        <f t="shared" si="20"/>
        <v>1900</v>
      </c>
      <c r="C210" s="129">
        <f t="shared" si="21"/>
        <v>1900</v>
      </c>
      <c r="I210" s="31" t="str">
        <f>IFERROR(VLOOKUP(GA[[#This Row],[Date]],Raw_Data[[#All],[Date]:[Sunset Time (POA&lt;20 W/m2)]],3,0),"")</f>
        <v/>
      </c>
      <c r="J210" s="31" t="str">
        <f>IFERROR(VLOOKUP(GA[[#This Row],[Date]],Raw_Data[[#All],[Date]:[Sunset Time (POA&lt;20 W/m2)]],4,0),"")</f>
        <v/>
      </c>
      <c r="K210" s="30" t="str">
        <f>IFERROR((GA[[#This Row],[Sunset Time (POA&lt;20 W/m2)]]-GA[[#This Row],[Sunrise Time (POA&gt;20 W/m2)]])*24,"")</f>
        <v/>
      </c>
      <c r="M210" s="17" t="str">
        <f>IFERROR(VLOOKUP(GA[[#This Row],[Affceted Equipment]],'Basic Data'!$A$1:$B$113,2,0),"")</f>
        <v/>
      </c>
      <c r="P210" s="28" t="str">
        <f>IFERROR(VLOOKUP(GA[[#This Row],[Affceted Equipment]],'Basic Data'!$A$2:$C$118,3,0),"")</f>
        <v/>
      </c>
      <c r="Q210" s="2"/>
      <c r="W210" s="34"/>
      <c r="X210" s="35"/>
      <c r="Y210" s="35"/>
      <c r="Z210" s="2"/>
      <c r="AA210" s="2"/>
      <c r="AB210" s="2" t="str">
        <f>IFERROR(GA[[#This Row],[Plant Equivalent Weightage]]*GA[[#This Row],[Resolution Time]],"")</f>
        <v/>
      </c>
      <c r="AC210" s="2"/>
      <c r="AD210" s="32" t="str">
        <f>IFERROR((_xlfn.XLOOKUP(GA[[#This Row],[Month Year]],'Modelling New'!D:D,'Modelling New'!$O:$O)*GA[[#This Row],[Lost POA (Wh/m2)]]*GA[[#This Row],[DC Capacity Affceted (kW)]])/1000,"")</f>
        <v/>
      </c>
      <c r="AE210" s="2"/>
    </row>
    <row r="211" spans="1:31">
      <c r="A211" s="2">
        <f t="shared" si="19"/>
        <v>209</v>
      </c>
      <c r="B211" s="156">
        <f t="shared" si="20"/>
        <v>1900</v>
      </c>
      <c r="C211" s="129">
        <f t="shared" si="21"/>
        <v>1900</v>
      </c>
      <c r="I211" s="31" t="str">
        <f>IFERROR(VLOOKUP(GA[[#This Row],[Date]],Raw_Data[[#All],[Date]:[Sunset Time (POA&lt;20 W/m2)]],3,0),"")</f>
        <v/>
      </c>
      <c r="J211" s="31" t="str">
        <f>IFERROR(VLOOKUP(GA[[#This Row],[Date]],Raw_Data[[#All],[Date]:[Sunset Time (POA&lt;20 W/m2)]],4,0),"")</f>
        <v/>
      </c>
      <c r="K211" s="30" t="str">
        <f>IFERROR((GA[[#This Row],[Sunset Time (POA&lt;20 W/m2)]]-GA[[#This Row],[Sunrise Time (POA&gt;20 W/m2)]])*24,"")</f>
        <v/>
      </c>
      <c r="M211" s="17" t="str">
        <f>IFERROR(VLOOKUP(GA[[#This Row],[Affceted Equipment]],'Basic Data'!$A$1:$B$113,2,0),"")</f>
        <v/>
      </c>
      <c r="P211" s="28" t="str">
        <f>IFERROR(VLOOKUP(GA[[#This Row],[Affceted Equipment]],'Basic Data'!$A$2:$C$118,3,0),"")</f>
        <v/>
      </c>
      <c r="Q211" s="2"/>
      <c r="W211" s="34"/>
      <c r="X211" s="35"/>
      <c r="Y211" s="35"/>
      <c r="Z211" s="2"/>
      <c r="AA211" s="2"/>
      <c r="AB211" s="2" t="str">
        <f>IFERROR(GA[[#This Row],[Plant Equivalent Weightage]]*GA[[#This Row],[Resolution Time]],"")</f>
        <v/>
      </c>
      <c r="AC211" s="2"/>
      <c r="AD211" s="32" t="str">
        <f>IFERROR((_xlfn.XLOOKUP(GA[[#This Row],[Month Year]],'Modelling New'!D:D,'Modelling New'!$O:$O)*GA[[#This Row],[Lost POA (Wh/m2)]]*GA[[#This Row],[DC Capacity Affceted (kW)]])/1000,"")</f>
        <v/>
      </c>
      <c r="AE211" s="2"/>
    </row>
    <row r="212" spans="1:31">
      <c r="A212" s="2">
        <f t="shared" si="19"/>
        <v>210</v>
      </c>
      <c r="B212" s="156">
        <f t="shared" si="20"/>
        <v>1900</v>
      </c>
      <c r="C212" s="129">
        <f t="shared" si="21"/>
        <v>1900</v>
      </c>
      <c r="I212" s="31" t="str">
        <f>IFERROR(VLOOKUP(GA[[#This Row],[Date]],Raw_Data[[#All],[Date]:[Sunset Time (POA&lt;20 W/m2)]],3,0),"")</f>
        <v/>
      </c>
      <c r="J212" s="31" t="str">
        <f>IFERROR(VLOOKUP(GA[[#This Row],[Date]],Raw_Data[[#All],[Date]:[Sunset Time (POA&lt;20 W/m2)]],4,0),"")</f>
        <v/>
      </c>
      <c r="K212" s="30" t="str">
        <f>IFERROR((GA[[#This Row],[Sunset Time (POA&lt;20 W/m2)]]-GA[[#This Row],[Sunrise Time (POA&gt;20 W/m2)]])*24,"")</f>
        <v/>
      </c>
      <c r="M212" s="17" t="str">
        <f>IFERROR(VLOOKUP(GA[[#This Row],[Affceted Equipment]],'Basic Data'!$A$1:$B$113,2,0),"")</f>
        <v/>
      </c>
      <c r="P212" s="28" t="str">
        <f>IFERROR(VLOOKUP(GA[[#This Row],[Affceted Equipment]],'Basic Data'!$A$2:$C$118,3,0),"")</f>
        <v/>
      </c>
      <c r="Q212" s="2"/>
      <c r="W212" s="34"/>
      <c r="X212" s="35"/>
      <c r="Y212" s="35"/>
      <c r="Z212" s="2"/>
      <c r="AA212" s="2"/>
      <c r="AB212" s="2" t="str">
        <f>IFERROR(GA[[#This Row],[Plant Equivalent Weightage]]*GA[[#This Row],[Resolution Time]],"")</f>
        <v/>
      </c>
      <c r="AC212" s="2"/>
      <c r="AD212" s="32" t="str">
        <f>IFERROR((_xlfn.XLOOKUP(GA[[#This Row],[Month Year]],'Modelling New'!D:D,'Modelling New'!$O:$O)*GA[[#This Row],[Lost POA (Wh/m2)]]*GA[[#This Row],[DC Capacity Affceted (kW)]])/1000,"")</f>
        <v/>
      </c>
      <c r="AE212" s="2"/>
    </row>
    <row r="213" spans="1:31">
      <c r="A213" s="2">
        <f t="shared" si="19"/>
        <v>211</v>
      </c>
      <c r="B213" s="156">
        <f t="shared" si="20"/>
        <v>1900</v>
      </c>
      <c r="C213" s="129">
        <f t="shared" si="21"/>
        <v>1900</v>
      </c>
      <c r="I213" s="31" t="str">
        <f>IFERROR(VLOOKUP(GA[[#This Row],[Date]],Raw_Data[[#All],[Date]:[Sunset Time (POA&lt;20 W/m2)]],3,0),"")</f>
        <v/>
      </c>
      <c r="J213" s="31" t="str">
        <f>IFERROR(VLOOKUP(GA[[#This Row],[Date]],Raw_Data[[#All],[Date]:[Sunset Time (POA&lt;20 W/m2)]],4,0),"")</f>
        <v/>
      </c>
      <c r="K213" s="30" t="str">
        <f>IFERROR((GA[[#This Row],[Sunset Time (POA&lt;20 W/m2)]]-GA[[#This Row],[Sunrise Time (POA&gt;20 W/m2)]])*24,"")</f>
        <v/>
      </c>
      <c r="M213" s="17" t="str">
        <f>IFERROR(VLOOKUP(GA[[#This Row],[Affceted Equipment]],'Basic Data'!$A$1:$B$113,2,0),"")</f>
        <v/>
      </c>
      <c r="P213" s="28" t="str">
        <f>IFERROR(VLOOKUP(GA[[#This Row],[Affceted Equipment]],'Basic Data'!$A$2:$C$118,3,0),"")</f>
        <v/>
      </c>
      <c r="Q213" s="2"/>
      <c r="W213" s="34"/>
      <c r="X213" s="35"/>
      <c r="Y213" s="35"/>
      <c r="Z213" s="2"/>
      <c r="AA213" s="2"/>
      <c r="AB213" s="2" t="str">
        <f>IFERROR(GA[[#This Row],[Plant Equivalent Weightage]]*GA[[#This Row],[Resolution Time]],"")</f>
        <v/>
      </c>
      <c r="AC213" s="2"/>
      <c r="AD213" s="32" t="str">
        <f>IFERROR((_xlfn.XLOOKUP(GA[[#This Row],[Month Year]],'Modelling New'!D:D,'Modelling New'!$O:$O)*GA[[#This Row],[Lost POA (Wh/m2)]]*GA[[#This Row],[DC Capacity Affceted (kW)]])/1000,"")</f>
        <v/>
      </c>
      <c r="AE213" s="2"/>
    </row>
    <row r="214" spans="1:31">
      <c r="A214" s="2">
        <f t="shared" si="19"/>
        <v>212</v>
      </c>
      <c r="B214" s="156">
        <f t="shared" si="20"/>
        <v>1900</v>
      </c>
      <c r="C214" s="129">
        <f t="shared" si="21"/>
        <v>1900</v>
      </c>
      <c r="I214" s="31" t="str">
        <f>IFERROR(VLOOKUP(GA[[#This Row],[Date]],Raw_Data[[#All],[Date]:[Sunset Time (POA&lt;20 W/m2)]],3,0),"")</f>
        <v/>
      </c>
      <c r="J214" s="31" t="str">
        <f>IFERROR(VLOOKUP(GA[[#This Row],[Date]],Raw_Data[[#All],[Date]:[Sunset Time (POA&lt;20 W/m2)]],4,0),"")</f>
        <v/>
      </c>
      <c r="K214" s="30" t="str">
        <f>IFERROR((GA[[#This Row],[Sunset Time (POA&lt;20 W/m2)]]-GA[[#This Row],[Sunrise Time (POA&gt;20 W/m2)]])*24,"")</f>
        <v/>
      </c>
      <c r="M214" s="17" t="str">
        <f>IFERROR(VLOOKUP(GA[[#This Row],[Affceted Equipment]],'Basic Data'!$A$1:$B$113,2,0),"")</f>
        <v/>
      </c>
      <c r="P214" s="28" t="str">
        <f>IFERROR(VLOOKUP(GA[[#This Row],[Affceted Equipment]],'Basic Data'!$A$2:$C$118,3,0),"")</f>
        <v/>
      </c>
      <c r="Q214" s="2"/>
      <c r="W214" s="34"/>
      <c r="X214" s="35"/>
      <c r="Y214" s="35"/>
      <c r="Z214" s="2"/>
      <c r="AA214" s="2"/>
      <c r="AB214" s="2" t="str">
        <f>IFERROR(GA[[#This Row],[Plant Equivalent Weightage]]*GA[[#This Row],[Resolution Time]],"")</f>
        <v/>
      </c>
      <c r="AC214" s="2"/>
      <c r="AD214" s="32" t="str">
        <f>IFERROR((_xlfn.XLOOKUP(GA[[#This Row],[Month Year]],'Modelling New'!D:D,'Modelling New'!$O:$O)*GA[[#This Row],[Lost POA (Wh/m2)]]*GA[[#This Row],[DC Capacity Affceted (kW)]])/1000,"")</f>
        <v/>
      </c>
      <c r="AE214" s="2"/>
    </row>
    <row r="215" spans="1:31">
      <c r="A215" s="2">
        <f t="shared" si="19"/>
        <v>213</v>
      </c>
      <c r="B215" s="156">
        <f t="shared" si="20"/>
        <v>1900</v>
      </c>
      <c r="C215" s="129">
        <f t="shared" si="21"/>
        <v>1900</v>
      </c>
      <c r="I215" s="31" t="str">
        <f>IFERROR(VLOOKUP(GA[[#This Row],[Date]],Raw_Data[[#All],[Date]:[Sunset Time (POA&lt;20 W/m2)]],3,0),"")</f>
        <v/>
      </c>
      <c r="J215" s="31" t="str">
        <f>IFERROR(VLOOKUP(GA[[#This Row],[Date]],Raw_Data[[#All],[Date]:[Sunset Time (POA&lt;20 W/m2)]],4,0),"")</f>
        <v/>
      </c>
      <c r="K215" s="30" t="str">
        <f>IFERROR((GA[[#This Row],[Sunset Time (POA&lt;20 W/m2)]]-GA[[#This Row],[Sunrise Time (POA&gt;20 W/m2)]])*24,"")</f>
        <v/>
      </c>
      <c r="M215" s="17" t="str">
        <f>IFERROR(VLOOKUP(GA[[#This Row],[Affceted Equipment]],'Basic Data'!$A$1:$B$113,2,0),"")</f>
        <v/>
      </c>
      <c r="P215" s="28" t="str">
        <f>IFERROR(VLOOKUP(GA[[#This Row],[Affceted Equipment]],'Basic Data'!$A$2:$C$118,3,0),"")</f>
        <v/>
      </c>
      <c r="Q215" s="2"/>
      <c r="W215" s="34"/>
      <c r="X215" s="35"/>
      <c r="Y215" s="35"/>
      <c r="Z215" s="2"/>
      <c r="AA215" s="2"/>
      <c r="AB215" s="2" t="str">
        <f>IFERROR(GA[[#This Row],[Plant Equivalent Weightage]]*GA[[#This Row],[Resolution Time]],"")</f>
        <v/>
      </c>
      <c r="AC215" s="2"/>
      <c r="AD215" s="32" t="str">
        <f>IFERROR((_xlfn.XLOOKUP(GA[[#This Row],[Month Year]],'Modelling New'!D:D,'Modelling New'!$O:$O)*GA[[#This Row],[Lost POA (Wh/m2)]]*GA[[#This Row],[DC Capacity Affceted (kW)]])/1000,"")</f>
        <v/>
      </c>
      <c r="AE215" s="2"/>
    </row>
    <row r="216" spans="1:31">
      <c r="A216" s="2">
        <f t="shared" si="19"/>
        <v>214</v>
      </c>
      <c r="B216" s="156">
        <f t="shared" si="20"/>
        <v>1900</v>
      </c>
      <c r="C216" s="129">
        <f t="shared" si="21"/>
        <v>1900</v>
      </c>
      <c r="I216" s="31" t="str">
        <f>IFERROR(VLOOKUP(GA[[#This Row],[Date]],Raw_Data[[#All],[Date]:[Sunset Time (POA&lt;20 W/m2)]],3,0),"")</f>
        <v/>
      </c>
      <c r="J216" s="31" t="str">
        <f>IFERROR(VLOOKUP(GA[[#This Row],[Date]],Raw_Data[[#All],[Date]:[Sunset Time (POA&lt;20 W/m2)]],4,0),"")</f>
        <v/>
      </c>
      <c r="K216" s="30" t="str">
        <f>IFERROR((GA[[#This Row],[Sunset Time (POA&lt;20 W/m2)]]-GA[[#This Row],[Sunrise Time (POA&gt;20 W/m2)]])*24,"")</f>
        <v/>
      </c>
      <c r="M216" s="17" t="str">
        <f>IFERROR(VLOOKUP(GA[[#This Row],[Affceted Equipment]],'Basic Data'!$A$1:$B$113,2,0),"")</f>
        <v/>
      </c>
      <c r="P216" s="28" t="str">
        <f>IFERROR(VLOOKUP(GA[[#This Row],[Affceted Equipment]],'Basic Data'!$A$2:$C$118,3,0),"")</f>
        <v/>
      </c>
      <c r="Q216" s="2"/>
      <c r="W216" s="34"/>
      <c r="X216" s="35"/>
      <c r="Y216" s="35"/>
      <c r="Z216" s="2"/>
      <c r="AA216" s="2"/>
      <c r="AB216" s="2" t="str">
        <f>IFERROR(GA[[#This Row],[Plant Equivalent Weightage]]*GA[[#This Row],[Resolution Time]],"")</f>
        <v/>
      </c>
      <c r="AC216" s="2"/>
      <c r="AD216" s="32" t="str">
        <f>IFERROR((_xlfn.XLOOKUP(GA[[#This Row],[Month Year]],'Modelling New'!D:D,'Modelling New'!$O:$O)*GA[[#This Row],[Lost POA (Wh/m2)]]*GA[[#This Row],[DC Capacity Affceted (kW)]])/1000,"")</f>
        <v/>
      </c>
      <c r="AE216" s="2"/>
    </row>
    <row r="217" spans="1:31">
      <c r="A217" s="2">
        <f t="shared" si="19"/>
        <v>215</v>
      </c>
      <c r="B217" s="156">
        <f t="shared" si="20"/>
        <v>1900</v>
      </c>
      <c r="C217" s="129">
        <f t="shared" si="21"/>
        <v>1900</v>
      </c>
      <c r="I217" s="31" t="str">
        <f>IFERROR(VLOOKUP(GA[[#This Row],[Date]],Raw_Data[[#All],[Date]:[Sunset Time (POA&lt;20 W/m2)]],3,0),"")</f>
        <v/>
      </c>
      <c r="J217" s="31" t="str">
        <f>IFERROR(VLOOKUP(GA[[#This Row],[Date]],Raw_Data[[#All],[Date]:[Sunset Time (POA&lt;20 W/m2)]],4,0),"")</f>
        <v/>
      </c>
      <c r="K217" s="30" t="str">
        <f>IFERROR((GA[[#This Row],[Sunset Time (POA&lt;20 W/m2)]]-GA[[#This Row],[Sunrise Time (POA&gt;20 W/m2)]])*24,"")</f>
        <v/>
      </c>
      <c r="M217" s="17" t="str">
        <f>IFERROR(VLOOKUP(GA[[#This Row],[Affceted Equipment]],'Basic Data'!$A$1:$B$113,2,0),"")</f>
        <v/>
      </c>
      <c r="P217" s="28" t="str">
        <f>IFERROR(VLOOKUP(GA[[#This Row],[Affceted Equipment]],'Basic Data'!$A$2:$C$118,3,0),"")</f>
        <v/>
      </c>
      <c r="Q217" s="2"/>
      <c r="W217" s="34"/>
      <c r="X217" s="35"/>
      <c r="Y217" s="35"/>
      <c r="Z217" s="2"/>
      <c r="AA217" s="2"/>
      <c r="AB217" s="2" t="str">
        <f>IFERROR(GA[[#This Row],[Plant Equivalent Weightage]]*GA[[#This Row],[Resolution Time]],"")</f>
        <v/>
      </c>
      <c r="AC217" s="2"/>
      <c r="AD217" s="32" t="str">
        <f>IFERROR((_xlfn.XLOOKUP(GA[[#This Row],[Month Year]],'Modelling New'!D:D,'Modelling New'!$O:$O)*GA[[#This Row],[Lost POA (Wh/m2)]]*GA[[#This Row],[DC Capacity Affceted (kW)]])/1000,"")</f>
        <v/>
      </c>
      <c r="AE217" s="2"/>
    </row>
    <row r="218" spans="1:31">
      <c r="A218" s="2">
        <f t="shared" si="19"/>
        <v>216</v>
      </c>
      <c r="B218" s="156">
        <f t="shared" si="20"/>
        <v>1900</v>
      </c>
      <c r="C218" s="129">
        <f t="shared" si="21"/>
        <v>1900</v>
      </c>
      <c r="I218" s="31" t="str">
        <f>IFERROR(VLOOKUP(GA[[#This Row],[Date]],Raw_Data[[#All],[Date]:[Sunset Time (POA&lt;20 W/m2)]],3,0),"")</f>
        <v/>
      </c>
      <c r="J218" s="31" t="str">
        <f>IFERROR(VLOOKUP(GA[[#This Row],[Date]],Raw_Data[[#All],[Date]:[Sunset Time (POA&lt;20 W/m2)]],4,0),"")</f>
        <v/>
      </c>
      <c r="K218" s="30" t="str">
        <f>IFERROR((GA[[#This Row],[Sunset Time (POA&lt;20 W/m2)]]-GA[[#This Row],[Sunrise Time (POA&gt;20 W/m2)]])*24,"")</f>
        <v/>
      </c>
      <c r="M218" s="17" t="str">
        <f>IFERROR(VLOOKUP(GA[[#This Row],[Affceted Equipment]],'Basic Data'!$A$1:$B$113,2,0),"")</f>
        <v/>
      </c>
      <c r="P218" s="28" t="str">
        <f>IFERROR(VLOOKUP(GA[[#This Row],[Affceted Equipment]],'Basic Data'!$A$2:$C$118,3,0),"")</f>
        <v/>
      </c>
      <c r="Q218" s="2"/>
      <c r="W218" s="34"/>
      <c r="X218" s="35"/>
      <c r="Y218" s="35"/>
      <c r="Z218" s="2"/>
      <c r="AA218" s="2"/>
      <c r="AB218" s="2" t="str">
        <f>IFERROR(GA[[#This Row],[Plant Equivalent Weightage]]*GA[[#This Row],[Resolution Time]],"")</f>
        <v/>
      </c>
      <c r="AC218" s="2"/>
      <c r="AD218" s="32" t="str">
        <f>IFERROR((_xlfn.XLOOKUP(GA[[#This Row],[Month Year]],'Modelling New'!D:D,'Modelling New'!$O:$O)*GA[[#This Row],[Lost POA (Wh/m2)]]*GA[[#This Row],[DC Capacity Affceted (kW)]])/1000,"")</f>
        <v/>
      </c>
      <c r="AE218" s="2"/>
    </row>
    <row r="219" spans="1:31">
      <c r="A219" s="2">
        <f t="shared" si="19"/>
        <v>217</v>
      </c>
      <c r="B219" s="156">
        <f t="shared" si="20"/>
        <v>1900</v>
      </c>
      <c r="C219" s="129">
        <f t="shared" si="21"/>
        <v>1900</v>
      </c>
      <c r="I219" s="31" t="str">
        <f>IFERROR(VLOOKUP(GA[[#This Row],[Date]],Raw_Data[[#All],[Date]:[Sunset Time (POA&lt;20 W/m2)]],3,0),"")</f>
        <v/>
      </c>
      <c r="J219" s="31" t="str">
        <f>IFERROR(VLOOKUP(GA[[#This Row],[Date]],Raw_Data[[#All],[Date]:[Sunset Time (POA&lt;20 W/m2)]],4,0),"")</f>
        <v/>
      </c>
      <c r="K219" s="30" t="str">
        <f>IFERROR((GA[[#This Row],[Sunset Time (POA&lt;20 W/m2)]]-GA[[#This Row],[Sunrise Time (POA&gt;20 W/m2)]])*24,"")</f>
        <v/>
      </c>
      <c r="M219" s="17" t="str">
        <f>IFERROR(VLOOKUP(GA[[#This Row],[Affceted Equipment]],'Basic Data'!$A$1:$B$113,2,0),"")</f>
        <v/>
      </c>
      <c r="P219" s="28" t="str">
        <f>IFERROR(VLOOKUP(GA[[#This Row],[Affceted Equipment]],'Basic Data'!$A$2:$C$118,3,0),"")</f>
        <v/>
      </c>
      <c r="Q219" s="2"/>
      <c r="W219" s="34"/>
      <c r="X219" s="35"/>
      <c r="Y219" s="35"/>
      <c r="Z219" s="2"/>
      <c r="AA219" s="2"/>
      <c r="AB219" s="2" t="str">
        <f>IFERROR(GA[[#This Row],[Plant Equivalent Weightage]]*GA[[#This Row],[Resolution Time]],"")</f>
        <v/>
      </c>
      <c r="AC219" s="2"/>
      <c r="AD219" s="32" t="str">
        <f>IFERROR((_xlfn.XLOOKUP(GA[[#This Row],[Month Year]],'Modelling New'!D:D,'Modelling New'!$O:$O)*GA[[#This Row],[Lost POA (Wh/m2)]]*GA[[#This Row],[DC Capacity Affceted (kW)]])/1000,"")</f>
        <v/>
      </c>
      <c r="AE219" s="2"/>
    </row>
    <row r="220" spans="1:31">
      <c r="A220" s="2">
        <f t="shared" si="19"/>
        <v>218</v>
      </c>
      <c r="B220" s="156">
        <f t="shared" si="20"/>
        <v>1900</v>
      </c>
      <c r="C220" s="129">
        <f t="shared" si="21"/>
        <v>1900</v>
      </c>
      <c r="I220" s="31" t="str">
        <f>IFERROR(VLOOKUP(GA[[#This Row],[Date]],Raw_Data[[#All],[Date]:[Sunset Time (POA&lt;20 W/m2)]],3,0),"")</f>
        <v/>
      </c>
      <c r="J220" s="31" t="str">
        <f>IFERROR(VLOOKUP(GA[[#This Row],[Date]],Raw_Data[[#All],[Date]:[Sunset Time (POA&lt;20 W/m2)]],4,0),"")</f>
        <v/>
      </c>
      <c r="K220" s="30" t="str">
        <f>IFERROR((GA[[#This Row],[Sunset Time (POA&lt;20 W/m2)]]-GA[[#This Row],[Sunrise Time (POA&gt;20 W/m2)]])*24,"")</f>
        <v/>
      </c>
      <c r="M220" s="17" t="str">
        <f>IFERROR(VLOOKUP(GA[[#This Row],[Affceted Equipment]],'Basic Data'!$A$1:$B$113,2,0),"")</f>
        <v/>
      </c>
      <c r="P220" s="28" t="str">
        <f>IFERROR(VLOOKUP(GA[[#This Row],[Affceted Equipment]],'Basic Data'!$A$2:$C$118,3,0),"")</f>
        <v/>
      </c>
      <c r="Q220" s="2"/>
      <c r="W220" s="34"/>
      <c r="X220" s="35"/>
      <c r="Y220" s="35"/>
      <c r="Z220" s="2"/>
      <c r="AA220" s="2"/>
      <c r="AB220" s="2" t="str">
        <f>IFERROR(GA[[#This Row],[Plant Equivalent Weightage]]*GA[[#This Row],[Resolution Time]],"")</f>
        <v/>
      </c>
      <c r="AC220" s="2"/>
      <c r="AD220" s="32" t="str">
        <f>IFERROR((_xlfn.XLOOKUP(GA[[#This Row],[Month Year]],'Modelling New'!D:D,'Modelling New'!$O:$O)*GA[[#This Row],[Lost POA (Wh/m2)]]*GA[[#This Row],[DC Capacity Affceted (kW)]])/1000,"")</f>
        <v/>
      </c>
      <c r="AE220" s="2"/>
    </row>
    <row r="221" spans="1:31">
      <c r="A221" s="2">
        <f t="shared" si="19"/>
        <v>219</v>
      </c>
      <c r="B221" s="156">
        <f t="shared" si="20"/>
        <v>1900</v>
      </c>
      <c r="C221" s="129">
        <f t="shared" si="21"/>
        <v>1900</v>
      </c>
      <c r="I221" s="31" t="str">
        <f>IFERROR(VLOOKUP(GA[[#This Row],[Date]],Raw_Data[[#All],[Date]:[Sunset Time (POA&lt;20 W/m2)]],3,0),"")</f>
        <v/>
      </c>
      <c r="J221" s="31" t="str">
        <f>IFERROR(VLOOKUP(GA[[#This Row],[Date]],Raw_Data[[#All],[Date]:[Sunset Time (POA&lt;20 W/m2)]],4,0),"")</f>
        <v/>
      </c>
      <c r="K221" s="30" t="str">
        <f>IFERROR((GA[[#This Row],[Sunset Time (POA&lt;20 W/m2)]]-GA[[#This Row],[Sunrise Time (POA&gt;20 W/m2)]])*24,"")</f>
        <v/>
      </c>
      <c r="M221" s="17" t="str">
        <f>IFERROR(VLOOKUP(GA[[#This Row],[Affceted Equipment]],'Basic Data'!$A$1:$B$113,2,0),"")</f>
        <v/>
      </c>
      <c r="P221" s="28" t="str">
        <f>IFERROR(VLOOKUP(GA[[#This Row],[Affceted Equipment]],'Basic Data'!$A$2:$C$118,3,0),"")</f>
        <v/>
      </c>
      <c r="Q221" s="2"/>
      <c r="W221" s="34"/>
      <c r="X221" s="35"/>
      <c r="Y221" s="35"/>
      <c r="Z221" s="2"/>
      <c r="AA221" s="2"/>
      <c r="AB221" s="2" t="str">
        <f>IFERROR(GA[[#This Row],[Plant Equivalent Weightage]]*GA[[#This Row],[Resolution Time]],"")</f>
        <v/>
      </c>
      <c r="AC221" s="2"/>
      <c r="AD221" s="32" t="str">
        <f>IFERROR((_xlfn.XLOOKUP(GA[[#This Row],[Month Year]],'Modelling New'!D:D,'Modelling New'!$O:$O)*GA[[#This Row],[Lost POA (Wh/m2)]]*GA[[#This Row],[DC Capacity Affceted (kW)]])/1000,"")</f>
        <v/>
      </c>
      <c r="AE221" s="2"/>
    </row>
    <row r="222" spans="1:31">
      <c r="A222" s="2">
        <f t="shared" si="19"/>
        <v>220</v>
      </c>
      <c r="B222" s="156">
        <f t="shared" si="20"/>
        <v>1900</v>
      </c>
      <c r="C222" s="129">
        <f t="shared" si="21"/>
        <v>1900</v>
      </c>
      <c r="I222" s="31" t="str">
        <f>IFERROR(VLOOKUP(GA[[#This Row],[Date]],Raw_Data[[#All],[Date]:[Sunset Time (POA&lt;20 W/m2)]],3,0),"")</f>
        <v/>
      </c>
      <c r="J222" s="31" t="str">
        <f>IFERROR(VLOOKUP(GA[[#This Row],[Date]],Raw_Data[[#All],[Date]:[Sunset Time (POA&lt;20 W/m2)]],4,0),"")</f>
        <v/>
      </c>
      <c r="K222" s="30" t="str">
        <f>IFERROR((GA[[#This Row],[Sunset Time (POA&lt;20 W/m2)]]-GA[[#This Row],[Sunrise Time (POA&gt;20 W/m2)]])*24,"")</f>
        <v/>
      </c>
      <c r="M222" s="17" t="str">
        <f>IFERROR(VLOOKUP(GA[[#This Row],[Affceted Equipment]],'Basic Data'!$A$1:$B$113,2,0),"")</f>
        <v/>
      </c>
      <c r="P222" s="28" t="str">
        <f>IFERROR(VLOOKUP(GA[[#This Row],[Affceted Equipment]],'Basic Data'!$A$2:$C$118,3,0),"")</f>
        <v/>
      </c>
      <c r="Q222" s="2"/>
      <c r="W222" s="34"/>
      <c r="X222" s="35"/>
      <c r="Y222" s="35"/>
      <c r="Z222" s="2"/>
      <c r="AA222" s="2"/>
      <c r="AB222" s="2" t="str">
        <f>IFERROR(GA[[#This Row],[Plant Equivalent Weightage]]*GA[[#This Row],[Resolution Time]],"")</f>
        <v/>
      </c>
      <c r="AC222" s="2"/>
      <c r="AD222" s="32" t="str">
        <f>IFERROR((_xlfn.XLOOKUP(GA[[#This Row],[Month Year]],'Modelling New'!D:D,'Modelling New'!$O:$O)*GA[[#This Row],[Lost POA (Wh/m2)]]*GA[[#This Row],[DC Capacity Affceted (kW)]])/1000,"")</f>
        <v/>
      </c>
      <c r="AE222" s="2"/>
    </row>
    <row r="223" spans="1:31">
      <c r="A223" s="2">
        <f t="shared" si="19"/>
        <v>221</v>
      </c>
      <c r="B223" s="156">
        <f t="shared" si="20"/>
        <v>1900</v>
      </c>
      <c r="C223" s="129">
        <f t="shared" si="21"/>
        <v>1900</v>
      </c>
      <c r="I223" s="31" t="str">
        <f>IFERROR(VLOOKUP(GA[[#This Row],[Date]],Raw_Data[[#All],[Date]:[Sunset Time (POA&lt;20 W/m2)]],3,0),"")</f>
        <v/>
      </c>
      <c r="J223" s="31" t="str">
        <f>IFERROR(VLOOKUP(GA[[#This Row],[Date]],Raw_Data[[#All],[Date]:[Sunset Time (POA&lt;20 W/m2)]],4,0),"")</f>
        <v/>
      </c>
      <c r="K223" s="30" t="str">
        <f>IFERROR((GA[[#This Row],[Sunset Time (POA&lt;20 W/m2)]]-GA[[#This Row],[Sunrise Time (POA&gt;20 W/m2)]])*24,"")</f>
        <v/>
      </c>
      <c r="M223" s="17" t="str">
        <f>IFERROR(VLOOKUP(GA[[#This Row],[Affceted Equipment]],'Basic Data'!$A$1:$B$113,2,0),"")</f>
        <v/>
      </c>
      <c r="P223" s="28" t="str">
        <f>IFERROR(VLOOKUP(GA[[#This Row],[Affceted Equipment]],'Basic Data'!$A$2:$C$118,3,0),"")</f>
        <v/>
      </c>
      <c r="Q223" s="2"/>
      <c r="W223" s="34"/>
      <c r="X223" s="35"/>
      <c r="Y223" s="35"/>
      <c r="Z223" s="2"/>
      <c r="AA223" s="2"/>
      <c r="AB223" s="2" t="str">
        <f>IFERROR(GA[[#This Row],[Plant Equivalent Weightage]]*GA[[#This Row],[Resolution Time]],"")</f>
        <v/>
      </c>
      <c r="AC223" s="2"/>
      <c r="AD223" s="32" t="str">
        <f>IFERROR((_xlfn.XLOOKUP(GA[[#This Row],[Month Year]],'Modelling New'!D:D,'Modelling New'!$O:$O)*GA[[#This Row],[Lost POA (Wh/m2)]]*GA[[#This Row],[DC Capacity Affceted (kW)]])/1000,"")</f>
        <v/>
      </c>
      <c r="AE223" s="2"/>
    </row>
    <row r="224" spans="1:31">
      <c r="A224" s="2">
        <f t="shared" ref="A224:A287" si="22">A223+1</f>
        <v>222</v>
      </c>
      <c r="B224" s="156">
        <f t="shared" si="20"/>
        <v>1900</v>
      </c>
      <c r="C224" s="129">
        <f t="shared" si="21"/>
        <v>1900</v>
      </c>
      <c r="I224" s="31" t="str">
        <f>IFERROR(VLOOKUP(GA[[#This Row],[Date]],Raw_Data[[#All],[Date]:[Sunset Time (POA&lt;20 W/m2)]],3,0),"")</f>
        <v/>
      </c>
      <c r="J224" s="31" t="str">
        <f>IFERROR(VLOOKUP(GA[[#This Row],[Date]],Raw_Data[[#All],[Date]:[Sunset Time (POA&lt;20 W/m2)]],4,0),"")</f>
        <v/>
      </c>
      <c r="K224" s="30" t="str">
        <f>IFERROR((GA[[#This Row],[Sunset Time (POA&lt;20 W/m2)]]-GA[[#This Row],[Sunrise Time (POA&gt;20 W/m2)]])*24,"")</f>
        <v/>
      </c>
      <c r="M224" s="17" t="str">
        <f>IFERROR(VLOOKUP(GA[[#This Row],[Affceted Equipment]],'Basic Data'!$A$1:$B$113,2,0),"")</f>
        <v/>
      </c>
      <c r="P224" s="28" t="str">
        <f>IFERROR(VLOOKUP(GA[[#This Row],[Affceted Equipment]],'Basic Data'!$A$2:$C$118,3,0),"")</f>
        <v/>
      </c>
      <c r="Q224" s="2"/>
      <c r="W224" s="34"/>
      <c r="X224" s="35"/>
      <c r="Y224" s="35"/>
      <c r="Z224" s="2"/>
      <c r="AA224" s="2"/>
      <c r="AB224" s="2" t="str">
        <f>IFERROR(GA[[#This Row],[Plant Equivalent Weightage]]*GA[[#This Row],[Resolution Time]],"")</f>
        <v/>
      </c>
      <c r="AC224" s="2"/>
      <c r="AD224" s="32" t="str">
        <f>IFERROR((_xlfn.XLOOKUP(GA[[#This Row],[Month Year]],'Modelling New'!D:D,'Modelling New'!$O:$O)*GA[[#This Row],[Lost POA (Wh/m2)]]*GA[[#This Row],[DC Capacity Affceted (kW)]])/1000,"")</f>
        <v/>
      </c>
      <c r="AE224" s="2"/>
    </row>
    <row r="225" spans="1:31">
      <c r="A225" s="2">
        <f t="shared" si="22"/>
        <v>223</v>
      </c>
      <c r="B225" s="156">
        <f t="shared" si="20"/>
        <v>1900</v>
      </c>
      <c r="C225" s="129">
        <f t="shared" si="21"/>
        <v>1900</v>
      </c>
      <c r="I225" s="31" t="str">
        <f>IFERROR(VLOOKUP(GA[[#This Row],[Date]],Raw_Data[[#All],[Date]:[Sunset Time (POA&lt;20 W/m2)]],3,0),"")</f>
        <v/>
      </c>
      <c r="J225" s="31" t="str">
        <f>IFERROR(VLOOKUP(GA[[#This Row],[Date]],Raw_Data[[#All],[Date]:[Sunset Time (POA&lt;20 W/m2)]],4,0),"")</f>
        <v/>
      </c>
      <c r="K225" s="30" t="str">
        <f>IFERROR((GA[[#This Row],[Sunset Time (POA&lt;20 W/m2)]]-GA[[#This Row],[Sunrise Time (POA&gt;20 W/m2)]])*24,"")</f>
        <v/>
      </c>
      <c r="M225" s="17" t="str">
        <f>IFERROR(VLOOKUP(GA[[#This Row],[Affceted Equipment]],'Basic Data'!$A$1:$B$113,2,0),"")</f>
        <v/>
      </c>
      <c r="P225" s="28" t="str">
        <f>IFERROR(VLOOKUP(GA[[#This Row],[Affceted Equipment]],'Basic Data'!$A$2:$C$118,3,0),"")</f>
        <v/>
      </c>
      <c r="Q225" s="2"/>
      <c r="W225" s="34"/>
      <c r="X225" s="35"/>
      <c r="Y225" s="35"/>
      <c r="Z225" s="2"/>
      <c r="AA225" s="2"/>
      <c r="AB225" s="2" t="str">
        <f>IFERROR(GA[[#This Row],[Plant Equivalent Weightage]]*GA[[#This Row],[Resolution Time]],"")</f>
        <v/>
      </c>
      <c r="AC225" s="2"/>
      <c r="AD225" s="32" t="str">
        <f>IFERROR((_xlfn.XLOOKUP(GA[[#This Row],[Month Year]],'Modelling New'!D:D,'Modelling New'!$O:$O)*GA[[#This Row],[Lost POA (Wh/m2)]]*GA[[#This Row],[DC Capacity Affceted (kW)]])/1000,"")</f>
        <v/>
      </c>
      <c r="AE225" s="2"/>
    </row>
    <row r="226" spans="1:31">
      <c r="A226" s="2">
        <f t="shared" si="22"/>
        <v>224</v>
      </c>
      <c r="B226" s="156">
        <f t="shared" si="20"/>
        <v>1900</v>
      </c>
      <c r="C226" s="129">
        <f t="shared" si="21"/>
        <v>1900</v>
      </c>
      <c r="I226" s="31" t="str">
        <f>IFERROR(VLOOKUP(GA[[#This Row],[Date]],Raw_Data[[#All],[Date]:[Sunset Time (POA&lt;20 W/m2)]],3,0),"")</f>
        <v/>
      </c>
      <c r="J226" s="31" t="str">
        <f>IFERROR(VLOOKUP(GA[[#This Row],[Date]],Raw_Data[[#All],[Date]:[Sunset Time (POA&lt;20 W/m2)]],4,0),"")</f>
        <v/>
      </c>
      <c r="K226" s="30" t="str">
        <f>IFERROR((GA[[#This Row],[Sunset Time (POA&lt;20 W/m2)]]-GA[[#This Row],[Sunrise Time (POA&gt;20 W/m2)]])*24,"")</f>
        <v/>
      </c>
      <c r="M226" s="17" t="str">
        <f>IFERROR(VLOOKUP(GA[[#This Row],[Affceted Equipment]],'Basic Data'!$A$1:$B$113,2,0),"")</f>
        <v/>
      </c>
      <c r="P226" s="28" t="str">
        <f>IFERROR(VLOOKUP(GA[[#This Row],[Affceted Equipment]],'Basic Data'!$A$2:$C$118,3,0),"")</f>
        <v/>
      </c>
      <c r="Q226" s="2"/>
      <c r="W226" s="34"/>
      <c r="X226" s="35"/>
      <c r="Y226" s="35"/>
      <c r="Z226" s="2"/>
      <c r="AA226" s="2"/>
      <c r="AB226" s="2" t="str">
        <f>IFERROR(GA[[#This Row],[Plant Equivalent Weightage]]*GA[[#This Row],[Resolution Time]],"")</f>
        <v/>
      </c>
      <c r="AC226" s="2"/>
      <c r="AD226" s="32" t="str">
        <f>IFERROR((_xlfn.XLOOKUP(GA[[#This Row],[Month Year]],'Modelling New'!D:D,'Modelling New'!$O:$O)*GA[[#This Row],[Lost POA (Wh/m2)]]*GA[[#This Row],[DC Capacity Affceted (kW)]])/1000,"")</f>
        <v/>
      </c>
      <c r="AE226" s="2"/>
    </row>
    <row r="227" spans="1:31">
      <c r="A227" s="2">
        <f t="shared" si="22"/>
        <v>225</v>
      </c>
      <c r="B227" s="156">
        <f t="shared" si="20"/>
        <v>1900</v>
      </c>
      <c r="C227" s="129">
        <f t="shared" si="21"/>
        <v>1900</v>
      </c>
      <c r="I227" s="31" t="str">
        <f>IFERROR(VLOOKUP(GA[[#This Row],[Date]],Raw_Data[[#All],[Date]:[Sunset Time (POA&lt;20 W/m2)]],3,0),"")</f>
        <v/>
      </c>
      <c r="J227" s="31" t="str">
        <f>IFERROR(VLOOKUP(GA[[#This Row],[Date]],Raw_Data[[#All],[Date]:[Sunset Time (POA&lt;20 W/m2)]],4,0),"")</f>
        <v/>
      </c>
      <c r="K227" s="30" t="str">
        <f>IFERROR((GA[[#This Row],[Sunset Time (POA&lt;20 W/m2)]]-GA[[#This Row],[Sunrise Time (POA&gt;20 W/m2)]])*24,"")</f>
        <v/>
      </c>
      <c r="M227" s="17" t="str">
        <f>IFERROR(VLOOKUP(GA[[#This Row],[Affceted Equipment]],'Basic Data'!$A$1:$B$113,2,0),"")</f>
        <v/>
      </c>
      <c r="P227" s="28" t="str">
        <f>IFERROR(VLOOKUP(GA[[#This Row],[Affceted Equipment]],'Basic Data'!$A$2:$C$118,3,0),"")</f>
        <v/>
      </c>
      <c r="Q227" s="2"/>
      <c r="W227" s="34"/>
      <c r="X227" s="35"/>
      <c r="Y227" s="35"/>
      <c r="Z227" s="2"/>
      <c r="AA227" s="2"/>
      <c r="AB227" s="2" t="str">
        <f>IFERROR(GA[[#This Row],[Plant Equivalent Weightage]]*GA[[#This Row],[Resolution Time]],"")</f>
        <v/>
      </c>
      <c r="AC227" s="2"/>
      <c r="AD227" s="32" t="str">
        <f>IFERROR((_xlfn.XLOOKUP(GA[[#This Row],[Month Year]],'Modelling New'!D:D,'Modelling New'!$O:$O)*GA[[#This Row],[Lost POA (Wh/m2)]]*GA[[#This Row],[DC Capacity Affceted (kW)]])/1000,"")</f>
        <v/>
      </c>
      <c r="AE227" s="2"/>
    </row>
    <row r="228" spans="1:31">
      <c r="A228" s="2">
        <f t="shared" si="22"/>
        <v>226</v>
      </c>
      <c r="B228" s="156">
        <f t="shared" si="20"/>
        <v>1900</v>
      </c>
      <c r="C228" s="129">
        <f t="shared" si="21"/>
        <v>1900</v>
      </c>
      <c r="I228" s="31" t="str">
        <f>IFERROR(VLOOKUP(GA[[#This Row],[Date]],Raw_Data[[#All],[Date]:[Sunset Time (POA&lt;20 W/m2)]],3,0),"")</f>
        <v/>
      </c>
      <c r="J228" s="31" t="str">
        <f>IFERROR(VLOOKUP(GA[[#This Row],[Date]],Raw_Data[[#All],[Date]:[Sunset Time (POA&lt;20 W/m2)]],4,0),"")</f>
        <v/>
      </c>
      <c r="K228" s="30" t="str">
        <f>IFERROR((GA[[#This Row],[Sunset Time (POA&lt;20 W/m2)]]-GA[[#This Row],[Sunrise Time (POA&gt;20 W/m2)]])*24,"")</f>
        <v/>
      </c>
      <c r="M228" s="17" t="str">
        <f>IFERROR(VLOOKUP(GA[[#This Row],[Affceted Equipment]],'Basic Data'!$A$1:$B$113,2,0),"")</f>
        <v/>
      </c>
      <c r="P228" s="28" t="str">
        <f>IFERROR(VLOOKUP(GA[[#This Row],[Affceted Equipment]],'Basic Data'!$A$2:$C$118,3,0),"")</f>
        <v/>
      </c>
      <c r="Q228" s="2"/>
      <c r="W228" s="34"/>
      <c r="X228" s="35"/>
      <c r="Y228" s="35"/>
      <c r="Z228" s="2"/>
      <c r="AA228" s="2"/>
      <c r="AB228" s="2" t="str">
        <f>IFERROR(GA[[#This Row],[Plant Equivalent Weightage]]*GA[[#This Row],[Resolution Time]],"")</f>
        <v/>
      </c>
      <c r="AC228" s="2"/>
      <c r="AD228" s="32" t="str">
        <f>IFERROR((_xlfn.XLOOKUP(GA[[#This Row],[Month Year]],'Modelling New'!D:D,'Modelling New'!$O:$O)*GA[[#This Row],[Lost POA (Wh/m2)]]*GA[[#This Row],[DC Capacity Affceted (kW)]])/1000,"")</f>
        <v/>
      </c>
      <c r="AE228" s="2"/>
    </row>
    <row r="229" spans="1:31">
      <c r="A229" s="2">
        <f t="shared" si="22"/>
        <v>227</v>
      </c>
      <c r="B229" s="156">
        <f t="shared" si="20"/>
        <v>1900</v>
      </c>
      <c r="C229" s="129">
        <f t="shared" si="21"/>
        <v>1900</v>
      </c>
      <c r="I229" s="31" t="str">
        <f>IFERROR(VLOOKUP(GA[[#This Row],[Date]],Raw_Data[[#All],[Date]:[Sunset Time (POA&lt;20 W/m2)]],3,0),"")</f>
        <v/>
      </c>
      <c r="J229" s="31" t="str">
        <f>IFERROR(VLOOKUP(GA[[#This Row],[Date]],Raw_Data[[#All],[Date]:[Sunset Time (POA&lt;20 W/m2)]],4,0),"")</f>
        <v/>
      </c>
      <c r="K229" s="30" t="str">
        <f>IFERROR((GA[[#This Row],[Sunset Time (POA&lt;20 W/m2)]]-GA[[#This Row],[Sunrise Time (POA&gt;20 W/m2)]])*24,"")</f>
        <v/>
      </c>
      <c r="M229" s="17" t="str">
        <f>IFERROR(VLOOKUP(GA[[#This Row],[Affceted Equipment]],'Basic Data'!$A$1:$B$113,2,0),"")</f>
        <v/>
      </c>
      <c r="P229" s="28" t="str">
        <f>IFERROR(VLOOKUP(GA[[#This Row],[Affceted Equipment]],'Basic Data'!$A$2:$C$118,3,0),"")</f>
        <v/>
      </c>
      <c r="Q229" s="2"/>
      <c r="W229" s="34"/>
      <c r="X229" s="35"/>
      <c r="Y229" s="35"/>
      <c r="Z229" s="2"/>
      <c r="AA229" s="2"/>
      <c r="AB229" s="2" t="str">
        <f>IFERROR(GA[[#This Row],[Plant Equivalent Weightage]]*GA[[#This Row],[Resolution Time]],"")</f>
        <v/>
      </c>
      <c r="AC229" s="2"/>
      <c r="AD229" s="32" t="str">
        <f>IFERROR((_xlfn.XLOOKUP(GA[[#This Row],[Month Year]],'Modelling New'!D:D,'Modelling New'!$O:$O)*GA[[#This Row],[Lost POA (Wh/m2)]]*GA[[#This Row],[DC Capacity Affceted (kW)]])/1000,"")</f>
        <v/>
      </c>
      <c r="AE229" s="2"/>
    </row>
    <row r="230" spans="1:31">
      <c r="A230" s="2">
        <f t="shared" si="22"/>
        <v>228</v>
      </c>
      <c r="B230" s="156">
        <f t="shared" si="20"/>
        <v>1900</v>
      </c>
      <c r="C230" s="129">
        <f t="shared" si="21"/>
        <v>1900</v>
      </c>
      <c r="I230" s="31" t="str">
        <f>IFERROR(VLOOKUP(GA[[#This Row],[Date]],Raw_Data[[#All],[Date]:[Sunset Time (POA&lt;20 W/m2)]],3,0),"")</f>
        <v/>
      </c>
      <c r="J230" s="31" t="str">
        <f>IFERROR(VLOOKUP(GA[[#This Row],[Date]],Raw_Data[[#All],[Date]:[Sunset Time (POA&lt;20 W/m2)]],4,0),"")</f>
        <v/>
      </c>
      <c r="K230" s="30" t="str">
        <f>IFERROR((GA[[#This Row],[Sunset Time (POA&lt;20 W/m2)]]-GA[[#This Row],[Sunrise Time (POA&gt;20 W/m2)]])*24,"")</f>
        <v/>
      </c>
      <c r="M230" s="17" t="str">
        <f>IFERROR(VLOOKUP(GA[[#This Row],[Affceted Equipment]],'Basic Data'!$A$1:$B$113,2,0),"")</f>
        <v/>
      </c>
      <c r="P230" s="28" t="str">
        <f>IFERROR(VLOOKUP(GA[[#This Row],[Affceted Equipment]],'Basic Data'!$A$2:$C$118,3,0),"")</f>
        <v/>
      </c>
      <c r="Q230" s="2"/>
      <c r="W230" s="34"/>
      <c r="X230" s="35"/>
      <c r="Y230" s="35"/>
      <c r="Z230" s="2"/>
      <c r="AA230" s="2"/>
      <c r="AB230" s="2" t="str">
        <f>IFERROR(GA[[#This Row],[Plant Equivalent Weightage]]*GA[[#This Row],[Resolution Time]],"")</f>
        <v/>
      </c>
      <c r="AC230" s="2"/>
      <c r="AD230" s="32" t="str">
        <f>IFERROR((_xlfn.XLOOKUP(GA[[#This Row],[Month Year]],'Modelling New'!D:D,'Modelling New'!$O:$O)*GA[[#This Row],[Lost POA (Wh/m2)]]*GA[[#This Row],[DC Capacity Affceted (kW)]])/1000,"")</f>
        <v/>
      </c>
      <c r="AE230" s="2"/>
    </row>
    <row r="231" spans="1:31">
      <c r="A231" s="2">
        <f t="shared" si="22"/>
        <v>229</v>
      </c>
      <c r="B231" s="156">
        <f t="shared" si="20"/>
        <v>1900</v>
      </c>
      <c r="C231" s="129">
        <f t="shared" si="21"/>
        <v>1900</v>
      </c>
      <c r="I231" s="31" t="str">
        <f>IFERROR(VLOOKUP(GA[[#This Row],[Date]],Raw_Data[[#All],[Date]:[Sunset Time (POA&lt;20 W/m2)]],3,0),"")</f>
        <v/>
      </c>
      <c r="J231" s="31" t="str">
        <f>IFERROR(VLOOKUP(GA[[#This Row],[Date]],Raw_Data[[#All],[Date]:[Sunset Time (POA&lt;20 W/m2)]],4,0),"")</f>
        <v/>
      </c>
      <c r="K231" s="30" t="str">
        <f>IFERROR((GA[[#This Row],[Sunset Time (POA&lt;20 W/m2)]]-GA[[#This Row],[Sunrise Time (POA&gt;20 W/m2)]])*24,"")</f>
        <v/>
      </c>
      <c r="M231" s="17" t="str">
        <f>IFERROR(VLOOKUP(GA[[#This Row],[Affceted Equipment]],'Basic Data'!$A$1:$B$113,2,0),"")</f>
        <v/>
      </c>
      <c r="P231" s="28" t="str">
        <f>IFERROR(VLOOKUP(GA[[#This Row],[Affceted Equipment]],'Basic Data'!$A$2:$C$118,3,0),"")</f>
        <v/>
      </c>
      <c r="Q231" s="2"/>
      <c r="W231" s="34"/>
      <c r="X231" s="35"/>
      <c r="Y231" s="35"/>
      <c r="Z231" s="2"/>
      <c r="AA231" s="2"/>
      <c r="AB231" s="2" t="str">
        <f>IFERROR(GA[[#This Row],[Plant Equivalent Weightage]]*GA[[#This Row],[Resolution Time]],"")</f>
        <v/>
      </c>
      <c r="AC231" s="2"/>
      <c r="AD231" s="32" t="str">
        <f>IFERROR((_xlfn.XLOOKUP(GA[[#This Row],[Month Year]],'Modelling New'!D:D,'Modelling New'!$O:$O)*GA[[#This Row],[Lost POA (Wh/m2)]]*GA[[#This Row],[DC Capacity Affceted (kW)]])/1000,"")</f>
        <v/>
      </c>
      <c r="AE231" s="2"/>
    </row>
    <row r="232" spans="1:31">
      <c r="A232" s="2">
        <f t="shared" si="22"/>
        <v>230</v>
      </c>
      <c r="B232" s="156">
        <f t="shared" si="20"/>
        <v>1900</v>
      </c>
      <c r="C232" s="129">
        <f t="shared" si="21"/>
        <v>1900</v>
      </c>
      <c r="I232" s="31" t="str">
        <f>IFERROR(VLOOKUP(GA[[#This Row],[Date]],Raw_Data[[#All],[Date]:[Sunset Time (POA&lt;20 W/m2)]],3,0),"")</f>
        <v/>
      </c>
      <c r="J232" s="31" t="str">
        <f>IFERROR(VLOOKUP(GA[[#This Row],[Date]],Raw_Data[[#All],[Date]:[Sunset Time (POA&lt;20 W/m2)]],4,0),"")</f>
        <v/>
      </c>
      <c r="K232" s="30" t="str">
        <f>IFERROR((GA[[#This Row],[Sunset Time (POA&lt;20 W/m2)]]-GA[[#This Row],[Sunrise Time (POA&gt;20 W/m2)]])*24,"")</f>
        <v/>
      </c>
      <c r="M232" s="17" t="str">
        <f>IFERROR(VLOOKUP(GA[[#This Row],[Affceted Equipment]],'Basic Data'!$A$1:$B$113,2,0),"")</f>
        <v/>
      </c>
      <c r="P232" s="28" t="str">
        <f>IFERROR(VLOOKUP(GA[[#This Row],[Affceted Equipment]],'Basic Data'!$A$2:$C$118,3,0),"")</f>
        <v/>
      </c>
      <c r="Q232" s="2"/>
      <c r="W232" s="34"/>
      <c r="X232" s="35"/>
      <c r="Y232" s="35"/>
      <c r="Z232" s="2"/>
      <c r="AA232" s="2"/>
      <c r="AB232" s="2" t="str">
        <f>IFERROR(GA[[#This Row],[Plant Equivalent Weightage]]*GA[[#This Row],[Resolution Time]],"")</f>
        <v/>
      </c>
      <c r="AC232" s="2"/>
      <c r="AD232" s="32" t="str">
        <f>IFERROR((_xlfn.XLOOKUP(GA[[#This Row],[Month Year]],'Modelling New'!D:D,'Modelling New'!$O:$O)*GA[[#This Row],[Lost POA (Wh/m2)]]*GA[[#This Row],[DC Capacity Affceted (kW)]])/1000,"")</f>
        <v/>
      </c>
      <c r="AE232" s="2"/>
    </row>
    <row r="233" spans="1:31">
      <c r="A233" s="2">
        <f t="shared" si="22"/>
        <v>231</v>
      </c>
      <c r="B233" s="156">
        <f t="shared" si="20"/>
        <v>1900</v>
      </c>
      <c r="C233" s="129">
        <f t="shared" si="21"/>
        <v>1900</v>
      </c>
      <c r="I233" s="31" t="str">
        <f>IFERROR(VLOOKUP(GA[[#This Row],[Date]],Raw_Data[[#All],[Date]:[Sunset Time (POA&lt;20 W/m2)]],3,0),"")</f>
        <v/>
      </c>
      <c r="J233" s="31" t="str">
        <f>IFERROR(VLOOKUP(GA[[#This Row],[Date]],Raw_Data[[#All],[Date]:[Sunset Time (POA&lt;20 W/m2)]],4,0),"")</f>
        <v/>
      </c>
      <c r="K233" s="30" t="str">
        <f>IFERROR((GA[[#This Row],[Sunset Time (POA&lt;20 W/m2)]]-GA[[#This Row],[Sunrise Time (POA&gt;20 W/m2)]])*24,"")</f>
        <v/>
      </c>
      <c r="M233" s="17" t="str">
        <f>IFERROR(VLOOKUP(GA[[#This Row],[Affceted Equipment]],'Basic Data'!$A$1:$B$113,2,0),"")</f>
        <v/>
      </c>
      <c r="P233" s="28" t="str">
        <f>IFERROR(VLOOKUP(GA[[#This Row],[Affceted Equipment]],'Basic Data'!$A$2:$C$118,3,0),"")</f>
        <v/>
      </c>
      <c r="Q233" s="2"/>
      <c r="W233" s="34"/>
      <c r="X233" s="35"/>
      <c r="Y233" s="35"/>
      <c r="Z233" s="2"/>
      <c r="AA233" s="2"/>
      <c r="AB233" s="2" t="str">
        <f>IFERROR(GA[[#This Row],[Plant Equivalent Weightage]]*GA[[#This Row],[Resolution Time]],"")</f>
        <v/>
      </c>
      <c r="AC233" s="2"/>
      <c r="AD233" s="32" t="str">
        <f>IFERROR((_xlfn.XLOOKUP(GA[[#This Row],[Month Year]],'Modelling New'!D:D,'Modelling New'!$O:$O)*GA[[#This Row],[Lost POA (Wh/m2)]]*GA[[#This Row],[DC Capacity Affceted (kW)]])/1000,"")</f>
        <v/>
      </c>
      <c r="AE233" s="2"/>
    </row>
    <row r="234" spans="1:31">
      <c r="A234" s="2">
        <f t="shared" si="22"/>
        <v>232</v>
      </c>
      <c r="B234" s="156">
        <f t="shared" si="20"/>
        <v>1900</v>
      </c>
      <c r="C234" s="129">
        <f t="shared" si="21"/>
        <v>1900</v>
      </c>
      <c r="I234" s="31" t="str">
        <f>IFERROR(VLOOKUP(GA[[#This Row],[Date]],Raw_Data[[#All],[Date]:[Sunset Time (POA&lt;20 W/m2)]],3,0),"")</f>
        <v/>
      </c>
      <c r="J234" s="31" t="str">
        <f>IFERROR(VLOOKUP(GA[[#This Row],[Date]],Raw_Data[[#All],[Date]:[Sunset Time (POA&lt;20 W/m2)]],4,0),"")</f>
        <v/>
      </c>
      <c r="K234" s="30" t="str">
        <f>IFERROR((GA[[#This Row],[Sunset Time (POA&lt;20 W/m2)]]-GA[[#This Row],[Sunrise Time (POA&gt;20 W/m2)]])*24,"")</f>
        <v/>
      </c>
      <c r="M234" s="17" t="str">
        <f>IFERROR(VLOOKUP(GA[[#This Row],[Affceted Equipment]],'Basic Data'!$A$1:$B$113,2,0),"")</f>
        <v/>
      </c>
      <c r="P234" s="28" t="str">
        <f>IFERROR(VLOOKUP(GA[[#This Row],[Affceted Equipment]],'Basic Data'!$A$2:$C$118,3,0),"")</f>
        <v/>
      </c>
      <c r="Q234" s="2"/>
      <c r="W234" s="34"/>
      <c r="X234" s="35"/>
      <c r="Y234" s="35"/>
      <c r="Z234" s="2"/>
      <c r="AA234" s="2"/>
      <c r="AB234" s="2" t="str">
        <f>IFERROR(GA[[#This Row],[Plant Equivalent Weightage]]*GA[[#This Row],[Resolution Time]],"")</f>
        <v/>
      </c>
      <c r="AC234" s="2"/>
      <c r="AD234" s="32" t="str">
        <f>IFERROR((_xlfn.XLOOKUP(GA[[#This Row],[Month Year]],'Modelling New'!D:D,'Modelling New'!$O:$O)*GA[[#This Row],[Lost POA (Wh/m2)]]*GA[[#This Row],[DC Capacity Affceted (kW)]])/1000,"")</f>
        <v/>
      </c>
      <c r="AE234" s="2"/>
    </row>
    <row r="235" spans="1:31">
      <c r="A235" s="2">
        <f t="shared" si="22"/>
        <v>233</v>
      </c>
      <c r="B235" s="156">
        <f t="shared" si="20"/>
        <v>1900</v>
      </c>
      <c r="C235" s="129">
        <f t="shared" si="21"/>
        <v>1900</v>
      </c>
      <c r="I235" s="31" t="str">
        <f>IFERROR(VLOOKUP(GA[[#This Row],[Date]],Raw_Data[[#All],[Date]:[Sunset Time (POA&lt;20 W/m2)]],3,0),"")</f>
        <v/>
      </c>
      <c r="J235" s="31" t="str">
        <f>IFERROR(VLOOKUP(GA[[#This Row],[Date]],Raw_Data[[#All],[Date]:[Sunset Time (POA&lt;20 W/m2)]],4,0),"")</f>
        <v/>
      </c>
      <c r="K235" s="30" t="str">
        <f>IFERROR((GA[[#This Row],[Sunset Time (POA&lt;20 W/m2)]]-GA[[#This Row],[Sunrise Time (POA&gt;20 W/m2)]])*24,"")</f>
        <v/>
      </c>
      <c r="M235" s="17" t="str">
        <f>IFERROR(VLOOKUP(GA[[#This Row],[Affceted Equipment]],'Basic Data'!$A$1:$B$113,2,0),"")</f>
        <v/>
      </c>
      <c r="P235" s="28" t="str">
        <f>IFERROR(VLOOKUP(GA[[#This Row],[Affceted Equipment]],'Basic Data'!$A$2:$C$118,3,0),"")</f>
        <v/>
      </c>
      <c r="Q235" s="2"/>
      <c r="W235" s="34"/>
      <c r="X235" s="35"/>
      <c r="Y235" s="35"/>
      <c r="Z235" s="2"/>
      <c r="AA235" s="2"/>
      <c r="AB235" s="2" t="str">
        <f>IFERROR(GA[[#This Row],[Plant Equivalent Weightage]]*GA[[#This Row],[Resolution Time]],"")</f>
        <v/>
      </c>
      <c r="AC235" s="2"/>
      <c r="AD235" s="32" t="str">
        <f>IFERROR((_xlfn.XLOOKUP(GA[[#This Row],[Month Year]],'Modelling New'!D:D,'Modelling New'!$O:$O)*GA[[#This Row],[Lost POA (Wh/m2)]]*GA[[#This Row],[DC Capacity Affceted (kW)]])/1000,"")</f>
        <v/>
      </c>
      <c r="AE235" s="2"/>
    </row>
    <row r="236" spans="1:31">
      <c r="A236" s="2">
        <f t="shared" si="22"/>
        <v>234</v>
      </c>
      <c r="B236" s="156">
        <f t="shared" si="20"/>
        <v>1900</v>
      </c>
      <c r="C236" s="129">
        <f t="shared" si="21"/>
        <v>1900</v>
      </c>
      <c r="I236" s="31" t="str">
        <f>IFERROR(VLOOKUP(GA[[#This Row],[Date]],Raw_Data[[#All],[Date]:[Sunset Time (POA&lt;20 W/m2)]],3,0),"")</f>
        <v/>
      </c>
      <c r="J236" s="31" t="str">
        <f>IFERROR(VLOOKUP(GA[[#This Row],[Date]],Raw_Data[[#All],[Date]:[Sunset Time (POA&lt;20 W/m2)]],4,0),"")</f>
        <v/>
      </c>
      <c r="K236" s="30" t="str">
        <f>IFERROR((GA[[#This Row],[Sunset Time (POA&lt;20 W/m2)]]-GA[[#This Row],[Sunrise Time (POA&gt;20 W/m2)]])*24,"")</f>
        <v/>
      </c>
      <c r="M236" s="17" t="str">
        <f>IFERROR(VLOOKUP(GA[[#This Row],[Affceted Equipment]],'Basic Data'!$A$1:$B$113,2,0),"")</f>
        <v/>
      </c>
      <c r="P236" s="28" t="str">
        <f>IFERROR(VLOOKUP(GA[[#This Row],[Affceted Equipment]],'Basic Data'!$A$2:$C$118,3,0),"")</f>
        <v/>
      </c>
      <c r="Q236" s="2"/>
      <c r="W236" s="34"/>
      <c r="X236" s="35"/>
      <c r="Y236" s="35"/>
      <c r="Z236" s="2"/>
      <c r="AA236" s="2"/>
      <c r="AB236" s="2" t="str">
        <f>IFERROR(GA[[#This Row],[Plant Equivalent Weightage]]*GA[[#This Row],[Resolution Time]],"")</f>
        <v/>
      </c>
      <c r="AC236" s="2"/>
      <c r="AD236" s="32" t="str">
        <f>IFERROR((_xlfn.XLOOKUP(GA[[#This Row],[Month Year]],'Modelling New'!D:D,'Modelling New'!$O:$O)*GA[[#This Row],[Lost POA (Wh/m2)]]*GA[[#This Row],[DC Capacity Affceted (kW)]])/1000,"")</f>
        <v/>
      </c>
      <c r="AE236" s="2"/>
    </row>
    <row r="237" spans="1:31">
      <c r="A237" s="2">
        <f t="shared" si="22"/>
        <v>235</v>
      </c>
      <c r="B237" s="156">
        <f t="shared" si="20"/>
        <v>1900</v>
      </c>
      <c r="C237" s="129">
        <f t="shared" si="21"/>
        <v>1900</v>
      </c>
      <c r="I237" s="31" t="str">
        <f>IFERROR(VLOOKUP(GA[[#This Row],[Date]],Raw_Data[[#All],[Date]:[Sunset Time (POA&lt;20 W/m2)]],3,0),"")</f>
        <v/>
      </c>
      <c r="J237" s="31" t="str">
        <f>IFERROR(VLOOKUP(GA[[#This Row],[Date]],Raw_Data[[#All],[Date]:[Sunset Time (POA&lt;20 W/m2)]],4,0),"")</f>
        <v/>
      </c>
      <c r="K237" s="30" t="str">
        <f>IFERROR((GA[[#This Row],[Sunset Time (POA&lt;20 W/m2)]]-GA[[#This Row],[Sunrise Time (POA&gt;20 W/m2)]])*24,"")</f>
        <v/>
      </c>
      <c r="M237" s="17" t="str">
        <f>IFERROR(VLOOKUP(GA[[#This Row],[Affceted Equipment]],'Basic Data'!$A$1:$B$113,2,0),"")</f>
        <v/>
      </c>
      <c r="P237" s="28" t="str">
        <f>IFERROR(VLOOKUP(GA[[#This Row],[Affceted Equipment]],'Basic Data'!$A$2:$C$118,3,0),"")</f>
        <v/>
      </c>
      <c r="Q237" s="2"/>
      <c r="W237" s="34"/>
      <c r="X237" s="35"/>
      <c r="Y237" s="35"/>
      <c r="Z237" s="2"/>
      <c r="AA237" s="2"/>
      <c r="AB237" s="2" t="str">
        <f>IFERROR(GA[[#This Row],[Plant Equivalent Weightage]]*GA[[#This Row],[Resolution Time]],"")</f>
        <v/>
      </c>
      <c r="AC237" s="2"/>
      <c r="AD237" s="32" t="str">
        <f>IFERROR((_xlfn.XLOOKUP(GA[[#This Row],[Month Year]],'Modelling New'!D:D,'Modelling New'!$O:$O)*GA[[#This Row],[Lost POA (Wh/m2)]]*GA[[#This Row],[DC Capacity Affceted (kW)]])/1000,"")</f>
        <v/>
      </c>
      <c r="AE237" s="2"/>
    </row>
    <row r="238" spans="1:31">
      <c r="A238" s="2">
        <f t="shared" si="22"/>
        <v>236</v>
      </c>
      <c r="B238" s="156">
        <f t="shared" si="20"/>
        <v>1900</v>
      </c>
      <c r="C238" s="129">
        <f t="shared" si="21"/>
        <v>1900</v>
      </c>
      <c r="I238" s="31" t="str">
        <f>IFERROR(VLOOKUP(GA[[#This Row],[Date]],Raw_Data[[#All],[Date]:[Sunset Time (POA&lt;20 W/m2)]],3,0),"")</f>
        <v/>
      </c>
      <c r="J238" s="31" t="str">
        <f>IFERROR(VLOOKUP(GA[[#This Row],[Date]],Raw_Data[[#All],[Date]:[Sunset Time (POA&lt;20 W/m2)]],4,0),"")</f>
        <v/>
      </c>
      <c r="K238" s="30" t="str">
        <f>IFERROR((GA[[#This Row],[Sunset Time (POA&lt;20 W/m2)]]-GA[[#This Row],[Sunrise Time (POA&gt;20 W/m2)]])*24,"")</f>
        <v/>
      </c>
      <c r="M238" s="17" t="str">
        <f>IFERROR(VLOOKUP(GA[[#This Row],[Affceted Equipment]],'Basic Data'!$A$1:$B$113,2,0),"")</f>
        <v/>
      </c>
      <c r="P238" s="28" t="str">
        <f>IFERROR(VLOOKUP(GA[[#This Row],[Affceted Equipment]],'Basic Data'!$A$2:$C$118,3,0),"")</f>
        <v/>
      </c>
      <c r="Q238" s="2"/>
      <c r="W238" s="34"/>
      <c r="X238" s="35"/>
      <c r="Y238" s="35"/>
      <c r="Z238" s="2"/>
      <c r="AA238" s="2"/>
      <c r="AB238" s="2" t="str">
        <f>IFERROR(GA[[#This Row],[Plant Equivalent Weightage]]*GA[[#This Row],[Resolution Time]],"")</f>
        <v/>
      </c>
      <c r="AC238" s="2"/>
      <c r="AD238" s="32" t="str">
        <f>IFERROR((_xlfn.XLOOKUP(GA[[#This Row],[Month Year]],'Modelling New'!D:D,'Modelling New'!$O:$O)*GA[[#This Row],[Lost POA (Wh/m2)]]*GA[[#This Row],[DC Capacity Affceted (kW)]])/1000,"")</f>
        <v/>
      </c>
      <c r="AE238" s="2"/>
    </row>
    <row r="239" spans="1:31">
      <c r="A239" s="2">
        <f t="shared" si="22"/>
        <v>237</v>
      </c>
      <c r="B239" s="156">
        <f t="shared" si="20"/>
        <v>1900</v>
      </c>
      <c r="C239" s="129">
        <f t="shared" si="21"/>
        <v>1900</v>
      </c>
      <c r="I239" s="31" t="str">
        <f>IFERROR(VLOOKUP(GA[[#This Row],[Date]],Raw_Data[[#All],[Date]:[Sunset Time (POA&lt;20 W/m2)]],3,0),"")</f>
        <v/>
      </c>
      <c r="J239" s="31" t="str">
        <f>IFERROR(VLOOKUP(GA[[#This Row],[Date]],Raw_Data[[#All],[Date]:[Sunset Time (POA&lt;20 W/m2)]],4,0),"")</f>
        <v/>
      </c>
      <c r="K239" s="30" t="str">
        <f>IFERROR((GA[[#This Row],[Sunset Time (POA&lt;20 W/m2)]]-GA[[#This Row],[Sunrise Time (POA&gt;20 W/m2)]])*24,"")</f>
        <v/>
      </c>
      <c r="M239" s="17" t="str">
        <f>IFERROR(VLOOKUP(GA[[#This Row],[Affceted Equipment]],'Basic Data'!$A$1:$B$113,2,0),"")</f>
        <v/>
      </c>
      <c r="P239" s="28" t="str">
        <f>IFERROR(VLOOKUP(GA[[#This Row],[Affceted Equipment]],'Basic Data'!$A$2:$C$118,3,0),"")</f>
        <v/>
      </c>
      <c r="Q239" s="2"/>
      <c r="W239" s="34"/>
      <c r="X239" s="35"/>
      <c r="Y239" s="35"/>
      <c r="Z239" s="2"/>
      <c r="AA239" s="2"/>
      <c r="AB239" s="2" t="str">
        <f>IFERROR(GA[[#This Row],[Plant Equivalent Weightage]]*GA[[#This Row],[Resolution Time]],"")</f>
        <v/>
      </c>
      <c r="AC239" s="2"/>
      <c r="AD239" s="32" t="str">
        <f>IFERROR((_xlfn.XLOOKUP(GA[[#This Row],[Month Year]],'Modelling New'!D:D,'Modelling New'!$O:$O)*GA[[#This Row],[Lost POA (Wh/m2)]]*GA[[#This Row],[DC Capacity Affceted (kW)]])/1000,"")</f>
        <v/>
      </c>
      <c r="AE239" s="2"/>
    </row>
    <row r="240" spans="1:31">
      <c r="A240" s="2">
        <f t="shared" si="22"/>
        <v>238</v>
      </c>
      <c r="B240" s="156">
        <f t="shared" si="20"/>
        <v>1900</v>
      </c>
      <c r="C240" s="129">
        <f t="shared" si="21"/>
        <v>1900</v>
      </c>
      <c r="I240" s="31" t="str">
        <f>IFERROR(VLOOKUP(GA[[#This Row],[Date]],Raw_Data[[#All],[Date]:[Sunset Time (POA&lt;20 W/m2)]],3,0),"")</f>
        <v/>
      </c>
      <c r="J240" s="31" t="str">
        <f>IFERROR(VLOOKUP(GA[[#This Row],[Date]],Raw_Data[[#All],[Date]:[Sunset Time (POA&lt;20 W/m2)]],4,0),"")</f>
        <v/>
      </c>
      <c r="K240" s="30" t="str">
        <f>IFERROR((GA[[#This Row],[Sunset Time (POA&lt;20 W/m2)]]-GA[[#This Row],[Sunrise Time (POA&gt;20 W/m2)]])*24,"")</f>
        <v/>
      </c>
      <c r="M240" s="17" t="str">
        <f>IFERROR(VLOOKUP(GA[[#This Row],[Affceted Equipment]],'Basic Data'!$A$1:$B$113,2,0),"")</f>
        <v/>
      </c>
      <c r="P240" s="28" t="str">
        <f>IFERROR(VLOOKUP(GA[[#This Row],[Affceted Equipment]],'Basic Data'!$A$2:$C$118,3,0),"")</f>
        <v/>
      </c>
      <c r="Q240" s="2"/>
      <c r="W240" s="34"/>
      <c r="X240" s="35"/>
      <c r="Y240" s="35"/>
      <c r="Z240" s="2"/>
      <c r="AA240" s="2"/>
      <c r="AB240" s="2" t="str">
        <f>IFERROR(GA[[#This Row],[Plant Equivalent Weightage]]*GA[[#This Row],[Resolution Time]],"")</f>
        <v/>
      </c>
      <c r="AC240" s="2"/>
      <c r="AD240" s="32" t="str">
        <f>IFERROR((_xlfn.XLOOKUP(GA[[#This Row],[Month Year]],'Modelling New'!D:D,'Modelling New'!$O:$O)*GA[[#This Row],[Lost POA (Wh/m2)]]*GA[[#This Row],[DC Capacity Affceted (kW)]])/1000,"")</f>
        <v/>
      </c>
      <c r="AE240" s="2"/>
    </row>
    <row r="241" spans="1:31">
      <c r="A241" s="2">
        <f t="shared" si="22"/>
        <v>239</v>
      </c>
      <c r="B241" s="156">
        <f t="shared" si="20"/>
        <v>1900</v>
      </c>
      <c r="C241" s="129">
        <f t="shared" si="21"/>
        <v>1900</v>
      </c>
      <c r="I241" s="31" t="str">
        <f>IFERROR(VLOOKUP(GA[[#This Row],[Date]],Raw_Data[[#All],[Date]:[Sunset Time (POA&lt;20 W/m2)]],3,0),"")</f>
        <v/>
      </c>
      <c r="J241" s="31" t="str">
        <f>IFERROR(VLOOKUP(GA[[#This Row],[Date]],Raw_Data[[#All],[Date]:[Sunset Time (POA&lt;20 W/m2)]],4,0),"")</f>
        <v/>
      </c>
      <c r="K241" s="30" t="str">
        <f>IFERROR((GA[[#This Row],[Sunset Time (POA&lt;20 W/m2)]]-GA[[#This Row],[Sunrise Time (POA&gt;20 W/m2)]])*24,"")</f>
        <v/>
      </c>
      <c r="M241" s="17" t="str">
        <f>IFERROR(VLOOKUP(GA[[#This Row],[Affceted Equipment]],'Basic Data'!$A$1:$B$113,2,0),"")</f>
        <v/>
      </c>
      <c r="P241" s="28" t="str">
        <f>IFERROR(VLOOKUP(GA[[#This Row],[Affceted Equipment]],'Basic Data'!$A$2:$C$118,3,0),"")</f>
        <v/>
      </c>
      <c r="Q241" s="2"/>
      <c r="W241" s="34"/>
      <c r="X241" s="35"/>
      <c r="Y241" s="35"/>
      <c r="Z241" s="2"/>
      <c r="AA241" s="2"/>
      <c r="AB241" s="2" t="str">
        <f>IFERROR(GA[[#This Row],[Plant Equivalent Weightage]]*GA[[#This Row],[Resolution Time]],"")</f>
        <v/>
      </c>
      <c r="AC241" s="2"/>
      <c r="AD241" s="32" t="str">
        <f>IFERROR((_xlfn.XLOOKUP(GA[[#This Row],[Month Year]],'Modelling New'!D:D,'Modelling New'!$O:$O)*GA[[#This Row],[Lost POA (Wh/m2)]]*GA[[#This Row],[DC Capacity Affceted (kW)]])/1000,"")</f>
        <v/>
      </c>
      <c r="AE241" s="2"/>
    </row>
    <row r="242" spans="1:31">
      <c r="A242" s="2">
        <f t="shared" si="22"/>
        <v>240</v>
      </c>
      <c r="B242" s="156">
        <f t="shared" si="20"/>
        <v>1900</v>
      </c>
      <c r="C242" s="129">
        <f t="shared" si="21"/>
        <v>1900</v>
      </c>
      <c r="I242" s="31" t="str">
        <f>IFERROR(VLOOKUP(GA[[#This Row],[Date]],Raw_Data[[#All],[Date]:[Sunset Time (POA&lt;20 W/m2)]],3,0),"")</f>
        <v/>
      </c>
      <c r="J242" s="31" t="str">
        <f>IFERROR(VLOOKUP(GA[[#This Row],[Date]],Raw_Data[[#All],[Date]:[Sunset Time (POA&lt;20 W/m2)]],4,0),"")</f>
        <v/>
      </c>
      <c r="K242" s="30" t="str">
        <f>IFERROR((GA[[#This Row],[Sunset Time (POA&lt;20 W/m2)]]-GA[[#This Row],[Sunrise Time (POA&gt;20 W/m2)]])*24,"")</f>
        <v/>
      </c>
      <c r="M242" s="17" t="str">
        <f>IFERROR(VLOOKUP(GA[[#This Row],[Affceted Equipment]],'Basic Data'!$A$1:$B$113,2,0),"")</f>
        <v/>
      </c>
      <c r="P242" s="28" t="str">
        <f>IFERROR(VLOOKUP(GA[[#This Row],[Affceted Equipment]],'Basic Data'!$A$2:$C$118,3,0),"")</f>
        <v/>
      </c>
      <c r="Q242" s="2"/>
      <c r="W242" s="34"/>
      <c r="X242" s="35"/>
      <c r="Y242" s="35"/>
      <c r="Z242" s="2"/>
      <c r="AA242" s="2"/>
      <c r="AB242" s="2" t="str">
        <f>IFERROR(GA[[#This Row],[Plant Equivalent Weightage]]*GA[[#This Row],[Resolution Time]],"")</f>
        <v/>
      </c>
      <c r="AC242" s="2"/>
      <c r="AD242" s="32" t="str">
        <f>IFERROR((_xlfn.XLOOKUP(GA[[#This Row],[Month Year]],'Modelling New'!D:D,'Modelling New'!$O:$O)*GA[[#This Row],[Lost POA (Wh/m2)]]*GA[[#This Row],[DC Capacity Affceted (kW)]])/1000,"")</f>
        <v/>
      </c>
      <c r="AE242" s="2"/>
    </row>
    <row r="243" spans="1:31">
      <c r="A243" s="2">
        <f t="shared" si="22"/>
        <v>241</v>
      </c>
      <c r="B243" s="156">
        <f t="shared" si="20"/>
        <v>1900</v>
      </c>
      <c r="C243" s="129">
        <f t="shared" si="21"/>
        <v>1900</v>
      </c>
      <c r="I243" s="31" t="str">
        <f>IFERROR(VLOOKUP(GA[[#This Row],[Date]],Raw_Data[[#All],[Date]:[Sunset Time (POA&lt;20 W/m2)]],3,0),"")</f>
        <v/>
      </c>
      <c r="J243" s="31" t="str">
        <f>IFERROR(VLOOKUP(GA[[#This Row],[Date]],Raw_Data[[#All],[Date]:[Sunset Time (POA&lt;20 W/m2)]],4,0),"")</f>
        <v/>
      </c>
      <c r="K243" s="30" t="str">
        <f>IFERROR((GA[[#This Row],[Sunset Time (POA&lt;20 W/m2)]]-GA[[#This Row],[Sunrise Time (POA&gt;20 W/m2)]])*24,"")</f>
        <v/>
      </c>
      <c r="M243" s="17" t="str">
        <f>IFERROR(VLOOKUP(GA[[#This Row],[Affceted Equipment]],'Basic Data'!$A$1:$B$113,2,0),"")</f>
        <v/>
      </c>
      <c r="P243" s="28" t="str">
        <f>IFERROR(VLOOKUP(GA[[#This Row],[Affceted Equipment]],'Basic Data'!$A$2:$C$118,3,0),"")</f>
        <v/>
      </c>
      <c r="Q243" s="2"/>
      <c r="W243" s="34"/>
      <c r="X243" s="35"/>
      <c r="Y243" s="35"/>
      <c r="Z243" s="2"/>
      <c r="AA243" s="2"/>
      <c r="AB243" s="2" t="str">
        <f>IFERROR(GA[[#This Row],[Plant Equivalent Weightage]]*GA[[#This Row],[Resolution Time]],"")</f>
        <v/>
      </c>
      <c r="AC243" s="2"/>
      <c r="AD243" s="32" t="str">
        <f>IFERROR((_xlfn.XLOOKUP(GA[[#This Row],[Month Year]],'Modelling New'!D:D,'Modelling New'!$O:$O)*GA[[#This Row],[Lost POA (Wh/m2)]]*GA[[#This Row],[DC Capacity Affceted (kW)]])/1000,"")</f>
        <v/>
      </c>
      <c r="AE243" s="2"/>
    </row>
    <row r="244" spans="1:31">
      <c r="A244" s="2">
        <f t="shared" si="22"/>
        <v>242</v>
      </c>
      <c r="B244" s="156">
        <f t="shared" si="20"/>
        <v>1900</v>
      </c>
      <c r="C244" s="129">
        <f t="shared" si="21"/>
        <v>1900</v>
      </c>
      <c r="I244" s="31" t="str">
        <f>IFERROR(VLOOKUP(GA[[#This Row],[Date]],Raw_Data[[#All],[Date]:[Sunset Time (POA&lt;20 W/m2)]],3,0),"")</f>
        <v/>
      </c>
      <c r="J244" s="31" t="str">
        <f>IFERROR(VLOOKUP(GA[[#This Row],[Date]],Raw_Data[[#All],[Date]:[Sunset Time (POA&lt;20 W/m2)]],4,0),"")</f>
        <v/>
      </c>
      <c r="K244" s="30" t="str">
        <f>IFERROR((GA[[#This Row],[Sunset Time (POA&lt;20 W/m2)]]-GA[[#This Row],[Sunrise Time (POA&gt;20 W/m2)]])*24,"")</f>
        <v/>
      </c>
      <c r="M244" s="17" t="str">
        <f>IFERROR(VLOOKUP(GA[[#This Row],[Affceted Equipment]],'Basic Data'!$A$1:$B$113,2,0),"")</f>
        <v/>
      </c>
      <c r="P244" s="28" t="str">
        <f>IFERROR(VLOOKUP(GA[[#This Row],[Affceted Equipment]],'Basic Data'!$A$2:$C$118,3,0),"")</f>
        <v/>
      </c>
      <c r="Q244" s="2"/>
      <c r="W244" s="34"/>
      <c r="X244" s="35"/>
      <c r="Y244" s="35"/>
      <c r="Z244" s="2"/>
      <c r="AA244" s="2"/>
      <c r="AB244" s="2" t="str">
        <f>IFERROR(GA[[#This Row],[Plant Equivalent Weightage]]*GA[[#This Row],[Resolution Time]],"")</f>
        <v/>
      </c>
      <c r="AC244" s="2"/>
      <c r="AD244" s="32" t="str">
        <f>IFERROR((_xlfn.XLOOKUP(GA[[#This Row],[Month Year]],'Modelling New'!D:D,'Modelling New'!$O:$O)*GA[[#This Row],[Lost POA (Wh/m2)]]*GA[[#This Row],[DC Capacity Affceted (kW)]])/1000,"")</f>
        <v/>
      </c>
      <c r="AE244" s="2"/>
    </row>
    <row r="245" spans="1:31">
      <c r="A245" s="2">
        <f t="shared" si="22"/>
        <v>243</v>
      </c>
      <c r="B245" s="156">
        <f t="shared" si="20"/>
        <v>1900</v>
      </c>
      <c r="C245" s="129">
        <f t="shared" si="21"/>
        <v>1900</v>
      </c>
      <c r="I245" s="31" t="str">
        <f>IFERROR(VLOOKUP(GA[[#This Row],[Date]],Raw_Data[[#All],[Date]:[Sunset Time (POA&lt;20 W/m2)]],3,0),"")</f>
        <v/>
      </c>
      <c r="J245" s="31" t="str">
        <f>IFERROR(VLOOKUP(GA[[#This Row],[Date]],Raw_Data[[#All],[Date]:[Sunset Time (POA&lt;20 W/m2)]],4,0),"")</f>
        <v/>
      </c>
      <c r="K245" s="30" t="str">
        <f>IFERROR((GA[[#This Row],[Sunset Time (POA&lt;20 W/m2)]]-GA[[#This Row],[Sunrise Time (POA&gt;20 W/m2)]])*24,"")</f>
        <v/>
      </c>
      <c r="M245" s="17" t="str">
        <f>IFERROR(VLOOKUP(GA[[#This Row],[Affceted Equipment]],'Basic Data'!$A$1:$B$113,2,0),"")</f>
        <v/>
      </c>
      <c r="P245" s="28" t="str">
        <f>IFERROR(VLOOKUP(GA[[#This Row],[Affceted Equipment]],'Basic Data'!$A$2:$C$118,3,0),"")</f>
        <v/>
      </c>
      <c r="Q245" s="2"/>
      <c r="W245" s="34"/>
      <c r="X245" s="35"/>
      <c r="Y245" s="35"/>
      <c r="Z245" s="2"/>
      <c r="AA245" s="2"/>
      <c r="AB245" s="2" t="str">
        <f>IFERROR(GA[[#This Row],[Plant Equivalent Weightage]]*GA[[#This Row],[Resolution Time]],"")</f>
        <v/>
      </c>
      <c r="AC245" s="2"/>
      <c r="AD245" s="32" t="str">
        <f>IFERROR((_xlfn.XLOOKUP(GA[[#This Row],[Month Year]],'Modelling New'!D:D,'Modelling New'!$O:$O)*GA[[#This Row],[Lost POA (Wh/m2)]]*GA[[#This Row],[DC Capacity Affceted (kW)]])/1000,"")</f>
        <v/>
      </c>
      <c r="AE245" s="2"/>
    </row>
    <row r="246" spans="1:31">
      <c r="A246" s="2">
        <f t="shared" si="22"/>
        <v>244</v>
      </c>
      <c r="B246" s="156">
        <f t="shared" si="20"/>
        <v>1900</v>
      </c>
      <c r="C246" s="129">
        <f t="shared" si="21"/>
        <v>1900</v>
      </c>
      <c r="I246" s="31" t="str">
        <f>IFERROR(VLOOKUP(GA[[#This Row],[Date]],Raw_Data[[#All],[Date]:[Sunset Time (POA&lt;20 W/m2)]],3,0),"")</f>
        <v/>
      </c>
      <c r="J246" s="31" t="str">
        <f>IFERROR(VLOOKUP(GA[[#This Row],[Date]],Raw_Data[[#All],[Date]:[Sunset Time (POA&lt;20 W/m2)]],4,0),"")</f>
        <v/>
      </c>
      <c r="K246" s="30" t="str">
        <f>IFERROR((GA[[#This Row],[Sunset Time (POA&lt;20 W/m2)]]-GA[[#This Row],[Sunrise Time (POA&gt;20 W/m2)]])*24,"")</f>
        <v/>
      </c>
      <c r="M246" s="17" t="str">
        <f>IFERROR(VLOOKUP(GA[[#This Row],[Affceted Equipment]],'Basic Data'!$A$1:$B$113,2,0),"")</f>
        <v/>
      </c>
      <c r="P246" s="28" t="str">
        <f>IFERROR(VLOOKUP(GA[[#This Row],[Affceted Equipment]],'Basic Data'!$A$2:$C$118,3,0),"")</f>
        <v/>
      </c>
      <c r="Q246" s="2"/>
      <c r="W246" s="34"/>
      <c r="X246" s="35"/>
      <c r="Y246" s="35"/>
      <c r="Z246" s="2"/>
      <c r="AA246" s="2"/>
      <c r="AB246" s="2" t="str">
        <f>IFERROR(GA[[#This Row],[Plant Equivalent Weightage]]*GA[[#This Row],[Resolution Time]],"")</f>
        <v/>
      </c>
      <c r="AC246" s="2"/>
      <c r="AD246" s="32" t="str">
        <f>IFERROR((_xlfn.XLOOKUP(GA[[#This Row],[Month Year]],'Modelling New'!D:D,'Modelling New'!$O:$O)*GA[[#This Row],[Lost POA (Wh/m2)]]*GA[[#This Row],[DC Capacity Affceted (kW)]])/1000,"")</f>
        <v/>
      </c>
      <c r="AE246" s="2"/>
    </row>
    <row r="247" spans="1:31">
      <c r="A247" s="2">
        <f t="shared" si="22"/>
        <v>245</v>
      </c>
      <c r="B247" s="156">
        <f t="shared" si="20"/>
        <v>1900</v>
      </c>
      <c r="C247" s="129">
        <f t="shared" si="21"/>
        <v>1900</v>
      </c>
      <c r="I247" s="31" t="str">
        <f>IFERROR(VLOOKUP(GA[[#This Row],[Date]],Raw_Data[[#All],[Date]:[Sunset Time (POA&lt;20 W/m2)]],3,0),"")</f>
        <v/>
      </c>
      <c r="J247" s="31" t="str">
        <f>IFERROR(VLOOKUP(GA[[#This Row],[Date]],Raw_Data[[#All],[Date]:[Sunset Time (POA&lt;20 W/m2)]],4,0),"")</f>
        <v/>
      </c>
      <c r="K247" s="30" t="str">
        <f>IFERROR((GA[[#This Row],[Sunset Time (POA&lt;20 W/m2)]]-GA[[#This Row],[Sunrise Time (POA&gt;20 W/m2)]])*24,"")</f>
        <v/>
      </c>
      <c r="M247" s="17" t="str">
        <f>IFERROR(VLOOKUP(GA[[#This Row],[Affceted Equipment]],'Basic Data'!$A$1:$B$113,2,0),"")</f>
        <v/>
      </c>
      <c r="P247" s="28" t="str">
        <f>IFERROR(VLOOKUP(GA[[#This Row],[Affceted Equipment]],'Basic Data'!$A$2:$C$118,3,0),"")</f>
        <v/>
      </c>
      <c r="Q247" s="2"/>
      <c r="W247" s="34"/>
      <c r="X247" s="35"/>
      <c r="Y247" s="35"/>
      <c r="Z247" s="2"/>
      <c r="AA247" s="2"/>
      <c r="AB247" s="2" t="str">
        <f>IFERROR(GA[[#This Row],[Plant Equivalent Weightage]]*GA[[#This Row],[Resolution Time]],"")</f>
        <v/>
      </c>
      <c r="AC247" s="2"/>
      <c r="AD247" s="32" t="str">
        <f>IFERROR((_xlfn.XLOOKUP(GA[[#This Row],[Month Year]],'Modelling New'!D:D,'Modelling New'!$O:$O)*GA[[#This Row],[Lost POA (Wh/m2)]]*GA[[#This Row],[DC Capacity Affceted (kW)]])/1000,"")</f>
        <v/>
      </c>
      <c r="AE247" s="2"/>
    </row>
    <row r="248" spans="1:31">
      <c r="A248" s="2">
        <f t="shared" si="22"/>
        <v>246</v>
      </c>
      <c r="B248" s="156">
        <f t="shared" si="20"/>
        <v>1900</v>
      </c>
      <c r="C248" s="129">
        <f t="shared" si="21"/>
        <v>1900</v>
      </c>
      <c r="I248" s="31" t="str">
        <f>IFERROR(VLOOKUP(GA[[#This Row],[Date]],Raw_Data[[#All],[Date]:[Sunset Time (POA&lt;20 W/m2)]],3,0),"")</f>
        <v/>
      </c>
      <c r="J248" s="31" t="str">
        <f>IFERROR(VLOOKUP(GA[[#This Row],[Date]],Raw_Data[[#All],[Date]:[Sunset Time (POA&lt;20 W/m2)]],4,0),"")</f>
        <v/>
      </c>
      <c r="K248" s="30" t="str">
        <f>IFERROR((GA[[#This Row],[Sunset Time (POA&lt;20 W/m2)]]-GA[[#This Row],[Sunrise Time (POA&gt;20 W/m2)]])*24,"")</f>
        <v/>
      </c>
      <c r="M248" s="17" t="str">
        <f>IFERROR(VLOOKUP(GA[[#This Row],[Affceted Equipment]],'Basic Data'!$A$1:$B$113,2,0),"")</f>
        <v/>
      </c>
      <c r="P248" s="28" t="str">
        <f>IFERROR(VLOOKUP(GA[[#This Row],[Affceted Equipment]],'Basic Data'!$A$2:$C$118,3,0),"")</f>
        <v/>
      </c>
      <c r="Q248" s="2"/>
      <c r="W248" s="34"/>
      <c r="X248" s="35"/>
      <c r="Y248" s="35"/>
      <c r="Z248" s="2"/>
      <c r="AA248" s="2"/>
      <c r="AB248" s="2" t="str">
        <f>IFERROR(GA[[#This Row],[Plant Equivalent Weightage]]*GA[[#This Row],[Resolution Time]],"")</f>
        <v/>
      </c>
      <c r="AC248" s="2"/>
      <c r="AD248" s="32" t="str">
        <f>IFERROR((_xlfn.XLOOKUP(GA[[#This Row],[Month Year]],'Modelling New'!D:D,'Modelling New'!$O:$O)*GA[[#This Row],[Lost POA (Wh/m2)]]*GA[[#This Row],[DC Capacity Affceted (kW)]])/1000,"")</f>
        <v/>
      </c>
      <c r="AE248" s="2"/>
    </row>
    <row r="249" spans="1:31">
      <c r="A249" s="2">
        <f t="shared" si="22"/>
        <v>247</v>
      </c>
      <c r="B249" s="156">
        <f t="shared" si="20"/>
        <v>1900</v>
      </c>
      <c r="C249" s="129">
        <f t="shared" si="21"/>
        <v>1900</v>
      </c>
      <c r="I249" s="31" t="str">
        <f>IFERROR(VLOOKUP(GA[[#This Row],[Date]],Raw_Data[[#All],[Date]:[Sunset Time (POA&lt;20 W/m2)]],3,0),"")</f>
        <v/>
      </c>
      <c r="J249" s="31" t="str">
        <f>IFERROR(VLOOKUP(GA[[#This Row],[Date]],Raw_Data[[#All],[Date]:[Sunset Time (POA&lt;20 W/m2)]],4,0),"")</f>
        <v/>
      </c>
      <c r="K249" s="30" t="str">
        <f>IFERROR((GA[[#This Row],[Sunset Time (POA&lt;20 W/m2)]]-GA[[#This Row],[Sunrise Time (POA&gt;20 W/m2)]])*24,"")</f>
        <v/>
      </c>
      <c r="M249" s="17" t="str">
        <f>IFERROR(VLOOKUP(GA[[#This Row],[Affceted Equipment]],'Basic Data'!$A$1:$B$113,2,0),"")</f>
        <v/>
      </c>
      <c r="P249" s="28" t="str">
        <f>IFERROR(VLOOKUP(GA[[#This Row],[Affceted Equipment]],'Basic Data'!$A$2:$C$118,3,0),"")</f>
        <v/>
      </c>
      <c r="Q249" s="2"/>
      <c r="W249" s="34"/>
      <c r="X249" s="35"/>
      <c r="Y249" s="35"/>
      <c r="Z249" s="2"/>
      <c r="AA249" s="2"/>
      <c r="AB249" s="2" t="str">
        <f>IFERROR(GA[[#This Row],[Plant Equivalent Weightage]]*GA[[#This Row],[Resolution Time]],"")</f>
        <v/>
      </c>
      <c r="AC249" s="2"/>
      <c r="AD249" s="32" t="str">
        <f>IFERROR((_xlfn.XLOOKUP(GA[[#This Row],[Month Year]],'Modelling New'!D:D,'Modelling New'!$O:$O)*GA[[#This Row],[Lost POA (Wh/m2)]]*GA[[#This Row],[DC Capacity Affceted (kW)]])/1000,"")</f>
        <v/>
      </c>
      <c r="AE249" s="2"/>
    </row>
    <row r="250" spans="1:31">
      <c r="A250" s="2">
        <f t="shared" si="22"/>
        <v>248</v>
      </c>
      <c r="B250" s="156">
        <f t="shared" si="20"/>
        <v>1900</v>
      </c>
      <c r="C250" s="129">
        <f t="shared" si="21"/>
        <v>1900</v>
      </c>
      <c r="I250" s="31" t="str">
        <f>IFERROR(VLOOKUP(GA[[#This Row],[Date]],Raw_Data[[#All],[Date]:[Sunset Time (POA&lt;20 W/m2)]],3,0),"")</f>
        <v/>
      </c>
      <c r="J250" s="31" t="str">
        <f>IFERROR(VLOOKUP(GA[[#This Row],[Date]],Raw_Data[[#All],[Date]:[Sunset Time (POA&lt;20 W/m2)]],4,0),"")</f>
        <v/>
      </c>
      <c r="K250" s="30" t="str">
        <f>IFERROR((GA[[#This Row],[Sunset Time (POA&lt;20 W/m2)]]-GA[[#This Row],[Sunrise Time (POA&gt;20 W/m2)]])*24,"")</f>
        <v/>
      </c>
      <c r="M250" s="17" t="str">
        <f>IFERROR(VLOOKUP(GA[[#This Row],[Affceted Equipment]],'Basic Data'!$A$1:$B$113,2,0),"")</f>
        <v/>
      </c>
      <c r="P250" s="28" t="str">
        <f>IFERROR(VLOOKUP(GA[[#This Row],[Affceted Equipment]],'Basic Data'!$A$2:$C$118,3,0),"")</f>
        <v/>
      </c>
      <c r="Q250" s="2"/>
      <c r="W250" s="34"/>
      <c r="X250" s="35"/>
      <c r="Y250" s="35"/>
      <c r="Z250" s="2"/>
      <c r="AA250" s="2"/>
      <c r="AB250" s="2" t="str">
        <f>IFERROR(GA[[#This Row],[Plant Equivalent Weightage]]*GA[[#This Row],[Resolution Time]],"")</f>
        <v/>
      </c>
      <c r="AC250" s="2"/>
      <c r="AD250" s="32" t="str">
        <f>IFERROR((_xlfn.XLOOKUP(GA[[#This Row],[Month Year]],'Modelling New'!D:D,'Modelling New'!$O:$O)*GA[[#This Row],[Lost POA (Wh/m2)]]*GA[[#This Row],[DC Capacity Affceted (kW)]])/1000,"")</f>
        <v/>
      </c>
      <c r="AE250" s="2"/>
    </row>
    <row r="251" spans="1:31">
      <c r="A251" s="2">
        <f t="shared" si="22"/>
        <v>249</v>
      </c>
      <c r="B251" s="156">
        <f t="shared" si="20"/>
        <v>1900</v>
      </c>
      <c r="C251" s="129">
        <f t="shared" si="21"/>
        <v>1900</v>
      </c>
      <c r="I251" s="31" t="str">
        <f>IFERROR(VLOOKUP(GA[[#This Row],[Date]],Raw_Data[[#All],[Date]:[Sunset Time (POA&lt;20 W/m2)]],3,0),"")</f>
        <v/>
      </c>
      <c r="J251" s="31" t="str">
        <f>IFERROR(VLOOKUP(GA[[#This Row],[Date]],Raw_Data[[#All],[Date]:[Sunset Time (POA&lt;20 W/m2)]],4,0),"")</f>
        <v/>
      </c>
      <c r="K251" s="30" t="str">
        <f>IFERROR((GA[[#This Row],[Sunset Time (POA&lt;20 W/m2)]]-GA[[#This Row],[Sunrise Time (POA&gt;20 W/m2)]])*24,"")</f>
        <v/>
      </c>
      <c r="M251" s="17" t="str">
        <f>IFERROR(VLOOKUP(GA[[#This Row],[Affceted Equipment]],'Basic Data'!$A$1:$B$113,2,0),"")</f>
        <v/>
      </c>
      <c r="P251" s="28" t="str">
        <f>IFERROR(VLOOKUP(GA[[#This Row],[Affceted Equipment]],'Basic Data'!$A$2:$C$118,3,0),"")</f>
        <v/>
      </c>
      <c r="Q251" s="2"/>
      <c r="W251" s="34"/>
      <c r="X251" s="35"/>
      <c r="Y251" s="35"/>
      <c r="Z251" s="2"/>
      <c r="AA251" s="2"/>
      <c r="AB251" s="2" t="str">
        <f>IFERROR(GA[[#This Row],[Plant Equivalent Weightage]]*GA[[#This Row],[Resolution Time]],"")</f>
        <v/>
      </c>
      <c r="AC251" s="2"/>
      <c r="AD251" s="32" t="str">
        <f>IFERROR((_xlfn.XLOOKUP(GA[[#This Row],[Month Year]],'Modelling New'!D:D,'Modelling New'!$O:$O)*GA[[#This Row],[Lost POA (Wh/m2)]]*GA[[#This Row],[DC Capacity Affceted (kW)]])/1000,"")</f>
        <v/>
      </c>
      <c r="AE251" s="2"/>
    </row>
    <row r="252" spans="1:31">
      <c r="A252" s="2">
        <f t="shared" si="22"/>
        <v>250</v>
      </c>
      <c r="B252" s="156">
        <f t="shared" si="20"/>
        <v>1900</v>
      </c>
      <c r="C252" s="129">
        <f t="shared" si="21"/>
        <v>1900</v>
      </c>
      <c r="I252" s="31" t="str">
        <f>IFERROR(VLOOKUP(GA[[#This Row],[Date]],Raw_Data[[#All],[Date]:[Sunset Time (POA&lt;20 W/m2)]],3,0),"")</f>
        <v/>
      </c>
      <c r="J252" s="31" t="str">
        <f>IFERROR(VLOOKUP(GA[[#This Row],[Date]],Raw_Data[[#All],[Date]:[Sunset Time (POA&lt;20 W/m2)]],4,0),"")</f>
        <v/>
      </c>
      <c r="K252" s="30" t="str">
        <f>IFERROR((GA[[#This Row],[Sunset Time (POA&lt;20 W/m2)]]-GA[[#This Row],[Sunrise Time (POA&gt;20 W/m2)]])*24,"")</f>
        <v/>
      </c>
      <c r="M252" s="17" t="str">
        <f>IFERROR(VLOOKUP(GA[[#This Row],[Affceted Equipment]],'Basic Data'!$A$1:$B$113,2,0),"")</f>
        <v/>
      </c>
      <c r="P252" s="28" t="str">
        <f>IFERROR(VLOOKUP(GA[[#This Row],[Affceted Equipment]],'Basic Data'!$A$2:$C$118,3,0),"")</f>
        <v/>
      </c>
      <c r="Q252" s="2"/>
      <c r="W252" s="34"/>
      <c r="X252" s="35"/>
      <c r="Y252" s="35"/>
      <c r="Z252" s="2"/>
      <c r="AA252" s="2"/>
      <c r="AB252" s="2" t="str">
        <f>IFERROR(GA[[#This Row],[Plant Equivalent Weightage]]*GA[[#This Row],[Resolution Time]],"")</f>
        <v/>
      </c>
      <c r="AC252" s="2"/>
      <c r="AD252" s="32" t="str">
        <f>IFERROR((_xlfn.XLOOKUP(GA[[#This Row],[Month Year]],'Modelling New'!D:D,'Modelling New'!$O:$O)*GA[[#This Row],[Lost POA (Wh/m2)]]*GA[[#This Row],[DC Capacity Affceted (kW)]])/1000,"")</f>
        <v/>
      </c>
      <c r="AE252" s="2"/>
    </row>
    <row r="253" spans="1:31">
      <c r="A253" s="2">
        <f t="shared" si="22"/>
        <v>251</v>
      </c>
      <c r="B253" s="156">
        <f t="shared" si="20"/>
        <v>1900</v>
      </c>
      <c r="C253" s="129">
        <f t="shared" si="21"/>
        <v>1900</v>
      </c>
      <c r="I253" s="31" t="str">
        <f>IFERROR(VLOOKUP(GA[[#This Row],[Date]],Raw_Data[[#All],[Date]:[Sunset Time (POA&lt;20 W/m2)]],3,0),"")</f>
        <v/>
      </c>
      <c r="J253" s="31" t="str">
        <f>IFERROR(VLOOKUP(GA[[#This Row],[Date]],Raw_Data[[#All],[Date]:[Sunset Time (POA&lt;20 W/m2)]],4,0),"")</f>
        <v/>
      </c>
      <c r="K253" s="30" t="str">
        <f>IFERROR((GA[[#This Row],[Sunset Time (POA&lt;20 W/m2)]]-GA[[#This Row],[Sunrise Time (POA&gt;20 W/m2)]])*24,"")</f>
        <v/>
      </c>
      <c r="M253" s="17" t="str">
        <f>IFERROR(VLOOKUP(GA[[#This Row],[Affceted Equipment]],'Basic Data'!$A$1:$B$113,2,0),"")</f>
        <v/>
      </c>
      <c r="P253" s="28" t="str">
        <f>IFERROR(VLOOKUP(GA[[#This Row],[Affceted Equipment]],'Basic Data'!$A$2:$C$118,3,0),"")</f>
        <v/>
      </c>
      <c r="Q253" s="2"/>
      <c r="W253" s="34"/>
      <c r="X253" s="35"/>
      <c r="Y253" s="35"/>
      <c r="Z253" s="2"/>
      <c r="AA253" s="2"/>
      <c r="AB253" s="2" t="str">
        <f>IFERROR(GA[[#This Row],[Plant Equivalent Weightage]]*GA[[#This Row],[Resolution Time]],"")</f>
        <v/>
      </c>
      <c r="AC253" s="2"/>
      <c r="AD253" s="32" t="str">
        <f>IFERROR((_xlfn.XLOOKUP(GA[[#This Row],[Month Year]],'Modelling New'!D:D,'Modelling New'!$O:$O)*GA[[#This Row],[Lost POA (Wh/m2)]]*GA[[#This Row],[DC Capacity Affceted (kW)]])/1000,"")</f>
        <v/>
      </c>
      <c r="AE253" s="2"/>
    </row>
    <row r="254" spans="1:31">
      <c r="A254" s="2">
        <f t="shared" si="22"/>
        <v>252</v>
      </c>
      <c r="B254" s="156">
        <f t="shared" si="20"/>
        <v>1900</v>
      </c>
      <c r="C254" s="129">
        <f t="shared" si="21"/>
        <v>1900</v>
      </c>
      <c r="I254" s="31" t="str">
        <f>IFERROR(VLOOKUP(GA[[#This Row],[Date]],Raw_Data[[#All],[Date]:[Sunset Time (POA&lt;20 W/m2)]],3,0),"")</f>
        <v/>
      </c>
      <c r="J254" s="31" t="str">
        <f>IFERROR(VLOOKUP(GA[[#This Row],[Date]],Raw_Data[[#All],[Date]:[Sunset Time (POA&lt;20 W/m2)]],4,0),"")</f>
        <v/>
      </c>
      <c r="K254" s="30" t="str">
        <f>IFERROR((GA[[#This Row],[Sunset Time (POA&lt;20 W/m2)]]-GA[[#This Row],[Sunrise Time (POA&gt;20 W/m2)]])*24,"")</f>
        <v/>
      </c>
      <c r="M254" s="17" t="str">
        <f>IFERROR(VLOOKUP(GA[[#This Row],[Affceted Equipment]],'Basic Data'!$A$1:$B$113,2,0),"")</f>
        <v/>
      </c>
      <c r="P254" s="28" t="str">
        <f>IFERROR(VLOOKUP(GA[[#This Row],[Affceted Equipment]],'Basic Data'!$A$2:$C$118,3,0),"")</f>
        <v/>
      </c>
      <c r="Q254" s="2"/>
      <c r="W254" s="34"/>
      <c r="X254" s="35"/>
      <c r="Y254" s="35"/>
      <c r="Z254" s="2"/>
      <c r="AA254" s="2"/>
      <c r="AB254" s="2" t="str">
        <f>IFERROR(GA[[#This Row],[Plant Equivalent Weightage]]*GA[[#This Row],[Resolution Time]],"")</f>
        <v/>
      </c>
      <c r="AC254" s="2"/>
      <c r="AD254" s="32" t="str">
        <f>IFERROR((_xlfn.XLOOKUP(GA[[#This Row],[Month Year]],'Modelling New'!D:D,'Modelling New'!$O:$O)*GA[[#This Row],[Lost POA (Wh/m2)]]*GA[[#This Row],[DC Capacity Affceted (kW)]])/1000,"")</f>
        <v/>
      </c>
      <c r="AE254" s="2"/>
    </row>
    <row r="255" spans="1:31">
      <c r="A255" s="2">
        <f t="shared" si="22"/>
        <v>253</v>
      </c>
      <c r="B255" s="156">
        <f t="shared" si="20"/>
        <v>1900</v>
      </c>
      <c r="C255" s="129">
        <f t="shared" si="21"/>
        <v>1900</v>
      </c>
      <c r="I255" s="31" t="str">
        <f>IFERROR(VLOOKUP(GA[[#This Row],[Date]],Raw_Data[[#All],[Date]:[Sunset Time (POA&lt;20 W/m2)]],3,0),"")</f>
        <v/>
      </c>
      <c r="J255" s="31" t="str">
        <f>IFERROR(VLOOKUP(GA[[#This Row],[Date]],Raw_Data[[#All],[Date]:[Sunset Time (POA&lt;20 W/m2)]],4,0),"")</f>
        <v/>
      </c>
      <c r="K255" s="30" t="str">
        <f>IFERROR((GA[[#This Row],[Sunset Time (POA&lt;20 W/m2)]]-GA[[#This Row],[Sunrise Time (POA&gt;20 W/m2)]])*24,"")</f>
        <v/>
      </c>
      <c r="M255" s="17" t="str">
        <f>IFERROR(VLOOKUP(GA[[#This Row],[Affceted Equipment]],'Basic Data'!$A$1:$B$113,2,0),"")</f>
        <v/>
      </c>
      <c r="P255" s="28" t="str">
        <f>IFERROR(VLOOKUP(GA[[#This Row],[Affceted Equipment]],'Basic Data'!$A$2:$C$118,3,0),"")</f>
        <v/>
      </c>
      <c r="Q255" s="2"/>
      <c r="W255" s="34"/>
      <c r="X255" s="35"/>
      <c r="Y255" s="35"/>
      <c r="Z255" s="2"/>
      <c r="AA255" s="2"/>
      <c r="AB255" s="2" t="str">
        <f>IFERROR(GA[[#This Row],[Plant Equivalent Weightage]]*GA[[#This Row],[Resolution Time]],"")</f>
        <v/>
      </c>
      <c r="AC255" s="2"/>
      <c r="AD255" s="32" t="str">
        <f>IFERROR((_xlfn.XLOOKUP(GA[[#This Row],[Month Year]],'Modelling New'!D:D,'Modelling New'!$O:$O)*GA[[#This Row],[Lost POA (Wh/m2)]]*GA[[#This Row],[DC Capacity Affceted (kW)]])/1000,"")</f>
        <v/>
      </c>
      <c r="AE255" s="2"/>
    </row>
    <row r="256" spans="1:31">
      <c r="A256" s="2">
        <f t="shared" si="22"/>
        <v>254</v>
      </c>
      <c r="B256" s="156">
        <f t="shared" si="20"/>
        <v>1900</v>
      </c>
      <c r="C256" s="129">
        <f t="shared" si="21"/>
        <v>1900</v>
      </c>
      <c r="I256" s="31" t="str">
        <f>IFERROR(VLOOKUP(GA[[#This Row],[Date]],Raw_Data[[#All],[Date]:[Sunset Time (POA&lt;20 W/m2)]],3,0),"")</f>
        <v/>
      </c>
      <c r="J256" s="31" t="str">
        <f>IFERROR(VLOOKUP(GA[[#This Row],[Date]],Raw_Data[[#All],[Date]:[Sunset Time (POA&lt;20 W/m2)]],4,0),"")</f>
        <v/>
      </c>
      <c r="K256" s="30" t="str">
        <f>IFERROR((GA[[#This Row],[Sunset Time (POA&lt;20 W/m2)]]-GA[[#This Row],[Sunrise Time (POA&gt;20 W/m2)]])*24,"")</f>
        <v/>
      </c>
      <c r="M256" s="17" t="str">
        <f>IFERROR(VLOOKUP(GA[[#This Row],[Affceted Equipment]],'Basic Data'!$A$1:$B$113,2,0),"")</f>
        <v/>
      </c>
      <c r="P256" s="28" t="str">
        <f>IFERROR(VLOOKUP(GA[[#This Row],[Affceted Equipment]],'Basic Data'!$A$2:$C$118,3,0),"")</f>
        <v/>
      </c>
      <c r="Q256" s="2"/>
      <c r="W256" s="34"/>
      <c r="X256" s="35"/>
      <c r="Y256" s="35"/>
      <c r="Z256" s="2"/>
      <c r="AA256" s="2"/>
      <c r="AB256" s="2" t="str">
        <f>IFERROR(GA[[#This Row],[Plant Equivalent Weightage]]*GA[[#This Row],[Resolution Time]],"")</f>
        <v/>
      </c>
      <c r="AC256" s="2"/>
      <c r="AD256" s="32" t="str">
        <f>IFERROR((_xlfn.XLOOKUP(GA[[#This Row],[Month Year]],'Modelling New'!D:D,'Modelling New'!$O:$O)*GA[[#This Row],[Lost POA (Wh/m2)]]*GA[[#This Row],[DC Capacity Affceted (kW)]])/1000,"")</f>
        <v/>
      </c>
      <c r="AE256" s="2"/>
    </row>
    <row r="257" spans="1:31">
      <c r="A257" s="2">
        <f t="shared" si="22"/>
        <v>255</v>
      </c>
      <c r="B257" s="156">
        <f t="shared" si="20"/>
        <v>1900</v>
      </c>
      <c r="C257" s="129">
        <f t="shared" si="21"/>
        <v>1900</v>
      </c>
      <c r="I257" s="31" t="str">
        <f>IFERROR(VLOOKUP(GA[[#This Row],[Date]],Raw_Data[[#All],[Date]:[Sunset Time (POA&lt;20 W/m2)]],3,0),"")</f>
        <v/>
      </c>
      <c r="J257" s="31" t="str">
        <f>IFERROR(VLOOKUP(GA[[#This Row],[Date]],Raw_Data[[#All],[Date]:[Sunset Time (POA&lt;20 W/m2)]],4,0),"")</f>
        <v/>
      </c>
      <c r="K257" s="30" t="str">
        <f>IFERROR((GA[[#This Row],[Sunset Time (POA&lt;20 W/m2)]]-GA[[#This Row],[Sunrise Time (POA&gt;20 W/m2)]])*24,"")</f>
        <v/>
      </c>
      <c r="M257" s="17" t="str">
        <f>IFERROR(VLOOKUP(GA[[#This Row],[Affceted Equipment]],'Basic Data'!$A$1:$B$113,2,0),"")</f>
        <v/>
      </c>
      <c r="P257" s="28" t="str">
        <f>IFERROR(VLOOKUP(GA[[#This Row],[Affceted Equipment]],'Basic Data'!$A$2:$C$118,3,0),"")</f>
        <v/>
      </c>
      <c r="Q257" s="2"/>
      <c r="W257" s="34"/>
      <c r="X257" s="35"/>
      <c r="Y257" s="35"/>
      <c r="Z257" s="2"/>
      <c r="AA257" s="2"/>
      <c r="AB257" s="2" t="str">
        <f>IFERROR(GA[[#This Row],[Plant Equivalent Weightage]]*GA[[#This Row],[Resolution Time]],"")</f>
        <v/>
      </c>
      <c r="AC257" s="2"/>
      <c r="AD257" s="32" t="str">
        <f>IFERROR((_xlfn.XLOOKUP(GA[[#This Row],[Month Year]],'Modelling New'!D:D,'Modelling New'!$O:$O)*GA[[#This Row],[Lost POA (Wh/m2)]]*GA[[#This Row],[DC Capacity Affceted (kW)]])/1000,"")</f>
        <v/>
      </c>
      <c r="AE257" s="2"/>
    </row>
    <row r="258" spans="1:31">
      <c r="A258" s="2">
        <f t="shared" si="22"/>
        <v>256</v>
      </c>
      <c r="B258" s="156">
        <f t="shared" si="20"/>
        <v>1900</v>
      </c>
      <c r="C258" s="129">
        <f t="shared" si="21"/>
        <v>1900</v>
      </c>
      <c r="I258" s="31" t="str">
        <f>IFERROR(VLOOKUP(GA[[#This Row],[Date]],Raw_Data[[#All],[Date]:[Sunset Time (POA&lt;20 W/m2)]],3,0),"")</f>
        <v/>
      </c>
      <c r="J258" s="31" t="str">
        <f>IFERROR(VLOOKUP(GA[[#This Row],[Date]],Raw_Data[[#All],[Date]:[Sunset Time (POA&lt;20 W/m2)]],4,0),"")</f>
        <v/>
      </c>
      <c r="K258" s="30" t="str">
        <f>IFERROR((GA[[#This Row],[Sunset Time (POA&lt;20 W/m2)]]-GA[[#This Row],[Sunrise Time (POA&gt;20 W/m2)]])*24,"")</f>
        <v/>
      </c>
      <c r="M258" s="17" t="str">
        <f>IFERROR(VLOOKUP(GA[[#This Row],[Affceted Equipment]],'Basic Data'!$A$1:$B$113,2,0),"")</f>
        <v/>
      </c>
      <c r="P258" s="28" t="str">
        <f>IFERROR(VLOOKUP(GA[[#This Row],[Affceted Equipment]],'Basic Data'!$A$2:$C$118,3,0),"")</f>
        <v/>
      </c>
      <c r="Q258" s="2"/>
      <c r="W258" s="34"/>
      <c r="X258" s="35"/>
      <c r="Y258" s="35"/>
      <c r="Z258" s="2"/>
      <c r="AA258" s="2"/>
      <c r="AB258" s="2" t="str">
        <f>IFERROR(GA[[#This Row],[Plant Equivalent Weightage]]*GA[[#This Row],[Resolution Time]],"")</f>
        <v/>
      </c>
      <c r="AC258" s="2"/>
      <c r="AD258" s="32" t="str">
        <f>IFERROR((_xlfn.XLOOKUP(GA[[#This Row],[Month Year]],'Modelling New'!D:D,'Modelling New'!$O:$O)*GA[[#This Row],[Lost POA (Wh/m2)]]*GA[[#This Row],[DC Capacity Affceted (kW)]])/1000,"")</f>
        <v/>
      </c>
      <c r="AE258" s="2"/>
    </row>
    <row r="259" spans="1:31">
      <c r="A259" s="2">
        <f t="shared" si="22"/>
        <v>257</v>
      </c>
      <c r="B259" s="156">
        <f t="shared" si="20"/>
        <v>1900</v>
      </c>
      <c r="C259" s="129">
        <f t="shared" si="21"/>
        <v>1900</v>
      </c>
      <c r="I259" s="31" t="str">
        <f>IFERROR(VLOOKUP(GA[[#This Row],[Date]],Raw_Data[[#All],[Date]:[Sunset Time (POA&lt;20 W/m2)]],3,0),"")</f>
        <v/>
      </c>
      <c r="J259" s="31" t="str">
        <f>IFERROR(VLOOKUP(GA[[#This Row],[Date]],Raw_Data[[#All],[Date]:[Sunset Time (POA&lt;20 W/m2)]],4,0),"")</f>
        <v/>
      </c>
      <c r="K259" s="30" t="str">
        <f>IFERROR((GA[[#This Row],[Sunset Time (POA&lt;20 W/m2)]]-GA[[#This Row],[Sunrise Time (POA&gt;20 W/m2)]])*24,"")</f>
        <v/>
      </c>
      <c r="M259" s="17" t="str">
        <f>IFERROR(VLOOKUP(GA[[#This Row],[Affceted Equipment]],'Basic Data'!$A$1:$B$113,2,0),"")</f>
        <v/>
      </c>
      <c r="P259" s="28" t="str">
        <f>IFERROR(VLOOKUP(GA[[#This Row],[Affceted Equipment]],'Basic Data'!$A$2:$C$118,3,0),"")</f>
        <v/>
      </c>
      <c r="Q259" s="2"/>
      <c r="W259" s="34"/>
      <c r="X259" s="35"/>
      <c r="Y259" s="35"/>
      <c r="Z259" s="2"/>
      <c r="AA259" s="2"/>
      <c r="AB259" s="2" t="str">
        <f>IFERROR(GA[[#This Row],[Plant Equivalent Weightage]]*GA[[#This Row],[Resolution Time]],"")</f>
        <v/>
      </c>
      <c r="AC259" s="2"/>
      <c r="AD259" s="32" t="str">
        <f>IFERROR((_xlfn.XLOOKUP(GA[[#This Row],[Month Year]],'Modelling New'!D:D,'Modelling New'!$O:$O)*GA[[#This Row],[Lost POA (Wh/m2)]]*GA[[#This Row],[DC Capacity Affceted (kW)]])/1000,"")</f>
        <v/>
      </c>
      <c r="AE259" s="2"/>
    </row>
    <row r="260" spans="1:31">
      <c r="A260" s="2">
        <f t="shared" si="22"/>
        <v>258</v>
      </c>
      <c r="B260" s="156">
        <f t="shared" ref="B260:B323" si="23">YEAR(H260)+IF(MONTH(H260)&gt;=4,1,0)</f>
        <v>1900</v>
      </c>
      <c r="C260" s="129">
        <f t="shared" ref="C260:C323" si="24">YEAR(H260)</f>
        <v>1900</v>
      </c>
      <c r="I260" s="31" t="str">
        <f>IFERROR(VLOOKUP(GA[[#This Row],[Date]],Raw_Data[[#All],[Date]:[Sunset Time (POA&lt;20 W/m2)]],3,0),"")</f>
        <v/>
      </c>
      <c r="J260" s="31" t="str">
        <f>IFERROR(VLOOKUP(GA[[#This Row],[Date]],Raw_Data[[#All],[Date]:[Sunset Time (POA&lt;20 W/m2)]],4,0),"")</f>
        <v/>
      </c>
      <c r="K260" s="30" t="str">
        <f>IFERROR((GA[[#This Row],[Sunset Time (POA&lt;20 W/m2)]]-GA[[#This Row],[Sunrise Time (POA&gt;20 W/m2)]])*24,"")</f>
        <v/>
      </c>
      <c r="M260" s="17" t="str">
        <f>IFERROR(VLOOKUP(GA[[#This Row],[Affceted Equipment]],'Basic Data'!$A$1:$B$113,2,0),"")</f>
        <v/>
      </c>
      <c r="P260" s="28" t="str">
        <f>IFERROR(VLOOKUP(GA[[#This Row],[Affceted Equipment]],'Basic Data'!$A$2:$C$118,3,0),"")</f>
        <v/>
      </c>
      <c r="Q260" s="2"/>
      <c r="W260" s="34"/>
      <c r="X260" s="35"/>
      <c r="Y260" s="35"/>
      <c r="Z260" s="2"/>
      <c r="AA260" s="2"/>
      <c r="AB260" s="2" t="str">
        <f>IFERROR(GA[[#This Row],[Plant Equivalent Weightage]]*GA[[#This Row],[Resolution Time]],"")</f>
        <v/>
      </c>
      <c r="AC260" s="2"/>
      <c r="AD260" s="32" t="str">
        <f>IFERROR((_xlfn.XLOOKUP(GA[[#This Row],[Month Year]],'Modelling New'!D:D,'Modelling New'!$O:$O)*GA[[#This Row],[Lost POA (Wh/m2)]]*GA[[#This Row],[DC Capacity Affceted (kW)]])/1000,"")</f>
        <v/>
      </c>
      <c r="AE260" s="2"/>
    </row>
    <row r="261" spans="1:31">
      <c r="A261" s="2">
        <f t="shared" si="22"/>
        <v>259</v>
      </c>
      <c r="B261" s="156">
        <f t="shared" si="23"/>
        <v>1900</v>
      </c>
      <c r="C261" s="129">
        <f t="shared" si="24"/>
        <v>1900</v>
      </c>
      <c r="I261" s="31" t="str">
        <f>IFERROR(VLOOKUP(GA[[#This Row],[Date]],Raw_Data[[#All],[Date]:[Sunset Time (POA&lt;20 W/m2)]],3,0),"")</f>
        <v/>
      </c>
      <c r="J261" s="31" t="str">
        <f>IFERROR(VLOOKUP(GA[[#This Row],[Date]],Raw_Data[[#All],[Date]:[Sunset Time (POA&lt;20 W/m2)]],4,0),"")</f>
        <v/>
      </c>
      <c r="K261" s="30" t="str">
        <f>IFERROR((GA[[#This Row],[Sunset Time (POA&lt;20 W/m2)]]-GA[[#This Row],[Sunrise Time (POA&gt;20 W/m2)]])*24,"")</f>
        <v/>
      </c>
      <c r="M261" s="17" t="str">
        <f>IFERROR(VLOOKUP(GA[[#This Row],[Affceted Equipment]],'Basic Data'!$A$1:$B$113,2,0),"")</f>
        <v/>
      </c>
      <c r="P261" s="28" t="str">
        <f>IFERROR(VLOOKUP(GA[[#This Row],[Affceted Equipment]],'Basic Data'!$A$2:$C$118,3,0),"")</f>
        <v/>
      </c>
      <c r="Q261" s="2"/>
      <c r="W261" s="34"/>
      <c r="X261" s="35"/>
      <c r="Y261" s="35"/>
      <c r="Z261" s="2"/>
      <c r="AA261" s="2"/>
      <c r="AB261" s="2" t="str">
        <f>IFERROR(GA[[#This Row],[Plant Equivalent Weightage]]*GA[[#This Row],[Resolution Time]],"")</f>
        <v/>
      </c>
      <c r="AC261" s="2"/>
      <c r="AD261" s="32" t="str">
        <f>IFERROR((_xlfn.XLOOKUP(GA[[#This Row],[Month Year]],'Modelling New'!D:D,'Modelling New'!$O:$O)*GA[[#This Row],[Lost POA (Wh/m2)]]*GA[[#This Row],[DC Capacity Affceted (kW)]])/1000,"")</f>
        <v/>
      </c>
      <c r="AE261" s="2"/>
    </row>
    <row r="262" spans="1:31">
      <c r="A262" s="2">
        <f t="shared" si="22"/>
        <v>260</v>
      </c>
      <c r="B262" s="156">
        <f t="shared" si="23"/>
        <v>1900</v>
      </c>
      <c r="C262" s="129">
        <f t="shared" si="24"/>
        <v>1900</v>
      </c>
      <c r="I262" s="31" t="str">
        <f>IFERROR(VLOOKUP(GA[[#This Row],[Date]],Raw_Data[[#All],[Date]:[Sunset Time (POA&lt;20 W/m2)]],3,0),"")</f>
        <v/>
      </c>
      <c r="J262" s="31" t="str">
        <f>IFERROR(VLOOKUP(GA[[#This Row],[Date]],Raw_Data[[#All],[Date]:[Sunset Time (POA&lt;20 W/m2)]],4,0),"")</f>
        <v/>
      </c>
      <c r="K262" s="30" t="str">
        <f>IFERROR((GA[[#This Row],[Sunset Time (POA&lt;20 W/m2)]]-GA[[#This Row],[Sunrise Time (POA&gt;20 W/m2)]])*24,"")</f>
        <v/>
      </c>
      <c r="M262" s="17" t="str">
        <f>IFERROR(VLOOKUP(GA[[#This Row],[Affceted Equipment]],'Basic Data'!$A$1:$B$113,2,0),"")</f>
        <v/>
      </c>
      <c r="P262" s="28" t="str">
        <f>IFERROR(VLOOKUP(GA[[#This Row],[Affceted Equipment]],'Basic Data'!$A$2:$C$118,3,0),"")</f>
        <v/>
      </c>
      <c r="Q262" s="2"/>
      <c r="W262" s="34"/>
      <c r="X262" s="35"/>
      <c r="Y262" s="35"/>
      <c r="Z262" s="2"/>
      <c r="AA262" s="2"/>
      <c r="AB262" s="2" t="str">
        <f>IFERROR(GA[[#This Row],[Plant Equivalent Weightage]]*GA[[#This Row],[Resolution Time]],"")</f>
        <v/>
      </c>
      <c r="AC262" s="2"/>
      <c r="AD262" s="32" t="str">
        <f>IFERROR((_xlfn.XLOOKUP(GA[[#This Row],[Month Year]],'Modelling New'!D:D,'Modelling New'!$O:$O)*GA[[#This Row],[Lost POA (Wh/m2)]]*GA[[#This Row],[DC Capacity Affceted (kW)]])/1000,"")</f>
        <v/>
      </c>
      <c r="AE262" s="2"/>
    </row>
    <row r="263" spans="1:31">
      <c r="A263" s="2">
        <f t="shared" si="22"/>
        <v>261</v>
      </c>
      <c r="B263" s="156">
        <f t="shared" si="23"/>
        <v>1900</v>
      </c>
      <c r="C263" s="129">
        <f t="shared" si="24"/>
        <v>1900</v>
      </c>
      <c r="I263" s="31" t="str">
        <f>IFERROR(VLOOKUP(GA[[#This Row],[Date]],Raw_Data[[#All],[Date]:[Sunset Time (POA&lt;20 W/m2)]],3,0),"")</f>
        <v/>
      </c>
      <c r="J263" s="31" t="str">
        <f>IFERROR(VLOOKUP(GA[[#This Row],[Date]],Raw_Data[[#All],[Date]:[Sunset Time (POA&lt;20 W/m2)]],4,0),"")</f>
        <v/>
      </c>
      <c r="K263" s="30" t="str">
        <f>IFERROR((GA[[#This Row],[Sunset Time (POA&lt;20 W/m2)]]-GA[[#This Row],[Sunrise Time (POA&gt;20 W/m2)]])*24,"")</f>
        <v/>
      </c>
      <c r="M263" s="17" t="str">
        <f>IFERROR(VLOOKUP(GA[[#This Row],[Affceted Equipment]],'Basic Data'!$A$1:$B$113,2,0),"")</f>
        <v/>
      </c>
      <c r="P263" s="28" t="str">
        <f>IFERROR(VLOOKUP(GA[[#This Row],[Affceted Equipment]],'Basic Data'!$A$2:$C$118,3,0),"")</f>
        <v/>
      </c>
      <c r="Q263" s="2"/>
      <c r="W263" s="34"/>
      <c r="X263" s="35"/>
      <c r="Y263" s="35"/>
      <c r="Z263" s="2"/>
      <c r="AA263" s="2"/>
      <c r="AB263" s="2" t="str">
        <f>IFERROR(GA[[#This Row],[Plant Equivalent Weightage]]*GA[[#This Row],[Resolution Time]],"")</f>
        <v/>
      </c>
      <c r="AC263" s="2"/>
      <c r="AD263" s="32" t="str">
        <f>IFERROR((_xlfn.XLOOKUP(GA[[#This Row],[Month Year]],'Modelling New'!D:D,'Modelling New'!$O:$O)*GA[[#This Row],[Lost POA (Wh/m2)]]*GA[[#This Row],[DC Capacity Affceted (kW)]])/1000,"")</f>
        <v/>
      </c>
      <c r="AE263" s="2"/>
    </row>
    <row r="264" spans="1:31">
      <c r="A264" s="2">
        <f t="shared" si="22"/>
        <v>262</v>
      </c>
      <c r="B264" s="156">
        <f t="shared" si="23"/>
        <v>1900</v>
      </c>
      <c r="C264" s="129">
        <f t="shared" si="24"/>
        <v>1900</v>
      </c>
      <c r="I264" s="31" t="str">
        <f>IFERROR(VLOOKUP(GA[[#This Row],[Date]],Raw_Data[[#All],[Date]:[Sunset Time (POA&lt;20 W/m2)]],3,0),"")</f>
        <v/>
      </c>
      <c r="J264" s="31" t="str">
        <f>IFERROR(VLOOKUP(GA[[#This Row],[Date]],Raw_Data[[#All],[Date]:[Sunset Time (POA&lt;20 W/m2)]],4,0),"")</f>
        <v/>
      </c>
      <c r="K264" s="30" t="str">
        <f>IFERROR((GA[[#This Row],[Sunset Time (POA&lt;20 W/m2)]]-GA[[#This Row],[Sunrise Time (POA&gt;20 W/m2)]])*24,"")</f>
        <v/>
      </c>
      <c r="M264" s="17" t="str">
        <f>IFERROR(VLOOKUP(GA[[#This Row],[Affceted Equipment]],'Basic Data'!$A$1:$B$113,2,0),"")</f>
        <v/>
      </c>
      <c r="P264" s="28" t="str">
        <f>IFERROR(VLOOKUP(GA[[#This Row],[Affceted Equipment]],'Basic Data'!$A$2:$C$118,3,0),"")</f>
        <v/>
      </c>
      <c r="Q264" s="2"/>
      <c r="W264" s="34"/>
      <c r="X264" s="35"/>
      <c r="Y264" s="35"/>
      <c r="Z264" s="2"/>
      <c r="AA264" s="2"/>
      <c r="AB264" s="2" t="str">
        <f>IFERROR(GA[[#This Row],[Plant Equivalent Weightage]]*GA[[#This Row],[Resolution Time]],"")</f>
        <v/>
      </c>
      <c r="AC264" s="2"/>
      <c r="AD264" s="32" t="str">
        <f>IFERROR((_xlfn.XLOOKUP(GA[[#This Row],[Month Year]],'Modelling New'!D:D,'Modelling New'!$O:$O)*GA[[#This Row],[Lost POA (Wh/m2)]]*GA[[#This Row],[DC Capacity Affceted (kW)]])/1000,"")</f>
        <v/>
      </c>
      <c r="AE264" s="2"/>
    </row>
    <row r="265" spans="1:31">
      <c r="A265" s="2">
        <f t="shared" si="22"/>
        <v>263</v>
      </c>
      <c r="B265" s="156">
        <f t="shared" si="23"/>
        <v>1900</v>
      </c>
      <c r="C265" s="129">
        <f t="shared" si="24"/>
        <v>1900</v>
      </c>
      <c r="I265" s="31" t="str">
        <f>IFERROR(VLOOKUP(GA[[#This Row],[Date]],Raw_Data[[#All],[Date]:[Sunset Time (POA&lt;20 W/m2)]],3,0),"")</f>
        <v/>
      </c>
      <c r="J265" s="31" t="str">
        <f>IFERROR(VLOOKUP(GA[[#This Row],[Date]],Raw_Data[[#All],[Date]:[Sunset Time (POA&lt;20 W/m2)]],4,0),"")</f>
        <v/>
      </c>
      <c r="K265" s="30" t="str">
        <f>IFERROR((GA[[#This Row],[Sunset Time (POA&lt;20 W/m2)]]-GA[[#This Row],[Sunrise Time (POA&gt;20 W/m2)]])*24,"")</f>
        <v/>
      </c>
      <c r="M265" s="17" t="str">
        <f>IFERROR(VLOOKUP(GA[[#This Row],[Affceted Equipment]],'Basic Data'!$A$1:$B$113,2,0),"")</f>
        <v/>
      </c>
      <c r="P265" s="28" t="str">
        <f>IFERROR(VLOOKUP(GA[[#This Row],[Affceted Equipment]],'Basic Data'!$A$2:$C$118,3,0),"")</f>
        <v/>
      </c>
      <c r="Q265" s="2"/>
      <c r="W265" s="34"/>
      <c r="X265" s="35"/>
      <c r="Y265" s="35"/>
      <c r="Z265" s="2"/>
      <c r="AA265" s="2"/>
      <c r="AB265" s="2" t="str">
        <f>IFERROR(GA[[#This Row],[Plant Equivalent Weightage]]*GA[[#This Row],[Resolution Time]],"")</f>
        <v/>
      </c>
      <c r="AC265" s="2"/>
      <c r="AD265" s="32" t="str">
        <f>IFERROR((_xlfn.XLOOKUP(GA[[#This Row],[Month Year]],'Modelling New'!D:D,'Modelling New'!$O:$O)*GA[[#This Row],[Lost POA (Wh/m2)]]*GA[[#This Row],[DC Capacity Affceted (kW)]])/1000,"")</f>
        <v/>
      </c>
      <c r="AE265" s="2"/>
    </row>
    <row r="266" spans="1:31">
      <c r="A266" s="2">
        <f t="shared" si="22"/>
        <v>264</v>
      </c>
      <c r="B266" s="156">
        <f t="shared" si="23"/>
        <v>1900</v>
      </c>
      <c r="C266" s="129">
        <f t="shared" si="24"/>
        <v>1900</v>
      </c>
      <c r="I266" s="31" t="str">
        <f>IFERROR(VLOOKUP(GA[[#This Row],[Date]],Raw_Data[[#All],[Date]:[Sunset Time (POA&lt;20 W/m2)]],3,0),"")</f>
        <v/>
      </c>
      <c r="J266" s="31" t="str">
        <f>IFERROR(VLOOKUP(GA[[#This Row],[Date]],Raw_Data[[#All],[Date]:[Sunset Time (POA&lt;20 W/m2)]],4,0),"")</f>
        <v/>
      </c>
      <c r="K266" s="30" t="str">
        <f>IFERROR((GA[[#This Row],[Sunset Time (POA&lt;20 W/m2)]]-GA[[#This Row],[Sunrise Time (POA&gt;20 W/m2)]])*24,"")</f>
        <v/>
      </c>
      <c r="M266" s="17" t="str">
        <f>IFERROR(VLOOKUP(GA[[#This Row],[Affceted Equipment]],'Basic Data'!$A$1:$B$113,2,0),"")</f>
        <v/>
      </c>
      <c r="P266" s="28" t="str">
        <f>IFERROR(VLOOKUP(GA[[#This Row],[Affceted Equipment]],'Basic Data'!$A$2:$C$118,3,0),"")</f>
        <v/>
      </c>
      <c r="Q266" s="2"/>
      <c r="W266" s="34"/>
      <c r="X266" s="35"/>
      <c r="Y266" s="35"/>
      <c r="Z266" s="2"/>
      <c r="AA266" s="2"/>
      <c r="AB266" s="2" t="str">
        <f>IFERROR(GA[[#This Row],[Plant Equivalent Weightage]]*GA[[#This Row],[Resolution Time]],"")</f>
        <v/>
      </c>
      <c r="AC266" s="2"/>
      <c r="AD266" s="32" t="str">
        <f>IFERROR((_xlfn.XLOOKUP(GA[[#This Row],[Month Year]],'Modelling New'!D:D,'Modelling New'!$O:$O)*GA[[#This Row],[Lost POA (Wh/m2)]]*GA[[#This Row],[DC Capacity Affceted (kW)]])/1000,"")</f>
        <v/>
      </c>
      <c r="AE266" s="2"/>
    </row>
    <row r="267" spans="1:31">
      <c r="A267" s="2">
        <f t="shared" si="22"/>
        <v>265</v>
      </c>
      <c r="B267" s="156">
        <f t="shared" si="23"/>
        <v>1900</v>
      </c>
      <c r="C267" s="129">
        <f t="shared" si="24"/>
        <v>1900</v>
      </c>
      <c r="I267" s="31" t="str">
        <f>IFERROR(VLOOKUP(GA[[#This Row],[Date]],Raw_Data[[#All],[Date]:[Sunset Time (POA&lt;20 W/m2)]],3,0),"")</f>
        <v/>
      </c>
      <c r="J267" s="31" t="str">
        <f>IFERROR(VLOOKUP(GA[[#This Row],[Date]],Raw_Data[[#All],[Date]:[Sunset Time (POA&lt;20 W/m2)]],4,0),"")</f>
        <v/>
      </c>
      <c r="K267" s="30" t="str">
        <f>IFERROR((GA[[#This Row],[Sunset Time (POA&lt;20 W/m2)]]-GA[[#This Row],[Sunrise Time (POA&gt;20 W/m2)]])*24,"")</f>
        <v/>
      </c>
      <c r="M267" s="17" t="str">
        <f>IFERROR(VLOOKUP(GA[[#This Row],[Affceted Equipment]],'Basic Data'!$A$1:$B$113,2,0),"")</f>
        <v/>
      </c>
      <c r="P267" s="28" t="str">
        <f>IFERROR(VLOOKUP(GA[[#This Row],[Affceted Equipment]],'Basic Data'!$A$2:$C$118,3,0),"")</f>
        <v/>
      </c>
      <c r="Q267" s="2"/>
      <c r="W267" s="34"/>
      <c r="X267" s="35"/>
      <c r="Y267" s="35"/>
      <c r="Z267" s="2"/>
      <c r="AA267" s="2"/>
      <c r="AB267" s="2" t="str">
        <f>IFERROR(GA[[#This Row],[Plant Equivalent Weightage]]*GA[[#This Row],[Resolution Time]],"")</f>
        <v/>
      </c>
      <c r="AC267" s="2"/>
      <c r="AD267" s="32" t="str">
        <f>IFERROR((_xlfn.XLOOKUP(GA[[#This Row],[Month Year]],'Modelling New'!D:D,'Modelling New'!$O:$O)*GA[[#This Row],[Lost POA (Wh/m2)]]*GA[[#This Row],[DC Capacity Affceted (kW)]])/1000,"")</f>
        <v/>
      </c>
      <c r="AE267" s="2"/>
    </row>
    <row r="268" spans="1:31">
      <c r="A268" s="2">
        <f t="shared" si="22"/>
        <v>266</v>
      </c>
      <c r="B268" s="156">
        <f t="shared" si="23"/>
        <v>1900</v>
      </c>
      <c r="C268" s="129">
        <f t="shared" si="24"/>
        <v>1900</v>
      </c>
      <c r="I268" s="31" t="str">
        <f>IFERROR(VLOOKUP(GA[[#This Row],[Date]],Raw_Data[[#All],[Date]:[Sunset Time (POA&lt;20 W/m2)]],3,0),"")</f>
        <v/>
      </c>
      <c r="J268" s="31" t="str">
        <f>IFERROR(VLOOKUP(GA[[#This Row],[Date]],Raw_Data[[#All],[Date]:[Sunset Time (POA&lt;20 W/m2)]],4,0),"")</f>
        <v/>
      </c>
      <c r="K268" s="30" t="str">
        <f>IFERROR((GA[[#This Row],[Sunset Time (POA&lt;20 W/m2)]]-GA[[#This Row],[Sunrise Time (POA&gt;20 W/m2)]])*24,"")</f>
        <v/>
      </c>
      <c r="M268" s="17" t="str">
        <f>IFERROR(VLOOKUP(GA[[#This Row],[Affceted Equipment]],'Basic Data'!$A$1:$B$113,2,0),"")</f>
        <v/>
      </c>
      <c r="P268" s="28" t="str">
        <f>IFERROR(VLOOKUP(GA[[#This Row],[Affceted Equipment]],'Basic Data'!$A$2:$C$118,3,0),"")</f>
        <v/>
      </c>
      <c r="Q268" s="2"/>
      <c r="W268" s="34"/>
      <c r="X268" s="35"/>
      <c r="Y268" s="35"/>
      <c r="Z268" s="2"/>
      <c r="AA268" s="2"/>
      <c r="AB268" s="2" t="str">
        <f>IFERROR(GA[[#This Row],[Plant Equivalent Weightage]]*GA[[#This Row],[Resolution Time]],"")</f>
        <v/>
      </c>
      <c r="AC268" s="2"/>
      <c r="AD268" s="32" t="str">
        <f>IFERROR((_xlfn.XLOOKUP(GA[[#This Row],[Month Year]],'Modelling New'!D:D,'Modelling New'!$O:$O)*GA[[#This Row],[Lost POA (Wh/m2)]]*GA[[#This Row],[DC Capacity Affceted (kW)]])/1000,"")</f>
        <v/>
      </c>
      <c r="AE268" s="2"/>
    </row>
    <row r="269" spans="1:31">
      <c r="A269" s="2">
        <f t="shared" si="22"/>
        <v>267</v>
      </c>
      <c r="B269" s="156">
        <f t="shared" si="23"/>
        <v>1900</v>
      </c>
      <c r="C269" s="129">
        <f t="shared" si="24"/>
        <v>1900</v>
      </c>
      <c r="I269" s="31" t="str">
        <f>IFERROR(VLOOKUP(GA[[#This Row],[Date]],Raw_Data[[#All],[Date]:[Sunset Time (POA&lt;20 W/m2)]],3,0),"")</f>
        <v/>
      </c>
      <c r="J269" s="31" t="str">
        <f>IFERROR(VLOOKUP(GA[[#This Row],[Date]],Raw_Data[[#All],[Date]:[Sunset Time (POA&lt;20 W/m2)]],4,0),"")</f>
        <v/>
      </c>
      <c r="K269" s="30" t="str">
        <f>IFERROR((GA[[#This Row],[Sunset Time (POA&lt;20 W/m2)]]-GA[[#This Row],[Sunrise Time (POA&gt;20 W/m2)]])*24,"")</f>
        <v/>
      </c>
      <c r="M269" s="17" t="str">
        <f>IFERROR(VLOOKUP(GA[[#This Row],[Affceted Equipment]],'Basic Data'!$A$1:$B$113,2,0),"")</f>
        <v/>
      </c>
      <c r="P269" s="28" t="str">
        <f>IFERROR(VLOOKUP(GA[[#This Row],[Affceted Equipment]],'Basic Data'!$A$2:$C$118,3,0),"")</f>
        <v/>
      </c>
      <c r="Q269" s="2"/>
      <c r="W269" s="34"/>
      <c r="X269" s="35"/>
      <c r="Y269" s="35"/>
      <c r="Z269" s="2"/>
      <c r="AA269" s="2"/>
      <c r="AB269" s="2" t="str">
        <f>IFERROR(GA[[#This Row],[Plant Equivalent Weightage]]*GA[[#This Row],[Resolution Time]],"")</f>
        <v/>
      </c>
      <c r="AC269" s="2"/>
      <c r="AD269" s="32" t="str">
        <f>IFERROR((_xlfn.XLOOKUP(GA[[#This Row],[Month Year]],'Modelling New'!D:D,'Modelling New'!$O:$O)*GA[[#This Row],[Lost POA (Wh/m2)]]*GA[[#This Row],[DC Capacity Affceted (kW)]])/1000,"")</f>
        <v/>
      </c>
      <c r="AE269" s="2"/>
    </row>
    <row r="270" spans="1:31">
      <c r="A270" s="2">
        <f t="shared" si="22"/>
        <v>268</v>
      </c>
      <c r="B270" s="156">
        <f t="shared" si="23"/>
        <v>1900</v>
      </c>
      <c r="C270" s="129">
        <f t="shared" si="24"/>
        <v>1900</v>
      </c>
      <c r="I270" s="31" t="str">
        <f>IFERROR(VLOOKUP(GA[[#This Row],[Date]],Raw_Data[[#All],[Date]:[Sunset Time (POA&lt;20 W/m2)]],3,0),"")</f>
        <v/>
      </c>
      <c r="J270" s="31" t="str">
        <f>IFERROR(VLOOKUP(GA[[#This Row],[Date]],Raw_Data[[#All],[Date]:[Sunset Time (POA&lt;20 W/m2)]],4,0),"")</f>
        <v/>
      </c>
      <c r="K270" s="30" t="str">
        <f>IFERROR((GA[[#This Row],[Sunset Time (POA&lt;20 W/m2)]]-GA[[#This Row],[Sunrise Time (POA&gt;20 W/m2)]])*24,"")</f>
        <v/>
      </c>
      <c r="M270" s="17" t="str">
        <f>IFERROR(VLOOKUP(GA[[#This Row],[Affceted Equipment]],'Basic Data'!$A$1:$B$113,2,0),"")</f>
        <v/>
      </c>
      <c r="P270" s="28" t="str">
        <f>IFERROR(VLOOKUP(GA[[#This Row],[Affceted Equipment]],'Basic Data'!$A$2:$C$118,3,0),"")</f>
        <v/>
      </c>
      <c r="Q270" s="2"/>
      <c r="W270" s="34"/>
      <c r="X270" s="35"/>
      <c r="Y270" s="35"/>
      <c r="Z270" s="2"/>
      <c r="AA270" s="2"/>
      <c r="AB270" s="2" t="str">
        <f>IFERROR(GA[[#This Row],[Plant Equivalent Weightage]]*GA[[#This Row],[Resolution Time]],"")</f>
        <v/>
      </c>
      <c r="AC270" s="2"/>
      <c r="AD270" s="32" t="str">
        <f>IFERROR((_xlfn.XLOOKUP(GA[[#This Row],[Month Year]],'Modelling New'!D:D,'Modelling New'!$O:$O)*GA[[#This Row],[Lost POA (Wh/m2)]]*GA[[#This Row],[DC Capacity Affceted (kW)]])/1000,"")</f>
        <v/>
      </c>
      <c r="AE270" s="2"/>
    </row>
    <row r="271" spans="1:31">
      <c r="A271" s="2">
        <f t="shared" si="22"/>
        <v>269</v>
      </c>
      <c r="B271" s="156">
        <f t="shared" si="23"/>
        <v>1900</v>
      </c>
      <c r="C271" s="129">
        <f t="shared" si="24"/>
        <v>1900</v>
      </c>
      <c r="I271" s="31" t="str">
        <f>IFERROR(VLOOKUP(GA[[#This Row],[Date]],Raw_Data[[#All],[Date]:[Sunset Time (POA&lt;20 W/m2)]],3,0),"")</f>
        <v/>
      </c>
      <c r="J271" s="31" t="str">
        <f>IFERROR(VLOOKUP(GA[[#This Row],[Date]],Raw_Data[[#All],[Date]:[Sunset Time (POA&lt;20 W/m2)]],4,0),"")</f>
        <v/>
      </c>
      <c r="K271" s="30" t="str">
        <f>IFERROR((GA[[#This Row],[Sunset Time (POA&lt;20 W/m2)]]-GA[[#This Row],[Sunrise Time (POA&gt;20 W/m2)]])*24,"")</f>
        <v/>
      </c>
      <c r="M271" s="17" t="str">
        <f>IFERROR(VLOOKUP(GA[[#This Row],[Affceted Equipment]],'Basic Data'!$A$1:$B$113,2,0),"")</f>
        <v/>
      </c>
      <c r="P271" s="28" t="str">
        <f>IFERROR(VLOOKUP(GA[[#This Row],[Affceted Equipment]],'Basic Data'!$A$2:$C$118,3,0),"")</f>
        <v/>
      </c>
      <c r="Q271" s="2"/>
      <c r="W271" s="34"/>
      <c r="X271" s="35"/>
      <c r="Y271" s="35"/>
      <c r="Z271" s="2"/>
      <c r="AA271" s="2"/>
      <c r="AB271" s="2" t="str">
        <f>IFERROR(GA[[#This Row],[Plant Equivalent Weightage]]*GA[[#This Row],[Resolution Time]],"")</f>
        <v/>
      </c>
      <c r="AC271" s="2"/>
      <c r="AD271" s="32" t="str">
        <f>IFERROR((_xlfn.XLOOKUP(GA[[#This Row],[Month Year]],'Modelling New'!D:D,'Modelling New'!$O:$O)*GA[[#This Row],[Lost POA (Wh/m2)]]*GA[[#This Row],[DC Capacity Affceted (kW)]])/1000,"")</f>
        <v/>
      </c>
      <c r="AE271" s="2"/>
    </row>
    <row r="272" spans="1:31">
      <c r="A272" s="2">
        <f t="shared" si="22"/>
        <v>270</v>
      </c>
      <c r="B272" s="156">
        <f t="shared" si="23"/>
        <v>1900</v>
      </c>
      <c r="C272" s="129">
        <f t="shared" si="24"/>
        <v>1900</v>
      </c>
      <c r="I272" s="31" t="str">
        <f>IFERROR(VLOOKUP(GA[[#This Row],[Date]],Raw_Data[[#All],[Date]:[Sunset Time (POA&lt;20 W/m2)]],3,0),"")</f>
        <v/>
      </c>
      <c r="J272" s="31" t="str">
        <f>IFERROR(VLOOKUP(GA[[#This Row],[Date]],Raw_Data[[#All],[Date]:[Sunset Time (POA&lt;20 W/m2)]],4,0),"")</f>
        <v/>
      </c>
      <c r="K272" s="30" t="str">
        <f>IFERROR((GA[[#This Row],[Sunset Time (POA&lt;20 W/m2)]]-GA[[#This Row],[Sunrise Time (POA&gt;20 W/m2)]])*24,"")</f>
        <v/>
      </c>
      <c r="M272" s="17" t="str">
        <f>IFERROR(VLOOKUP(GA[[#This Row],[Affceted Equipment]],'Basic Data'!$A$1:$B$113,2,0),"")</f>
        <v/>
      </c>
      <c r="P272" s="28" t="str">
        <f>IFERROR(VLOOKUP(GA[[#This Row],[Affceted Equipment]],'Basic Data'!$A$2:$C$118,3,0),"")</f>
        <v/>
      </c>
      <c r="Q272" s="2"/>
      <c r="W272" s="34"/>
      <c r="X272" s="35"/>
      <c r="Y272" s="35"/>
      <c r="Z272" s="2"/>
      <c r="AA272" s="2"/>
      <c r="AB272" s="2" t="str">
        <f>IFERROR(GA[[#This Row],[Plant Equivalent Weightage]]*GA[[#This Row],[Resolution Time]],"")</f>
        <v/>
      </c>
      <c r="AC272" s="2"/>
      <c r="AD272" s="32" t="str">
        <f>IFERROR((_xlfn.XLOOKUP(GA[[#This Row],[Month Year]],'Modelling New'!D:D,'Modelling New'!$O:$O)*GA[[#This Row],[Lost POA (Wh/m2)]]*GA[[#This Row],[DC Capacity Affceted (kW)]])/1000,"")</f>
        <v/>
      </c>
      <c r="AE272" s="2"/>
    </row>
    <row r="273" spans="1:31">
      <c r="A273" s="2">
        <f t="shared" si="22"/>
        <v>271</v>
      </c>
      <c r="B273" s="156">
        <f t="shared" si="23"/>
        <v>1900</v>
      </c>
      <c r="C273" s="129">
        <f t="shared" si="24"/>
        <v>1900</v>
      </c>
      <c r="I273" s="31" t="str">
        <f>IFERROR(VLOOKUP(GA[[#This Row],[Date]],Raw_Data[[#All],[Date]:[Sunset Time (POA&lt;20 W/m2)]],3,0),"")</f>
        <v/>
      </c>
      <c r="J273" s="31" t="str">
        <f>IFERROR(VLOOKUP(GA[[#This Row],[Date]],Raw_Data[[#All],[Date]:[Sunset Time (POA&lt;20 W/m2)]],4,0),"")</f>
        <v/>
      </c>
      <c r="K273" s="30" t="str">
        <f>IFERROR((GA[[#This Row],[Sunset Time (POA&lt;20 W/m2)]]-GA[[#This Row],[Sunrise Time (POA&gt;20 W/m2)]])*24,"")</f>
        <v/>
      </c>
      <c r="M273" s="17" t="str">
        <f>IFERROR(VLOOKUP(GA[[#This Row],[Affceted Equipment]],'Basic Data'!$A$1:$B$113,2,0),"")</f>
        <v/>
      </c>
      <c r="P273" s="28" t="str">
        <f>IFERROR(VLOOKUP(GA[[#This Row],[Affceted Equipment]],'Basic Data'!$A$2:$C$118,3,0),"")</f>
        <v/>
      </c>
      <c r="Q273" s="2"/>
      <c r="W273" s="34"/>
      <c r="X273" s="35"/>
      <c r="Y273" s="35"/>
      <c r="Z273" s="2"/>
      <c r="AA273" s="2"/>
      <c r="AB273" s="2" t="str">
        <f>IFERROR(GA[[#This Row],[Plant Equivalent Weightage]]*GA[[#This Row],[Resolution Time]],"")</f>
        <v/>
      </c>
      <c r="AC273" s="2"/>
      <c r="AD273" s="32" t="str">
        <f>IFERROR((_xlfn.XLOOKUP(GA[[#This Row],[Month Year]],'Modelling New'!D:D,'Modelling New'!$O:$O)*GA[[#This Row],[Lost POA (Wh/m2)]]*GA[[#This Row],[DC Capacity Affceted (kW)]])/1000,"")</f>
        <v/>
      </c>
      <c r="AE273" s="2"/>
    </row>
    <row r="274" spans="1:31">
      <c r="A274" s="2">
        <f t="shared" si="22"/>
        <v>272</v>
      </c>
      <c r="B274" s="156">
        <f t="shared" si="23"/>
        <v>1900</v>
      </c>
      <c r="C274" s="129">
        <f t="shared" si="24"/>
        <v>1900</v>
      </c>
      <c r="I274" s="31" t="str">
        <f>IFERROR(VLOOKUP(GA[[#This Row],[Date]],Raw_Data[[#All],[Date]:[Sunset Time (POA&lt;20 W/m2)]],3,0),"")</f>
        <v/>
      </c>
      <c r="J274" s="31" t="str">
        <f>IFERROR(VLOOKUP(GA[[#This Row],[Date]],Raw_Data[[#All],[Date]:[Sunset Time (POA&lt;20 W/m2)]],4,0),"")</f>
        <v/>
      </c>
      <c r="K274" s="30" t="str">
        <f>IFERROR((GA[[#This Row],[Sunset Time (POA&lt;20 W/m2)]]-GA[[#This Row],[Sunrise Time (POA&gt;20 W/m2)]])*24,"")</f>
        <v/>
      </c>
      <c r="M274" s="17" t="str">
        <f>IFERROR(VLOOKUP(GA[[#This Row],[Affceted Equipment]],'Basic Data'!$A$1:$B$113,2,0),"")</f>
        <v/>
      </c>
      <c r="P274" s="28" t="str">
        <f>IFERROR(VLOOKUP(GA[[#This Row],[Affceted Equipment]],'Basic Data'!$A$2:$C$118,3,0),"")</f>
        <v/>
      </c>
      <c r="Q274" s="2"/>
      <c r="W274" s="34"/>
      <c r="X274" s="35"/>
      <c r="Y274" s="35"/>
      <c r="Z274" s="2"/>
      <c r="AA274" s="2"/>
      <c r="AB274" s="2" t="str">
        <f>IFERROR(GA[[#This Row],[Plant Equivalent Weightage]]*GA[[#This Row],[Resolution Time]],"")</f>
        <v/>
      </c>
      <c r="AC274" s="2"/>
      <c r="AD274" s="32" t="str">
        <f>IFERROR((_xlfn.XLOOKUP(GA[[#This Row],[Month Year]],'Modelling New'!D:D,'Modelling New'!$O:$O)*GA[[#This Row],[Lost POA (Wh/m2)]]*GA[[#This Row],[DC Capacity Affceted (kW)]])/1000,"")</f>
        <v/>
      </c>
      <c r="AE274" s="2"/>
    </row>
    <row r="275" spans="1:31">
      <c r="A275" s="2">
        <f t="shared" si="22"/>
        <v>273</v>
      </c>
      <c r="B275" s="156">
        <f t="shared" si="23"/>
        <v>1900</v>
      </c>
      <c r="C275" s="129">
        <f t="shared" si="24"/>
        <v>1900</v>
      </c>
      <c r="I275" s="31" t="str">
        <f>IFERROR(VLOOKUP(GA[[#This Row],[Date]],Raw_Data[[#All],[Date]:[Sunset Time (POA&lt;20 W/m2)]],3,0),"")</f>
        <v/>
      </c>
      <c r="J275" s="31" t="str">
        <f>IFERROR(VLOOKUP(GA[[#This Row],[Date]],Raw_Data[[#All],[Date]:[Sunset Time (POA&lt;20 W/m2)]],4,0),"")</f>
        <v/>
      </c>
      <c r="K275" s="30" t="str">
        <f>IFERROR((GA[[#This Row],[Sunset Time (POA&lt;20 W/m2)]]-GA[[#This Row],[Sunrise Time (POA&gt;20 W/m2)]])*24,"")</f>
        <v/>
      </c>
      <c r="M275" s="17" t="str">
        <f>IFERROR(VLOOKUP(GA[[#This Row],[Affceted Equipment]],'Basic Data'!$A$1:$B$113,2,0),"")</f>
        <v/>
      </c>
      <c r="P275" s="28" t="str">
        <f>IFERROR(VLOOKUP(GA[[#This Row],[Affceted Equipment]],'Basic Data'!$A$2:$C$118,3,0),"")</f>
        <v/>
      </c>
      <c r="Q275" s="2"/>
      <c r="W275" s="34"/>
      <c r="X275" s="35"/>
      <c r="Y275" s="35"/>
      <c r="Z275" s="2"/>
      <c r="AA275" s="2"/>
      <c r="AB275" s="2" t="str">
        <f>IFERROR(GA[[#This Row],[Plant Equivalent Weightage]]*GA[[#This Row],[Resolution Time]],"")</f>
        <v/>
      </c>
      <c r="AC275" s="2"/>
      <c r="AD275" s="32" t="str">
        <f>IFERROR((_xlfn.XLOOKUP(GA[[#This Row],[Month Year]],'Modelling New'!D:D,'Modelling New'!$O:$O)*GA[[#This Row],[Lost POA (Wh/m2)]]*GA[[#This Row],[DC Capacity Affceted (kW)]])/1000,"")</f>
        <v/>
      </c>
      <c r="AE275" s="2"/>
    </row>
    <row r="276" spans="1:31">
      <c r="A276" s="2">
        <f t="shared" si="22"/>
        <v>274</v>
      </c>
      <c r="B276" s="156">
        <f t="shared" si="23"/>
        <v>1900</v>
      </c>
      <c r="C276" s="129">
        <f t="shared" si="24"/>
        <v>1900</v>
      </c>
      <c r="I276" s="31" t="str">
        <f>IFERROR(VLOOKUP(GA[[#This Row],[Date]],Raw_Data[[#All],[Date]:[Sunset Time (POA&lt;20 W/m2)]],3,0),"")</f>
        <v/>
      </c>
      <c r="J276" s="31" t="str">
        <f>IFERROR(VLOOKUP(GA[[#This Row],[Date]],Raw_Data[[#All],[Date]:[Sunset Time (POA&lt;20 W/m2)]],4,0),"")</f>
        <v/>
      </c>
      <c r="K276" s="30" t="str">
        <f>IFERROR((GA[[#This Row],[Sunset Time (POA&lt;20 W/m2)]]-GA[[#This Row],[Sunrise Time (POA&gt;20 W/m2)]])*24,"")</f>
        <v/>
      </c>
      <c r="M276" s="17" t="str">
        <f>IFERROR(VLOOKUP(GA[[#This Row],[Affceted Equipment]],'Basic Data'!$A$1:$B$113,2,0),"")</f>
        <v/>
      </c>
      <c r="P276" s="28" t="str">
        <f>IFERROR(VLOOKUP(GA[[#This Row],[Affceted Equipment]],'Basic Data'!$A$2:$C$118,3,0),"")</f>
        <v/>
      </c>
      <c r="Q276" s="2"/>
      <c r="W276" s="34"/>
      <c r="X276" s="35"/>
      <c r="Y276" s="35"/>
      <c r="Z276" s="2"/>
      <c r="AA276" s="2"/>
      <c r="AB276" s="2" t="str">
        <f>IFERROR(GA[[#This Row],[Plant Equivalent Weightage]]*GA[[#This Row],[Resolution Time]],"")</f>
        <v/>
      </c>
      <c r="AC276" s="2"/>
      <c r="AD276" s="32" t="str">
        <f>IFERROR((_xlfn.XLOOKUP(GA[[#This Row],[Month Year]],'Modelling New'!D:D,'Modelling New'!$O:$O)*GA[[#This Row],[Lost POA (Wh/m2)]]*GA[[#This Row],[DC Capacity Affceted (kW)]])/1000,"")</f>
        <v/>
      </c>
      <c r="AE276" s="2"/>
    </row>
    <row r="277" spans="1:31">
      <c r="A277" s="2">
        <f t="shared" si="22"/>
        <v>275</v>
      </c>
      <c r="B277" s="156">
        <f t="shared" si="23"/>
        <v>1900</v>
      </c>
      <c r="C277" s="129">
        <f t="shared" si="24"/>
        <v>1900</v>
      </c>
      <c r="I277" s="31" t="str">
        <f>IFERROR(VLOOKUP(GA[[#This Row],[Date]],Raw_Data[[#All],[Date]:[Sunset Time (POA&lt;20 W/m2)]],3,0),"")</f>
        <v/>
      </c>
      <c r="J277" s="31" t="str">
        <f>IFERROR(VLOOKUP(GA[[#This Row],[Date]],Raw_Data[[#All],[Date]:[Sunset Time (POA&lt;20 W/m2)]],4,0),"")</f>
        <v/>
      </c>
      <c r="K277" s="30" t="str">
        <f>IFERROR((GA[[#This Row],[Sunset Time (POA&lt;20 W/m2)]]-GA[[#This Row],[Sunrise Time (POA&gt;20 W/m2)]])*24,"")</f>
        <v/>
      </c>
      <c r="M277" s="17" t="str">
        <f>IFERROR(VLOOKUP(GA[[#This Row],[Affceted Equipment]],'Basic Data'!$A$1:$B$113,2,0),"")</f>
        <v/>
      </c>
      <c r="P277" s="28" t="str">
        <f>IFERROR(VLOOKUP(GA[[#This Row],[Affceted Equipment]],'Basic Data'!$A$2:$C$118,3,0),"")</f>
        <v/>
      </c>
      <c r="Q277" s="2"/>
      <c r="W277" s="34"/>
      <c r="X277" s="35"/>
      <c r="Y277" s="35"/>
      <c r="Z277" s="2"/>
      <c r="AA277" s="2"/>
      <c r="AB277" s="2" t="str">
        <f>IFERROR(GA[[#This Row],[Plant Equivalent Weightage]]*GA[[#This Row],[Resolution Time]],"")</f>
        <v/>
      </c>
      <c r="AC277" s="2"/>
      <c r="AD277" s="32" t="str">
        <f>IFERROR((_xlfn.XLOOKUP(GA[[#This Row],[Month Year]],'Modelling New'!D:D,'Modelling New'!$O:$O)*GA[[#This Row],[Lost POA (Wh/m2)]]*GA[[#This Row],[DC Capacity Affceted (kW)]])/1000,"")</f>
        <v/>
      </c>
      <c r="AE277" s="2"/>
    </row>
    <row r="278" spans="1:31">
      <c r="A278" s="2">
        <f t="shared" si="22"/>
        <v>276</v>
      </c>
      <c r="B278" s="156">
        <f t="shared" si="23"/>
        <v>1900</v>
      </c>
      <c r="C278" s="129">
        <f t="shared" si="24"/>
        <v>1900</v>
      </c>
      <c r="I278" s="31" t="str">
        <f>IFERROR(VLOOKUP(GA[[#This Row],[Date]],Raw_Data[[#All],[Date]:[Sunset Time (POA&lt;20 W/m2)]],3,0),"")</f>
        <v/>
      </c>
      <c r="J278" s="31" t="str">
        <f>IFERROR(VLOOKUP(GA[[#This Row],[Date]],Raw_Data[[#All],[Date]:[Sunset Time (POA&lt;20 W/m2)]],4,0),"")</f>
        <v/>
      </c>
      <c r="K278" s="30" t="str">
        <f>IFERROR((GA[[#This Row],[Sunset Time (POA&lt;20 W/m2)]]-GA[[#This Row],[Sunrise Time (POA&gt;20 W/m2)]])*24,"")</f>
        <v/>
      </c>
      <c r="M278" s="17" t="str">
        <f>IFERROR(VLOOKUP(GA[[#This Row],[Affceted Equipment]],'Basic Data'!$A$1:$B$113,2,0),"")</f>
        <v/>
      </c>
      <c r="P278" s="28" t="str">
        <f>IFERROR(VLOOKUP(GA[[#This Row],[Affceted Equipment]],'Basic Data'!$A$2:$C$118,3,0),"")</f>
        <v/>
      </c>
      <c r="Q278" s="2"/>
      <c r="W278" s="34"/>
      <c r="X278" s="35"/>
      <c r="Y278" s="35"/>
      <c r="Z278" s="2"/>
      <c r="AA278" s="2"/>
      <c r="AB278" s="2" t="str">
        <f>IFERROR(GA[[#This Row],[Plant Equivalent Weightage]]*GA[[#This Row],[Resolution Time]],"")</f>
        <v/>
      </c>
      <c r="AC278" s="2"/>
      <c r="AD278" s="32" t="str">
        <f>IFERROR((_xlfn.XLOOKUP(GA[[#This Row],[Month Year]],'Modelling New'!D:D,'Modelling New'!$O:$O)*GA[[#This Row],[Lost POA (Wh/m2)]]*GA[[#This Row],[DC Capacity Affceted (kW)]])/1000,"")</f>
        <v/>
      </c>
      <c r="AE278" s="2"/>
    </row>
    <row r="279" spans="1:31">
      <c r="A279" s="2">
        <f t="shared" si="22"/>
        <v>277</v>
      </c>
      <c r="B279" s="156">
        <f t="shared" si="23"/>
        <v>1900</v>
      </c>
      <c r="C279" s="129">
        <f t="shared" si="24"/>
        <v>1900</v>
      </c>
      <c r="I279" s="31" t="str">
        <f>IFERROR(VLOOKUP(GA[[#This Row],[Date]],Raw_Data[[#All],[Date]:[Sunset Time (POA&lt;20 W/m2)]],3,0),"")</f>
        <v/>
      </c>
      <c r="J279" s="31" t="str">
        <f>IFERROR(VLOOKUP(GA[[#This Row],[Date]],Raw_Data[[#All],[Date]:[Sunset Time (POA&lt;20 W/m2)]],4,0),"")</f>
        <v/>
      </c>
      <c r="K279" s="30" t="str">
        <f>IFERROR((GA[[#This Row],[Sunset Time (POA&lt;20 W/m2)]]-GA[[#This Row],[Sunrise Time (POA&gt;20 W/m2)]])*24,"")</f>
        <v/>
      </c>
      <c r="M279" s="17" t="str">
        <f>IFERROR(VLOOKUP(GA[[#This Row],[Affceted Equipment]],'Basic Data'!$A$1:$B$113,2,0),"")</f>
        <v/>
      </c>
      <c r="P279" s="28" t="str">
        <f>IFERROR(VLOOKUP(GA[[#This Row],[Affceted Equipment]],'Basic Data'!$A$2:$C$118,3,0),"")</f>
        <v/>
      </c>
      <c r="Q279" s="2"/>
      <c r="W279" s="34"/>
      <c r="X279" s="35"/>
      <c r="Y279" s="35"/>
      <c r="Z279" s="2"/>
      <c r="AA279" s="2"/>
      <c r="AB279" s="2" t="str">
        <f>IFERROR(GA[[#This Row],[Plant Equivalent Weightage]]*GA[[#This Row],[Resolution Time]],"")</f>
        <v/>
      </c>
      <c r="AC279" s="2"/>
      <c r="AD279" s="32" t="str">
        <f>IFERROR((_xlfn.XLOOKUP(GA[[#This Row],[Month Year]],'Modelling New'!D:D,'Modelling New'!$O:$O)*GA[[#This Row],[Lost POA (Wh/m2)]]*GA[[#This Row],[DC Capacity Affceted (kW)]])/1000,"")</f>
        <v/>
      </c>
      <c r="AE279" s="2"/>
    </row>
    <row r="280" spans="1:31">
      <c r="A280" s="2">
        <f t="shared" si="22"/>
        <v>278</v>
      </c>
      <c r="B280" s="156">
        <f t="shared" si="23"/>
        <v>1900</v>
      </c>
      <c r="C280" s="129">
        <f t="shared" si="24"/>
        <v>1900</v>
      </c>
      <c r="I280" s="31" t="str">
        <f>IFERROR(VLOOKUP(GA[[#This Row],[Date]],Raw_Data[[#All],[Date]:[Sunset Time (POA&lt;20 W/m2)]],3,0),"")</f>
        <v/>
      </c>
      <c r="J280" s="31" t="str">
        <f>IFERROR(VLOOKUP(GA[[#This Row],[Date]],Raw_Data[[#All],[Date]:[Sunset Time (POA&lt;20 W/m2)]],4,0),"")</f>
        <v/>
      </c>
      <c r="K280" s="30" t="str">
        <f>IFERROR((GA[[#This Row],[Sunset Time (POA&lt;20 W/m2)]]-GA[[#This Row],[Sunrise Time (POA&gt;20 W/m2)]])*24,"")</f>
        <v/>
      </c>
      <c r="M280" s="17" t="str">
        <f>IFERROR(VLOOKUP(GA[[#This Row],[Affceted Equipment]],'Basic Data'!$A$1:$B$113,2,0),"")</f>
        <v/>
      </c>
      <c r="P280" s="28" t="str">
        <f>IFERROR(VLOOKUP(GA[[#This Row],[Affceted Equipment]],'Basic Data'!$A$2:$C$118,3,0),"")</f>
        <v/>
      </c>
      <c r="Q280" s="2"/>
      <c r="W280" s="34"/>
      <c r="X280" s="35"/>
      <c r="Y280" s="35"/>
      <c r="Z280" s="2"/>
      <c r="AA280" s="2"/>
      <c r="AB280" s="2" t="str">
        <f>IFERROR(GA[[#This Row],[Plant Equivalent Weightage]]*GA[[#This Row],[Resolution Time]],"")</f>
        <v/>
      </c>
      <c r="AC280" s="2"/>
      <c r="AD280" s="32" t="str">
        <f>IFERROR((_xlfn.XLOOKUP(GA[[#This Row],[Month Year]],'Modelling New'!D:D,'Modelling New'!$O:$O)*GA[[#This Row],[Lost POA (Wh/m2)]]*GA[[#This Row],[DC Capacity Affceted (kW)]])/1000,"")</f>
        <v/>
      </c>
      <c r="AE280" s="2"/>
    </row>
    <row r="281" spans="1:31">
      <c r="A281" s="2">
        <f t="shared" si="22"/>
        <v>279</v>
      </c>
      <c r="B281" s="156">
        <f t="shared" si="23"/>
        <v>1900</v>
      </c>
      <c r="C281" s="129">
        <f t="shared" si="24"/>
        <v>1900</v>
      </c>
      <c r="I281" s="31" t="str">
        <f>IFERROR(VLOOKUP(GA[[#This Row],[Date]],Raw_Data[[#All],[Date]:[Sunset Time (POA&lt;20 W/m2)]],3,0),"")</f>
        <v/>
      </c>
      <c r="J281" s="31" t="str">
        <f>IFERROR(VLOOKUP(GA[[#This Row],[Date]],Raw_Data[[#All],[Date]:[Sunset Time (POA&lt;20 W/m2)]],4,0),"")</f>
        <v/>
      </c>
      <c r="K281" s="30" t="str">
        <f>IFERROR((GA[[#This Row],[Sunset Time (POA&lt;20 W/m2)]]-GA[[#This Row],[Sunrise Time (POA&gt;20 W/m2)]])*24,"")</f>
        <v/>
      </c>
      <c r="M281" s="17" t="str">
        <f>IFERROR(VLOOKUP(GA[[#This Row],[Affceted Equipment]],'Basic Data'!$A$1:$B$113,2,0),"")</f>
        <v/>
      </c>
      <c r="P281" s="28" t="str">
        <f>IFERROR(VLOOKUP(GA[[#This Row],[Affceted Equipment]],'Basic Data'!$A$2:$C$118,3,0),"")</f>
        <v/>
      </c>
      <c r="Q281" s="2"/>
      <c r="W281" s="34"/>
      <c r="X281" s="35"/>
      <c r="Y281" s="35"/>
      <c r="Z281" s="2"/>
      <c r="AA281" s="2"/>
      <c r="AB281" s="2" t="str">
        <f>IFERROR(GA[[#This Row],[Plant Equivalent Weightage]]*GA[[#This Row],[Resolution Time]],"")</f>
        <v/>
      </c>
      <c r="AC281" s="2"/>
      <c r="AD281" s="32" t="str">
        <f>IFERROR((_xlfn.XLOOKUP(GA[[#This Row],[Month Year]],'Modelling New'!D:D,'Modelling New'!$O:$O)*GA[[#This Row],[Lost POA (Wh/m2)]]*GA[[#This Row],[DC Capacity Affceted (kW)]])/1000,"")</f>
        <v/>
      </c>
      <c r="AE281" s="2"/>
    </row>
    <row r="282" spans="1:31">
      <c r="A282" s="2">
        <f t="shared" si="22"/>
        <v>280</v>
      </c>
      <c r="B282" s="156">
        <f t="shared" si="23"/>
        <v>1900</v>
      </c>
      <c r="C282" s="129">
        <f t="shared" si="24"/>
        <v>1900</v>
      </c>
      <c r="I282" s="31" t="str">
        <f>IFERROR(VLOOKUP(GA[[#This Row],[Date]],Raw_Data[[#All],[Date]:[Sunset Time (POA&lt;20 W/m2)]],3,0),"")</f>
        <v/>
      </c>
      <c r="J282" s="31" t="str">
        <f>IFERROR(VLOOKUP(GA[[#This Row],[Date]],Raw_Data[[#All],[Date]:[Sunset Time (POA&lt;20 W/m2)]],4,0),"")</f>
        <v/>
      </c>
      <c r="K282" s="30" t="str">
        <f>IFERROR((GA[[#This Row],[Sunset Time (POA&lt;20 W/m2)]]-GA[[#This Row],[Sunrise Time (POA&gt;20 W/m2)]])*24,"")</f>
        <v/>
      </c>
      <c r="M282" s="17" t="str">
        <f>IFERROR(VLOOKUP(GA[[#This Row],[Affceted Equipment]],'Basic Data'!$A$1:$B$113,2,0),"")</f>
        <v/>
      </c>
      <c r="P282" s="28" t="str">
        <f>IFERROR(VLOOKUP(GA[[#This Row],[Affceted Equipment]],'Basic Data'!$A$2:$C$118,3,0),"")</f>
        <v/>
      </c>
      <c r="Q282" s="2"/>
      <c r="W282" s="34"/>
      <c r="X282" s="35"/>
      <c r="Y282" s="35"/>
      <c r="Z282" s="2"/>
      <c r="AA282" s="2"/>
      <c r="AB282" s="2" t="str">
        <f>IFERROR(GA[[#This Row],[Plant Equivalent Weightage]]*GA[[#This Row],[Resolution Time]],"")</f>
        <v/>
      </c>
      <c r="AC282" s="2"/>
      <c r="AD282" s="32" t="str">
        <f>IFERROR((_xlfn.XLOOKUP(GA[[#This Row],[Month Year]],'Modelling New'!D:D,'Modelling New'!$O:$O)*GA[[#This Row],[Lost POA (Wh/m2)]]*GA[[#This Row],[DC Capacity Affceted (kW)]])/1000,"")</f>
        <v/>
      </c>
      <c r="AE282" s="2"/>
    </row>
    <row r="283" spans="1:31">
      <c r="A283" s="2">
        <f t="shared" si="22"/>
        <v>281</v>
      </c>
      <c r="B283" s="156">
        <f t="shared" si="23"/>
        <v>1900</v>
      </c>
      <c r="C283" s="129">
        <f t="shared" si="24"/>
        <v>1900</v>
      </c>
      <c r="I283" s="31" t="str">
        <f>IFERROR(VLOOKUP(GA[[#This Row],[Date]],Raw_Data[[#All],[Date]:[Sunset Time (POA&lt;20 W/m2)]],3,0),"")</f>
        <v/>
      </c>
      <c r="J283" s="31" t="str">
        <f>IFERROR(VLOOKUP(GA[[#This Row],[Date]],Raw_Data[[#All],[Date]:[Sunset Time (POA&lt;20 W/m2)]],4,0),"")</f>
        <v/>
      </c>
      <c r="K283" s="30" t="str">
        <f>IFERROR((GA[[#This Row],[Sunset Time (POA&lt;20 W/m2)]]-GA[[#This Row],[Sunrise Time (POA&gt;20 W/m2)]])*24,"")</f>
        <v/>
      </c>
      <c r="M283" s="17" t="str">
        <f>IFERROR(VLOOKUP(GA[[#This Row],[Affceted Equipment]],'Basic Data'!$A$1:$B$113,2,0),"")</f>
        <v/>
      </c>
      <c r="P283" s="28" t="str">
        <f>IFERROR(VLOOKUP(GA[[#This Row],[Affceted Equipment]],'Basic Data'!$A$2:$C$118,3,0),"")</f>
        <v/>
      </c>
      <c r="Q283" s="2"/>
      <c r="W283" s="34"/>
      <c r="X283" s="35"/>
      <c r="Y283" s="35"/>
      <c r="Z283" s="2"/>
      <c r="AA283" s="2"/>
      <c r="AB283" s="2" t="str">
        <f>IFERROR(GA[[#This Row],[Plant Equivalent Weightage]]*GA[[#This Row],[Resolution Time]],"")</f>
        <v/>
      </c>
      <c r="AC283" s="2"/>
      <c r="AD283" s="32" t="str">
        <f>IFERROR((_xlfn.XLOOKUP(GA[[#This Row],[Month Year]],'Modelling New'!D:D,'Modelling New'!$O:$O)*GA[[#This Row],[Lost POA (Wh/m2)]]*GA[[#This Row],[DC Capacity Affceted (kW)]])/1000,"")</f>
        <v/>
      </c>
      <c r="AE283" s="2"/>
    </row>
    <row r="284" spans="1:31">
      <c r="A284" s="2">
        <f t="shared" si="22"/>
        <v>282</v>
      </c>
      <c r="B284" s="156">
        <f t="shared" si="23"/>
        <v>1900</v>
      </c>
      <c r="C284" s="129">
        <f t="shared" si="24"/>
        <v>1900</v>
      </c>
      <c r="I284" s="31" t="str">
        <f>IFERROR(VLOOKUP(GA[[#This Row],[Date]],Raw_Data[[#All],[Date]:[Sunset Time (POA&lt;20 W/m2)]],3,0),"")</f>
        <v/>
      </c>
      <c r="J284" s="31" t="str">
        <f>IFERROR(VLOOKUP(GA[[#This Row],[Date]],Raw_Data[[#All],[Date]:[Sunset Time (POA&lt;20 W/m2)]],4,0),"")</f>
        <v/>
      </c>
      <c r="K284" s="30" t="str">
        <f>IFERROR((GA[[#This Row],[Sunset Time (POA&lt;20 W/m2)]]-GA[[#This Row],[Sunrise Time (POA&gt;20 W/m2)]])*24,"")</f>
        <v/>
      </c>
      <c r="M284" s="17" t="str">
        <f>IFERROR(VLOOKUP(GA[[#This Row],[Affceted Equipment]],'Basic Data'!$A$1:$B$113,2,0),"")</f>
        <v/>
      </c>
      <c r="P284" s="28" t="str">
        <f>IFERROR(VLOOKUP(GA[[#This Row],[Affceted Equipment]],'Basic Data'!$A$2:$C$118,3,0),"")</f>
        <v/>
      </c>
      <c r="Q284" s="2"/>
      <c r="W284" s="34"/>
      <c r="X284" s="35"/>
      <c r="Y284" s="35"/>
      <c r="Z284" s="2"/>
      <c r="AA284" s="2"/>
      <c r="AB284" s="2" t="str">
        <f>IFERROR(GA[[#This Row],[Plant Equivalent Weightage]]*GA[[#This Row],[Resolution Time]],"")</f>
        <v/>
      </c>
      <c r="AC284" s="2"/>
      <c r="AD284" s="32" t="str">
        <f>IFERROR((_xlfn.XLOOKUP(GA[[#This Row],[Month Year]],'Modelling New'!D:D,'Modelling New'!$O:$O)*GA[[#This Row],[Lost POA (Wh/m2)]]*GA[[#This Row],[DC Capacity Affceted (kW)]])/1000,"")</f>
        <v/>
      </c>
      <c r="AE284" s="2"/>
    </row>
    <row r="285" spans="1:31">
      <c r="A285" s="2">
        <f t="shared" si="22"/>
        <v>283</v>
      </c>
      <c r="B285" s="156">
        <f t="shared" si="23"/>
        <v>1900</v>
      </c>
      <c r="C285" s="129">
        <f t="shared" si="24"/>
        <v>1900</v>
      </c>
      <c r="I285" s="31" t="str">
        <f>IFERROR(VLOOKUP(GA[[#This Row],[Date]],Raw_Data[[#All],[Date]:[Sunset Time (POA&lt;20 W/m2)]],3,0),"")</f>
        <v/>
      </c>
      <c r="J285" s="31" t="str">
        <f>IFERROR(VLOOKUP(GA[[#This Row],[Date]],Raw_Data[[#All],[Date]:[Sunset Time (POA&lt;20 W/m2)]],4,0),"")</f>
        <v/>
      </c>
      <c r="K285" s="30" t="str">
        <f>IFERROR((GA[[#This Row],[Sunset Time (POA&lt;20 W/m2)]]-GA[[#This Row],[Sunrise Time (POA&gt;20 W/m2)]])*24,"")</f>
        <v/>
      </c>
      <c r="M285" s="17" t="str">
        <f>IFERROR(VLOOKUP(GA[[#This Row],[Affceted Equipment]],'Basic Data'!$A$1:$B$113,2,0),"")</f>
        <v/>
      </c>
      <c r="P285" s="28" t="str">
        <f>IFERROR(VLOOKUP(GA[[#This Row],[Affceted Equipment]],'Basic Data'!$A$2:$C$118,3,0),"")</f>
        <v/>
      </c>
      <c r="Q285" s="2"/>
      <c r="W285" s="34"/>
      <c r="X285" s="35"/>
      <c r="Y285" s="35"/>
      <c r="Z285" s="2"/>
      <c r="AA285" s="2"/>
      <c r="AB285" s="2" t="str">
        <f>IFERROR(GA[[#This Row],[Plant Equivalent Weightage]]*GA[[#This Row],[Resolution Time]],"")</f>
        <v/>
      </c>
      <c r="AC285" s="2"/>
      <c r="AD285" s="32" t="str">
        <f>IFERROR((_xlfn.XLOOKUP(GA[[#This Row],[Month Year]],'Modelling New'!D:D,'Modelling New'!$O:$O)*GA[[#This Row],[Lost POA (Wh/m2)]]*GA[[#This Row],[DC Capacity Affceted (kW)]])/1000,"")</f>
        <v/>
      </c>
      <c r="AE285" s="2"/>
    </row>
    <row r="286" spans="1:31">
      <c r="A286" s="2">
        <f t="shared" si="22"/>
        <v>284</v>
      </c>
      <c r="B286" s="156">
        <f t="shared" si="23"/>
        <v>1900</v>
      </c>
      <c r="C286" s="129">
        <f t="shared" si="24"/>
        <v>1900</v>
      </c>
      <c r="I286" s="31" t="str">
        <f>IFERROR(VLOOKUP(GA[[#This Row],[Date]],Raw_Data[[#All],[Date]:[Sunset Time (POA&lt;20 W/m2)]],3,0),"")</f>
        <v/>
      </c>
      <c r="J286" s="31" t="str">
        <f>IFERROR(VLOOKUP(GA[[#This Row],[Date]],Raw_Data[[#All],[Date]:[Sunset Time (POA&lt;20 W/m2)]],4,0),"")</f>
        <v/>
      </c>
      <c r="K286" s="30" t="str">
        <f>IFERROR((GA[[#This Row],[Sunset Time (POA&lt;20 W/m2)]]-GA[[#This Row],[Sunrise Time (POA&gt;20 W/m2)]])*24,"")</f>
        <v/>
      </c>
      <c r="M286" s="17" t="str">
        <f>IFERROR(VLOOKUP(GA[[#This Row],[Affceted Equipment]],'Basic Data'!$A$1:$B$113,2,0),"")</f>
        <v/>
      </c>
      <c r="P286" s="28" t="str">
        <f>IFERROR(VLOOKUP(GA[[#This Row],[Affceted Equipment]],'Basic Data'!$A$2:$C$118,3,0),"")</f>
        <v/>
      </c>
      <c r="Q286" s="2"/>
      <c r="W286" s="34"/>
      <c r="X286" s="35"/>
      <c r="Y286" s="35"/>
      <c r="Z286" s="2"/>
      <c r="AA286" s="2"/>
      <c r="AB286" s="2" t="str">
        <f>IFERROR(GA[[#This Row],[Plant Equivalent Weightage]]*GA[[#This Row],[Resolution Time]],"")</f>
        <v/>
      </c>
      <c r="AC286" s="2"/>
      <c r="AD286" s="32" t="str">
        <f>IFERROR((_xlfn.XLOOKUP(GA[[#This Row],[Month Year]],'Modelling New'!D:D,'Modelling New'!$O:$O)*GA[[#This Row],[Lost POA (Wh/m2)]]*GA[[#This Row],[DC Capacity Affceted (kW)]])/1000,"")</f>
        <v/>
      </c>
      <c r="AE286" s="2"/>
    </row>
    <row r="287" spans="1:31">
      <c r="A287" s="2">
        <f t="shared" si="22"/>
        <v>285</v>
      </c>
      <c r="B287" s="156">
        <f t="shared" si="23"/>
        <v>1900</v>
      </c>
      <c r="C287" s="129">
        <f t="shared" si="24"/>
        <v>1900</v>
      </c>
      <c r="I287" s="31" t="str">
        <f>IFERROR(VLOOKUP(GA[[#This Row],[Date]],Raw_Data[[#All],[Date]:[Sunset Time (POA&lt;20 W/m2)]],3,0),"")</f>
        <v/>
      </c>
      <c r="J287" s="31" t="str">
        <f>IFERROR(VLOOKUP(GA[[#This Row],[Date]],Raw_Data[[#All],[Date]:[Sunset Time (POA&lt;20 W/m2)]],4,0),"")</f>
        <v/>
      </c>
      <c r="K287" s="30" t="str">
        <f>IFERROR((GA[[#This Row],[Sunset Time (POA&lt;20 W/m2)]]-GA[[#This Row],[Sunrise Time (POA&gt;20 W/m2)]])*24,"")</f>
        <v/>
      </c>
      <c r="M287" s="17" t="str">
        <f>IFERROR(VLOOKUP(GA[[#This Row],[Affceted Equipment]],'Basic Data'!$A$1:$B$113,2,0),"")</f>
        <v/>
      </c>
      <c r="P287" s="28" t="str">
        <f>IFERROR(VLOOKUP(GA[[#This Row],[Affceted Equipment]],'Basic Data'!$A$2:$C$118,3,0),"")</f>
        <v/>
      </c>
      <c r="Q287" s="2"/>
      <c r="W287" s="34"/>
      <c r="X287" s="35"/>
      <c r="Y287" s="35"/>
      <c r="Z287" s="2"/>
      <c r="AA287" s="2"/>
      <c r="AB287" s="2" t="str">
        <f>IFERROR(GA[[#This Row],[Plant Equivalent Weightage]]*GA[[#This Row],[Resolution Time]],"")</f>
        <v/>
      </c>
      <c r="AC287" s="2"/>
      <c r="AD287" s="32" t="str">
        <f>IFERROR((_xlfn.XLOOKUP(GA[[#This Row],[Month Year]],'Modelling New'!D:D,'Modelling New'!$O:$O)*GA[[#This Row],[Lost POA (Wh/m2)]]*GA[[#This Row],[DC Capacity Affceted (kW)]])/1000,"")</f>
        <v/>
      </c>
      <c r="AE287" s="2"/>
    </row>
    <row r="288" spans="1:31">
      <c r="A288" s="2">
        <f t="shared" ref="A288:A351" si="25">A287+1</f>
        <v>286</v>
      </c>
      <c r="B288" s="156">
        <f t="shared" si="23"/>
        <v>1900</v>
      </c>
      <c r="C288" s="129">
        <f t="shared" si="24"/>
        <v>1900</v>
      </c>
      <c r="I288" s="31" t="str">
        <f>IFERROR(VLOOKUP(GA[[#This Row],[Date]],Raw_Data[[#All],[Date]:[Sunset Time (POA&lt;20 W/m2)]],3,0),"")</f>
        <v/>
      </c>
      <c r="J288" s="31" t="str">
        <f>IFERROR(VLOOKUP(GA[[#This Row],[Date]],Raw_Data[[#All],[Date]:[Sunset Time (POA&lt;20 W/m2)]],4,0),"")</f>
        <v/>
      </c>
      <c r="K288" s="30" t="str">
        <f>IFERROR((GA[[#This Row],[Sunset Time (POA&lt;20 W/m2)]]-GA[[#This Row],[Sunrise Time (POA&gt;20 W/m2)]])*24,"")</f>
        <v/>
      </c>
      <c r="M288" s="17" t="str">
        <f>IFERROR(VLOOKUP(GA[[#This Row],[Affceted Equipment]],'Basic Data'!$A$1:$B$113,2,0),"")</f>
        <v/>
      </c>
      <c r="P288" s="28" t="str">
        <f>IFERROR(VLOOKUP(GA[[#This Row],[Affceted Equipment]],'Basic Data'!$A$2:$C$118,3,0),"")</f>
        <v/>
      </c>
      <c r="Q288" s="2"/>
      <c r="W288" s="34"/>
      <c r="X288" s="35"/>
      <c r="Y288" s="35"/>
      <c r="Z288" s="2"/>
      <c r="AA288" s="2"/>
      <c r="AB288" s="2" t="str">
        <f>IFERROR(GA[[#This Row],[Plant Equivalent Weightage]]*GA[[#This Row],[Resolution Time]],"")</f>
        <v/>
      </c>
      <c r="AC288" s="2"/>
      <c r="AD288" s="32" t="str">
        <f>IFERROR((_xlfn.XLOOKUP(GA[[#This Row],[Month Year]],'Modelling New'!D:D,'Modelling New'!$O:$O)*GA[[#This Row],[Lost POA (Wh/m2)]]*GA[[#This Row],[DC Capacity Affceted (kW)]])/1000,"")</f>
        <v/>
      </c>
      <c r="AE288" s="2"/>
    </row>
    <row r="289" spans="1:31">
      <c r="A289" s="2">
        <f t="shared" si="25"/>
        <v>287</v>
      </c>
      <c r="B289" s="156">
        <f t="shared" si="23"/>
        <v>1900</v>
      </c>
      <c r="C289" s="129">
        <f t="shared" si="24"/>
        <v>1900</v>
      </c>
      <c r="I289" s="31" t="str">
        <f>IFERROR(VLOOKUP(GA[[#This Row],[Date]],Raw_Data[[#All],[Date]:[Sunset Time (POA&lt;20 W/m2)]],3,0),"")</f>
        <v/>
      </c>
      <c r="J289" s="31" t="str">
        <f>IFERROR(VLOOKUP(GA[[#This Row],[Date]],Raw_Data[[#All],[Date]:[Sunset Time (POA&lt;20 W/m2)]],4,0),"")</f>
        <v/>
      </c>
      <c r="K289" s="30" t="str">
        <f>IFERROR((GA[[#This Row],[Sunset Time (POA&lt;20 W/m2)]]-GA[[#This Row],[Sunrise Time (POA&gt;20 W/m2)]])*24,"")</f>
        <v/>
      </c>
      <c r="M289" s="17" t="str">
        <f>IFERROR(VLOOKUP(GA[[#This Row],[Affceted Equipment]],'Basic Data'!$A$1:$B$113,2,0),"")</f>
        <v/>
      </c>
      <c r="P289" s="28" t="str">
        <f>IFERROR(VLOOKUP(GA[[#This Row],[Affceted Equipment]],'Basic Data'!$A$2:$C$118,3,0),"")</f>
        <v/>
      </c>
      <c r="Q289" s="2"/>
      <c r="W289" s="34"/>
      <c r="X289" s="35"/>
      <c r="Y289" s="35"/>
      <c r="Z289" s="2"/>
      <c r="AA289" s="2"/>
      <c r="AB289" s="2" t="str">
        <f>IFERROR(GA[[#This Row],[Plant Equivalent Weightage]]*GA[[#This Row],[Resolution Time]],"")</f>
        <v/>
      </c>
      <c r="AC289" s="2"/>
      <c r="AD289" s="32" t="str">
        <f>IFERROR((_xlfn.XLOOKUP(GA[[#This Row],[Month Year]],'Modelling New'!D:D,'Modelling New'!$O:$O)*GA[[#This Row],[Lost POA (Wh/m2)]]*GA[[#This Row],[DC Capacity Affceted (kW)]])/1000,"")</f>
        <v/>
      </c>
      <c r="AE289" s="2"/>
    </row>
    <row r="290" spans="1:31">
      <c r="A290" s="2">
        <f t="shared" si="25"/>
        <v>288</v>
      </c>
      <c r="B290" s="156">
        <f t="shared" si="23"/>
        <v>1900</v>
      </c>
      <c r="C290" s="129">
        <f t="shared" si="24"/>
        <v>1900</v>
      </c>
      <c r="I290" s="31" t="str">
        <f>IFERROR(VLOOKUP(GA[[#This Row],[Date]],Raw_Data[[#All],[Date]:[Sunset Time (POA&lt;20 W/m2)]],3,0),"")</f>
        <v/>
      </c>
      <c r="J290" s="31" t="str">
        <f>IFERROR(VLOOKUP(GA[[#This Row],[Date]],Raw_Data[[#All],[Date]:[Sunset Time (POA&lt;20 W/m2)]],4,0),"")</f>
        <v/>
      </c>
      <c r="K290" s="30" t="str">
        <f>IFERROR((GA[[#This Row],[Sunset Time (POA&lt;20 W/m2)]]-GA[[#This Row],[Sunrise Time (POA&gt;20 W/m2)]])*24,"")</f>
        <v/>
      </c>
      <c r="M290" s="17" t="str">
        <f>IFERROR(VLOOKUP(GA[[#This Row],[Affceted Equipment]],'Basic Data'!$A$1:$B$113,2,0),"")</f>
        <v/>
      </c>
      <c r="P290" s="28" t="str">
        <f>IFERROR(VLOOKUP(GA[[#This Row],[Affceted Equipment]],'Basic Data'!$A$2:$C$118,3,0),"")</f>
        <v/>
      </c>
      <c r="Q290" s="2"/>
      <c r="W290" s="34"/>
      <c r="X290" s="35"/>
      <c r="Y290" s="35"/>
      <c r="Z290" s="2"/>
      <c r="AA290" s="2"/>
      <c r="AB290" s="2" t="str">
        <f>IFERROR(GA[[#This Row],[Plant Equivalent Weightage]]*GA[[#This Row],[Resolution Time]],"")</f>
        <v/>
      </c>
      <c r="AC290" s="2"/>
      <c r="AD290" s="32" t="str">
        <f>IFERROR((_xlfn.XLOOKUP(GA[[#This Row],[Month Year]],'Modelling New'!D:D,'Modelling New'!$O:$O)*GA[[#This Row],[Lost POA (Wh/m2)]]*GA[[#This Row],[DC Capacity Affceted (kW)]])/1000,"")</f>
        <v/>
      </c>
      <c r="AE290" s="2"/>
    </row>
    <row r="291" spans="1:31">
      <c r="A291" s="2">
        <f t="shared" si="25"/>
        <v>289</v>
      </c>
      <c r="B291" s="156">
        <f t="shared" si="23"/>
        <v>1900</v>
      </c>
      <c r="C291" s="129">
        <f t="shared" si="24"/>
        <v>1900</v>
      </c>
      <c r="I291" s="31" t="str">
        <f>IFERROR(VLOOKUP(GA[[#This Row],[Date]],Raw_Data[[#All],[Date]:[Sunset Time (POA&lt;20 W/m2)]],3,0),"")</f>
        <v/>
      </c>
      <c r="J291" s="31" t="str">
        <f>IFERROR(VLOOKUP(GA[[#This Row],[Date]],Raw_Data[[#All],[Date]:[Sunset Time (POA&lt;20 W/m2)]],4,0),"")</f>
        <v/>
      </c>
      <c r="K291" s="30" t="str">
        <f>IFERROR((GA[[#This Row],[Sunset Time (POA&lt;20 W/m2)]]-GA[[#This Row],[Sunrise Time (POA&gt;20 W/m2)]])*24,"")</f>
        <v/>
      </c>
      <c r="M291" s="17" t="str">
        <f>IFERROR(VLOOKUP(GA[[#This Row],[Affceted Equipment]],'Basic Data'!$A$1:$B$113,2,0),"")</f>
        <v/>
      </c>
      <c r="P291" s="28" t="str">
        <f>IFERROR(VLOOKUP(GA[[#This Row],[Affceted Equipment]],'Basic Data'!$A$2:$C$118,3,0),"")</f>
        <v/>
      </c>
      <c r="Q291" s="2"/>
      <c r="W291" s="34"/>
      <c r="X291" s="35"/>
      <c r="Y291" s="35"/>
      <c r="Z291" s="2"/>
      <c r="AA291" s="2"/>
      <c r="AB291" s="2" t="str">
        <f>IFERROR(GA[[#This Row],[Plant Equivalent Weightage]]*GA[[#This Row],[Resolution Time]],"")</f>
        <v/>
      </c>
      <c r="AC291" s="2"/>
      <c r="AD291" s="32" t="str">
        <f>IFERROR((_xlfn.XLOOKUP(GA[[#This Row],[Month Year]],'Modelling New'!D:D,'Modelling New'!$O:$O)*GA[[#This Row],[Lost POA (Wh/m2)]]*GA[[#This Row],[DC Capacity Affceted (kW)]])/1000,"")</f>
        <v/>
      </c>
      <c r="AE291" s="2"/>
    </row>
    <row r="292" spans="1:31">
      <c r="A292" s="2">
        <f t="shared" si="25"/>
        <v>290</v>
      </c>
      <c r="B292" s="156">
        <f t="shared" si="23"/>
        <v>1900</v>
      </c>
      <c r="C292" s="129">
        <f t="shared" si="24"/>
        <v>1900</v>
      </c>
      <c r="I292" s="31" t="str">
        <f>IFERROR(VLOOKUP(GA[[#This Row],[Date]],Raw_Data[[#All],[Date]:[Sunset Time (POA&lt;20 W/m2)]],3,0),"")</f>
        <v/>
      </c>
      <c r="J292" s="31" t="str">
        <f>IFERROR(VLOOKUP(GA[[#This Row],[Date]],Raw_Data[[#All],[Date]:[Sunset Time (POA&lt;20 W/m2)]],4,0),"")</f>
        <v/>
      </c>
      <c r="K292" s="30" t="str">
        <f>IFERROR((GA[[#This Row],[Sunset Time (POA&lt;20 W/m2)]]-GA[[#This Row],[Sunrise Time (POA&gt;20 W/m2)]])*24,"")</f>
        <v/>
      </c>
      <c r="M292" s="17" t="str">
        <f>IFERROR(VLOOKUP(GA[[#This Row],[Affceted Equipment]],'Basic Data'!$A$1:$B$113,2,0),"")</f>
        <v/>
      </c>
      <c r="P292" s="28" t="str">
        <f>IFERROR(VLOOKUP(GA[[#This Row],[Affceted Equipment]],'Basic Data'!$A$2:$C$118,3,0),"")</f>
        <v/>
      </c>
      <c r="Q292" s="2"/>
      <c r="W292" s="34"/>
      <c r="X292" s="35"/>
      <c r="Y292" s="35"/>
      <c r="Z292" s="2"/>
      <c r="AA292" s="2"/>
      <c r="AB292" s="2" t="str">
        <f>IFERROR(GA[[#This Row],[Plant Equivalent Weightage]]*GA[[#This Row],[Resolution Time]],"")</f>
        <v/>
      </c>
      <c r="AC292" s="2"/>
      <c r="AD292" s="32" t="str">
        <f>IFERROR((_xlfn.XLOOKUP(GA[[#This Row],[Month Year]],'Modelling New'!D:D,'Modelling New'!$O:$O)*GA[[#This Row],[Lost POA (Wh/m2)]]*GA[[#This Row],[DC Capacity Affceted (kW)]])/1000,"")</f>
        <v/>
      </c>
      <c r="AE292" s="2"/>
    </row>
    <row r="293" spans="1:31">
      <c r="A293" s="2">
        <f t="shared" si="25"/>
        <v>291</v>
      </c>
      <c r="B293" s="156">
        <f t="shared" si="23"/>
        <v>1900</v>
      </c>
      <c r="C293" s="129">
        <f t="shared" si="24"/>
        <v>1900</v>
      </c>
      <c r="I293" s="31" t="str">
        <f>IFERROR(VLOOKUP(GA[[#This Row],[Date]],Raw_Data[[#All],[Date]:[Sunset Time (POA&lt;20 W/m2)]],3,0),"")</f>
        <v/>
      </c>
      <c r="J293" s="31" t="str">
        <f>IFERROR(VLOOKUP(GA[[#This Row],[Date]],Raw_Data[[#All],[Date]:[Sunset Time (POA&lt;20 W/m2)]],4,0),"")</f>
        <v/>
      </c>
      <c r="K293" s="30" t="str">
        <f>IFERROR((GA[[#This Row],[Sunset Time (POA&lt;20 W/m2)]]-GA[[#This Row],[Sunrise Time (POA&gt;20 W/m2)]])*24,"")</f>
        <v/>
      </c>
      <c r="M293" s="17" t="str">
        <f>IFERROR(VLOOKUP(GA[[#This Row],[Affceted Equipment]],'Basic Data'!$A$1:$B$113,2,0),"")</f>
        <v/>
      </c>
      <c r="P293" s="28" t="str">
        <f>IFERROR(VLOOKUP(GA[[#This Row],[Affceted Equipment]],'Basic Data'!$A$2:$C$118,3,0),"")</f>
        <v/>
      </c>
      <c r="Q293" s="2"/>
      <c r="W293" s="34"/>
      <c r="X293" s="35"/>
      <c r="Y293" s="35"/>
      <c r="Z293" s="2"/>
      <c r="AA293" s="2"/>
      <c r="AB293" s="2" t="str">
        <f>IFERROR(GA[[#This Row],[Plant Equivalent Weightage]]*GA[[#This Row],[Resolution Time]],"")</f>
        <v/>
      </c>
      <c r="AC293" s="2"/>
      <c r="AD293" s="32" t="str">
        <f>IFERROR((_xlfn.XLOOKUP(GA[[#This Row],[Month Year]],'Modelling New'!D:D,'Modelling New'!$O:$O)*GA[[#This Row],[Lost POA (Wh/m2)]]*GA[[#This Row],[DC Capacity Affceted (kW)]])/1000,"")</f>
        <v/>
      </c>
      <c r="AE293" s="2"/>
    </row>
    <row r="294" spans="1:31">
      <c r="A294" s="2">
        <f t="shared" si="25"/>
        <v>292</v>
      </c>
      <c r="B294" s="156">
        <f t="shared" si="23"/>
        <v>1900</v>
      </c>
      <c r="C294" s="129">
        <f t="shared" si="24"/>
        <v>1900</v>
      </c>
      <c r="I294" s="31" t="str">
        <f>IFERROR(VLOOKUP(GA[[#This Row],[Date]],Raw_Data[[#All],[Date]:[Sunset Time (POA&lt;20 W/m2)]],3,0),"")</f>
        <v/>
      </c>
      <c r="J294" s="31" t="str">
        <f>IFERROR(VLOOKUP(GA[[#This Row],[Date]],Raw_Data[[#All],[Date]:[Sunset Time (POA&lt;20 W/m2)]],4,0),"")</f>
        <v/>
      </c>
      <c r="K294" s="30" t="str">
        <f>IFERROR((GA[[#This Row],[Sunset Time (POA&lt;20 W/m2)]]-GA[[#This Row],[Sunrise Time (POA&gt;20 W/m2)]])*24,"")</f>
        <v/>
      </c>
      <c r="M294" s="17" t="str">
        <f>IFERROR(VLOOKUP(GA[[#This Row],[Affceted Equipment]],'Basic Data'!$A$1:$B$113,2,0),"")</f>
        <v/>
      </c>
      <c r="P294" s="28" t="str">
        <f>IFERROR(VLOOKUP(GA[[#This Row],[Affceted Equipment]],'Basic Data'!$A$2:$C$118,3,0),"")</f>
        <v/>
      </c>
      <c r="Q294" s="2"/>
      <c r="W294" s="34"/>
      <c r="X294" s="35"/>
      <c r="Y294" s="35"/>
      <c r="Z294" s="2"/>
      <c r="AA294" s="2"/>
      <c r="AB294" s="2" t="str">
        <f>IFERROR(GA[[#This Row],[Plant Equivalent Weightage]]*GA[[#This Row],[Resolution Time]],"")</f>
        <v/>
      </c>
      <c r="AC294" s="2"/>
      <c r="AD294" s="32" t="str">
        <f>IFERROR((_xlfn.XLOOKUP(GA[[#This Row],[Month Year]],'Modelling New'!D:D,'Modelling New'!$O:$O)*GA[[#This Row],[Lost POA (Wh/m2)]]*GA[[#This Row],[DC Capacity Affceted (kW)]])/1000,"")</f>
        <v/>
      </c>
      <c r="AE294" s="2"/>
    </row>
    <row r="295" spans="1:31">
      <c r="A295" s="2">
        <f t="shared" si="25"/>
        <v>293</v>
      </c>
      <c r="B295" s="156">
        <f t="shared" si="23"/>
        <v>1900</v>
      </c>
      <c r="C295" s="129">
        <f t="shared" si="24"/>
        <v>1900</v>
      </c>
      <c r="I295" s="31" t="str">
        <f>IFERROR(VLOOKUP(GA[[#This Row],[Date]],Raw_Data[[#All],[Date]:[Sunset Time (POA&lt;20 W/m2)]],3,0),"")</f>
        <v/>
      </c>
      <c r="J295" s="31" t="str">
        <f>IFERROR(VLOOKUP(GA[[#This Row],[Date]],Raw_Data[[#All],[Date]:[Sunset Time (POA&lt;20 W/m2)]],4,0),"")</f>
        <v/>
      </c>
      <c r="K295" s="30" t="str">
        <f>IFERROR((GA[[#This Row],[Sunset Time (POA&lt;20 W/m2)]]-GA[[#This Row],[Sunrise Time (POA&gt;20 W/m2)]])*24,"")</f>
        <v/>
      </c>
      <c r="M295" s="17" t="str">
        <f>IFERROR(VLOOKUP(GA[[#This Row],[Affceted Equipment]],'Basic Data'!$A$1:$B$113,2,0),"")</f>
        <v/>
      </c>
      <c r="P295" s="28" t="str">
        <f>IFERROR(VLOOKUP(GA[[#This Row],[Affceted Equipment]],'Basic Data'!$A$2:$C$118,3,0),"")</f>
        <v/>
      </c>
      <c r="Q295" s="2"/>
      <c r="W295" s="34"/>
      <c r="X295" s="35"/>
      <c r="Y295" s="35"/>
      <c r="Z295" s="2"/>
      <c r="AA295" s="2"/>
      <c r="AB295" s="2" t="str">
        <f>IFERROR(GA[[#This Row],[Plant Equivalent Weightage]]*GA[[#This Row],[Resolution Time]],"")</f>
        <v/>
      </c>
      <c r="AC295" s="2"/>
      <c r="AD295" s="32" t="str">
        <f>IFERROR((_xlfn.XLOOKUP(GA[[#This Row],[Month Year]],'Modelling New'!D:D,'Modelling New'!$O:$O)*GA[[#This Row],[Lost POA (Wh/m2)]]*GA[[#This Row],[DC Capacity Affceted (kW)]])/1000,"")</f>
        <v/>
      </c>
      <c r="AE295" s="2"/>
    </row>
    <row r="296" spans="1:31">
      <c r="A296" s="2">
        <f t="shared" si="25"/>
        <v>294</v>
      </c>
      <c r="B296" s="156">
        <f t="shared" si="23"/>
        <v>1900</v>
      </c>
      <c r="C296" s="129">
        <f t="shared" si="24"/>
        <v>1900</v>
      </c>
      <c r="I296" s="31" t="str">
        <f>IFERROR(VLOOKUP(GA[[#This Row],[Date]],Raw_Data[[#All],[Date]:[Sunset Time (POA&lt;20 W/m2)]],3,0),"")</f>
        <v/>
      </c>
      <c r="J296" s="31" t="str">
        <f>IFERROR(VLOOKUP(GA[[#This Row],[Date]],Raw_Data[[#All],[Date]:[Sunset Time (POA&lt;20 W/m2)]],4,0),"")</f>
        <v/>
      </c>
      <c r="K296" s="30" t="str">
        <f>IFERROR((GA[[#This Row],[Sunset Time (POA&lt;20 W/m2)]]-GA[[#This Row],[Sunrise Time (POA&gt;20 W/m2)]])*24,"")</f>
        <v/>
      </c>
      <c r="M296" s="17" t="str">
        <f>IFERROR(VLOOKUP(GA[[#This Row],[Affceted Equipment]],'Basic Data'!$A$1:$B$113,2,0),"")</f>
        <v/>
      </c>
      <c r="P296" s="28" t="str">
        <f>IFERROR(VLOOKUP(GA[[#This Row],[Affceted Equipment]],'Basic Data'!$A$2:$C$118,3,0),"")</f>
        <v/>
      </c>
      <c r="Q296" s="2"/>
      <c r="W296" s="34"/>
      <c r="X296" s="35"/>
      <c r="Y296" s="35"/>
      <c r="Z296" s="2"/>
      <c r="AA296" s="2"/>
      <c r="AB296" s="2" t="str">
        <f>IFERROR(GA[[#This Row],[Plant Equivalent Weightage]]*GA[[#This Row],[Resolution Time]],"")</f>
        <v/>
      </c>
      <c r="AC296" s="2"/>
      <c r="AD296" s="32" t="str">
        <f>IFERROR((_xlfn.XLOOKUP(GA[[#This Row],[Month Year]],'Modelling New'!D:D,'Modelling New'!$O:$O)*GA[[#This Row],[Lost POA (Wh/m2)]]*GA[[#This Row],[DC Capacity Affceted (kW)]])/1000,"")</f>
        <v/>
      </c>
      <c r="AE296" s="2"/>
    </row>
    <row r="297" spans="1:31">
      <c r="A297" s="2">
        <f t="shared" si="25"/>
        <v>295</v>
      </c>
      <c r="B297" s="156">
        <f t="shared" si="23"/>
        <v>1900</v>
      </c>
      <c r="C297" s="129">
        <f t="shared" si="24"/>
        <v>1900</v>
      </c>
      <c r="I297" s="31" t="str">
        <f>IFERROR(VLOOKUP(GA[[#This Row],[Date]],Raw_Data[[#All],[Date]:[Sunset Time (POA&lt;20 W/m2)]],3,0),"")</f>
        <v/>
      </c>
      <c r="J297" s="31" t="str">
        <f>IFERROR(VLOOKUP(GA[[#This Row],[Date]],Raw_Data[[#All],[Date]:[Sunset Time (POA&lt;20 W/m2)]],4,0),"")</f>
        <v/>
      </c>
      <c r="K297" s="30" t="str">
        <f>IFERROR((GA[[#This Row],[Sunset Time (POA&lt;20 W/m2)]]-GA[[#This Row],[Sunrise Time (POA&gt;20 W/m2)]])*24,"")</f>
        <v/>
      </c>
      <c r="M297" s="17" t="str">
        <f>IFERROR(VLOOKUP(GA[[#This Row],[Affceted Equipment]],'Basic Data'!$A$1:$B$113,2,0),"")</f>
        <v/>
      </c>
      <c r="P297" s="28" t="str">
        <f>IFERROR(VLOOKUP(GA[[#This Row],[Affceted Equipment]],'Basic Data'!$A$2:$C$118,3,0),"")</f>
        <v/>
      </c>
      <c r="Q297" s="2"/>
      <c r="W297" s="34"/>
      <c r="X297" s="35"/>
      <c r="Y297" s="35"/>
      <c r="Z297" s="2"/>
      <c r="AA297" s="2"/>
      <c r="AB297" s="2" t="str">
        <f>IFERROR(GA[[#This Row],[Plant Equivalent Weightage]]*GA[[#This Row],[Resolution Time]],"")</f>
        <v/>
      </c>
      <c r="AC297" s="2"/>
      <c r="AD297" s="32" t="str">
        <f>IFERROR((_xlfn.XLOOKUP(GA[[#This Row],[Month Year]],'Modelling New'!D:D,'Modelling New'!$O:$O)*GA[[#This Row],[Lost POA (Wh/m2)]]*GA[[#This Row],[DC Capacity Affceted (kW)]])/1000,"")</f>
        <v/>
      </c>
      <c r="AE297" s="2"/>
    </row>
    <row r="298" spans="1:31">
      <c r="A298" s="2">
        <f t="shared" si="25"/>
        <v>296</v>
      </c>
      <c r="B298" s="156">
        <f t="shared" si="23"/>
        <v>1900</v>
      </c>
      <c r="C298" s="129">
        <f t="shared" si="24"/>
        <v>1900</v>
      </c>
      <c r="I298" s="31" t="str">
        <f>IFERROR(VLOOKUP(GA[[#This Row],[Date]],Raw_Data[[#All],[Date]:[Sunset Time (POA&lt;20 W/m2)]],3,0),"")</f>
        <v/>
      </c>
      <c r="J298" s="31" t="str">
        <f>IFERROR(VLOOKUP(GA[[#This Row],[Date]],Raw_Data[[#All],[Date]:[Sunset Time (POA&lt;20 W/m2)]],4,0),"")</f>
        <v/>
      </c>
      <c r="K298" s="30" t="str">
        <f>IFERROR((GA[[#This Row],[Sunset Time (POA&lt;20 W/m2)]]-GA[[#This Row],[Sunrise Time (POA&gt;20 W/m2)]])*24,"")</f>
        <v/>
      </c>
      <c r="M298" s="17" t="str">
        <f>IFERROR(VLOOKUP(GA[[#This Row],[Affceted Equipment]],'Basic Data'!$A$1:$B$113,2,0),"")</f>
        <v/>
      </c>
      <c r="P298" s="28" t="str">
        <f>IFERROR(VLOOKUP(GA[[#This Row],[Affceted Equipment]],'Basic Data'!$A$2:$C$118,3,0),"")</f>
        <v/>
      </c>
      <c r="Q298" s="2"/>
      <c r="W298" s="34"/>
      <c r="X298" s="35"/>
      <c r="Y298" s="35"/>
      <c r="Z298" s="2"/>
      <c r="AA298" s="2"/>
      <c r="AB298" s="2" t="str">
        <f>IFERROR(GA[[#This Row],[Plant Equivalent Weightage]]*GA[[#This Row],[Resolution Time]],"")</f>
        <v/>
      </c>
      <c r="AC298" s="2"/>
      <c r="AD298" s="32" t="str">
        <f>IFERROR((_xlfn.XLOOKUP(GA[[#This Row],[Month Year]],'Modelling New'!D:D,'Modelling New'!$O:$O)*GA[[#This Row],[Lost POA (Wh/m2)]]*GA[[#This Row],[DC Capacity Affceted (kW)]])/1000,"")</f>
        <v/>
      </c>
      <c r="AE298" s="2"/>
    </row>
    <row r="299" spans="1:31">
      <c r="A299" s="2">
        <f t="shared" si="25"/>
        <v>297</v>
      </c>
      <c r="B299" s="156">
        <f t="shared" si="23"/>
        <v>1900</v>
      </c>
      <c r="C299" s="129">
        <f t="shared" si="24"/>
        <v>1900</v>
      </c>
      <c r="I299" s="31" t="str">
        <f>IFERROR(VLOOKUP(GA[[#This Row],[Date]],Raw_Data[[#All],[Date]:[Sunset Time (POA&lt;20 W/m2)]],3,0),"")</f>
        <v/>
      </c>
      <c r="J299" s="31" t="str">
        <f>IFERROR(VLOOKUP(GA[[#This Row],[Date]],Raw_Data[[#All],[Date]:[Sunset Time (POA&lt;20 W/m2)]],4,0),"")</f>
        <v/>
      </c>
      <c r="K299" s="30" t="str">
        <f>IFERROR((GA[[#This Row],[Sunset Time (POA&lt;20 W/m2)]]-GA[[#This Row],[Sunrise Time (POA&gt;20 W/m2)]])*24,"")</f>
        <v/>
      </c>
      <c r="M299" s="17" t="str">
        <f>IFERROR(VLOOKUP(GA[[#This Row],[Affceted Equipment]],'Basic Data'!$A$1:$B$113,2,0),"")</f>
        <v/>
      </c>
      <c r="P299" s="28" t="str">
        <f>IFERROR(VLOOKUP(GA[[#This Row],[Affceted Equipment]],'Basic Data'!$A$2:$C$118,3,0),"")</f>
        <v/>
      </c>
      <c r="Q299" s="2"/>
      <c r="W299" s="34"/>
      <c r="X299" s="35"/>
      <c r="Y299" s="35"/>
      <c r="Z299" s="2"/>
      <c r="AA299" s="2"/>
      <c r="AB299" s="2" t="str">
        <f>IFERROR(GA[[#This Row],[Plant Equivalent Weightage]]*GA[[#This Row],[Resolution Time]],"")</f>
        <v/>
      </c>
      <c r="AC299" s="2"/>
      <c r="AD299" s="32" t="str">
        <f>IFERROR((_xlfn.XLOOKUP(GA[[#This Row],[Month Year]],'Modelling New'!D:D,'Modelling New'!$O:$O)*GA[[#This Row],[Lost POA (Wh/m2)]]*GA[[#This Row],[DC Capacity Affceted (kW)]])/1000,"")</f>
        <v/>
      </c>
      <c r="AE299" s="2"/>
    </row>
    <row r="300" spans="1:31">
      <c r="A300" s="2">
        <f t="shared" si="25"/>
        <v>298</v>
      </c>
      <c r="B300" s="156">
        <f t="shared" si="23"/>
        <v>1900</v>
      </c>
      <c r="C300" s="129">
        <f t="shared" si="24"/>
        <v>1900</v>
      </c>
      <c r="I300" s="31" t="str">
        <f>IFERROR(VLOOKUP(GA[[#This Row],[Date]],Raw_Data[[#All],[Date]:[Sunset Time (POA&lt;20 W/m2)]],3,0),"")</f>
        <v/>
      </c>
      <c r="J300" s="31" t="str">
        <f>IFERROR(VLOOKUP(GA[[#This Row],[Date]],Raw_Data[[#All],[Date]:[Sunset Time (POA&lt;20 W/m2)]],4,0),"")</f>
        <v/>
      </c>
      <c r="K300" s="30" t="str">
        <f>IFERROR((GA[[#This Row],[Sunset Time (POA&lt;20 W/m2)]]-GA[[#This Row],[Sunrise Time (POA&gt;20 W/m2)]])*24,"")</f>
        <v/>
      </c>
      <c r="M300" s="17" t="str">
        <f>IFERROR(VLOOKUP(GA[[#This Row],[Affceted Equipment]],'Basic Data'!$A$1:$B$113,2,0),"")</f>
        <v/>
      </c>
      <c r="P300" s="28" t="str">
        <f>IFERROR(VLOOKUP(GA[[#This Row],[Affceted Equipment]],'Basic Data'!$A$2:$C$118,3,0),"")</f>
        <v/>
      </c>
      <c r="Q300" s="2"/>
      <c r="W300" s="34"/>
      <c r="X300" s="35"/>
      <c r="Y300" s="35"/>
      <c r="Z300" s="2"/>
      <c r="AA300" s="2"/>
      <c r="AB300" s="2" t="str">
        <f>IFERROR(GA[[#This Row],[Plant Equivalent Weightage]]*GA[[#This Row],[Resolution Time]],"")</f>
        <v/>
      </c>
      <c r="AC300" s="2"/>
      <c r="AD300" s="32" t="str">
        <f>IFERROR((_xlfn.XLOOKUP(GA[[#This Row],[Month Year]],'Modelling New'!D:D,'Modelling New'!$O:$O)*GA[[#This Row],[Lost POA (Wh/m2)]]*GA[[#This Row],[DC Capacity Affceted (kW)]])/1000,"")</f>
        <v/>
      </c>
      <c r="AE300" s="2"/>
    </row>
    <row r="301" spans="1:31">
      <c r="A301" s="2">
        <f t="shared" si="25"/>
        <v>299</v>
      </c>
      <c r="B301" s="156">
        <f t="shared" si="23"/>
        <v>1900</v>
      </c>
      <c r="C301" s="129">
        <f t="shared" si="24"/>
        <v>1900</v>
      </c>
      <c r="I301" s="31" t="str">
        <f>IFERROR(VLOOKUP(GA[[#This Row],[Date]],Raw_Data[[#All],[Date]:[Sunset Time (POA&lt;20 W/m2)]],3,0),"")</f>
        <v/>
      </c>
      <c r="J301" s="31" t="str">
        <f>IFERROR(VLOOKUP(GA[[#This Row],[Date]],Raw_Data[[#All],[Date]:[Sunset Time (POA&lt;20 W/m2)]],4,0),"")</f>
        <v/>
      </c>
      <c r="K301" s="30" t="str">
        <f>IFERROR((GA[[#This Row],[Sunset Time (POA&lt;20 W/m2)]]-GA[[#This Row],[Sunrise Time (POA&gt;20 W/m2)]])*24,"")</f>
        <v/>
      </c>
      <c r="M301" s="17" t="str">
        <f>IFERROR(VLOOKUP(GA[[#This Row],[Affceted Equipment]],'Basic Data'!$A$1:$B$113,2,0),"")</f>
        <v/>
      </c>
      <c r="P301" s="28" t="str">
        <f>IFERROR(VLOOKUP(GA[[#This Row],[Affceted Equipment]],'Basic Data'!$A$2:$C$118,3,0),"")</f>
        <v/>
      </c>
      <c r="Q301" s="2"/>
      <c r="W301" s="34"/>
      <c r="X301" s="35"/>
      <c r="Y301" s="35"/>
      <c r="Z301" s="2"/>
      <c r="AA301" s="2"/>
      <c r="AB301" s="2" t="str">
        <f>IFERROR(GA[[#This Row],[Plant Equivalent Weightage]]*GA[[#This Row],[Resolution Time]],"")</f>
        <v/>
      </c>
      <c r="AC301" s="2"/>
      <c r="AD301" s="32" t="str">
        <f>IFERROR((_xlfn.XLOOKUP(GA[[#This Row],[Month Year]],'Modelling New'!D:D,'Modelling New'!$O:$O)*GA[[#This Row],[Lost POA (Wh/m2)]]*GA[[#This Row],[DC Capacity Affceted (kW)]])/1000,"")</f>
        <v/>
      </c>
      <c r="AE301" s="2"/>
    </row>
    <row r="302" spans="1:31">
      <c r="A302" s="2">
        <f t="shared" si="25"/>
        <v>300</v>
      </c>
      <c r="B302" s="156">
        <f t="shared" si="23"/>
        <v>1900</v>
      </c>
      <c r="C302" s="129">
        <f t="shared" si="24"/>
        <v>1900</v>
      </c>
      <c r="I302" s="31" t="str">
        <f>IFERROR(VLOOKUP(GA[[#This Row],[Date]],Raw_Data[[#All],[Date]:[Sunset Time (POA&lt;20 W/m2)]],3,0),"")</f>
        <v/>
      </c>
      <c r="J302" s="31" t="str">
        <f>IFERROR(VLOOKUP(GA[[#This Row],[Date]],Raw_Data[[#All],[Date]:[Sunset Time (POA&lt;20 W/m2)]],4,0),"")</f>
        <v/>
      </c>
      <c r="K302" s="30" t="str">
        <f>IFERROR((GA[[#This Row],[Sunset Time (POA&lt;20 W/m2)]]-GA[[#This Row],[Sunrise Time (POA&gt;20 W/m2)]])*24,"")</f>
        <v/>
      </c>
      <c r="M302" s="17" t="str">
        <f>IFERROR(VLOOKUP(GA[[#This Row],[Affceted Equipment]],'Basic Data'!$A$1:$B$113,2,0),"")</f>
        <v/>
      </c>
      <c r="P302" s="28" t="str">
        <f>IFERROR(VLOOKUP(GA[[#This Row],[Affceted Equipment]],'Basic Data'!$A$2:$C$118,3,0),"")</f>
        <v/>
      </c>
      <c r="Q302" s="2"/>
      <c r="W302" s="34"/>
      <c r="X302" s="35"/>
      <c r="Y302" s="35"/>
      <c r="Z302" s="2"/>
      <c r="AA302" s="2"/>
      <c r="AB302" s="2" t="str">
        <f>IFERROR(GA[[#This Row],[Plant Equivalent Weightage]]*GA[[#This Row],[Resolution Time]],"")</f>
        <v/>
      </c>
      <c r="AC302" s="2"/>
      <c r="AD302" s="32" t="str">
        <f>IFERROR((_xlfn.XLOOKUP(GA[[#This Row],[Month Year]],'Modelling New'!D:D,'Modelling New'!$O:$O)*GA[[#This Row],[Lost POA (Wh/m2)]]*GA[[#This Row],[DC Capacity Affceted (kW)]])/1000,"")</f>
        <v/>
      </c>
      <c r="AE302" s="2"/>
    </row>
    <row r="303" spans="1:31">
      <c r="A303" s="2">
        <f t="shared" si="25"/>
        <v>301</v>
      </c>
      <c r="B303" s="156">
        <f t="shared" si="23"/>
        <v>1900</v>
      </c>
      <c r="C303" s="129">
        <f t="shared" si="24"/>
        <v>1900</v>
      </c>
      <c r="I303" s="31" t="str">
        <f>IFERROR(VLOOKUP(GA[[#This Row],[Date]],Raw_Data[[#All],[Date]:[Sunset Time (POA&lt;20 W/m2)]],3,0),"")</f>
        <v/>
      </c>
      <c r="J303" s="31" t="str">
        <f>IFERROR(VLOOKUP(GA[[#This Row],[Date]],Raw_Data[[#All],[Date]:[Sunset Time (POA&lt;20 W/m2)]],4,0),"")</f>
        <v/>
      </c>
      <c r="K303" s="30" t="str">
        <f>IFERROR((GA[[#This Row],[Sunset Time (POA&lt;20 W/m2)]]-GA[[#This Row],[Sunrise Time (POA&gt;20 W/m2)]])*24,"")</f>
        <v/>
      </c>
      <c r="M303" s="17" t="str">
        <f>IFERROR(VLOOKUP(GA[[#This Row],[Affceted Equipment]],'Basic Data'!$A$1:$B$113,2,0),"")</f>
        <v/>
      </c>
      <c r="P303" s="28" t="str">
        <f>IFERROR(VLOOKUP(GA[[#This Row],[Affceted Equipment]],'Basic Data'!$A$2:$C$118,3,0),"")</f>
        <v/>
      </c>
      <c r="Q303" s="2"/>
      <c r="W303" s="34"/>
      <c r="X303" s="35"/>
      <c r="Y303" s="35"/>
      <c r="Z303" s="2"/>
      <c r="AA303" s="2"/>
      <c r="AB303" s="2" t="str">
        <f>IFERROR(GA[[#This Row],[Plant Equivalent Weightage]]*GA[[#This Row],[Resolution Time]],"")</f>
        <v/>
      </c>
      <c r="AC303" s="2"/>
      <c r="AD303" s="32" t="str">
        <f>IFERROR((_xlfn.XLOOKUP(GA[[#This Row],[Month Year]],'Modelling New'!D:D,'Modelling New'!$O:$O)*GA[[#This Row],[Lost POA (Wh/m2)]]*GA[[#This Row],[DC Capacity Affceted (kW)]])/1000,"")</f>
        <v/>
      </c>
      <c r="AE303" s="2"/>
    </row>
    <row r="304" spans="1:31">
      <c r="A304" s="2">
        <f t="shared" si="25"/>
        <v>302</v>
      </c>
      <c r="B304" s="156">
        <f t="shared" si="23"/>
        <v>1900</v>
      </c>
      <c r="C304" s="129">
        <f t="shared" si="24"/>
        <v>1900</v>
      </c>
      <c r="I304" s="31" t="str">
        <f>IFERROR(VLOOKUP(GA[[#This Row],[Date]],Raw_Data[[#All],[Date]:[Sunset Time (POA&lt;20 W/m2)]],3,0),"")</f>
        <v/>
      </c>
      <c r="J304" s="31" t="str">
        <f>IFERROR(VLOOKUP(GA[[#This Row],[Date]],Raw_Data[[#All],[Date]:[Sunset Time (POA&lt;20 W/m2)]],4,0),"")</f>
        <v/>
      </c>
      <c r="K304" s="30" t="str">
        <f>IFERROR((GA[[#This Row],[Sunset Time (POA&lt;20 W/m2)]]-GA[[#This Row],[Sunrise Time (POA&gt;20 W/m2)]])*24,"")</f>
        <v/>
      </c>
      <c r="M304" s="17" t="str">
        <f>IFERROR(VLOOKUP(GA[[#This Row],[Affceted Equipment]],'Basic Data'!$A$1:$B$113,2,0),"")</f>
        <v/>
      </c>
      <c r="P304" s="28" t="str">
        <f>IFERROR(VLOOKUP(GA[[#This Row],[Affceted Equipment]],'Basic Data'!$A$2:$C$118,3,0),"")</f>
        <v/>
      </c>
      <c r="Q304" s="2"/>
      <c r="W304" s="34"/>
      <c r="X304" s="35"/>
      <c r="Y304" s="35"/>
      <c r="Z304" s="2"/>
      <c r="AA304" s="2"/>
      <c r="AB304" s="2" t="str">
        <f>IFERROR(GA[[#This Row],[Plant Equivalent Weightage]]*GA[[#This Row],[Resolution Time]],"")</f>
        <v/>
      </c>
      <c r="AC304" s="2"/>
      <c r="AD304" s="32" t="str">
        <f>IFERROR((_xlfn.XLOOKUP(GA[[#This Row],[Month Year]],'Modelling New'!D:D,'Modelling New'!$O:$O)*GA[[#This Row],[Lost POA (Wh/m2)]]*GA[[#This Row],[DC Capacity Affceted (kW)]])/1000,"")</f>
        <v/>
      </c>
      <c r="AE304" s="2"/>
    </row>
    <row r="305" spans="1:31">
      <c r="A305" s="2">
        <f t="shared" si="25"/>
        <v>303</v>
      </c>
      <c r="B305" s="156">
        <f t="shared" si="23"/>
        <v>1900</v>
      </c>
      <c r="C305" s="129">
        <f t="shared" si="24"/>
        <v>1900</v>
      </c>
      <c r="I305" s="31" t="str">
        <f>IFERROR(VLOOKUP(GA[[#This Row],[Date]],Raw_Data[[#All],[Date]:[Sunset Time (POA&lt;20 W/m2)]],3,0),"")</f>
        <v/>
      </c>
      <c r="J305" s="31" t="str">
        <f>IFERROR(VLOOKUP(GA[[#This Row],[Date]],Raw_Data[[#All],[Date]:[Sunset Time (POA&lt;20 W/m2)]],4,0),"")</f>
        <v/>
      </c>
      <c r="K305" s="30" t="str">
        <f>IFERROR((GA[[#This Row],[Sunset Time (POA&lt;20 W/m2)]]-GA[[#This Row],[Sunrise Time (POA&gt;20 W/m2)]])*24,"")</f>
        <v/>
      </c>
      <c r="M305" s="17" t="str">
        <f>IFERROR(VLOOKUP(GA[[#This Row],[Affceted Equipment]],'Basic Data'!$A$1:$B$113,2,0),"")</f>
        <v/>
      </c>
      <c r="P305" s="28" t="str">
        <f>IFERROR(VLOOKUP(GA[[#This Row],[Affceted Equipment]],'Basic Data'!$A$2:$C$118,3,0),"")</f>
        <v/>
      </c>
      <c r="Q305" s="2"/>
      <c r="W305" s="34"/>
      <c r="X305" s="35"/>
      <c r="Y305" s="35"/>
      <c r="Z305" s="2"/>
      <c r="AA305" s="2"/>
      <c r="AB305" s="2" t="str">
        <f>IFERROR(GA[[#This Row],[Plant Equivalent Weightage]]*GA[[#This Row],[Resolution Time]],"")</f>
        <v/>
      </c>
      <c r="AC305" s="2"/>
      <c r="AD305" s="32" t="str">
        <f>IFERROR((_xlfn.XLOOKUP(GA[[#This Row],[Month Year]],'Modelling New'!D:D,'Modelling New'!$O:$O)*GA[[#This Row],[Lost POA (Wh/m2)]]*GA[[#This Row],[DC Capacity Affceted (kW)]])/1000,"")</f>
        <v/>
      </c>
      <c r="AE305" s="2"/>
    </row>
    <row r="306" spans="1:31">
      <c r="A306" s="2">
        <f t="shared" si="25"/>
        <v>304</v>
      </c>
      <c r="B306" s="156">
        <f t="shared" si="23"/>
        <v>1900</v>
      </c>
      <c r="C306" s="129">
        <f t="shared" si="24"/>
        <v>1900</v>
      </c>
      <c r="I306" s="31" t="str">
        <f>IFERROR(VLOOKUP(GA[[#This Row],[Date]],Raw_Data[[#All],[Date]:[Sunset Time (POA&lt;20 W/m2)]],3,0),"")</f>
        <v/>
      </c>
      <c r="J306" s="31" t="str">
        <f>IFERROR(VLOOKUP(GA[[#This Row],[Date]],Raw_Data[[#All],[Date]:[Sunset Time (POA&lt;20 W/m2)]],4,0),"")</f>
        <v/>
      </c>
      <c r="K306" s="30" t="str">
        <f>IFERROR((GA[[#This Row],[Sunset Time (POA&lt;20 W/m2)]]-GA[[#This Row],[Sunrise Time (POA&gt;20 W/m2)]])*24,"")</f>
        <v/>
      </c>
      <c r="M306" s="17" t="str">
        <f>IFERROR(VLOOKUP(GA[[#This Row],[Affceted Equipment]],'Basic Data'!$A$1:$B$113,2,0),"")</f>
        <v/>
      </c>
      <c r="P306" s="28" t="str">
        <f>IFERROR(VLOOKUP(GA[[#This Row],[Affceted Equipment]],'Basic Data'!$A$2:$C$118,3,0),"")</f>
        <v/>
      </c>
      <c r="Q306" s="2"/>
      <c r="W306" s="34"/>
      <c r="X306" s="35"/>
      <c r="Y306" s="35"/>
      <c r="Z306" s="2"/>
      <c r="AA306" s="2"/>
      <c r="AB306" s="2" t="str">
        <f>IFERROR(GA[[#This Row],[Plant Equivalent Weightage]]*GA[[#This Row],[Resolution Time]],"")</f>
        <v/>
      </c>
      <c r="AC306" s="2"/>
      <c r="AD306" s="32" t="str">
        <f>IFERROR((_xlfn.XLOOKUP(GA[[#This Row],[Month Year]],'Modelling New'!D:D,'Modelling New'!$O:$O)*GA[[#This Row],[Lost POA (Wh/m2)]]*GA[[#This Row],[DC Capacity Affceted (kW)]])/1000,"")</f>
        <v/>
      </c>
      <c r="AE306" s="2"/>
    </row>
    <row r="307" spans="1:31">
      <c r="A307" s="2">
        <f t="shared" si="25"/>
        <v>305</v>
      </c>
      <c r="B307" s="156">
        <f t="shared" si="23"/>
        <v>1900</v>
      </c>
      <c r="C307" s="129">
        <f t="shared" si="24"/>
        <v>1900</v>
      </c>
      <c r="I307" s="31" t="str">
        <f>IFERROR(VLOOKUP(GA[[#This Row],[Date]],Raw_Data[[#All],[Date]:[Sunset Time (POA&lt;20 W/m2)]],3,0),"")</f>
        <v/>
      </c>
      <c r="J307" s="31" t="str">
        <f>IFERROR(VLOOKUP(GA[[#This Row],[Date]],Raw_Data[[#All],[Date]:[Sunset Time (POA&lt;20 W/m2)]],4,0),"")</f>
        <v/>
      </c>
      <c r="K307" s="30" t="str">
        <f>IFERROR((GA[[#This Row],[Sunset Time (POA&lt;20 W/m2)]]-GA[[#This Row],[Sunrise Time (POA&gt;20 W/m2)]])*24,"")</f>
        <v/>
      </c>
      <c r="M307" s="17" t="str">
        <f>IFERROR(VLOOKUP(GA[[#This Row],[Affceted Equipment]],'Basic Data'!$A$1:$B$113,2,0),"")</f>
        <v/>
      </c>
      <c r="P307" s="28" t="str">
        <f>IFERROR(VLOOKUP(GA[[#This Row],[Affceted Equipment]],'Basic Data'!$A$2:$C$118,3,0),"")</f>
        <v/>
      </c>
      <c r="Q307" s="2"/>
      <c r="W307" s="34"/>
      <c r="X307" s="35"/>
      <c r="Y307" s="35"/>
      <c r="Z307" s="2"/>
      <c r="AA307" s="2"/>
      <c r="AB307" s="2" t="str">
        <f>IFERROR(GA[[#This Row],[Plant Equivalent Weightage]]*GA[[#This Row],[Resolution Time]],"")</f>
        <v/>
      </c>
      <c r="AC307" s="2"/>
      <c r="AD307" s="32" t="str">
        <f>IFERROR((_xlfn.XLOOKUP(GA[[#This Row],[Month Year]],'Modelling New'!D:D,'Modelling New'!$O:$O)*GA[[#This Row],[Lost POA (Wh/m2)]]*GA[[#This Row],[DC Capacity Affceted (kW)]])/1000,"")</f>
        <v/>
      </c>
      <c r="AE307" s="2"/>
    </row>
    <row r="308" spans="1:31">
      <c r="A308" s="2">
        <f t="shared" si="25"/>
        <v>306</v>
      </c>
      <c r="B308" s="156">
        <f t="shared" si="23"/>
        <v>1900</v>
      </c>
      <c r="C308" s="129">
        <f t="shared" si="24"/>
        <v>1900</v>
      </c>
      <c r="I308" s="31" t="str">
        <f>IFERROR(VLOOKUP(GA[[#This Row],[Date]],Raw_Data[[#All],[Date]:[Sunset Time (POA&lt;20 W/m2)]],3,0),"")</f>
        <v/>
      </c>
      <c r="J308" s="31" t="str">
        <f>IFERROR(VLOOKUP(GA[[#This Row],[Date]],Raw_Data[[#All],[Date]:[Sunset Time (POA&lt;20 W/m2)]],4,0),"")</f>
        <v/>
      </c>
      <c r="K308" s="30" t="str">
        <f>IFERROR((GA[[#This Row],[Sunset Time (POA&lt;20 W/m2)]]-GA[[#This Row],[Sunrise Time (POA&gt;20 W/m2)]])*24,"")</f>
        <v/>
      </c>
      <c r="M308" s="17" t="str">
        <f>IFERROR(VLOOKUP(GA[[#This Row],[Affceted Equipment]],'Basic Data'!$A$1:$B$113,2,0),"")</f>
        <v/>
      </c>
      <c r="P308" s="28" t="str">
        <f>IFERROR(VLOOKUP(GA[[#This Row],[Affceted Equipment]],'Basic Data'!$A$2:$C$118,3,0),"")</f>
        <v/>
      </c>
      <c r="Q308" s="2"/>
      <c r="W308" s="34"/>
      <c r="X308" s="35"/>
      <c r="Y308" s="35"/>
      <c r="Z308" s="2"/>
      <c r="AA308" s="2"/>
      <c r="AB308" s="2" t="str">
        <f>IFERROR(GA[[#This Row],[Plant Equivalent Weightage]]*GA[[#This Row],[Resolution Time]],"")</f>
        <v/>
      </c>
      <c r="AC308" s="2"/>
      <c r="AD308" s="32" t="str">
        <f>IFERROR((_xlfn.XLOOKUP(GA[[#This Row],[Month Year]],'Modelling New'!D:D,'Modelling New'!$O:$O)*GA[[#This Row],[Lost POA (Wh/m2)]]*GA[[#This Row],[DC Capacity Affceted (kW)]])/1000,"")</f>
        <v/>
      </c>
      <c r="AE308" s="2"/>
    </row>
    <row r="309" spans="1:31">
      <c r="A309" s="2">
        <f t="shared" si="25"/>
        <v>307</v>
      </c>
      <c r="B309" s="156">
        <f t="shared" si="23"/>
        <v>1900</v>
      </c>
      <c r="C309" s="129">
        <f t="shared" si="24"/>
        <v>1900</v>
      </c>
      <c r="I309" s="31" t="str">
        <f>IFERROR(VLOOKUP(GA[[#This Row],[Date]],Raw_Data[[#All],[Date]:[Sunset Time (POA&lt;20 W/m2)]],3,0),"")</f>
        <v/>
      </c>
      <c r="J309" s="31" t="str">
        <f>IFERROR(VLOOKUP(GA[[#This Row],[Date]],Raw_Data[[#All],[Date]:[Sunset Time (POA&lt;20 W/m2)]],4,0),"")</f>
        <v/>
      </c>
      <c r="K309" s="30" t="str">
        <f>IFERROR((GA[[#This Row],[Sunset Time (POA&lt;20 W/m2)]]-GA[[#This Row],[Sunrise Time (POA&gt;20 W/m2)]])*24,"")</f>
        <v/>
      </c>
      <c r="M309" s="17" t="str">
        <f>IFERROR(VLOOKUP(GA[[#This Row],[Affceted Equipment]],'Basic Data'!$A$1:$B$113,2,0),"")</f>
        <v/>
      </c>
      <c r="P309" s="28" t="str">
        <f>IFERROR(VLOOKUP(GA[[#This Row],[Affceted Equipment]],'Basic Data'!$A$2:$C$118,3,0),"")</f>
        <v/>
      </c>
      <c r="Q309" s="2"/>
      <c r="W309" s="34"/>
      <c r="X309" s="35"/>
      <c r="Y309" s="35"/>
      <c r="Z309" s="2"/>
      <c r="AA309" s="2"/>
      <c r="AB309" s="2" t="str">
        <f>IFERROR(GA[[#This Row],[Plant Equivalent Weightage]]*GA[[#This Row],[Resolution Time]],"")</f>
        <v/>
      </c>
      <c r="AC309" s="2"/>
      <c r="AD309" s="32" t="str">
        <f>IFERROR((_xlfn.XLOOKUP(GA[[#This Row],[Month Year]],'Modelling New'!D:D,'Modelling New'!$O:$O)*GA[[#This Row],[Lost POA (Wh/m2)]]*GA[[#This Row],[DC Capacity Affceted (kW)]])/1000,"")</f>
        <v/>
      </c>
      <c r="AE309" s="2"/>
    </row>
    <row r="310" spans="1:31">
      <c r="A310" s="2">
        <f t="shared" si="25"/>
        <v>308</v>
      </c>
      <c r="B310" s="156">
        <f t="shared" si="23"/>
        <v>1900</v>
      </c>
      <c r="C310" s="129">
        <f t="shared" si="24"/>
        <v>1900</v>
      </c>
      <c r="I310" s="31" t="str">
        <f>IFERROR(VLOOKUP(GA[[#This Row],[Date]],Raw_Data[[#All],[Date]:[Sunset Time (POA&lt;20 W/m2)]],3,0),"")</f>
        <v/>
      </c>
      <c r="J310" s="31" t="str">
        <f>IFERROR(VLOOKUP(GA[[#This Row],[Date]],Raw_Data[[#All],[Date]:[Sunset Time (POA&lt;20 W/m2)]],4,0),"")</f>
        <v/>
      </c>
      <c r="K310" s="30" t="str">
        <f>IFERROR((GA[[#This Row],[Sunset Time (POA&lt;20 W/m2)]]-GA[[#This Row],[Sunrise Time (POA&gt;20 W/m2)]])*24,"")</f>
        <v/>
      </c>
      <c r="M310" s="17" t="str">
        <f>IFERROR(VLOOKUP(GA[[#This Row],[Affceted Equipment]],'Basic Data'!$A$1:$B$113,2,0),"")</f>
        <v/>
      </c>
      <c r="P310" s="28" t="str">
        <f>IFERROR(VLOOKUP(GA[[#This Row],[Affceted Equipment]],'Basic Data'!$A$2:$C$118,3,0),"")</f>
        <v/>
      </c>
      <c r="Q310" s="2"/>
      <c r="W310" s="34"/>
      <c r="X310" s="35"/>
      <c r="Y310" s="35"/>
      <c r="Z310" s="2"/>
      <c r="AA310" s="2"/>
      <c r="AB310" s="2" t="str">
        <f>IFERROR(GA[[#This Row],[Plant Equivalent Weightage]]*GA[[#This Row],[Resolution Time]],"")</f>
        <v/>
      </c>
      <c r="AC310" s="2"/>
      <c r="AD310" s="32" t="str">
        <f>IFERROR((_xlfn.XLOOKUP(GA[[#This Row],[Month Year]],'Modelling New'!D:D,'Modelling New'!$O:$O)*GA[[#This Row],[Lost POA (Wh/m2)]]*GA[[#This Row],[DC Capacity Affceted (kW)]])/1000,"")</f>
        <v/>
      </c>
      <c r="AE310" s="2"/>
    </row>
    <row r="311" spans="1:31">
      <c r="A311" s="2">
        <f t="shared" si="25"/>
        <v>309</v>
      </c>
      <c r="B311" s="156">
        <f t="shared" si="23"/>
        <v>1900</v>
      </c>
      <c r="C311" s="129">
        <f t="shared" si="24"/>
        <v>1900</v>
      </c>
      <c r="I311" s="31" t="str">
        <f>IFERROR(VLOOKUP(GA[[#This Row],[Date]],Raw_Data[[#All],[Date]:[Sunset Time (POA&lt;20 W/m2)]],3,0),"")</f>
        <v/>
      </c>
      <c r="J311" s="31" t="str">
        <f>IFERROR(VLOOKUP(GA[[#This Row],[Date]],Raw_Data[[#All],[Date]:[Sunset Time (POA&lt;20 W/m2)]],4,0),"")</f>
        <v/>
      </c>
      <c r="K311" s="30" t="str">
        <f>IFERROR((GA[[#This Row],[Sunset Time (POA&lt;20 W/m2)]]-GA[[#This Row],[Sunrise Time (POA&gt;20 W/m2)]])*24,"")</f>
        <v/>
      </c>
      <c r="M311" s="17" t="str">
        <f>IFERROR(VLOOKUP(GA[[#This Row],[Affceted Equipment]],'Basic Data'!$A$1:$B$113,2,0),"")</f>
        <v/>
      </c>
      <c r="P311" s="28" t="str">
        <f>IFERROR(VLOOKUP(GA[[#This Row],[Affceted Equipment]],'Basic Data'!$A$2:$C$118,3,0),"")</f>
        <v/>
      </c>
      <c r="Q311" s="2"/>
      <c r="W311" s="34"/>
      <c r="X311" s="35"/>
      <c r="Y311" s="35"/>
      <c r="Z311" s="2"/>
      <c r="AA311" s="2"/>
      <c r="AB311" s="2" t="str">
        <f>IFERROR(GA[[#This Row],[Plant Equivalent Weightage]]*GA[[#This Row],[Resolution Time]],"")</f>
        <v/>
      </c>
      <c r="AC311" s="2"/>
      <c r="AD311" s="32" t="str">
        <f>IFERROR((_xlfn.XLOOKUP(GA[[#This Row],[Month Year]],'Modelling New'!D:D,'Modelling New'!$O:$O)*GA[[#This Row],[Lost POA (Wh/m2)]]*GA[[#This Row],[DC Capacity Affceted (kW)]])/1000,"")</f>
        <v/>
      </c>
      <c r="AE311" s="2"/>
    </row>
    <row r="312" spans="1:31">
      <c r="A312" s="2">
        <f t="shared" si="25"/>
        <v>310</v>
      </c>
      <c r="B312" s="156">
        <f t="shared" si="23"/>
        <v>1900</v>
      </c>
      <c r="C312" s="129">
        <f t="shared" si="24"/>
        <v>1900</v>
      </c>
      <c r="I312" s="31" t="str">
        <f>IFERROR(VLOOKUP(GA[[#This Row],[Date]],Raw_Data[[#All],[Date]:[Sunset Time (POA&lt;20 W/m2)]],3,0),"")</f>
        <v/>
      </c>
      <c r="J312" s="31" t="str">
        <f>IFERROR(VLOOKUP(GA[[#This Row],[Date]],Raw_Data[[#All],[Date]:[Sunset Time (POA&lt;20 W/m2)]],4,0),"")</f>
        <v/>
      </c>
      <c r="K312" s="30" t="str">
        <f>IFERROR((GA[[#This Row],[Sunset Time (POA&lt;20 W/m2)]]-GA[[#This Row],[Sunrise Time (POA&gt;20 W/m2)]])*24,"")</f>
        <v/>
      </c>
      <c r="M312" s="17" t="str">
        <f>IFERROR(VLOOKUP(GA[[#This Row],[Affceted Equipment]],'Basic Data'!$A$1:$B$113,2,0),"")</f>
        <v/>
      </c>
      <c r="P312" s="28" t="str">
        <f>IFERROR(VLOOKUP(GA[[#This Row],[Affceted Equipment]],'Basic Data'!$A$2:$C$118,3,0),"")</f>
        <v/>
      </c>
      <c r="Q312" s="2"/>
      <c r="W312" s="34"/>
      <c r="X312" s="35"/>
      <c r="Y312" s="35"/>
      <c r="Z312" s="2"/>
      <c r="AA312" s="2"/>
      <c r="AB312" s="2" t="str">
        <f>IFERROR(GA[[#This Row],[Plant Equivalent Weightage]]*GA[[#This Row],[Resolution Time]],"")</f>
        <v/>
      </c>
      <c r="AC312" s="2"/>
      <c r="AD312" s="32" t="str">
        <f>IFERROR((_xlfn.XLOOKUP(GA[[#This Row],[Month Year]],'Modelling New'!D:D,'Modelling New'!$O:$O)*GA[[#This Row],[Lost POA (Wh/m2)]]*GA[[#This Row],[DC Capacity Affceted (kW)]])/1000,"")</f>
        <v/>
      </c>
      <c r="AE312" s="2"/>
    </row>
    <row r="313" spans="1:31">
      <c r="A313" s="2">
        <f t="shared" si="25"/>
        <v>311</v>
      </c>
      <c r="B313" s="156">
        <f t="shared" si="23"/>
        <v>1900</v>
      </c>
      <c r="C313" s="129">
        <f t="shared" si="24"/>
        <v>1900</v>
      </c>
      <c r="I313" s="31" t="str">
        <f>IFERROR(VLOOKUP(GA[[#This Row],[Date]],Raw_Data[[#All],[Date]:[Sunset Time (POA&lt;20 W/m2)]],3,0),"")</f>
        <v/>
      </c>
      <c r="J313" s="31" t="str">
        <f>IFERROR(VLOOKUP(GA[[#This Row],[Date]],Raw_Data[[#All],[Date]:[Sunset Time (POA&lt;20 W/m2)]],4,0),"")</f>
        <v/>
      </c>
      <c r="K313" s="30" t="str">
        <f>IFERROR((GA[[#This Row],[Sunset Time (POA&lt;20 W/m2)]]-GA[[#This Row],[Sunrise Time (POA&gt;20 W/m2)]])*24,"")</f>
        <v/>
      </c>
      <c r="M313" s="17" t="str">
        <f>IFERROR(VLOOKUP(GA[[#This Row],[Affceted Equipment]],'Basic Data'!$A$1:$B$113,2,0),"")</f>
        <v/>
      </c>
      <c r="P313" s="28" t="str">
        <f>IFERROR(VLOOKUP(GA[[#This Row],[Affceted Equipment]],'Basic Data'!$A$2:$C$118,3,0),"")</f>
        <v/>
      </c>
      <c r="Q313" s="2"/>
      <c r="W313" s="34"/>
      <c r="X313" s="35"/>
      <c r="Y313" s="35"/>
      <c r="Z313" s="2"/>
      <c r="AA313" s="2"/>
      <c r="AB313" s="2" t="str">
        <f>IFERROR(GA[[#This Row],[Plant Equivalent Weightage]]*GA[[#This Row],[Resolution Time]],"")</f>
        <v/>
      </c>
      <c r="AC313" s="2"/>
      <c r="AD313" s="32" t="str">
        <f>IFERROR((_xlfn.XLOOKUP(GA[[#This Row],[Month Year]],'Modelling New'!D:D,'Modelling New'!$O:$O)*GA[[#This Row],[Lost POA (Wh/m2)]]*GA[[#This Row],[DC Capacity Affceted (kW)]])/1000,"")</f>
        <v/>
      </c>
      <c r="AE313" s="2"/>
    </row>
    <row r="314" spans="1:31">
      <c r="A314" s="2">
        <f t="shared" si="25"/>
        <v>312</v>
      </c>
      <c r="B314" s="156">
        <f t="shared" si="23"/>
        <v>1900</v>
      </c>
      <c r="C314" s="129">
        <f t="shared" si="24"/>
        <v>1900</v>
      </c>
      <c r="I314" s="31" t="str">
        <f>IFERROR(VLOOKUP(GA[[#This Row],[Date]],Raw_Data[[#All],[Date]:[Sunset Time (POA&lt;20 W/m2)]],3,0),"")</f>
        <v/>
      </c>
      <c r="J314" s="31" t="str">
        <f>IFERROR(VLOOKUP(GA[[#This Row],[Date]],Raw_Data[[#All],[Date]:[Sunset Time (POA&lt;20 W/m2)]],4,0),"")</f>
        <v/>
      </c>
      <c r="K314" s="30" t="str">
        <f>IFERROR((GA[[#This Row],[Sunset Time (POA&lt;20 W/m2)]]-GA[[#This Row],[Sunrise Time (POA&gt;20 W/m2)]])*24,"")</f>
        <v/>
      </c>
      <c r="M314" s="17" t="str">
        <f>IFERROR(VLOOKUP(GA[[#This Row],[Affceted Equipment]],'Basic Data'!$A$1:$B$113,2,0),"")</f>
        <v/>
      </c>
      <c r="P314" s="28" t="str">
        <f>IFERROR(VLOOKUP(GA[[#This Row],[Affceted Equipment]],'Basic Data'!$A$2:$C$118,3,0),"")</f>
        <v/>
      </c>
      <c r="Q314" s="2"/>
      <c r="W314" s="34"/>
      <c r="X314" s="35"/>
      <c r="Y314" s="35"/>
      <c r="Z314" s="2"/>
      <c r="AA314" s="2"/>
      <c r="AB314" s="2" t="str">
        <f>IFERROR(GA[[#This Row],[Plant Equivalent Weightage]]*GA[[#This Row],[Resolution Time]],"")</f>
        <v/>
      </c>
      <c r="AC314" s="2"/>
      <c r="AD314" s="32" t="str">
        <f>IFERROR((_xlfn.XLOOKUP(GA[[#This Row],[Month Year]],'Modelling New'!D:D,'Modelling New'!$O:$O)*GA[[#This Row],[Lost POA (Wh/m2)]]*GA[[#This Row],[DC Capacity Affceted (kW)]])/1000,"")</f>
        <v/>
      </c>
      <c r="AE314" s="2"/>
    </row>
    <row r="315" spans="1:31">
      <c r="A315" s="2">
        <f t="shared" si="25"/>
        <v>313</v>
      </c>
      <c r="B315" s="156">
        <f t="shared" si="23"/>
        <v>1900</v>
      </c>
      <c r="C315" s="129">
        <f t="shared" si="24"/>
        <v>1900</v>
      </c>
      <c r="I315" s="31" t="str">
        <f>IFERROR(VLOOKUP(GA[[#This Row],[Date]],Raw_Data[[#All],[Date]:[Sunset Time (POA&lt;20 W/m2)]],3,0),"")</f>
        <v/>
      </c>
      <c r="J315" s="31" t="str">
        <f>IFERROR(VLOOKUP(GA[[#This Row],[Date]],Raw_Data[[#All],[Date]:[Sunset Time (POA&lt;20 W/m2)]],4,0),"")</f>
        <v/>
      </c>
      <c r="K315" s="30" t="str">
        <f>IFERROR((GA[[#This Row],[Sunset Time (POA&lt;20 W/m2)]]-GA[[#This Row],[Sunrise Time (POA&gt;20 W/m2)]])*24,"")</f>
        <v/>
      </c>
      <c r="M315" s="17" t="str">
        <f>IFERROR(VLOOKUP(GA[[#This Row],[Affceted Equipment]],'Basic Data'!$A$1:$B$113,2,0),"")</f>
        <v/>
      </c>
      <c r="P315" s="28" t="str">
        <f>IFERROR(VLOOKUP(GA[[#This Row],[Affceted Equipment]],'Basic Data'!$A$2:$C$118,3,0),"")</f>
        <v/>
      </c>
      <c r="Q315" s="2"/>
      <c r="W315" s="34"/>
      <c r="X315" s="35"/>
      <c r="Y315" s="35"/>
      <c r="Z315" s="2"/>
      <c r="AA315" s="2"/>
      <c r="AB315" s="2" t="str">
        <f>IFERROR(GA[[#This Row],[Plant Equivalent Weightage]]*GA[[#This Row],[Resolution Time]],"")</f>
        <v/>
      </c>
      <c r="AC315" s="2"/>
      <c r="AD315" s="32" t="str">
        <f>IFERROR((_xlfn.XLOOKUP(GA[[#This Row],[Month Year]],'Modelling New'!D:D,'Modelling New'!$O:$O)*GA[[#This Row],[Lost POA (Wh/m2)]]*GA[[#This Row],[DC Capacity Affceted (kW)]])/1000,"")</f>
        <v/>
      </c>
      <c r="AE315" s="2"/>
    </row>
    <row r="316" spans="1:31">
      <c r="A316" s="2">
        <f t="shared" si="25"/>
        <v>314</v>
      </c>
      <c r="B316" s="156">
        <f t="shared" si="23"/>
        <v>1900</v>
      </c>
      <c r="C316" s="129">
        <f t="shared" si="24"/>
        <v>1900</v>
      </c>
      <c r="I316" s="31" t="str">
        <f>IFERROR(VLOOKUP(GA[[#This Row],[Date]],Raw_Data[[#All],[Date]:[Sunset Time (POA&lt;20 W/m2)]],3,0),"")</f>
        <v/>
      </c>
      <c r="J316" s="31" t="str">
        <f>IFERROR(VLOOKUP(GA[[#This Row],[Date]],Raw_Data[[#All],[Date]:[Sunset Time (POA&lt;20 W/m2)]],4,0),"")</f>
        <v/>
      </c>
      <c r="K316" s="30" t="str">
        <f>IFERROR((GA[[#This Row],[Sunset Time (POA&lt;20 W/m2)]]-GA[[#This Row],[Sunrise Time (POA&gt;20 W/m2)]])*24,"")</f>
        <v/>
      </c>
      <c r="M316" s="17" t="str">
        <f>IFERROR(VLOOKUP(GA[[#This Row],[Affceted Equipment]],'Basic Data'!$A$1:$B$113,2,0),"")</f>
        <v/>
      </c>
      <c r="P316" s="28" t="str">
        <f>IFERROR(VLOOKUP(GA[[#This Row],[Affceted Equipment]],'Basic Data'!$A$2:$C$118,3,0),"")</f>
        <v/>
      </c>
      <c r="Q316" s="2"/>
      <c r="W316" s="34"/>
      <c r="X316" s="35"/>
      <c r="Y316" s="35"/>
      <c r="Z316" s="2"/>
      <c r="AA316" s="2"/>
      <c r="AB316" s="2" t="str">
        <f>IFERROR(GA[[#This Row],[Plant Equivalent Weightage]]*GA[[#This Row],[Resolution Time]],"")</f>
        <v/>
      </c>
      <c r="AC316" s="2"/>
      <c r="AD316" s="32" t="str">
        <f>IFERROR((_xlfn.XLOOKUP(GA[[#This Row],[Month Year]],'Modelling New'!D:D,'Modelling New'!$O:$O)*GA[[#This Row],[Lost POA (Wh/m2)]]*GA[[#This Row],[DC Capacity Affceted (kW)]])/1000,"")</f>
        <v/>
      </c>
      <c r="AE316" s="2"/>
    </row>
    <row r="317" spans="1:31">
      <c r="A317" s="2">
        <f t="shared" si="25"/>
        <v>315</v>
      </c>
      <c r="B317" s="156">
        <f t="shared" si="23"/>
        <v>1900</v>
      </c>
      <c r="C317" s="129">
        <f t="shared" si="24"/>
        <v>1900</v>
      </c>
      <c r="I317" s="31" t="str">
        <f>IFERROR(VLOOKUP(GA[[#This Row],[Date]],Raw_Data[[#All],[Date]:[Sunset Time (POA&lt;20 W/m2)]],3,0),"")</f>
        <v/>
      </c>
      <c r="J317" s="31" t="str">
        <f>IFERROR(VLOOKUP(GA[[#This Row],[Date]],Raw_Data[[#All],[Date]:[Sunset Time (POA&lt;20 W/m2)]],4,0),"")</f>
        <v/>
      </c>
      <c r="K317" s="30" t="str">
        <f>IFERROR((GA[[#This Row],[Sunset Time (POA&lt;20 W/m2)]]-GA[[#This Row],[Sunrise Time (POA&gt;20 W/m2)]])*24,"")</f>
        <v/>
      </c>
      <c r="M317" s="17" t="str">
        <f>IFERROR(VLOOKUP(GA[[#This Row],[Affceted Equipment]],'Basic Data'!$A$1:$B$113,2,0),"")</f>
        <v/>
      </c>
      <c r="P317" s="28" t="str">
        <f>IFERROR(VLOOKUP(GA[[#This Row],[Affceted Equipment]],'Basic Data'!$A$2:$C$118,3,0),"")</f>
        <v/>
      </c>
      <c r="Q317" s="2"/>
      <c r="W317" s="34"/>
      <c r="X317" s="35"/>
      <c r="Y317" s="35"/>
      <c r="Z317" s="2"/>
      <c r="AA317" s="2"/>
      <c r="AB317" s="2" t="str">
        <f>IFERROR(GA[[#This Row],[Plant Equivalent Weightage]]*GA[[#This Row],[Resolution Time]],"")</f>
        <v/>
      </c>
      <c r="AC317" s="2"/>
      <c r="AD317" s="32" t="str">
        <f>IFERROR((_xlfn.XLOOKUP(GA[[#This Row],[Month Year]],'Modelling New'!D:D,'Modelling New'!$O:$O)*GA[[#This Row],[Lost POA (Wh/m2)]]*GA[[#This Row],[DC Capacity Affceted (kW)]])/1000,"")</f>
        <v/>
      </c>
      <c r="AE317" s="2"/>
    </row>
    <row r="318" spans="1:31">
      <c r="A318" s="2">
        <f t="shared" si="25"/>
        <v>316</v>
      </c>
      <c r="B318" s="156">
        <f t="shared" si="23"/>
        <v>1900</v>
      </c>
      <c r="C318" s="129">
        <f t="shared" si="24"/>
        <v>1900</v>
      </c>
      <c r="I318" s="31" t="str">
        <f>IFERROR(VLOOKUP(GA[[#This Row],[Date]],Raw_Data[[#All],[Date]:[Sunset Time (POA&lt;20 W/m2)]],3,0),"")</f>
        <v/>
      </c>
      <c r="J318" s="31" t="str">
        <f>IFERROR(VLOOKUP(GA[[#This Row],[Date]],Raw_Data[[#All],[Date]:[Sunset Time (POA&lt;20 W/m2)]],4,0),"")</f>
        <v/>
      </c>
      <c r="K318" s="30" t="str">
        <f>IFERROR((GA[[#This Row],[Sunset Time (POA&lt;20 W/m2)]]-GA[[#This Row],[Sunrise Time (POA&gt;20 W/m2)]])*24,"")</f>
        <v/>
      </c>
      <c r="M318" s="17" t="str">
        <f>IFERROR(VLOOKUP(GA[[#This Row],[Affceted Equipment]],'Basic Data'!$A$1:$B$113,2,0),"")</f>
        <v/>
      </c>
      <c r="P318" s="28" t="str">
        <f>IFERROR(VLOOKUP(GA[[#This Row],[Affceted Equipment]],'Basic Data'!$A$2:$C$118,3,0),"")</f>
        <v/>
      </c>
      <c r="Q318" s="2"/>
      <c r="W318" s="34"/>
      <c r="X318" s="35"/>
      <c r="Y318" s="35"/>
      <c r="Z318" s="2"/>
      <c r="AA318" s="2"/>
      <c r="AB318" s="2" t="str">
        <f>IFERROR(GA[[#This Row],[Plant Equivalent Weightage]]*GA[[#This Row],[Resolution Time]],"")</f>
        <v/>
      </c>
      <c r="AC318" s="2"/>
      <c r="AD318" s="32" t="str">
        <f>IFERROR((_xlfn.XLOOKUP(GA[[#This Row],[Month Year]],'Modelling New'!D:D,'Modelling New'!$O:$O)*GA[[#This Row],[Lost POA (Wh/m2)]]*GA[[#This Row],[DC Capacity Affceted (kW)]])/1000,"")</f>
        <v/>
      </c>
      <c r="AE318" s="2"/>
    </row>
    <row r="319" spans="1:31">
      <c r="A319" s="2">
        <f t="shared" si="25"/>
        <v>317</v>
      </c>
      <c r="B319" s="156">
        <f t="shared" si="23"/>
        <v>1900</v>
      </c>
      <c r="C319" s="129">
        <f t="shared" si="24"/>
        <v>1900</v>
      </c>
      <c r="I319" s="31" t="str">
        <f>IFERROR(VLOOKUP(GA[[#This Row],[Date]],Raw_Data[[#All],[Date]:[Sunset Time (POA&lt;20 W/m2)]],3,0),"")</f>
        <v/>
      </c>
      <c r="J319" s="31" t="str">
        <f>IFERROR(VLOOKUP(GA[[#This Row],[Date]],Raw_Data[[#All],[Date]:[Sunset Time (POA&lt;20 W/m2)]],4,0),"")</f>
        <v/>
      </c>
      <c r="K319" s="30" t="str">
        <f>IFERROR((GA[[#This Row],[Sunset Time (POA&lt;20 W/m2)]]-GA[[#This Row],[Sunrise Time (POA&gt;20 W/m2)]])*24,"")</f>
        <v/>
      </c>
      <c r="M319" s="17" t="str">
        <f>IFERROR(VLOOKUP(GA[[#This Row],[Affceted Equipment]],'Basic Data'!$A$1:$B$113,2,0),"")</f>
        <v/>
      </c>
      <c r="P319" s="28" t="str">
        <f>IFERROR(VLOOKUP(GA[[#This Row],[Affceted Equipment]],'Basic Data'!$A$2:$C$118,3,0),"")</f>
        <v/>
      </c>
      <c r="Q319" s="2"/>
      <c r="W319" s="34"/>
      <c r="X319" s="35"/>
      <c r="Y319" s="35"/>
      <c r="Z319" s="2"/>
      <c r="AA319" s="2"/>
      <c r="AB319" s="2" t="str">
        <f>IFERROR(GA[[#This Row],[Plant Equivalent Weightage]]*GA[[#This Row],[Resolution Time]],"")</f>
        <v/>
      </c>
      <c r="AC319" s="2"/>
      <c r="AD319" s="32" t="str">
        <f>IFERROR((_xlfn.XLOOKUP(GA[[#This Row],[Month Year]],'Modelling New'!D:D,'Modelling New'!$O:$O)*GA[[#This Row],[Lost POA (Wh/m2)]]*GA[[#This Row],[DC Capacity Affceted (kW)]])/1000,"")</f>
        <v/>
      </c>
      <c r="AE319" s="2"/>
    </row>
    <row r="320" spans="1:31">
      <c r="A320" s="2">
        <f t="shared" si="25"/>
        <v>318</v>
      </c>
      <c r="B320" s="156">
        <f t="shared" si="23"/>
        <v>1900</v>
      </c>
      <c r="C320" s="129">
        <f t="shared" si="24"/>
        <v>1900</v>
      </c>
      <c r="I320" s="31" t="str">
        <f>IFERROR(VLOOKUP(GA[[#This Row],[Date]],Raw_Data[[#All],[Date]:[Sunset Time (POA&lt;20 W/m2)]],3,0),"")</f>
        <v/>
      </c>
      <c r="J320" s="31" t="str">
        <f>IFERROR(VLOOKUP(GA[[#This Row],[Date]],Raw_Data[[#All],[Date]:[Sunset Time (POA&lt;20 W/m2)]],4,0),"")</f>
        <v/>
      </c>
      <c r="K320" s="30" t="str">
        <f>IFERROR((GA[[#This Row],[Sunset Time (POA&lt;20 W/m2)]]-GA[[#This Row],[Sunrise Time (POA&gt;20 W/m2)]])*24,"")</f>
        <v/>
      </c>
      <c r="M320" s="17" t="str">
        <f>IFERROR(VLOOKUP(GA[[#This Row],[Affceted Equipment]],'Basic Data'!$A$1:$B$113,2,0),"")</f>
        <v/>
      </c>
      <c r="P320" s="28" t="str">
        <f>IFERROR(VLOOKUP(GA[[#This Row],[Affceted Equipment]],'Basic Data'!$A$2:$C$118,3,0),"")</f>
        <v/>
      </c>
      <c r="Q320" s="2"/>
      <c r="W320" s="34"/>
      <c r="X320" s="35"/>
      <c r="Y320" s="35"/>
      <c r="Z320" s="2"/>
      <c r="AA320" s="2"/>
      <c r="AB320" s="2" t="str">
        <f>IFERROR(GA[[#This Row],[Plant Equivalent Weightage]]*GA[[#This Row],[Resolution Time]],"")</f>
        <v/>
      </c>
      <c r="AC320" s="2"/>
      <c r="AD320" s="32" t="str">
        <f>IFERROR((_xlfn.XLOOKUP(GA[[#This Row],[Month Year]],'Modelling New'!D:D,'Modelling New'!$O:$O)*GA[[#This Row],[Lost POA (Wh/m2)]]*GA[[#This Row],[DC Capacity Affceted (kW)]])/1000,"")</f>
        <v/>
      </c>
      <c r="AE320" s="2"/>
    </row>
    <row r="321" spans="1:31">
      <c r="A321" s="2">
        <f t="shared" si="25"/>
        <v>319</v>
      </c>
      <c r="B321" s="156">
        <f t="shared" si="23"/>
        <v>1900</v>
      </c>
      <c r="C321" s="129">
        <f t="shared" si="24"/>
        <v>1900</v>
      </c>
      <c r="I321" s="31" t="str">
        <f>IFERROR(VLOOKUP(GA[[#This Row],[Date]],Raw_Data[[#All],[Date]:[Sunset Time (POA&lt;20 W/m2)]],3,0),"")</f>
        <v/>
      </c>
      <c r="J321" s="31" t="str">
        <f>IFERROR(VLOOKUP(GA[[#This Row],[Date]],Raw_Data[[#All],[Date]:[Sunset Time (POA&lt;20 W/m2)]],4,0),"")</f>
        <v/>
      </c>
      <c r="K321" s="30" t="str">
        <f>IFERROR((GA[[#This Row],[Sunset Time (POA&lt;20 W/m2)]]-GA[[#This Row],[Sunrise Time (POA&gt;20 W/m2)]])*24,"")</f>
        <v/>
      </c>
      <c r="M321" s="17" t="str">
        <f>IFERROR(VLOOKUP(GA[[#This Row],[Affceted Equipment]],'Basic Data'!$A$1:$B$113,2,0),"")</f>
        <v/>
      </c>
      <c r="P321" s="28" t="str">
        <f>IFERROR(VLOOKUP(GA[[#This Row],[Affceted Equipment]],'Basic Data'!$A$2:$C$118,3,0),"")</f>
        <v/>
      </c>
      <c r="Q321" s="2"/>
      <c r="W321" s="34"/>
      <c r="X321" s="35"/>
      <c r="Y321" s="35"/>
      <c r="Z321" s="2"/>
      <c r="AA321" s="2"/>
      <c r="AB321" s="2" t="str">
        <f>IFERROR(GA[[#This Row],[Plant Equivalent Weightage]]*GA[[#This Row],[Resolution Time]],"")</f>
        <v/>
      </c>
      <c r="AC321" s="2"/>
      <c r="AD321" s="32" t="str">
        <f>IFERROR((_xlfn.XLOOKUP(GA[[#This Row],[Month Year]],'Modelling New'!D:D,'Modelling New'!$O:$O)*GA[[#This Row],[Lost POA (Wh/m2)]]*GA[[#This Row],[DC Capacity Affceted (kW)]])/1000,"")</f>
        <v/>
      </c>
      <c r="AE321" s="2"/>
    </row>
    <row r="322" spans="1:31">
      <c r="A322" s="2">
        <f t="shared" si="25"/>
        <v>320</v>
      </c>
      <c r="B322" s="156">
        <f t="shared" si="23"/>
        <v>1900</v>
      </c>
      <c r="C322" s="129">
        <f t="shared" si="24"/>
        <v>1900</v>
      </c>
      <c r="I322" s="31" t="str">
        <f>IFERROR(VLOOKUP(GA[[#This Row],[Date]],Raw_Data[[#All],[Date]:[Sunset Time (POA&lt;20 W/m2)]],3,0),"")</f>
        <v/>
      </c>
      <c r="J322" s="31" t="str">
        <f>IFERROR(VLOOKUP(GA[[#This Row],[Date]],Raw_Data[[#All],[Date]:[Sunset Time (POA&lt;20 W/m2)]],4,0),"")</f>
        <v/>
      </c>
      <c r="K322" s="30" t="str">
        <f>IFERROR((GA[[#This Row],[Sunset Time (POA&lt;20 W/m2)]]-GA[[#This Row],[Sunrise Time (POA&gt;20 W/m2)]])*24,"")</f>
        <v/>
      </c>
      <c r="M322" s="17" t="str">
        <f>IFERROR(VLOOKUP(GA[[#This Row],[Affceted Equipment]],'Basic Data'!$A$1:$B$113,2,0),"")</f>
        <v/>
      </c>
      <c r="P322" s="28" t="str">
        <f>IFERROR(VLOOKUP(GA[[#This Row],[Affceted Equipment]],'Basic Data'!$A$2:$C$118,3,0),"")</f>
        <v/>
      </c>
      <c r="Q322" s="2"/>
      <c r="W322" s="34"/>
      <c r="X322" s="35"/>
      <c r="Y322" s="35"/>
      <c r="Z322" s="2"/>
      <c r="AA322" s="2"/>
      <c r="AB322" s="2" t="str">
        <f>IFERROR(GA[[#This Row],[Plant Equivalent Weightage]]*GA[[#This Row],[Resolution Time]],"")</f>
        <v/>
      </c>
      <c r="AC322" s="2"/>
      <c r="AD322" s="32" t="str">
        <f>IFERROR((_xlfn.XLOOKUP(GA[[#This Row],[Month Year]],'Modelling New'!D:D,'Modelling New'!$O:$O)*GA[[#This Row],[Lost POA (Wh/m2)]]*GA[[#This Row],[DC Capacity Affceted (kW)]])/1000,"")</f>
        <v/>
      </c>
      <c r="AE322" s="2"/>
    </row>
    <row r="323" spans="1:31">
      <c r="A323" s="2">
        <f t="shared" si="25"/>
        <v>321</v>
      </c>
      <c r="B323" s="156">
        <f t="shared" si="23"/>
        <v>1900</v>
      </c>
      <c r="C323" s="129">
        <f t="shared" si="24"/>
        <v>1900</v>
      </c>
      <c r="I323" s="31" t="str">
        <f>IFERROR(VLOOKUP(GA[[#This Row],[Date]],Raw_Data[[#All],[Date]:[Sunset Time (POA&lt;20 W/m2)]],3,0),"")</f>
        <v/>
      </c>
      <c r="J323" s="31" t="str">
        <f>IFERROR(VLOOKUP(GA[[#This Row],[Date]],Raw_Data[[#All],[Date]:[Sunset Time (POA&lt;20 W/m2)]],4,0),"")</f>
        <v/>
      </c>
      <c r="K323" s="30" t="str">
        <f>IFERROR((GA[[#This Row],[Sunset Time (POA&lt;20 W/m2)]]-GA[[#This Row],[Sunrise Time (POA&gt;20 W/m2)]])*24,"")</f>
        <v/>
      </c>
      <c r="M323" s="17" t="str">
        <f>IFERROR(VLOOKUP(GA[[#This Row],[Affceted Equipment]],'Basic Data'!$A$1:$B$113,2,0),"")</f>
        <v/>
      </c>
      <c r="P323" s="28" t="str">
        <f>IFERROR(VLOOKUP(GA[[#This Row],[Affceted Equipment]],'Basic Data'!$A$2:$C$118,3,0),"")</f>
        <v/>
      </c>
      <c r="Q323" s="2"/>
      <c r="W323" s="34"/>
      <c r="X323" s="35"/>
      <c r="Y323" s="35"/>
      <c r="Z323" s="2"/>
      <c r="AA323" s="2"/>
      <c r="AB323" s="2" t="str">
        <f>IFERROR(GA[[#This Row],[Plant Equivalent Weightage]]*GA[[#This Row],[Resolution Time]],"")</f>
        <v/>
      </c>
      <c r="AC323" s="2"/>
      <c r="AD323" s="32" t="str">
        <f>IFERROR((_xlfn.XLOOKUP(GA[[#This Row],[Month Year]],'Modelling New'!D:D,'Modelling New'!$O:$O)*GA[[#This Row],[Lost POA (Wh/m2)]]*GA[[#This Row],[DC Capacity Affceted (kW)]])/1000,"")</f>
        <v/>
      </c>
      <c r="AE323" s="2"/>
    </row>
    <row r="324" spans="1:31">
      <c r="A324" s="2">
        <f t="shared" si="25"/>
        <v>322</v>
      </c>
      <c r="B324" s="156">
        <f t="shared" ref="B324:B387" si="26">YEAR(H324)+IF(MONTH(H324)&gt;=4,1,0)</f>
        <v>1900</v>
      </c>
      <c r="C324" s="129">
        <f t="shared" ref="C324:C387" si="27">YEAR(H324)</f>
        <v>1900</v>
      </c>
      <c r="I324" s="31" t="str">
        <f>IFERROR(VLOOKUP(GA[[#This Row],[Date]],Raw_Data[[#All],[Date]:[Sunset Time (POA&lt;20 W/m2)]],3,0),"")</f>
        <v/>
      </c>
      <c r="J324" s="31" t="str">
        <f>IFERROR(VLOOKUP(GA[[#This Row],[Date]],Raw_Data[[#All],[Date]:[Sunset Time (POA&lt;20 W/m2)]],4,0),"")</f>
        <v/>
      </c>
      <c r="K324" s="30" t="str">
        <f>IFERROR((GA[[#This Row],[Sunset Time (POA&lt;20 W/m2)]]-GA[[#This Row],[Sunrise Time (POA&gt;20 W/m2)]])*24,"")</f>
        <v/>
      </c>
      <c r="M324" s="17" t="str">
        <f>IFERROR(VLOOKUP(GA[[#This Row],[Affceted Equipment]],'Basic Data'!$A$1:$B$113,2,0),"")</f>
        <v/>
      </c>
      <c r="P324" s="28" t="str">
        <f>IFERROR(VLOOKUP(GA[[#This Row],[Affceted Equipment]],'Basic Data'!$A$2:$C$118,3,0),"")</f>
        <v/>
      </c>
      <c r="Q324" s="2"/>
      <c r="W324" s="34"/>
      <c r="X324" s="35"/>
      <c r="Y324" s="35"/>
      <c r="Z324" s="2"/>
      <c r="AA324" s="2"/>
      <c r="AB324" s="2" t="str">
        <f>IFERROR(GA[[#This Row],[Plant Equivalent Weightage]]*GA[[#This Row],[Resolution Time]],"")</f>
        <v/>
      </c>
      <c r="AC324" s="2"/>
      <c r="AD324" s="32" t="str">
        <f>IFERROR((_xlfn.XLOOKUP(GA[[#This Row],[Month Year]],'Modelling New'!D:D,'Modelling New'!$O:$O)*GA[[#This Row],[Lost POA (Wh/m2)]]*GA[[#This Row],[DC Capacity Affceted (kW)]])/1000,"")</f>
        <v/>
      </c>
      <c r="AE324" s="2"/>
    </row>
    <row r="325" spans="1:31">
      <c r="A325" s="2">
        <f t="shared" si="25"/>
        <v>323</v>
      </c>
      <c r="B325" s="156">
        <f t="shared" si="26"/>
        <v>1900</v>
      </c>
      <c r="C325" s="129">
        <f t="shared" si="27"/>
        <v>1900</v>
      </c>
      <c r="I325" s="31" t="str">
        <f>IFERROR(VLOOKUP(GA[[#This Row],[Date]],Raw_Data[[#All],[Date]:[Sunset Time (POA&lt;20 W/m2)]],3,0),"")</f>
        <v/>
      </c>
      <c r="J325" s="31" t="str">
        <f>IFERROR(VLOOKUP(GA[[#This Row],[Date]],Raw_Data[[#All],[Date]:[Sunset Time (POA&lt;20 W/m2)]],4,0),"")</f>
        <v/>
      </c>
      <c r="K325" s="30" t="str">
        <f>IFERROR((GA[[#This Row],[Sunset Time (POA&lt;20 W/m2)]]-GA[[#This Row],[Sunrise Time (POA&gt;20 W/m2)]])*24,"")</f>
        <v/>
      </c>
      <c r="M325" s="17" t="str">
        <f>IFERROR(VLOOKUP(GA[[#This Row],[Affceted Equipment]],'Basic Data'!$A$1:$B$113,2,0),"")</f>
        <v/>
      </c>
      <c r="P325" s="28" t="str">
        <f>IFERROR(VLOOKUP(GA[[#This Row],[Affceted Equipment]],'Basic Data'!$A$2:$C$118,3,0),"")</f>
        <v/>
      </c>
      <c r="Q325" s="2"/>
      <c r="W325" s="34"/>
      <c r="X325" s="35"/>
      <c r="Y325" s="35"/>
      <c r="Z325" s="2"/>
      <c r="AA325" s="2"/>
      <c r="AB325" s="2" t="str">
        <f>IFERROR(GA[[#This Row],[Plant Equivalent Weightage]]*GA[[#This Row],[Resolution Time]],"")</f>
        <v/>
      </c>
      <c r="AC325" s="2"/>
      <c r="AD325" s="32" t="str">
        <f>IFERROR((_xlfn.XLOOKUP(GA[[#This Row],[Month Year]],'Modelling New'!D:D,'Modelling New'!$O:$O)*GA[[#This Row],[Lost POA (Wh/m2)]]*GA[[#This Row],[DC Capacity Affceted (kW)]])/1000,"")</f>
        <v/>
      </c>
      <c r="AE325" s="2"/>
    </row>
    <row r="326" spans="1:31">
      <c r="A326" s="2">
        <f t="shared" si="25"/>
        <v>324</v>
      </c>
      <c r="B326" s="156">
        <f t="shared" si="26"/>
        <v>1900</v>
      </c>
      <c r="C326" s="129">
        <f t="shared" si="27"/>
        <v>1900</v>
      </c>
      <c r="I326" s="31" t="str">
        <f>IFERROR(VLOOKUP(GA[[#This Row],[Date]],Raw_Data[[#All],[Date]:[Sunset Time (POA&lt;20 W/m2)]],3,0),"")</f>
        <v/>
      </c>
      <c r="J326" s="31" t="str">
        <f>IFERROR(VLOOKUP(GA[[#This Row],[Date]],Raw_Data[[#All],[Date]:[Sunset Time (POA&lt;20 W/m2)]],4,0),"")</f>
        <v/>
      </c>
      <c r="K326" s="30" t="str">
        <f>IFERROR((GA[[#This Row],[Sunset Time (POA&lt;20 W/m2)]]-GA[[#This Row],[Sunrise Time (POA&gt;20 W/m2)]])*24,"")</f>
        <v/>
      </c>
      <c r="M326" s="17" t="str">
        <f>IFERROR(VLOOKUP(GA[[#This Row],[Affceted Equipment]],'Basic Data'!$A$1:$B$113,2,0),"")</f>
        <v/>
      </c>
      <c r="P326" s="28" t="str">
        <f>IFERROR(VLOOKUP(GA[[#This Row],[Affceted Equipment]],'Basic Data'!$A$2:$C$118,3,0),"")</f>
        <v/>
      </c>
      <c r="Q326" s="2"/>
      <c r="W326" s="34"/>
      <c r="X326" s="35"/>
      <c r="Y326" s="35"/>
      <c r="Z326" s="2"/>
      <c r="AA326" s="2"/>
      <c r="AB326" s="2" t="str">
        <f>IFERROR(GA[[#This Row],[Plant Equivalent Weightage]]*GA[[#This Row],[Resolution Time]],"")</f>
        <v/>
      </c>
      <c r="AC326" s="2"/>
      <c r="AD326" s="32" t="str">
        <f>IFERROR((_xlfn.XLOOKUP(GA[[#This Row],[Month Year]],'Modelling New'!D:D,'Modelling New'!$O:$O)*GA[[#This Row],[Lost POA (Wh/m2)]]*GA[[#This Row],[DC Capacity Affceted (kW)]])/1000,"")</f>
        <v/>
      </c>
      <c r="AE326" s="2"/>
    </row>
    <row r="327" spans="1:31">
      <c r="A327" s="2">
        <f t="shared" si="25"/>
        <v>325</v>
      </c>
      <c r="B327" s="156">
        <f t="shared" si="26"/>
        <v>1900</v>
      </c>
      <c r="C327" s="129">
        <f t="shared" si="27"/>
        <v>1900</v>
      </c>
      <c r="I327" s="31" t="str">
        <f>IFERROR(VLOOKUP(GA[[#This Row],[Date]],Raw_Data[[#All],[Date]:[Sunset Time (POA&lt;20 W/m2)]],3,0),"")</f>
        <v/>
      </c>
      <c r="J327" s="31" t="str">
        <f>IFERROR(VLOOKUP(GA[[#This Row],[Date]],Raw_Data[[#All],[Date]:[Sunset Time (POA&lt;20 W/m2)]],4,0),"")</f>
        <v/>
      </c>
      <c r="K327" s="30" t="str">
        <f>IFERROR((GA[[#This Row],[Sunset Time (POA&lt;20 W/m2)]]-GA[[#This Row],[Sunrise Time (POA&gt;20 W/m2)]])*24,"")</f>
        <v/>
      </c>
      <c r="M327" s="17" t="str">
        <f>IFERROR(VLOOKUP(GA[[#This Row],[Affceted Equipment]],'Basic Data'!$A$1:$B$113,2,0),"")</f>
        <v/>
      </c>
      <c r="P327" s="28" t="str">
        <f>IFERROR(VLOOKUP(GA[[#This Row],[Affceted Equipment]],'Basic Data'!$A$2:$C$118,3,0),"")</f>
        <v/>
      </c>
      <c r="Q327" s="2"/>
      <c r="W327" s="34"/>
      <c r="X327" s="35"/>
      <c r="Y327" s="35"/>
      <c r="Z327" s="2"/>
      <c r="AA327" s="2"/>
      <c r="AB327" s="2" t="str">
        <f>IFERROR(GA[[#This Row],[Plant Equivalent Weightage]]*GA[[#This Row],[Resolution Time]],"")</f>
        <v/>
      </c>
      <c r="AC327" s="2"/>
      <c r="AD327" s="32" t="str">
        <f>IFERROR((_xlfn.XLOOKUP(GA[[#This Row],[Month Year]],'Modelling New'!D:D,'Modelling New'!$O:$O)*GA[[#This Row],[Lost POA (Wh/m2)]]*GA[[#This Row],[DC Capacity Affceted (kW)]])/1000,"")</f>
        <v/>
      </c>
      <c r="AE327" s="2"/>
    </row>
    <row r="328" spans="1:31">
      <c r="A328" s="2">
        <f t="shared" si="25"/>
        <v>326</v>
      </c>
      <c r="B328" s="156">
        <f t="shared" si="26"/>
        <v>1900</v>
      </c>
      <c r="C328" s="129">
        <f t="shared" si="27"/>
        <v>1900</v>
      </c>
      <c r="I328" s="31" t="str">
        <f>IFERROR(VLOOKUP(GA[[#This Row],[Date]],Raw_Data[[#All],[Date]:[Sunset Time (POA&lt;20 W/m2)]],3,0),"")</f>
        <v/>
      </c>
      <c r="J328" s="31" t="str">
        <f>IFERROR(VLOOKUP(GA[[#This Row],[Date]],Raw_Data[[#All],[Date]:[Sunset Time (POA&lt;20 W/m2)]],4,0),"")</f>
        <v/>
      </c>
      <c r="K328" s="30" t="str">
        <f>IFERROR((GA[[#This Row],[Sunset Time (POA&lt;20 W/m2)]]-GA[[#This Row],[Sunrise Time (POA&gt;20 W/m2)]])*24,"")</f>
        <v/>
      </c>
      <c r="M328" s="17" t="str">
        <f>IFERROR(VLOOKUP(GA[[#This Row],[Affceted Equipment]],'Basic Data'!$A$1:$B$113,2,0),"")</f>
        <v/>
      </c>
      <c r="P328" s="28" t="str">
        <f>IFERROR(VLOOKUP(GA[[#This Row],[Affceted Equipment]],'Basic Data'!$A$2:$C$118,3,0),"")</f>
        <v/>
      </c>
      <c r="Q328" s="2"/>
      <c r="W328" s="34"/>
      <c r="X328" s="35"/>
      <c r="Y328" s="35"/>
      <c r="Z328" s="2"/>
      <c r="AA328" s="2"/>
      <c r="AB328" s="2" t="str">
        <f>IFERROR(GA[[#This Row],[Plant Equivalent Weightage]]*GA[[#This Row],[Resolution Time]],"")</f>
        <v/>
      </c>
      <c r="AC328" s="2"/>
      <c r="AD328" s="32" t="str">
        <f>IFERROR((_xlfn.XLOOKUP(GA[[#This Row],[Month Year]],'Modelling New'!D:D,'Modelling New'!$O:$O)*GA[[#This Row],[Lost POA (Wh/m2)]]*GA[[#This Row],[DC Capacity Affceted (kW)]])/1000,"")</f>
        <v/>
      </c>
      <c r="AE328" s="2"/>
    </row>
    <row r="329" spans="1:31">
      <c r="A329" s="2">
        <f t="shared" si="25"/>
        <v>327</v>
      </c>
      <c r="B329" s="156">
        <f t="shared" si="26"/>
        <v>1900</v>
      </c>
      <c r="C329" s="129">
        <f t="shared" si="27"/>
        <v>1900</v>
      </c>
      <c r="I329" s="31" t="str">
        <f>IFERROR(VLOOKUP(GA[[#This Row],[Date]],Raw_Data[[#All],[Date]:[Sunset Time (POA&lt;20 W/m2)]],3,0),"")</f>
        <v/>
      </c>
      <c r="J329" s="31" t="str">
        <f>IFERROR(VLOOKUP(GA[[#This Row],[Date]],Raw_Data[[#All],[Date]:[Sunset Time (POA&lt;20 W/m2)]],4,0),"")</f>
        <v/>
      </c>
      <c r="K329" s="30" t="str">
        <f>IFERROR((GA[[#This Row],[Sunset Time (POA&lt;20 W/m2)]]-GA[[#This Row],[Sunrise Time (POA&gt;20 W/m2)]])*24,"")</f>
        <v/>
      </c>
      <c r="M329" s="17" t="str">
        <f>IFERROR(VLOOKUP(GA[[#This Row],[Affceted Equipment]],'Basic Data'!$A$1:$B$113,2,0),"")</f>
        <v/>
      </c>
      <c r="P329" s="28" t="str">
        <f>IFERROR(VLOOKUP(GA[[#This Row],[Affceted Equipment]],'Basic Data'!$A$2:$C$118,3,0),"")</f>
        <v/>
      </c>
      <c r="Q329" s="2"/>
      <c r="W329" s="34"/>
      <c r="X329" s="35"/>
      <c r="Y329" s="35"/>
      <c r="Z329" s="2"/>
      <c r="AA329" s="2"/>
      <c r="AB329" s="2" t="str">
        <f>IFERROR(GA[[#This Row],[Plant Equivalent Weightage]]*GA[[#This Row],[Resolution Time]],"")</f>
        <v/>
      </c>
      <c r="AC329" s="2"/>
      <c r="AD329" s="32" t="str">
        <f>IFERROR((_xlfn.XLOOKUP(GA[[#This Row],[Month Year]],'Modelling New'!D:D,'Modelling New'!$O:$O)*GA[[#This Row],[Lost POA (Wh/m2)]]*GA[[#This Row],[DC Capacity Affceted (kW)]])/1000,"")</f>
        <v/>
      </c>
      <c r="AE329" s="2"/>
    </row>
    <row r="330" spans="1:31">
      <c r="A330" s="2">
        <f t="shared" si="25"/>
        <v>328</v>
      </c>
      <c r="B330" s="156">
        <f t="shared" si="26"/>
        <v>1900</v>
      </c>
      <c r="C330" s="129">
        <f t="shared" si="27"/>
        <v>1900</v>
      </c>
      <c r="I330" s="31" t="str">
        <f>IFERROR(VLOOKUP(GA[[#This Row],[Date]],Raw_Data[[#All],[Date]:[Sunset Time (POA&lt;20 W/m2)]],3,0),"")</f>
        <v/>
      </c>
      <c r="J330" s="31" t="str">
        <f>IFERROR(VLOOKUP(GA[[#This Row],[Date]],Raw_Data[[#All],[Date]:[Sunset Time (POA&lt;20 W/m2)]],4,0),"")</f>
        <v/>
      </c>
      <c r="K330" s="30" t="str">
        <f>IFERROR((GA[[#This Row],[Sunset Time (POA&lt;20 W/m2)]]-GA[[#This Row],[Sunrise Time (POA&gt;20 W/m2)]])*24,"")</f>
        <v/>
      </c>
      <c r="M330" s="17" t="str">
        <f>IFERROR(VLOOKUP(GA[[#This Row],[Affceted Equipment]],'Basic Data'!$A$1:$B$113,2,0),"")</f>
        <v/>
      </c>
      <c r="P330" s="28" t="str">
        <f>IFERROR(VLOOKUP(GA[[#This Row],[Affceted Equipment]],'Basic Data'!$A$2:$C$118,3,0),"")</f>
        <v/>
      </c>
      <c r="Q330" s="2"/>
      <c r="W330" s="34"/>
      <c r="X330" s="35"/>
      <c r="Y330" s="35"/>
      <c r="Z330" s="2"/>
      <c r="AA330" s="2"/>
      <c r="AB330" s="2" t="str">
        <f>IFERROR(GA[[#This Row],[Plant Equivalent Weightage]]*GA[[#This Row],[Resolution Time]],"")</f>
        <v/>
      </c>
      <c r="AC330" s="2"/>
      <c r="AD330" s="32" t="str">
        <f>IFERROR((_xlfn.XLOOKUP(GA[[#This Row],[Month Year]],'Modelling New'!D:D,'Modelling New'!$O:$O)*GA[[#This Row],[Lost POA (Wh/m2)]]*GA[[#This Row],[DC Capacity Affceted (kW)]])/1000,"")</f>
        <v/>
      </c>
      <c r="AE330" s="2"/>
    </row>
    <row r="331" spans="1:31">
      <c r="A331" s="2">
        <f t="shared" si="25"/>
        <v>329</v>
      </c>
      <c r="B331" s="156">
        <f t="shared" si="26"/>
        <v>1900</v>
      </c>
      <c r="C331" s="129">
        <f t="shared" si="27"/>
        <v>1900</v>
      </c>
      <c r="I331" s="31" t="str">
        <f>IFERROR(VLOOKUP(GA[[#This Row],[Date]],Raw_Data[[#All],[Date]:[Sunset Time (POA&lt;20 W/m2)]],3,0),"")</f>
        <v/>
      </c>
      <c r="J331" s="31" t="str">
        <f>IFERROR(VLOOKUP(GA[[#This Row],[Date]],Raw_Data[[#All],[Date]:[Sunset Time (POA&lt;20 W/m2)]],4,0),"")</f>
        <v/>
      </c>
      <c r="K331" s="30" t="str">
        <f>IFERROR((GA[[#This Row],[Sunset Time (POA&lt;20 W/m2)]]-GA[[#This Row],[Sunrise Time (POA&gt;20 W/m2)]])*24,"")</f>
        <v/>
      </c>
      <c r="M331" s="17" t="str">
        <f>IFERROR(VLOOKUP(GA[[#This Row],[Affceted Equipment]],'Basic Data'!$A$1:$B$113,2,0),"")</f>
        <v/>
      </c>
      <c r="P331" s="28" t="str">
        <f>IFERROR(VLOOKUP(GA[[#This Row],[Affceted Equipment]],'Basic Data'!$A$2:$C$118,3,0),"")</f>
        <v/>
      </c>
      <c r="Q331" s="2"/>
      <c r="W331" s="34"/>
      <c r="X331" s="35"/>
      <c r="Y331" s="35"/>
      <c r="Z331" s="2"/>
      <c r="AA331" s="2"/>
      <c r="AB331" s="2" t="str">
        <f>IFERROR(GA[[#This Row],[Plant Equivalent Weightage]]*GA[[#This Row],[Resolution Time]],"")</f>
        <v/>
      </c>
      <c r="AC331" s="2"/>
      <c r="AD331" s="32" t="str">
        <f>IFERROR((_xlfn.XLOOKUP(GA[[#This Row],[Month Year]],'Modelling New'!D:D,'Modelling New'!$O:$O)*GA[[#This Row],[Lost POA (Wh/m2)]]*GA[[#This Row],[DC Capacity Affceted (kW)]])/1000,"")</f>
        <v/>
      </c>
      <c r="AE331" s="2"/>
    </row>
    <row r="332" spans="1:31">
      <c r="A332" s="2">
        <f t="shared" si="25"/>
        <v>330</v>
      </c>
      <c r="B332" s="156">
        <f t="shared" si="26"/>
        <v>1900</v>
      </c>
      <c r="C332" s="129">
        <f t="shared" si="27"/>
        <v>1900</v>
      </c>
      <c r="I332" s="31" t="str">
        <f>IFERROR(VLOOKUP(GA[[#This Row],[Date]],Raw_Data[[#All],[Date]:[Sunset Time (POA&lt;20 W/m2)]],3,0),"")</f>
        <v/>
      </c>
      <c r="J332" s="31" t="str">
        <f>IFERROR(VLOOKUP(GA[[#This Row],[Date]],Raw_Data[[#All],[Date]:[Sunset Time (POA&lt;20 W/m2)]],4,0),"")</f>
        <v/>
      </c>
      <c r="K332" s="30" t="str">
        <f>IFERROR((GA[[#This Row],[Sunset Time (POA&lt;20 W/m2)]]-GA[[#This Row],[Sunrise Time (POA&gt;20 W/m2)]])*24,"")</f>
        <v/>
      </c>
      <c r="M332" s="17" t="str">
        <f>IFERROR(VLOOKUP(GA[[#This Row],[Affceted Equipment]],'Basic Data'!$A$1:$B$113,2,0),"")</f>
        <v/>
      </c>
      <c r="P332" s="28" t="str">
        <f>IFERROR(VLOOKUP(GA[[#This Row],[Affceted Equipment]],'Basic Data'!$A$2:$C$118,3,0),"")</f>
        <v/>
      </c>
      <c r="Q332" s="2"/>
      <c r="W332" s="34"/>
      <c r="X332" s="35"/>
      <c r="Y332" s="35"/>
      <c r="Z332" s="2"/>
      <c r="AA332" s="2"/>
      <c r="AB332" s="2" t="str">
        <f>IFERROR(GA[[#This Row],[Plant Equivalent Weightage]]*GA[[#This Row],[Resolution Time]],"")</f>
        <v/>
      </c>
      <c r="AC332" s="2"/>
      <c r="AD332" s="32" t="str">
        <f>IFERROR((_xlfn.XLOOKUP(GA[[#This Row],[Month Year]],'Modelling New'!D:D,'Modelling New'!$O:$O)*GA[[#This Row],[Lost POA (Wh/m2)]]*GA[[#This Row],[DC Capacity Affceted (kW)]])/1000,"")</f>
        <v/>
      </c>
      <c r="AE332" s="2"/>
    </row>
    <row r="333" spans="1:31">
      <c r="A333" s="2">
        <f t="shared" si="25"/>
        <v>331</v>
      </c>
      <c r="B333" s="156">
        <f t="shared" si="26"/>
        <v>1900</v>
      </c>
      <c r="C333" s="129">
        <f t="shared" si="27"/>
        <v>1900</v>
      </c>
      <c r="I333" s="31" t="str">
        <f>IFERROR(VLOOKUP(GA[[#This Row],[Date]],Raw_Data[[#All],[Date]:[Sunset Time (POA&lt;20 W/m2)]],3,0),"")</f>
        <v/>
      </c>
      <c r="J333" s="31" t="str">
        <f>IFERROR(VLOOKUP(GA[[#This Row],[Date]],Raw_Data[[#All],[Date]:[Sunset Time (POA&lt;20 W/m2)]],4,0),"")</f>
        <v/>
      </c>
      <c r="K333" s="30" t="str">
        <f>IFERROR((GA[[#This Row],[Sunset Time (POA&lt;20 W/m2)]]-GA[[#This Row],[Sunrise Time (POA&gt;20 W/m2)]])*24,"")</f>
        <v/>
      </c>
      <c r="M333" s="17" t="str">
        <f>IFERROR(VLOOKUP(GA[[#This Row],[Affceted Equipment]],'Basic Data'!$A$1:$B$113,2,0),"")</f>
        <v/>
      </c>
      <c r="P333" s="28" t="str">
        <f>IFERROR(VLOOKUP(GA[[#This Row],[Affceted Equipment]],'Basic Data'!$A$2:$C$118,3,0),"")</f>
        <v/>
      </c>
      <c r="Q333" s="2"/>
      <c r="W333" s="34"/>
      <c r="X333" s="35"/>
      <c r="Y333" s="35"/>
      <c r="Z333" s="2"/>
      <c r="AA333" s="2"/>
      <c r="AB333" s="2" t="str">
        <f>IFERROR(GA[[#This Row],[Plant Equivalent Weightage]]*GA[[#This Row],[Resolution Time]],"")</f>
        <v/>
      </c>
      <c r="AC333" s="2"/>
      <c r="AD333" s="32" t="str">
        <f>IFERROR((_xlfn.XLOOKUP(GA[[#This Row],[Month Year]],'Modelling New'!D:D,'Modelling New'!$O:$O)*GA[[#This Row],[Lost POA (Wh/m2)]]*GA[[#This Row],[DC Capacity Affceted (kW)]])/1000,"")</f>
        <v/>
      </c>
      <c r="AE333" s="2"/>
    </row>
    <row r="334" spans="1:31">
      <c r="A334" s="2">
        <f t="shared" si="25"/>
        <v>332</v>
      </c>
      <c r="B334" s="156">
        <f t="shared" si="26"/>
        <v>1900</v>
      </c>
      <c r="C334" s="129">
        <f t="shared" si="27"/>
        <v>1900</v>
      </c>
      <c r="I334" s="31" t="str">
        <f>IFERROR(VLOOKUP(GA[[#This Row],[Date]],Raw_Data[[#All],[Date]:[Sunset Time (POA&lt;20 W/m2)]],3,0),"")</f>
        <v/>
      </c>
      <c r="J334" s="31" t="str">
        <f>IFERROR(VLOOKUP(GA[[#This Row],[Date]],Raw_Data[[#All],[Date]:[Sunset Time (POA&lt;20 W/m2)]],4,0),"")</f>
        <v/>
      </c>
      <c r="K334" s="30" t="str">
        <f>IFERROR((GA[[#This Row],[Sunset Time (POA&lt;20 W/m2)]]-GA[[#This Row],[Sunrise Time (POA&gt;20 W/m2)]])*24,"")</f>
        <v/>
      </c>
      <c r="M334" s="17" t="str">
        <f>IFERROR(VLOOKUP(GA[[#This Row],[Affceted Equipment]],'Basic Data'!$A$1:$B$113,2,0),"")</f>
        <v/>
      </c>
      <c r="P334" s="28" t="str">
        <f>IFERROR(VLOOKUP(GA[[#This Row],[Affceted Equipment]],'Basic Data'!$A$2:$C$118,3,0),"")</f>
        <v/>
      </c>
      <c r="Q334" s="2"/>
      <c r="W334" s="34"/>
      <c r="X334" s="35"/>
      <c r="Y334" s="35"/>
      <c r="Z334" s="2"/>
      <c r="AA334" s="2"/>
      <c r="AB334" s="2" t="str">
        <f>IFERROR(GA[[#This Row],[Plant Equivalent Weightage]]*GA[[#This Row],[Resolution Time]],"")</f>
        <v/>
      </c>
      <c r="AC334" s="2"/>
      <c r="AD334" s="32" t="str">
        <f>IFERROR((_xlfn.XLOOKUP(GA[[#This Row],[Month Year]],'Modelling New'!D:D,'Modelling New'!$O:$O)*GA[[#This Row],[Lost POA (Wh/m2)]]*GA[[#This Row],[DC Capacity Affceted (kW)]])/1000,"")</f>
        <v/>
      </c>
      <c r="AE334" s="2"/>
    </row>
    <row r="335" spans="1:31">
      <c r="A335" s="2">
        <f t="shared" si="25"/>
        <v>333</v>
      </c>
      <c r="B335" s="156">
        <f t="shared" si="26"/>
        <v>1900</v>
      </c>
      <c r="C335" s="129">
        <f t="shared" si="27"/>
        <v>1900</v>
      </c>
      <c r="I335" s="31" t="str">
        <f>IFERROR(VLOOKUP(GA[[#This Row],[Date]],Raw_Data[[#All],[Date]:[Sunset Time (POA&lt;20 W/m2)]],3,0),"")</f>
        <v/>
      </c>
      <c r="J335" s="31" t="str">
        <f>IFERROR(VLOOKUP(GA[[#This Row],[Date]],Raw_Data[[#All],[Date]:[Sunset Time (POA&lt;20 W/m2)]],4,0),"")</f>
        <v/>
      </c>
      <c r="K335" s="30" t="str">
        <f>IFERROR((GA[[#This Row],[Sunset Time (POA&lt;20 W/m2)]]-GA[[#This Row],[Sunrise Time (POA&gt;20 W/m2)]])*24,"")</f>
        <v/>
      </c>
      <c r="M335" s="17" t="str">
        <f>IFERROR(VLOOKUP(GA[[#This Row],[Affceted Equipment]],'Basic Data'!$A$1:$B$113,2,0),"")</f>
        <v/>
      </c>
      <c r="P335" s="28" t="str">
        <f>IFERROR(VLOOKUP(GA[[#This Row],[Affceted Equipment]],'Basic Data'!$A$2:$C$118,3,0),"")</f>
        <v/>
      </c>
      <c r="Q335" s="2"/>
      <c r="W335" s="34"/>
      <c r="X335" s="35"/>
      <c r="Y335" s="35"/>
      <c r="Z335" s="2"/>
      <c r="AA335" s="2"/>
      <c r="AB335" s="2" t="str">
        <f>IFERROR(GA[[#This Row],[Plant Equivalent Weightage]]*GA[[#This Row],[Resolution Time]],"")</f>
        <v/>
      </c>
      <c r="AC335" s="2"/>
      <c r="AD335" s="32" t="str">
        <f>IFERROR((_xlfn.XLOOKUP(GA[[#This Row],[Month Year]],'Modelling New'!D:D,'Modelling New'!$O:$O)*GA[[#This Row],[Lost POA (Wh/m2)]]*GA[[#This Row],[DC Capacity Affceted (kW)]])/1000,"")</f>
        <v/>
      </c>
      <c r="AE335" s="2"/>
    </row>
    <row r="336" spans="1:31">
      <c r="A336" s="2">
        <f t="shared" si="25"/>
        <v>334</v>
      </c>
      <c r="B336" s="156">
        <f t="shared" si="26"/>
        <v>1900</v>
      </c>
      <c r="C336" s="129">
        <f t="shared" si="27"/>
        <v>1900</v>
      </c>
      <c r="I336" s="31" t="str">
        <f>IFERROR(VLOOKUP(GA[[#This Row],[Date]],Raw_Data[[#All],[Date]:[Sunset Time (POA&lt;20 W/m2)]],3,0),"")</f>
        <v/>
      </c>
      <c r="J336" s="31" t="str">
        <f>IFERROR(VLOOKUP(GA[[#This Row],[Date]],Raw_Data[[#All],[Date]:[Sunset Time (POA&lt;20 W/m2)]],4,0),"")</f>
        <v/>
      </c>
      <c r="K336" s="30" t="str">
        <f>IFERROR((GA[[#This Row],[Sunset Time (POA&lt;20 W/m2)]]-GA[[#This Row],[Sunrise Time (POA&gt;20 W/m2)]])*24,"")</f>
        <v/>
      </c>
      <c r="M336" s="17" t="str">
        <f>IFERROR(VLOOKUP(GA[[#This Row],[Affceted Equipment]],'Basic Data'!$A$1:$B$113,2,0),"")</f>
        <v/>
      </c>
      <c r="P336" s="28" t="str">
        <f>IFERROR(VLOOKUP(GA[[#This Row],[Affceted Equipment]],'Basic Data'!$A$2:$C$118,3,0),"")</f>
        <v/>
      </c>
      <c r="Q336" s="2"/>
      <c r="W336" s="34"/>
      <c r="X336" s="35"/>
      <c r="Y336" s="35"/>
      <c r="Z336" s="2"/>
      <c r="AA336" s="2"/>
      <c r="AB336" s="2" t="str">
        <f>IFERROR(GA[[#This Row],[Plant Equivalent Weightage]]*GA[[#This Row],[Resolution Time]],"")</f>
        <v/>
      </c>
      <c r="AC336" s="2"/>
      <c r="AD336" s="32" t="str">
        <f>IFERROR((_xlfn.XLOOKUP(GA[[#This Row],[Month Year]],'Modelling New'!D:D,'Modelling New'!$O:$O)*GA[[#This Row],[Lost POA (Wh/m2)]]*GA[[#This Row],[DC Capacity Affceted (kW)]])/1000,"")</f>
        <v/>
      </c>
      <c r="AE336" s="2"/>
    </row>
    <row r="337" spans="1:31">
      <c r="A337" s="2">
        <f t="shared" si="25"/>
        <v>335</v>
      </c>
      <c r="B337" s="156">
        <f t="shared" si="26"/>
        <v>1900</v>
      </c>
      <c r="C337" s="129">
        <f t="shared" si="27"/>
        <v>1900</v>
      </c>
      <c r="I337" s="31" t="str">
        <f>IFERROR(VLOOKUP(GA[[#This Row],[Date]],Raw_Data[[#All],[Date]:[Sunset Time (POA&lt;20 W/m2)]],3,0),"")</f>
        <v/>
      </c>
      <c r="J337" s="31" t="str">
        <f>IFERROR(VLOOKUP(GA[[#This Row],[Date]],Raw_Data[[#All],[Date]:[Sunset Time (POA&lt;20 W/m2)]],4,0),"")</f>
        <v/>
      </c>
      <c r="K337" s="30" t="str">
        <f>IFERROR((GA[[#This Row],[Sunset Time (POA&lt;20 W/m2)]]-GA[[#This Row],[Sunrise Time (POA&gt;20 W/m2)]])*24,"")</f>
        <v/>
      </c>
      <c r="M337" s="17" t="str">
        <f>IFERROR(VLOOKUP(GA[[#This Row],[Affceted Equipment]],'Basic Data'!$A$1:$B$113,2,0),"")</f>
        <v/>
      </c>
      <c r="P337" s="28" t="str">
        <f>IFERROR(VLOOKUP(GA[[#This Row],[Affceted Equipment]],'Basic Data'!$A$2:$C$118,3,0),"")</f>
        <v/>
      </c>
      <c r="Q337" s="2"/>
      <c r="W337" s="34"/>
      <c r="X337" s="35"/>
      <c r="Y337" s="35"/>
      <c r="Z337" s="2"/>
      <c r="AA337" s="2"/>
      <c r="AB337" s="2" t="str">
        <f>IFERROR(GA[[#This Row],[Plant Equivalent Weightage]]*GA[[#This Row],[Resolution Time]],"")</f>
        <v/>
      </c>
      <c r="AC337" s="2"/>
      <c r="AD337" s="32" t="str">
        <f>IFERROR((_xlfn.XLOOKUP(GA[[#This Row],[Month Year]],'Modelling New'!D:D,'Modelling New'!$O:$O)*GA[[#This Row],[Lost POA (Wh/m2)]]*GA[[#This Row],[DC Capacity Affceted (kW)]])/1000,"")</f>
        <v/>
      </c>
      <c r="AE337" s="2"/>
    </row>
    <row r="338" spans="1:31">
      <c r="A338" s="2">
        <f t="shared" si="25"/>
        <v>336</v>
      </c>
      <c r="B338" s="156">
        <f t="shared" si="26"/>
        <v>1900</v>
      </c>
      <c r="C338" s="129">
        <f t="shared" si="27"/>
        <v>1900</v>
      </c>
      <c r="I338" s="31" t="str">
        <f>IFERROR(VLOOKUP(GA[[#This Row],[Date]],Raw_Data[[#All],[Date]:[Sunset Time (POA&lt;20 W/m2)]],3,0),"")</f>
        <v/>
      </c>
      <c r="J338" s="31" t="str">
        <f>IFERROR(VLOOKUP(GA[[#This Row],[Date]],Raw_Data[[#All],[Date]:[Sunset Time (POA&lt;20 W/m2)]],4,0),"")</f>
        <v/>
      </c>
      <c r="K338" s="30" t="str">
        <f>IFERROR((GA[[#This Row],[Sunset Time (POA&lt;20 W/m2)]]-GA[[#This Row],[Sunrise Time (POA&gt;20 W/m2)]])*24,"")</f>
        <v/>
      </c>
      <c r="M338" s="17" t="str">
        <f>IFERROR(VLOOKUP(GA[[#This Row],[Affceted Equipment]],'Basic Data'!$A$1:$B$113,2,0),"")</f>
        <v/>
      </c>
      <c r="P338" s="28" t="str">
        <f>IFERROR(VLOOKUP(GA[[#This Row],[Affceted Equipment]],'Basic Data'!$A$2:$C$118,3,0),"")</f>
        <v/>
      </c>
      <c r="Q338" s="2"/>
      <c r="W338" s="34"/>
      <c r="X338" s="35"/>
      <c r="Y338" s="35"/>
      <c r="Z338" s="2"/>
      <c r="AA338" s="2"/>
      <c r="AB338" s="2" t="str">
        <f>IFERROR(GA[[#This Row],[Plant Equivalent Weightage]]*GA[[#This Row],[Resolution Time]],"")</f>
        <v/>
      </c>
      <c r="AC338" s="2"/>
      <c r="AD338" s="32" t="str">
        <f>IFERROR((_xlfn.XLOOKUP(GA[[#This Row],[Month Year]],'Modelling New'!D:D,'Modelling New'!$O:$O)*GA[[#This Row],[Lost POA (Wh/m2)]]*GA[[#This Row],[DC Capacity Affceted (kW)]])/1000,"")</f>
        <v/>
      </c>
      <c r="AE338" s="2"/>
    </row>
    <row r="339" spans="1:31">
      <c r="A339" s="2">
        <f t="shared" si="25"/>
        <v>337</v>
      </c>
      <c r="B339" s="156">
        <f t="shared" si="26"/>
        <v>1900</v>
      </c>
      <c r="C339" s="129">
        <f t="shared" si="27"/>
        <v>1900</v>
      </c>
      <c r="I339" s="31" t="str">
        <f>IFERROR(VLOOKUP(GA[[#This Row],[Date]],Raw_Data[[#All],[Date]:[Sunset Time (POA&lt;20 W/m2)]],3,0),"")</f>
        <v/>
      </c>
      <c r="J339" s="31" t="str">
        <f>IFERROR(VLOOKUP(GA[[#This Row],[Date]],Raw_Data[[#All],[Date]:[Sunset Time (POA&lt;20 W/m2)]],4,0),"")</f>
        <v/>
      </c>
      <c r="K339" s="30" t="str">
        <f>IFERROR((GA[[#This Row],[Sunset Time (POA&lt;20 W/m2)]]-GA[[#This Row],[Sunrise Time (POA&gt;20 W/m2)]])*24,"")</f>
        <v/>
      </c>
      <c r="M339" s="17" t="str">
        <f>IFERROR(VLOOKUP(GA[[#This Row],[Affceted Equipment]],'Basic Data'!$A$1:$B$113,2,0),"")</f>
        <v/>
      </c>
      <c r="P339" s="28" t="str">
        <f>IFERROR(VLOOKUP(GA[[#This Row],[Affceted Equipment]],'Basic Data'!$A$2:$C$118,3,0),"")</f>
        <v/>
      </c>
      <c r="Q339" s="2"/>
      <c r="W339" s="34"/>
      <c r="X339" s="35"/>
      <c r="Y339" s="35"/>
      <c r="Z339" s="2"/>
      <c r="AA339" s="2"/>
      <c r="AB339" s="2" t="str">
        <f>IFERROR(GA[[#This Row],[Plant Equivalent Weightage]]*GA[[#This Row],[Resolution Time]],"")</f>
        <v/>
      </c>
      <c r="AC339" s="2"/>
      <c r="AD339" s="32" t="str">
        <f>IFERROR((_xlfn.XLOOKUP(GA[[#This Row],[Month Year]],'Modelling New'!D:D,'Modelling New'!$O:$O)*GA[[#This Row],[Lost POA (Wh/m2)]]*GA[[#This Row],[DC Capacity Affceted (kW)]])/1000,"")</f>
        <v/>
      </c>
      <c r="AE339" s="2"/>
    </row>
    <row r="340" spans="1:31">
      <c r="A340" s="2">
        <f t="shared" si="25"/>
        <v>338</v>
      </c>
      <c r="B340" s="156">
        <f t="shared" si="26"/>
        <v>1900</v>
      </c>
      <c r="C340" s="129">
        <f t="shared" si="27"/>
        <v>1900</v>
      </c>
      <c r="I340" s="31" t="str">
        <f>IFERROR(VLOOKUP(GA[[#This Row],[Date]],Raw_Data[[#All],[Date]:[Sunset Time (POA&lt;20 W/m2)]],3,0),"")</f>
        <v/>
      </c>
      <c r="J340" s="31" t="str">
        <f>IFERROR(VLOOKUP(GA[[#This Row],[Date]],Raw_Data[[#All],[Date]:[Sunset Time (POA&lt;20 W/m2)]],4,0),"")</f>
        <v/>
      </c>
      <c r="K340" s="30" t="str">
        <f>IFERROR((GA[[#This Row],[Sunset Time (POA&lt;20 W/m2)]]-GA[[#This Row],[Sunrise Time (POA&gt;20 W/m2)]])*24,"")</f>
        <v/>
      </c>
      <c r="M340" s="17" t="str">
        <f>IFERROR(VLOOKUP(GA[[#This Row],[Affceted Equipment]],'Basic Data'!$A$1:$B$113,2,0),"")</f>
        <v/>
      </c>
      <c r="P340" s="28" t="str">
        <f>IFERROR(VLOOKUP(GA[[#This Row],[Affceted Equipment]],'Basic Data'!$A$2:$C$118,3,0),"")</f>
        <v/>
      </c>
      <c r="Q340" s="2"/>
      <c r="W340" s="34"/>
      <c r="X340" s="35"/>
      <c r="Y340" s="35"/>
      <c r="Z340" s="2"/>
      <c r="AA340" s="2"/>
      <c r="AB340" s="2" t="str">
        <f>IFERROR(GA[[#This Row],[Plant Equivalent Weightage]]*GA[[#This Row],[Resolution Time]],"")</f>
        <v/>
      </c>
      <c r="AC340" s="2"/>
      <c r="AD340" s="32" t="str">
        <f>IFERROR((_xlfn.XLOOKUP(GA[[#This Row],[Month Year]],'Modelling New'!D:D,'Modelling New'!$O:$O)*GA[[#This Row],[Lost POA (Wh/m2)]]*GA[[#This Row],[DC Capacity Affceted (kW)]])/1000,"")</f>
        <v/>
      </c>
      <c r="AE340" s="2"/>
    </row>
    <row r="341" spans="1:31">
      <c r="A341" s="2">
        <f t="shared" si="25"/>
        <v>339</v>
      </c>
      <c r="B341" s="156">
        <f t="shared" si="26"/>
        <v>1900</v>
      </c>
      <c r="C341" s="129">
        <f t="shared" si="27"/>
        <v>1900</v>
      </c>
      <c r="I341" s="31" t="str">
        <f>IFERROR(VLOOKUP(GA[[#This Row],[Date]],Raw_Data[[#All],[Date]:[Sunset Time (POA&lt;20 W/m2)]],3,0),"")</f>
        <v/>
      </c>
      <c r="J341" s="31" t="str">
        <f>IFERROR(VLOOKUP(GA[[#This Row],[Date]],Raw_Data[[#All],[Date]:[Sunset Time (POA&lt;20 W/m2)]],4,0),"")</f>
        <v/>
      </c>
      <c r="K341" s="30" t="str">
        <f>IFERROR((GA[[#This Row],[Sunset Time (POA&lt;20 W/m2)]]-GA[[#This Row],[Sunrise Time (POA&gt;20 W/m2)]])*24,"")</f>
        <v/>
      </c>
      <c r="M341" s="17" t="str">
        <f>IFERROR(VLOOKUP(GA[[#This Row],[Affceted Equipment]],'Basic Data'!$A$1:$B$113,2,0),"")</f>
        <v/>
      </c>
      <c r="P341" s="28" t="str">
        <f>IFERROR(VLOOKUP(GA[[#This Row],[Affceted Equipment]],'Basic Data'!$A$2:$C$118,3,0),"")</f>
        <v/>
      </c>
      <c r="Q341" s="2"/>
      <c r="W341" s="34"/>
      <c r="X341" s="35"/>
      <c r="Y341" s="35"/>
      <c r="Z341" s="2"/>
      <c r="AA341" s="2"/>
      <c r="AB341" s="2" t="str">
        <f>IFERROR(GA[[#This Row],[Plant Equivalent Weightage]]*GA[[#This Row],[Resolution Time]],"")</f>
        <v/>
      </c>
      <c r="AC341" s="2"/>
      <c r="AD341" s="32" t="str">
        <f>IFERROR((_xlfn.XLOOKUP(GA[[#This Row],[Month Year]],'Modelling New'!D:D,'Modelling New'!$O:$O)*GA[[#This Row],[Lost POA (Wh/m2)]]*GA[[#This Row],[DC Capacity Affceted (kW)]])/1000,"")</f>
        <v/>
      </c>
      <c r="AE341" s="2"/>
    </row>
    <row r="342" spans="1:31">
      <c r="A342" s="2">
        <f t="shared" si="25"/>
        <v>340</v>
      </c>
      <c r="B342" s="156">
        <f t="shared" si="26"/>
        <v>1900</v>
      </c>
      <c r="C342" s="129">
        <f t="shared" si="27"/>
        <v>1900</v>
      </c>
      <c r="I342" s="31" t="str">
        <f>IFERROR(VLOOKUP(GA[[#This Row],[Date]],Raw_Data[[#All],[Date]:[Sunset Time (POA&lt;20 W/m2)]],3,0),"")</f>
        <v/>
      </c>
      <c r="J342" s="31" t="str">
        <f>IFERROR(VLOOKUP(GA[[#This Row],[Date]],Raw_Data[[#All],[Date]:[Sunset Time (POA&lt;20 W/m2)]],4,0),"")</f>
        <v/>
      </c>
      <c r="K342" s="30" t="str">
        <f>IFERROR((GA[[#This Row],[Sunset Time (POA&lt;20 W/m2)]]-GA[[#This Row],[Sunrise Time (POA&gt;20 W/m2)]])*24,"")</f>
        <v/>
      </c>
      <c r="M342" s="17" t="str">
        <f>IFERROR(VLOOKUP(GA[[#This Row],[Affceted Equipment]],'Basic Data'!$A$1:$B$113,2,0),"")</f>
        <v/>
      </c>
      <c r="P342" s="28" t="str">
        <f>IFERROR(VLOOKUP(GA[[#This Row],[Affceted Equipment]],'Basic Data'!$A$2:$C$118,3,0),"")</f>
        <v/>
      </c>
      <c r="Q342" s="2"/>
      <c r="W342" s="34"/>
      <c r="X342" s="35"/>
      <c r="Y342" s="35"/>
      <c r="Z342" s="2"/>
      <c r="AA342" s="2"/>
      <c r="AB342" s="2" t="str">
        <f>IFERROR(GA[[#This Row],[Plant Equivalent Weightage]]*GA[[#This Row],[Resolution Time]],"")</f>
        <v/>
      </c>
      <c r="AC342" s="2"/>
      <c r="AD342" s="32" t="str">
        <f>IFERROR((_xlfn.XLOOKUP(GA[[#This Row],[Month Year]],'Modelling New'!D:D,'Modelling New'!$O:$O)*GA[[#This Row],[Lost POA (Wh/m2)]]*GA[[#This Row],[DC Capacity Affceted (kW)]])/1000,"")</f>
        <v/>
      </c>
      <c r="AE342" s="2"/>
    </row>
    <row r="343" spans="1:31">
      <c r="A343" s="2">
        <f t="shared" si="25"/>
        <v>341</v>
      </c>
      <c r="B343" s="156">
        <f t="shared" si="26"/>
        <v>1900</v>
      </c>
      <c r="C343" s="129">
        <f t="shared" si="27"/>
        <v>1900</v>
      </c>
      <c r="I343" s="31" t="str">
        <f>IFERROR(VLOOKUP(GA[[#This Row],[Date]],Raw_Data[[#All],[Date]:[Sunset Time (POA&lt;20 W/m2)]],3,0),"")</f>
        <v/>
      </c>
      <c r="J343" s="31" t="str">
        <f>IFERROR(VLOOKUP(GA[[#This Row],[Date]],Raw_Data[[#All],[Date]:[Sunset Time (POA&lt;20 W/m2)]],4,0),"")</f>
        <v/>
      </c>
      <c r="K343" s="30" t="str">
        <f>IFERROR((GA[[#This Row],[Sunset Time (POA&lt;20 W/m2)]]-GA[[#This Row],[Sunrise Time (POA&gt;20 W/m2)]])*24,"")</f>
        <v/>
      </c>
      <c r="M343" s="17" t="str">
        <f>IFERROR(VLOOKUP(GA[[#This Row],[Affceted Equipment]],'Basic Data'!$A$1:$B$113,2,0),"")</f>
        <v/>
      </c>
      <c r="P343" s="28" t="str">
        <f>IFERROR(VLOOKUP(GA[[#This Row],[Affceted Equipment]],'Basic Data'!$A$2:$C$118,3,0),"")</f>
        <v/>
      </c>
      <c r="Q343" s="2"/>
      <c r="W343" s="34"/>
      <c r="X343" s="35"/>
      <c r="Y343" s="35"/>
      <c r="Z343" s="2"/>
      <c r="AA343" s="2"/>
      <c r="AB343" s="2" t="str">
        <f>IFERROR(GA[[#This Row],[Plant Equivalent Weightage]]*GA[[#This Row],[Resolution Time]],"")</f>
        <v/>
      </c>
      <c r="AC343" s="2"/>
      <c r="AD343" s="32" t="str">
        <f>IFERROR((_xlfn.XLOOKUP(GA[[#This Row],[Month Year]],'Modelling New'!D:D,'Modelling New'!$O:$O)*GA[[#This Row],[Lost POA (Wh/m2)]]*GA[[#This Row],[DC Capacity Affceted (kW)]])/1000,"")</f>
        <v/>
      </c>
      <c r="AE343" s="2"/>
    </row>
    <row r="344" spans="1:31">
      <c r="A344" s="2">
        <f t="shared" si="25"/>
        <v>342</v>
      </c>
      <c r="B344" s="156">
        <f t="shared" si="26"/>
        <v>1900</v>
      </c>
      <c r="C344" s="129">
        <f t="shared" si="27"/>
        <v>1900</v>
      </c>
      <c r="I344" s="31" t="str">
        <f>IFERROR(VLOOKUP(GA[[#This Row],[Date]],Raw_Data[[#All],[Date]:[Sunset Time (POA&lt;20 W/m2)]],3,0),"")</f>
        <v/>
      </c>
      <c r="J344" s="31" t="str">
        <f>IFERROR(VLOOKUP(GA[[#This Row],[Date]],Raw_Data[[#All],[Date]:[Sunset Time (POA&lt;20 W/m2)]],4,0),"")</f>
        <v/>
      </c>
      <c r="K344" s="30" t="str">
        <f>IFERROR((GA[[#This Row],[Sunset Time (POA&lt;20 W/m2)]]-GA[[#This Row],[Sunrise Time (POA&gt;20 W/m2)]])*24,"")</f>
        <v/>
      </c>
      <c r="M344" s="17" t="str">
        <f>IFERROR(VLOOKUP(GA[[#This Row],[Affceted Equipment]],'Basic Data'!$A$1:$B$113,2,0),"")</f>
        <v/>
      </c>
      <c r="P344" s="28" t="str">
        <f>IFERROR(VLOOKUP(GA[[#This Row],[Affceted Equipment]],'Basic Data'!$A$2:$C$118,3,0),"")</f>
        <v/>
      </c>
      <c r="Q344" s="2"/>
      <c r="W344" s="34"/>
      <c r="X344" s="35"/>
      <c r="Y344" s="35"/>
      <c r="Z344" s="2"/>
      <c r="AA344" s="2"/>
      <c r="AB344" s="2" t="str">
        <f>IFERROR(GA[[#This Row],[Plant Equivalent Weightage]]*GA[[#This Row],[Resolution Time]],"")</f>
        <v/>
      </c>
      <c r="AC344" s="2"/>
      <c r="AD344" s="32" t="str">
        <f>IFERROR((_xlfn.XLOOKUP(GA[[#This Row],[Month Year]],'Modelling New'!D:D,'Modelling New'!$O:$O)*GA[[#This Row],[Lost POA (Wh/m2)]]*GA[[#This Row],[DC Capacity Affceted (kW)]])/1000,"")</f>
        <v/>
      </c>
      <c r="AE344" s="2"/>
    </row>
    <row r="345" spans="1:31">
      <c r="A345" s="2">
        <f t="shared" si="25"/>
        <v>343</v>
      </c>
      <c r="B345" s="156">
        <f t="shared" si="26"/>
        <v>1900</v>
      </c>
      <c r="C345" s="129">
        <f t="shared" si="27"/>
        <v>1900</v>
      </c>
      <c r="I345" s="31" t="str">
        <f>IFERROR(VLOOKUP(GA[[#This Row],[Date]],Raw_Data[[#All],[Date]:[Sunset Time (POA&lt;20 W/m2)]],3,0),"")</f>
        <v/>
      </c>
      <c r="J345" s="31" t="str">
        <f>IFERROR(VLOOKUP(GA[[#This Row],[Date]],Raw_Data[[#All],[Date]:[Sunset Time (POA&lt;20 W/m2)]],4,0),"")</f>
        <v/>
      </c>
      <c r="K345" s="30" t="str">
        <f>IFERROR((GA[[#This Row],[Sunset Time (POA&lt;20 W/m2)]]-GA[[#This Row],[Sunrise Time (POA&gt;20 W/m2)]])*24,"")</f>
        <v/>
      </c>
      <c r="M345" s="17" t="str">
        <f>IFERROR(VLOOKUP(GA[[#This Row],[Affceted Equipment]],'Basic Data'!$A$1:$B$113,2,0),"")</f>
        <v/>
      </c>
      <c r="P345" s="28" t="str">
        <f>IFERROR(VLOOKUP(GA[[#This Row],[Affceted Equipment]],'Basic Data'!$A$2:$C$118,3,0),"")</f>
        <v/>
      </c>
      <c r="Q345" s="2"/>
      <c r="W345" s="34"/>
      <c r="X345" s="35"/>
      <c r="Y345" s="35"/>
      <c r="Z345" s="2"/>
      <c r="AA345" s="2"/>
      <c r="AB345" s="2" t="str">
        <f>IFERROR(GA[[#This Row],[Plant Equivalent Weightage]]*GA[[#This Row],[Resolution Time]],"")</f>
        <v/>
      </c>
      <c r="AC345" s="2"/>
      <c r="AD345" s="32" t="str">
        <f>IFERROR((_xlfn.XLOOKUP(GA[[#This Row],[Month Year]],'Modelling New'!D:D,'Modelling New'!$O:$O)*GA[[#This Row],[Lost POA (Wh/m2)]]*GA[[#This Row],[DC Capacity Affceted (kW)]])/1000,"")</f>
        <v/>
      </c>
      <c r="AE345" s="2"/>
    </row>
    <row r="346" spans="1:31">
      <c r="A346" s="2">
        <f t="shared" si="25"/>
        <v>344</v>
      </c>
      <c r="B346" s="156">
        <f t="shared" si="26"/>
        <v>1900</v>
      </c>
      <c r="C346" s="129">
        <f t="shared" si="27"/>
        <v>1900</v>
      </c>
      <c r="I346" s="31" t="str">
        <f>IFERROR(VLOOKUP(GA[[#This Row],[Date]],Raw_Data[[#All],[Date]:[Sunset Time (POA&lt;20 W/m2)]],3,0),"")</f>
        <v/>
      </c>
      <c r="J346" s="31" t="str">
        <f>IFERROR(VLOOKUP(GA[[#This Row],[Date]],Raw_Data[[#All],[Date]:[Sunset Time (POA&lt;20 W/m2)]],4,0),"")</f>
        <v/>
      </c>
      <c r="K346" s="30" t="str">
        <f>IFERROR((GA[[#This Row],[Sunset Time (POA&lt;20 W/m2)]]-GA[[#This Row],[Sunrise Time (POA&gt;20 W/m2)]])*24,"")</f>
        <v/>
      </c>
      <c r="M346" s="17" t="str">
        <f>IFERROR(VLOOKUP(GA[[#This Row],[Affceted Equipment]],'Basic Data'!$A$1:$B$113,2,0),"")</f>
        <v/>
      </c>
      <c r="P346" s="28" t="str">
        <f>IFERROR(VLOOKUP(GA[[#This Row],[Affceted Equipment]],'Basic Data'!$A$2:$C$118,3,0),"")</f>
        <v/>
      </c>
      <c r="Q346" s="2"/>
      <c r="W346" s="34"/>
      <c r="X346" s="35"/>
      <c r="Y346" s="35"/>
      <c r="Z346" s="2"/>
      <c r="AA346" s="2"/>
      <c r="AB346" s="2" t="str">
        <f>IFERROR(GA[[#This Row],[Plant Equivalent Weightage]]*GA[[#This Row],[Resolution Time]],"")</f>
        <v/>
      </c>
      <c r="AC346" s="2"/>
      <c r="AD346" s="32" t="str">
        <f>IFERROR((_xlfn.XLOOKUP(GA[[#This Row],[Month Year]],'Modelling New'!D:D,'Modelling New'!$O:$O)*GA[[#This Row],[Lost POA (Wh/m2)]]*GA[[#This Row],[DC Capacity Affceted (kW)]])/1000,"")</f>
        <v/>
      </c>
      <c r="AE346" s="2"/>
    </row>
    <row r="347" spans="1:31">
      <c r="A347" s="2">
        <f t="shared" si="25"/>
        <v>345</v>
      </c>
      <c r="B347" s="156">
        <f t="shared" si="26"/>
        <v>1900</v>
      </c>
      <c r="C347" s="129">
        <f t="shared" si="27"/>
        <v>1900</v>
      </c>
      <c r="I347" s="31" t="str">
        <f>IFERROR(VLOOKUP(GA[[#This Row],[Date]],Raw_Data[[#All],[Date]:[Sunset Time (POA&lt;20 W/m2)]],3,0),"")</f>
        <v/>
      </c>
      <c r="J347" s="31" t="str">
        <f>IFERROR(VLOOKUP(GA[[#This Row],[Date]],Raw_Data[[#All],[Date]:[Sunset Time (POA&lt;20 W/m2)]],4,0),"")</f>
        <v/>
      </c>
      <c r="K347" s="30" t="str">
        <f>IFERROR((GA[[#This Row],[Sunset Time (POA&lt;20 W/m2)]]-GA[[#This Row],[Sunrise Time (POA&gt;20 W/m2)]])*24,"")</f>
        <v/>
      </c>
      <c r="M347" s="17" t="str">
        <f>IFERROR(VLOOKUP(GA[[#This Row],[Affceted Equipment]],'Basic Data'!$A$1:$B$113,2,0),"")</f>
        <v/>
      </c>
      <c r="P347" s="28" t="str">
        <f>IFERROR(VLOOKUP(GA[[#This Row],[Affceted Equipment]],'Basic Data'!$A$2:$C$118,3,0),"")</f>
        <v/>
      </c>
      <c r="Q347" s="2"/>
      <c r="W347" s="34"/>
      <c r="X347" s="35"/>
      <c r="Y347" s="35"/>
      <c r="Z347" s="2"/>
      <c r="AA347" s="2"/>
      <c r="AB347" s="2" t="str">
        <f>IFERROR(GA[[#This Row],[Plant Equivalent Weightage]]*GA[[#This Row],[Resolution Time]],"")</f>
        <v/>
      </c>
      <c r="AC347" s="2"/>
      <c r="AD347" s="32" t="str">
        <f>IFERROR((_xlfn.XLOOKUP(GA[[#This Row],[Month Year]],'Modelling New'!D:D,'Modelling New'!$O:$O)*GA[[#This Row],[Lost POA (Wh/m2)]]*GA[[#This Row],[DC Capacity Affceted (kW)]])/1000,"")</f>
        <v/>
      </c>
      <c r="AE347" s="2"/>
    </row>
    <row r="348" spans="1:31">
      <c r="A348" s="2">
        <f t="shared" si="25"/>
        <v>346</v>
      </c>
      <c r="B348" s="156">
        <f t="shared" si="26"/>
        <v>1900</v>
      </c>
      <c r="C348" s="129">
        <f t="shared" si="27"/>
        <v>1900</v>
      </c>
      <c r="I348" s="31" t="str">
        <f>IFERROR(VLOOKUP(GA[[#This Row],[Date]],Raw_Data[[#All],[Date]:[Sunset Time (POA&lt;20 W/m2)]],3,0),"")</f>
        <v/>
      </c>
      <c r="J348" s="31" t="str">
        <f>IFERROR(VLOOKUP(GA[[#This Row],[Date]],Raw_Data[[#All],[Date]:[Sunset Time (POA&lt;20 W/m2)]],4,0),"")</f>
        <v/>
      </c>
      <c r="K348" s="30" t="str">
        <f>IFERROR((GA[[#This Row],[Sunset Time (POA&lt;20 W/m2)]]-GA[[#This Row],[Sunrise Time (POA&gt;20 W/m2)]])*24,"")</f>
        <v/>
      </c>
      <c r="M348" s="17" t="str">
        <f>IFERROR(VLOOKUP(GA[[#This Row],[Affceted Equipment]],'Basic Data'!$A$1:$B$113,2,0),"")</f>
        <v/>
      </c>
      <c r="P348" s="28" t="str">
        <f>IFERROR(VLOOKUP(GA[[#This Row],[Affceted Equipment]],'Basic Data'!$A$2:$C$118,3,0),"")</f>
        <v/>
      </c>
      <c r="Q348" s="2"/>
      <c r="W348" s="34"/>
      <c r="X348" s="35"/>
      <c r="Y348" s="35"/>
      <c r="Z348" s="2"/>
      <c r="AA348" s="2"/>
      <c r="AB348" s="2" t="str">
        <f>IFERROR(GA[[#This Row],[Plant Equivalent Weightage]]*GA[[#This Row],[Resolution Time]],"")</f>
        <v/>
      </c>
      <c r="AC348" s="2"/>
      <c r="AD348" s="32" t="str">
        <f>IFERROR((_xlfn.XLOOKUP(GA[[#This Row],[Month Year]],'Modelling New'!D:D,'Modelling New'!$O:$O)*GA[[#This Row],[Lost POA (Wh/m2)]]*GA[[#This Row],[DC Capacity Affceted (kW)]])/1000,"")</f>
        <v/>
      </c>
      <c r="AE348" s="2"/>
    </row>
    <row r="349" spans="1:31">
      <c r="A349" s="2">
        <f t="shared" si="25"/>
        <v>347</v>
      </c>
      <c r="B349" s="156">
        <f t="shared" si="26"/>
        <v>1900</v>
      </c>
      <c r="C349" s="129">
        <f t="shared" si="27"/>
        <v>1900</v>
      </c>
      <c r="I349" s="31" t="str">
        <f>IFERROR(VLOOKUP(GA[[#This Row],[Date]],Raw_Data[[#All],[Date]:[Sunset Time (POA&lt;20 W/m2)]],3,0),"")</f>
        <v/>
      </c>
      <c r="J349" s="31" t="str">
        <f>IFERROR(VLOOKUP(GA[[#This Row],[Date]],Raw_Data[[#All],[Date]:[Sunset Time (POA&lt;20 W/m2)]],4,0),"")</f>
        <v/>
      </c>
      <c r="K349" s="30" t="str">
        <f>IFERROR((GA[[#This Row],[Sunset Time (POA&lt;20 W/m2)]]-GA[[#This Row],[Sunrise Time (POA&gt;20 W/m2)]])*24,"")</f>
        <v/>
      </c>
      <c r="M349" s="17" t="str">
        <f>IFERROR(VLOOKUP(GA[[#This Row],[Affceted Equipment]],'Basic Data'!$A$1:$B$113,2,0),"")</f>
        <v/>
      </c>
      <c r="P349" s="28" t="str">
        <f>IFERROR(VLOOKUP(GA[[#This Row],[Affceted Equipment]],'Basic Data'!$A$2:$C$118,3,0),"")</f>
        <v/>
      </c>
      <c r="Q349" s="2"/>
      <c r="W349" s="34"/>
      <c r="X349" s="35"/>
      <c r="Y349" s="35"/>
      <c r="Z349" s="2"/>
      <c r="AA349" s="2"/>
      <c r="AB349" s="2" t="str">
        <f>IFERROR(GA[[#This Row],[Plant Equivalent Weightage]]*GA[[#This Row],[Resolution Time]],"")</f>
        <v/>
      </c>
      <c r="AC349" s="2"/>
      <c r="AD349" s="32" t="str">
        <f>IFERROR((_xlfn.XLOOKUP(GA[[#This Row],[Month Year]],'Modelling New'!D:D,'Modelling New'!$O:$O)*GA[[#This Row],[Lost POA (Wh/m2)]]*GA[[#This Row],[DC Capacity Affceted (kW)]])/1000,"")</f>
        <v/>
      </c>
      <c r="AE349" s="2"/>
    </row>
    <row r="350" spans="1:31">
      <c r="A350" s="2">
        <f t="shared" si="25"/>
        <v>348</v>
      </c>
      <c r="B350" s="156">
        <f t="shared" si="26"/>
        <v>1900</v>
      </c>
      <c r="C350" s="129">
        <f t="shared" si="27"/>
        <v>1900</v>
      </c>
      <c r="I350" s="31" t="str">
        <f>IFERROR(VLOOKUP(GA[[#This Row],[Date]],Raw_Data[[#All],[Date]:[Sunset Time (POA&lt;20 W/m2)]],3,0),"")</f>
        <v/>
      </c>
      <c r="J350" s="31" t="str">
        <f>IFERROR(VLOOKUP(GA[[#This Row],[Date]],Raw_Data[[#All],[Date]:[Sunset Time (POA&lt;20 W/m2)]],4,0),"")</f>
        <v/>
      </c>
      <c r="K350" s="30" t="str">
        <f>IFERROR((GA[[#This Row],[Sunset Time (POA&lt;20 W/m2)]]-GA[[#This Row],[Sunrise Time (POA&gt;20 W/m2)]])*24,"")</f>
        <v/>
      </c>
      <c r="M350" s="17" t="str">
        <f>IFERROR(VLOOKUP(GA[[#This Row],[Affceted Equipment]],'Basic Data'!$A$1:$B$113,2,0),"")</f>
        <v/>
      </c>
      <c r="P350" s="28" t="str">
        <f>IFERROR(VLOOKUP(GA[[#This Row],[Affceted Equipment]],'Basic Data'!$A$2:$C$118,3,0),"")</f>
        <v/>
      </c>
      <c r="Q350" s="2"/>
      <c r="W350" s="34"/>
      <c r="X350" s="35"/>
      <c r="Y350" s="35"/>
      <c r="Z350" s="2"/>
      <c r="AA350" s="2"/>
      <c r="AB350" s="2" t="str">
        <f>IFERROR(GA[[#This Row],[Plant Equivalent Weightage]]*GA[[#This Row],[Resolution Time]],"")</f>
        <v/>
      </c>
      <c r="AC350" s="2"/>
      <c r="AD350" s="32" t="str">
        <f>IFERROR((_xlfn.XLOOKUP(GA[[#This Row],[Month Year]],'Modelling New'!D:D,'Modelling New'!$O:$O)*GA[[#This Row],[Lost POA (Wh/m2)]]*GA[[#This Row],[DC Capacity Affceted (kW)]])/1000,"")</f>
        <v/>
      </c>
      <c r="AE350" s="2"/>
    </row>
    <row r="351" spans="1:31">
      <c r="A351" s="2">
        <f t="shared" si="25"/>
        <v>349</v>
      </c>
      <c r="B351" s="156">
        <f t="shared" si="26"/>
        <v>1900</v>
      </c>
      <c r="C351" s="129">
        <f t="shared" si="27"/>
        <v>1900</v>
      </c>
      <c r="I351" s="31" t="str">
        <f>IFERROR(VLOOKUP(GA[[#This Row],[Date]],Raw_Data[[#All],[Date]:[Sunset Time (POA&lt;20 W/m2)]],3,0),"")</f>
        <v/>
      </c>
      <c r="J351" s="31" t="str">
        <f>IFERROR(VLOOKUP(GA[[#This Row],[Date]],Raw_Data[[#All],[Date]:[Sunset Time (POA&lt;20 W/m2)]],4,0),"")</f>
        <v/>
      </c>
      <c r="K351" s="30" t="str">
        <f>IFERROR((GA[[#This Row],[Sunset Time (POA&lt;20 W/m2)]]-GA[[#This Row],[Sunrise Time (POA&gt;20 W/m2)]])*24,"")</f>
        <v/>
      </c>
      <c r="M351" s="17" t="str">
        <f>IFERROR(VLOOKUP(GA[[#This Row],[Affceted Equipment]],'Basic Data'!$A$1:$B$113,2,0),"")</f>
        <v/>
      </c>
      <c r="P351" s="28" t="str">
        <f>IFERROR(VLOOKUP(GA[[#This Row],[Affceted Equipment]],'Basic Data'!$A$2:$C$118,3,0),"")</f>
        <v/>
      </c>
      <c r="Q351" s="2"/>
      <c r="W351" s="34"/>
      <c r="X351" s="35"/>
      <c r="Y351" s="35"/>
      <c r="Z351" s="2"/>
      <c r="AA351" s="2"/>
      <c r="AB351" s="2" t="str">
        <f>IFERROR(GA[[#This Row],[Plant Equivalent Weightage]]*GA[[#This Row],[Resolution Time]],"")</f>
        <v/>
      </c>
      <c r="AC351" s="2"/>
      <c r="AD351" s="32" t="str">
        <f>IFERROR((_xlfn.XLOOKUP(GA[[#This Row],[Month Year]],'Modelling New'!D:D,'Modelling New'!$O:$O)*GA[[#This Row],[Lost POA (Wh/m2)]]*GA[[#This Row],[DC Capacity Affceted (kW)]])/1000,"")</f>
        <v/>
      </c>
      <c r="AE351" s="2"/>
    </row>
    <row r="352" spans="1:31">
      <c r="A352" s="2">
        <f t="shared" ref="A352:A415" si="28">A351+1</f>
        <v>350</v>
      </c>
      <c r="B352" s="156">
        <f t="shared" si="26"/>
        <v>1900</v>
      </c>
      <c r="C352" s="129">
        <f t="shared" si="27"/>
        <v>1900</v>
      </c>
      <c r="I352" s="31" t="str">
        <f>IFERROR(VLOOKUP(GA[[#This Row],[Date]],Raw_Data[[#All],[Date]:[Sunset Time (POA&lt;20 W/m2)]],3,0),"")</f>
        <v/>
      </c>
      <c r="J352" s="31" t="str">
        <f>IFERROR(VLOOKUP(GA[[#This Row],[Date]],Raw_Data[[#All],[Date]:[Sunset Time (POA&lt;20 W/m2)]],4,0),"")</f>
        <v/>
      </c>
      <c r="K352" s="30" t="str">
        <f>IFERROR((GA[[#This Row],[Sunset Time (POA&lt;20 W/m2)]]-GA[[#This Row],[Sunrise Time (POA&gt;20 W/m2)]])*24,"")</f>
        <v/>
      </c>
      <c r="M352" s="17" t="str">
        <f>IFERROR(VLOOKUP(GA[[#This Row],[Affceted Equipment]],'Basic Data'!$A$1:$B$113,2,0),"")</f>
        <v/>
      </c>
      <c r="P352" s="28" t="str">
        <f>IFERROR(VLOOKUP(GA[[#This Row],[Affceted Equipment]],'Basic Data'!$A$2:$C$118,3,0),"")</f>
        <v/>
      </c>
      <c r="Q352" s="2"/>
      <c r="W352" s="34"/>
      <c r="X352" s="35"/>
      <c r="Y352" s="35"/>
      <c r="Z352" s="2"/>
      <c r="AA352" s="2"/>
      <c r="AB352" s="2" t="str">
        <f>IFERROR(GA[[#This Row],[Plant Equivalent Weightage]]*GA[[#This Row],[Resolution Time]],"")</f>
        <v/>
      </c>
      <c r="AC352" s="2"/>
      <c r="AD352" s="32" t="str">
        <f>IFERROR((_xlfn.XLOOKUP(GA[[#This Row],[Month Year]],'Modelling New'!D:D,'Modelling New'!$O:$O)*GA[[#This Row],[Lost POA (Wh/m2)]]*GA[[#This Row],[DC Capacity Affceted (kW)]])/1000,"")</f>
        <v/>
      </c>
      <c r="AE352" s="2"/>
    </row>
    <row r="353" spans="1:31">
      <c r="A353" s="2">
        <f t="shared" si="28"/>
        <v>351</v>
      </c>
      <c r="B353" s="156">
        <f t="shared" si="26"/>
        <v>1900</v>
      </c>
      <c r="C353" s="129">
        <f t="shared" si="27"/>
        <v>1900</v>
      </c>
      <c r="I353" s="31" t="str">
        <f>IFERROR(VLOOKUP(GA[[#This Row],[Date]],Raw_Data[[#All],[Date]:[Sunset Time (POA&lt;20 W/m2)]],3,0),"")</f>
        <v/>
      </c>
      <c r="J353" s="31" t="str">
        <f>IFERROR(VLOOKUP(GA[[#This Row],[Date]],Raw_Data[[#All],[Date]:[Sunset Time (POA&lt;20 W/m2)]],4,0),"")</f>
        <v/>
      </c>
      <c r="K353" s="30" t="str">
        <f>IFERROR((GA[[#This Row],[Sunset Time (POA&lt;20 W/m2)]]-GA[[#This Row],[Sunrise Time (POA&gt;20 W/m2)]])*24,"")</f>
        <v/>
      </c>
      <c r="M353" s="17" t="str">
        <f>IFERROR(VLOOKUP(GA[[#This Row],[Affceted Equipment]],'Basic Data'!$A$1:$B$113,2,0),"")</f>
        <v/>
      </c>
      <c r="P353" s="28" t="str">
        <f>IFERROR(VLOOKUP(GA[[#This Row],[Affceted Equipment]],'Basic Data'!$A$2:$C$118,3,0),"")</f>
        <v/>
      </c>
      <c r="Q353" s="2"/>
      <c r="W353" s="34"/>
      <c r="X353" s="35"/>
      <c r="Y353" s="35"/>
      <c r="Z353" s="2"/>
      <c r="AA353" s="2"/>
      <c r="AB353" s="2" t="str">
        <f>IFERROR(GA[[#This Row],[Plant Equivalent Weightage]]*GA[[#This Row],[Resolution Time]],"")</f>
        <v/>
      </c>
      <c r="AC353" s="2"/>
      <c r="AD353" s="32" t="str">
        <f>IFERROR((_xlfn.XLOOKUP(GA[[#This Row],[Month Year]],'Modelling New'!D:D,'Modelling New'!$O:$O)*GA[[#This Row],[Lost POA (Wh/m2)]]*GA[[#This Row],[DC Capacity Affceted (kW)]])/1000,"")</f>
        <v/>
      </c>
      <c r="AE353" s="2"/>
    </row>
    <row r="354" spans="1:31">
      <c r="A354" s="2">
        <f t="shared" si="28"/>
        <v>352</v>
      </c>
      <c r="B354" s="156">
        <f t="shared" si="26"/>
        <v>1900</v>
      </c>
      <c r="C354" s="129">
        <f t="shared" si="27"/>
        <v>1900</v>
      </c>
      <c r="I354" s="31" t="str">
        <f>IFERROR(VLOOKUP(GA[[#This Row],[Date]],Raw_Data[[#All],[Date]:[Sunset Time (POA&lt;20 W/m2)]],3,0),"")</f>
        <v/>
      </c>
      <c r="J354" s="31" t="str">
        <f>IFERROR(VLOOKUP(GA[[#This Row],[Date]],Raw_Data[[#All],[Date]:[Sunset Time (POA&lt;20 W/m2)]],4,0),"")</f>
        <v/>
      </c>
      <c r="K354" s="30" t="str">
        <f>IFERROR((GA[[#This Row],[Sunset Time (POA&lt;20 W/m2)]]-GA[[#This Row],[Sunrise Time (POA&gt;20 W/m2)]])*24,"")</f>
        <v/>
      </c>
      <c r="M354" s="17" t="str">
        <f>IFERROR(VLOOKUP(GA[[#This Row],[Affceted Equipment]],'Basic Data'!$A$1:$B$113,2,0),"")</f>
        <v/>
      </c>
      <c r="P354" s="28" t="str">
        <f>IFERROR(VLOOKUP(GA[[#This Row],[Affceted Equipment]],'Basic Data'!$A$2:$C$118,3,0),"")</f>
        <v/>
      </c>
      <c r="Q354" s="2"/>
      <c r="W354" s="34"/>
      <c r="X354" s="35"/>
      <c r="Y354" s="35"/>
      <c r="Z354" s="2"/>
      <c r="AA354" s="2"/>
      <c r="AB354" s="2" t="str">
        <f>IFERROR(GA[[#This Row],[Plant Equivalent Weightage]]*GA[[#This Row],[Resolution Time]],"")</f>
        <v/>
      </c>
      <c r="AC354" s="2"/>
      <c r="AD354" s="32" t="str">
        <f>IFERROR((_xlfn.XLOOKUP(GA[[#This Row],[Month Year]],'Modelling New'!D:D,'Modelling New'!$O:$O)*GA[[#This Row],[Lost POA (Wh/m2)]]*GA[[#This Row],[DC Capacity Affceted (kW)]])/1000,"")</f>
        <v/>
      </c>
      <c r="AE354" s="2"/>
    </row>
    <row r="355" spans="1:31">
      <c r="A355" s="2">
        <f t="shared" si="28"/>
        <v>353</v>
      </c>
      <c r="B355" s="156">
        <f t="shared" si="26"/>
        <v>1900</v>
      </c>
      <c r="C355" s="129">
        <f t="shared" si="27"/>
        <v>1900</v>
      </c>
      <c r="I355" s="31" t="str">
        <f>IFERROR(VLOOKUP(GA[[#This Row],[Date]],Raw_Data[[#All],[Date]:[Sunset Time (POA&lt;20 W/m2)]],3,0),"")</f>
        <v/>
      </c>
      <c r="J355" s="31" t="str">
        <f>IFERROR(VLOOKUP(GA[[#This Row],[Date]],Raw_Data[[#All],[Date]:[Sunset Time (POA&lt;20 W/m2)]],4,0),"")</f>
        <v/>
      </c>
      <c r="K355" s="30" t="str">
        <f>IFERROR((GA[[#This Row],[Sunset Time (POA&lt;20 W/m2)]]-GA[[#This Row],[Sunrise Time (POA&gt;20 W/m2)]])*24,"")</f>
        <v/>
      </c>
      <c r="M355" s="17" t="str">
        <f>IFERROR(VLOOKUP(GA[[#This Row],[Affceted Equipment]],'Basic Data'!$A$1:$B$113,2,0),"")</f>
        <v/>
      </c>
      <c r="P355" s="28" t="str">
        <f>IFERROR(VLOOKUP(GA[[#This Row],[Affceted Equipment]],'Basic Data'!$A$2:$C$118,3,0),"")</f>
        <v/>
      </c>
      <c r="Q355" s="2"/>
      <c r="W355" s="34"/>
      <c r="X355" s="35"/>
      <c r="Y355" s="35"/>
      <c r="Z355" s="2"/>
      <c r="AA355" s="2"/>
      <c r="AB355" s="2" t="str">
        <f>IFERROR(GA[[#This Row],[Plant Equivalent Weightage]]*GA[[#This Row],[Resolution Time]],"")</f>
        <v/>
      </c>
      <c r="AC355" s="2"/>
      <c r="AD355" s="32" t="str">
        <f>IFERROR((_xlfn.XLOOKUP(GA[[#This Row],[Month Year]],'Modelling New'!D:D,'Modelling New'!$O:$O)*GA[[#This Row],[Lost POA (Wh/m2)]]*GA[[#This Row],[DC Capacity Affceted (kW)]])/1000,"")</f>
        <v/>
      </c>
      <c r="AE355" s="2"/>
    </row>
    <row r="356" spans="1:31">
      <c r="A356" s="2">
        <f t="shared" si="28"/>
        <v>354</v>
      </c>
      <c r="B356" s="156">
        <f t="shared" si="26"/>
        <v>1900</v>
      </c>
      <c r="C356" s="129">
        <f t="shared" si="27"/>
        <v>1900</v>
      </c>
      <c r="I356" s="31" t="str">
        <f>IFERROR(VLOOKUP(GA[[#This Row],[Date]],Raw_Data[[#All],[Date]:[Sunset Time (POA&lt;20 W/m2)]],3,0),"")</f>
        <v/>
      </c>
      <c r="J356" s="31" t="str">
        <f>IFERROR(VLOOKUP(GA[[#This Row],[Date]],Raw_Data[[#All],[Date]:[Sunset Time (POA&lt;20 W/m2)]],4,0),"")</f>
        <v/>
      </c>
      <c r="K356" s="30" t="str">
        <f>IFERROR((GA[[#This Row],[Sunset Time (POA&lt;20 W/m2)]]-GA[[#This Row],[Sunrise Time (POA&gt;20 W/m2)]])*24,"")</f>
        <v/>
      </c>
      <c r="M356" s="17" t="str">
        <f>IFERROR(VLOOKUP(GA[[#This Row],[Affceted Equipment]],'Basic Data'!$A$1:$B$113,2,0),"")</f>
        <v/>
      </c>
      <c r="P356" s="28" t="str">
        <f>IFERROR(VLOOKUP(GA[[#This Row],[Affceted Equipment]],'Basic Data'!$A$2:$C$118,3,0),"")</f>
        <v/>
      </c>
      <c r="Q356" s="2"/>
      <c r="W356" s="34"/>
      <c r="X356" s="35"/>
      <c r="Y356" s="35"/>
      <c r="Z356" s="2"/>
      <c r="AA356" s="2"/>
      <c r="AB356" s="2" t="str">
        <f>IFERROR(GA[[#This Row],[Plant Equivalent Weightage]]*GA[[#This Row],[Resolution Time]],"")</f>
        <v/>
      </c>
      <c r="AC356" s="2"/>
      <c r="AD356" s="32" t="str">
        <f>IFERROR((_xlfn.XLOOKUP(GA[[#This Row],[Month Year]],'Modelling New'!D:D,'Modelling New'!$O:$O)*GA[[#This Row],[Lost POA (Wh/m2)]]*GA[[#This Row],[DC Capacity Affceted (kW)]])/1000,"")</f>
        <v/>
      </c>
      <c r="AE356" s="2"/>
    </row>
    <row r="357" spans="1:31">
      <c r="A357" s="2">
        <f t="shared" si="28"/>
        <v>355</v>
      </c>
      <c r="B357" s="156">
        <f t="shared" si="26"/>
        <v>1900</v>
      </c>
      <c r="C357" s="129">
        <f t="shared" si="27"/>
        <v>1900</v>
      </c>
      <c r="I357" s="31" t="str">
        <f>IFERROR(VLOOKUP(GA[[#This Row],[Date]],Raw_Data[[#All],[Date]:[Sunset Time (POA&lt;20 W/m2)]],3,0),"")</f>
        <v/>
      </c>
      <c r="J357" s="31" t="str">
        <f>IFERROR(VLOOKUP(GA[[#This Row],[Date]],Raw_Data[[#All],[Date]:[Sunset Time (POA&lt;20 W/m2)]],4,0),"")</f>
        <v/>
      </c>
      <c r="K357" s="30" t="str">
        <f>IFERROR((GA[[#This Row],[Sunset Time (POA&lt;20 W/m2)]]-GA[[#This Row],[Sunrise Time (POA&gt;20 W/m2)]])*24,"")</f>
        <v/>
      </c>
      <c r="M357" s="17" t="str">
        <f>IFERROR(VLOOKUP(GA[[#This Row],[Affceted Equipment]],'Basic Data'!$A$1:$B$113,2,0),"")</f>
        <v/>
      </c>
      <c r="P357" s="28" t="str">
        <f>IFERROR(VLOOKUP(GA[[#This Row],[Affceted Equipment]],'Basic Data'!$A$2:$C$118,3,0),"")</f>
        <v/>
      </c>
      <c r="Q357" s="2"/>
      <c r="W357" s="34"/>
      <c r="X357" s="35"/>
      <c r="Y357" s="35"/>
      <c r="Z357" s="2"/>
      <c r="AA357" s="2"/>
      <c r="AB357" s="2" t="str">
        <f>IFERROR(GA[[#This Row],[Plant Equivalent Weightage]]*GA[[#This Row],[Resolution Time]],"")</f>
        <v/>
      </c>
      <c r="AC357" s="2"/>
      <c r="AD357" s="32" t="str">
        <f>IFERROR((_xlfn.XLOOKUP(GA[[#This Row],[Month Year]],'Modelling New'!D:D,'Modelling New'!$O:$O)*GA[[#This Row],[Lost POA (Wh/m2)]]*GA[[#This Row],[DC Capacity Affceted (kW)]])/1000,"")</f>
        <v/>
      </c>
      <c r="AE357" s="2"/>
    </row>
    <row r="358" spans="1:31">
      <c r="A358" s="2">
        <f t="shared" si="28"/>
        <v>356</v>
      </c>
      <c r="B358" s="156">
        <f t="shared" si="26"/>
        <v>1900</v>
      </c>
      <c r="C358" s="129">
        <f t="shared" si="27"/>
        <v>1900</v>
      </c>
      <c r="I358" s="31" t="str">
        <f>IFERROR(VLOOKUP(GA[[#This Row],[Date]],Raw_Data[[#All],[Date]:[Sunset Time (POA&lt;20 W/m2)]],3,0),"")</f>
        <v/>
      </c>
      <c r="J358" s="31" t="str">
        <f>IFERROR(VLOOKUP(GA[[#This Row],[Date]],Raw_Data[[#All],[Date]:[Sunset Time (POA&lt;20 W/m2)]],4,0),"")</f>
        <v/>
      </c>
      <c r="K358" s="30" t="str">
        <f>IFERROR((GA[[#This Row],[Sunset Time (POA&lt;20 W/m2)]]-GA[[#This Row],[Sunrise Time (POA&gt;20 W/m2)]])*24,"")</f>
        <v/>
      </c>
      <c r="M358" s="17" t="str">
        <f>IFERROR(VLOOKUP(GA[[#This Row],[Affceted Equipment]],'Basic Data'!$A$1:$B$113,2,0),"")</f>
        <v/>
      </c>
      <c r="P358" s="28" t="str">
        <f>IFERROR(VLOOKUP(GA[[#This Row],[Affceted Equipment]],'Basic Data'!$A$2:$C$118,3,0),"")</f>
        <v/>
      </c>
      <c r="Q358" s="2"/>
      <c r="W358" s="34"/>
      <c r="X358" s="35"/>
      <c r="Y358" s="35"/>
      <c r="Z358" s="2"/>
      <c r="AA358" s="2"/>
      <c r="AB358" s="2" t="str">
        <f>IFERROR(GA[[#This Row],[Plant Equivalent Weightage]]*GA[[#This Row],[Resolution Time]],"")</f>
        <v/>
      </c>
      <c r="AC358" s="2"/>
      <c r="AD358" s="32" t="str">
        <f>IFERROR((_xlfn.XLOOKUP(GA[[#This Row],[Month Year]],'Modelling New'!D:D,'Modelling New'!$O:$O)*GA[[#This Row],[Lost POA (Wh/m2)]]*GA[[#This Row],[DC Capacity Affceted (kW)]])/1000,"")</f>
        <v/>
      </c>
      <c r="AE358" s="2"/>
    </row>
    <row r="359" spans="1:31">
      <c r="A359" s="2">
        <f t="shared" si="28"/>
        <v>357</v>
      </c>
      <c r="B359" s="156">
        <f t="shared" si="26"/>
        <v>1900</v>
      </c>
      <c r="C359" s="129">
        <f t="shared" si="27"/>
        <v>1900</v>
      </c>
      <c r="I359" s="31" t="str">
        <f>IFERROR(VLOOKUP(GA[[#This Row],[Date]],Raw_Data[[#All],[Date]:[Sunset Time (POA&lt;20 W/m2)]],3,0),"")</f>
        <v/>
      </c>
      <c r="J359" s="31" t="str">
        <f>IFERROR(VLOOKUP(GA[[#This Row],[Date]],Raw_Data[[#All],[Date]:[Sunset Time (POA&lt;20 W/m2)]],4,0),"")</f>
        <v/>
      </c>
      <c r="K359" s="30" t="str">
        <f>IFERROR((GA[[#This Row],[Sunset Time (POA&lt;20 W/m2)]]-GA[[#This Row],[Sunrise Time (POA&gt;20 W/m2)]])*24,"")</f>
        <v/>
      </c>
      <c r="M359" s="17" t="str">
        <f>IFERROR(VLOOKUP(GA[[#This Row],[Affceted Equipment]],'Basic Data'!$A$1:$B$113,2,0),"")</f>
        <v/>
      </c>
      <c r="P359" s="28" t="str">
        <f>IFERROR(VLOOKUP(GA[[#This Row],[Affceted Equipment]],'Basic Data'!$A$2:$C$118,3,0),"")</f>
        <v/>
      </c>
      <c r="Q359" s="2"/>
      <c r="W359" s="34"/>
      <c r="X359" s="35"/>
      <c r="Y359" s="35"/>
      <c r="Z359" s="2"/>
      <c r="AA359" s="2"/>
      <c r="AB359" s="2" t="str">
        <f>IFERROR(GA[[#This Row],[Plant Equivalent Weightage]]*GA[[#This Row],[Resolution Time]],"")</f>
        <v/>
      </c>
      <c r="AC359" s="2"/>
      <c r="AD359" s="32" t="str">
        <f>IFERROR((_xlfn.XLOOKUP(GA[[#This Row],[Month Year]],'Modelling New'!D:D,'Modelling New'!$O:$O)*GA[[#This Row],[Lost POA (Wh/m2)]]*GA[[#This Row],[DC Capacity Affceted (kW)]])/1000,"")</f>
        <v/>
      </c>
      <c r="AE359" s="2"/>
    </row>
    <row r="360" spans="1:31">
      <c r="A360" s="2">
        <f t="shared" si="28"/>
        <v>358</v>
      </c>
      <c r="B360" s="156">
        <f t="shared" si="26"/>
        <v>1900</v>
      </c>
      <c r="C360" s="129">
        <f t="shared" si="27"/>
        <v>1900</v>
      </c>
      <c r="I360" s="31" t="str">
        <f>IFERROR(VLOOKUP(GA[[#This Row],[Date]],Raw_Data[[#All],[Date]:[Sunset Time (POA&lt;20 W/m2)]],3,0),"")</f>
        <v/>
      </c>
      <c r="J360" s="31" t="str">
        <f>IFERROR(VLOOKUP(GA[[#This Row],[Date]],Raw_Data[[#All],[Date]:[Sunset Time (POA&lt;20 W/m2)]],4,0),"")</f>
        <v/>
      </c>
      <c r="K360" s="30" t="str">
        <f>IFERROR((GA[[#This Row],[Sunset Time (POA&lt;20 W/m2)]]-GA[[#This Row],[Sunrise Time (POA&gt;20 W/m2)]])*24,"")</f>
        <v/>
      </c>
      <c r="M360" s="17" t="str">
        <f>IFERROR(VLOOKUP(GA[[#This Row],[Affceted Equipment]],'Basic Data'!$A$1:$B$113,2,0),"")</f>
        <v/>
      </c>
      <c r="P360" s="28" t="str">
        <f>IFERROR(VLOOKUP(GA[[#This Row],[Affceted Equipment]],'Basic Data'!$A$2:$C$118,3,0),"")</f>
        <v/>
      </c>
      <c r="Q360" s="2"/>
      <c r="W360" s="34"/>
      <c r="X360" s="35"/>
      <c r="Y360" s="35"/>
      <c r="Z360" s="2"/>
      <c r="AA360" s="2"/>
      <c r="AB360" s="2" t="str">
        <f>IFERROR(GA[[#This Row],[Plant Equivalent Weightage]]*GA[[#This Row],[Resolution Time]],"")</f>
        <v/>
      </c>
      <c r="AC360" s="2"/>
      <c r="AD360" s="32" t="str">
        <f>IFERROR((_xlfn.XLOOKUP(GA[[#This Row],[Month Year]],'Modelling New'!D:D,'Modelling New'!$O:$O)*GA[[#This Row],[Lost POA (Wh/m2)]]*GA[[#This Row],[DC Capacity Affceted (kW)]])/1000,"")</f>
        <v/>
      </c>
      <c r="AE360" s="2"/>
    </row>
    <row r="361" spans="1:31">
      <c r="A361" s="2">
        <f t="shared" si="28"/>
        <v>359</v>
      </c>
      <c r="B361" s="156">
        <f t="shared" si="26"/>
        <v>1900</v>
      </c>
      <c r="C361" s="129">
        <f t="shared" si="27"/>
        <v>1900</v>
      </c>
      <c r="I361" s="31" t="str">
        <f>IFERROR(VLOOKUP(GA[[#This Row],[Date]],Raw_Data[[#All],[Date]:[Sunset Time (POA&lt;20 W/m2)]],3,0),"")</f>
        <v/>
      </c>
      <c r="J361" s="31" t="str">
        <f>IFERROR(VLOOKUP(GA[[#This Row],[Date]],Raw_Data[[#All],[Date]:[Sunset Time (POA&lt;20 W/m2)]],4,0),"")</f>
        <v/>
      </c>
      <c r="K361" s="30" t="str">
        <f>IFERROR((GA[[#This Row],[Sunset Time (POA&lt;20 W/m2)]]-GA[[#This Row],[Sunrise Time (POA&gt;20 W/m2)]])*24,"")</f>
        <v/>
      </c>
      <c r="M361" s="17" t="str">
        <f>IFERROR(VLOOKUP(GA[[#This Row],[Affceted Equipment]],'Basic Data'!$A$1:$B$113,2,0),"")</f>
        <v/>
      </c>
      <c r="P361" s="28" t="str">
        <f>IFERROR(VLOOKUP(GA[[#This Row],[Affceted Equipment]],'Basic Data'!$A$2:$C$118,3,0),"")</f>
        <v/>
      </c>
      <c r="Q361" s="2"/>
      <c r="W361" s="34"/>
      <c r="X361" s="35"/>
      <c r="Y361" s="35"/>
      <c r="Z361" s="2"/>
      <c r="AA361" s="2"/>
      <c r="AB361" s="2" t="str">
        <f>IFERROR(GA[[#This Row],[Plant Equivalent Weightage]]*GA[[#This Row],[Resolution Time]],"")</f>
        <v/>
      </c>
      <c r="AC361" s="2"/>
      <c r="AD361" s="32" t="str">
        <f>IFERROR((_xlfn.XLOOKUP(GA[[#This Row],[Month Year]],'Modelling New'!D:D,'Modelling New'!$O:$O)*GA[[#This Row],[Lost POA (Wh/m2)]]*GA[[#This Row],[DC Capacity Affceted (kW)]])/1000,"")</f>
        <v/>
      </c>
      <c r="AE361" s="2"/>
    </row>
    <row r="362" spans="1:31">
      <c r="A362" s="2">
        <f t="shared" si="28"/>
        <v>360</v>
      </c>
      <c r="B362" s="156">
        <f t="shared" si="26"/>
        <v>1900</v>
      </c>
      <c r="C362" s="129">
        <f t="shared" si="27"/>
        <v>1900</v>
      </c>
      <c r="I362" s="31" t="str">
        <f>IFERROR(VLOOKUP(GA[[#This Row],[Date]],Raw_Data[[#All],[Date]:[Sunset Time (POA&lt;20 W/m2)]],3,0),"")</f>
        <v/>
      </c>
      <c r="J362" s="31" t="str">
        <f>IFERROR(VLOOKUP(GA[[#This Row],[Date]],Raw_Data[[#All],[Date]:[Sunset Time (POA&lt;20 W/m2)]],4,0),"")</f>
        <v/>
      </c>
      <c r="K362" s="30" t="str">
        <f>IFERROR((GA[[#This Row],[Sunset Time (POA&lt;20 W/m2)]]-GA[[#This Row],[Sunrise Time (POA&gt;20 W/m2)]])*24,"")</f>
        <v/>
      </c>
      <c r="M362" s="17" t="str">
        <f>IFERROR(VLOOKUP(GA[[#This Row],[Affceted Equipment]],'Basic Data'!$A$1:$B$113,2,0),"")</f>
        <v/>
      </c>
      <c r="P362" s="28" t="str">
        <f>IFERROR(VLOOKUP(GA[[#This Row],[Affceted Equipment]],'Basic Data'!$A$2:$C$118,3,0),"")</f>
        <v/>
      </c>
      <c r="Q362" s="2"/>
      <c r="W362" s="34"/>
      <c r="X362" s="35"/>
      <c r="Y362" s="35"/>
      <c r="Z362" s="2"/>
      <c r="AA362" s="2"/>
      <c r="AB362" s="2" t="str">
        <f>IFERROR(GA[[#This Row],[Plant Equivalent Weightage]]*GA[[#This Row],[Resolution Time]],"")</f>
        <v/>
      </c>
      <c r="AC362" s="2"/>
      <c r="AD362" s="32" t="str">
        <f>IFERROR((_xlfn.XLOOKUP(GA[[#This Row],[Month Year]],'Modelling New'!D:D,'Modelling New'!$O:$O)*GA[[#This Row],[Lost POA (Wh/m2)]]*GA[[#This Row],[DC Capacity Affceted (kW)]])/1000,"")</f>
        <v/>
      </c>
      <c r="AE362" s="2"/>
    </row>
    <row r="363" spans="1:31">
      <c r="A363" s="2">
        <f t="shared" si="28"/>
        <v>361</v>
      </c>
      <c r="B363" s="156">
        <f t="shared" si="26"/>
        <v>1900</v>
      </c>
      <c r="C363" s="129">
        <f t="shared" si="27"/>
        <v>1900</v>
      </c>
      <c r="I363" s="31" t="str">
        <f>IFERROR(VLOOKUP(GA[[#This Row],[Date]],Raw_Data[[#All],[Date]:[Sunset Time (POA&lt;20 W/m2)]],3,0),"")</f>
        <v/>
      </c>
      <c r="J363" s="31" t="str">
        <f>IFERROR(VLOOKUP(GA[[#This Row],[Date]],Raw_Data[[#All],[Date]:[Sunset Time (POA&lt;20 W/m2)]],4,0),"")</f>
        <v/>
      </c>
      <c r="K363" s="30" t="str">
        <f>IFERROR((GA[[#This Row],[Sunset Time (POA&lt;20 W/m2)]]-GA[[#This Row],[Sunrise Time (POA&gt;20 W/m2)]])*24,"")</f>
        <v/>
      </c>
      <c r="M363" s="17" t="str">
        <f>IFERROR(VLOOKUP(GA[[#This Row],[Affceted Equipment]],'Basic Data'!$A$1:$B$113,2,0),"")</f>
        <v/>
      </c>
      <c r="P363" s="28" t="str">
        <f>IFERROR(VLOOKUP(GA[[#This Row],[Affceted Equipment]],'Basic Data'!$A$2:$C$118,3,0),"")</f>
        <v/>
      </c>
      <c r="Q363" s="2"/>
      <c r="W363" s="34"/>
      <c r="X363" s="35"/>
      <c r="Y363" s="35"/>
      <c r="Z363" s="2"/>
      <c r="AA363" s="2"/>
      <c r="AB363" s="2" t="str">
        <f>IFERROR(GA[[#This Row],[Plant Equivalent Weightage]]*GA[[#This Row],[Resolution Time]],"")</f>
        <v/>
      </c>
      <c r="AC363" s="2"/>
      <c r="AD363" s="32" t="str">
        <f>IFERROR((_xlfn.XLOOKUP(GA[[#This Row],[Month Year]],'Modelling New'!D:D,'Modelling New'!$O:$O)*GA[[#This Row],[Lost POA (Wh/m2)]]*GA[[#This Row],[DC Capacity Affceted (kW)]])/1000,"")</f>
        <v/>
      </c>
      <c r="AE363" s="2"/>
    </row>
    <row r="364" spans="1:31">
      <c r="A364" s="2">
        <f t="shared" si="28"/>
        <v>362</v>
      </c>
      <c r="B364" s="156">
        <f t="shared" si="26"/>
        <v>1900</v>
      </c>
      <c r="C364" s="129">
        <f t="shared" si="27"/>
        <v>1900</v>
      </c>
      <c r="I364" s="31" t="str">
        <f>IFERROR(VLOOKUP(GA[[#This Row],[Date]],Raw_Data[[#All],[Date]:[Sunset Time (POA&lt;20 W/m2)]],3,0),"")</f>
        <v/>
      </c>
      <c r="J364" s="31" t="str">
        <f>IFERROR(VLOOKUP(GA[[#This Row],[Date]],Raw_Data[[#All],[Date]:[Sunset Time (POA&lt;20 W/m2)]],4,0),"")</f>
        <v/>
      </c>
      <c r="K364" s="30" t="str">
        <f>IFERROR((GA[[#This Row],[Sunset Time (POA&lt;20 W/m2)]]-GA[[#This Row],[Sunrise Time (POA&gt;20 W/m2)]])*24,"")</f>
        <v/>
      </c>
      <c r="M364" s="17" t="str">
        <f>IFERROR(VLOOKUP(GA[[#This Row],[Affceted Equipment]],'Basic Data'!$A$1:$B$113,2,0),"")</f>
        <v/>
      </c>
      <c r="P364" s="28" t="str">
        <f>IFERROR(VLOOKUP(GA[[#This Row],[Affceted Equipment]],'Basic Data'!$A$2:$C$118,3,0),"")</f>
        <v/>
      </c>
      <c r="Q364" s="2"/>
      <c r="W364" s="34"/>
      <c r="X364" s="35"/>
      <c r="Y364" s="35"/>
      <c r="Z364" s="2"/>
      <c r="AA364" s="2"/>
      <c r="AB364" s="2" t="str">
        <f>IFERROR(GA[[#This Row],[Plant Equivalent Weightage]]*GA[[#This Row],[Resolution Time]],"")</f>
        <v/>
      </c>
      <c r="AC364" s="2"/>
      <c r="AD364" s="32" t="str">
        <f>IFERROR((_xlfn.XLOOKUP(GA[[#This Row],[Month Year]],'Modelling New'!D:D,'Modelling New'!$O:$O)*GA[[#This Row],[Lost POA (Wh/m2)]]*GA[[#This Row],[DC Capacity Affceted (kW)]])/1000,"")</f>
        <v/>
      </c>
      <c r="AE364" s="2"/>
    </row>
    <row r="365" spans="1:31">
      <c r="A365" s="2">
        <f t="shared" si="28"/>
        <v>363</v>
      </c>
      <c r="B365" s="156">
        <f t="shared" si="26"/>
        <v>1900</v>
      </c>
      <c r="C365" s="129">
        <f t="shared" si="27"/>
        <v>1900</v>
      </c>
      <c r="I365" s="31" t="str">
        <f>IFERROR(VLOOKUP(GA[[#This Row],[Date]],Raw_Data[[#All],[Date]:[Sunset Time (POA&lt;20 W/m2)]],3,0),"")</f>
        <v/>
      </c>
      <c r="J365" s="31" t="str">
        <f>IFERROR(VLOOKUP(GA[[#This Row],[Date]],Raw_Data[[#All],[Date]:[Sunset Time (POA&lt;20 W/m2)]],4,0),"")</f>
        <v/>
      </c>
      <c r="K365" s="30" t="str">
        <f>IFERROR((GA[[#This Row],[Sunset Time (POA&lt;20 W/m2)]]-GA[[#This Row],[Sunrise Time (POA&gt;20 W/m2)]])*24,"")</f>
        <v/>
      </c>
      <c r="M365" s="17" t="str">
        <f>IFERROR(VLOOKUP(GA[[#This Row],[Affceted Equipment]],'Basic Data'!$A$1:$B$113,2,0),"")</f>
        <v/>
      </c>
      <c r="P365" s="28" t="str">
        <f>IFERROR(VLOOKUP(GA[[#This Row],[Affceted Equipment]],'Basic Data'!$A$2:$C$118,3,0),"")</f>
        <v/>
      </c>
      <c r="Q365" s="2"/>
      <c r="W365" s="34"/>
      <c r="X365" s="35"/>
      <c r="Y365" s="35"/>
      <c r="Z365" s="2"/>
      <c r="AA365" s="2"/>
      <c r="AB365" s="2" t="str">
        <f>IFERROR(GA[[#This Row],[Plant Equivalent Weightage]]*GA[[#This Row],[Resolution Time]],"")</f>
        <v/>
      </c>
      <c r="AC365" s="2"/>
      <c r="AD365" s="32" t="str">
        <f>IFERROR((_xlfn.XLOOKUP(GA[[#This Row],[Month Year]],'Modelling New'!D:D,'Modelling New'!$O:$O)*GA[[#This Row],[Lost POA (Wh/m2)]]*GA[[#This Row],[DC Capacity Affceted (kW)]])/1000,"")</f>
        <v/>
      </c>
      <c r="AE365" s="2"/>
    </row>
    <row r="366" spans="1:31">
      <c r="A366" s="2">
        <f t="shared" si="28"/>
        <v>364</v>
      </c>
      <c r="B366" s="156">
        <f t="shared" si="26"/>
        <v>1900</v>
      </c>
      <c r="C366" s="129">
        <f t="shared" si="27"/>
        <v>1900</v>
      </c>
      <c r="I366" s="31" t="str">
        <f>IFERROR(VLOOKUP(GA[[#This Row],[Date]],Raw_Data[[#All],[Date]:[Sunset Time (POA&lt;20 W/m2)]],3,0),"")</f>
        <v/>
      </c>
      <c r="J366" s="31" t="str">
        <f>IFERROR(VLOOKUP(GA[[#This Row],[Date]],Raw_Data[[#All],[Date]:[Sunset Time (POA&lt;20 W/m2)]],4,0),"")</f>
        <v/>
      </c>
      <c r="K366" s="30" t="str">
        <f>IFERROR((GA[[#This Row],[Sunset Time (POA&lt;20 W/m2)]]-GA[[#This Row],[Sunrise Time (POA&gt;20 W/m2)]])*24,"")</f>
        <v/>
      </c>
      <c r="M366" s="17" t="str">
        <f>IFERROR(VLOOKUP(GA[[#This Row],[Affceted Equipment]],'Basic Data'!$A$1:$B$113,2,0),"")</f>
        <v/>
      </c>
      <c r="P366" s="28" t="str">
        <f>IFERROR(VLOOKUP(GA[[#This Row],[Affceted Equipment]],'Basic Data'!$A$2:$C$118,3,0),"")</f>
        <v/>
      </c>
      <c r="Q366" s="2"/>
      <c r="W366" s="34"/>
      <c r="X366" s="35"/>
      <c r="Y366" s="35"/>
      <c r="Z366" s="2"/>
      <c r="AA366" s="2"/>
      <c r="AB366" s="2" t="str">
        <f>IFERROR(GA[[#This Row],[Plant Equivalent Weightage]]*GA[[#This Row],[Resolution Time]],"")</f>
        <v/>
      </c>
      <c r="AC366" s="2"/>
      <c r="AD366" s="32" t="str">
        <f>IFERROR((_xlfn.XLOOKUP(GA[[#This Row],[Month Year]],'Modelling New'!D:D,'Modelling New'!$O:$O)*GA[[#This Row],[Lost POA (Wh/m2)]]*GA[[#This Row],[DC Capacity Affceted (kW)]])/1000,"")</f>
        <v/>
      </c>
      <c r="AE366" s="2"/>
    </row>
    <row r="367" spans="1:31">
      <c r="A367" s="2">
        <f t="shared" si="28"/>
        <v>365</v>
      </c>
      <c r="B367" s="156">
        <f t="shared" si="26"/>
        <v>1900</v>
      </c>
      <c r="C367" s="129">
        <f t="shared" si="27"/>
        <v>1900</v>
      </c>
      <c r="I367" s="31" t="str">
        <f>IFERROR(VLOOKUP(GA[[#This Row],[Date]],Raw_Data[[#All],[Date]:[Sunset Time (POA&lt;20 W/m2)]],3,0),"")</f>
        <v/>
      </c>
      <c r="J367" s="31" t="str">
        <f>IFERROR(VLOOKUP(GA[[#This Row],[Date]],Raw_Data[[#All],[Date]:[Sunset Time (POA&lt;20 W/m2)]],4,0),"")</f>
        <v/>
      </c>
      <c r="K367" s="30" t="str">
        <f>IFERROR((GA[[#This Row],[Sunset Time (POA&lt;20 W/m2)]]-GA[[#This Row],[Sunrise Time (POA&gt;20 W/m2)]])*24,"")</f>
        <v/>
      </c>
      <c r="M367" s="17" t="str">
        <f>IFERROR(VLOOKUP(GA[[#This Row],[Affceted Equipment]],'Basic Data'!$A$1:$B$113,2,0),"")</f>
        <v/>
      </c>
      <c r="P367" s="28" t="str">
        <f>IFERROR(VLOOKUP(GA[[#This Row],[Affceted Equipment]],'Basic Data'!$A$2:$C$118,3,0),"")</f>
        <v/>
      </c>
      <c r="Q367" s="2"/>
      <c r="W367" s="34"/>
      <c r="X367" s="35"/>
      <c r="Y367" s="35"/>
      <c r="Z367" s="2"/>
      <c r="AA367" s="2"/>
      <c r="AB367" s="2" t="str">
        <f>IFERROR(GA[[#This Row],[Plant Equivalent Weightage]]*GA[[#This Row],[Resolution Time]],"")</f>
        <v/>
      </c>
      <c r="AC367" s="2"/>
      <c r="AD367" s="32" t="str">
        <f>IFERROR((_xlfn.XLOOKUP(GA[[#This Row],[Month Year]],'Modelling New'!D:D,'Modelling New'!$O:$O)*GA[[#This Row],[Lost POA (Wh/m2)]]*GA[[#This Row],[DC Capacity Affceted (kW)]])/1000,"")</f>
        <v/>
      </c>
      <c r="AE367" s="2"/>
    </row>
    <row r="368" spans="1:31">
      <c r="A368" s="2">
        <f t="shared" si="28"/>
        <v>366</v>
      </c>
      <c r="B368" s="156">
        <f t="shared" si="26"/>
        <v>1900</v>
      </c>
      <c r="C368" s="129">
        <f t="shared" si="27"/>
        <v>1900</v>
      </c>
      <c r="I368" s="31" t="str">
        <f>IFERROR(VLOOKUP(GA[[#This Row],[Date]],Raw_Data[[#All],[Date]:[Sunset Time (POA&lt;20 W/m2)]],3,0),"")</f>
        <v/>
      </c>
      <c r="J368" s="31" t="str">
        <f>IFERROR(VLOOKUP(GA[[#This Row],[Date]],Raw_Data[[#All],[Date]:[Sunset Time (POA&lt;20 W/m2)]],4,0),"")</f>
        <v/>
      </c>
      <c r="K368" s="30" t="str">
        <f>IFERROR((GA[[#This Row],[Sunset Time (POA&lt;20 W/m2)]]-GA[[#This Row],[Sunrise Time (POA&gt;20 W/m2)]])*24,"")</f>
        <v/>
      </c>
      <c r="M368" s="17" t="str">
        <f>IFERROR(VLOOKUP(GA[[#This Row],[Affceted Equipment]],'Basic Data'!$A$1:$B$113,2,0),"")</f>
        <v/>
      </c>
      <c r="P368" s="28" t="str">
        <f>IFERROR(VLOOKUP(GA[[#This Row],[Affceted Equipment]],'Basic Data'!$A$2:$C$118,3,0),"")</f>
        <v/>
      </c>
      <c r="Q368" s="2"/>
      <c r="W368" s="34"/>
      <c r="X368" s="35"/>
      <c r="Y368" s="35"/>
      <c r="Z368" s="2"/>
      <c r="AA368" s="2"/>
      <c r="AB368" s="2" t="str">
        <f>IFERROR(GA[[#This Row],[Plant Equivalent Weightage]]*GA[[#This Row],[Resolution Time]],"")</f>
        <v/>
      </c>
      <c r="AC368" s="2"/>
      <c r="AD368" s="32" t="str">
        <f>IFERROR((_xlfn.XLOOKUP(GA[[#This Row],[Month Year]],'Modelling New'!D:D,'Modelling New'!$O:$O)*GA[[#This Row],[Lost POA (Wh/m2)]]*GA[[#This Row],[DC Capacity Affceted (kW)]])/1000,"")</f>
        <v/>
      </c>
      <c r="AE368" s="2"/>
    </row>
    <row r="369" spans="1:31">
      <c r="A369" s="2">
        <f t="shared" si="28"/>
        <v>367</v>
      </c>
      <c r="B369" s="156">
        <f t="shared" si="26"/>
        <v>1900</v>
      </c>
      <c r="C369" s="129">
        <f t="shared" si="27"/>
        <v>1900</v>
      </c>
      <c r="I369" s="31" t="str">
        <f>IFERROR(VLOOKUP(GA[[#This Row],[Date]],Raw_Data[[#All],[Date]:[Sunset Time (POA&lt;20 W/m2)]],3,0),"")</f>
        <v/>
      </c>
      <c r="J369" s="31" t="str">
        <f>IFERROR(VLOOKUP(GA[[#This Row],[Date]],Raw_Data[[#All],[Date]:[Sunset Time (POA&lt;20 W/m2)]],4,0),"")</f>
        <v/>
      </c>
      <c r="K369" s="30" t="str">
        <f>IFERROR((GA[[#This Row],[Sunset Time (POA&lt;20 W/m2)]]-GA[[#This Row],[Sunrise Time (POA&gt;20 W/m2)]])*24,"")</f>
        <v/>
      </c>
      <c r="M369" s="17" t="str">
        <f>IFERROR(VLOOKUP(GA[[#This Row],[Affceted Equipment]],'Basic Data'!$A$1:$B$113,2,0),"")</f>
        <v/>
      </c>
      <c r="P369" s="28" t="str">
        <f>IFERROR(VLOOKUP(GA[[#This Row],[Affceted Equipment]],'Basic Data'!$A$2:$C$118,3,0),"")</f>
        <v/>
      </c>
      <c r="Q369" s="2"/>
      <c r="W369" s="34"/>
      <c r="X369" s="35"/>
      <c r="Y369" s="35"/>
      <c r="Z369" s="2"/>
      <c r="AA369" s="2"/>
      <c r="AB369" s="2" t="str">
        <f>IFERROR(GA[[#This Row],[Plant Equivalent Weightage]]*GA[[#This Row],[Resolution Time]],"")</f>
        <v/>
      </c>
      <c r="AC369" s="2"/>
      <c r="AD369" s="32" t="str">
        <f>IFERROR((_xlfn.XLOOKUP(GA[[#This Row],[Month Year]],'Modelling New'!D:D,'Modelling New'!$O:$O)*GA[[#This Row],[Lost POA (Wh/m2)]]*GA[[#This Row],[DC Capacity Affceted (kW)]])/1000,"")</f>
        <v/>
      </c>
      <c r="AE369" s="2"/>
    </row>
    <row r="370" spans="1:31">
      <c r="A370" s="2">
        <f t="shared" si="28"/>
        <v>368</v>
      </c>
      <c r="B370" s="156">
        <f t="shared" si="26"/>
        <v>1900</v>
      </c>
      <c r="C370" s="129">
        <f t="shared" si="27"/>
        <v>1900</v>
      </c>
      <c r="I370" s="31" t="str">
        <f>IFERROR(VLOOKUP(GA[[#This Row],[Date]],Raw_Data[[#All],[Date]:[Sunset Time (POA&lt;20 W/m2)]],3,0),"")</f>
        <v/>
      </c>
      <c r="J370" s="31" t="str">
        <f>IFERROR(VLOOKUP(GA[[#This Row],[Date]],Raw_Data[[#All],[Date]:[Sunset Time (POA&lt;20 W/m2)]],4,0),"")</f>
        <v/>
      </c>
      <c r="K370" s="30" t="str">
        <f>IFERROR((GA[[#This Row],[Sunset Time (POA&lt;20 W/m2)]]-GA[[#This Row],[Sunrise Time (POA&gt;20 W/m2)]])*24,"")</f>
        <v/>
      </c>
      <c r="M370" s="17" t="str">
        <f>IFERROR(VLOOKUP(GA[[#This Row],[Affceted Equipment]],'Basic Data'!$A$1:$B$113,2,0),"")</f>
        <v/>
      </c>
      <c r="P370" s="28" t="str">
        <f>IFERROR(VLOOKUP(GA[[#This Row],[Affceted Equipment]],'Basic Data'!$A$2:$C$118,3,0),"")</f>
        <v/>
      </c>
      <c r="Q370" s="2"/>
      <c r="W370" s="34"/>
      <c r="X370" s="35"/>
      <c r="Y370" s="35"/>
      <c r="Z370" s="2"/>
      <c r="AA370" s="2"/>
      <c r="AB370" s="2" t="str">
        <f>IFERROR(GA[[#This Row],[Plant Equivalent Weightage]]*GA[[#This Row],[Resolution Time]],"")</f>
        <v/>
      </c>
      <c r="AC370" s="2"/>
      <c r="AD370" s="32" t="str">
        <f>IFERROR((_xlfn.XLOOKUP(GA[[#This Row],[Month Year]],'Modelling New'!D:D,'Modelling New'!$O:$O)*GA[[#This Row],[Lost POA (Wh/m2)]]*GA[[#This Row],[DC Capacity Affceted (kW)]])/1000,"")</f>
        <v/>
      </c>
      <c r="AE370" s="2"/>
    </row>
    <row r="371" spans="1:31">
      <c r="A371" s="2">
        <f t="shared" si="28"/>
        <v>369</v>
      </c>
      <c r="B371" s="156">
        <f t="shared" si="26"/>
        <v>1900</v>
      </c>
      <c r="C371" s="129">
        <f t="shared" si="27"/>
        <v>1900</v>
      </c>
      <c r="I371" s="31" t="str">
        <f>IFERROR(VLOOKUP(GA[[#This Row],[Date]],Raw_Data[[#All],[Date]:[Sunset Time (POA&lt;20 W/m2)]],3,0),"")</f>
        <v/>
      </c>
      <c r="J371" s="31" t="str">
        <f>IFERROR(VLOOKUP(GA[[#This Row],[Date]],Raw_Data[[#All],[Date]:[Sunset Time (POA&lt;20 W/m2)]],4,0),"")</f>
        <v/>
      </c>
      <c r="K371" s="30" t="str">
        <f>IFERROR((GA[[#This Row],[Sunset Time (POA&lt;20 W/m2)]]-GA[[#This Row],[Sunrise Time (POA&gt;20 W/m2)]])*24,"")</f>
        <v/>
      </c>
      <c r="M371" s="17" t="str">
        <f>IFERROR(VLOOKUP(GA[[#This Row],[Affceted Equipment]],'Basic Data'!$A$1:$B$113,2,0),"")</f>
        <v/>
      </c>
      <c r="P371" s="28" t="str">
        <f>IFERROR(VLOOKUP(GA[[#This Row],[Affceted Equipment]],'Basic Data'!$A$2:$C$118,3,0),"")</f>
        <v/>
      </c>
      <c r="Q371" s="2"/>
      <c r="W371" s="34"/>
      <c r="X371" s="35"/>
      <c r="Y371" s="35"/>
      <c r="Z371" s="2"/>
      <c r="AA371" s="2"/>
      <c r="AB371" s="2" t="str">
        <f>IFERROR(GA[[#This Row],[Plant Equivalent Weightage]]*GA[[#This Row],[Resolution Time]],"")</f>
        <v/>
      </c>
      <c r="AC371" s="2"/>
      <c r="AD371" s="32" t="str">
        <f>IFERROR((_xlfn.XLOOKUP(GA[[#This Row],[Month Year]],'Modelling New'!D:D,'Modelling New'!$O:$O)*GA[[#This Row],[Lost POA (Wh/m2)]]*GA[[#This Row],[DC Capacity Affceted (kW)]])/1000,"")</f>
        <v/>
      </c>
      <c r="AE371" s="2"/>
    </row>
    <row r="372" spans="1:31">
      <c r="A372" s="2">
        <f t="shared" si="28"/>
        <v>370</v>
      </c>
      <c r="B372" s="156">
        <f t="shared" si="26"/>
        <v>1900</v>
      </c>
      <c r="C372" s="129">
        <f t="shared" si="27"/>
        <v>1900</v>
      </c>
      <c r="I372" s="31" t="str">
        <f>IFERROR(VLOOKUP(GA[[#This Row],[Date]],Raw_Data[[#All],[Date]:[Sunset Time (POA&lt;20 W/m2)]],3,0),"")</f>
        <v/>
      </c>
      <c r="J372" s="31" t="str">
        <f>IFERROR(VLOOKUP(GA[[#This Row],[Date]],Raw_Data[[#All],[Date]:[Sunset Time (POA&lt;20 W/m2)]],4,0),"")</f>
        <v/>
      </c>
      <c r="K372" s="30" t="str">
        <f>IFERROR((GA[[#This Row],[Sunset Time (POA&lt;20 W/m2)]]-GA[[#This Row],[Sunrise Time (POA&gt;20 W/m2)]])*24,"")</f>
        <v/>
      </c>
      <c r="M372" s="17" t="str">
        <f>IFERROR(VLOOKUP(GA[[#This Row],[Affceted Equipment]],'Basic Data'!$A$1:$B$113,2,0),"")</f>
        <v/>
      </c>
      <c r="P372" s="28" t="str">
        <f>IFERROR(VLOOKUP(GA[[#This Row],[Affceted Equipment]],'Basic Data'!$A$2:$C$118,3,0),"")</f>
        <v/>
      </c>
      <c r="Q372" s="2"/>
      <c r="W372" s="34"/>
      <c r="X372" s="35"/>
      <c r="Y372" s="35"/>
      <c r="Z372" s="2"/>
      <c r="AA372" s="2"/>
      <c r="AB372" s="2" t="str">
        <f>IFERROR(GA[[#This Row],[Plant Equivalent Weightage]]*GA[[#This Row],[Resolution Time]],"")</f>
        <v/>
      </c>
      <c r="AC372" s="2"/>
      <c r="AD372" s="32" t="str">
        <f>IFERROR((_xlfn.XLOOKUP(GA[[#This Row],[Month Year]],'Modelling New'!D:D,'Modelling New'!$O:$O)*GA[[#This Row],[Lost POA (Wh/m2)]]*GA[[#This Row],[DC Capacity Affceted (kW)]])/1000,"")</f>
        <v/>
      </c>
      <c r="AE372" s="2"/>
    </row>
    <row r="373" spans="1:31">
      <c r="A373" s="2">
        <f t="shared" si="28"/>
        <v>371</v>
      </c>
      <c r="B373" s="156">
        <f t="shared" si="26"/>
        <v>1900</v>
      </c>
      <c r="C373" s="129">
        <f t="shared" si="27"/>
        <v>1900</v>
      </c>
      <c r="I373" s="31" t="str">
        <f>IFERROR(VLOOKUP(GA[[#This Row],[Date]],Raw_Data[[#All],[Date]:[Sunset Time (POA&lt;20 W/m2)]],3,0),"")</f>
        <v/>
      </c>
      <c r="J373" s="31" t="str">
        <f>IFERROR(VLOOKUP(GA[[#This Row],[Date]],Raw_Data[[#All],[Date]:[Sunset Time (POA&lt;20 W/m2)]],4,0),"")</f>
        <v/>
      </c>
      <c r="K373" s="30" t="str">
        <f>IFERROR((GA[[#This Row],[Sunset Time (POA&lt;20 W/m2)]]-GA[[#This Row],[Sunrise Time (POA&gt;20 W/m2)]])*24,"")</f>
        <v/>
      </c>
      <c r="M373" s="17" t="str">
        <f>IFERROR(VLOOKUP(GA[[#This Row],[Affceted Equipment]],'Basic Data'!$A$1:$B$113,2,0),"")</f>
        <v/>
      </c>
      <c r="P373" s="28" t="str">
        <f>IFERROR(VLOOKUP(GA[[#This Row],[Affceted Equipment]],'Basic Data'!$A$2:$C$118,3,0),"")</f>
        <v/>
      </c>
      <c r="Q373" s="2"/>
      <c r="W373" s="34"/>
      <c r="X373" s="35"/>
      <c r="Y373" s="35"/>
      <c r="Z373" s="2"/>
      <c r="AA373" s="2"/>
      <c r="AB373" s="2" t="str">
        <f>IFERROR(GA[[#This Row],[Plant Equivalent Weightage]]*GA[[#This Row],[Resolution Time]],"")</f>
        <v/>
      </c>
      <c r="AC373" s="2"/>
      <c r="AD373" s="32" t="str">
        <f>IFERROR((_xlfn.XLOOKUP(GA[[#This Row],[Month Year]],'Modelling New'!D:D,'Modelling New'!$O:$O)*GA[[#This Row],[Lost POA (Wh/m2)]]*GA[[#This Row],[DC Capacity Affceted (kW)]])/1000,"")</f>
        <v/>
      </c>
      <c r="AE373" s="2"/>
    </row>
    <row r="374" spans="1:31">
      <c r="A374" s="2">
        <f t="shared" si="28"/>
        <v>372</v>
      </c>
      <c r="B374" s="156">
        <f t="shared" si="26"/>
        <v>1900</v>
      </c>
      <c r="C374" s="129">
        <f t="shared" si="27"/>
        <v>1900</v>
      </c>
      <c r="I374" s="31" t="str">
        <f>IFERROR(VLOOKUP(GA[[#This Row],[Date]],Raw_Data[[#All],[Date]:[Sunset Time (POA&lt;20 W/m2)]],3,0),"")</f>
        <v/>
      </c>
      <c r="J374" s="31" t="str">
        <f>IFERROR(VLOOKUP(GA[[#This Row],[Date]],Raw_Data[[#All],[Date]:[Sunset Time (POA&lt;20 W/m2)]],4,0),"")</f>
        <v/>
      </c>
      <c r="K374" s="30" t="str">
        <f>IFERROR((GA[[#This Row],[Sunset Time (POA&lt;20 W/m2)]]-GA[[#This Row],[Sunrise Time (POA&gt;20 W/m2)]])*24,"")</f>
        <v/>
      </c>
      <c r="M374" s="17" t="str">
        <f>IFERROR(VLOOKUP(GA[[#This Row],[Affceted Equipment]],'Basic Data'!$A$1:$B$113,2,0),"")</f>
        <v/>
      </c>
      <c r="P374" s="28" t="str">
        <f>IFERROR(VLOOKUP(GA[[#This Row],[Affceted Equipment]],'Basic Data'!$A$2:$C$118,3,0),"")</f>
        <v/>
      </c>
      <c r="Q374" s="2"/>
      <c r="W374" s="34"/>
      <c r="X374" s="35"/>
      <c r="Y374" s="35"/>
      <c r="Z374" s="2"/>
      <c r="AA374" s="2"/>
      <c r="AB374" s="2" t="str">
        <f>IFERROR(GA[[#This Row],[Plant Equivalent Weightage]]*GA[[#This Row],[Resolution Time]],"")</f>
        <v/>
      </c>
      <c r="AC374" s="2"/>
      <c r="AD374" s="32" t="str">
        <f>IFERROR((_xlfn.XLOOKUP(GA[[#This Row],[Month Year]],'Modelling New'!D:D,'Modelling New'!$O:$O)*GA[[#This Row],[Lost POA (Wh/m2)]]*GA[[#This Row],[DC Capacity Affceted (kW)]])/1000,"")</f>
        <v/>
      </c>
      <c r="AE374" s="2"/>
    </row>
    <row r="375" spans="1:31">
      <c r="A375" s="2">
        <f t="shared" si="28"/>
        <v>373</v>
      </c>
      <c r="B375" s="156">
        <f t="shared" si="26"/>
        <v>1900</v>
      </c>
      <c r="C375" s="129">
        <f t="shared" si="27"/>
        <v>1900</v>
      </c>
      <c r="I375" s="31" t="str">
        <f>IFERROR(VLOOKUP(GA[[#This Row],[Date]],Raw_Data[[#All],[Date]:[Sunset Time (POA&lt;20 W/m2)]],3,0),"")</f>
        <v/>
      </c>
      <c r="J375" s="31" t="str">
        <f>IFERROR(VLOOKUP(GA[[#This Row],[Date]],Raw_Data[[#All],[Date]:[Sunset Time (POA&lt;20 W/m2)]],4,0),"")</f>
        <v/>
      </c>
      <c r="K375" s="30" t="str">
        <f>IFERROR((GA[[#This Row],[Sunset Time (POA&lt;20 W/m2)]]-GA[[#This Row],[Sunrise Time (POA&gt;20 W/m2)]])*24,"")</f>
        <v/>
      </c>
      <c r="M375" s="17" t="str">
        <f>IFERROR(VLOOKUP(GA[[#This Row],[Affceted Equipment]],'Basic Data'!$A$1:$B$113,2,0),"")</f>
        <v/>
      </c>
      <c r="P375" s="28" t="str">
        <f>IFERROR(VLOOKUP(GA[[#This Row],[Affceted Equipment]],'Basic Data'!$A$2:$C$118,3,0),"")</f>
        <v/>
      </c>
      <c r="Q375" s="2"/>
      <c r="W375" s="34"/>
      <c r="X375" s="35"/>
      <c r="Y375" s="35"/>
      <c r="Z375" s="2"/>
      <c r="AA375" s="2"/>
      <c r="AB375" s="2" t="str">
        <f>IFERROR(GA[[#This Row],[Plant Equivalent Weightage]]*GA[[#This Row],[Resolution Time]],"")</f>
        <v/>
      </c>
      <c r="AC375" s="2"/>
      <c r="AD375" s="32" t="str">
        <f>IFERROR((_xlfn.XLOOKUP(GA[[#This Row],[Month Year]],'Modelling New'!D:D,'Modelling New'!$O:$O)*GA[[#This Row],[Lost POA (Wh/m2)]]*GA[[#This Row],[DC Capacity Affceted (kW)]])/1000,"")</f>
        <v/>
      </c>
      <c r="AE375" s="2"/>
    </row>
    <row r="376" spans="1:31">
      <c r="A376" s="2">
        <f t="shared" si="28"/>
        <v>374</v>
      </c>
      <c r="B376" s="156">
        <f t="shared" si="26"/>
        <v>1900</v>
      </c>
      <c r="C376" s="129">
        <f t="shared" si="27"/>
        <v>1900</v>
      </c>
      <c r="I376" s="31" t="str">
        <f>IFERROR(VLOOKUP(GA[[#This Row],[Date]],Raw_Data[[#All],[Date]:[Sunset Time (POA&lt;20 W/m2)]],3,0),"")</f>
        <v/>
      </c>
      <c r="J376" s="31" t="str">
        <f>IFERROR(VLOOKUP(GA[[#This Row],[Date]],Raw_Data[[#All],[Date]:[Sunset Time (POA&lt;20 W/m2)]],4,0),"")</f>
        <v/>
      </c>
      <c r="K376" s="30" t="str">
        <f>IFERROR((GA[[#This Row],[Sunset Time (POA&lt;20 W/m2)]]-GA[[#This Row],[Sunrise Time (POA&gt;20 W/m2)]])*24,"")</f>
        <v/>
      </c>
      <c r="M376" s="17" t="str">
        <f>IFERROR(VLOOKUP(GA[[#This Row],[Affceted Equipment]],'Basic Data'!$A$1:$B$113,2,0),"")</f>
        <v/>
      </c>
      <c r="P376" s="28" t="str">
        <f>IFERROR(VLOOKUP(GA[[#This Row],[Affceted Equipment]],'Basic Data'!$A$2:$C$118,3,0),"")</f>
        <v/>
      </c>
      <c r="Q376" s="2"/>
      <c r="W376" s="34"/>
      <c r="X376" s="35"/>
      <c r="Y376" s="35"/>
      <c r="Z376" s="2"/>
      <c r="AA376" s="2"/>
      <c r="AB376" s="2" t="str">
        <f>IFERROR(GA[[#This Row],[Plant Equivalent Weightage]]*GA[[#This Row],[Resolution Time]],"")</f>
        <v/>
      </c>
      <c r="AC376" s="2"/>
      <c r="AD376" s="32" t="str">
        <f>IFERROR((_xlfn.XLOOKUP(GA[[#This Row],[Month Year]],'Modelling New'!D:D,'Modelling New'!$O:$O)*GA[[#This Row],[Lost POA (Wh/m2)]]*GA[[#This Row],[DC Capacity Affceted (kW)]])/1000,"")</f>
        <v/>
      </c>
      <c r="AE376" s="2"/>
    </row>
    <row r="377" spans="1:31">
      <c r="A377" s="2">
        <f t="shared" si="28"/>
        <v>375</v>
      </c>
      <c r="B377" s="156">
        <f t="shared" si="26"/>
        <v>1900</v>
      </c>
      <c r="C377" s="129">
        <f t="shared" si="27"/>
        <v>1900</v>
      </c>
      <c r="I377" s="31" t="str">
        <f>IFERROR(VLOOKUP(GA[[#This Row],[Date]],Raw_Data[[#All],[Date]:[Sunset Time (POA&lt;20 W/m2)]],3,0),"")</f>
        <v/>
      </c>
      <c r="J377" s="31" t="str">
        <f>IFERROR(VLOOKUP(GA[[#This Row],[Date]],Raw_Data[[#All],[Date]:[Sunset Time (POA&lt;20 W/m2)]],4,0),"")</f>
        <v/>
      </c>
      <c r="K377" s="30" t="str">
        <f>IFERROR((GA[[#This Row],[Sunset Time (POA&lt;20 W/m2)]]-GA[[#This Row],[Sunrise Time (POA&gt;20 W/m2)]])*24,"")</f>
        <v/>
      </c>
      <c r="M377" s="17" t="str">
        <f>IFERROR(VLOOKUP(GA[[#This Row],[Affceted Equipment]],'Basic Data'!$A$1:$B$113,2,0),"")</f>
        <v/>
      </c>
      <c r="P377" s="28" t="str">
        <f>IFERROR(VLOOKUP(GA[[#This Row],[Affceted Equipment]],'Basic Data'!$A$2:$C$118,3,0),"")</f>
        <v/>
      </c>
      <c r="Q377" s="2"/>
      <c r="W377" s="34"/>
      <c r="X377" s="35"/>
      <c r="Y377" s="35"/>
      <c r="Z377" s="2"/>
      <c r="AA377" s="2"/>
      <c r="AB377" s="2" t="str">
        <f>IFERROR(GA[[#This Row],[Plant Equivalent Weightage]]*GA[[#This Row],[Resolution Time]],"")</f>
        <v/>
      </c>
      <c r="AC377" s="2"/>
      <c r="AD377" s="32" t="str">
        <f>IFERROR((_xlfn.XLOOKUP(GA[[#This Row],[Month Year]],'Modelling New'!D:D,'Modelling New'!$O:$O)*GA[[#This Row],[Lost POA (Wh/m2)]]*GA[[#This Row],[DC Capacity Affceted (kW)]])/1000,"")</f>
        <v/>
      </c>
      <c r="AE377" s="2"/>
    </row>
    <row r="378" spans="1:31">
      <c r="A378" s="2">
        <f t="shared" si="28"/>
        <v>376</v>
      </c>
      <c r="B378" s="156">
        <f t="shared" si="26"/>
        <v>1900</v>
      </c>
      <c r="C378" s="129">
        <f t="shared" si="27"/>
        <v>1900</v>
      </c>
      <c r="I378" s="31" t="str">
        <f>IFERROR(VLOOKUP(GA[[#This Row],[Date]],Raw_Data[[#All],[Date]:[Sunset Time (POA&lt;20 W/m2)]],3,0),"")</f>
        <v/>
      </c>
      <c r="J378" s="31" t="str">
        <f>IFERROR(VLOOKUP(GA[[#This Row],[Date]],Raw_Data[[#All],[Date]:[Sunset Time (POA&lt;20 W/m2)]],4,0),"")</f>
        <v/>
      </c>
      <c r="K378" s="30" t="str">
        <f>IFERROR((GA[[#This Row],[Sunset Time (POA&lt;20 W/m2)]]-GA[[#This Row],[Sunrise Time (POA&gt;20 W/m2)]])*24,"")</f>
        <v/>
      </c>
      <c r="M378" s="17" t="str">
        <f>IFERROR(VLOOKUP(GA[[#This Row],[Affceted Equipment]],'Basic Data'!$A$1:$B$113,2,0),"")</f>
        <v/>
      </c>
      <c r="P378" s="28" t="str">
        <f>IFERROR(VLOOKUP(GA[[#This Row],[Affceted Equipment]],'Basic Data'!$A$2:$C$118,3,0),"")</f>
        <v/>
      </c>
      <c r="Q378" s="2"/>
      <c r="W378" s="34"/>
      <c r="X378" s="35"/>
      <c r="Y378" s="35"/>
      <c r="Z378" s="2"/>
      <c r="AA378" s="2"/>
      <c r="AB378" s="2" t="str">
        <f>IFERROR(GA[[#This Row],[Plant Equivalent Weightage]]*GA[[#This Row],[Resolution Time]],"")</f>
        <v/>
      </c>
      <c r="AC378" s="2"/>
      <c r="AD378" s="32" t="str">
        <f>IFERROR((_xlfn.XLOOKUP(GA[[#This Row],[Month Year]],'Modelling New'!D:D,'Modelling New'!$O:$O)*GA[[#This Row],[Lost POA (Wh/m2)]]*GA[[#This Row],[DC Capacity Affceted (kW)]])/1000,"")</f>
        <v/>
      </c>
      <c r="AE378" s="2"/>
    </row>
    <row r="379" spans="1:31">
      <c r="A379" s="2">
        <f t="shared" si="28"/>
        <v>377</v>
      </c>
      <c r="B379" s="156">
        <f t="shared" si="26"/>
        <v>1900</v>
      </c>
      <c r="C379" s="129">
        <f t="shared" si="27"/>
        <v>1900</v>
      </c>
      <c r="I379" s="31" t="str">
        <f>IFERROR(VLOOKUP(GA[[#This Row],[Date]],Raw_Data[[#All],[Date]:[Sunset Time (POA&lt;20 W/m2)]],3,0),"")</f>
        <v/>
      </c>
      <c r="J379" s="31" t="str">
        <f>IFERROR(VLOOKUP(GA[[#This Row],[Date]],Raw_Data[[#All],[Date]:[Sunset Time (POA&lt;20 W/m2)]],4,0),"")</f>
        <v/>
      </c>
      <c r="K379" s="30" t="str">
        <f>IFERROR((GA[[#This Row],[Sunset Time (POA&lt;20 W/m2)]]-GA[[#This Row],[Sunrise Time (POA&gt;20 W/m2)]])*24,"")</f>
        <v/>
      </c>
      <c r="M379" s="17" t="str">
        <f>IFERROR(VLOOKUP(GA[[#This Row],[Affceted Equipment]],'Basic Data'!$A$1:$B$113,2,0),"")</f>
        <v/>
      </c>
      <c r="P379" s="28" t="str">
        <f>IFERROR(VLOOKUP(GA[[#This Row],[Affceted Equipment]],'Basic Data'!$A$2:$C$118,3,0),"")</f>
        <v/>
      </c>
      <c r="Q379" s="2"/>
      <c r="W379" s="34"/>
      <c r="X379" s="35"/>
      <c r="Y379" s="35"/>
      <c r="Z379" s="2"/>
      <c r="AA379" s="2"/>
      <c r="AB379" s="2" t="str">
        <f>IFERROR(GA[[#This Row],[Plant Equivalent Weightage]]*GA[[#This Row],[Resolution Time]],"")</f>
        <v/>
      </c>
      <c r="AC379" s="2"/>
      <c r="AD379" s="32" t="str">
        <f>IFERROR((_xlfn.XLOOKUP(GA[[#This Row],[Month Year]],'Modelling New'!D:D,'Modelling New'!$O:$O)*GA[[#This Row],[Lost POA (Wh/m2)]]*GA[[#This Row],[DC Capacity Affceted (kW)]])/1000,"")</f>
        <v/>
      </c>
      <c r="AE379" s="2"/>
    </row>
    <row r="380" spans="1:31">
      <c r="A380" s="2">
        <f t="shared" si="28"/>
        <v>378</v>
      </c>
      <c r="B380" s="156">
        <f t="shared" si="26"/>
        <v>1900</v>
      </c>
      <c r="C380" s="129">
        <f t="shared" si="27"/>
        <v>1900</v>
      </c>
      <c r="I380" s="31" t="str">
        <f>IFERROR(VLOOKUP(GA[[#This Row],[Date]],Raw_Data[[#All],[Date]:[Sunset Time (POA&lt;20 W/m2)]],3,0),"")</f>
        <v/>
      </c>
      <c r="J380" s="31" t="str">
        <f>IFERROR(VLOOKUP(GA[[#This Row],[Date]],Raw_Data[[#All],[Date]:[Sunset Time (POA&lt;20 W/m2)]],4,0),"")</f>
        <v/>
      </c>
      <c r="K380" s="30" t="str">
        <f>IFERROR((GA[[#This Row],[Sunset Time (POA&lt;20 W/m2)]]-GA[[#This Row],[Sunrise Time (POA&gt;20 W/m2)]])*24,"")</f>
        <v/>
      </c>
      <c r="M380" s="17" t="str">
        <f>IFERROR(VLOOKUP(GA[[#This Row],[Affceted Equipment]],'Basic Data'!$A$1:$B$113,2,0),"")</f>
        <v/>
      </c>
      <c r="P380" s="28" t="str">
        <f>IFERROR(VLOOKUP(GA[[#This Row],[Affceted Equipment]],'Basic Data'!$A$2:$C$118,3,0),"")</f>
        <v/>
      </c>
      <c r="Q380" s="2"/>
      <c r="W380" s="34"/>
      <c r="X380" s="35"/>
      <c r="Y380" s="35"/>
      <c r="Z380" s="2"/>
      <c r="AA380" s="2"/>
      <c r="AB380" s="2" t="str">
        <f>IFERROR(GA[[#This Row],[Plant Equivalent Weightage]]*GA[[#This Row],[Resolution Time]],"")</f>
        <v/>
      </c>
      <c r="AC380" s="2"/>
      <c r="AD380" s="32" t="str">
        <f>IFERROR((_xlfn.XLOOKUP(GA[[#This Row],[Month Year]],'Modelling New'!D:D,'Modelling New'!$O:$O)*GA[[#This Row],[Lost POA (Wh/m2)]]*GA[[#This Row],[DC Capacity Affceted (kW)]])/1000,"")</f>
        <v/>
      </c>
      <c r="AE380" s="2"/>
    </row>
    <row r="381" spans="1:31">
      <c r="A381" s="2">
        <f t="shared" si="28"/>
        <v>379</v>
      </c>
      <c r="B381" s="156">
        <f t="shared" si="26"/>
        <v>1900</v>
      </c>
      <c r="C381" s="129">
        <f t="shared" si="27"/>
        <v>1900</v>
      </c>
      <c r="I381" s="31" t="str">
        <f>IFERROR(VLOOKUP(GA[[#This Row],[Date]],Raw_Data[[#All],[Date]:[Sunset Time (POA&lt;20 W/m2)]],3,0),"")</f>
        <v/>
      </c>
      <c r="J381" s="31" t="str">
        <f>IFERROR(VLOOKUP(GA[[#This Row],[Date]],Raw_Data[[#All],[Date]:[Sunset Time (POA&lt;20 W/m2)]],4,0),"")</f>
        <v/>
      </c>
      <c r="K381" s="30" t="str">
        <f>IFERROR((GA[[#This Row],[Sunset Time (POA&lt;20 W/m2)]]-GA[[#This Row],[Sunrise Time (POA&gt;20 W/m2)]])*24,"")</f>
        <v/>
      </c>
      <c r="M381" s="17" t="str">
        <f>IFERROR(VLOOKUP(GA[[#This Row],[Affceted Equipment]],'Basic Data'!$A$1:$B$113,2,0),"")</f>
        <v/>
      </c>
      <c r="P381" s="28" t="str">
        <f>IFERROR(VLOOKUP(GA[[#This Row],[Affceted Equipment]],'Basic Data'!$A$2:$C$118,3,0),"")</f>
        <v/>
      </c>
      <c r="Q381" s="2"/>
      <c r="W381" s="34"/>
      <c r="X381" s="35"/>
      <c r="Y381" s="35"/>
      <c r="Z381" s="2"/>
      <c r="AA381" s="2"/>
      <c r="AB381" s="2" t="str">
        <f>IFERROR(GA[[#This Row],[Plant Equivalent Weightage]]*GA[[#This Row],[Resolution Time]],"")</f>
        <v/>
      </c>
      <c r="AC381" s="2"/>
      <c r="AD381" s="32" t="str">
        <f>IFERROR((_xlfn.XLOOKUP(GA[[#This Row],[Month Year]],'Modelling New'!D:D,'Modelling New'!$O:$O)*GA[[#This Row],[Lost POA (Wh/m2)]]*GA[[#This Row],[DC Capacity Affceted (kW)]])/1000,"")</f>
        <v/>
      </c>
      <c r="AE381" s="2"/>
    </row>
    <row r="382" spans="1:31">
      <c r="A382" s="2">
        <f t="shared" si="28"/>
        <v>380</v>
      </c>
      <c r="B382" s="156">
        <f t="shared" si="26"/>
        <v>1900</v>
      </c>
      <c r="C382" s="129">
        <f t="shared" si="27"/>
        <v>1900</v>
      </c>
      <c r="I382" s="31" t="str">
        <f>IFERROR(VLOOKUP(GA[[#This Row],[Date]],Raw_Data[[#All],[Date]:[Sunset Time (POA&lt;20 W/m2)]],3,0),"")</f>
        <v/>
      </c>
      <c r="J382" s="31" t="str">
        <f>IFERROR(VLOOKUP(GA[[#This Row],[Date]],Raw_Data[[#All],[Date]:[Sunset Time (POA&lt;20 W/m2)]],4,0),"")</f>
        <v/>
      </c>
      <c r="K382" s="30" t="str">
        <f>IFERROR((GA[[#This Row],[Sunset Time (POA&lt;20 W/m2)]]-GA[[#This Row],[Sunrise Time (POA&gt;20 W/m2)]])*24,"")</f>
        <v/>
      </c>
      <c r="M382" s="17" t="str">
        <f>IFERROR(VLOOKUP(GA[[#This Row],[Affceted Equipment]],'Basic Data'!$A$1:$B$113,2,0),"")</f>
        <v/>
      </c>
      <c r="P382" s="28" t="str">
        <f>IFERROR(VLOOKUP(GA[[#This Row],[Affceted Equipment]],'Basic Data'!$A$2:$C$118,3,0),"")</f>
        <v/>
      </c>
      <c r="Q382" s="2"/>
      <c r="W382" s="34"/>
      <c r="X382" s="35"/>
      <c r="Y382" s="35"/>
      <c r="Z382" s="2"/>
      <c r="AA382" s="2"/>
      <c r="AB382" s="2" t="str">
        <f>IFERROR(GA[[#This Row],[Plant Equivalent Weightage]]*GA[[#This Row],[Resolution Time]],"")</f>
        <v/>
      </c>
      <c r="AC382" s="2"/>
      <c r="AD382" s="32" t="str">
        <f>IFERROR((_xlfn.XLOOKUP(GA[[#This Row],[Month Year]],'Modelling New'!D:D,'Modelling New'!$O:$O)*GA[[#This Row],[Lost POA (Wh/m2)]]*GA[[#This Row],[DC Capacity Affceted (kW)]])/1000,"")</f>
        <v/>
      </c>
      <c r="AE382" s="2"/>
    </row>
    <row r="383" spans="1:31">
      <c r="A383" s="2">
        <f t="shared" si="28"/>
        <v>381</v>
      </c>
      <c r="B383" s="156">
        <f t="shared" si="26"/>
        <v>1900</v>
      </c>
      <c r="C383" s="129">
        <f t="shared" si="27"/>
        <v>1900</v>
      </c>
      <c r="I383" s="31" t="str">
        <f>IFERROR(VLOOKUP(GA[[#This Row],[Date]],Raw_Data[[#All],[Date]:[Sunset Time (POA&lt;20 W/m2)]],3,0),"")</f>
        <v/>
      </c>
      <c r="J383" s="31" t="str">
        <f>IFERROR(VLOOKUP(GA[[#This Row],[Date]],Raw_Data[[#All],[Date]:[Sunset Time (POA&lt;20 W/m2)]],4,0),"")</f>
        <v/>
      </c>
      <c r="K383" s="30" t="str">
        <f>IFERROR((GA[[#This Row],[Sunset Time (POA&lt;20 W/m2)]]-GA[[#This Row],[Sunrise Time (POA&gt;20 W/m2)]])*24,"")</f>
        <v/>
      </c>
      <c r="M383" s="17" t="str">
        <f>IFERROR(VLOOKUP(GA[[#This Row],[Affceted Equipment]],'Basic Data'!$A$1:$B$113,2,0),"")</f>
        <v/>
      </c>
      <c r="P383" s="28" t="str">
        <f>IFERROR(VLOOKUP(GA[[#This Row],[Affceted Equipment]],'Basic Data'!$A$2:$C$118,3,0),"")</f>
        <v/>
      </c>
      <c r="Q383" s="2"/>
      <c r="W383" s="34"/>
      <c r="X383" s="35"/>
      <c r="Y383" s="35"/>
      <c r="Z383" s="2"/>
      <c r="AA383" s="2"/>
      <c r="AB383" s="2" t="str">
        <f>IFERROR(GA[[#This Row],[Plant Equivalent Weightage]]*GA[[#This Row],[Resolution Time]],"")</f>
        <v/>
      </c>
      <c r="AC383" s="2"/>
      <c r="AD383" s="32" t="str">
        <f>IFERROR((_xlfn.XLOOKUP(GA[[#This Row],[Month Year]],'Modelling New'!D:D,'Modelling New'!$O:$O)*GA[[#This Row],[Lost POA (Wh/m2)]]*GA[[#This Row],[DC Capacity Affceted (kW)]])/1000,"")</f>
        <v/>
      </c>
      <c r="AE383" s="2"/>
    </row>
    <row r="384" spans="1:31">
      <c r="A384" s="2">
        <f t="shared" si="28"/>
        <v>382</v>
      </c>
      <c r="B384" s="156">
        <f t="shared" si="26"/>
        <v>1900</v>
      </c>
      <c r="C384" s="129">
        <f t="shared" si="27"/>
        <v>1900</v>
      </c>
      <c r="I384" s="31" t="str">
        <f>IFERROR(VLOOKUP(GA[[#This Row],[Date]],Raw_Data[[#All],[Date]:[Sunset Time (POA&lt;20 W/m2)]],3,0),"")</f>
        <v/>
      </c>
      <c r="J384" s="31" t="str">
        <f>IFERROR(VLOOKUP(GA[[#This Row],[Date]],Raw_Data[[#All],[Date]:[Sunset Time (POA&lt;20 W/m2)]],4,0),"")</f>
        <v/>
      </c>
      <c r="K384" s="30" t="str">
        <f>IFERROR((GA[[#This Row],[Sunset Time (POA&lt;20 W/m2)]]-GA[[#This Row],[Sunrise Time (POA&gt;20 W/m2)]])*24,"")</f>
        <v/>
      </c>
      <c r="M384" s="17" t="str">
        <f>IFERROR(VLOOKUP(GA[[#This Row],[Affceted Equipment]],'Basic Data'!$A$1:$B$113,2,0),"")</f>
        <v/>
      </c>
      <c r="P384" s="28" t="str">
        <f>IFERROR(VLOOKUP(GA[[#This Row],[Affceted Equipment]],'Basic Data'!$A$2:$C$118,3,0),"")</f>
        <v/>
      </c>
      <c r="Q384" s="2"/>
      <c r="W384" s="34"/>
      <c r="X384" s="35"/>
      <c r="Y384" s="35"/>
      <c r="Z384" s="2"/>
      <c r="AA384" s="2"/>
      <c r="AB384" s="2" t="str">
        <f>IFERROR(GA[[#This Row],[Plant Equivalent Weightage]]*GA[[#This Row],[Resolution Time]],"")</f>
        <v/>
      </c>
      <c r="AC384" s="2"/>
      <c r="AD384" s="32" t="str">
        <f>IFERROR((_xlfn.XLOOKUP(GA[[#This Row],[Month Year]],'Modelling New'!D:D,'Modelling New'!$O:$O)*GA[[#This Row],[Lost POA (Wh/m2)]]*GA[[#This Row],[DC Capacity Affceted (kW)]])/1000,"")</f>
        <v/>
      </c>
      <c r="AE384" s="2"/>
    </row>
    <row r="385" spans="1:31">
      <c r="A385" s="2">
        <f t="shared" si="28"/>
        <v>383</v>
      </c>
      <c r="B385" s="156">
        <f t="shared" si="26"/>
        <v>1900</v>
      </c>
      <c r="C385" s="129">
        <f t="shared" si="27"/>
        <v>1900</v>
      </c>
      <c r="I385" s="31" t="str">
        <f>IFERROR(VLOOKUP(GA[[#This Row],[Date]],Raw_Data[[#All],[Date]:[Sunset Time (POA&lt;20 W/m2)]],3,0),"")</f>
        <v/>
      </c>
      <c r="J385" s="31" t="str">
        <f>IFERROR(VLOOKUP(GA[[#This Row],[Date]],Raw_Data[[#All],[Date]:[Sunset Time (POA&lt;20 W/m2)]],4,0),"")</f>
        <v/>
      </c>
      <c r="K385" s="30" t="str">
        <f>IFERROR((GA[[#This Row],[Sunset Time (POA&lt;20 W/m2)]]-GA[[#This Row],[Sunrise Time (POA&gt;20 W/m2)]])*24,"")</f>
        <v/>
      </c>
      <c r="M385" s="17" t="str">
        <f>IFERROR(VLOOKUP(GA[[#This Row],[Affceted Equipment]],'Basic Data'!$A$1:$B$113,2,0),"")</f>
        <v/>
      </c>
      <c r="P385" s="28" t="str">
        <f>IFERROR(VLOOKUP(GA[[#This Row],[Affceted Equipment]],'Basic Data'!$A$2:$C$118,3,0),"")</f>
        <v/>
      </c>
      <c r="Q385" s="2"/>
      <c r="W385" s="34"/>
      <c r="X385" s="35"/>
      <c r="Y385" s="35"/>
      <c r="Z385" s="2"/>
      <c r="AA385" s="2"/>
      <c r="AB385" s="2" t="str">
        <f>IFERROR(GA[[#This Row],[Plant Equivalent Weightage]]*GA[[#This Row],[Resolution Time]],"")</f>
        <v/>
      </c>
      <c r="AC385" s="2"/>
      <c r="AD385" s="32" t="str">
        <f>IFERROR((_xlfn.XLOOKUP(GA[[#This Row],[Month Year]],'Modelling New'!D:D,'Modelling New'!$O:$O)*GA[[#This Row],[Lost POA (Wh/m2)]]*GA[[#This Row],[DC Capacity Affceted (kW)]])/1000,"")</f>
        <v/>
      </c>
      <c r="AE385" s="2"/>
    </row>
    <row r="386" spans="1:31">
      <c r="A386" s="2">
        <f t="shared" si="28"/>
        <v>384</v>
      </c>
      <c r="B386" s="156">
        <f t="shared" si="26"/>
        <v>1900</v>
      </c>
      <c r="C386" s="129">
        <f t="shared" si="27"/>
        <v>1900</v>
      </c>
      <c r="I386" s="31" t="str">
        <f>IFERROR(VLOOKUP(GA[[#This Row],[Date]],Raw_Data[[#All],[Date]:[Sunset Time (POA&lt;20 W/m2)]],3,0),"")</f>
        <v/>
      </c>
      <c r="J386" s="31" t="str">
        <f>IFERROR(VLOOKUP(GA[[#This Row],[Date]],Raw_Data[[#All],[Date]:[Sunset Time (POA&lt;20 W/m2)]],4,0),"")</f>
        <v/>
      </c>
      <c r="K386" s="30" t="str">
        <f>IFERROR((GA[[#This Row],[Sunset Time (POA&lt;20 W/m2)]]-GA[[#This Row],[Sunrise Time (POA&gt;20 W/m2)]])*24,"")</f>
        <v/>
      </c>
      <c r="M386" s="17" t="str">
        <f>IFERROR(VLOOKUP(GA[[#This Row],[Affceted Equipment]],'Basic Data'!$A$1:$B$113,2,0),"")</f>
        <v/>
      </c>
      <c r="P386" s="28" t="str">
        <f>IFERROR(VLOOKUP(GA[[#This Row],[Affceted Equipment]],'Basic Data'!$A$2:$C$118,3,0),"")</f>
        <v/>
      </c>
      <c r="Q386" s="2"/>
      <c r="W386" s="34"/>
      <c r="X386" s="35"/>
      <c r="Y386" s="35"/>
      <c r="Z386" s="2"/>
      <c r="AA386" s="2"/>
      <c r="AB386" s="2" t="str">
        <f>IFERROR(GA[[#This Row],[Plant Equivalent Weightage]]*GA[[#This Row],[Resolution Time]],"")</f>
        <v/>
      </c>
      <c r="AC386" s="2"/>
      <c r="AD386" s="32" t="str">
        <f>IFERROR((_xlfn.XLOOKUP(GA[[#This Row],[Month Year]],'Modelling New'!D:D,'Modelling New'!$O:$O)*GA[[#This Row],[Lost POA (Wh/m2)]]*GA[[#This Row],[DC Capacity Affceted (kW)]])/1000,"")</f>
        <v/>
      </c>
      <c r="AE386" s="2"/>
    </row>
    <row r="387" spans="1:31">
      <c r="A387" s="2">
        <f t="shared" si="28"/>
        <v>385</v>
      </c>
      <c r="B387" s="156">
        <f t="shared" si="26"/>
        <v>1900</v>
      </c>
      <c r="C387" s="129">
        <f t="shared" si="27"/>
        <v>1900</v>
      </c>
      <c r="I387" s="31" t="str">
        <f>IFERROR(VLOOKUP(GA[[#This Row],[Date]],Raw_Data[[#All],[Date]:[Sunset Time (POA&lt;20 W/m2)]],3,0),"")</f>
        <v/>
      </c>
      <c r="J387" s="31" t="str">
        <f>IFERROR(VLOOKUP(GA[[#This Row],[Date]],Raw_Data[[#All],[Date]:[Sunset Time (POA&lt;20 W/m2)]],4,0),"")</f>
        <v/>
      </c>
      <c r="K387" s="30" t="str">
        <f>IFERROR((GA[[#This Row],[Sunset Time (POA&lt;20 W/m2)]]-GA[[#This Row],[Sunrise Time (POA&gt;20 W/m2)]])*24,"")</f>
        <v/>
      </c>
      <c r="M387" s="17" t="str">
        <f>IFERROR(VLOOKUP(GA[[#This Row],[Affceted Equipment]],'Basic Data'!$A$1:$B$113,2,0),"")</f>
        <v/>
      </c>
      <c r="P387" s="28" t="str">
        <f>IFERROR(VLOOKUP(GA[[#This Row],[Affceted Equipment]],'Basic Data'!$A$2:$C$118,3,0),"")</f>
        <v/>
      </c>
      <c r="Q387" s="2"/>
      <c r="W387" s="34"/>
      <c r="X387" s="35"/>
      <c r="Y387" s="35"/>
      <c r="Z387" s="2"/>
      <c r="AA387" s="2"/>
      <c r="AB387" s="2" t="str">
        <f>IFERROR(GA[[#This Row],[Plant Equivalent Weightage]]*GA[[#This Row],[Resolution Time]],"")</f>
        <v/>
      </c>
      <c r="AC387" s="2"/>
      <c r="AD387" s="32" t="str">
        <f>IFERROR((_xlfn.XLOOKUP(GA[[#This Row],[Month Year]],'Modelling New'!D:D,'Modelling New'!$O:$O)*GA[[#This Row],[Lost POA (Wh/m2)]]*GA[[#This Row],[DC Capacity Affceted (kW)]])/1000,"")</f>
        <v/>
      </c>
      <c r="AE387" s="2"/>
    </row>
    <row r="388" spans="1:31">
      <c r="A388" s="2">
        <f t="shared" si="28"/>
        <v>386</v>
      </c>
      <c r="B388" s="156">
        <f t="shared" ref="B388:B451" si="29">YEAR(H388)+IF(MONTH(H388)&gt;=4,1,0)</f>
        <v>1900</v>
      </c>
      <c r="C388" s="129">
        <f t="shared" ref="C388:C451" si="30">YEAR(H388)</f>
        <v>1900</v>
      </c>
      <c r="I388" s="31" t="str">
        <f>IFERROR(VLOOKUP(GA[[#This Row],[Date]],Raw_Data[[#All],[Date]:[Sunset Time (POA&lt;20 W/m2)]],3,0),"")</f>
        <v/>
      </c>
      <c r="J388" s="31" t="str">
        <f>IFERROR(VLOOKUP(GA[[#This Row],[Date]],Raw_Data[[#All],[Date]:[Sunset Time (POA&lt;20 W/m2)]],4,0),"")</f>
        <v/>
      </c>
      <c r="K388" s="30" t="str">
        <f>IFERROR((GA[[#This Row],[Sunset Time (POA&lt;20 W/m2)]]-GA[[#This Row],[Sunrise Time (POA&gt;20 W/m2)]])*24,"")</f>
        <v/>
      </c>
      <c r="M388" s="17" t="str">
        <f>IFERROR(VLOOKUP(GA[[#This Row],[Affceted Equipment]],'Basic Data'!$A$1:$B$113,2,0),"")</f>
        <v/>
      </c>
      <c r="P388" s="28" t="str">
        <f>IFERROR(VLOOKUP(GA[[#This Row],[Affceted Equipment]],'Basic Data'!$A$2:$C$118,3,0),"")</f>
        <v/>
      </c>
      <c r="Q388" s="2"/>
      <c r="W388" s="34"/>
      <c r="X388" s="35"/>
      <c r="Y388" s="35"/>
      <c r="Z388" s="2"/>
      <c r="AA388" s="2"/>
      <c r="AB388" s="2" t="str">
        <f>IFERROR(GA[[#This Row],[Plant Equivalent Weightage]]*GA[[#This Row],[Resolution Time]],"")</f>
        <v/>
      </c>
      <c r="AC388" s="2"/>
      <c r="AD388" s="32" t="str">
        <f>IFERROR((_xlfn.XLOOKUP(GA[[#This Row],[Month Year]],'Modelling New'!D:D,'Modelling New'!$O:$O)*GA[[#This Row],[Lost POA (Wh/m2)]]*GA[[#This Row],[DC Capacity Affceted (kW)]])/1000,"")</f>
        <v/>
      </c>
      <c r="AE388" s="2"/>
    </row>
    <row r="389" spans="1:31">
      <c r="A389" s="2">
        <f t="shared" si="28"/>
        <v>387</v>
      </c>
      <c r="B389" s="156">
        <f t="shared" si="29"/>
        <v>1900</v>
      </c>
      <c r="C389" s="129">
        <f t="shared" si="30"/>
        <v>1900</v>
      </c>
      <c r="I389" s="31" t="str">
        <f>IFERROR(VLOOKUP(GA[[#This Row],[Date]],Raw_Data[[#All],[Date]:[Sunset Time (POA&lt;20 W/m2)]],3,0),"")</f>
        <v/>
      </c>
      <c r="J389" s="31" t="str">
        <f>IFERROR(VLOOKUP(GA[[#This Row],[Date]],Raw_Data[[#All],[Date]:[Sunset Time (POA&lt;20 W/m2)]],4,0),"")</f>
        <v/>
      </c>
      <c r="K389" s="30" t="str">
        <f>IFERROR((GA[[#This Row],[Sunset Time (POA&lt;20 W/m2)]]-GA[[#This Row],[Sunrise Time (POA&gt;20 W/m2)]])*24,"")</f>
        <v/>
      </c>
      <c r="M389" s="17" t="str">
        <f>IFERROR(VLOOKUP(GA[[#This Row],[Affceted Equipment]],'Basic Data'!$A$1:$B$113,2,0),"")</f>
        <v/>
      </c>
      <c r="P389" s="28" t="str">
        <f>IFERROR(VLOOKUP(GA[[#This Row],[Affceted Equipment]],'Basic Data'!$A$2:$C$118,3,0),"")</f>
        <v/>
      </c>
      <c r="Q389" s="2"/>
      <c r="W389" s="34"/>
      <c r="X389" s="35"/>
      <c r="Y389" s="35"/>
      <c r="Z389" s="2"/>
      <c r="AA389" s="2"/>
      <c r="AB389" s="2" t="str">
        <f>IFERROR(GA[[#This Row],[Plant Equivalent Weightage]]*GA[[#This Row],[Resolution Time]],"")</f>
        <v/>
      </c>
      <c r="AC389" s="2"/>
      <c r="AD389" s="32" t="str">
        <f>IFERROR((_xlfn.XLOOKUP(GA[[#This Row],[Month Year]],'Modelling New'!D:D,'Modelling New'!$O:$O)*GA[[#This Row],[Lost POA (Wh/m2)]]*GA[[#This Row],[DC Capacity Affceted (kW)]])/1000,"")</f>
        <v/>
      </c>
      <c r="AE389" s="2"/>
    </row>
    <row r="390" spans="1:31">
      <c r="A390" s="2">
        <f t="shared" si="28"/>
        <v>388</v>
      </c>
      <c r="B390" s="156">
        <f t="shared" si="29"/>
        <v>1900</v>
      </c>
      <c r="C390" s="129">
        <f t="shared" si="30"/>
        <v>1900</v>
      </c>
      <c r="I390" s="31" t="str">
        <f>IFERROR(VLOOKUP(GA[[#This Row],[Date]],Raw_Data[[#All],[Date]:[Sunset Time (POA&lt;20 W/m2)]],3,0),"")</f>
        <v/>
      </c>
      <c r="J390" s="31" t="str">
        <f>IFERROR(VLOOKUP(GA[[#This Row],[Date]],Raw_Data[[#All],[Date]:[Sunset Time (POA&lt;20 W/m2)]],4,0),"")</f>
        <v/>
      </c>
      <c r="K390" s="30" t="str">
        <f>IFERROR((GA[[#This Row],[Sunset Time (POA&lt;20 W/m2)]]-GA[[#This Row],[Sunrise Time (POA&gt;20 W/m2)]])*24,"")</f>
        <v/>
      </c>
      <c r="M390" s="17" t="str">
        <f>IFERROR(VLOOKUP(GA[[#This Row],[Affceted Equipment]],'Basic Data'!$A$1:$B$113,2,0),"")</f>
        <v/>
      </c>
      <c r="P390" s="28" t="str">
        <f>IFERROR(VLOOKUP(GA[[#This Row],[Affceted Equipment]],'Basic Data'!$A$2:$C$118,3,0),"")</f>
        <v/>
      </c>
      <c r="Q390" s="2"/>
      <c r="W390" s="34"/>
      <c r="X390" s="35"/>
      <c r="Y390" s="35"/>
      <c r="Z390" s="2"/>
      <c r="AA390" s="2"/>
      <c r="AB390" s="2" t="str">
        <f>IFERROR(GA[[#This Row],[Plant Equivalent Weightage]]*GA[[#This Row],[Resolution Time]],"")</f>
        <v/>
      </c>
      <c r="AC390" s="2"/>
      <c r="AD390" s="32" t="str">
        <f>IFERROR((_xlfn.XLOOKUP(GA[[#This Row],[Month Year]],'Modelling New'!D:D,'Modelling New'!$O:$O)*GA[[#This Row],[Lost POA (Wh/m2)]]*GA[[#This Row],[DC Capacity Affceted (kW)]])/1000,"")</f>
        <v/>
      </c>
      <c r="AE390" s="2"/>
    </row>
    <row r="391" spans="1:31">
      <c r="A391" s="2">
        <f t="shared" si="28"/>
        <v>389</v>
      </c>
      <c r="B391" s="156">
        <f t="shared" si="29"/>
        <v>1900</v>
      </c>
      <c r="C391" s="129">
        <f t="shared" si="30"/>
        <v>1900</v>
      </c>
      <c r="I391" s="31" t="str">
        <f>IFERROR(VLOOKUP(GA[[#This Row],[Date]],Raw_Data[[#All],[Date]:[Sunset Time (POA&lt;20 W/m2)]],3,0),"")</f>
        <v/>
      </c>
      <c r="J391" s="31" t="str">
        <f>IFERROR(VLOOKUP(GA[[#This Row],[Date]],Raw_Data[[#All],[Date]:[Sunset Time (POA&lt;20 W/m2)]],4,0),"")</f>
        <v/>
      </c>
      <c r="K391" s="30" t="str">
        <f>IFERROR((GA[[#This Row],[Sunset Time (POA&lt;20 W/m2)]]-GA[[#This Row],[Sunrise Time (POA&gt;20 W/m2)]])*24,"")</f>
        <v/>
      </c>
      <c r="M391" s="17" t="str">
        <f>IFERROR(VLOOKUP(GA[[#This Row],[Affceted Equipment]],'Basic Data'!$A$1:$B$113,2,0),"")</f>
        <v/>
      </c>
      <c r="P391" s="28" t="str">
        <f>IFERROR(VLOOKUP(GA[[#This Row],[Affceted Equipment]],'Basic Data'!$A$2:$C$118,3,0),"")</f>
        <v/>
      </c>
      <c r="Q391" s="2"/>
      <c r="W391" s="34"/>
      <c r="X391" s="35"/>
      <c r="Y391" s="35"/>
      <c r="Z391" s="2"/>
      <c r="AA391" s="2"/>
      <c r="AB391" s="2" t="str">
        <f>IFERROR(GA[[#This Row],[Plant Equivalent Weightage]]*GA[[#This Row],[Resolution Time]],"")</f>
        <v/>
      </c>
      <c r="AC391" s="2"/>
      <c r="AD391" s="32" t="str">
        <f>IFERROR((_xlfn.XLOOKUP(GA[[#This Row],[Month Year]],'Modelling New'!D:D,'Modelling New'!$O:$O)*GA[[#This Row],[Lost POA (Wh/m2)]]*GA[[#This Row],[DC Capacity Affceted (kW)]])/1000,"")</f>
        <v/>
      </c>
      <c r="AE391" s="2"/>
    </row>
    <row r="392" spans="1:31">
      <c r="A392" s="2">
        <f t="shared" si="28"/>
        <v>390</v>
      </c>
      <c r="B392" s="156">
        <f t="shared" si="29"/>
        <v>1900</v>
      </c>
      <c r="C392" s="129">
        <f t="shared" si="30"/>
        <v>1900</v>
      </c>
      <c r="I392" s="31" t="str">
        <f>IFERROR(VLOOKUP(GA[[#This Row],[Date]],Raw_Data[[#All],[Date]:[Sunset Time (POA&lt;20 W/m2)]],3,0),"")</f>
        <v/>
      </c>
      <c r="J392" s="31" t="str">
        <f>IFERROR(VLOOKUP(GA[[#This Row],[Date]],Raw_Data[[#All],[Date]:[Sunset Time (POA&lt;20 W/m2)]],4,0),"")</f>
        <v/>
      </c>
      <c r="K392" s="30" t="str">
        <f>IFERROR((GA[[#This Row],[Sunset Time (POA&lt;20 W/m2)]]-GA[[#This Row],[Sunrise Time (POA&gt;20 W/m2)]])*24,"")</f>
        <v/>
      </c>
      <c r="M392" s="17" t="str">
        <f>IFERROR(VLOOKUP(GA[[#This Row],[Affceted Equipment]],'Basic Data'!$A$1:$B$113,2,0),"")</f>
        <v/>
      </c>
      <c r="P392" s="28" t="str">
        <f>IFERROR(VLOOKUP(GA[[#This Row],[Affceted Equipment]],'Basic Data'!$A$2:$C$118,3,0),"")</f>
        <v/>
      </c>
      <c r="Q392" s="2"/>
      <c r="W392" s="34"/>
      <c r="X392" s="35"/>
      <c r="Y392" s="35"/>
      <c r="Z392" s="2"/>
      <c r="AA392" s="2"/>
      <c r="AB392" s="2" t="str">
        <f>IFERROR(GA[[#This Row],[Plant Equivalent Weightage]]*GA[[#This Row],[Resolution Time]],"")</f>
        <v/>
      </c>
      <c r="AC392" s="2"/>
      <c r="AD392" s="32" t="str">
        <f>IFERROR((_xlfn.XLOOKUP(GA[[#This Row],[Month Year]],'Modelling New'!D:D,'Modelling New'!$O:$O)*GA[[#This Row],[Lost POA (Wh/m2)]]*GA[[#This Row],[DC Capacity Affceted (kW)]])/1000,"")</f>
        <v/>
      </c>
      <c r="AE392" s="2"/>
    </row>
    <row r="393" spans="1:31">
      <c r="A393" s="2">
        <f t="shared" si="28"/>
        <v>391</v>
      </c>
      <c r="B393" s="156">
        <f t="shared" si="29"/>
        <v>1900</v>
      </c>
      <c r="C393" s="129">
        <f t="shared" si="30"/>
        <v>1900</v>
      </c>
      <c r="I393" s="31" t="str">
        <f>IFERROR(VLOOKUP(GA[[#This Row],[Date]],Raw_Data[[#All],[Date]:[Sunset Time (POA&lt;20 W/m2)]],3,0),"")</f>
        <v/>
      </c>
      <c r="J393" s="31" t="str">
        <f>IFERROR(VLOOKUP(GA[[#This Row],[Date]],Raw_Data[[#All],[Date]:[Sunset Time (POA&lt;20 W/m2)]],4,0),"")</f>
        <v/>
      </c>
      <c r="K393" s="30" t="str">
        <f>IFERROR((GA[[#This Row],[Sunset Time (POA&lt;20 W/m2)]]-GA[[#This Row],[Sunrise Time (POA&gt;20 W/m2)]])*24,"")</f>
        <v/>
      </c>
      <c r="M393" s="17" t="str">
        <f>IFERROR(VLOOKUP(GA[[#This Row],[Affceted Equipment]],'Basic Data'!$A$1:$B$113,2,0),"")</f>
        <v/>
      </c>
      <c r="P393" s="28" t="str">
        <f>IFERROR(VLOOKUP(GA[[#This Row],[Affceted Equipment]],'Basic Data'!$A$2:$C$118,3,0),"")</f>
        <v/>
      </c>
      <c r="Q393" s="2"/>
      <c r="W393" s="34"/>
      <c r="X393" s="35"/>
      <c r="Y393" s="35"/>
      <c r="Z393" s="2"/>
      <c r="AA393" s="2"/>
      <c r="AB393" s="2" t="str">
        <f>IFERROR(GA[[#This Row],[Plant Equivalent Weightage]]*GA[[#This Row],[Resolution Time]],"")</f>
        <v/>
      </c>
      <c r="AC393" s="2"/>
      <c r="AD393" s="32" t="str">
        <f>IFERROR((_xlfn.XLOOKUP(GA[[#This Row],[Month Year]],'Modelling New'!D:D,'Modelling New'!$O:$O)*GA[[#This Row],[Lost POA (Wh/m2)]]*GA[[#This Row],[DC Capacity Affceted (kW)]])/1000,"")</f>
        <v/>
      </c>
      <c r="AE393" s="2"/>
    </row>
    <row r="394" spans="1:31">
      <c r="A394" s="2">
        <f t="shared" si="28"/>
        <v>392</v>
      </c>
      <c r="B394" s="156">
        <f t="shared" si="29"/>
        <v>1900</v>
      </c>
      <c r="C394" s="129">
        <f t="shared" si="30"/>
        <v>1900</v>
      </c>
      <c r="I394" s="31" t="str">
        <f>IFERROR(VLOOKUP(GA[[#This Row],[Date]],Raw_Data[[#All],[Date]:[Sunset Time (POA&lt;20 W/m2)]],3,0),"")</f>
        <v/>
      </c>
      <c r="J394" s="31" t="str">
        <f>IFERROR(VLOOKUP(GA[[#This Row],[Date]],Raw_Data[[#All],[Date]:[Sunset Time (POA&lt;20 W/m2)]],4,0),"")</f>
        <v/>
      </c>
      <c r="K394" s="30" t="str">
        <f>IFERROR((GA[[#This Row],[Sunset Time (POA&lt;20 W/m2)]]-GA[[#This Row],[Sunrise Time (POA&gt;20 W/m2)]])*24,"")</f>
        <v/>
      </c>
      <c r="M394" s="17" t="str">
        <f>IFERROR(VLOOKUP(GA[[#This Row],[Affceted Equipment]],'Basic Data'!$A$1:$B$113,2,0),"")</f>
        <v/>
      </c>
      <c r="P394" s="28" t="str">
        <f>IFERROR(VLOOKUP(GA[[#This Row],[Affceted Equipment]],'Basic Data'!$A$2:$C$118,3,0),"")</f>
        <v/>
      </c>
      <c r="Q394" s="2"/>
      <c r="W394" s="34"/>
      <c r="X394" s="35"/>
      <c r="Y394" s="35"/>
      <c r="Z394" s="2"/>
      <c r="AA394" s="2"/>
      <c r="AB394" s="2" t="str">
        <f>IFERROR(GA[[#This Row],[Plant Equivalent Weightage]]*GA[[#This Row],[Resolution Time]],"")</f>
        <v/>
      </c>
      <c r="AC394" s="2"/>
      <c r="AD394" s="32" t="str">
        <f>IFERROR((_xlfn.XLOOKUP(GA[[#This Row],[Month Year]],'Modelling New'!D:D,'Modelling New'!$O:$O)*GA[[#This Row],[Lost POA (Wh/m2)]]*GA[[#This Row],[DC Capacity Affceted (kW)]])/1000,"")</f>
        <v/>
      </c>
      <c r="AE394" s="2"/>
    </row>
    <row r="395" spans="1:31">
      <c r="A395" s="2">
        <f t="shared" si="28"/>
        <v>393</v>
      </c>
      <c r="B395" s="156">
        <f t="shared" si="29"/>
        <v>1900</v>
      </c>
      <c r="C395" s="129">
        <f t="shared" si="30"/>
        <v>1900</v>
      </c>
      <c r="I395" s="31" t="str">
        <f>IFERROR(VLOOKUP(GA[[#This Row],[Date]],Raw_Data[[#All],[Date]:[Sunset Time (POA&lt;20 W/m2)]],3,0),"")</f>
        <v/>
      </c>
      <c r="J395" s="31" t="str">
        <f>IFERROR(VLOOKUP(GA[[#This Row],[Date]],Raw_Data[[#All],[Date]:[Sunset Time (POA&lt;20 W/m2)]],4,0),"")</f>
        <v/>
      </c>
      <c r="K395" s="30" t="str">
        <f>IFERROR((GA[[#This Row],[Sunset Time (POA&lt;20 W/m2)]]-GA[[#This Row],[Sunrise Time (POA&gt;20 W/m2)]])*24,"")</f>
        <v/>
      </c>
      <c r="M395" s="17" t="str">
        <f>IFERROR(VLOOKUP(GA[[#This Row],[Affceted Equipment]],'Basic Data'!$A$1:$B$113,2,0),"")</f>
        <v/>
      </c>
      <c r="P395" s="28" t="str">
        <f>IFERROR(VLOOKUP(GA[[#This Row],[Affceted Equipment]],'Basic Data'!$A$2:$C$118,3,0),"")</f>
        <v/>
      </c>
      <c r="Q395" s="2"/>
      <c r="W395" s="34"/>
      <c r="X395" s="35"/>
      <c r="Y395" s="35"/>
      <c r="Z395" s="2"/>
      <c r="AA395" s="2"/>
      <c r="AB395" s="2" t="str">
        <f>IFERROR(GA[[#This Row],[Plant Equivalent Weightage]]*GA[[#This Row],[Resolution Time]],"")</f>
        <v/>
      </c>
      <c r="AC395" s="2"/>
      <c r="AD395" s="32" t="str">
        <f>IFERROR((_xlfn.XLOOKUP(GA[[#This Row],[Month Year]],'Modelling New'!D:D,'Modelling New'!$O:$O)*GA[[#This Row],[Lost POA (Wh/m2)]]*GA[[#This Row],[DC Capacity Affceted (kW)]])/1000,"")</f>
        <v/>
      </c>
      <c r="AE395" s="2"/>
    </row>
    <row r="396" spans="1:31">
      <c r="A396" s="2">
        <f t="shared" si="28"/>
        <v>394</v>
      </c>
      <c r="B396" s="156">
        <f t="shared" si="29"/>
        <v>1900</v>
      </c>
      <c r="C396" s="129">
        <f t="shared" si="30"/>
        <v>1900</v>
      </c>
      <c r="I396" s="31" t="str">
        <f>IFERROR(VLOOKUP(GA[[#This Row],[Date]],Raw_Data[[#All],[Date]:[Sunset Time (POA&lt;20 W/m2)]],3,0),"")</f>
        <v/>
      </c>
      <c r="J396" s="31" t="str">
        <f>IFERROR(VLOOKUP(GA[[#This Row],[Date]],Raw_Data[[#All],[Date]:[Sunset Time (POA&lt;20 W/m2)]],4,0),"")</f>
        <v/>
      </c>
      <c r="K396" s="30" t="str">
        <f>IFERROR((GA[[#This Row],[Sunset Time (POA&lt;20 W/m2)]]-GA[[#This Row],[Sunrise Time (POA&gt;20 W/m2)]])*24,"")</f>
        <v/>
      </c>
      <c r="M396" s="17" t="str">
        <f>IFERROR(VLOOKUP(GA[[#This Row],[Affceted Equipment]],'Basic Data'!$A$1:$B$113,2,0),"")</f>
        <v/>
      </c>
      <c r="P396" s="28" t="str">
        <f>IFERROR(VLOOKUP(GA[[#This Row],[Affceted Equipment]],'Basic Data'!$A$2:$C$118,3,0),"")</f>
        <v/>
      </c>
      <c r="Q396" s="2"/>
      <c r="W396" s="34"/>
      <c r="X396" s="35"/>
      <c r="Y396" s="35"/>
      <c r="Z396" s="2"/>
      <c r="AA396" s="2"/>
      <c r="AB396" s="2" t="str">
        <f>IFERROR(GA[[#This Row],[Plant Equivalent Weightage]]*GA[[#This Row],[Resolution Time]],"")</f>
        <v/>
      </c>
      <c r="AC396" s="2"/>
      <c r="AD396" s="32" t="str">
        <f>IFERROR((_xlfn.XLOOKUP(GA[[#This Row],[Month Year]],'Modelling New'!D:D,'Modelling New'!$O:$O)*GA[[#This Row],[Lost POA (Wh/m2)]]*GA[[#This Row],[DC Capacity Affceted (kW)]])/1000,"")</f>
        <v/>
      </c>
      <c r="AE396" s="2"/>
    </row>
    <row r="397" spans="1:31">
      <c r="A397" s="2">
        <f t="shared" si="28"/>
        <v>395</v>
      </c>
      <c r="B397" s="156">
        <f t="shared" si="29"/>
        <v>1900</v>
      </c>
      <c r="C397" s="129">
        <f t="shared" si="30"/>
        <v>1900</v>
      </c>
      <c r="I397" s="31" t="str">
        <f>IFERROR(VLOOKUP(GA[[#This Row],[Date]],Raw_Data[[#All],[Date]:[Sunset Time (POA&lt;20 W/m2)]],3,0),"")</f>
        <v/>
      </c>
      <c r="J397" s="31" t="str">
        <f>IFERROR(VLOOKUP(GA[[#This Row],[Date]],Raw_Data[[#All],[Date]:[Sunset Time (POA&lt;20 W/m2)]],4,0),"")</f>
        <v/>
      </c>
      <c r="K397" s="30" t="str">
        <f>IFERROR((GA[[#This Row],[Sunset Time (POA&lt;20 W/m2)]]-GA[[#This Row],[Sunrise Time (POA&gt;20 W/m2)]])*24,"")</f>
        <v/>
      </c>
      <c r="M397" s="17" t="str">
        <f>IFERROR(VLOOKUP(GA[[#This Row],[Affceted Equipment]],'Basic Data'!$A$1:$B$113,2,0),"")</f>
        <v/>
      </c>
      <c r="P397" s="28" t="str">
        <f>IFERROR(VLOOKUP(GA[[#This Row],[Affceted Equipment]],'Basic Data'!$A$2:$C$118,3,0),"")</f>
        <v/>
      </c>
      <c r="Q397" s="2"/>
      <c r="W397" s="34"/>
      <c r="X397" s="35"/>
      <c r="Y397" s="35"/>
      <c r="Z397" s="2"/>
      <c r="AA397" s="2"/>
      <c r="AB397" s="2" t="str">
        <f>IFERROR(GA[[#This Row],[Plant Equivalent Weightage]]*GA[[#This Row],[Resolution Time]],"")</f>
        <v/>
      </c>
      <c r="AC397" s="2"/>
      <c r="AD397" s="32" t="str">
        <f>IFERROR((_xlfn.XLOOKUP(GA[[#This Row],[Month Year]],'Modelling New'!D:D,'Modelling New'!$O:$O)*GA[[#This Row],[Lost POA (Wh/m2)]]*GA[[#This Row],[DC Capacity Affceted (kW)]])/1000,"")</f>
        <v/>
      </c>
      <c r="AE397" s="2"/>
    </row>
    <row r="398" spans="1:31">
      <c r="A398" s="2">
        <f t="shared" si="28"/>
        <v>396</v>
      </c>
      <c r="B398" s="156">
        <f t="shared" si="29"/>
        <v>1900</v>
      </c>
      <c r="C398" s="129">
        <f t="shared" si="30"/>
        <v>1900</v>
      </c>
      <c r="I398" s="31" t="str">
        <f>IFERROR(VLOOKUP(GA[[#This Row],[Date]],Raw_Data[[#All],[Date]:[Sunset Time (POA&lt;20 W/m2)]],3,0),"")</f>
        <v/>
      </c>
      <c r="J398" s="31" t="str">
        <f>IFERROR(VLOOKUP(GA[[#This Row],[Date]],Raw_Data[[#All],[Date]:[Sunset Time (POA&lt;20 W/m2)]],4,0),"")</f>
        <v/>
      </c>
      <c r="K398" s="30" t="str">
        <f>IFERROR((GA[[#This Row],[Sunset Time (POA&lt;20 W/m2)]]-GA[[#This Row],[Sunrise Time (POA&gt;20 W/m2)]])*24,"")</f>
        <v/>
      </c>
      <c r="M398" s="17" t="str">
        <f>IFERROR(VLOOKUP(GA[[#This Row],[Affceted Equipment]],'Basic Data'!$A$1:$B$113,2,0),"")</f>
        <v/>
      </c>
      <c r="P398" s="28" t="str">
        <f>IFERROR(VLOOKUP(GA[[#This Row],[Affceted Equipment]],'Basic Data'!$A$2:$C$118,3,0),"")</f>
        <v/>
      </c>
      <c r="Q398" s="2"/>
      <c r="W398" s="34"/>
      <c r="X398" s="35"/>
      <c r="Y398" s="35"/>
      <c r="Z398" s="2"/>
      <c r="AA398" s="2"/>
      <c r="AB398" s="2" t="str">
        <f>IFERROR(GA[[#This Row],[Plant Equivalent Weightage]]*GA[[#This Row],[Resolution Time]],"")</f>
        <v/>
      </c>
      <c r="AC398" s="2"/>
      <c r="AD398" s="32" t="str">
        <f>IFERROR((_xlfn.XLOOKUP(GA[[#This Row],[Month Year]],'Modelling New'!D:D,'Modelling New'!$O:$O)*GA[[#This Row],[Lost POA (Wh/m2)]]*GA[[#This Row],[DC Capacity Affceted (kW)]])/1000,"")</f>
        <v/>
      </c>
      <c r="AE398" s="2"/>
    </row>
    <row r="399" spans="1:31">
      <c r="A399" s="2">
        <f t="shared" si="28"/>
        <v>397</v>
      </c>
      <c r="B399" s="156">
        <f t="shared" si="29"/>
        <v>1900</v>
      </c>
      <c r="C399" s="129">
        <f t="shared" si="30"/>
        <v>1900</v>
      </c>
      <c r="I399" s="31" t="str">
        <f>IFERROR(VLOOKUP(GA[[#This Row],[Date]],Raw_Data[[#All],[Date]:[Sunset Time (POA&lt;20 W/m2)]],3,0),"")</f>
        <v/>
      </c>
      <c r="J399" s="31" t="str">
        <f>IFERROR(VLOOKUP(GA[[#This Row],[Date]],Raw_Data[[#All],[Date]:[Sunset Time (POA&lt;20 W/m2)]],4,0),"")</f>
        <v/>
      </c>
      <c r="K399" s="30" t="str">
        <f>IFERROR((GA[[#This Row],[Sunset Time (POA&lt;20 W/m2)]]-GA[[#This Row],[Sunrise Time (POA&gt;20 W/m2)]])*24,"")</f>
        <v/>
      </c>
      <c r="M399" s="17" t="str">
        <f>IFERROR(VLOOKUP(GA[[#This Row],[Affceted Equipment]],'Basic Data'!$A$1:$B$113,2,0),"")</f>
        <v/>
      </c>
      <c r="P399" s="28" t="str">
        <f>IFERROR(VLOOKUP(GA[[#This Row],[Affceted Equipment]],'Basic Data'!$A$2:$C$118,3,0),"")</f>
        <v/>
      </c>
      <c r="Q399" s="2"/>
      <c r="W399" s="34"/>
      <c r="X399" s="35"/>
      <c r="Y399" s="35"/>
      <c r="Z399" s="2"/>
      <c r="AA399" s="2"/>
      <c r="AB399" s="2" t="str">
        <f>IFERROR(GA[[#This Row],[Plant Equivalent Weightage]]*GA[[#This Row],[Resolution Time]],"")</f>
        <v/>
      </c>
      <c r="AC399" s="2"/>
      <c r="AD399" s="32" t="str">
        <f>IFERROR((_xlfn.XLOOKUP(GA[[#This Row],[Month Year]],'Modelling New'!D:D,'Modelling New'!$O:$O)*GA[[#This Row],[Lost POA (Wh/m2)]]*GA[[#This Row],[DC Capacity Affceted (kW)]])/1000,"")</f>
        <v/>
      </c>
      <c r="AE399" s="2"/>
    </row>
    <row r="400" spans="1:31">
      <c r="A400" s="2">
        <f t="shared" si="28"/>
        <v>398</v>
      </c>
      <c r="B400" s="156">
        <f t="shared" si="29"/>
        <v>1900</v>
      </c>
      <c r="C400" s="129">
        <f t="shared" si="30"/>
        <v>1900</v>
      </c>
      <c r="I400" s="31" t="str">
        <f>IFERROR(VLOOKUP(GA[[#This Row],[Date]],Raw_Data[[#All],[Date]:[Sunset Time (POA&lt;20 W/m2)]],3,0),"")</f>
        <v/>
      </c>
      <c r="J400" s="31" t="str">
        <f>IFERROR(VLOOKUP(GA[[#This Row],[Date]],Raw_Data[[#All],[Date]:[Sunset Time (POA&lt;20 W/m2)]],4,0),"")</f>
        <v/>
      </c>
      <c r="K400" s="30" t="str">
        <f>IFERROR((GA[[#This Row],[Sunset Time (POA&lt;20 W/m2)]]-GA[[#This Row],[Sunrise Time (POA&gt;20 W/m2)]])*24,"")</f>
        <v/>
      </c>
      <c r="M400" s="17" t="str">
        <f>IFERROR(VLOOKUP(GA[[#This Row],[Affceted Equipment]],'Basic Data'!$A$1:$B$113,2,0),"")</f>
        <v/>
      </c>
      <c r="P400" s="28" t="str">
        <f>IFERROR(VLOOKUP(GA[[#This Row],[Affceted Equipment]],'Basic Data'!$A$2:$C$118,3,0),"")</f>
        <v/>
      </c>
      <c r="Q400" s="2"/>
      <c r="W400" s="34"/>
      <c r="X400" s="35"/>
      <c r="Y400" s="35"/>
      <c r="Z400" s="2"/>
      <c r="AA400" s="2"/>
      <c r="AB400" s="2" t="str">
        <f>IFERROR(GA[[#This Row],[Plant Equivalent Weightage]]*GA[[#This Row],[Resolution Time]],"")</f>
        <v/>
      </c>
      <c r="AC400" s="2"/>
      <c r="AD400" s="32" t="str">
        <f>IFERROR((_xlfn.XLOOKUP(GA[[#This Row],[Month Year]],'Modelling New'!D:D,'Modelling New'!$O:$O)*GA[[#This Row],[Lost POA (Wh/m2)]]*GA[[#This Row],[DC Capacity Affceted (kW)]])/1000,"")</f>
        <v/>
      </c>
      <c r="AE400" s="2"/>
    </row>
    <row r="401" spans="1:31">
      <c r="A401" s="2">
        <f t="shared" si="28"/>
        <v>399</v>
      </c>
      <c r="B401" s="156">
        <f t="shared" si="29"/>
        <v>1900</v>
      </c>
      <c r="C401" s="129">
        <f t="shared" si="30"/>
        <v>1900</v>
      </c>
      <c r="I401" s="31" t="str">
        <f>IFERROR(VLOOKUP(GA[[#This Row],[Date]],Raw_Data[[#All],[Date]:[Sunset Time (POA&lt;20 W/m2)]],3,0),"")</f>
        <v/>
      </c>
      <c r="J401" s="31" t="str">
        <f>IFERROR(VLOOKUP(GA[[#This Row],[Date]],Raw_Data[[#All],[Date]:[Sunset Time (POA&lt;20 W/m2)]],4,0),"")</f>
        <v/>
      </c>
      <c r="K401" s="30" t="str">
        <f>IFERROR((GA[[#This Row],[Sunset Time (POA&lt;20 W/m2)]]-GA[[#This Row],[Sunrise Time (POA&gt;20 W/m2)]])*24,"")</f>
        <v/>
      </c>
      <c r="M401" s="17" t="str">
        <f>IFERROR(VLOOKUP(GA[[#This Row],[Affceted Equipment]],'Basic Data'!$A$1:$B$113,2,0),"")</f>
        <v/>
      </c>
      <c r="P401" s="28" t="str">
        <f>IFERROR(VLOOKUP(GA[[#This Row],[Affceted Equipment]],'Basic Data'!$A$2:$C$118,3,0),"")</f>
        <v/>
      </c>
      <c r="Q401" s="2"/>
      <c r="W401" s="34"/>
      <c r="X401" s="35"/>
      <c r="Y401" s="35"/>
      <c r="Z401" s="2"/>
      <c r="AA401" s="2"/>
      <c r="AB401" s="2" t="str">
        <f>IFERROR(GA[[#This Row],[Plant Equivalent Weightage]]*GA[[#This Row],[Resolution Time]],"")</f>
        <v/>
      </c>
      <c r="AC401" s="2"/>
      <c r="AD401" s="32" t="str">
        <f>IFERROR((_xlfn.XLOOKUP(GA[[#This Row],[Month Year]],'Modelling New'!D:D,'Modelling New'!$O:$O)*GA[[#This Row],[Lost POA (Wh/m2)]]*GA[[#This Row],[DC Capacity Affceted (kW)]])/1000,"")</f>
        <v/>
      </c>
      <c r="AE401" s="2"/>
    </row>
    <row r="402" spans="1:31">
      <c r="A402" s="2">
        <f t="shared" si="28"/>
        <v>400</v>
      </c>
      <c r="B402" s="156">
        <f t="shared" si="29"/>
        <v>1900</v>
      </c>
      <c r="C402" s="129">
        <f t="shared" si="30"/>
        <v>1900</v>
      </c>
      <c r="I402" s="31" t="str">
        <f>IFERROR(VLOOKUP(GA[[#This Row],[Date]],Raw_Data[[#All],[Date]:[Sunset Time (POA&lt;20 W/m2)]],3,0),"")</f>
        <v/>
      </c>
      <c r="J402" s="31" t="str">
        <f>IFERROR(VLOOKUP(GA[[#This Row],[Date]],Raw_Data[[#All],[Date]:[Sunset Time (POA&lt;20 W/m2)]],4,0),"")</f>
        <v/>
      </c>
      <c r="K402" s="30" t="str">
        <f>IFERROR((GA[[#This Row],[Sunset Time (POA&lt;20 W/m2)]]-GA[[#This Row],[Sunrise Time (POA&gt;20 W/m2)]])*24,"")</f>
        <v/>
      </c>
      <c r="M402" s="17" t="str">
        <f>IFERROR(VLOOKUP(GA[[#This Row],[Affceted Equipment]],'Basic Data'!$A$1:$B$113,2,0),"")</f>
        <v/>
      </c>
      <c r="P402" s="28" t="str">
        <f>IFERROR(VLOOKUP(GA[[#This Row],[Affceted Equipment]],'Basic Data'!$A$2:$C$118,3,0),"")</f>
        <v/>
      </c>
      <c r="Q402" s="2"/>
      <c r="W402" s="34"/>
      <c r="X402" s="35"/>
      <c r="Y402" s="35"/>
      <c r="Z402" s="2"/>
      <c r="AA402" s="2"/>
      <c r="AB402" s="2" t="str">
        <f>IFERROR(GA[[#This Row],[Plant Equivalent Weightage]]*GA[[#This Row],[Resolution Time]],"")</f>
        <v/>
      </c>
      <c r="AC402" s="2"/>
      <c r="AD402" s="32" t="str">
        <f>IFERROR((_xlfn.XLOOKUP(GA[[#This Row],[Month Year]],'Modelling New'!D:D,'Modelling New'!$O:$O)*GA[[#This Row],[Lost POA (Wh/m2)]]*GA[[#This Row],[DC Capacity Affceted (kW)]])/1000,"")</f>
        <v/>
      </c>
      <c r="AE402" s="2"/>
    </row>
    <row r="403" spans="1:31">
      <c r="A403" s="2">
        <f t="shared" si="28"/>
        <v>401</v>
      </c>
      <c r="B403" s="156">
        <f t="shared" si="29"/>
        <v>1900</v>
      </c>
      <c r="C403" s="129">
        <f t="shared" si="30"/>
        <v>1900</v>
      </c>
      <c r="I403" s="31" t="str">
        <f>IFERROR(VLOOKUP(GA[[#This Row],[Date]],Raw_Data[[#All],[Date]:[Sunset Time (POA&lt;20 W/m2)]],3,0),"")</f>
        <v/>
      </c>
      <c r="J403" s="31" t="str">
        <f>IFERROR(VLOOKUP(GA[[#This Row],[Date]],Raw_Data[[#All],[Date]:[Sunset Time (POA&lt;20 W/m2)]],4,0),"")</f>
        <v/>
      </c>
      <c r="K403" s="30" t="str">
        <f>IFERROR((GA[[#This Row],[Sunset Time (POA&lt;20 W/m2)]]-GA[[#This Row],[Sunrise Time (POA&gt;20 W/m2)]])*24,"")</f>
        <v/>
      </c>
      <c r="M403" s="17" t="str">
        <f>IFERROR(VLOOKUP(GA[[#This Row],[Affceted Equipment]],'Basic Data'!$A$1:$B$113,2,0),"")</f>
        <v/>
      </c>
      <c r="P403" s="28" t="str">
        <f>IFERROR(VLOOKUP(GA[[#This Row],[Affceted Equipment]],'Basic Data'!$A$2:$C$118,3,0),"")</f>
        <v/>
      </c>
      <c r="Q403" s="2"/>
      <c r="W403" s="34"/>
      <c r="X403" s="35"/>
      <c r="Y403" s="35"/>
      <c r="Z403" s="2"/>
      <c r="AA403" s="2"/>
      <c r="AB403" s="2" t="str">
        <f>IFERROR(GA[[#This Row],[Plant Equivalent Weightage]]*GA[[#This Row],[Resolution Time]],"")</f>
        <v/>
      </c>
      <c r="AC403" s="2"/>
      <c r="AD403" s="32" t="str">
        <f>IFERROR((_xlfn.XLOOKUP(GA[[#This Row],[Month Year]],'Modelling New'!D:D,'Modelling New'!$O:$O)*GA[[#This Row],[Lost POA (Wh/m2)]]*GA[[#This Row],[DC Capacity Affceted (kW)]])/1000,"")</f>
        <v/>
      </c>
      <c r="AE403" s="2"/>
    </row>
    <row r="404" spans="1:31">
      <c r="A404" s="2">
        <f t="shared" si="28"/>
        <v>402</v>
      </c>
      <c r="B404" s="156">
        <f t="shared" si="29"/>
        <v>1900</v>
      </c>
      <c r="C404" s="129">
        <f t="shared" si="30"/>
        <v>1900</v>
      </c>
      <c r="I404" s="31" t="str">
        <f>IFERROR(VLOOKUP(GA[[#This Row],[Date]],Raw_Data[[#All],[Date]:[Sunset Time (POA&lt;20 W/m2)]],3,0),"")</f>
        <v/>
      </c>
      <c r="J404" s="31" t="str">
        <f>IFERROR(VLOOKUP(GA[[#This Row],[Date]],Raw_Data[[#All],[Date]:[Sunset Time (POA&lt;20 W/m2)]],4,0),"")</f>
        <v/>
      </c>
      <c r="K404" s="30" t="str">
        <f>IFERROR((GA[[#This Row],[Sunset Time (POA&lt;20 W/m2)]]-GA[[#This Row],[Sunrise Time (POA&gt;20 W/m2)]])*24,"")</f>
        <v/>
      </c>
      <c r="M404" s="17" t="str">
        <f>IFERROR(VLOOKUP(GA[[#This Row],[Affceted Equipment]],'Basic Data'!$A$1:$B$113,2,0),"")</f>
        <v/>
      </c>
      <c r="P404" s="28" t="str">
        <f>IFERROR(VLOOKUP(GA[[#This Row],[Affceted Equipment]],'Basic Data'!$A$2:$C$118,3,0),"")</f>
        <v/>
      </c>
      <c r="Q404" s="2"/>
      <c r="W404" s="34"/>
      <c r="X404" s="35"/>
      <c r="Y404" s="35"/>
      <c r="Z404" s="2"/>
      <c r="AA404" s="2"/>
      <c r="AB404" s="2" t="str">
        <f>IFERROR(GA[[#This Row],[Plant Equivalent Weightage]]*GA[[#This Row],[Resolution Time]],"")</f>
        <v/>
      </c>
      <c r="AC404" s="2"/>
      <c r="AD404" s="32" t="str">
        <f>IFERROR((_xlfn.XLOOKUP(GA[[#This Row],[Month Year]],'Modelling New'!D:D,'Modelling New'!$O:$O)*GA[[#This Row],[Lost POA (Wh/m2)]]*GA[[#This Row],[DC Capacity Affceted (kW)]])/1000,"")</f>
        <v/>
      </c>
      <c r="AE404" s="2"/>
    </row>
    <row r="405" spans="1:31">
      <c r="A405" s="2">
        <f t="shared" si="28"/>
        <v>403</v>
      </c>
      <c r="B405" s="156">
        <f t="shared" si="29"/>
        <v>1900</v>
      </c>
      <c r="C405" s="129">
        <f t="shared" si="30"/>
        <v>1900</v>
      </c>
      <c r="I405" s="31" t="str">
        <f>IFERROR(VLOOKUP(GA[[#This Row],[Date]],Raw_Data[[#All],[Date]:[Sunset Time (POA&lt;20 W/m2)]],3,0),"")</f>
        <v/>
      </c>
      <c r="J405" s="31" t="str">
        <f>IFERROR(VLOOKUP(GA[[#This Row],[Date]],Raw_Data[[#All],[Date]:[Sunset Time (POA&lt;20 W/m2)]],4,0),"")</f>
        <v/>
      </c>
      <c r="K405" s="30" t="str">
        <f>IFERROR((GA[[#This Row],[Sunset Time (POA&lt;20 W/m2)]]-GA[[#This Row],[Sunrise Time (POA&gt;20 W/m2)]])*24,"")</f>
        <v/>
      </c>
      <c r="M405" s="17" t="str">
        <f>IFERROR(VLOOKUP(GA[[#This Row],[Affceted Equipment]],'Basic Data'!$A$1:$B$113,2,0),"")</f>
        <v/>
      </c>
      <c r="P405" s="28" t="str">
        <f>IFERROR(VLOOKUP(GA[[#This Row],[Affceted Equipment]],'Basic Data'!$A$2:$C$118,3,0),"")</f>
        <v/>
      </c>
      <c r="Q405" s="2"/>
      <c r="W405" s="34"/>
      <c r="X405" s="35"/>
      <c r="Y405" s="35"/>
      <c r="Z405" s="2"/>
      <c r="AA405" s="2"/>
      <c r="AB405" s="2" t="str">
        <f>IFERROR(GA[[#This Row],[Plant Equivalent Weightage]]*GA[[#This Row],[Resolution Time]],"")</f>
        <v/>
      </c>
      <c r="AC405" s="2"/>
      <c r="AD405" s="32" t="str">
        <f>IFERROR((_xlfn.XLOOKUP(GA[[#This Row],[Month Year]],'Modelling New'!D:D,'Modelling New'!$O:$O)*GA[[#This Row],[Lost POA (Wh/m2)]]*GA[[#This Row],[DC Capacity Affceted (kW)]])/1000,"")</f>
        <v/>
      </c>
      <c r="AE405" s="2"/>
    </row>
    <row r="406" spans="1:31">
      <c r="A406" s="2">
        <f t="shared" si="28"/>
        <v>404</v>
      </c>
      <c r="B406" s="156">
        <f t="shared" si="29"/>
        <v>1900</v>
      </c>
      <c r="C406" s="129">
        <f t="shared" si="30"/>
        <v>1900</v>
      </c>
      <c r="I406" s="31" t="str">
        <f>IFERROR(VLOOKUP(GA[[#This Row],[Date]],Raw_Data[[#All],[Date]:[Sunset Time (POA&lt;20 W/m2)]],3,0),"")</f>
        <v/>
      </c>
      <c r="J406" s="31" t="str">
        <f>IFERROR(VLOOKUP(GA[[#This Row],[Date]],Raw_Data[[#All],[Date]:[Sunset Time (POA&lt;20 W/m2)]],4,0),"")</f>
        <v/>
      </c>
      <c r="K406" s="30" t="str">
        <f>IFERROR((GA[[#This Row],[Sunset Time (POA&lt;20 W/m2)]]-GA[[#This Row],[Sunrise Time (POA&gt;20 W/m2)]])*24,"")</f>
        <v/>
      </c>
      <c r="M406" s="17" t="str">
        <f>IFERROR(VLOOKUP(GA[[#This Row],[Affceted Equipment]],'Basic Data'!$A$1:$B$113,2,0),"")</f>
        <v/>
      </c>
      <c r="P406" s="28" t="str">
        <f>IFERROR(VLOOKUP(GA[[#This Row],[Affceted Equipment]],'Basic Data'!$A$2:$C$118,3,0),"")</f>
        <v/>
      </c>
      <c r="Q406" s="2"/>
      <c r="W406" s="34"/>
      <c r="X406" s="35"/>
      <c r="Y406" s="35"/>
      <c r="Z406" s="2"/>
      <c r="AA406" s="2"/>
      <c r="AB406" s="2" t="str">
        <f>IFERROR(GA[[#This Row],[Plant Equivalent Weightage]]*GA[[#This Row],[Resolution Time]],"")</f>
        <v/>
      </c>
      <c r="AC406" s="2"/>
      <c r="AD406" s="32" t="str">
        <f>IFERROR((_xlfn.XLOOKUP(GA[[#This Row],[Month Year]],'Modelling New'!D:D,'Modelling New'!$O:$O)*GA[[#This Row],[Lost POA (Wh/m2)]]*GA[[#This Row],[DC Capacity Affceted (kW)]])/1000,"")</f>
        <v/>
      </c>
      <c r="AE406" s="2"/>
    </row>
    <row r="407" spans="1:31">
      <c r="A407" s="2">
        <f t="shared" si="28"/>
        <v>405</v>
      </c>
      <c r="B407" s="156">
        <f t="shared" si="29"/>
        <v>1900</v>
      </c>
      <c r="C407" s="129">
        <f t="shared" si="30"/>
        <v>1900</v>
      </c>
      <c r="I407" s="31" t="str">
        <f>IFERROR(VLOOKUP(GA[[#This Row],[Date]],Raw_Data[[#All],[Date]:[Sunset Time (POA&lt;20 W/m2)]],3,0),"")</f>
        <v/>
      </c>
      <c r="J407" s="31" t="str">
        <f>IFERROR(VLOOKUP(GA[[#This Row],[Date]],Raw_Data[[#All],[Date]:[Sunset Time (POA&lt;20 W/m2)]],4,0),"")</f>
        <v/>
      </c>
      <c r="K407" s="30" t="str">
        <f>IFERROR((GA[[#This Row],[Sunset Time (POA&lt;20 W/m2)]]-GA[[#This Row],[Sunrise Time (POA&gt;20 W/m2)]])*24,"")</f>
        <v/>
      </c>
      <c r="M407" s="17" t="str">
        <f>IFERROR(VLOOKUP(GA[[#This Row],[Affceted Equipment]],'Basic Data'!$A$1:$B$113,2,0),"")</f>
        <v/>
      </c>
      <c r="P407" s="28" t="str">
        <f>IFERROR(VLOOKUP(GA[[#This Row],[Affceted Equipment]],'Basic Data'!$A$2:$C$118,3,0),"")</f>
        <v/>
      </c>
      <c r="Q407" s="2"/>
      <c r="W407" s="34"/>
      <c r="X407" s="35"/>
      <c r="Y407" s="35"/>
      <c r="Z407" s="2"/>
      <c r="AA407" s="2"/>
      <c r="AB407" s="2" t="str">
        <f>IFERROR(GA[[#This Row],[Plant Equivalent Weightage]]*GA[[#This Row],[Resolution Time]],"")</f>
        <v/>
      </c>
      <c r="AC407" s="2"/>
      <c r="AD407" s="32" t="str">
        <f>IFERROR((_xlfn.XLOOKUP(GA[[#This Row],[Month Year]],'Modelling New'!D:D,'Modelling New'!$O:$O)*GA[[#This Row],[Lost POA (Wh/m2)]]*GA[[#This Row],[DC Capacity Affceted (kW)]])/1000,"")</f>
        <v/>
      </c>
      <c r="AE407" s="2"/>
    </row>
    <row r="408" spans="1:31">
      <c r="A408" s="2">
        <f t="shared" si="28"/>
        <v>406</v>
      </c>
      <c r="B408" s="156">
        <f t="shared" si="29"/>
        <v>1900</v>
      </c>
      <c r="C408" s="129">
        <f t="shared" si="30"/>
        <v>1900</v>
      </c>
      <c r="I408" s="31" t="str">
        <f>IFERROR(VLOOKUP(GA[[#This Row],[Date]],Raw_Data[[#All],[Date]:[Sunset Time (POA&lt;20 W/m2)]],3,0),"")</f>
        <v/>
      </c>
      <c r="J408" s="31" t="str">
        <f>IFERROR(VLOOKUP(GA[[#This Row],[Date]],Raw_Data[[#All],[Date]:[Sunset Time (POA&lt;20 W/m2)]],4,0),"")</f>
        <v/>
      </c>
      <c r="K408" s="30" t="str">
        <f>IFERROR((GA[[#This Row],[Sunset Time (POA&lt;20 W/m2)]]-GA[[#This Row],[Sunrise Time (POA&gt;20 W/m2)]])*24,"")</f>
        <v/>
      </c>
      <c r="M408" s="17" t="str">
        <f>IFERROR(VLOOKUP(GA[[#This Row],[Affceted Equipment]],'Basic Data'!$A$1:$B$113,2,0),"")</f>
        <v/>
      </c>
      <c r="P408" s="28" t="str">
        <f>IFERROR(VLOOKUP(GA[[#This Row],[Affceted Equipment]],'Basic Data'!$A$2:$C$118,3,0),"")</f>
        <v/>
      </c>
      <c r="Q408" s="2"/>
      <c r="W408" s="34"/>
      <c r="X408" s="35"/>
      <c r="Y408" s="35"/>
      <c r="Z408" s="2"/>
      <c r="AA408" s="2"/>
      <c r="AB408" s="2" t="str">
        <f>IFERROR(GA[[#This Row],[Plant Equivalent Weightage]]*GA[[#This Row],[Resolution Time]],"")</f>
        <v/>
      </c>
      <c r="AC408" s="2"/>
      <c r="AD408" s="32" t="str">
        <f>IFERROR((_xlfn.XLOOKUP(GA[[#This Row],[Month Year]],'Modelling New'!D:D,'Modelling New'!$O:$O)*GA[[#This Row],[Lost POA (Wh/m2)]]*GA[[#This Row],[DC Capacity Affceted (kW)]])/1000,"")</f>
        <v/>
      </c>
      <c r="AE408" s="2"/>
    </row>
    <row r="409" spans="1:31">
      <c r="A409" s="2">
        <f t="shared" si="28"/>
        <v>407</v>
      </c>
      <c r="B409" s="156">
        <f t="shared" si="29"/>
        <v>1900</v>
      </c>
      <c r="C409" s="129">
        <f t="shared" si="30"/>
        <v>1900</v>
      </c>
      <c r="I409" s="31" t="str">
        <f>IFERROR(VLOOKUP(GA[[#This Row],[Date]],Raw_Data[[#All],[Date]:[Sunset Time (POA&lt;20 W/m2)]],3,0),"")</f>
        <v/>
      </c>
      <c r="J409" s="31" t="str">
        <f>IFERROR(VLOOKUP(GA[[#This Row],[Date]],Raw_Data[[#All],[Date]:[Sunset Time (POA&lt;20 W/m2)]],4,0),"")</f>
        <v/>
      </c>
      <c r="K409" s="30" t="str">
        <f>IFERROR((GA[[#This Row],[Sunset Time (POA&lt;20 W/m2)]]-GA[[#This Row],[Sunrise Time (POA&gt;20 W/m2)]])*24,"")</f>
        <v/>
      </c>
      <c r="M409" s="17" t="str">
        <f>IFERROR(VLOOKUP(GA[[#This Row],[Affceted Equipment]],'Basic Data'!$A$1:$B$113,2,0),"")</f>
        <v/>
      </c>
      <c r="P409" s="28" t="str">
        <f>IFERROR(VLOOKUP(GA[[#This Row],[Affceted Equipment]],'Basic Data'!$A$2:$C$118,3,0),"")</f>
        <v/>
      </c>
      <c r="Q409" s="2"/>
      <c r="W409" s="34"/>
      <c r="X409" s="35"/>
      <c r="Y409" s="35"/>
      <c r="Z409" s="2"/>
      <c r="AA409" s="2"/>
      <c r="AB409" s="2" t="str">
        <f>IFERROR(GA[[#This Row],[Plant Equivalent Weightage]]*GA[[#This Row],[Resolution Time]],"")</f>
        <v/>
      </c>
      <c r="AC409" s="2"/>
      <c r="AD409" s="32" t="str">
        <f>IFERROR((_xlfn.XLOOKUP(GA[[#This Row],[Month Year]],'Modelling New'!D:D,'Modelling New'!$O:$O)*GA[[#This Row],[Lost POA (Wh/m2)]]*GA[[#This Row],[DC Capacity Affceted (kW)]])/1000,"")</f>
        <v/>
      </c>
      <c r="AE409" s="2"/>
    </row>
    <row r="410" spans="1:31">
      <c r="A410" s="2">
        <f t="shared" si="28"/>
        <v>408</v>
      </c>
      <c r="B410" s="156">
        <f t="shared" si="29"/>
        <v>1900</v>
      </c>
      <c r="C410" s="129">
        <f t="shared" si="30"/>
        <v>1900</v>
      </c>
      <c r="I410" s="31" t="str">
        <f>IFERROR(VLOOKUP(GA[[#This Row],[Date]],Raw_Data[[#All],[Date]:[Sunset Time (POA&lt;20 W/m2)]],3,0),"")</f>
        <v/>
      </c>
      <c r="J410" s="31" t="str">
        <f>IFERROR(VLOOKUP(GA[[#This Row],[Date]],Raw_Data[[#All],[Date]:[Sunset Time (POA&lt;20 W/m2)]],4,0),"")</f>
        <v/>
      </c>
      <c r="K410" s="30" t="str">
        <f>IFERROR((GA[[#This Row],[Sunset Time (POA&lt;20 W/m2)]]-GA[[#This Row],[Sunrise Time (POA&gt;20 W/m2)]])*24,"")</f>
        <v/>
      </c>
      <c r="M410" s="17" t="str">
        <f>IFERROR(VLOOKUP(GA[[#This Row],[Affceted Equipment]],'Basic Data'!$A$1:$B$113,2,0),"")</f>
        <v/>
      </c>
      <c r="P410" s="28" t="str">
        <f>IFERROR(VLOOKUP(GA[[#This Row],[Affceted Equipment]],'Basic Data'!$A$2:$C$118,3,0),"")</f>
        <v/>
      </c>
      <c r="Q410" s="2"/>
      <c r="W410" s="34"/>
      <c r="X410" s="35"/>
      <c r="Y410" s="35"/>
      <c r="Z410" s="2"/>
      <c r="AA410" s="2"/>
      <c r="AB410" s="2" t="str">
        <f>IFERROR(GA[[#This Row],[Plant Equivalent Weightage]]*GA[[#This Row],[Resolution Time]],"")</f>
        <v/>
      </c>
      <c r="AC410" s="2"/>
      <c r="AD410" s="32" t="str">
        <f>IFERROR((_xlfn.XLOOKUP(GA[[#This Row],[Month Year]],'Modelling New'!D:D,'Modelling New'!$O:$O)*GA[[#This Row],[Lost POA (Wh/m2)]]*GA[[#This Row],[DC Capacity Affceted (kW)]])/1000,"")</f>
        <v/>
      </c>
      <c r="AE410" s="2"/>
    </row>
    <row r="411" spans="1:31">
      <c r="A411" s="2">
        <f t="shared" si="28"/>
        <v>409</v>
      </c>
      <c r="B411" s="156">
        <f t="shared" si="29"/>
        <v>1900</v>
      </c>
      <c r="C411" s="129">
        <f t="shared" si="30"/>
        <v>1900</v>
      </c>
      <c r="I411" s="31" t="str">
        <f>IFERROR(VLOOKUP(GA[[#This Row],[Date]],Raw_Data[[#All],[Date]:[Sunset Time (POA&lt;20 W/m2)]],3,0),"")</f>
        <v/>
      </c>
      <c r="J411" s="31" t="str">
        <f>IFERROR(VLOOKUP(GA[[#This Row],[Date]],Raw_Data[[#All],[Date]:[Sunset Time (POA&lt;20 W/m2)]],4,0),"")</f>
        <v/>
      </c>
      <c r="K411" s="30" t="str">
        <f>IFERROR((GA[[#This Row],[Sunset Time (POA&lt;20 W/m2)]]-GA[[#This Row],[Sunrise Time (POA&gt;20 W/m2)]])*24,"")</f>
        <v/>
      </c>
      <c r="M411" s="17" t="str">
        <f>IFERROR(VLOOKUP(GA[[#This Row],[Affceted Equipment]],'Basic Data'!$A$1:$B$113,2,0),"")</f>
        <v/>
      </c>
      <c r="P411" s="28" t="str">
        <f>IFERROR(VLOOKUP(GA[[#This Row],[Affceted Equipment]],'Basic Data'!$A$2:$C$118,3,0),"")</f>
        <v/>
      </c>
      <c r="Q411" s="2"/>
      <c r="W411" s="34"/>
      <c r="X411" s="35"/>
      <c r="Y411" s="35"/>
      <c r="Z411" s="2"/>
      <c r="AA411" s="2"/>
      <c r="AB411" s="2" t="str">
        <f>IFERROR(GA[[#This Row],[Plant Equivalent Weightage]]*GA[[#This Row],[Resolution Time]],"")</f>
        <v/>
      </c>
      <c r="AC411" s="2"/>
      <c r="AD411" s="32" t="str">
        <f>IFERROR((_xlfn.XLOOKUP(GA[[#This Row],[Month Year]],'Modelling New'!D:D,'Modelling New'!$O:$O)*GA[[#This Row],[Lost POA (Wh/m2)]]*GA[[#This Row],[DC Capacity Affceted (kW)]])/1000,"")</f>
        <v/>
      </c>
      <c r="AE411" s="2"/>
    </row>
    <row r="412" spans="1:31">
      <c r="A412" s="2">
        <f t="shared" si="28"/>
        <v>410</v>
      </c>
      <c r="B412" s="156">
        <f t="shared" si="29"/>
        <v>1900</v>
      </c>
      <c r="C412" s="129">
        <f t="shared" si="30"/>
        <v>1900</v>
      </c>
      <c r="I412" s="31" t="str">
        <f>IFERROR(VLOOKUP(GA[[#This Row],[Date]],Raw_Data[[#All],[Date]:[Sunset Time (POA&lt;20 W/m2)]],3,0),"")</f>
        <v/>
      </c>
      <c r="J412" s="31" t="str">
        <f>IFERROR(VLOOKUP(GA[[#This Row],[Date]],Raw_Data[[#All],[Date]:[Sunset Time (POA&lt;20 W/m2)]],4,0),"")</f>
        <v/>
      </c>
      <c r="K412" s="30" t="str">
        <f>IFERROR((GA[[#This Row],[Sunset Time (POA&lt;20 W/m2)]]-GA[[#This Row],[Sunrise Time (POA&gt;20 W/m2)]])*24,"")</f>
        <v/>
      </c>
      <c r="M412" s="17" t="str">
        <f>IFERROR(VLOOKUP(GA[[#This Row],[Affceted Equipment]],'Basic Data'!$A$1:$B$113,2,0),"")</f>
        <v/>
      </c>
      <c r="P412" s="28" t="str">
        <f>IFERROR(VLOOKUP(GA[[#This Row],[Affceted Equipment]],'Basic Data'!$A$2:$C$118,3,0),"")</f>
        <v/>
      </c>
      <c r="Q412" s="2"/>
      <c r="W412" s="34"/>
      <c r="X412" s="35"/>
      <c r="Y412" s="35"/>
      <c r="Z412" s="2"/>
      <c r="AA412" s="2"/>
      <c r="AB412" s="2" t="str">
        <f>IFERROR(GA[[#This Row],[Plant Equivalent Weightage]]*GA[[#This Row],[Resolution Time]],"")</f>
        <v/>
      </c>
      <c r="AC412" s="2"/>
      <c r="AD412" s="32" t="str">
        <f>IFERROR((_xlfn.XLOOKUP(GA[[#This Row],[Month Year]],'Modelling New'!D:D,'Modelling New'!$O:$O)*GA[[#This Row],[Lost POA (Wh/m2)]]*GA[[#This Row],[DC Capacity Affceted (kW)]])/1000,"")</f>
        <v/>
      </c>
      <c r="AE412" s="2"/>
    </row>
    <row r="413" spans="1:31">
      <c r="A413" s="2">
        <f t="shared" si="28"/>
        <v>411</v>
      </c>
      <c r="B413" s="156">
        <f t="shared" si="29"/>
        <v>1900</v>
      </c>
      <c r="C413" s="129">
        <f t="shared" si="30"/>
        <v>1900</v>
      </c>
      <c r="I413" s="31" t="str">
        <f>IFERROR(VLOOKUP(GA[[#This Row],[Date]],Raw_Data[[#All],[Date]:[Sunset Time (POA&lt;20 W/m2)]],3,0),"")</f>
        <v/>
      </c>
      <c r="J413" s="31" t="str">
        <f>IFERROR(VLOOKUP(GA[[#This Row],[Date]],Raw_Data[[#All],[Date]:[Sunset Time (POA&lt;20 W/m2)]],4,0),"")</f>
        <v/>
      </c>
      <c r="K413" s="30" t="str">
        <f>IFERROR((GA[[#This Row],[Sunset Time (POA&lt;20 W/m2)]]-GA[[#This Row],[Sunrise Time (POA&gt;20 W/m2)]])*24,"")</f>
        <v/>
      </c>
      <c r="M413" s="17" t="str">
        <f>IFERROR(VLOOKUP(GA[[#This Row],[Affceted Equipment]],'Basic Data'!$A$1:$B$113,2,0),"")</f>
        <v/>
      </c>
      <c r="P413" s="28" t="str">
        <f>IFERROR(VLOOKUP(GA[[#This Row],[Affceted Equipment]],'Basic Data'!$A$2:$C$118,3,0),"")</f>
        <v/>
      </c>
      <c r="Q413" s="2"/>
      <c r="W413" s="34"/>
      <c r="X413" s="35"/>
      <c r="Y413" s="35"/>
      <c r="Z413" s="2"/>
      <c r="AA413" s="2"/>
      <c r="AB413" s="2" t="str">
        <f>IFERROR(GA[[#This Row],[Plant Equivalent Weightage]]*GA[[#This Row],[Resolution Time]],"")</f>
        <v/>
      </c>
      <c r="AC413" s="2"/>
      <c r="AD413" s="32" t="str">
        <f>IFERROR((_xlfn.XLOOKUP(GA[[#This Row],[Month Year]],'Modelling New'!D:D,'Modelling New'!$O:$O)*GA[[#This Row],[Lost POA (Wh/m2)]]*GA[[#This Row],[DC Capacity Affceted (kW)]])/1000,"")</f>
        <v/>
      </c>
      <c r="AE413" s="2"/>
    </row>
    <row r="414" spans="1:31">
      <c r="A414" s="2">
        <f t="shared" si="28"/>
        <v>412</v>
      </c>
      <c r="B414" s="156">
        <f t="shared" si="29"/>
        <v>1900</v>
      </c>
      <c r="C414" s="129">
        <f t="shared" si="30"/>
        <v>1900</v>
      </c>
      <c r="I414" s="31" t="str">
        <f>IFERROR(VLOOKUP(GA[[#This Row],[Date]],Raw_Data[[#All],[Date]:[Sunset Time (POA&lt;20 W/m2)]],3,0),"")</f>
        <v/>
      </c>
      <c r="J414" s="31" t="str">
        <f>IFERROR(VLOOKUP(GA[[#This Row],[Date]],Raw_Data[[#All],[Date]:[Sunset Time (POA&lt;20 W/m2)]],4,0),"")</f>
        <v/>
      </c>
      <c r="K414" s="30" t="str">
        <f>IFERROR((GA[[#This Row],[Sunset Time (POA&lt;20 W/m2)]]-GA[[#This Row],[Sunrise Time (POA&gt;20 W/m2)]])*24,"")</f>
        <v/>
      </c>
      <c r="M414" s="17" t="str">
        <f>IFERROR(VLOOKUP(GA[[#This Row],[Affceted Equipment]],'Basic Data'!$A$1:$B$113,2,0),"")</f>
        <v/>
      </c>
      <c r="P414" s="28" t="str">
        <f>IFERROR(VLOOKUP(GA[[#This Row],[Affceted Equipment]],'Basic Data'!$A$2:$C$118,3,0),"")</f>
        <v/>
      </c>
      <c r="Q414" s="2"/>
      <c r="W414" s="34"/>
      <c r="X414" s="35"/>
      <c r="Y414" s="35"/>
      <c r="Z414" s="2"/>
      <c r="AA414" s="2"/>
      <c r="AB414" s="2" t="str">
        <f>IFERROR(GA[[#This Row],[Plant Equivalent Weightage]]*GA[[#This Row],[Resolution Time]],"")</f>
        <v/>
      </c>
      <c r="AC414" s="2"/>
      <c r="AD414" s="32" t="str">
        <f>IFERROR((_xlfn.XLOOKUP(GA[[#This Row],[Month Year]],'Modelling New'!D:D,'Modelling New'!$O:$O)*GA[[#This Row],[Lost POA (Wh/m2)]]*GA[[#This Row],[DC Capacity Affceted (kW)]])/1000,"")</f>
        <v/>
      </c>
      <c r="AE414" s="2"/>
    </row>
    <row r="415" spans="1:31">
      <c r="A415" s="2">
        <f t="shared" si="28"/>
        <v>413</v>
      </c>
      <c r="B415" s="156">
        <f t="shared" si="29"/>
        <v>1900</v>
      </c>
      <c r="C415" s="129">
        <f t="shared" si="30"/>
        <v>1900</v>
      </c>
      <c r="I415" s="31" t="str">
        <f>IFERROR(VLOOKUP(GA[[#This Row],[Date]],Raw_Data[[#All],[Date]:[Sunset Time (POA&lt;20 W/m2)]],3,0),"")</f>
        <v/>
      </c>
      <c r="J415" s="31" t="str">
        <f>IFERROR(VLOOKUP(GA[[#This Row],[Date]],Raw_Data[[#All],[Date]:[Sunset Time (POA&lt;20 W/m2)]],4,0),"")</f>
        <v/>
      </c>
      <c r="K415" s="30" t="str">
        <f>IFERROR((GA[[#This Row],[Sunset Time (POA&lt;20 W/m2)]]-GA[[#This Row],[Sunrise Time (POA&gt;20 W/m2)]])*24,"")</f>
        <v/>
      </c>
      <c r="M415" s="17" t="str">
        <f>IFERROR(VLOOKUP(GA[[#This Row],[Affceted Equipment]],'Basic Data'!$A$1:$B$113,2,0),"")</f>
        <v/>
      </c>
      <c r="P415" s="28" t="str">
        <f>IFERROR(VLOOKUP(GA[[#This Row],[Affceted Equipment]],'Basic Data'!$A$2:$C$118,3,0),"")</f>
        <v/>
      </c>
      <c r="Q415" s="2"/>
      <c r="W415" s="34"/>
      <c r="X415" s="35"/>
      <c r="Y415" s="35"/>
      <c r="Z415" s="2"/>
      <c r="AA415" s="2"/>
      <c r="AB415" s="2" t="str">
        <f>IFERROR(GA[[#This Row],[Plant Equivalent Weightage]]*GA[[#This Row],[Resolution Time]],"")</f>
        <v/>
      </c>
      <c r="AC415" s="2"/>
      <c r="AD415" s="32" t="str">
        <f>IFERROR((_xlfn.XLOOKUP(GA[[#This Row],[Month Year]],'Modelling New'!D:D,'Modelling New'!$O:$O)*GA[[#This Row],[Lost POA (Wh/m2)]]*GA[[#This Row],[DC Capacity Affceted (kW)]])/1000,"")</f>
        <v/>
      </c>
      <c r="AE415" s="2"/>
    </row>
    <row r="416" spans="1:31">
      <c r="A416" s="2">
        <f t="shared" ref="A416:A479" si="31">A415+1</f>
        <v>414</v>
      </c>
      <c r="B416" s="156">
        <f t="shared" si="29"/>
        <v>1900</v>
      </c>
      <c r="C416" s="129">
        <f t="shared" si="30"/>
        <v>1900</v>
      </c>
      <c r="I416" s="31" t="str">
        <f>IFERROR(VLOOKUP(GA[[#This Row],[Date]],Raw_Data[[#All],[Date]:[Sunset Time (POA&lt;20 W/m2)]],3,0),"")</f>
        <v/>
      </c>
      <c r="J416" s="31" t="str">
        <f>IFERROR(VLOOKUP(GA[[#This Row],[Date]],Raw_Data[[#All],[Date]:[Sunset Time (POA&lt;20 W/m2)]],4,0),"")</f>
        <v/>
      </c>
      <c r="K416" s="30" t="str">
        <f>IFERROR((GA[[#This Row],[Sunset Time (POA&lt;20 W/m2)]]-GA[[#This Row],[Sunrise Time (POA&gt;20 W/m2)]])*24,"")</f>
        <v/>
      </c>
      <c r="M416" s="17" t="str">
        <f>IFERROR(VLOOKUP(GA[[#This Row],[Affceted Equipment]],'Basic Data'!$A$1:$B$113,2,0),"")</f>
        <v/>
      </c>
      <c r="P416" s="28" t="str">
        <f>IFERROR(VLOOKUP(GA[[#This Row],[Affceted Equipment]],'Basic Data'!$A$2:$C$118,3,0),"")</f>
        <v/>
      </c>
      <c r="Q416" s="2"/>
      <c r="W416" s="34"/>
      <c r="X416" s="35"/>
      <c r="Y416" s="35"/>
      <c r="Z416" s="2"/>
      <c r="AA416" s="2"/>
      <c r="AB416" s="2" t="str">
        <f>IFERROR(GA[[#This Row],[Plant Equivalent Weightage]]*GA[[#This Row],[Resolution Time]],"")</f>
        <v/>
      </c>
      <c r="AC416" s="2"/>
      <c r="AD416" s="32" t="str">
        <f>IFERROR((_xlfn.XLOOKUP(GA[[#This Row],[Month Year]],'Modelling New'!D:D,'Modelling New'!$O:$O)*GA[[#This Row],[Lost POA (Wh/m2)]]*GA[[#This Row],[DC Capacity Affceted (kW)]])/1000,"")</f>
        <v/>
      </c>
      <c r="AE416" s="2"/>
    </row>
    <row r="417" spans="1:31">
      <c r="A417" s="2">
        <f t="shared" si="31"/>
        <v>415</v>
      </c>
      <c r="B417" s="156">
        <f t="shared" si="29"/>
        <v>1900</v>
      </c>
      <c r="C417" s="129">
        <f t="shared" si="30"/>
        <v>1900</v>
      </c>
      <c r="I417" s="31" t="str">
        <f>IFERROR(VLOOKUP(GA[[#This Row],[Date]],Raw_Data[[#All],[Date]:[Sunset Time (POA&lt;20 W/m2)]],3,0),"")</f>
        <v/>
      </c>
      <c r="J417" s="31" t="str">
        <f>IFERROR(VLOOKUP(GA[[#This Row],[Date]],Raw_Data[[#All],[Date]:[Sunset Time (POA&lt;20 W/m2)]],4,0),"")</f>
        <v/>
      </c>
      <c r="K417" s="30" t="str">
        <f>IFERROR((GA[[#This Row],[Sunset Time (POA&lt;20 W/m2)]]-GA[[#This Row],[Sunrise Time (POA&gt;20 W/m2)]])*24,"")</f>
        <v/>
      </c>
      <c r="M417" s="17" t="str">
        <f>IFERROR(VLOOKUP(GA[[#This Row],[Affceted Equipment]],'Basic Data'!$A$1:$B$113,2,0),"")</f>
        <v/>
      </c>
      <c r="P417" s="28" t="str">
        <f>IFERROR(VLOOKUP(GA[[#This Row],[Affceted Equipment]],'Basic Data'!$A$2:$C$118,3,0),"")</f>
        <v/>
      </c>
      <c r="Q417" s="2"/>
      <c r="W417" s="34"/>
      <c r="X417" s="35"/>
      <c r="Y417" s="35"/>
      <c r="Z417" s="2"/>
      <c r="AA417" s="2"/>
      <c r="AB417" s="2" t="str">
        <f>IFERROR(GA[[#This Row],[Plant Equivalent Weightage]]*GA[[#This Row],[Resolution Time]],"")</f>
        <v/>
      </c>
      <c r="AC417" s="2"/>
      <c r="AD417" s="32" t="str">
        <f>IFERROR((_xlfn.XLOOKUP(GA[[#This Row],[Month Year]],'Modelling New'!D:D,'Modelling New'!$O:$O)*GA[[#This Row],[Lost POA (Wh/m2)]]*GA[[#This Row],[DC Capacity Affceted (kW)]])/1000,"")</f>
        <v/>
      </c>
      <c r="AE417" s="2"/>
    </row>
    <row r="418" spans="1:31">
      <c r="A418" s="2">
        <f t="shared" si="31"/>
        <v>416</v>
      </c>
      <c r="B418" s="156">
        <f t="shared" si="29"/>
        <v>1900</v>
      </c>
      <c r="C418" s="129">
        <f t="shared" si="30"/>
        <v>1900</v>
      </c>
      <c r="I418" s="31" t="str">
        <f>IFERROR(VLOOKUP(GA[[#This Row],[Date]],Raw_Data[[#All],[Date]:[Sunset Time (POA&lt;20 W/m2)]],3,0),"")</f>
        <v/>
      </c>
      <c r="J418" s="31" t="str">
        <f>IFERROR(VLOOKUP(GA[[#This Row],[Date]],Raw_Data[[#All],[Date]:[Sunset Time (POA&lt;20 W/m2)]],4,0),"")</f>
        <v/>
      </c>
      <c r="K418" s="30" t="str">
        <f>IFERROR((GA[[#This Row],[Sunset Time (POA&lt;20 W/m2)]]-GA[[#This Row],[Sunrise Time (POA&gt;20 W/m2)]])*24,"")</f>
        <v/>
      </c>
      <c r="M418" s="17" t="str">
        <f>IFERROR(VLOOKUP(GA[[#This Row],[Affceted Equipment]],'Basic Data'!$A$1:$B$113,2,0),"")</f>
        <v/>
      </c>
      <c r="P418" s="28" t="str">
        <f>IFERROR(VLOOKUP(GA[[#This Row],[Affceted Equipment]],'Basic Data'!$A$2:$C$118,3,0),"")</f>
        <v/>
      </c>
      <c r="Q418" s="2"/>
      <c r="W418" s="34"/>
      <c r="X418" s="35"/>
      <c r="Y418" s="35"/>
      <c r="Z418" s="2"/>
      <c r="AA418" s="2"/>
      <c r="AB418" s="2" t="str">
        <f>IFERROR(GA[[#This Row],[Plant Equivalent Weightage]]*GA[[#This Row],[Resolution Time]],"")</f>
        <v/>
      </c>
      <c r="AC418" s="2"/>
      <c r="AD418" s="32" t="str">
        <f>IFERROR((_xlfn.XLOOKUP(GA[[#This Row],[Month Year]],'Modelling New'!D:D,'Modelling New'!$O:$O)*GA[[#This Row],[Lost POA (Wh/m2)]]*GA[[#This Row],[DC Capacity Affceted (kW)]])/1000,"")</f>
        <v/>
      </c>
      <c r="AE418" s="2"/>
    </row>
    <row r="419" spans="1:31">
      <c r="A419" s="2">
        <f t="shared" si="31"/>
        <v>417</v>
      </c>
      <c r="B419" s="156">
        <f t="shared" si="29"/>
        <v>1900</v>
      </c>
      <c r="C419" s="129">
        <f t="shared" si="30"/>
        <v>1900</v>
      </c>
      <c r="I419" s="31" t="str">
        <f>IFERROR(VLOOKUP(GA[[#This Row],[Date]],Raw_Data[[#All],[Date]:[Sunset Time (POA&lt;20 W/m2)]],3,0),"")</f>
        <v/>
      </c>
      <c r="J419" s="31" t="str">
        <f>IFERROR(VLOOKUP(GA[[#This Row],[Date]],Raw_Data[[#All],[Date]:[Sunset Time (POA&lt;20 W/m2)]],4,0),"")</f>
        <v/>
      </c>
      <c r="K419" s="30" t="str">
        <f>IFERROR((GA[[#This Row],[Sunset Time (POA&lt;20 W/m2)]]-GA[[#This Row],[Sunrise Time (POA&gt;20 W/m2)]])*24,"")</f>
        <v/>
      </c>
      <c r="M419" s="17" t="str">
        <f>IFERROR(VLOOKUP(GA[[#This Row],[Affceted Equipment]],'Basic Data'!$A$1:$B$113,2,0),"")</f>
        <v/>
      </c>
      <c r="P419" s="28" t="str">
        <f>IFERROR(VLOOKUP(GA[[#This Row],[Affceted Equipment]],'Basic Data'!$A$2:$C$118,3,0),"")</f>
        <v/>
      </c>
      <c r="Q419" s="2"/>
      <c r="W419" s="34"/>
      <c r="X419" s="35"/>
      <c r="Y419" s="35"/>
      <c r="Z419" s="2"/>
      <c r="AA419" s="2"/>
      <c r="AB419" s="2" t="str">
        <f>IFERROR(GA[[#This Row],[Plant Equivalent Weightage]]*GA[[#This Row],[Resolution Time]],"")</f>
        <v/>
      </c>
      <c r="AC419" s="2"/>
      <c r="AD419" s="32" t="str">
        <f>IFERROR((_xlfn.XLOOKUP(GA[[#This Row],[Month Year]],'Modelling New'!D:D,'Modelling New'!$O:$O)*GA[[#This Row],[Lost POA (Wh/m2)]]*GA[[#This Row],[DC Capacity Affceted (kW)]])/1000,"")</f>
        <v/>
      </c>
      <c r="AE419" s="2"/>
    </row>
    <row r="420" spans="1:31">
      <c r="A420" s="2">
        <f t="shared" si="31"/>
        <v>418</v>
      </c>
      <c r="B420" s="156">
        <f t="shared" si="29"/>
        <v>1900</v>
      </c>
      <c r="C420" s="129">
        <f t="shared" si="30"/>
        <v>1900</v>
      </c>
      <c r="I420" s="31" t="str">
        <f>IFERROR(VLOOKUP(GA[[#This Row],[Date]],Raw_Data[[#All],[Date]:[Sunset Time (POA&lt;20 W/m2)]],3,0),"")</f>
        <v/>
      </c>
      <c r="J420" s="31" t="str">
        <f>IFERROR(VLOOKUP(GA[[#This Row],[Date]],Raw_Data[[#All],[Date]:[Sunset Time (POA&lt;20 W/m2)]],4,0),"")</f>
        <v/>
      </c>
      <c r="K420" s="30" t="str">
        <f>IFERROR((GA[[#This Row],[Sunset Time (POA&lt;20 W/m2)]]-GA[[#This Row],[Sunrise Time (POA&gt;20 W/m2)]])*24,"")</f>
        <v/>
      </c>
      <c r="M420" s="17" t="str">
        <f>IFERROR(VLOOKUP(GA[[#This Row],[Affceted Equipment]],'Basic Data'!$A$1:$B$113,2,0),"")</f>
        <v/>
      </c>
      <c r="P420" s="28" t="str">
        <f>IFERROR(VLOOKUP(GA[[#This Row],[Affceted Equipment]],'Basic Data'!$A$2:$C$118,3,0),"")</f>
        <v/>
      </c>
      <c r="Q420" s="2"/>
      <c r="W420" s="34"/>
      <c r="X420" s="35"/>
      <c r="Y420" s="35"/>
      <c r="Z420" s="2"/>
      <c r="AA420" s="2"/>
      <c r="AB420" s="2" t="str">
        <f>IFERROR(GA[[#This Row],[Plant Equivalent Weightage]]*GA[[#This Row],[Resolution Time]],"")</f>
        <v/>
      </c>
      <c r="AC420" s="2"/>
      <c r="AD420" s="32" t="str">
        <f>IFERROR((_xlfn.XLOOKUP(GA[[#This Row],[Month Year]],'Modelling New'!D:D,'Modelling New'!$O:$O)*GA[[#This Row],[Lost POA (Wh/m2)]]*GA[[#This Row],[DC Capacity Affceted (kW)]])/1000,"")</f>
        <v/>
      </c>
      <c r="AE420" s="2"/>
    </row>
    <row r="421" spans="1:31">
      <c r="A421" s="2">
        <f t="shared" si="31"/>
        <v>419</v>
      </c>
      <c r="B421" s="156">
        <f t="shared" si="29"/>
        <v>1900</v>
      </c>
      <c r="C421" s="129">
        <f t="shared" si="30"/>
        <v>1900</v>
      </c>
      <c r="I421" s="31" t="str">
        <f>IFERROR(VLOOKUP(GA[[#This Row],[Date]],Raw_Data[[#All],[Date]:[Sunset Time (POA&lt;20 W/m2)]],3,0),"")</f>
        <v/>
      </c>
      <c r="J421" s="31" t="str">
        <f>IFERROR(VLOOKUP(GA[[#This Row],[Date]],Raw_Data[[#All],[Date]:[Sunset Time (POA&lt;20 W/m2)]],4,0),"")</f>
        <v/>
      </c>
      <c r="K421" s="30" t="str">
        <f>IFERROR((GA[[#This Row],[Sunset Time (POA&lt;20 W/m2)]]-GA[[#This Row],[Sunrise Time (POA&gt;20 W/m2)]])*24,"")</f>
        <v/>
      </c>
      <c r="M421" s="17" t="str">
        <f>IFERROR(VLOOKUP(GA[[#This Row],[Affceted Equipment]],'Basic Data'!$A$1:$B$113,2,0),"")</f>
        <v/>
      </c>
      <c r="P421" s="28" t="str">
        <f>IFERROR(VLOOKUP(GA[[#This Row],[Affceted Equipment]],'Basic Data'!$A$2:$C$118,3,0),"")</f>
        <v/>
      </c>
      <c r="Q421" s="2"/>
      <c r="W421" s="34"/>
      <c r="X421" s="35"/>
      <c r="Y421" s="35"/>
      <c r="Z421" s="2"/>
      <c r="AA421" s="2"/>
      <c r="AB421" s="2" t="str">
        <f>IFERROR(GA[[#This Row],[Plant Equivalent Weightage]]*GA[[#This Row],[Resolution Time]],"")</f>
        <v/>
      </c>
      <c r="AC421" s="2"/>
      <c r="AD421" s="32" t="str">
        <f>IFERROR((_xlfn.XLOOKUP(GA[[#This Row],[Month Year]],'Modelling New'!D:D,'Modelling New'!$O:$O)*GA[[#This Row],[Lost POA (Wh/m2)]]*GA[[#This Row],[DC Capacity Affceted (kW)]])/1000,"")</f>
        <v/>
      </c>
      <c r="AE421" s="2"/>
    </row>
    <row r="422" spans="1:31">
      <c r="A422" s="2">
        <f t="shared" si="31"/>
        <v>420</v>
      </c>
      <c r="B422" s="156">
        <f t="shared" si="29"/>
        <v>1900</v>
      </c>
      <c r="C422" s="129">
        <f t="shared" si="30"/>
        <v>1900</v>
      </c>
      <c r="I422" s="31" t="str">
        <f>IFERROR(VLOOKUP(GA[[#This Row],[Date]],Raw_Data[[#All],[Date]:[Sunset Time (POA&lt;20 W/m2)]],3,0),"")</f>
        <v/>
      </c>
      <c r="J422" s="31" t="str">
        <f>IFERROR(VLOOKUP(GA[[#This Row],[Date]],Raw_Data[[#All],[Date]:[Sunset Time (POA&lt;20 W/m2)]],4,0),"")</f>
        <v/>
      </c>
      <c r="K422" s="30" t="str">
        <f>IFERROR((GA[[#This Row],[Sunset Time (POA&lt;20 W/m2)]]-GA[[#This Row],[Sunrise Time (POA&gt;20 W/m2)]])*24,"")</f>
        <v/>
      </c>
      <c r="M422" s="17" t="str">
        <f>IFERROR(VLOOKUP(GA[[#This Row],[Affceted Equipment]],'Basic Data'!$A$1:$B$113,2,0),"")</f>
        <v/>
      </c>
      <c r="P422" s="28" t="str">
        <f>IFERROR(VLOOKUP(GA[[#This Row],[Affceted Equipment]],'Basic Data'!$A$2:$C$118,3,0),"")</f>
        <v/>
      </c>
      <c r="Q422" s="2"/>
      <c r="W422" s="34"/>
      <c r="X422" s="35"/>
      <c r="Y422" s="35"/>
      <c r="Z422" s="2"/>
      <c r="AA422" s="2"/>
      <c r="AB422" s="2" t="str">
        <f>IFERROR(GA[[#This Row],[Plant Equivalent Weightage]]*GA[[#This Row],[Resolution Time]],"")</f>
        <v/>
      </c>
      <c r="AC422" s="2"/>
      <c r="AD422" s="32" t="str">
        <f>IFERROR((_xlfn.XLOOKUP(GA[[#This Row],[Month Year]],'Modelling New'!D:D,'Modelling New'!$O:$O)*GA[[#This Row],[Lost POA (Wh/m2)]]*GA[[#This Row],[DC Capacity Affceted (kW)]])/1000,"")</f>
        <v/>
      </c>
      <c r="AE422" s="2"/>
    </row>
    <row r="423" spans="1:31">
      <c r="A423" s="2">
        <f t="shared" si="31"/>
        <v>421</v>
      </c>
      <c r="B423" s="156">
        <f t="shared" si="29"/>
        <v>1900</v>
      </c>
      <c r="C423" s="129">
        <f t="shared" si="30"/>
        <v>1900</v>
      </c>
      <c r="I423" s="31" t="str">
        <f>IFERROR(VLOOKUP(GA[[#This Row],[Date]],Raw_Data[[#All],[Date]:[Sunset Time (POA&lt;20 W/m2)]],3,0),"")</f>
        <v/>
      </c>
      <c r="J423" s="31" t="str">
        <f>IFERROR(VLOOKUP(GA[[#This Row],[Date]],Raw_Data[[#All],[Date]:[Sunset Time (POA&lt;20 W/m2)]],4,0),"")</f>
        <v/>
      </c>
      <c r="K423" s="30" t="str">
        <f>IFERROR((GA[[#This Row],[Sunset Time (POA&lt;20 W/m2)]]-GA[[#This Row],[Sunrise Time (POA&gt;20 W/m2)]])*24,"")</f>
        <v/>
      </c>
      <c r="M423" s="17" t="str">
        <f>IFERROR(VLOOKUP(GA[[#This Row],[Affceted Equipment]],'Basic Data'!$A$1:$B$113,2,0),"")</f>
        <v/>
      </c>
      <c r="P423" s="28" t="str">
        <f>IFERROR(VLOOKUP(GA[[#This Row],[Affceted Equipment]],'Basic Data'!$A$2:$C$118,3,0),"")</f>
        <v/>
      </c>
      <c r="Q423" s="2"/>
      <c r="W423" s="34"/>
      <c r="X423" s="35"/>
      <c r="Y423" s="35"/>
      <c r="Z423" s="2"/>
      <c r="AA423" s="2"/>
      <c r="AB423" s="2" t="str">
        <f>IFERROR(GA[[#This Row],[Plant Equivalent Weightage]]*GA[[#This Row],[Resolution Time]],"")</f>
        <v/>
      </c>
      <c r="AC423" s="2"/>
      <c r="AD423" s="32" t="str">
        <f>IFERROR((_xlfn.XLOOKUP(GA[[#This Row],[Month Year]],'Modelling New'!D:D,'Modelling New'!$O:$O)*GA[[#This Row],[Lost POA (Wh/m2)]]*GA[[#This Row],[DC Capacity Affceted (kW)]])/1000,"")</f>
        <v/>
      </c>
      <c r="AE423" s="2"/>
    </row>
    <row r="424" spans="1:31">
      <c r="A424" s="2">
        <f t="shared" si="31"/>
        <v>422</v>
      </c>
      <c r="B424" s="156">
        <f t="shared" si="29"/>
        <v>1900</v>
      </c>
      <c r="C424" s="129">
        <f t="shared" si="30"/>
        <v>1900</v>
      </c>
      <c r="I424" s="31" t="str">
        <f>IFERROR(VLOOKUP(GA[[#This Row],[Date]],Raw_Data[[#All],[Date]:[Sunset Time (POA&lt;20 W/m2)]],3,0),"")</f>
        <v/>
      </c>
      <c r="J424" s="31" t="str">
        <f>IFERROR(VLOOKUP(GA[[#This Row],[Date]],Raw_Data[[#All],[Date]:[Sunset Time (POA&lt;20 W/m2)]],4,0),"")</f>
        <v/>
      </c>
      <c r="K424" s="30" t="str">
        <f>IFERROR((GA[[#This Row],[Sunset Time (POA&lt;20 W/m2)]]-GA[[#This Row],[Sunrise Time (POA&gt;20 W/m2)]])*24,"")</f>
        <v/>
      </c>
      <c r="M424" s="17" t="str">
        <f>IFERROR(VLOOKUP(GA[[#This Row],[Affceted Equipment]],'Basic Data'!$A$1:$B$113,2,0),"")</f>
        <v/>
      </c>
      <c r="P424" s="28" t="str">
        <f>IFERROR(VLOOKUP(GA[[#This Row],[Affceted Equipment]],'Basic Data'!$A$2:$C$118,3,0),"")</f>
        <v/>
      </c>
      <c r="Q424" s="2"/>
      <c r="W424" s="34"/>
      <c r="X424" s="35"/>
      <c r="Y424" s="35"/>
      <c r="Z424" s="2"/>
      <c r="AA424" s="2"/>
      <c r="AB424" s="2" t="str">
        <f>IFERROR(GA[[#This Row],[Plant Equivalent Weightage]]*GA[[#This Row],[Resolution Time]],"")</f>
        <v/>
      </c>
      <c r="AC424" s="2"/>
      <c r="AD424" s="32" t="str">
        <f>IFERROR((_xlfn.XLOOKUP(GA[[#This Row],[Month Year]],'Modelling New'!D:D,'Modelling New'!$O:$O)*GA[[#This Row],[Lost POA (Wh/m2)]]*GA[[#This Row],[DC Capacity Affceted (kW)]])/1000,"")</f>
        <v/>
      </c>
      <c r="AE424" s="2"/>
    </row>
    <row r="425" spans="1:31">
      <c r="A425" s="2">
        <f t="shared" si="31"/>
        <v>423</v>
      </c>
      <c r="B425" s="156">
        <f t="shared" si="29"/>
        <v>1900</v>
      </c>
      <c r="C425" s="129">
        <f t="shared" si="30"/>
        <v>1900</v>
      </c>
      <c r="I425" s="31" t="str">
        <f>IFERROR(VLOOKUP(GA[[#This Row],[Date]],Raw_Data[[#All],[Date]:[Sunset Time (POA&lt;20 W/m2)]],3,0),"")</f>
        <v/>
      </c>
      <c r="J425" s="31" t="str">
        <f>IFERROR(VLOOKUP(GA[[#This Row],[Date]],Raw_Data[[#All],[Date]:[Sunset Time (POA&lt;20 W/m2)]],4,0),"")</f>
        <v/>
      </c>
      <c r="K425" s="30" t="str">
        <f>IFERROR((GA[[#This Row],[Sunset Time (POA&lt;20 W/m2)]]-GA[[#This Row],[Sunrise Time (POA&gt;20 W/m2)]])*24,"")</f>
        <v/>
      </c>
      <c r="M425" s="17" t="str">
        <f>IFERROR(VLOOKUP(GA[[#This Row],[Affceted Equipment]],'Basic Data'!$A$1:$B$113,2,0),"")</f>
        <v/>
      </c>
      <c r="P425" s="28" t="str">
        <f>IFERROR(VLOOKUP(GA[[#This Row],[Affceted Equipment]],'Basic Data'!$A$2:$C$118,3,0),"")</f>
        <v/>
      </c>
      <c r="Q425" s="2"/>
      <c r="W425" s="34"/>
      <c r="X425" s="35"/>
      <c r="Y425" s="35"/>
      <c r="Z425" s="2"/>
      <c r="AA425" s="2"/>
      <c r="AB425" s="2" t="str">
        <f>IFERROR(GA[[#This Row],[Plant Equivalent Weightage]]*GA[[#This Row],[Resolution Time]],"")</f>
        <v/>
      </c>
      <c r="AC425" s="2"/>
      <c r="AD425" s="32" t="str">
        <f>IFERROR((_xlfn.XLOOKUP(GA[[#This Row],[Month Year]],'Modelling New'!D:D,'Modelling New'!$O:$O)*GA[[#This Row],[Lost POA (Wh/m2)]]*GA[[#This Row],[DC Capacity Affceted (kW)]])/1000,"")</f>
        <v/>
      </c>
      <c r="AE425" s="2"/>
    </row>
    <row r="426" spans="1:31">
      <c r="A426" s="2">
        <f t="shared" si="31"/>
        <v>424</v>
      </c>
      <c r="B426" s="156">
        <f t="shared" si="29"/>
        <v>1900</v>
      </c>
      <c r="C426" s="129">
        <f t="shared" si="30"/>
        <v>1900</v>
      </c>
      <c r="I426" s="31" t="str">
        <f>IFERROR(VLOOKUP(GA[[#This Row],[Date]],Raw_Data[[#All],[Date]:[Sunset Time (POA&lt;20 W/m2)]],3,0),"")</f>
        <v/>
      </c>
      <c r="J426" s="31" t="str">
        <f>IFERROR(VLOOKUP(GA[[#This Row],[Date]],Raw_Data[[#All],[Date]:[Sunset Time (POA&lt;20 W/m2)]],4,0),"")</f>
        <v/>
      </c>
      <c r="K426" s="30" t="str">
        <f>IFERROR((GA[[#This Row],[Sunset Time (POA&lt;20 W/m2)]]-GA[[#This Row],[Sunrise Time (POA&gt;20 W/m2)]])*24,"")</f>
        <v/>
      </c>
      <c r="M426" s="17" t="str">
        <f>IFERROR(VLOOKUP(GA[[#This Row],[Affceted Equipment]],'Basic Data'!$A$1:$B$113,2,0),"")</f>
        <v/>
      </c>
      <c r="P426" s="28" t="str">
        <f>IFERROR(VLOOKUP(GA[[#This Row],[Affceted Equipment]],'Basic Data'!$A$2:$C$118,3,0),"")</f>
        <v/>
      </c>
      <c r="Q426" s="2"/>
      <c r="W426" s="34"/>
      <c r="X426" s="35"/>
      <c r="Y426" s="35"/>
      <c r="Z426" s="2"/>
      <c r="AA426" s="2"/>
      <c r="AB426" s="2" t="str">
        <f>IFERROR(GA[[#This Row],[Plant Equivalent Weightage]]*GA[[#This Row],[Resolution Time]],"")</f>
        <v/>
      </c>
      <c r="AC426" s="2"/>
      <c r="AD426" s="32" t="str">
        <f>IFERROR((_xlfn.XLOOKUP(GA[[#This Row],[Month Year]],'Modelling New'!D:D,'Modelling New'!$O:$O)*GA[[#This Row],[Lost POA (Wh/m2)]]*GA[[#This Row],[DC Capacity Affceted (kW)]])/1000,"")</f>
        <v/>
      </c>
      <c r="AE426" s="2"/>
    </row>
    <row r="427" spans="1:31">
      <c r="A427" s="2">
        <f t="shared" si="31"/>
        <v>425</v>
      </c>
      <c r="B427" s="156">
        <f t="shared" si="29"/>
        <v>1900</v>
      </c>
      <c r="C427" s="129">
        <f t="shared" si="30"/>
        <v>1900</v>
      </c>
      <c r="I427" s="31" t="str">
        <f>IFERROR(VLOOKUP(GA[[#This Row],[Date]],Raw_Data[[#All],[Date]:[Sunset Time (POA&lt;20 W/m2)]],3,0),"")</f>
        <v/>
      </c>
      <c r="J427" s="31" t="str">
        <f>IFERROR(VLOOKUP(GA[[#This Row],[Date]],Raw_Data[[#All],[Date]:[Sunset Time (POA&lt;20 W/m2)]],4,0),"")</f>
        <v/>
      </c>
      <c r="K427" s="30" t="str">
        <f>IFERROR((GA[[#This Row],[Sunset Time (POA&lt;20 W/m2)]]-GA[[#This Row],[Sunrise Time (POA&gt;20 W/m2)]])*24,"")</f>
        <v/>
      </c>
      <c r="M427" s="17" t="str">
        <f>IFERROR(VLOOKUP(GA[[#This Row],[Affceted Equipment]],'Basic Data'!$A$1:$B$113,2,0),"")</f>
        <v/>
      </c>
      <c r="P427" s="28" t="str">
        <f>IFERROR(VLOOKUP(GA[[#This Row],[Affceted Equipment]],'Basic Data'!$A$2:$C$118,3,0),"")</f>
        <v/>
      </c>
      <c r="Q427" s="2"/>
      <c r="W427" s="34"/>
      <c r="X427" s="35"/>
      <c r="Y427" s="35"/>
      <c r="Z427" s="2"/>
      <c r="AA427" s="2"/>
      <c r="AB427" s="2" t="str">
        <f>IFERROR(GA[[#This Row],[Plant Equivalent Weightage]]*GA[[#This Row],[Resolution Time]],"")</f>
        <v/>
      </c>
      <c r="AC427" s="2"/>
      <c r="AD427" s="32" t="str">
        <f>IFERROR((_xlfn.XLOOKUP(GA[[#This Row],[Month Year]],'Modelling New'!D:D,'Modelling New'!$O:$O)*GA[[#This Row],[Lost POA (Wh/m2)]]*GA[[#This Row],[DC Capacity Affceted (kW)]])/1000,"")</f>
        <v/>
      </c>
      <c r="AE427" s="2"/>
    </row>
    <row r="428" spans="1:31">
      <c r="A428" s="2">
        <f t="shared" si="31"/>
        <v>426</v>
      </c>
      <c r="B428" s="156">
        <f t="shared" si="29"/>
        <v>1900</v>
      </c>
      <c r="C428" s="129">
        <f t="shared" si="30"/>
        <v>1900</v>
      </c>
      <c r="I428" s="31" t="str">
        <f>IFERROR(VLOOKUP(GA[[#This Row],[Date]],Raw_Data[[#All],[Date]:[Sunset Time (POA&lt;20 W/m2)]],3,0),"")</f>
        <v/>
      </c>
      <c r="J428" s="31" t="str">
        <f>IFERROR(VLOOKUP(GA[[#This Row],[Date]],Raw_Data[[#All],[Date]:[Sunset Time (POA&lt;20 W/m2)]],4,0),"")</f>
        <v/>
      </c>
      <c r="K428" s="30" t="str">
        <f>IFERROR((GA[[#This Row],[Sunset Time (POA&lt;20 W/m2)]]-GA[[#This Row],[Sunrise Time (POA&gt;20 W/m2)]])*24,"")</f>
        <v/>
      </c>
      <c r="M428" s="17" t="str">
        <f>IFERROR(VLOOKUP(GA[[#This Row],[Affceted Equipment]],'Basic Data'!$A$1:$B$113,2,0),"")</f>
        <v/>
      </c>
      <c r="P428" s="28" t="str">
        <f>IFERROR(VLOOKUP(GA[[#This Row],[Affceted Equipment]],'Basic Data'!$A$2:$C$118,3,0),"")</f>
        <v/>
      </c>
      <c r="Q428" s="2"/>
      <c r="W428" s="34"/>
      <c r="X428" s="35"/>
      <c r="Y428" s="35"/>
      <c r="Z428" s="2"/>
      <c r="AA428" s="2"/>
      <c r="AB428" s="2" t="str">
        <f>IFERROR(GA[[#This Row],[Plant Equivalent Weightage]]*GA[[#This Row],[Resolution Time]],"")</f>
        <v/>
      </c>
      <c r="AC428" s="2"/>
      <c r="AD428" s="32" t="str">
        <f>IFERROR((_xlfn.XLOOKUP(GA[[#This Row],[Month Year]],'Modelling New'!D:D,'Modelling New'!$O:$O)*GA[[#This Row],[Lost POA (Wh/m2)]]*GA[[#This Row],[DC Capacity Affceted (kW)]])/1000,"")</f>
        <v/>
      </c>
      <c r="AE428" s="2"/>
    </row>
    <row r="429" spans="1:31">
      <c r="A429" s="2">
        <f t="shared" si="31"/>
        <v>427</v>
      </c>
      <c r="B429" s="156">
        <f t="shared" si="29"/>
        <v>1900</v>
      </c>
      <c r="C429" s="129">
        <f t="shared" si="30"/>
        <v>1900</v>
      </c>
      <c r="I429" s="31" t="str">
        <f>IFERROR(VLOOKUP(GA[[#This Row],[Date]],Raw_Data[[#All],[Date]:[Sunset Time (POA&lt;20 W/m2)]],3,0),"")</f>
        <v/>
      </c>
      <c r="J429" s="31" t="str">
        <f>IFERROR(VLOOKUP(GA[[#This Row],[Date]],Raw_Data[[#All],[Date]:[Sunset Time (POA&lt;20 W/m2)]],4,0),"")</f>
        <v/>
      </c>
      <c r="K429" s="30" t="str">
        <f>IFERROR((GA[[#This Row],[Sunset Time (POA&lt;20 W/m2)]]-GA[[#This Row],[Sunrise Time (POA&gt;20 W/m2)]])*24,"")</f>
        <v/>
      </c>
      <c r="M429" s="17" t="str">
        <f>IFERROR(VLOOKUP(GA[[#This Row],[Affceted Equipment]],'Basic Data'!$A$1:$B$113,2,0),"")</f>
        <v/>
      </c>
      <c r="P429" s="28" t="str">
        <f>IFERROR(VLOOKUP(GA[[#This Row],[Affceted Equipment]],'Basic Data'!$A$2:$C$118,3,0),"")</f>
        <v/>
      </c>
      <c r="Q429" s="2"/>
      <c r="W429" s="34"/>
      <c r="X429" s="35"/>
      <c r="Y429" s="35"/>
      <c r="Z429" s="2"/>
      <c r="AA429" s="2"/>
      <c r="AB429" s="2" t="str">
        <f>IFERROR(GA[[#This Row],[Plant Equivalent Weightage]]*GA[[#This Row],[Resolution Time]],"")</f>
        <v/>
      </c>
      <c r="AC429" s="2"/>
      <c r="AD429" s="32" t="str">
        <f>IFERROR((_xlfn.XLOOKUP(GA[[#This Row],[Month Year]],'Modelling New'!D:D,'Modelling New'!$O:$O)*GA[[#This Row],[Lost POA (Wh/m2)]]*GA[[#This Row],[DC Capacity Affceted (kW)]])/1000,"")</f>
        <v/>
      </c>
      <c r="AE429" s="2"/>
    </row>
    <row r="430" spans="1:31">
      <c r="A430" s="2">
        <f t="shared" si="31"/>
        <v>428</v>
      </c>
      <c r="B430" s="156">
        <f t="shared" si="29"/>
        <v>1900</v>
      </c>
      <c r="C430" s="129">
        <f t="shared" si="30"/>
        <v>1900</v>
      </c>
      <c r="I430" s="31" t="str">
        <f>IFERROR(VLOOKUP(GA[[#This Row],[Date]],Raw_Data[[#All],[Date]:[Sunset Time (POA&lt;20 W/m2)]],3,0),"")</f>
        <v/>
      </c>
      <c r="J430" s="31" t="str">
        <f>IFERROR(VLOOKUP(GA[[#This Row],[Date]],Raw_Data[[#All],[Date]:[Sunset Time (POA&lt;20 W/m2)]],4,0),"")</f>
        <v/>
      </c>
      <c r="K430" s="30" t="str">
        <f>IFERROR((GA[[#This Row],[Sunset Time (POA&lt;20 W/m2)]]-GA[[#This Row],[Sunrise Time (POA&gt;20 W/m2)]])*24,"")</f>
        <v/>
      </c>
      <c r="M430" s="17" t="str">
        <f>IFERROR(VLOOKUP(GA[[#This Row],[Affceted Equipment]],'Basic Data'!$A$1:$B$113,2,0),"")</f>
        <v/>
      </c>
      <c r="P430" s="28" t="str">
        <f>IFERROR(VLOOKUP(GA[[#This Row],[Affceted Equipment]],'Basic Data'!$A$2:$C$118,3,0),"")</f>
        <v/>
      </c>
      <c r="Q430" s="2"/>
      <c r="W430" s="34"/>
      <c r="X430" s="35"/>
      <c r="Y430" s="35"/>
      <c r="Z430" s="2"/>
      <c r="AA430" s="2"/>
      <c r="AB430" s="2" t="str">
        <f>IFERROR(GA[[#This Row],[Plant Equivalent Weightage]]*GA[[#This Row],[Resolution Time]],"")</f>
        <v/>
      </c>
      <c r="AC430" s="2"/>
      <c r="AD430" s="32" t="str">
        <f>IFERROR((_xlfn.XLOOKUP(GA[[#This Row],[Month Year]],'Modelling New'!D:D,'Modelling New'!$O:$O)*GA[[#This Row],[Lost POA (Wh/m2)]]*GA[[#This Row],[DC Capacity Affceted (kW)]])/1000,"")</f>
        <v/>
      </c>
      <c r="AE430" s="2"/>
    </row>
    <row r="431" spans="1:31">
      <c r="A431" s="2">
        <f t="shared" si="31"/>
        <v>429</v>
      </c>
      <c r="B431" s="156">
        <f t="shared" si="29"/>
        <v>1900</v>
      </c>
      <c r="C431" s="129">
        <f t="shared" si="30"/>
        <v>1900</v>
      </c>
      <c r="I431" s="31" t="str">
        <f>IFERROR(VLOOKUP(GA[[#This Row],[Date]],Raw_Data[[#All],[Date]:[Sunset Time (POA&lt;20 W/m2)]],3,0),"")</f>
        <v/>
      </c>
      <c r="J431" s="31" t="str">
        <f>IFERROR(VLOOKUP(GA[[#This Row],[Date]],Raw_Data[[#All],[Date]:[Sunset Time (POA&lt;20 W/m2)]],4,0),"")</f>
        <v/>
      </c>
      <c r="K431" s="30" t="str">
        <f>IFERROR((GA[[#This Row],[Sunset Time (POA&lt;20 W/m2)]]-GA[[#This Row],[Sunrise Time (POA&gt;20 W/m2)]])*24,"")</f>
        <v/>
      </c>
      <c r="M431" s="17" t="str">
        <f>IFERROR(VLOOKUP(GA[[#This Row],[Affceted Equipment]],'Basic Data'!$A$1:$B$113,2,0),"")</f>
        <v/>
      </c>
      <c r="P431" s="28" t="str">
        <f>IFERROR(VLOOKUP(GA[[#This Row],[Affceted Equipment]],'Basic Data'!$A$2:$C$118,3,0),"")</f>
        <v/>
      </c>
      <c r="Q431" s="2"/>
      <c r="W431" s="34"/>
      <c r="X431" s="35"/>
      <c r="Y431" s="35"/>
      <c r="Z431" s="2"/>
      <c r="AA431" s="2"/>
      <c r="AB431" s="2" t="str">
        <f>IFERROR(GA[[#This Row],[Plant Equivalent Weightage]]*GA[[#This Row],[Resolution Time]],"")</f>
        <v/>
      </c>
      <c r="AC431" s="2"/>
      <c r="AD431" s="32" t="str">
        <f>IFERROR((_xlfn.XLOOKUP(GA[[#This Row],[Month Year]],'Modelling New'!D:D,'Modelling New'!$O:$O)*GA[[#This Row],[Lost POA (Wh/m2)]]*GA[[#This Row],[DC Capacity Affceted (kW)]])/1000,"")</f>
        <v/>
      </c>
      <c r="AE431" s="2"/>
    </row>
    <row r="432" spans="1:31">
      <c r="A432" s="2">
        <f t="shared" si="31"/>
        <v>430</v>
      </c>
      <c r="B432" s="156">
        <f t="shared" si="29"/>
        <v>1900</v>
      </c>
      <c r="C432" s="129">
        <f t="shared" si="30"/>
        <v>1900</v>
      </c>
      <c r="I432" s="31" t="str">
        <f>IFERROR(VLOOKUP(GA[[#This Row],[Date]],Raw_Data[[#All],[Date]:[Sunset Time (POA&lt;20 W/m2)]],3,0),"")</f>
        <v/>
      </c>
      <c r="J432" s="31" t="str">
        <f>IFERROR(VLOOKUP(GA[[#This Row],[Date]],Raw_Data[[#All],[Date]:[Sunset Time (POA&lt;20 W/m2)]],4,0),"")</f>
        <v/>
      </c>
      <c r="K432" s="30" t="str">
        <f>IFERROR((GA[[#This Row],[Sunset Time (POA&lt;20 W/m2)]]-GA[[#This Row],[Sunrise Time (POA&gt;20 W/m2)]])*24,"")</f>
        <v/>
      </c>
      <c r="M432" s="17" t="str">
        <f>IFERROR(VLOOKUP(GA[[#This Row],[Affceted Equipment]],'Basic Data'!$A$1:$B$113,2,0),"")</f>
        <v/>
      </c>
      <c r="P432" s="28" t="str">
        <f>IFERROR(VLOOKUP(GA[[#This Row],[Affceted Equipment]],'Basic Data'!$A$2:$C$118,3,0),"")</f>
        <v/>
      </c>
      <c r="Q432" s="2"/>
      <c r="W432" s="34"/>
      <c r="X432" s="35"/>
      <c r="Y432" s="35"/>
      <c r="Z432" s="2"/>
      <c r="AA432" s="2"/>
      <c r="AB432" s="2" t="str">
        <f>IFERROR(GA[[#This Row],[Plant Equivalent Weightage]]*GA[[#This Row],[Resolution Time]],"")</f>
        <v/>
      </c>
      <c r="AC432" s="2"/>
      <c r="AD432" s="32" t="str">
        <f>IFERROR((_xlfn.XLOOKUP(GA[[#This Row],[Month Year]],'Modelling New'!D:D,'Modelling New'!$O:$O)*GA[[#This Row],[Lost POA (Wh/m2)]]*GA[[#This Row],[DC Capacity Affceted (kW)]])/1000,"")</f>
        <v/>
      </c>
      <c r="AE432" s="2"/>
    </row>
    <row r="433" spans="1:31">
      <c r="A433" s="2">
        <f t="shared" si="31"/>
        <v>431</v>
      </c>
      <c r="B433" s="156">
        <f t="shared" si="29"/>
        <v>1900</v>
      </c>
      <c r="C433" s="129">
        <f t="shared" si="30"/>
        <v>1900</v>
      </c>
      <c r="I433" s="31" t="str">
        <f>IFERROR(VLOOKUP(GA[[#This Row],[Date]],Raw_Data[[#All],[Date]:[Sunset Time (POA&lt;20 W/m2)]],3,0),"")</f>
        <v/>
      </c>
      <c r="J433" s="31" t="str">
        <f>IFERROR(VLOOKUP(GA[[#This Row],[Date]],Raw_Data[[#All],[Date]:[Sunset Time (POA&lt;20 W/m2)]],4,0),"")</f>
        <v/>
      </c>
      <c r="K433" s="30" t="str">
        <f>IFERROR((GA[[#This Row],[Sunset Time (POA&lt;20 W/m2)]]-GA[[#This Row],[Sunrise Time (POA&gt;20 W/m2)]])*24,"")</f>
        <v/>
      </c>
      <c r="M433" s="17" t="str">
        <f>IFERROR(VLOOKUP(GA[[#This Row],[Affceted Equipment]],'Basic Data'!$A$1:$B$113,2,0),"")</f>
        <v/>
      </c>
      <c r="P433" s="28" t="str">
        <f>IFERROR(VLOOKUP(GA[[#This Row],[Affceted Equipment]],'Basic Data'!$A$2:$C$118,3,0),"")</f>
        <v/>
      </c>
      <c r="Q433" s="2"/>
      <c r="W433" s="34"/>
      <c r="X433" s="35"/>
      <c r="Y433" s="35"/>
      <c r="Z433" s="2"/>
      <c r="AA433" s="2"/>
      <c r="AB433" s="2" t="str">
        <f>IFERROR(GA[[#This Row],[Plant Equivalent Weightage]]*GA[[#This Row],[Resolution Time]],"")</f>
        <v/>
      </c>
      <c r="AC433" s="2"/>
      <c r="AD433" s="32" t="str">
        <f>IFERROR((_xlfn.XLOOKUP(GA[[#This Row],[Month Year]],'Modelling New'!D:D,'Modelling New'!$O:$O)*GA[[#This Row],[Lost POA (Wh/m2)]]*GA[[#This Row],[DC Capacity Affceted (kW)]])/1000,"")</f>
        <v/>
      </c>
      <c r="AE433" s="2"/>
    </row>
    <row r="434" spans="1:31">
      <c r="A434" s="2">
        <f t="shared" si="31"/>
        <v>432</v>
      </c>
      <c r="B434" s="156">
        <f t="shared" si="29"/>
        <v>1900</v>
      </c>
      <c r="C434" s="129">
        <f t="shared" si="30"/>
        <v>1900</v>
      </c>
      <c r="I434" s="31" t="str">
        <f>IFERROR(VLOOKUP(GA[[#This Row],[Date]],Raw_Data[[#All],[Date]:[Sunset Time (POA&lt;20 W/m2)]],3,0),"")</f>
        <v/>
      </c>
      <c r="J434" s="31" t="str">
        <f>IFERROR(VLOOKUP(GA[[#This Row],[Date]],Raw_Data[[#All],[Date]:[Sunset Time (POA&lt;20 W/m2)]],4,0),"")</f>
        <v/>
      </c>
      <c r="K434" s="30" t="str">
        <f>IFERROR((GA[[#This Row],[Sunset Time (POA&lt;20 W/m2)]]-GA[[#This Row],[Sunrise Time (POA&gt;20 W/m2)]])*24,"")</f>
        <v/>
      </c>
      <c r="M434" s="17" t="str">
        <f>IFERROR(VLOOKUP(GA[[#This Row],[Affceted Equipment]],'Basic Data'!$A$1:$B$113,2,0),"")</f>
        <v/>
      </c>
      <c r="P434" s="28" t="str">
        <f>IFERROR(VLOOKUP(GA[[#This Row],[Affceted Equipment]],'Basic Data'!$A$2:$C$118,3,0),"")</f>
        <v/>
      </c>
      <c r="Q434" s="2"/>
      <c r="W434" s="34"/>
      <c r="X434" s="35"/>
      <c r="Y434" s="35"/>
      <c r="Z434" s="2"/>
      <c r="AA434" s="2"/>
      <c r="AB434" s="2" t="str">
        <f>IFERROR(GA[[#This Row],[Plant Equivalent Weightage]]*GA[[#This Row],[Resolution Time]],"")</f>
        <v/>
      </c>
      <c r="AC434" s="2"/>
      <c r="AD434" s="32" t="str">
        <f>IFERROR((_xlfn.XLOOKUP(GA[[#This Row],[Month Year]],'Modelling New'!D:D,'Modelling New'!$O:$O)*GA[[#This Row],[Lost POA (Wh/m2)]]*GA[[#This Row],[DC Capacity Affceted (kW)]])/1000,"")</f>
        <v/>
      </c>
      <c r="AE434" s="2"/>
    </row>
    <row r="435" spans="1:31">
      <c r="A435" s="2">
        <f t="shared" si="31"/>
        <v>433</v>
      </c>
      <c r="B435" s="156">
        <f t="shared" si="29"/>
        <v>1900</v>
      </c>
      <c r="C435" s="129">
        <f t="shared" si="30"/>
        <v>1900</v>
      </c>
      <c r="I435" s="31" t="str">
        <f>IFERROR(VLOOKUP(GA[[#This Row],[Date]],Raw_Data[[#All],[Date]:[Sunset Time (POA&lt;20 W/m2)]],3,0),"")</f>
        <v/>
      </c>
      <c r="J435" s="31" t="str">
        <f>IFERROR(VLOOKUP(GA[[#This Row],[Date]],Raw_Data[[#All],[Date]:[Sunset Time (POA&lt;20 W/m2)]],4,0),"")</f>
        <v/>
      </c>
      <c r="K435" s="30" t="str">
        <f>IFERROR((GA[[#This Row],[Sunset Time (POA&lt;20 W/m2)]]-GA[[#This Row],[Sunrise Time (POA&gt;20 W/m2)]])*24,"")</f>
        <v/>
      </c>
      <c r="M435" s="17" t="str">
        <f>IFERROR(VLOOKUP(GA[[#This Row],[Affceted Equipment]],'Basic Data'!$A$1:$B$113,2,0),"")</f>
        <v/>
      </c>
      <c r="P435" s="28" t="str">
        <f>IFERROR(VLOOKUP(GA[[#This Row],[Affceted Equipment]],'Basic Data'!$A$2:$C$118,3,0),"")</f>
        <v/>
      </c>
      <c r="Q435" s="2"/>
      <c r="W435" s="34"/>
      <c r="X435" s="35"/>
      <c r="Y435" s="35"/>
      <c r="Z435" s="2"/>
      <c r="AA435" s="2"/>
      <c r="AB435" s="2" t="str">
        <f>IFERROR(GA[[#This Row],[Plant Equivalent Weightage]]*GA[[#This Row],[Resolution Time]],"")</f>
        <v/>
      </c>
      <c r="AC435" s="2"/>
      <c r="AD435" s="32" t="str">
        <f>IFERROR((_xlfn.XLOOKUP(GA[[#This Row],[Month Year]],'Modelling New'!D:D,'Modelling New'!$O:$O)*GA[[#This Row],[Lost POA (Wh/m2)]]*GA[[#This Row],[DC Capacity Affceted (kW)]])/1000,"")</f>
        <v/>
      </c>
      <c r="AE435" s="2"/>
    </row>
    <row r="436" spans="1:31">
      <c r="A436" s="2">
        <f t="shared" si="31"/>
        <v>434</v>
      </c>
      <c r="B436" s="156">
        <f t="shared" si="29"/>
        <v>1900</v>
      </c>
      <c r="C436" s="129">
        <f t="shared" si="30"/>
        <v>1900</v>
      </c>
      <c r="I436" s="31" t="str">
        <f>IFERROR(VLOOKUP(GA[[#This Row],[Date]],Raw_Data[[#All],[Date]:[Sunset Time (POA&lt;20 W/m2)]],3,0),"")</f>
        <v/>
      </c>
      <c r="J436" s="31" t="str">
        <f>IFERROR(VLOOKUP(GA[[#This Row],[Date]],Raw_Data[[#All],[Date]:[Sunset Time (POA&lt;20 W/m2)]],4,0),"")</f>
        <v/>
      </c>
      <c r="K436" s="30" t="str">
        <f>IFERROR((GA[[#This Row],[Sunset Time (POA&lt;20 W/m2)]]-GA[[#This Row],[Sunrise Time (POA&gt;20 W/m2)]])*24,"")</f>
        <v/>
      </c>
      <c r="M436" s="17" t="str">
        <f>IFERROR(VLOOKUP(GA[[#This Row],[Affceted Equipment]],'Basic Data'!$A$1:$B$113,2,0),"")</f>
        <v/>
      </c>
      <c r="P436" s="28" t="str">
        <f>IFERROR(VLOOKUP(GA[[#This Row],[Affceted Equipment]],'Basic Data'!$A$2:$C$118,3,0),"")</f>
        <v/>
      </c>
      <c r="Q436" s="2"/>
      <c r="W436" s="34"/>
      <c r="X436" s="35"/>
      <c r="Y436" s="35"/>
      <c r="Z436" s="2"/>
      <c r="AA436" s="2"/>
      <c r="AB436" s="2" t="str">
        <f>IFERROR(GA[[#This Row],[Plant Equivalent Weightage]]*GA[[#This Row],[Resolution Time]],"")</f>
        <v/>
      </c>
      <c r="AC436" s="2"/>
      <c r="AD436" s="32" t="str">
        <f>IFERROR((_xlfn.XLOOKUP(GA[[#This Row],[Month Year]],'Modelling New'!D:D,'Modelling New'!$O:$O)*GA[[#This Row],[Lost POA (Wh/m2)]]*GA[[#This Row],[DC Capacity Affceted (kW)]])/1000,"")</f>
        <v/>
      </c>
      <c r="AE436" s="2"/>
    </row>
    <row r="437" spans="1:31">
      <c r="A437" s="2">
        <f t="shared" si="31"/>
        <v>435</v>
      </c>
      <c r="B437" s="156">
        <f t="shared" si="29"/>
        <v>1900</v>
      </c>
      <c r="C437" s="129">
        <f t="shared" si="30"/>
        <v>1900</v>
      </c>
      <c r="I437" s="31" t="str">
        <f>IFERROR(VLOOKUP(GA[[#This Row],[Date]],Raw_Data[[#All],[Date]:[Sunset Time (POA&lt;20 W/m2)]],3,0),"")</f>
        <v/>
      </c>
      <c r="J437" s="31" t="str">
        <f>IFERROR(VLOOKUP(GA[[#This Row],[Date]],Raw_Data[[#All],[Date]:[Sunset Time (POA&lt;20 W/m2)]],4,0),"")</f>
        <v/>
      </c>
      <c r="K437" s="30" t="str">
        <f>IFERROR((GA[[#This Row],[Sunset Time (POA&lt;20 W/m2)]]-GA[[#This Row],[Sunrise Time (POA&gt;20 W/m2)]])*24,"")</f>
        <v/>
      </c>
      <c r="M437" s="17" t="str">
        <f>IFERROR(VLOOKUP(GA[[#This Row],[Affceted Equipment]],'Basic Data'!$A$1:$B$113,2,0),"")</f>
        <v/>
      </c>
      <c r="P437" s="28" t="str">
        <f>IFERROR(VLOOKUP(GA[[#This Row],[Affceted Equipment]],'Basic Data'!$A$2:$C$118,3,0),"")</f>
        <v/>
      </c>
      <c r="Q437" s="2"/>
      <c r="W437" s="34"/>
      <c r="X437" s="35"/>
      <c r="Y437" s="35"/>
      <c r="Z437" s="2"/>
      <c r="AA437" s="2"/>
      <c r="AB437" s="2" t="str">
        <f>IFERROR(GA[[#This Row],[Plant Equivalent Weightage]]*GA[[#This Row],[Resolution Time]],"")</f>
        <v/>
      </c>
      <c r="AC437" s="2"/>
      <c r="AD437" s="32" t="str">
        <f>IFERROR((_xlfn.XLOOKUP(GA[[#This Row],[Month Year]],'Modelling New'!D:D,'Modelling New'!$O:$O)*GA[[#This Row],[Lost POA (Wh/m2)]]*GA[[#This Row],[DC Capacity Affceted (kW)]])/1000,"")</f>
        <v/>
      </c>
      <c r="AE437" s="2"/>
    </row>
    <row r="438" spans="1:31">
      <c r="A438" s="2">
        <f t="shared" si="31"/>
        <v>436</v>
      </c>
      <c r="B438" s="156">
        <f t="shared" si="29"/>
        <v>1900</v>
      </c>
      <c r="C438" s="129">
        <f t="shared" si="30"/>
        <v>1900</v>
      </c>
      <c r="I438" s="31" t="str">
        <f>IFERROR(VLOOKUP(GA[[#This Row],[Date]],Raw_Data[[#All],[Date]:[Sunset Time (POA&lt;20 W/m2)]],3,0),"")</f>
        <v/>
      </c>
      <c r="J438" s="31" t="str">
        <f>IFERROR(VLOOKUP(GA[[#This Row],[Date]],Raw_Data[[#All],[Date]:[Sunset Time (POA&lt;20 W/m2)]],4,0),"")</f>
        <v/>
      </c>
      <c r="K438" s="30" t="str">
        <f>IFERROR((GA[[#This Row],[Sunset Time (POA&lt;20 W/m2)]]-GA[[#This Row],[Sunrise Time (POA&gt;20 W/m2)]])*24,"")</f>
        <v/>
      </c>
      <c r="M438" s="17" t="str">
        <f>IFERROR(VLOOKUP(GA[[#This Row],[Affceted Equipment]],'Basic Data'!$A$1:$B$113,2,0),"")</f>
        <v/>
      </c>
      <c r="P438" s="28" t="str">
        <f>IFERROR(VLOOKUP(GA[[#This Row],[Affceted Equipment]],'Basic Data'!$A$2:$C$118,3,0),"")</f>
        <v/>
      </c>
      <c r="Q438" s="2"/>
      <c r="W438" s="34"/>
      <c r="X438" s="35"/>
      <c r="Y438" s="35"/>
      <c r="Z438" s="2"/>
      <c r="AA438" s="2"/>
      <c r="AB438" s="2" t="str">
        <f>IFERROR(GA[[#This Row],[Plant Equivalent Weightage]]*GA[[#This Row],[Resolution Time]],"")</f>
        <v/>
      </c>
      <c r="AC438" s="2"/>
      <c r="AD438" s="32" t="str">
        <f>IFERROR((_xlfn.XLOOKUP(GA[[#This Row],[Month Year]],'Modelling New'!D:D,'Modelling New'!$O:$O)*GA[[#This Row],[Lost POA (Wh/m2)]]*GA[[#This Row],[DC Capacity Affceted (kW)]])/1000,"")</f>
        <v/>
      </c>
      <c r="AE438" s="2"/>
    </row>
    <row r="439" spans="1:31">
      <c r="A439" s="2">
        <f t="shared" si="31"/>
        <v>437</v>
      </c>
      <c r="B439" s="156">
        <f t="shared" si="29"/>
        <v>1900</v>
      </c>
      <c r="C439" s="129">
        <f t="shared" si="30"/>
        <v>1900</v>
      </c>
      <c r="I439" s="31" t="str">
        <f>IFERROR(VLOOKUP(GA[[#This Row],[Date]],Raw_Data[[#All],[Date]:[Sunset Time (POA&lt;20 W/m2)]],3,0),"")</f>
        <v/>
      </c>
      <c r="J439" s="31" t="str">
        <f>IFERROR(VLOOKUP(GA[[#This Row],[Date]],Raw_Data[[#All],[Date]:[Sunset Time (POA&lt;20 W/m2)]],4,0),"")</f>
        <v/>
      </c>
      <c r="K439" s="30" t="str">
        <f>IFERROR((GA[[#This Row],[Sunset Time (POA&lt;20 W/m2)]]-GA[[#This Row],[Sunrise Time (POA&gt;20 W/m2)]])*24,"")</f>
        <v/>
      </c>
      <c r="M439" s="17" t="str">
        <f>IFERROR(VLOOKUP(GA[[#This Row],[Affceted Equipment]],'Basic Data'!$A$1:$B$113,2,0),"")</f>
        <v/>
      </c>
      <c r="P439" s="28" t="str">
        <f>IFERROR(VLOOKUP(GA[[#This Row],[Affceted Equipment]],'Basic Data'!$A$2:$C$118,3,0),"")</f>
        <v/>
      </c>
      <c r="Q439" s="2"/>
      <c r="W439" s="34"/>
      <c r="X439" s="35"/>
      <c r="Y439" s="35"/>
      <c r="Z439" s="2"/>
      <c r="AA439" s="2"/>
      <c r="AB439" s="2" t="str">
        <f>IFERROR(GA[[#This Row],[Plant Equivalent Weightage]]*GA[[#This Row],[Resolution Time]],"")</f>
        <v/>
      </c>
      <c r="AC439" s="2"/>
      <c r="AD439" s="32" t="str">
        <f>IFERROR((_xlfn.XLOOKUP(GA[[#This Row],[Month Year]],'Modelling New'!D:D,'Modelling New'!$O:$O)*GA[[#This Row],[Lost POA (Wh/m2)]]*GA[[#This Row],[DC Capacity Affceted (kW)]])/1000,"")</f>
        <v/>
      </c>
      <c r="AE439" s="2"/>
    </row>
    <row r="440" spans="1:31">
      <c r="A440" s="2">
        <f t="shared" si="31"/>
        <v>438</v>
      </c>
      <c r="B440" s="156">
        <f t="shared" si="29"/>
        <v>1900</v>
      </c>
      <c r="C440" s="129">
        <f t="shared" si="30"/>
        <v>1900</v>
      </c>
      <c r="I440" s="31" t="str">
        <f>IFERROR(VLOOKUP(GA[[#This Row],[Date]],Raw_Data[[#All],[Date]:[Sunset Time (POA&lt;20 W/m2)]],3,0),"")</f>
        <v/>
      </c>
      <c r="J440" s="31" t="str">
        <f>IFERROR(VLOOKUP(GA[[#This Row],[Date]],Raw_Data[[#All],[Date]:[Sunset Time (POA&lt;20 W/m2)]],4,0),"")</f>
        <v/>
      </c>
      <c r="K440" s="30" t="str">
        <f>IFERROR((GA[[#This Row],[Sunset Time (POA&lt;20 W/m2)]]-GA[[#This Row],[Sunrise Time (POA&gt;20 W/m2)]])*24,"")</f>
        <v/>
      </c>
      <c r="M440" s="17" t="str">
        <f>IFERROR(VLOOKUP(GA[[#This Row],[Affceted Equipment]],'Basic Data'!$A$1:$B$113,2,0),"")</f>
        <v/>
      </c>
      <c r="P440" s="28" t="str">
        <f>IFERROR(VLOOKUP(GA[[#This Row],[Affceted Equipment]],'Basic Data'!$A$2:$C$118,3,0),"")</f>
        <v/>
      </c>
      <c r="Q440" s="2"/>
      <c r="W440" s="34"/>
      <c r="X440" s="35"/>
      <c r="Y440" s="35"/>
      <c r="Z440" s="2"/>
      <c r="AA440" s="2"/>
      <c r="AB440" s="2" t="str">
        <f>IFERROR(GA[[#This Row],[Plant Equivalent Weightage]]*GA[[#This Row],[Resolution Time]],"")</f>
        <v/>
      </c>
      <c r="AC440" s="2"/>
      <c r="AD440" s="32" t="str">
        <f>IFERROR((_xlfn.XLOOKUP(GA[[#This Row],[Month Year]],'Modelling New'!D:D,'Modelling New'!$O:$O)*GA[[#This Row],[Lost POA (Wh/m2)]]*GA[[#This Row],[DC Capacity Affceted (kW)]])/1000,"")</f>
        <v/>
      </c>
      <c r="AE440" s="2"/>
    </row>
    <row r="441" spans="1:31">
      <c r="A441" s="2">
        <f t="shared" si="31"/>
        <v>439</v>
      </c>
      <c r="B441" s="156">
        <f t="shared" si="29"/>
        <v>1900</v>
      </c>
      <c r="C441" s="129">
        <f t="shared" si="30"/>
        <v>1900</v>
      </c>
      <c r="I441" s="31" t="str">
        <f>IFERROR(VLOOKUP(GA[[#This Row],[Date]],Raw_Data[[#All],[Date]:[Sunset Time (POA&lt;20 W/m2)]],3,0),"")</f>
        <v/>
      </c>
      <c r="J441" s="31" t="str">
        <f>IFERROR(VLOOKUP(GA[[#This Row],[Date]],Raw_Data[[#All],[Date]:[Sunset Time (POA&lt;20 W/m2)]],4,0),"")</f>
        <v/>
      </c>
      <c r="K441" s="30" t="str">
        <f>IFERROR((GA[[#This Row],[Sunset Time (POA&lt;20 W/m2)]]-GA[[#This Row],[Sunrise Time (POA&gt;20 W/m2)]])*24,"")</f>
        <v/>
      </c>
      <c r="M441" s="17" t="str">
        <f>IFERROR(VLOOKUP(GA[[#This Row],[Affceted Equipment]],'Basic Data'!$A$1:$B$113,2,0),"")</f>
        <v/>
      </c>
      <c r="P441" s="28" t="str">
        <f>IFERROR(VLOOKUP(GA[[#This Row],[Affceted Equipment]],'Basic Data'!$A$2:$C$118,3,0),"")</f>
        <v/>
      </c>
      <c r="Q441" s="2"/>
      <c r="W441" s="34"/>
      <c r="X441" s="35"/>
      <c r="Y441" s="35"/>
      <c r="Z441" s="2"/>
      <c r="AA441" s="2"/>
      <c r="AB441" s="2" t="str">
        <f>IFERROR(GA[[#This Row],[Plant Equivalent Weightage]]*GA[[#This Row],[Resolution Time]],"")</f>
        <v/>
      </c>
      <c r="AC441" s="2"/>
      <c r="AD441" s="32" t="str">
        <f>IFERROR((_xlfn.XLOOKUP(GA[[#This Row],[Month Year]],'Modelling New'!D:D,'Modelling New'!$O:$O)*GA[[#This Row],[Lost POA (Wh/m2)]]*GA[[#This Row],[DC Capacity Affceted (kW)]])/1000,"")</f>
        <v/>
      </c>
      <c r="AE441" s="2"/>
    </row>
    <row r="442" spans="1:31">
      <c r="A442" s="2">
        <f t="shared" si="31"/>
        <v>440</v>
      </c>
      <c r="B442" s="156">
        <f t="shared" si="29"/>
        <v>1900</v>
      </c>
      <c r="C442" s="129">
        <f t="shared" si="30"/>
        <v>1900</v>
      </c>
      <c r="I442" s="31" t="str">
        <f>IFERROR(VLOOKUP(GA[[#This Row],[Date]],Raw_Data[[#All],[Date]:[Sunset Time (POA&lt;20 W/m2)]],3,0),"")</f>
        <v/>
      </c>
      <c r="J442" s="31" t="str">
        <f>IFERROR(VLOOKUP(GA[[#This Row],[Date]],Raw_Data[[#All],[Date]:[Sunset Time (POA&lt;20 W/m2)]],4,0),"")</f>
        <v/>
      </c>
      <c r="K442" s="30" t="str">
        <f>IFERROR((GA[[#This Row],[Sunset Time (POA&lt;20 W/m2)]]-GA[[#This Row],[Sunrise Time (POA&gt;20 W/m2)]])*24,"")</f>
        <v/>
      </c>
      <c r="M442" s="17" t="str">
        <f>IFERROR(VLOOKUP(GA[[#This Row],[Affceted Equipment]],'Basic Data'!$A$1:$B$113,2,0),"")</f>
        <v/>
      </c>
      <c r="P442" s="28" t="str">
        <f>IFERROR(VLOOKUP(GA[[#This Row],[Affceted Equipment]],'Basic Data'!$A$2:$C$118,3,0),"")</f>
        <v/>
      </c>
      <c r="Q442" s="2"/>
      <c r="W442" s="34"/>
      <c r="X442" s="35"/>
      <c r="Y442" s="35"/>
      <c r="Z442" s="2"/>
      <c r="AA442" s="2"/>
      <c r="AB442" s="2" t="str">
        <f>IFERROR(GA[[#This Row],[Plant Equivalent Weightage]]*GA[[#This Row],[Resolution Time]],"")</f>
        <v/>
      </c>
      <c r="AC442" s="2"/>
      <c r="AD442" s="32" t="str">
        <f>IFERROR((_xlfn.XLOOKUP(GA[[#This Row],[Month Year]],'Modelling New'!D:D,'Modelling New'!$O:$O)*GA[[#This Row],[Lost POA (Wh/m2)]]*GA[[#This Row],[DC Capacity Affceted (kW)]])/1000,"")</f>
        <v/>
      </c>
      <c r="AE442" s="2"/>
    </row>
    <row r="443" spans="1:31">
      <c r="A443" s="2">
        <f t="shared" si="31"/>
        <v>441</v>
      </c>
      <c r="B443" s="156">
        <f t="shared" si="29"/>
        <v>1900</v>
      </c>
      <c r="C443" s="129">
        <f t="shared" si="30"/>
        <v>1900</v>
      </c>
      <c r="I443" s="31" t="str">
        <f>IFERROR(VLOOKUP(GA[[#This Row],[Date]],Raw_Data[[#All],[Date]:[Sunset Time (POA&lt;20 W/m2)]],3,0),"")</f>
        <v/>
      </c>
      <c r="J443" s="31" t="str">
        <f>IFERROR(VLOOKUP(GA[[#This Row],[Date]],Raw_Data[[#All],[Date]:[Sunset Time (POA&lt;20 W/m2)]],4,0),"")</f>
        <v/>
      </c>
      <c r="K443" s="30" t="str">
        <f>IFERROR((GA[[#This Row],[Sunset Time (POA&lt;20 W/m2)]]-GA[[#This Row],[Sunrise Time (POA&gt;20 W/m2)]])*24,"")</f>
        <v/>
      </c>
      <c r="M443" s="17" t="str">
        <f>IFERROR(VLOOKUP(GA[[#This Row],[Affceted Equipment]],'Basic Data'!$A$1:$B$113,2,0),"")</f>
        <v/>
      </c>
      <c r="P443" s="28" t="str">
        <f>IFERROR(VLOOKUP(GA[[#This Row],[Affceted Equipment]],'Basic Data'!$A$2:$C$118,3,0),"")</f>
        <v/>
      </c>
      <c r="Q443" s="2"/>
      <c r="W443" s="34"/>
      <c r="X443" s="35"/>
      <c r="Y443" s="35"/>
      <c r="Z443" s="2"/>
      <c r="AA443" s="2"/>
      <c r="AB443" s="2" t="str">
        <f>IFERROR(GA[[#This Row],[Plant Equivalent Weightage]]*GA[[#This Row],[Resolution Time]],"")</f>
        <v/>
      </c>
      <c r="AC443" s="2"/>
      <c r="AD443" s="32" t="str">
        <f>IFERROR((_xlfn.XLOOKUP(GA[[#This Row],[Month Year]],'Modelling New'!D:D,'Modelling New'!$O:$O)*GA[[#This Row],[Lost POA (Wh/m2)]]*GA[[#This Row],[DC Capacity Affceted (kW)]])/1000,"")</f>
        <v/>
      </c>
      <c r="AE443" s="2"/>
    </row>
    <row r="444" spans="1:31">
      <c r="A444" s="2">
        <f t="shared" si="31"/>
        <v>442</v>
      </c>
      <c r="B444" s="156">
        <f t="shared" si="29"/>
        <v>1900</v>
      </c>
      <c r="C444" s="129">
        <f t="shared" si="30"/>
        <v>1900</v>
      </c>
      <c r="I444" s="31" t="str">
        <f>IFERROR(VLOOKUP(GA[[#This Row],[Date]],Raw_Data[[#All],[Date]:[Sunset Time (POA&lt;20 W/m2)]],3,0),"")</f>
        <v/>
      </c>
      <c r="J444" s="31" t="str">
        <f>IFERROR(VLOOKUP(GA[[#This Row],[Date]],Raw_Data[[#All],[Date]:[Sunset Time (POA&lt;20 W/m2)]],4,0),"")</f>
        <v/>
      </c>
      <c r="K444" s="30" t="str">
        <f>IFERROR((GA[[#This Row],[Sunset Time (POA&lt;20 W/m2)]]-GA[[#This Row],[Sunrise Time (POA&gt;20 W/m2)]])*24,"")</f>
        <v/>
      </c>
      <c r="M444" s="17" t="str">
        <f>IFERROR(VLOOKUP(GA[[#This Row],[Affceted Equipment]],'Basic Data'!$A$1:$B$113,2,0),"")</f>
        <v/>
      </c>
      <c r="P444" s="28" t="str">
        <f>IFERROR(VLOOKUP(GA[[#This Row],[Affceted Equipment]],'Basic Data'!$A$2:$C$118,3,0),"")</f>
        <v/>
      </c>
      <c r="Q444" s="2"/>
      <c r="W444" s="34"/>
      <c r="X444" s="35"/>
      <c r="Y444" s="35"/>
      <c r="Z444" s="2"/>
      <c r="AA444" s="2"/>
      <c r="AB444" s="2" t="str">
        <f>IFERROR(GA[[#This Row],[Plant Equivalent Weightage]]*GA[[#This Row],[Resolution Time]],"")</f>
        <v/>
      </c>
      <c r="AC444" s="2"/>
      <c r="AD444" s="32" t="str">
        <f>IFERROR((_xlfn.XLOOKUP(GA[[#This Row],[Month Year]],'Modelling New'!D:D,'Modelling New'!$O:$O)*GA[[#This Row],[Lost POA (Wh/m2)]]*GA[[#This Row],[DC Capacity Affceted (kW)]])/1000,"")</f>
        <v/>
      </c>
      <c r="AE444" s="2"/>
    </row>
    <row r="445" spans="1:31">
      <c r="A445" s="2">
        <f t="shared" si="31"/>
        <v>443</v>
      </c>
      <c r="B445" s="156">
        <f t="shared" si="29"/>
        <v>1900</v>
      </c>
      <c r="C445" s="129">
        <f t="shared" si="30"/>
        <v>1900</v>
      </c>
      <c r="I445" s="31" t="str">
        <f>IFERROR(VLOOKUP(GA[[#This Row],[Date]],Raw_Data[[#All],[Date]:[Sunset Time (POA&lt;20 W/m2)]],3,0),"")</f>
        <v/>
      </c>
      <c r="J445" s="31" t="str">
        <f>IFERROR(VLOOKUP(GA[[#This Row],[Date]],Raw_Data[[#All],[Date]:[Sunset Time (POA&lt;20 W/m2)]],4,0),"")</f>
        <v/>
      </c>
      <c r="K445" s="30" t="str">
        <f>IFERROR((GA[[#This Row],[Sunset Time (POA&lt;20 W/m2)]]-GA[[#This Row],[Sunrise Time (POA&gt;20 W/m2)]])*24,"")</f>
        <v/>
      </c>
      <c r="M445" s="17" t="str">
        <f>IFERROR(VLOOKUP(GA[[#This Row],[Affceted Equipment]],'Basic Data'!$A$1:$B$113,2,0),"")</f>
        <v/>
      </c>
      <c r="P445" s="28" t="str">
        <f>IFERROR(VLOOKUP(GA[[#This Row],[Affceted Equipment]],'Basic Data'!$A$2:$C$118,3,0),"")</f>
        <v/>
      </c>
      <c r="Q445" s="2"/>
      <c r="W445" s="34"/>
      <c r="X445" s="35"/>
      <c r="Y445" s="35"/>
      <c r="Z445" s="2"/>
      <c r="AA445" s="2"/>
      <c r="AB445" s="2" t="str">
        <f>IFERROR(GA[[#This Row],[Plant Equivalent Weightage]]*GA[[#This Row],[Resolution Time]],"")</f>
        <v/>
      </c>
      <c r="AC445" s="2"/>
      <c r="AD445" s="32" t="str">
        <f>IFERROR((_xlfn.XLOOKUP(GA[[#This Row],[Month Year]],'Modelling New'!D:D,'Modelling New'!$O:$O)*GA[[#This Row],[Lost POA (Wh/m2)]]*GA[[#This Row],[DC Capacity Affceted (kW)]])/1000,"")</f>
        <v/>
      </c>
      <c r="AE445" s="2"/>
    </row>
    <row r="446" spans="1:31">
      <c r="A446" s="2">
        <f t="shared" si="31"/>
        <v>444</v>
      </c>
      <c r="B446" s="156">
        <f t="shared" si="29"/>
        <v>1900</v>
      </c>
      <c r="C446" s="129">
        <f t="shared" si="30"/>
        <v>1900</v>
      </c>
      <c r="I446" s="31" t="str">
        <f>IFERROR(VLOOKUP(GA[[#This Row],[Date]],Raw_Data[[#All],[Date]:[Sunset Time (POA&lt;20 W/m2)]],3,0),"")</f>
        <v/>
      </c>
      <c r="J446" s="31" t="str">
        <f>IFERROR(VLOOKUP(GA[[#This Row],[Date]],Raw_Data[[#All],[Date]:[Sunset Time (POA&lt;20 W/m2)]],4,0),"")</f>
        <v/>
      </c>
      <c r="K446" s="30" t="str">
        <f>IFERROR((GA[[#This Row],[Sunset Time (POA&lt;20 W/m2)]]-GA[[#This Row],[Sunrise Time (POA&gt;20 W/m2)]])*24,"")</f>
        <v/>
      </c>
      <c r="M446" s="17" t="str">
        <f>IFERROR(VLOOKUP(GA[[#This Row],[Affceted Equipment]],'Basic Data'!$A$1:$B$113,2,0),"")</f>
        <v/>
      </c>
      <c r="P446" s="28" t="str">
        <f>IFERROR(VLOOKUP(GA[[#This Row],[Affceted Equipment]],'Basic Data'!$A$2:$C$118,3,0),"")</f>
        <v/>
      </c>
      <c r="Q446" s="2"/>
      <c r="W446" s="34"/>
      <c r="X446" s="35"/>
      <c r="Y446" s="35"/>
      <c r="Z446" s="2"/>
      <c r="AA446" s="2"/>
      <c r="AB446" s="2" t="str">
        <f>IFERROR(GA[[#This Row],[Plant Equivalent Weightage]]*GA[[#This Row],[Resolution Time]],"")</f>
        <v/>
      </c>
      <c r="AC446" s="2"/>
      <c r="AD446" s="32" t="str">
        <f>IFERROR((_xlfn.XLOOKUP(GA[[#This Row],[Month Year]],'Modelling New'!D:D,'Modelling New'!$O:$O)*GA[[#This Row],[Lost POA (Wh/m2)]]*GA[[#This Row],[DC Capacity Affceted (kW)]])/1000,"")</f>
        <v/>
      </c>
      <c r="AE446" s="2"/>
    </row>
    <row r="447" spans="1:31">
      <c r="A447" s="2">
        <f t="shared" si="31"/>
        <v>445</v>
      </c>
      <c r="B447" s="156">
        <f t="shared" si="29"/>
        <v>1900</v>
      </c>
      <c r="C447" s="129">
        <f t="shared" si="30"/>
        <v>1900</v>
      </c>
      <c r="I447" s="31" t="str">
        <f>IFERROR(VLOOKUP(GA[[#This Row],[Date]],Raw_Data[[#All],[Date]:[Sunset Time (POA&lt;20 W/m2)]],3,0),"")</f>
        <v/>
      </c>
      <c r="J447" s="31" t="str">
        <f>IFERROR(VLOOKUP(GA[[#This Row],[Date]],Raw_Data[[#All],[Date]:[Sunset Time (POA&lt;20 W/m2)]],4,0),"")</f>
        <v/>
      </c>
      <c r="K447" s="30" t="str">
        <f>IFERROR((GA[[#This Row],[Sunset Time (POA&lt;20 W/m2)]]-GA[[#This Row],[Sunrise Time (POA&gt;20 W/m2)]])*24,"")</f>
        <v/>
      </c>
      <c r="M447" s="17" t="str">
        <f>IFERROR(VLOOKUP(GA[[#This Row],[Affceted Equipment]],'Basic Data'!$A$1:$B$113,2,0),"")</f>
        <v/>
      </c>
      <c r="P447" s="28" t="str">
        <f>IFERROR(VLOOKUP(GA[[#This Row],[Affceted Equipment]],'Basic Data'!$A$2:$C$118,3,0),"")</f>
        <v/>
      </c>
      <c r="Q447" s="2"/>
      <c r="W447" s="34"/>
      <c r="X447" s="35"/>
      <c r="Y447" s="35"/>
      <c r="Z447" s="2"/>
      <c r="AA447" s="2"/>
      <c r="AB447" s="2" t="str">
        <f>IFERROR(GA[[#This Row],[Plant Equivalent Weightage]]*GA[[#This Row],[Resolution Time]],"")</f>
        <v/>
      </c>
      <c r="AC447" s="2"/>
      <c r="AD447" s="32" t="str">
        <f>IFERROR((_xlfn.XLOOKUP(GA[[#This Row],[Month Year]],'Modelling New'!D:D,'Modelling New'!$O:$O)*GA[[#This Row],[Lost POA (Wh/m2)]]*GA[[#This Row],[DC Capacity Affceted (kW)]])/1000,"")</f>
        <v/>
      </c>
      <c r="AE447" s="2"/>
    </row>
    <row r="448" spans="1:31">
      <c r="A448" s="2">
        <f t="shared" si="31"/>
        <v>446</v>
      </c>
      <c r="B448" s="156">
        <f t="shared" si="29"/>
        <v>1900</v>
      </c>
      <c r="C448" s="129">
        <f t="shared" si="30"/>
        <v>1900</v>
      </c>
      <c r="I448" s="31" t="str">
        <f>IFERROR(VLOOKUP(GA[[#This Row],[Date]],Raw_Data[[#All],[Date]:[Sunset Time (POA&lt;20 W/m2)]],3,0),"")</f>
        <v/>
      </c>
      <c r="J448" s="31" t="str">
        <f>IFERROR(VLOOKUP(GA[[#This Row],[Date]],Raw_Data[[#All],[Date]:[Sunset Time (POA&lt;20 W/m2)]],4,0),"")</f>
        <v/>
      </c>
      <c r="K448" s="30" t="str">
        <f>IFERROR((GA[[#This Row],[Sunset Time (POA&lt;20 W/m2)]]-GA[[#This Row],[Sunrise Time (POA&gt;20 W/m2)]])*24,"")</f>
        <v/>
      </c>
      <c r="M448" s="17" t="str">
        <f>IFERROR(VLOOKUP(GA[[#This Row],[Affceted Equipment]],'Basic Data'!$A$1:$B$113,2,0),"")</f>
        <v/>
      </c>
      <c r="P448" s="28" t="str">
        <f>IFERROR(VLOOKUP(GA[[#This Row],[Affceted Equipment]],'Basic Data'!$A$2:$C$118,3,0),"")</f>
        <v/>
      </c>
      <c r="Q448" s="2"/>
      <c r="W448" s="34"/>
      <c r="X448" s="35"/>
      <c r="Y448" s="35"/>
      <c r="Z448" s="2"/>
      <c r="AA448" s="2"/>
      <c r="AB448" s="2" t="str">
        <f>IFERROR(GA[[#This Row],[Plant Equivalent Weightage]]*GA[[#This Row],[Resolution Time]],"")</f>
        <v/>
      </c>
      <c r="AC448" s="2"/>
      <c r="AD448" s="32" t="str">
        <f>IFERROR((_xlfn.XLOOKUP(GA[[#This Row],[Month Year]],'Modelling New'!D:D,'Modelling New'!$O:$O)*GA[[#This Row],[Lost POA (Wh/m2)]]*GA[[#This Row],[DC Capacity Affceted (kW)]])/1000,"")</f>
        <v/>
      </c>
      <c r="AE448" s="2"/>
    </row>
    <row r="449" spans="1:31">
      <c r="A449" s="2">
        <f t="shared" si="31"/>
        <v>447</v>
      </c>
      <c r="B449" s="156">
        <f t="shared" si="29"/>
        <v>1900</v>
      </c>
      <c r="C449" s="129">
        <f t="shared" si="30"/>
        <v>1900</v>
      </c>
      <c r="I449" s="31" t="str">
        <f>IFERROR(VLOOKUP(GA[[#This Row],[Date]],Raw_Data[[#All],[Date]:[Sunset Time (POA&lt;20 W/m2)]],3,0),"")</f>
        <v/>
      </c>
      <c r="J449" s="31" t="str">
        <f>IFERROR(VLOOKUP(GA[[#This Row],[Date]],Raw_Data[[#All],[Date]:[Sunset Time (POA&lt;20 W/m2)]],4,0),"")</f>
        <v/>
      </c>
      <c r="K449" s="30" t="str">
        <f>IFERROR((GA[[#This Row],[Sunset Time (POA&lt;20 W/m2)]]-GA[[#This Row],[Sunrise Time (POA&gt;20 W/m2)]])*24,"")</f>
        <v/>
      </c>
      <c r="M449" s="17" t="str">
        <f>IFERROR(VLOOKUP(GA[[#This Row],[Affceted Equipment]],'Basic Data'!$A$1:$B$113,2,0),"")</f>
        <v/>
      </c>
      <c r="P449" s="28" t="str">
        <f>IFERROR(VLOOKUP(GA[[#This Row],[Affceted Equipment]],'Basic Data'!$A$2:$C$118,3,0),"")</f>
        <v/>
      </c>
      <c r="Q449" s="2"/>
      <c r="W449" s="34"/>
      <c r="X449" s="35"/>
      <c r="Y449" s="35"/>
      <c r="Z449" s="2"/>
      <c r="AA449" s="2"/>
      <c r="AB449" s="2" t="str">
        <f>IFERROR(GA[[#This Row],[Plant Equivalent Weightage]]*GA[[#This Row],[Resolution Time]],"")</f>
        <v/>
      </c>
      <c r="AC449" s="2"/>
      <c r="AD449" s="32" t="str">
        <f>IFERROR((_xlfn.XLOOKUP(GA[[#This Row],[Month Year]],'Modelling New'!D:D,'Modelling New'!$O:$O)*GA[[#This Row],[Lost POA (Wh/m2)]]*GA[[#This Row],[DC Capacity Affceted (kW)]])/1000,"")</f>
        <v/>
      </c>
      <c r="AE449" s="2"/>
    </row>
    <row r="450" spans="1:31">
      <c r="A450" s="2">
        <f t="shared" si="31"/>
        <v>448</v>
      </c>
      <c r="B450" s="156">
        <f t="shared" si="29"/>
        <v>1900</v>
      </c>
      <c r="C450" s="129">
        <f t="shared" si="30"/>
        <v>1900</v>
      </c>
      <c r="I450" s="31" t="str">
        <f>IFERROR(VLOOKUP(GA[[#This Row],[Date]],Raw_Data[[#All],[Date]:[Sunset Time (POA&lt;20 W/m2)]],3,0),"")</f>
        <v/>
      </c>
      <c r="J450" s="31" t="str">
        <f>IFERROR(VLOOKUP(GA[[#This Row],[Date]],Raw_Data[[#All],[Date]:[Sunset Time (POA&lt;20 W/m2)]],4,0),"")</f>
        <v/>
      </c>
      <c r="K450" s="30" t="str">
        <f>IFERROR((GA[[#This Row],[Sunset Time (POA&lt;20 W/m2)]]-GA[[#This Row],[Sunrise Time (POA&gt;20 W/m2)]])*24,"")</f>
        <v/>
      </c>
      <c r="M450" s="17" t="str">
        <f>IFERROR(VLOOKUP(GA[[#This Row],[Affceted Equipment]],'Basic Data'!$A$1:$B$113,2,0),"")</f>
        <v/>
      </c>
      <c r="P450" s="28" t="str">
        <f>IFERROR(VLOOKUP(GA[[#This Row],[Affceted Equipment]],'Basic Data'!$A$2:$C$118,3,0),"")</f>
        <v/>
      </c>
      <c r="Q450" s="2"/>
      <c r="W450" s="34"/>
      <c r="X450" s="35"/>
      <c r="Y450" s="35"/>
      <c r="Z450" s="2"/>
      <c r="AA450" s="2"/>
      <c r="AB450" s="2" t="str">
        <f>IFERROR(GA[[#This Row],[Plant Equivalent Weightage]]*GA[[#This Row],[Resolution Time]],"")</f>
        <v/>
      </c>
      <c r="AC450" s="2"/>
      <c r="AD450" s="32" t="str">
        <f>IFERROR((_xlfn.XLOOKUP(GA[[#This Row],[Month Year]],'Modelling New'!D:D,'Modelling New'!$O:$O)*GA[[#This Row],[Lost POA (Wh/m2)]]*GA[[#This Row],[DC Capacity Affceted (kW)]])/1000,"")</f>
        <v/>
      </c>
      <c r="AE450" s="2"/>
    </row>
    <row r="451" spans="1:31">
      <c r="A451" s="2">
        <f t="shared" si="31"/>
        <v>449</v>
      </c>
      <c r="B451" s="156">
        <f t="shared" si="29"/>
        <v>1900</v>
      </c>
      <c r="C451" s="129">
        <f t="shared" si="30"/>
        <v>1900</v>
      </c>
      <c r="I451" s="31" t="str">
        <f>IFERROR(VLOOKUP(GA[[#This Row],[Date]],Raw_Data[[#All],[Date]:[Sunset Time (POA&lt;20 W/m2)]],3,0),"")</f>
        <v/>
      </c>
      <c r="J451" s="31" t="str">
        <f>IFERROR(VLOOKUP(GA[[#This Row],[Date]],Raw_Data[[#All],[Date]:[Sunset Time (POA&lt;20 W/m2)]],4,0),"")</f>
        <v/>
      </c>
      <c r="K451" s="30" t="str">
        <f>IFERROR((GA[[#This Row],[Sunset Time (POA&lt;20 W/m2)]]-GA[[#This Row],[Sunrise Time (POA&gt;20 W/m2)]])*24,"")</f>
        <v/>
      </c>
      <c r="M451" s="17" t="str">
        <f>IFERROR(VLOOKUP(GA[[#This Row],[Affceted Equipment]],'Basic Data'!$A$1:$B$113,2,0),"")</f>
        <v/>
      </c>
      <c r="P451" s="28" t="str">
        <f>IFERROR(VLOOKUP(GA[[#This Row],[Affceted Equipment]],'Basic Data'!$A$2:$C$118,3,0),"")</f>
        <v/>
      </c>
      <c r="Q451" s="2"/>
      <c r="W451" s="34"/>
      <c r="X451" s="35"/>
      <c r="Y451" s="35"/>
      <c r="Z451" s="2"/>
      <c r="AA451" s="2"/>
      <c r="AB451" s="2" t="str">
        <f>IFERROR(GA[[#This Row],[Plant Equivalent Weightage]]*GA[[#This Row],[Resolution Time]],"")</f>
        <v/>
      </c>
      <c r="AC451" s="2"/>
      <c r="AD451" s="32" t="str">
        <f>IFERROR((_xlfn.XLOOKUP(GA[[#This Row],[Month Year]],'Modelling New'!D:D,'Modelling New'!$O:$O)*GA[[#This Row],[Lost POA (Wh/m2)]]*GA[[#This Row],[DC Capacity Affceted (kW)]])/1000,"")</f>
        <v/>
      </c>
      <c r="AE451" s="2"/>
    </row>
    <row r="452" spans="1:31">
      <c r="A452" s="2">
        <f t="shared" si="31"/>
        <v>450</v>
      </c>
      <c r="B452" s="156">
        <f t="shared" ref="B452:B513" si="32">YEAR(H452)+IF(MONTH(H452)&gt;=4,1,0)</f>
        <v>1900</v>
      </c>
      <c r="C452" s="129">
        <f t="shared" ref="C452:C513" si="33">YEAR(H452)</f>
        <v>1900</v>
      </c>
      <c r="I452" s="31" t="str">
        <f>IFERROR(VLOOKUP(GA[[#This Row],[Date]],Raw_Data[[#All],[Date]:[Sunset Time (POA&lt;20 W/m2)]],3,0),"")</f>
        <v/>
      </c>
      <c r="J452" s="31" t="str">
        <f>IFERROR(VLOOKUP(GA[[#This Row],[Date]],Raw_Data[[#All],[Date]:[Sunset Time (POA&lt;20 W/m2)]],4,0),"")</f>
        <v/>
      </c>
      <c r="K452" s="30" t="str">
        <f>IFERROR((GA[[#This Row],[Sunset Time (POA&lt;20 W/m2)]]-GA[[#This Row],[Sunrise Time (POA&gt;20 W/m2)]])*24,"")</f>
        <v/>
      </c>
      <c r="M452" s="17" t="str">
        <f>IFERROR(VLOOKUP(GA[[#This Row],[Affceted Equipment]],'Basic Data'!$A$1:$B$113,2,0),"")</f>
        <v/>
      </c>
      <c r="P452" s="28" t="str">
        <f>IFERROR(VLOOKUP(GA[[#This Row],[Affceted Equipment]],'Basic Data'!$A$2:$C$118,3,0),"")</f>
        <v/>
      </c>
      <c r="Q452" s="2"/>
      <c r="W452" s="34"/>
      <c r="X452" s="35"/>
      <c r="Y452" s="35"/>
      <c r="Z452" s="2"/>
      <c r="AA452" s="2"/>
      <c r="AB452" s="2" t="str">
        <f>IFERROR(GA[[#This Row],[Plant Equivalent Weightage]]*GA[[#This Row],[Resolution Time]],"")</f>
        <v/>
      </c>
      <c r="AC452" s="2"/>
      <c r="AD452" s="32" t="str">
        <f>IFERROR((_xlfn.XLOOKUP(GA[[#This Row],[Month Year]],'Modelling New'!D:D,'Modelling New'!$O:$O)*GA[[#This Row],[Lost POA (Wh/m2)]]*GA[[#This Row],[DC Capacity Affceted (kW)]])/1000,"")</f>
        <v/>
      </c>
      <c r="AE452" s="2"/>
    </row>
    <row r="453" spans="1:31">
      <c r="A453" s="2">
        <f t="shared" si="31"/>
        <v>451</v>
      </c>
      <c r="B453" s="156">
        <f t="shared" si="32"/>
        <v>1900</v>
      </c>
      <c r="C453" s="129">
        <f t="shared" si="33"/>
        <v>1900</v>
      </c>
      <c r="I453" s="31" t="str">
        <f>IFERROR(VLOOKUP(GA[[#This Row],[Date]],Raw_Data[[#All],[Date]:[Sunset Time (POA&lt;20 W/m2)]],3,0),"")</f>
        <v/>
      </c>
      <c r="J453" s="31" t="str">
        <f>IFERROR(VLOOKUP(GA[[#This Row],[Date]],Raw_Data[[#All],[Date]:[Sunset Time (POA&lt;20 W/m2)]],4,0),"")</f>
        <v/>
      </c>
      <c r="K453" s="30" t="str">
        <f>IFERROR((GA[[#This Row],[Sunset Time (POA&lt;20 W/m2)]]-GA[[#This Row],[Sunrise Time (POA&gt;20 W/m2)]])*24,"")</f>
        <v/>
      </c>
      <c r="M453" s="17" t="str">
        <f>IFERROR(VLOOKUP(GA[[#This Row],[Affceted Equipment]],'Basic Data'!$A$1:$B$113,2,0),"")</f>
        <v/>
      </c>
      <c r="P453" s="28" t="str">
        <f>IFERROR(VLOOKUP(GA[[#This Row],[Affceted Equipment]],'Basic Data'!$A$2:$C$118,3,0),"")</f>
        <v/>
      </c>
      <c r="Q453" s="2"/>
      <c r="W453" s="34"/>
      <c r="X453" s="35"/>
      <c r="Y453" s="35"/>
      <c r="Z453" s="2"/>
      <c r="AA453" s="2"/>
      <c r="AB453" s="2" t="str">
        <f>IFERROR(GA[[#This Row],[Plant Equivalent Weightage]]*GA[[#This Row],[Resolution Time]],"")</f>
        <v/>
      </c>
      <c r="AC453" s="2"/>
      <c r="AD453" s="32" t="str">
        <f>IFERROR((_xlfn.XLOOKUP(GA[[#This Row],[Month Year]],'Modelling New'!D:D,'Modelling New'!$O:$O)*GA[[#This Row],[Lost POA (Wh/m2)]]*GA[[#This Row],[DC Capacity Affceted (kW)]])/1000,"")</f>
        <v/>
      </c>
      <c r="AE453" s="2"/>
    </row>
    <row r="454" spans="1:31">
      <c r="A454" s="2">
        <f t="shared" si="31"/>
        <v>452</v>
      </c>
      <c r="B454" s="156">
        <f t="shared" si="32"/>
        <v>1900</v>
      </c>
      <c r="C454" s="129">
        <f t="shared" si="33"/>
        <v>1900</v>
      </c>
      <c r="I454" s="31" t="str">
        <f>IFERROR(VLOOKUP(GA[[#This Row],[Date]],Raw_Data[[#All],[Date]:[Sunset Time (POA&lt;20 W/m2)]],3,0),"")</f>
        <v/>
      </c>
      <c r="J454" s="31" t="str">
        <f>IFERROR(VLOOKUP(GA[[#This Row],[Date]],Raw_Data[[#All],[Date]:[Sunset Time (POA&lt;20 W/m2)]],4,0),"")</f>
        <v/>
      </c>
      <c r="K454" s="30" t="str">
        <f>IFERROR((GA[[#This Row],[Sunset Time (POA&lt;20 W/m2)]]-GA[[#This Row],[Sunrise Time (POA&gt;20 W/m2)]])*24,"")</f>
        <v/>
      </c>
      <c r="M454" s="17" t="str">
        <f>IFERROR(VLOOKUP(GA[[#This Row],[Affceted Equipment]],'Basic Data'!$A$1:$B$113,2,0),"")</f>
        <v/>
      </c>
      <c r="P454" s="28" t="str">
        <f>IFERROR(VLOOKUP(GA[[#This Row],[Affceted Equipment]],'Basic Data'!$A$2:$C$118,3,0),"")</f>
        <v/>
      </c>
      <c r="Q454" s="2"/>
      <c r="W454" s="34"/>
      <c r="X454" s="35"/>
      <c r="Y454" s="35"/>
      <c r="Z454" s="2"/>
      <c r="AA454" s="2"/>
      <c r="AB454" s="2" t="str">
        <f>IFERROR(GA[[#This Row],[Plant Equivalent Weightage]]*GA[[#This Row],[Resolution Time]],"")</f>
        <v/>
      </c>
      <c r="AC454" s="2"/>
      <c r="AD454" s="32" t="str">
        <f>IFERROR((_xlfn.XLOOKUP(GA[[#This Row],[Month Year]],'Modelling New'!D:D,'Modelling New'!$O:$O)*GA[[#This Row],[Lost POA (Wh/m2)]]*GA[[#This Row],[DC Capacity Affceted (kW)]])/1000,"")</f>
        <v/>
      </c>
      <c r="AE454" s="2"/>
    </row>
    <row r="455" spans="1:31">
      <c r="A455" s="2">
        <f t="shared" si="31"/>
        <v>453</v>
      </c>
      <c r="B455" s="156">
        <f t="shared" si="32"/>
        <v>1900</v>
      </c>
      <c r="C455" s="129">
        <f t="shared" si="33"/>
        <v>1900</v>
      </c>
      <c r="I455" s="31" t="str">
        <f>IFERROR(VLOOKUP(GA[[#This Row],[Date]],Raw_Data[[#All],[Date]:[Sunset Time (POA&lt;20 W/m2)]],3,0),"")</f>
        <v/>
      </c>
      <c r="J455" s="31" t="str">
        <f>IFERROR(VLOOKUP(GA[[#This Row],[Date]],Raw_Data[[#All],[Date]:[Sunset Time (POA&lt;20 W/m2)]],4,0),"")</f>
        <v/>
      </c>
      <c r="K455" s="30" t="str">
        <f>IFERROR((GA[[#This Row],[Sunset Time (POA&lt;20 W/m2)]]-GA[[#This Row],[Sunrise Time (POA&gt;20 W/m2)]])*24,"")</f>
        <v/>
      </c>
      <c r="M455" s="17" t="str">
        <f>IFERROR(VLOOKUP(GA[[#This Row],[Affceted Equipment]],'Basic Data'!$A$1:$B$113,2,0),"")</f>
        <v/>
      </c>
      <c r="P455" s="28" t="str">
        <f>IFERROR(VLOOKUP(GA[[#This Row],[Affceted Equipment]],'Basic Data'!$A$2:$C$118,3,0),"")</f>
        <v/>
      </c>
      <c r="Q455" s="2"/>
      <c r="W455" s="34"/>
      <c r="X455" s="35"/>
      <c r="Y455" s="35"/>
      <c r="Z455" s="2"/>
      <c r="AA455" s="2"/>
      <c r="AB455" s="2" t="str">
        <f>IFERROR(GA[[#This Row],[Plant Equivalent Weightage]]*GA[[#This Row],[Resolution Time]],"")</f>
        <v/>
      </c>
      <c r="AC455" s="2"/>
      <c r="AD455" s="32" t="str">
        <f>IFERROR((_xlfn.XLOOKUP(GA[[#This Row],[Month Year]],'Modelling New'!D:D,'Modelling New'!$O:$O)*GA[[#This Row],[Lost POA (Wh/m2)]]*GA[[#This Row],[DC Capacity Affceted (kW)]])/1000,"")</f>
        <v/>
      </c>
      <c r="AE455" s="2"/>
    </row>
    <row r="456" spans="1:31">
      <c r="A456" s="2">
        <f t="shared" si="31"/>
        <v>454</v>
      </c>
      <c r="B456" s="156">
        <f t="shared" si="32"/>
        <v>1900</v>
      </c>
      <c r="C456" s="129">
        <f t="shared" si="33"/>
        <v>1900</v>
      </c>
      <c r="I456" s="31" t="str">
        <f>IFERROR(VLOOKUP(GA[[#This Row],[Date]],Raw_Data[[#All],[Date]:[Sunset Time (POA&lt;20 W/m2)]],3,0),"")</f>
        <v/>
      </c>
      <c r="J456" s="31" t="str">
        <f>IFERROR(VLOOKUP(GA[[#This Row],[Date]],Raw_Data[[#All],[Date]:[Sunset Time (POA&lt;20 W/m2)]],4,0),"")</f>
        <v/>
      </c>
      <c r="K456" s="30" t="str">
        <f>IFERROR((GA[[#This Row],[Sunset Time (POA&lt;20 W/m2)]]-GA[[#This Row],[Sunrise Time (POA&gt;20 W/m2)]])*24,"")</f>
        <v/>
      </c>
      <c r="M456" s="17" t="str">
        <f>IFERROR(VLOOKUP(GA[[#This Row],[Affceted Equipment]],'Basic Data'!$A$1:$B$113,2,0),"")</f>
        <v/>
      </c>
      <c r="P456" s="28" t="str">
        <f>IFERROR(VLOOKUP(GA[[#This Row],[Affceted Equipment]],'Basic Data'!$A$2:$C$118,3,0),"")</f>
        <v/>
      </c>
      <c r="Q456" s="2"/>
      <c r="W456" s="34"/>
      <c r="X456" s="35"/>
      <c r="Y456" s="35"/>
      <c r="Z456" s="2"/>
      <c r="AA456" s="2"/>
      <c r="AB456" s="2" t="str">
        <f>IFERROR(GA[[#This Row],[Plant Equivalent Weightage]]*GA[[#This Row],[Resolution Time]],"")</f>
        <v/>
      </c>
      <c r="AC456" s="2"/>
      <c r="AD456" s="32" t="str">
        <f>IFERROR((_xlfn.XLOOKUP(GA[[#This Row],[Month Year]],'Modelling New'!D:D,'Modelling New'!$O:$O)*GA[[#This Row],[Lost POA (Wh/m2)]]*GA[[#This Row],[DC Capacity Affceted (kW)]])/1000,"")</f>
        <v/>
      </c>
      <c r="AE456" s="2"/>
    </row>
    <row r="457" spans="1:31">
      <c r="A457" s="2">
        <f t="shared" si="31"/>
        <v>455</v>
      </c>
      <c r="B457" s="156">
        <f t="shared" si="32"/>
        <v>1900</v>
      </c>
      <c r="C457" s="129">
        <f t="shared" si="33"/>
        <v>1900</v>
      </c>
      <c r="I457" s="31" t="str">
        <f>IFERROR(VLOOKUP(GA[[#This Row],[Date]],Raw_Data[[#All],[Date]:[Sunset Time (POA&lt;20 W/m2)]],3,0),"")</f>
        <v/>
      </c>
      <c r="J457" s="31" t="str">
        <f>IFERROR(VLOOKUP(GA[[#This Row],[Date]],Raw_Data[[#All],[Date]:[Sunset Time (POA&lt;20 W/m2)]],4,0),"")</f>
        <v/>
      </c>
      <c r="K457" s="30" t="str">
        <f>IFERROR((GA[[#This Row],[Sunset Time (POA&lt;20 W/m2)]]-GA[[#This Row],[Sunrise Time (POA&gt;20 W/m2)]])*24,"")</f>
        <v/>
      </c>
      <c r="M457" s="17" t="str">
        <f>IFERROR(VLOOKUP(GA[[#This Row],[Affceted Equipment]],'Basic Data'!$A$1:$B$113,2,0),"")</f>
        <v/>
      </c>
      <c r="P457" s="28" t="str">
        <f>IFERROR(VLOOKUP(GA[[#This Row],[Affceted Equipment]],'Basic Data'!$A$2:$C$118,3,0),"")</f>
        <v/>
      </c>
      <c r="Q457" s="2"/>
      <c r="W457" s="34"/>
      <c r="X457" s="35"/>
      <c r="Y457" s="35"/>
      <c r="Z457" s="2"/>
      <c r="AA457" s="2"/>
      <c r="AB457" s="2" t="str">
        <f>IFERROR(GA[[#This Row],[Plant Equivalent Weightage]]*GA[[#This Row],[Resolution Time]],"")</f>
        <v/>
      </c>
      <c r="AC457" s="2"/>
      <c r="AD457" s="32" t="str">
        <f>IFERROR((_xlfn.XLOOKUP(GA[[#This Row],[Month Year]],'Modelling New'!D:D,'Modelling New'!$O:$O)*GA[[#This Row],[Lost POA (Wh/m2)]]*GA[[#This Row],[DC Capacity Affceted (kW)]])/1000,"")</f>
        <v/>
      </c>
      <c r="AE457" s="2"/>
    </row>
    <row r="458" spans="1:31">
      <c r="A458" s="2">
        <f t="shared" si="31"/>
        <v>456</v>
      </c>
      <c r="B458" s="156">
        <f t="shared" si="32"/>
        <v>1900</v>
      </c>
      <c r="C458" s="129">
        <f t="shared" si="33"/>
        <v>1900</v>
      </c>
      <c r="I458" s="31" t="str">
        <f>IFERROR(VLOOKUP(GA[[#This Row],[Date]],Raw_Data[[#All],[Date]:[Sunset Time (POA&lt;20 W/m2)]],3,0),"")</f>
        <v/>
      </c>
      <c r="J458" s="31" t="str">
        <f>IFERROR(VLOOKUP(GA[[#This Row],[Date]],Raw_Data[[#All],[Date]:[Sunset Time (POA&lt;20 W/m2)]],4,0),"")</f>
        <v/>
      </c>
      <c r="K458" s="30" t="str">
        <f>IFERROR((GA[[#This Row],[Sunset Time (POA&lt;20 W/m2)]]-GA[[#This Row],[Sunrise Time (POA&gt;20 W/m2)]])*24,"")</f>
        <v/>
      </c>
      <c r="M458" s="17" t="str">
        <f>IFERROR(VLOOKUP(GA[[#This Row],[Affceted Equipment]],'Basic Data'!$A$1:$B$113,2,0),"")</f>
        <v/>
      </c>
      <c r="P458" s="28" t="str">
        <f>IFERROR(VLOOKUP(GA[[#This Row],[Affceted Equipment]],'Basic Data'!$A$2:$C$118,3,0),"")</f>
        <v/>
      </c>
      <c r="Q458" s="2"/>
      <c r="W458" s="34"/>
      <c r="X458" s="35"/>
      <c r="Y458" s="35"/>
      <c r="Z458" s="2"/>
      <c r="AA458" s="2"/>
      <c r="AB458" s="2" t="str">
        <f>IFERROR(GA[[#This Row],[Plant Equivalent Weightage]]*GA[[#This Row],[Resolution Time]],"")</f>
        <v/>
      </c>
      <c r="AC458" s="2"/>
      <c r="AD458" s="32" t="str">
        <f>IFERROR((_xlfn.XLOOKUP(GA[[#This Row],[Month Year]],'Modelling New'!D:D,'Modelling New'!$O:$O)*GA[[#This Row],[Lost POA (Wh/m2)]]*GA[[#This Row],[DC Capacity Affceted (kW)]])/1000,"")</f>
        <v/>
      </c>
      <c r="AE458" s="2"/>
    </row>
    <row r="459" spans="1:31">
      <c r="A459" s="2">
        <f t="shared" si="31"/>
        <v>457</v>
      </c>
      <c r="B459" s="156">
        <f t="shared" si="32"/>
        <v>1900</v>
      </c>
      <c r="C459" s="129">
        <f t="shared" si="33"/>
        <v>1900</v>
      </c>
      <c r="I459" s="31" t="str">
        <f>IFERROR(VLOOKUP(GA[[#This Row],[Date]],Raw_Data[[#All],[Date]:[Sunset Time (POA&lt;20 W/m2)]],3,0),"")</f>
        <v/>
      </c>
      <c r="J459" s="31" t="str">
        <f>IFERROR(VLOOKUP(GA[[#This Row],[Date]],Raw_Data[[#All],[Date]:[Sunset Time (POA&lt;20 W/m2)]],4,0),"")</f>
        <v/>
      </c>
      <c r="K459" s="30" t="str">
        <f>IFERROR((GA[[#This Row],[Sunset Time (POA&lt;20 W/m2)]]-GA[[#This Row],[Sunrise Time (POA&gt;20 W/m2)]])*24,"")</f>
        <v/>
      </c>
      <c r="M459" s="17" t="str">
        <f>IFERROR(VLOOKUP(GA[[#This Row],[Affceted Equipment]],'Basic Data'!$A$1:$B$113,2,0),"")</f>
        <v/>
      </c>
      <c r="P459" s="28" t="str">
        <f>IFERROR(VLOOKUP(GA[[#This Row],[Affceted Equipment]],'Basic Data'!$A$2:$C$118,3,0),"")</f>
        <v/>
      </c>
      <c r="Q459" s="2"/>
      <c r="W459" s="34"/>
      <c r="X459" s="35"/>
      <c r="Y459" s="35"/>
      <c r="Z459" s="2"/>
      <c r="AA459" s="2"/>
      <c r="AB459" s="2" t="str">
        <f>IFERROR(GA[[#This Row],[Plant Equivalent Weightage]]*GA[[#This Row],[Resolution Time]],"")</f>
        <v/>
      </c>
      <c r="AC459" s="2"/>
      <c r="AD459" s="32" t="str">
        <f>IFERROR((_xlfn.XLOOKUP(GA[[#This Row],[Month Year]],'Modelling New'!D:D,'Modelling New'!$O:$O)*GA[[#This Row],[Lost POA (Wh/m2)]]*GA[[#This Row],[DC Capacity Affceted (kW)]])/1000,"")</f>
        <v/>
      </c>
      <c r="AE459" s="2"/>
    </row>
    <row r="460" spans="1:31">
      <c r="A460" s="2">
        <f t="shared" si="31"/>
        <v>458</v>
      </c>
      <c r="B460" s="156">
        <f t="shared" si="32"/>
        <v>1900</v>
      </c>
      <c r="C460" s="129">
        <f t="shared" si="33"/>
        <v>1900</v>
      </c>
      <c r="I460" s="31" t="str">
        <f>IFERROR(VLOOKUP(GA[[#This Row],[Date]],Raw_Data[[#All],[Date]:[Sunset Time (POA&lt;20 W/m2)]],3,0),"")</f>
        <v/>
      </c>
      <c r="J460" s="31" t="str">
        <f>IFERROR(VLOOKUP(GA[[#This Row],[Date]],Raw_Data[[#All],[Date]:[Sunset Time (POA&lt;20 W/m2)]],4,0),"")</f>
        <v/>
      </c>
      <c r="K460" s="30" t="str">
        <f>IFERROR((GA[[#This Row],[Sunset Time (POA&lt;20 W/m2)]]-GA[[#This Row],[Sunrise Time (POA&gt;20 W/m2)]])*24,"")</f>
        <v/>
      </c>
      <c r="M460" s="17" t="str">
        <f>IFERROR(VLOOKUP(GA[[#This Row],[Affceted Equipment]],'Basic Data'!$A$1:$B$113,2,0),"")</f>
        <v/>
      </c>
      <c r="P460" s="28" t="str">
        <f>IFERROR(VLOOKUP(GA[[#This Row],[Affceted Equipment]],'Basic Data'!$A$2:$C$118,3,0),"")</f>
        <v/>
      </c>
      <c r="Q460" s="2"/>
      <c r="W460" s="34"/>
      <c r="X460" s="35"/>
      <c r="Y460" s="35"/>
      <c r="Z460" s="2"/>
      <c r="AA460" s="2"/>
      <c r="AB460" s="2" t="str">
        <f>IFERROR(GA[[#This Row],[Plant Equivalent Weightage]]*GA[[#This Row],[Resolution Time]],"")</f>
        <v/>
      </c>
      <c r="AC460" s="2"/>
      <c r="AD460" s="32" t="str">
        <f>IFERROR((_xlfn.XLOOKUP(GA[[#This Row],[Month Year]],'Modelling New'!D:D,'Modelling New'!$O:$O)*GA[[#This Row],[Lost POA (Wh/m2)]]*GA[[#This Row],[DC Capacity Affceted (kW)]])/1000,"")</f>
        <v/>
      </c>
      <c r="AE460" s="2"/>
    </row>
    <row r="461" spans="1:31">
      <c r="A461" s="2">
        <f t="shared" si="31"/>
        <v>459</v>
      </c>
      <c r="B461" s="156">
        <f t="shared" si="32"/>
        <v>1900</v>
      </c>
      <c r="C461" s="129">
        <f t="shared" si="33"/>
        <v>1900</v>
      </c>
      <c r="I461" s="31" t="str">
        <f>IFERROR(VLOOKUP(GA[[#This Row],[Date]],Raw_Data[[#All],[Date]:[Sunset Time (POA&lt;20 W/m2)]],3,0),"")</f>
        <v/>
      </c>
      <c r="J461" s="31" t="str">
        <f>IFERROR(VLOOKUP(GA[[#This Row],[Date]],Raw_Data[[#All],[Date]:[Sunset Time (POA&lt;20 W/m2)]],4,0),"")</f>
        <v/>
      </c>
      <c r="K461" s="30" t="str">
        <f>IFERROR((GA[[#This Row],[Sunset Time (POA&lt;20 W/m2)]]-GA[[#This Row],[Sunrise Time (POA&gt;20 W/m2)]])*24,"")</f>
        <v/>
      </c>
      <c r="M461" s="17" t="str">
        <f>IFERROR(VLOOKUP(GA[[#This Row],[Affceted Equipment]],'Basic Data'!$A$1:$B$113,2,0),"")</f>
        <v/>
      </c>
      <c r="P461" s="28" t="str">
        <f>IFERROR(VLOOKUP(GA[[#This Row],[Affceted Equipment]],'Basic Data'!$A$2:$C$118,3,0),"")</f>
        <v/>
      </c>
      <c r="Q461" s="2"/>
      <c r="W461" s="34"/>
      <c r="X461" s="35"/>
      <c r="Y461" s="35"/>
      <c r="Z461" s="2"/>
      <c r="AA461" s="2"/>
      <c r="AB461" s="2" t="str">
        <f>IFERROR(GA[[#This Row],[Plant Equivalent Weightage]]*GA[[#This Row],[Resolution Time]],"")</f>
        <v/>
      </c>
      <c r="AC461" s="2"/>
      <c r="AD461" s="32" t="str">
        <f>IFERROR((_xlfn.XLOOKUP(GA[[#This Row],[Month Year]],'Modelling New'!D:D,'Modelling New'!$O:$O)*GA[[#This Row],[Lost POA (Wh/m2)]]*GA[[#This Row],[DC Capacity Affceted (kW)]])/1000,"")</f>
        <v/>
      </c>
      <c r="AE461" s="2"/>
    </row>
    <row r="462" spans="1:31">
      <c r="A462" s="2">
        <f t="shared" si="31"/>
        <v>460</v>
      </c>
      <c r="B462" s="156">
        <f t="shared" si="32"/>
        <v>1900</v>
      </c>
      <c r="C462" s="129">
        <f t="shared" si="33"/>
        <v>1900</v>
      </c>
      <c r="I462" s="31" t="str">
        <f>IFERROR(VLOOKUP(GA[[#This Row],[Date]],Raw_Data[[#All],[Date]:[Sunset Time (POA&lt;20 W/m2)]],3,0),"")</f>
        <v/>
      </c>
      <c r="J462" s="31" t="str">
        <f>IFERROR(VLOOKUP(GA[[#This Row],[Date]],Raw_Data[[#All],[Date]:[Sunset Time (POA&lt;20 W/m2)]],4,0),"")</f>
        <v/>
      </c>
      <c r="K462" s="30" t="str">
        <f>IFERROR((GA[[#This Row],[Sunset Time (POA&lt;20 W/m2)]]-GA[[#This Row],[Sunrise Time (POA&gt;20 W/m2)]])*24,"")</f>
        <v/>
      </c>
      <c r="M462" s="17" t="str">
        <f>IFERROR(VLOOKUP(GA[[#This Row],[Affceted Equipment]],'Basic Data'!$A$1:$B$113,2,0),"")</f>
        <v/>
      </c>
      <c r="P462" s="28" t="str">
        <f>IFERROR(VLOOKUP(GA[[#This Row],[Affceted Equipment]],'Basic Data'!$A$2:$C$118,3,0),"")</f>
        <v/>
      </c>
      <c r="Q462" s="2"/>
      <c r="W462" s="34"/>
      <c r="X462" s="35"/>
      <c r="Y462" s="35"/>
      <c r="Z462" s="2"/>
      <c r="AA462" s="2"/>
      <c r="AB462" s="2" t="str">
        <f>IFERROR(GA[[#This Row],[Plant Equivalent Weightage]]*GA[[#This Row],[Resolution Time]],"")</f>
        <v/>
      </c>
      <c r="AC462" s="2"/>
      <c r="AD462" s="32" t="str">
        <f>IFERROR((_xlfn.XLOOKUP(GA[[#This Row],[Month Year]],'Modelling New'!D:D,'Modelling New'!$O:$O)*GA[[#This Row],[Lost POA (Wh/m2)]]*GA[[#This Row],[DC Capacity Affceted (kW)]])/1000,"")</f>
        <v/>
      </c>
      <c r="AE462" s="2"/>
    </row>
    <row r="463" spans="1:31">
      <c r="A463" s="2">
        <f t="shared" si="31"/>
        <v>461</v>
      </c>
      <c r="B463" s="156">
        <f t="shared" si="32"/>
        <v>1900</v>
      </c>
      <c r="C463" s="129">
        <f t="shared" si="33"/>
        <v>1900</v>
      </c>
      <c r="I463" s="31" t="str">
        <f>IFERROR(VLOOKUP(GA[[#This Row],[Date]],Raw_Data[[#All],[Date]:[Sunset Time (POA&lt;20 W/m2)]],3,0),"")</f>
        <v/>
      </c>
      <c r="J463" s="31" t="str">
        <f>IFERROR(VLOOKUP(GA[[#This Row],[Date]],Raw_Data[[#All],[Date]:[Sunset Time (POA&lt;20 W/m2)]],4,0),"")</f>
        <v/>
      </c>
      <c r="K463" s="30" t="str">
        <f>IFERROR((GA[[#This Row],[Sunset Time (POA&lt;20 W/m2)]]-GA[[#This Row],[Sunrise Time (POA&gt;20 W/m2)]])*24,"")</f>
        <v/>
      </c>
      <c r="M463" s="17" t="str">
        <f>IFERROR(VLOOKUP(GA[[#This Row],[Affceted Equipment]],'Basic Data'!$A$1:$B$113,2,0),"")</f>
        <v/>
      </c>
      <c r="P463" s="28" t="str">
        <f>IFERROR(VLOOKUP(GA[[#This Row],[Affceted Equipment]],'Basic Data'!$A$2:$C$118,3,0),"")</f>
        <v/>
      </c>
      <c r="Q463" s="2"/>
      <c r="W463" s="34"/>
      <c r="X463" s="35"/>
      <c r="Y463" s="35"/>
      <c r="Z463" s="2"/>
      <c r="AA463" s="2"/>
      <c r="AB463" s="2" t="str">
        <f>IFERROR(GA[[#This Row],[Plant Equivalent Weightage]]*GA[[#This Row],[Resolution Time]],"")</f>
        <v/>
      </c>
      <c r="AC463" s="2"/>
      <c r="AD463" s="32" t="str">
        <f>IFERROR((_xlfn.XLOOKUP(GA[[#This Row],[Month Year]],'Modelling New'!D:D,'Modelling New'!$O:$O)*GA[[#This Row],[Lost POA (Wh/m2)]]*GA[[#This Row],[DC Capacity Affceted (kW)]])/1000,"")</f>
        <v/>
      </c>
      <c r="AE463" s="2"/>
    </row>
    <row r="464" spans="1:31">
      <c r="A464" s="2">
        <f t="shared" si="31"/>
        <v>462</v>
      </c>
      <c r="B464" s="156">
        <f t="shared" si="32"/>
        <v>1900</v>
      </c>
      <c r="C464" s="129">
        <f t="shared" si="33"/>
        <v>1900</v>
      </c>
      <c r="I464" s="31" t="str">
        <f>IFERROR(VLOOKUP(GA[[#This Row],[Date]],Raw_Data[[#All],[Date]:[Sunset Time (POA&lt;20 W/m2)]],3,0),"")</f>
        <v/>
      </c>
      <c r="J464" s="31" t="str">
        <f>IFERROR(VLOOKUP(GA[[#This Row],[Date]],Raw_Data[[#All],[Date]:[Sunset Time (POA&lt;20 W/m2)]],4,0),"")</f>
        <v/>
      </c>
      <c r="K464" s="30" t="str">
        <f>IFERROR((GA[[#This Row],[Sunset Time (POA&lt;20 W/m2)]]-GA[[#This Row],[Sunrise Time (POA&gt;20 W/m2)]])*24,"")</f>
        <v/>
      </c>
      <c r="M464" s="17" t="str">
        <f>IFERROR(VLOOKUP(GA[[#This Row],[Affceted Equipment]],'Basic Data'!$A$1:$B$113,2,0),"")</f>
        <v/>
      </c>
      <c r="P464" s="28" t="str">
        <f>IFERROR(VLOOKUP(GA[[#This Row],[Affceted Equipment]],'Basic Data'!$A$2:$C$118,3,0),"")</f>
        <v/>
      </c>
      <c r="Q464" s="2"/>
      <c r="W464" s="34"/>
      <c r="X464" s="35"/>
      <c r="Y464" s="35"/>
      <c r="Z464" s="2"/>
      <c r="AA464" s="2"/>
      <c r="AB464" s="2" t="str">
        <f>IFERROR(GA[[#This Row],[Plant Equivalent Weightage]]*GA[[#This Row],[Resolution Time]],"")</f>
        <v/>
      </c>
      <c r="AC464" s="2"/>
      <c r="AD464" s="32" t="str">
        <f>IFERROR((_xlfn.XLOOKUP(GA[[#This Row],[Month Year]],'Modelling New'!D:D,'Modelling New'!$O:$O)*GA[[#This Row],[Lost POA (Wh/m2)]]*GA[[#This Row],[DC Capacity Affceted (kW)]])/1000,"")</f>
        <v/>
      </c>
      <c r="AE464" s="2"/>
    </row>
    <row r="465" spans="1:31">
      <c r="A465" s="2">
        <f t="shared" si="31"/>
        <v>463</v>
      </c>
      <c r="B465" s="156">
        <f t="shared" si="32"/>
        <v>1900</v>
      </c>
      <c r="C465" s="129">
        <f t="shared" si="33"/>
        <v>1900</v>
      </c>
      <c r="I465" s="31" t="str">
        <f>IFERROR(VLOOKUP(GA[[#This Row],[Date]],Raw_Data[[#All],[Date]:[Sunset Time (POA&lt;20 W/m2)]],3,0),"")</f>
        <v/>
      </c>
      <c r="J465" s="31" t="str">
        <f>IFERROR(VLOOKUP(GA[[#This Row],[Date]],Raw_Data[[#All],[Date]:[Sunset Time (POA&lt;20 W/m2)]],4,0),"")</f>
        <v/>
      </c>
      <c r="K465" s="30" t="str">
        <f>IFERROR((GA[[#This Row],[Sunset Time (POA&lt;20 W/m2)]]-GA[[#This Row],[Sunrise Time (POA&gt;20 W/m2)]])*24,"")</f>
        <v/>
      </c>
      <c r="M465" s="17" t="str">
        <f>IFERROR(VLOOKUP(GA[[#This Row],[Affceted Equipment]],'Basic Data'!$A$1:$B$113,2,0),"")</f>
        <v/>
      </c>
      <c r="P465" s="28" t="str">
        <f>IFERROR(VLOOKUP(GA[[#This Row],[Affceted Equipment]],'Basic Data'!$A$2:$C$118,3,0),"")</f>
        <v/>
      </c>
      <c r="Q465" s="2"/>
      <c r="W465" s="34"/>
      <c r="X465" s="35"/>
      <c r="Y465" s="35"/>
      <c r="Z465" s="2"/>
      <c r="AA465" s="2"/>
      <c r="AB465" s="2" t="str">
        <f>IFERROR(GA[[#This Row],[Plant Equivalent Weightage]]*GA[[#This Row],[Resolution Time]],"")</f>
        <v/>
      </c>
      <c r="AC465" s="2"/>
      <c r="AD465" s="32" t="str">
        <f>IFERROR((_xlfn.XLOOKUP(GA[[#This Row],[Month Year]],'Modelling New'!D:D,'Modelling New'!$O:$O)*GA[[#This Row],[Lost POA (Wh/m2)]]*GA[[#This Row],[DC Capacity Affceted (kW)]])/1000,"")</f>
        <v/>
      </c>
      <c r="AE465" s="2"/>
    </row>
    <row r="466" spans="1:31">
      <c r="A466" s="2">
        <f t="shared" si="31"/>
        <v>464</v>
      </c>
      <c r="B466" s="156">
        <f t="shared" si="32"/>
        <v>1900</v>
      </c>
      <c r="C466" s="129">
        <f t="shared" si="33"/>
        <v>1900</v>
      </c>
      <c r="I466" s="31" t="str">
        <f>IFERROR(VLOOKUP(GA[[#This Row],[Date]],Raw_Data[[#All],[Date]:[Sunset Time (POA&lt;20 W/m2)]],3,0),"")</f>
        <v/>
      </c>
      <c r="J466" s="31" t="str">
        <f>IFERROR(VLOOKUP(GA[[#This Row],[Date]],Raw_Data[[#All],[Date]:[Sunset Time (POA&lt;20 W/m2)]],4,0),"")</f>
        <v/>
      </c>
      <c r="K466" s="30" t="str">
        <f>IFERROR((GA[[#This Row],[Sunset Time (POA&lt;20 W/m2)]]-GA[[#This Row],[Sunrise Time (POA&gt;20 W/m2)]])*24,"")</f>
        <v/>
      </c>
      <c r="M466" s="17" t="str">
        <f>IFERROR(VLOOKUP(GA[[#This Row],[Affceted Equipment]],'Basic Data'!$A$1:$B$113,2,0),"")</f>
        <v/>
      </c>
      <c r="P466" s="28" t="str">
        <f>IFERROR(VLOOKUP(GA[[#This Row],[Affceted Equipment]],'Basic Data'!$A$2:$C$118,3,0),"")</f>
        <v/>
      </c>
      <c r="Q466" s="2"/>
      <c r="W466" s="34"/>
      <c r="X466" s="35"/>
      <c r="Y466" s="35"/>
      <c r="Z466" s="2"/>
      <c r="AA466" s="2"/>
      <c r="AB466" s="2" t="str">
        <f>IFERROR(GA[[#This Row],[Plant Equivalent Weightage]]*GA[[#This Row],[Resolution Time]],"")</f>
        <v/>
      </c>
      <c r="AC466" s="2"/>
      <c r="AD466" s="32" t="str">
        <f>IFERROR((_xlfn.XLOOKUP(GA[[#This Row],[Month Year]],'Modelling New'!D:D,'Modelling New'!$O:$O)*GA[[#This Row],[Lost POA (Wh/m2)]]*GA[[#This Row],[DC Capacity Affceted (kW)]])/1000,"")</f>
        <v/>
      </c>
      <c r="AE466" s="2"/>
    </row>
    <row r="467" spans="1:31">
      <c r="A467" s="2">
        <f t="shared" si="31"/>
        <v>465</v>
      </c>
      <c r="B467" s="156">
        <f t="shared" si="32"/>
        <v>1900</v>
      </c>
      <c r="C467" s="129">
        <f t="shared" si="33"/>
        <v>1900</v>
      </c>
      <c r="I467" s="31" t="str">
        <f>IFERROR(VLOOKUP(GA[[#This Row],[Date]],Raw_Data[[#All],[Date]:[Sunset Time (POA&lt;20 W/m2)]],3,0),"")</f>
        <v/>
      </c>
      <c r="J467" s="31" t="str">
        <f>IFERROR(VLOOKUP(GA[[#This Row],[Date]],Raw_Data[[#All],[Date]:[Sunset Time (POA&lt;20 W/m2)]],4,0),"")</f>
        <v/>
      </c>
      <c r="K467" s="30" t="str">
        <f>IFERROR((GA[[#This Row],[Sunset Time (POA&lt;20 W/m2)]]-GA[[#This Row],[Sunrise Time (POA&gt;20 W/m2)]])*24,"")</f>
        <v/>
      </c>
      <c r="M467" s="17" t="str">
        <f>IFERROR(VLOOKUP(GA[[#This Row],[Affceted Equipment]],'Basic Data'!$A$1:$B$113,2,0),"")</f>
        <v/>
      </c>
      <c r="P467" s="28" t="str">
        <f>IFERROR(VLOOKUP(GA[[#This Row],[Affceted Equipment]],'Basic Data'!$A$2:$C$118,3,0),"")</f>
        <v/>
      </c>
      <c r="Q467" s="2"/>
      <c r="W467" s="34"/>
      <c r="X467" s="35"/>
      <c r="Y467" s="35"/>
      <c r="Z467" s="2"/>
      <c r="AA467" s="2"/>
      <c r="AB467" s="2" t="str">
        <f>IFERROR(GA[[#This Row],[Plant Equivalent Weightage]]*GA[[#This Row],[Resolution Time]],"")</f>
        <v/>
      </c>
      <c r="AC467" s="2"/>
      <c r="AD467" s="32" t="str">
        <f>IFERROR((_xlfn.XLOOKUP(GA[[#This Row],[Month Year]],'Modelling New'!D:D,'Modelling New'!$O:$O)*GA[[#This Row],[Lost POA (Wh/m2)]]*GA[[#This Row],[DC Capacity Affceted (kW)]])/1000,"")</f>
        <v/>
      </c>
      <c r="AE467" s="2"/>
    </row>
    <row r="468" spans="1:31">
      <c r="A468" s="2">
        <f t="shared" si="31"/>
        <v>466</v>
      </c>
      <c r="B468" s="156">
        <f t="shared" si="32"/>
        <v>1900</v>
      </c>
      <c r="C468" s="129">
        <f t="shared" si="33"/>
        <v>1900</v>
      </c>
      <c r="I468" s="31" t="str">
        <f>IFERROR(VLOOKUP(GA[[#This Row],[Date]],Raw_Data[[#All],[Date]:[Sunset Time (POA&lt;20 W/m2)]],3,0),"")</f>
        <v/>
      </c>
      <c r="J468" s="31" t="str">
        <f>IFERROR(VLOOKUP(GA[[#This Row],[Date]],Raw_Data[[#All],[Date]:[Sunset Time (POA&lt;20 W/m2)]],4,0),"")</f>
        <v/>
      </c>
      <c r="K468" s="30" t="str">
        <f>IFERROR((GA[[#This Row],[Sunset Time (POA&lt;20 W/m2)]]-GA[[#This Row],[Sunrise Time (POA&gt;20 W/m2)]])*24,"")</f>
        <v/>
      </c>
      <c r="M468" s="17" t="str">
        <f>IFERROR(VLOOKUP(GA[[#This Row],[Affceted Equipment]],'Basic Data'!$A$1:$B$113,2,0),"")</f>
        <v/>
      </c>
      <c r="P468" s="28" t="str">
        <f>IFERROR(VLOOKUP(GA[[#This Row],[Affceted Equipment]],'Basic Data'!$A$2:$C$118,3,0),"")</f>
        <v/>
      </c>
      <c r="Q468" s="2"/>
      <c r="W468" s="34"/>
      <c r="X468" s="35"/>
      <c r="Y468" s="35"/>
      <c r="Z468" s="2"/>
      <c r="AA468" s="2"/>
      <c r="AB468" s="2" t="str">
        <f>IFERROR(GA[[#This Row],[Plant Equivalent Weightage]]*GA[[#This Row],[Resolution Time]],"")</f>
        <v/>
      </c>
      <c r="AC468" s="2"/>
      <c r="AD468" s="32" t="str">
        <f>IFERROR((_xlfn.XLOOKUP(GA[[#This Row],[Month Year]],'Modelling New'!D:D,'Modelling New'!$O:$O)*GA[[#This Row],[Lost POA (Wh/m2)]]*GA[[#This Row],[DC Capacity Affceted (kW)]])/1000,"")</f>
        <v/>
      </c>
      <c r="AE468" s="2"/>
    </row>
    <row r="469" spans="1:31">
      <c r="A469" s="2">
        <f t="shared" si="31"/>
        <v>467</v>
      </c>
      <c r="B469" s="156">
        <f t="shared" si="32"/>
        <v>1900</v>
      </c>
      <c r="C469" s="129">
        <f t="shared" si="33"/>
        <v>1900</v>
      </c>
      <c r="I469" s="31" t="str">
        <f>IFERROR(VLOOKUP(GA[[#This Row],[Date]],Raw_Data[[#All],[Date]:[Sunset Time (POA&lt;20 W/m2)]],3,0),"")</f>
        <v/>
      </c>
      <c r="J469" s="31" t="str">
        <f>IFERROR(VLOOKUP(GA[[#This Row],[Date]],Raw_Data[[#All],[Date]:[Sunset Time (POA&lt;20 W/m2)]],4,0),"")</f>
        <v/>
      </c>
      <c r="K469" s="30" t="str">
        <f>IFERROR((GA[[#This Row],[Sunset Time (POA&lt;20 W/m2)]]-GA[[#This Row],[Sunrise Time (POA&gt;20 W/m2)]])*24,"")</f>
        <v/>
      </c>
      <c r="M469" s="17" t="str">
        <f>IFERROR(VLOOKUP(GA[[#This Row],[Affceted Equipment]],'Basic Data'!$A$1:$B$113,2,0),"")</f>
        <v/>
      </c>
      <c r="P469" s="28" t="str">
        <f>IFERROR(VLOOKUP(GA[[#This Row],[Affceted Equipment]],'Basic Data'!$A$2:$C$118,3,0),"")</f>
        <v/>
      </c>
      <c r="Q469" s="2"/>
      <c r="W469" s="34"/>
      <c r="X469" s="35"/>
      <c r="Y469" s="35"/>
      <c r="Z469" s="2"/>
      <c r="AA469" s="2"/>
      <c r="AB469" s="2" t="str">
        <f>IFERROR(GA[[#This Row],[Plant Equivalent Weightage]]*GA[[#This Row],[Resolution Time]],"")</f>
        <v/>
      </c>
      <c r="AC469" s="2"/>
      <c r="AD469" s="32" t="str">
        <f>IFERROR((_xlfn.XLOOKUP(GA[[#This Row],[Month Year]],'Modelling New'!D:D,'Modelling New'!$O:$O)*GA[[#This Row],[Lost POA (Wh/m2)]]*GA[[#This Row],[DC Capacity Affceted (kW)]])/1000,"")</f>
        <v/>
      </c>
      <c r="AE469" s="2"/>
    </row>
    <row r="470" spans="1:31">
      <c r="A470" s="2">
        <f t="shared" si="31"/>
        <v>468</v>
      </c>
      <c r="B470" s="156">
        <f t="shared" si="32"/>
        <v>1900</v>
      </c>
      <c r="C470" s="129">
        <f t="shared" si="33"/>
        <v>1900</v>
      </c>
      <c r="I470" s="31" t="str">
        <f>IFERROR(VLOOKUP(GA[[#This Row],[Date]],Raw_Data[[#All],[Date]:[Sunset Time (POA&lt;20 W/m2)]],3,0),"")</f>
        <v/>
      </c>
      <c r="J470" s="31" t="str">
        <f>IFERROR(VLOOKUP(GA[[#This Row],[Date]],Raw_Data[[#All],[Date]:[Sunset Time (POA&lt;20 W/m2)]],4,0),"")</f>
        <v/>
      </c>
      <c r="K470" s="30" t="str">
        <f>IFERROR((GA[[#This Row],[Sunset Time (POA&lt;20 W/m2)]]-GA[[#This Row],[Sunrise Time (POA&gt;20 W/m2)]])*24,"")</f>
        <v/>
      </c>
      <c r="M470" s="17" t="str">
        <f>IFERROR(VLOOKUP(GA[[#This Row],[Affceted Equipment]],'Basic Data'!$A$1:$B$113,2,0),"")</f>
        <v/>
      </c>
      <c r="P470" s="28" t="str">
        <f>IFERROR(VLOOKUP(GA[[#This Row],[Affceted Equipment]],'Basic Data'!$A$2:$C$118,3,0),"")</f>
        <v/>
      </c>
      <c r="Q470" s="2"/>
      <c r="W470" s="34"/>
      <c r="X470" s="35"/>
      <c r="Y470" s="35"/>
      <c r="Z470" s="2"/>
      <c r="AA470" s="2"/>
      <c r="AB470" s="2" t="str">
        <f>IFERROR(GA[[#This Row],[Plant Equivalent Weightage]]*GA[[#This Row],[Resolution Time]],"")</f>
        <v/>
      </c>
      <c r="AC470" s="2"/>
      <c r="AD470" s="32" t="str">
        <f>IFERROR((_xlfn.XLOOKUP(GA[[#This Row],[Month Year]],'Modelling New'!D:D,'Modelling New'!$O:$O)*GA[[#This Row],[Lost POA (Wh/m2)]]*GA[[#This Row],[DC Capacity Affceted (kW)]])/1000,"")</f>
        <v/>
      </c>
      <c r="AE470" s="2"/>
    </row>
    <row r="471" spans="1:31">
      <c r="A471" s="2">
        <f t="shared" si="31"/>
        <v>469</v>
      </c>
      <c r="B471" s="156">
        <f t="shared" si="32"/>
        <v>1900</v>
      </c>
      <c r="C471" s="129">
        <f t="shared" si="33"/>
        <v>1900</v>
      </c>
      <c r="I471" s="31" t="str">
        <f>IFERROR(VLOOKUP(GA[[#This Row],[Date]],Raw_Data[[#All],[Date]:[Sunset Time (POA&lt;20 W/m2)]],3,0),"")</f>
        <v/>
      </c>
      <c r="J471" s="31" t="str">
        <f>IFERROR(VLOOKUP(GA[[#This Row],[Date]],Raw_Data[[#All],[Date]:[Sunset Time (POA&lt;20 W/m2)]],4,0),"")</f>
        <v/>
      </c>
      <c r="K471" s="30" t="str">
        <f>IFERROR((GA[[#This Row],[Sunset Time (POA&lt;20 W/m2)]]-GA[[#This Row],[Sunrise Time (POA&gt;20 W/m2)]])*24,"")</f>
        <v/>
      </c>
      <c r="M471" s="17" t="str">
        <f>IFERROR(VLOOKUP(GA[[#This Row],[Affceted Equipment]],'Basic Data'!$A$1:$B$113,2,0),"")</f>
        <v/>
      </c>
      <c r="P471" s="28" t="str">
        <f>IFERROR(VLOOKUP(GA[[#This Row],[Affceted Equipment]],'Basic Data'!$A$2:$C$118,3,0),"")</f>
        <v/>
      </c>
      <c r="Q471" s="2"/>
      <c r="W471" s="34"/>
      <c r="X471" s="35"/>
      <c r="Y471" s="35"/>
      <c r="Z471" s="2"/>
      <c r="AA471" s="2"/>
      <c r="AB471" s="2" t="str">
        <f>IFERROR(GA[[#This Row],[Plant Equivalent Weightage]]*GA[[#This Row],[Resolution Time]],"")</f>
        <v/>
      </c>
      <c r="AC471" s="2"/>
      <c r="AD471" s="32" t="str">
        <f>IFERROR((_xlfn.XLOOKUP(GA[[#This Row],[Month Year]],'Modelling New'!D:D,'Modelling New'!$O:$O)*GA[[#This Row],[Lost POA (Wh/m2)]]*GA[[#This Row],[DC Capacity Affceted (kW)]])/1000,"")</f>
        <v/>
      </c>
      <c r="AE471" s="2"/>
    </row>
    <row r="472" spans="1:31">
      <c r="A472" s="2">
        <f t="shared" si="31"/>
        <v>470</v>
      </c>
      <c r="B472" s="156">
        <f t="shared" si="32"/>
        <v>1900</v>
      </c>
      <c r="C472" s="129">
        <f t="shared" si="33"/>
        <v>1900</v>
      </c>
      <c r="I472" s="31" t="str">
        <f>IFERROR(VLOOKUP(GA[[#This Row],[Date]],Raw_Data[[#All],[Date]:[Sunset Time (POA&lt;20 W/m2)]],3,0),"")</f>
        <v/>
      </c>
      <c r="J472" s="31" t="str">
        <f>IFERROR(VLOOKUP(GA[[#This Row],[Date]],Raw_Data[[#All],[Date]:[Sunset Time (POA&lt;20 W/m2)]],4,0),"")</f>
        <v/>
      </c>
      <c r="K472" s="30" t="str">
        <f>IFERROR((GA[[#This Row],[Sunset Time (POA&lt;20 W/m2)]]-GA[[#This Row],[Sunrise Time (POA&gt;20 W/m2)]])*24,"")</f>
        <v/>
      </c>
      <c r="M472" s="17" t="str">
        <f>IFERROR(VLOOKUP(GA[[#This Row],[Affceted Equipment]],'Basic Data'!$A$1:$B$113,2,0),"")</f>
        <v/>
      </c>
      <c r="P472" s="28" t="str">
        <f>IFERROR(VLOOKUP(GA[[#This Row],[Affceted Equipment]],'Basic Data'!$A$2:$C$118,3,0),"")</f>
        <v/>
      </c>
      <c r="Q472" s="2"/>
      <c r="W472" s="34"/>
      <c r="X472" s="35"/>
      <c r="Y472" s="35"/>
      <c r="Z472" s="2"/>
      <c r="AA472" s="2"/>
      <c r="AB472" s="2" t="str">
        <f>IFERROR(GA[[#This Row],[Plant Equivalent Weightage]]*GA[[#This Row],[Resolution Time]],"")</f>
        <v/>
      </c>
      <c r="AC472" s="2"/>
      <c r="AD472" s="32" t="str">
        <f>IFERROR((_xlfn.XLOOKUP(GA[[#This Row],[Month Year]],'Modelling New'!D:D,'Modelling New'!$O:$O)*GA[[#This Row],[Lost POA (Wh/m2)]]*GA[[#This Row],[DC Capacity Affceted (kW)]])/1000,"")</f>
        <v/>
      </c>
      <c r="AE472" s="2"/>
    </row>
    <row r="473" spans="1:31">
      <c r="A473" s="2">
        <f t="shared" si="31"/>
        <v>471</v>
      </c>
      <c r="B473" s="156">
        <f t="shared" si="32"/>
        <v>1900</v>
      </c>
      <c r="C473" s="129">
        <f t="shared" si="33"/>
        <v>1900</v>
      </c>
      <c r="I473" s="31" t="str">
        <f>IFERROR(VLOOKUP(GA[[#This Row],[Date]],Raw_Data[[#All],[Date]:[Sunset Time (POA&lt;20 W/m2)]],3,0),"")</f>
        <v/>
      </c>
      <c r="J473" s="31" t="str">
        <f>IFERROR(VLOOKUP(GA[[#This Row],[Date]],Raw_Data[[#All],[Date]:[Sunset Time (POA&lt;20 W/m2)]],4,0),"")</f>
        <v/>
      </c>
      <c r="K473" s="30" t="str">
        <f>IFERROR((GA[[#This Row],[Sunset Time (POA&lt;20 W/m2)]]-GA[[#This Row],[Sunrise Time (POA&gt;20 W/m2)]])*24,"")</f>
        <v/>
      </c>
      <c r="M473" s="17" t="str">
        <f>IFERROR(VLOOKUP(GA[[#This Row],[Affceted Equipment]],'Basic Data'!$A$1:$B$113,2,0),"")</f>
        <v/>
      </c>
      <c r="P473" s="28" t="str">
        <f>IFERROR(VLOOKUP(GA[[#This Row],[Affceted Equipment]],'Basic Data'!$A$2:$C$118,3,0),"")</f>
        <v/>
      </c>
      <c r="Q473" s="2"/>
      <c r="W473" s="34"/>
      <c r="X473" s="35"/>
      <c r="Y473" s="35"/>
      <c r="Z473" s="2"/>
      <c r="AA473" s="2"/>
      <c r="AB473" s="2" t="str">
        <f>IFERROR(GA[[#This Row],[Plant Equivalent Weightage]]*GA[[#This Row],[Resolution Time]],"")</f>
        <v/>
      </c>
      <c r="AC473" s="2"/>
      <c r="AD473" s="32" t="str">
        <f>IFERROR((_xlfn.XLOOKUP(GA[[#This Row],[Month Year]],'Modelling New'!D:D,'Modelling New'!$O:$O)*GA[[#This Row],[Lost POA (Wh/m2)]]*GA[[#This Row],[DC Capacity Affceted (kW)]])/1000,"")</f>
        <v/>
      </c>
      <c r="AE473" s="2"/>
    </row>
    <row r="474" spans="1:31">
      <c r="A474" s="2">
        <f t="shared" si="31"/>
        <v>472</v>
      </c>
      <c r="B474" s="156">
        <f t="shared" si="32"/>
        <v>1900</v>
      </c>
      <c r="C474" s="129">
        <f t="shared" si="33"/>
        <v>1900</v>
      </c>
      <c r="I474" s="31" t="str">
        <f>IFERROR(VLOOKUP(GA[[#This Row],[Date]],Raw_Data[[#All],[Date]:[Sunset Time (POA&lt;20 W/m2)]],3,0),"")</f>
        <v/>
      </c>
      <c r="J474" s="31" t="str">
        <f>IFERROR(VLOOKUP(GA[[#This Row],[Date]],Raw_Data[[#All],[Date]:[Sunset Time (POA&lt;20 W/m2)]],4,0),"")</f>
        <v/>
      </c>
      <c r="K474" s="30" t="str">
        <f>IFERROR((GA[[#This Row],[Sunset Time (POA&lt;20 W/m2)]]-GA[[#This Row],[Sunrise Time (POA&gt;20 W/m2)]])*24,"")</f>
        <v/>
      </c>
      <c r="M474" s="17" t="str">
        <f>IFERROR(VLOOKUP(GA[[#This Row],[Affceted Equipment]],'Basic Data'!$A$1:$B$113,2,0),"")</f>
        <v/>
      </c>
      <c r="P474" s="28" t="str">
        <f>IFERROR(VLOOKUP(GA[[#This Row],[Affceted Equipment]],'Basic Data'!$A$2:$C$118,3,0),"")</f>
        <v/>
      </c>
      <c r="Q474" s="2"/>
      <c r="W474" s="34"/>
      <c r="X474" s="35"/>
      <c r="Y474" s="35"/>
      <c r="Z474" s="2"/>
      <c r="AA474" s="2"/>
      <c r="AB474" s="2" t="str">
        <f>IFERROR(GA[[#This Row],[Plant Equivalent Weightage]]*GA[[#This Row],[Resolution Time]],"")</f>
        <v/>
      </c>
      <c r="AC474" s="2"/>
      <c r="AD474" s="32" t="str">
        <f>IFERROR((_xlfn.XLOOKUP(GA[[#This Row],[Month Year]],'Modelling New'!D:D,'Modelling New'!$O:$O)*GA[[#This Row],[Lost POA (Wh/m2)]]*GA[[#This Row],[DC Capacity Affceted (kW)]])/1000,"")</f>
        <v/>
      </c>
      <c r="AE474" s="2"/>
    </row>
    <row r="475" spans="1:31">
      <c r="A475" s="2">
        <f t="shared" si="31"/>
        <v>473</v>
      </c>
      <c r="B475" s="156">
        <f t="shared" si="32"/>
        <v>1900</v>
      </c>
      <c r="C475" s="129">
        <f t="shared" si="33"/>
        <v>1900</v>
      </c>
      <c r="I475" s="31" t="str">
        <f>IFERROR(VLOOKUP(GA[[#This Row],[Date]],Raw_Data[[#All],[Date]:[Sunset Time (POA&lt;20 W/m2)]],3,0),"")</f>
        <v/>
      </c>
      <c r="J475" s="31" t="str">
        <f>IFERROR(VLOOKUP(GA[[#This Row],[Date]],Raw_Data[[#All],[Date]:[Sunset Time (POA&lt;20 W/m2)]],4,0),"")</f>
        <v/>
      </c>
      <c r="K475" s="30" t="str">
        <f>IFERROR((GA[[#This Row],[Sunset Time (POA&lt;20 W/m2)]]-GA[[#This Row],[Sunrise Time (POA&gt;20 W/m2)]])*24,"")</f>
        <v/>
      </c>
      <c r="M475" s="17" t="str">
        <f>IFERROR(VLOOKUP(GA[[#This Row],[Affceted Equipment]],'Basic Data'!$A$1:$B$113,2,0),"")</f>
        <v/>
      </c>
      <c r="P475" s="28" t="str">
        <f>IFERROR(VLOOKUP(GA[[#This Row],[Affceted Equipment]],'Basic Data'!$A$2:$C$118,3,0),"")</f>
        <v/>
      </c>
      <c r="Q475" s="2"/>
      <c r="W475" s="34"/>
      <c r="X475" s="35"/>
      <c r="Y475" s="35"/>
      <c r="Z475" s="2"/>
      <c r="AA475" s="2"/>
      <c r="AB475" s="2" t="str">
        <f>IFERROR(GA[[#This Row],[Plant Equivalent Weightage]]*GA[[#This Row],[Resolution Time]],"")</f>
        <v/>
      </c>
      <c r="AC475" s="2"/>
      <c r="AD475" s="32" t="str">
        <f>IFERROR((_xlfn.XLOOKUP(GA[[#This Row],[Month Year]],'Modelling New'!D:D,'Modelling New'!$O:$O)*GA[[#This Row],[Lost POA (Wh/m2)]]*GA[[#This Row],[DC Capacity Affceted (kW)]])/1000,"")</f>
        <v/>
      </c>
      <c r="AE475" s="2"/>
    </row>
    <row r="476" spans="1:31">
      <c r="A476" s="2">
        <f t="shared" si="31"/>
        <v>474</v>
      </c>
      <c r="B476" s="156">
        <f t="shared" si="32"/>
        <v>1900</v>
      </c>
      <c r="C476" s="129">
        <f t="shared" si="33"/>
        <v>1900</v>
      </c>
      <c r="I476" s="31" t="str">
        <f>IFERROR(VLOOKUP(GA[[#This Row],[Date]],Raw_Data[[#All],[Date]:[Sunset Time (POA&lt;20 W/m2)]],3,0),"")</f>
        <v/>
      </c>
      <c r="J476" s="31" t="str">
        <f>IFERROR(VLOOKUP(GA[[#This Row],[Date]],Raw_Data[[#All],[Date]:[Sunset Time (POA&lt;20 W/m2)]],4,0),"")</f>
        <v/>
      </c>
      <c r="K476" s="30" t="str">
        <f>IFERROR((GA[[#This Row],[Sunset Time (POA&lt;20 W/m2)]]-GA[[#This Row],[Sunrise Time (POA&gt;20 W/m2)]])*24,"")</f>
        <v/>
      </c>
      <c r="M476" s="17" t="str">
        <f>IFERROR(VLOOKUP(GA[[#This Row],[Affceted Equipment]],'Basic Data'!$A$1:$B$113,2,0),"")</f>
        <v/>
      </c>
      <c r="P476" s="28" t="str">
        <f>IFERROR(VLOOKUP(GA[[#This Row],[Affceted Equipment]],'Basic Data'!$A$2:$C$118,3,0),"")</f>
        <v/>
      </c>
      <c r="Q476" s="2"/>
      <c r="W476" s="34"/>
      <c r="X476" s="35"/>
      <c r="Y476" s="35"/>
      <c r="Z476" s="2"/>
      <c r="AA476" s="2"/>
      <c r="AB476" s="2" t="str">
        <f>IFERROR(GA[[#This Row],[Plant Equivalent Weightage]]*GA[[#This Row],[Resolution Time]],"")</f>
        <v/>
      </c>
      <c r="AC476" s="2"/>
      <c r="AD476" s="32" t="str">
        <f>IFERROR((_xlfn.XLOOKUP(GA[[#This Row],[Month Year]],'Modelling New'!D:D,'Modelling New'!$O:$O)*GA[[#This Row],[Lost POA (Wh/m2)]]*GA[[#This Row],[DC Capacity Affceted (kW)]])/1000,"")</f>
        <v/>
      </c>
      <c r="AE476" s="2"/>
    </row>
    <row r="477" spans="1:31">
      <c r="A477" s="2">
        <f t="shared" si="31"/>
        <v>475</v>
      </c>
      <c r="B477" s="156">
        <f t="shared" si="32"/>
        <v>1900</v>
      </c>
      <c r="C477" s="129">
        <f t="shared" si="33"/>
        <v>1900</v>
      </c>
      <c r="I477" s="31" t="str">
        <f>IFERROR(VLOOKUP(GA[[#This Row],[Date]],Raw_Data[[#All],[Date]:[Sunset Time (POA&lt;20 W/m2)]],3,0),"")</f>
        <v/>
      </c>
      <c r="J477" s="31" t="str">
        <f>IFERROR(VLOOKUP(GA[[#This Row],[Date]],Raw_Data[[#All],[Date]:[Sunset Time (POA&lt;20 W/m2)]],4,0),"")</f>
        <v/>
      </c>
      <c r="K477" s="30" t="str">
        <f>IFERROR((GA[[#This Row],[Sunset Time (POA&lt;20 W/m2)]]-GA[[#This Row],[Sunrise Time (POA&gt;20 W/m2)]])*24,"")</f>
        <v/>
      </c>
      <c r="M477" s="17" t="str">
        <f>IFERROR(VLOOKUP(GA[[#This Row],[Affceted Equipment]],'Basic Data'!$A$1:$B$113,2,0),"")</f>
        <v/>
      </c>
      <c r="P477" s="28" t="str">
        <f>IFERROR(VLOOKUP(GA[[#This Row],[Affceted Equipment]],'Basic Data'!$A$2:$C$118,3,0),"")</f>
        <v/>
      </c>
      <c r="Q477" s="2"/>
      <c r="W477" s="34"/>
      <c r="X477" s="35"/>
      <c r="Y477" s="35"/>
      <c r="Z477" s="2"/>
      <c r="AA477" s="2"/>
      <c r="AB477" s="2" t="str">
        <f>IFERROR(GA[[#This Row],[Plant Equivalent Weightage]]*GA[[#This Row],[Resolution Time]],"")</f>
        <v/>
      </c>
      <c r="AC477" s="2"/>
      <c r="AD477" s="32" t="str">
        <f>IFERROR((_xlfn.XLOOKUP(GA[[#This Row],[Month Year]],'Modelling New'!D:D,'Modelling New'!$O:$O)*GA[[#This Row],[Lost POA (Wh/m2)]]*GA[[#This Row],[DC Capacity Affceted (kW)]])/1000,"")</f>
        <v/>
      </c>
      <c r="AE477" s="2"/>
    </row>
    <row r="478" spans="1:31">
      <c r="A478" s="2">
        <f t="shared" si="31"/>
        <v>476</v>
      </c>
      <c r="B478" s="156">
        <f t="shared" si="32"/>
        <v>1900</v>
      </c>
      <c r="C478" s="129">
        <f t="shared" si="33"/>
        <v>1900</v>
      </c>
      <c r="I478" s="31" t="str">
        <f>IFERROR(VLOOKUP(GA[[#This Row],[Date]],Raw_Data[[#All],[Date]:[Sunset Time (POA&lt;20 W/m2)]],3,0),"")</f>
        <v/>
      </c>
      <c r="J478" s="31" t="str">
        <f>IFERROR(VLOOKUP(GA[[#This Row],[Date]],Raw_Data[[#All],[Date]:[Sunset Time (POA&lt;20 W/m2)]],4,0),"")</f>
        <v/>
      </c>
      <c r="K478" s="30" t="str">
        <f>IFERROR((GA[[#This Row],[Sunset Time (POA&lt;20 W/m2)]]-GA[[#This Row],[Sunrise Time (POA&gt;20 W/m2)]])*24,"")</f>
        <v/>
      </c>
      <c r="M478" s="17" t="str">
        <f>IFERROR(VLOOKUP(GA[[#This Row],[Affceted Equipment]],'Basic Data'!$A$1:$B$113,2,0),"")</f>
        <v/>
      </c>
      <c r="P478" s="28" t="str">
        <f>IFERROR(VLOOKUP(GA[[#This Row],[Affceted Equipment]],'Basic Data'!$A$2:$C$118,3,0),"")</f>
        <v/>
      </c>
      <c r="Q478" s="2"/>
      <c r="W478" s="34"/>
      <c r="X478" s="35"/>
      <c r="Y478" s="35"/>
      <c r="Z478" s="2"/>
      <c r="AA478" s="2"/>
      <c r="AB478" s="2" t="str">
        <f>IFERROR(GA[[#This Row],[Plant Equivalent Weightage]]*GA[[#This Row],[Resolution Time]],"")</f>
        <v/>
      </c>
      <c r="AC478" s="2"/>
      <c r="AD478" s="32" t="str">
        <f>IFERROR((_xlfn.XLOOKUP(GA[[#This Row],[Month Year]],'Modelling New'!D:D,'Modelling New'!$O:$O)*GA[[#This Row],[Lost POA (Wh/m2)]]*GA[[#This Row],[DC Capacity Affceted (kW)]])/1000,"")</f>
        <v/>
      </c>
      <c r="AE478" s="2"/>
    </row>
    <row r="479" spans="1:31">
      <c r="A479" s="2">
        <f t="shared" si="31"/>
        <v>477</v>
      </c>
      <c r="B479" s="156">
        <f t="shared" si="32"/>
        <v>1900</v>
      </c>
      <c r="C479" s="129">
        <f t="shared" si="33"/>
        <v>1900</v>
      </c>
      <c r="I479" s="31" t="str">
        <f>IFERROR(VLOOKUP(GA[[#This Row],[Date]],Raw_Data[[#All],[Date]:[Sunset Time (POA&lt;20 W/m2)]],3,0),"")</f>
        <v/>
      </c>
      <c r="J479" s="31" t="str">
        <f>IFERROR(VLOOKUP(GA[[#This Row],[Date]],Raw_Data[[#All],[Date]:[Sunset Time (POA&lt;20 W/m2)]],4,0),"")</f>
        <v/>
      </c>
      <c r="K479" s="30" t="str">
        <f>IFERROR((GA[[#This Row],[Sunset Time (POA&lt;20 W/m2)]]-GA[[#This Row],[Sunrise Time (POA&gt;20 W/m2)]])*24,"")</f>
        <v/>
      </c>
      <c r="M479" s="17" t="str">
        <f>IFERROR(VLOOKUP(GA[[#This Row],[Affceted Equipment]],'Basic Data'!$A$1:$B$113,2,0),"")</f>
        <v/>
      </c>
      <c r="P479" s="28" t="str">
        <f>IFERROR(VLOOKUP(GA[[#This Row],[Affceted Equipment]],'Basic Data'!$A$2:$C$118,3,0),"")</f>
        <v/>
      </c>
      <c r="Q479" s="2"/>
      <c r="W479" s="34"/>
      <c r="X479" s="35"/>
      <c r="Y479" s="35"/>
      <c r="Z479" s="2"/>
      <c r="AA479" s="2"/>
      <c r="AB479" s="2" t="str">
        <f>IFERROR(GA[[#This Row],[Plant Equivalent Weightage]]*GA[[#This Row],[Resolution Time]],"")</f>
        <v/>
      </c>
      <c r="AC479" s="2"/>
      <c r="AD479" s="32" t="str">
        <f>IFERROR((_xlfn.XLOOKUP(GA[[#This Row],[Month Year]],'Modelling New'!D:D,'Modelling New'!$O:$O)*GA[[#This Row],[Lost POA (Wh/m2)]]*GA[[#This Row],[DC Capacity Affceted (kW)]])/1000,"")</f>
        <v/>
      </c>
      <c r="AE479" s="2"/>
    </row>
    <row r="480" spans="1:31">
      <c r="A480" s="2">
        <f t="shared" ref="A480:A513" si="34">A479+1</f>
        <v>478</v>
      </c>
      <c r="B480" s="156">
        <f t="shared" si="32"/>
        <v>1900</v>
      </c>
      <c r="C480" s="129">
        <f t="shared" si="33"/>
        <v>1900</v>
      </c>
      <c r="I480" s="31" t="str">
        <f>IFERROR(VLOOKUP(GA[[#This Row],[Date]],Raw_Data[[#All],[Date]:[Sunset Time (POA&lt;20 W/m2)]],3,0),"")</f>
        <v/>
      </c>
      <c r="J480" s="31" t="str">
        <f>IFERROR(VLOOKUP(GA[[#This Row],[Date]],Raw_Data[[#All],[Date]:[Sunset Time (POA&lt;20 W/m2)]],4,0),"")</f>
        <v/>
      </c>
      <c r="K480" s="30" t="str">
        <f>IFERROR((GA[[#This Row],[Sunset Time (POA&lt;20 W/m2)]]-GA[[#This Row],[Sunrise Time (POA&gt;20 W/m2)]])*24,"")</f>
        <v/>
      </c>
      <c r="M480" s="17" t="str">
        <f>IFERROR(VLOOKUP(GA[[#This Row],[Affceted Equipment]],'Basic Data'!$A$1:$B$113,2,0),"")</f>
        <v/>
      </c>
      <c r="P480" s="28" t="str">
        <f>IFERROR(VLOOKUP(GA[[#This Row],[Affceted Equipment]],'Basic Data'!$A$2:$C$118,3,0),"")</f>
        <v/>
      </c>
      <c r="Q480" s="2"/>
      <c r="W480" s="34"/>
      <c r="X480" s="35"/>
      <c r="Y480" s="35"/>
      <c r="Z480" s="2"/>
      <c r="AA480" s="2"/>
      <c r="AB480" s="2" t="str">
        <f>IFERROR(GA[[#This Row],[Plant Equivalent Weightage]]*GA[[#This Row],[Resolution Time]],"")</f>
        <v/>
      </c>
      <c r="AC480" s="2"/>
      <c r="AD480" s="32" t="str">
        <f>IFERROR((_xlfn.XLOOKUP(GA[[#This Row],[Month Year]],'Modelling New'!D:D,'Modelling New'!$O:$O)*GA[[#This Row],[Lost POA (Wh/m2)]]*GA[[#This Row],[DC Capacity Affceted (kW)]])/1000,"")</f>
        <v/>
      </c>
      <c r="AE480" s="2"/>
    </row>
    <row r="481" spans="1:31">
      <c r="A481" s="2">
        <f t="shared" si="34"/>
        <v>479</v>
      </c>
      <c r="B481" s="156">
        <f t="shared" si="32"/>
        <v>1900</v>
      </c>
      <c r="C481" s="129">
        <f t="shared" si="33"/>
        <v>1900</v>
      </c>
      <c r="I481" s="31" t="str">
        <f>IFERROR(VLOOKUP(GA[[#This Row],[Date]],Raw_Data[[#All],[Date]:[Sunset Time (POA&lt;20 W/m2)]],3,0),"")</f>
        <v/>
      </c>
      <c r="J481" s="31" t="str">
        <f>IFERROR(VLOOKUP(GA[[#This Row],[Date]],Raw_Data[[#All],[Date]:[Sunset Time (POA&lt;20 W/m2)]],4,0),"")</f>
        <v/>
      </c>
      <c r="K481" s="30" t="str">
        <f>IFERROR((GA[[#This Row],[Sunset Time (POA&lt;20 W/m2)]]-GA[[#This Row],[Sunrise Time (POA&gt;20 W/m2)]])*24,"")</f>
        <v/>
      </c>
      <c r="M481" s="17" t="str">
        <f>IFERROR(VLOOKUP(GA[[#This Row],[Affceted Equipment]],'Basic Data'!$A$1:$B$113,2,0),"")</f>
        <v/>
      </c>
      <c r="P481" s="28" t="str">
        <f>IFERROR(VLOOKUP(GA[[#This Row],[Affceted Equipment]],'Basic Data'!$A$2:$C$118,3,0),"")</f>
        <v/>
      </c>
      <c r="Q481" s="2"/>
      <c r="W481" s="34"/>
      <c r="X481" s="35"/>
      <c r="Y481" s="35"/>
      <c r="Z481" s="2"/>
      <c r="AA481" s="2"/>
      <c r="AB481" s="2" t="str">
        <f>IFERROR(GA[[#This Row],[Plant Equivalent Weightage]]*GA[[#This Row],[Resolution Time]],"")</f>
        <v/>
      </c>
      <c r="AC481" s="2"/>
      <c r="AD481" s="32" t="str">
        <f>IFERROR((_xlfn.XLOOKUP(GA[[#This Row],[Month Year]],'Modelling New'!D:D,'Modelling New'!$O:$O)*GA[[#This Row],[Lost POA (Wh/m2)]]*GA[[#This Row],[DC Capacity Affceted (kW)]])/1000,"")</f>
        <v/>
      </c>
      <c r="AE481" s="2"/>
    </row>
    <row r="482" spans="1:31">
      <c r="A482" s="2">
        <f t="shared" si="34"/>
        <v>480</v>
      </c>
      <c r="B482" s="156">
        <f t="shared" si="32"/>
        <v>1900</v>
      </c>
      <c r="C482" s="129">
        <f t="shared" si="33"/>
        <v>1900</v>
      </c>
      <c r="I482" s="31" t="str">
        <f>IFERROR(VLOOKUP(GA[[#This Row],[Date]],Raw_Data[[#All],[Date]:[Sunset Time (POA&lt;20 W/m2)]],3,0),"")</f>
        <v/>
      </c>
      <c r="J482" s="31" t="str">
        <f>IFERROR(VLOOKUP(GA[[#This Row],[Date]],Raw_Data[[#All],[Date]:[Sunset Time (POA&lt;20 W/m2)]],4,0),"")</f>
        <v/>
      </c>
      <c r="K482" s="30" t="str">
        <f>IFERROR((GA[[#This Row],[Sunset Time (POA&lt;20 W/m2)]]-GA[[#This Row],[Sunrise Time (POA&gt;20 W/m2)]])*24,"")</f>
        <v/>
      </c>
      <c r="M482" s="17" t="str">
        <f>IFERROR(VLOOKUP(GA[[#This Row],[Affceted Equipment]],'Basic Data'!$A$1:$B$113,2,0),"")</f>
        <v/>
      </c>
      <c r="P482" s="28" t="str">
        <f>IFERROR(VLOOKUP(GA[[#This Row],[Affceted Equipment]],'Basic Data'!$A$2:$C$118,3,0),"")</f>
        <v/>
      </c>
      <c r="Q482" s="2"/>
      <c r="W482" s="34"/>
      <c r="X482" s="35"/>
      <c r="Y482" s="35"/>
      <c r="Z482" s="2"/>
      <c r="AA482" s="2"/>
      <c r="AB482" s="2" t="str">
        <f>IFERROR(GA[[#This Row],[Plant Equivalent Weightage]]*GA[[#This Row],[Resolution Time]],"")</f>
        <v/>
      </c>
      <c r="AC482" s="2"/>
      <c r="AD482" s="32" t="str">
        <f>IFERROR((_xlfn.XLOOKUP(GA[[#This Row],[Month Year]],'Modelling New'!D:D,'Modelling New'!$O:$O)*GA[[#This Row],[Lost POA (Wh/m2)]]*GA[[#This Row],[DC Capacity Affceted (kW)]])/1000,"")</f>
        <v/>
      </c>
      <c r="AE482" s="2"/>
    </row>
    <row r="483" spans="1:31">
      <c r="A483" s="2">
        <f t="shared" si="34"/>
        <v>481</v>
      </c>
      <c r="B483" s="156">
        <f t="shared" si="32"/>
        <v>1900</v>
      </c>
      <c r="C483" s="129">
        <f t="shared" si="33"/>
        <v>1900</v>
      </c>
      <c r="I483" s="31" t="str">
        <f>IFERROR(VLOOKUP(GA[[#This Row],[Date]],Raw_Data[[#All],[Date]:[Sunset Time (POA&lt;20 W/m2)]],3,0),"")</f>
        <v/>
      </c>
      <c r="J483" s="31" t="str">
        <f>IFERROR(VLOOKUP(GA[[#This Row],[Date]],Raw_Data[[#All],[Date]:[Sunset Time (POA&lt;20 W/m2)]],4,0),"")</f>
        <v/>
      </c>
      <c r="K483" s="30" t="str">
        <f>IFERROR((GA[[#This Row],[Sunset Time (POA&lt;20 W/m2)]]-GA[[#This Row],[Sunrise Time (POA&gt;20 W/m2)]])*24,"")</f>
        <v/>
      </c>
      <c r="M483" s="17" t="str">
        <f>IFERROR(VLOOKUP(GA[[#This Row],[Affceted Equipment]],'Basic Data'!$A$1:$B$113,2,0),"")</f>
        <v/>
      </c>
      <c r="P483" s="28" t="str">
        <f>IFERROR(VLOOKUP(GA[[#This Row],[Affceted Equipment]],'Basic Data'!$A$2:$C$118,3,0),"")</f>
        <v/>
      </c>
      <c r="Q483" s="2"/>
      <c r="W483" s="34"/>
      <c r="X483" s="35"/>
      <c r="Y483" s="35"/>
      <c r="Z483" s="2"/>
      <c r="AA483" s="2"/>
      <c r="AB483" s="2" t="str">
        <f>IFERROR(GA[[#This Row],[Plant Equivalent Weightage]]*GA[[#This Row],[Resolution Time]],"")</f>
        <v/>
      </c>
      <c r="AC483" s="2"/>
      <c r="AD483" s="32" t="str">
        <f>IFERROR((_xlfn.XLOOKUP(GA[[#This Row],[Month Year]],'Modelling New'!D:D,'Modelling New'!$O:$O)*GA[[#This Row],[Lost POA (Wh/m2)]]*GA[[#This Row],[DC Capacity Affceted (kW)]])/1000,"")</f>
        <v/>
      </c>
      <c r="AE483" s="2"/>
    </row>
    <row r="484" spans="1:31">
      <c r="A484" s="2">
        <f t="shared" si="34"/>
        <v>482</v>
      </c>
      <c r="B484" s="156">
        <f t="shared" si="32"/>
        <v>1900</v>
      </c>
      <c r="C484" s="129">
        <f t="shared" si="33"/>
        <v>1900</v>
      </c>
      <c r="I484" s="31" t="str">
        <f>IFERROR(VLOOKUP(GA[[#This Row],[Date]],Raw_Data[[#All],[Date]:[Sunset Time (POA&lt;20 W/m2)]],3,0),"")</f>
        <v/>
      </c>
      <c r="J484" s="31" t="str">
        <f>IFERROR(VLOOKUP(GA[[#This Row],[Date]],Raw_Data[[#All],[Date]:[Sunset Time (POA&lt;20 W/m2)]],4,0),"")</f>
        <v/>
      </c>
      <c r="K484" s="30" t="str">
        <f>IFERROR((GA[[#This Row],[Sunset Time (POA&lt;20 W/m2)]]-GA[[#This Row],[Sunrise Time (POA&gt;20 W/m2)]])*24,"")</f>
        <v/>
      </c>
      <c r="M484" s="17" t="str">
        <f>IFERROR(VLOOKUP(GA[[#This Row],[Affceted Equipment]],'Basic Data'!$A$1:$B$113,2,0),"")</f>
        <v/>
      </c>
      <c r="P484" s="28" t="str">
        <f>IFERROR(VLOOKUP(GA[[#This Row],[Affceted Equipment]],'Basic Data'!$A$2:$C$118,3,0),"")</f>
        <v/>
      </c>
      <c r="Q484" s="2"/>
      <c r="W484" s="34"/>
      <c r="X484" s="35"/>
      <c r="Y484" s="35"/>
      <c r="Z484" s="2"/>
      <c r="AA484" s="2"/>
      <c r="AB484" s="2" t="str">
        <f>IFERROR(GA[[#This Row],[Plant Equivalent Weightage]]*GA[[#This Row],[Resolution Time]],"")</f>
        <v/>
      </c>
      <c r="AC484" s="2"/>
      <c r="AD484" s="32" t="str">
        <f>IFERROR((_xlfn.XLOOKUP(GA[[#This Row],[Month Year]],'Modelling New'!D:D,'Modelling New'!$O:$O)*GA[[#This Row],[Lost POA (Wh/m2)]]*GA[[#This Row],[DC Capacity Affceted (kW)]])/1000,"")</f>
        <v/>
      </c>
      <c r="AE484" s="2"/>
    </row>
    <row r="485" spans="1:31">
      <c r="A485" s="2">
        <f t="shared" si="34"/>
        <v>483</v>
      </c>
      <c r="B485" s="156">
        <f t="shared" si="32"/>
        <v>1900</v>
      </c>
      <c r="C485" s="129">
        <f t="shared" si="33"/>
        <v>1900</v>
      </c>
      <c r="I485" s="31" t="str">
        <f>IFERROR(VLOOKUP(GA[[#This Row],[Date]],Raw_Data[[#All],[Date]:[Sunset Time (POA&lt;20 W/m2)]],3,0),"")</f>
        <v/>
      </c>
      <c r="J485" s="31" t="str">
        <f>IFERROR(VLOOKUP(GA[[#This Row],[Date]],Raw_Data[[#All],[Date]:[Sunset Time (POA&lt;20 W/m2)]],4,0),"")</f>
        <v/>
      </c>
      <c r="K485" s="30" t="str">
        <f>IFERROR((GA[[#This Row],[Sunset Time (POA&lt;20 W/m2)]]-GA[[#This Row],[Sunrise Time (POA&gt;20 W/m2)]])*24,"")</f>
        <v/>
      </c>
      <c r="M485" s="17" t="str">
        <f>IFERROR(VLOOKUP(GA[[#This Row],[Affceted Equipment]],'Basic Data'!$A$1:$B$113,2,0),"")</f>
        <v/>
      </c>
      <c r="P485" s="28" t="str">
        <f>IFERROR(VLOOKUP(GA[[#This Row],[Affceted Equipment]],'Basic Data'!$A$2:$C$118,3,0),"")</f>
        <v/>
      </c>
      <c r="Q485" s="2"/>
      <c r="W485" s="34"/>
      <c r="X485" s="35"/>
      <c r="Y485" s="35"/>
      <c r="Z485" s="2"/>
      <c r="AA485" s="2"/>
      <c r="AB485" s="2" t="str">
        <f>IFERROR(GA[[#This Row],[Plant Equivalent Weightage]]*GA[[#This Row],[Resolution Time]],"")</f>
        <v/>
      </c>
      <c r="AC485" s="2"/>
      <c r="AD485" s="32" t="str">
        <f>IFERROR((_xlfn.XLOOKUP(GA[[#This Row],[Month Year]],'Modelling New'!D:D,'Modelling New'!$O:$O)*GA[[#This Row],[Lost POA (Wh/m2)]]*GA[[#This Row],[DC Capacity Affceted (kW)]])/1000,"")</f>
        <v/>
      </c>
      <c r="AE485" s="2"/>
    </row>
    <row r="486" spans="1:31">
      <c r="A486" s="2">
        <f t="shared" si="34"/>
        <v>484</v>
      </c>
      <c r="B486" s="156">
        <f t="shared" si="32"/>
        <v>1900</v>
      </c>
      <c r="C486" s="129">
        <f t="shared" si="33"/>
        <v>1900</v>
      </c>
      <c r="I486" s="31" t="str">
        <f>IFERROR(VLOOKUP(GA[[#This Row],[Date]],Raw_Data[[#All],[Date]:[Sunset Time (POA&lt;20 W/m2)]],3,0),"")</f>
        <v/>
      </c>
      <c r="J486" s="31" t="str">
        <f>IFERROR(VLOOKUP(GA[[#This Row],[Date]],Raw_Data[[#All],[Date]:[Sunset Time (POA&lt;20 W/m2)]],4,0),"")</f>
        <v/>
      </c>
      <c r="K486" s="30" t="str">
        <f>IFERROR((GA[[#This Row],[Sunset Time (POA&lt;20 W/m2)]]-GA[[#This Row],[Sunrise Time (POA&gt;20 W/m2)]])*24,"")</f>
        <v/>
      </c>
      <c r="M486" s="17" t="str">
        <f>IFERROR(VLOOKUP(GA[[#This Row],[Affceted Equipment]],'Basic Data'!$A$1:$B$113,2,0),"")</f>
        <v/>
      </c>
      <c r="P486" s="28" t="str">
        <f>IFERROR(VLOOKUP(GA[[#This Row],[Affceted Equipment]],'Basic Data'!$A$2:$C$118,3,0),"")</f>
        <v/>
      </c>
      <c r="Q486" s="2"/>
      <c r="W486" s="34"/>
      <c r="X486" s="35"/>
      <c r="Y486" s="35"/>
      <c r="Z486" s="2"/>
      <c r="AA486" s="2"/>
      <c r="AB486" s="2" t="str">
        <f>IFERROR(GA[[#This Row],[Plant Equivalent Weightage]]*GA[[#This Row],[Resolution Time]],"")</f>
        <v/>
      </c>
      <c r="AC486" s="2"/>
      <c r="AD486" s="32" t="str">
        <f>IFERROR((_xlfn.XLOOKUP(GA[[#This Row],[Month Year]],'Modelling New'!D:D,'Modelling New'!$O:$O)*GA[[#This Row],[Lost POA (Wh/m2)]]*GA[[#This Row],[DC Capacity Affceted (kW)]])/1000,"")</f>
        <v/>
      </c>
      <c r="AE486" s="2"/>
    </row>
    <row r="487" spans="1:31">
      <c r="A487" s="2">
        <f t="shared" si="34"/>
        <v>485</v>
      </c>
      <c r="B487" s="156">
        <f t="shared" si="32"/>
        <v>1900</v>
      </c>
      <c r="C487" s="129">
        <f t="shared" si="33"/>
        <v>1900</v>
      </c>
      <c r="I487" s="31" t="str">
        <f>IFERROR(VLOOKUP(GA[[#This Row],[Date]],Raw_Data[[#All],[Date]:[Sunset Time (POA&lt;20 W/m2)]],3,0),"")</f>
        <v/>
      </c>
      <c r="J487" s="31" t="str">
        <f>IFERROR(VLOOKUP(GA[[#This Row],[Date]],Raw_Data[[#All],[Date]:[Sunset Time (POA&lt;20 W/m2)]],4,0),"")</f>
        <v/>
      </c>
      <c r="K487" s="30" t="str">
        <f>IFERROR((GA[[#This Row],[Sunset Time (POA&lt;20 W/m2)]]-GA[[#This Row],[Sunrise Time (POA&gt;20 W/m2)]])*24,"")</f>
        <v/>
      </c>
      <c r="M487" s="17" t="str">
        <f>IFERROR(VLOOKUP(GA[[#This Row],[Affceted Equipment]],'Basic Data'!$A$1:$B$113,2,0),"")</f>
        <v/>
      </c>
      <c r="P487" s="28" t="str">
        <f>IFERROR(VLOOKUP(GA[[#This Row],[Affceted Equipment]],'Basic Data'!$A$2:$C$118,3,0),"")</f>
        <v/>
      </c>
      <c r="Q487" s="2"/>
      <c r="W487" s="34"/>
      <c r="X487" s="35"/>
      <c r="Y487" s="35"/>
      <c r="Z487" s="2"/>
      <c r="AA487" s="2"/>
      <c r="AB487" s="2" t="str">
        <f>IFERROR(GA[[#This Row],[Plant Equivalent Weightage]]*GA[[#This Row],[Resolution Time]],"")</f>
        <v/>
      </c>
      <c r="AC487" s="2"/>
      <c r="AD487" s="32" t="str">
        <f>IFERROR((_xlfn.XLOOKUP(GA[[#This Row],[Month Year]],'Modelling New'!D:D,'Modelling New'!$O:$O)*GA[[#This Row],[Lost POA (Wh/m2)]]*GA[[#This Row],[DC Capacity Affceted (kW)]])/1000,"")</f>
        <v/>
      </c>
      <c r="AE487" s="2"/>
    </row>
    <row r="488" spans="1:31">
      <c r="A488" s="2">
        <f t="shared" si="34"/>
        <v>486</v>
      </c>
      <c r="B488" s="156">
        <f t="shared" si="32"/>
        <v>1900</v>
      </c>
      <c r="C488" s="129">
        <f t="shared" si="33"/>
        <v>1900</v>
      </c>
      <c r="I488" s="31" t="str">
        <f>IFERROR(VLOOKUP(GA[[#This Row],[Date]],Raw_Data[[#All],[Date]:[Sunset Time (POA&lt;20 W/m2)]],3,0),"")</f>
        <v/>
      </c>
      <c r="J488" s="31" t="str">
        <f>IFERROR(VLOOKUP(GA[[#This Row],[Date]],Raw_Data[[#All],[Date]:[Sunset Time (POA&lt;20 W/m2)]],4,0),"")</f>
        <v/>
      </c>
      <c r="K488" s="30" t="str">
        <f>IFERROR((GA[[#This Row],[Sunset Time (POA&lt;20 W/m2)]]-GA[[#This Row],[Sunrise Time (POA&gt;20 W/m2)]])*24,"")</f>
        <v/>
      </c>
      <c r="M488" s="17" t="str">
        <f>IFERROR(VLOOKUP(GA[[#This Row],[Affceted Equipment]],'Basic Data'!$A$1:$B$113,2,0),"")</f>
        <v/>
      </c>
      <c r="P488" s="28" t="str">
        <f>IFERROR(VLOOKUP(GA[[#This Row],[Affceted Equipment]],'Basic Data'!$A$2:$C$118,3,0),"")</f>
        <v/>
      </c>
      <c r="Q488" s="2"/>
      <c r="W488" s="34"/>
      <c r="X488" s="35"/>
      <c r="Y488" s="35"/>
      <c r="Z488" s="2"/>
      <c r="AA488" s="2"/>
      <c r="AB488" s="2" t="str">
        <f>IFERROR(GA[[#This Row],[Plant Equivalent Weightage]]*GA[[#This Row],[Resolution Time]],"")</f>
        <v/>
      </c>
      <c r="AC488" s="2"/>
      <c r="AD488" s="32" t="str">
        <f>IFERROR((_xlfn.XLOOKUP(GA[[#This Row],[Month Year]],'Modelling New'!D:D,'Modelling New'!$O:$O)*GA[[#This Row],[Lost POA (Wh/m2)]]*GA[[#This Row],[DC Capacity Affceted (kW)]])/1000,"")</f>
        <v/>
      </c>
      <c r="AE488" s="2"/>
    </row>
    <row r="489" spans="1:31">
      <c r="A489" s="2">
        <f t="shared" si="34"/>
        <v>487</v>
      </c>
      <c r="B489" s="156">
        <f t="shared" si="32"/>
        <v>1900</v>
      </c>
      <c r="C489" s="129">
        <f t="shared" si="33"/>
        <v>1900</v>
      </c>
      <c r="I489" s="31" t="str">
        <f>IFERROR(VLOOKUP(GA[[#This Row],[Date]],Raw_Data[[#All],[Date]:[Sunset Time (POA&lt;20 W/m2)]],3,0),"")</f>
        <v/>
      </c>
      <c r="J489" s="31" t="str">
        <f>IFERROR(VLOOKUP(GA[[#This Row],[Date]],Raw_Data[[#All],[Date]:[Sunset Time (POA&lt;20 W/m2)]],4,0),"")</f>
        <v/>
      </c>
      <c r="K489" s="30" t="str">
        <f>IFERROR((GA[[#This Row],[Sunset Time (POA&lt;20 W/m2)]]-GA[[#This Row],[Sunrise Time (POA&gt;20 W/m2)]])*24,"")</f>
        <v/>
      </c>
      <c r="M489" s="17" t="str">
        <f>IFERROR(VLOOKUP(GA[[#This Row],[Affceted Equipment]],'Basic Data'!$A$1:$B$113,2,0),"")</f>
        <v/>
      </c>
      <c r="P489" s="28" t="str">
        <f>IFERROR(VLOOKUP(GA[[#This Row],[Affceted Equipment]],'Basic Data'!$A$2:$C$118,3,0),"")</f>
        <v/>
      </c>
      <c r="Q489" s="2"/>
      <c r="W489" s="34"/>
      <c r="X489" s="35"/>
      <c r="Y489" s="35"/>
      <c r="Z489" s="2"/>
      <c r="AA489" s="2"/>
      <c r="AB489" s="2" t="str">
        <f>IFERROR(GA[[#This Row],[Plant Equivalent Weightage]]*GA[[#This Row],[Resolution Time]],"")</f>
        <v/>
      </c>
      <c r="AC489" s="2"/>
      <c r="AD489" s="32" t="str">
        <f>IFERROR((_xlfn.XLOOKUP(GA[[#This Row],[Month Year]],'Modelling New'!D:D,'Modelling New'!$O:$O)*GA[[#This Row],[Lost POA (Wh/m2)]]*GA[[#This Row],[DC Capacity Affceted (kW)]])/1000,"")</f>
        <v/>
      </c>
      <c r="AE489" s="2"/>
    </row>
    <row r="490" spans="1:31">
      <c r="A490" s="2">
        <f t="shared" si="34"/>
        <v>488</v>
      </c>
      <c r="B490" s="156">
        <f t="shared" si="32"/>
        <v>1900</v>
      </c>
      <c r="C490" s="129">
        <f t="shared" si="33"/>
        <v>1900</v>
      </c>
      <c r="I490" s="31" t="str">
        <f>IFERROR(VLOOKUP(GA[[#This Row],[Date]],Raw_Data[[#All],[Date]:[Sunset Time (POA&lt;20 W/m2)]],3,0),"")</f>
        <v/>
      </c>
      <c r="J490" s="31" t="str">
        <f>IFERROR(VLOOKUP(GA[[#This Row],[Date]],Raw_Data[[#All],[Date]:[Sunset Time (POA&lt;20 W/m2)]],4,0),"")</f>
        <v/>
      </c>
      <c r="K490" s="30" t="str">
        <f>IFERROR((GA[[#This Row],[Sunset Time (POA&lt;20 W/m2)]]-GA[[#This Row],[Sunrise Time (POA&gt;20 W/m2)]])*24,"")</f>
        <v/>
      </c>
      <c r="M490" s="17" t="str">
        <f>IFERROR(VLOOKUP(GA[[#This Row],[Affceted Equipment]],'Basic Data'!$A$1:$B$113,2,0),"")</f>
        <v/>
      </c>
      <c r="P490" s="28" t="str">
        <f>IFERROR(VLOOKUP(GA[[#This Row],[Affceted Equipment]],'Basic Data'!$A$2:$C$118,3,0),"")</f>
        <v/>
      </c>
      <c r="Q490" s="2"/>
      <c r="W490" s="34"/>
      <c r="X490" s="35"/>
      <c r="Y490" s="35"/>
      <c r="Z490" s="2"/>
      <c r="AA490" s="2"/>
      <c r="AB490" s="2" t="str">
        <f>IFERROR(GA[[#This Row],[Plant Equivalent Weightage]]*GA[[#This Row],[Resolution Time]],"")</f>
        <v/>
      </c>
      <c r="AC490" s="2"/>
      <c r="AD490" s="32" t="str">
        <f>IFERROR((_xlfn.XLOOKUP(GA[[#This Row],[Month Year]],'Modelling New'!D:D,'Modelling New'!$O:$O)*GA[[#This Row],[Lost POA (Wh/m2)]]*GA[[#This Row],[DC Capacity Affceted (kW)]])/1000,"")</f>
        <v/>
      </c>
      <c r="AE490" s="2"/>
    </row>
    <row r="491" spans="1:31">
      <c r="A491" s="2">
        <f t="shared" si="34"/>
        <v>489</v>
      </c>
      <c r="B491" s="156">
        <f t="shared" si="32"/>
        <v>1900</v>
      </c>
      <c r="C491" s="129">
        <f t="shared" si="33"/>
        <v>1900</v>
      </c>
      <c r="I491" s="31" t="str">
        <f>IFERROR(VLOOKUP(GA[[#This Row],[Date]],Raw_Data[[#All],[Date]:[Sunset Time (POA&lt;20 W/m2)]],3,0),"")</f>
        <v/>
      </c>
      <c r="J491" s="31" t="str">
        <f>IFERROR(VLOOKUP(GA[[#This Row],[Date]],Raw_Data[[#All],[Date]:[Sunset Time (POA&lt;20 W/m2)]],4,0),"")</f>
        <v/>
      </c>
      <c r="K491" s="30" t="str">
        <f>IFERROR((GA[[#This Row],[Sunset Time (POA&lt;20 W/m2)]]-GA[[#This Row],[Sunrise Time (POA&gt;20 W/m2)]])*24,"")</f>
        <v/>
      </c>
      <c r="M491" s="17" t="str">
        <f>IFERROR(VLOOKUP(GA[[#This Row],[Affceted Equipment]],'Basic Data'!$A$1:$B$113,2,0),"")</f>
        <v/>
      </c>
      <c r="P491" s="28" t="str">
        <f>IFERROR(VLOOKUP(GA[[#This Row],[Affceted Equipment]],'Basic Data'!$A$2:$C$118,3,0),"")</f>
        <v/>
      </c>
      <c r="Q491" s="2"/>
      <c r="W491" s="34"/>
      <c r="X491" s="35"/>
      <c r="Y491" s="35"/>
      <c r="Z491" s="2"/>
      <c r="AA491" s="2"/>
      <c r="AB491" s="2" t="str">
        <f>IFERROR(GA[[#This Row],[Plant Equivalent Weightage]]*GA[[#This Row],[Resolution Time]],"")</f>
        <v/>
      </c>
      <c r="AC491" s="2"/>
      <c r="AD491" s="32" t="str">
        <f>IFERROR((_xlfn.XLOOKUP(GA[[#This Row],[Month Year]],'Modelling New'!D:D,'Modelling New'!$O:$O)*GA[[#This Row],[Lost POA (Wh/m2)]]*GA[[#This Row],[DC Capacity Affceted (kW)]])/1000,"")</f>
        <v/>
      </c>
      <c r="AE491" s="2"/>
    </row>
    <row r="492" spans="1:31">
      <c r="A492" s="2">
        <f t="shared" si="34"/>
        <v>490</v>
      </c>
      <c r="B492" s="156">
        <f t="shared" si="32"/>
        <v>1900</v>
      </c>
      <c r="C492" s="129">
        <f t="shared" si="33"/>
        <v>1900</v>
      </c>
      <c r="I492" s="31" t="str">
        <f>IFERROR(VLOOKUP(GA[[#This Row],[Date]],Raw_Data[[#All],[Date]:[Sunset Time (POA&lt;20 W/m2)]],3,0),"")</f>
        <v/>
      </c>
      <c r="J492" s="31" t="str">
        <f>IFERROR(VLOOKUP(GA[[#This Row],[Date]],Raw_Data[[#All],[Date]:[Sunset Time (POA&lt;20 W/m2)]],4,0),"")</f>
        <v/>
      </c>
      <c r="K492" s="30" t="str">
        <f>IFERROR((GA[[#This Row],[Sunset Time (POA&lt;20 W/m2)]]-GA[[#This Row],[Sunrise Time (POA&gt;20 W/m2)]])*24,"")</f>
        <v/>
      </c>
      <c r="M492" s="17" t="str">
        <f>IFERROR(VLOOKUP(GA[[#This Row],[Affceted Equipment]],'Basic Data'!$A$1:$B$113,2,0),"")</f>
        <v/>
      </c>
      <c r="P492" s="28" t="str">
        <f>IFERROR(VLOOKUP(GA[[#This Row],[Affceted Equipment]],'Basic Data'!$A$2:$C$118,3,0),"")</f>
        <v/>
      </c>
      <c r="Q492" s="2"/>
      <c r="W492" s="34"/>
      <c r="X492" s="35"/>
      <c r="Y492" s="35"/>
      <c r="Z492" s="2"/>
      <c r="AA492" s="2"/>
      <c r="AB492" s="2" t="str">
        <f>IFERROR(GA[[#This Row],[Plant Equivalent Weightage]]*GA[[#This Row],[Resolution Time]],"")</f>
        <v/>
      </c>
      <c r="AC492" s="2"/>
      <c r="AD492" s="32" t="str">
        <f>IFERROR((_xlfn.XLOOKUP(GA[[#This Row],[Month Year]],'Modelling New'!D:D,'Modelling New'!$O:$O)*GA[[#This Row],[Lost POA (Wh/m2)]]*GA[[#This Row],[DC Capacity Affceted (kW)]])/1000,"")</f>
        <v/>
      </c>
      <c r="AE492" s="2"/>
    </row>
    <row r="493" spans="1:31">
      <c r="A493" s="2">
        <f t="shared" si="34"/>
        <v>491</v>
      </c>
      <c r="B493" s="156">
        <f t="shared" si="32"/>
        <v>1900</v>
      </c>
      <c r="C493" s="129">
        <f t="shared" si="33"/>
        <v>1900</v>
      </c>
      <c r="I493" s="31" t="str">
        <f>IFERROR(VLOOKUP(GA[[#This Row],[Date]],Raw_Data[[#All],[Date]:[Sunset Time (POA&lt;20 W/m2)]],3,0),"")</f>
        <v/>
      </c>
      <c r="J493" s="31" t="str">
        <f>IFERROR(VLOOKUP(GA[[#This Row],[Date]],Raw_Data[[#All],[Date]:[Sunset Time (POA&lt;20 W/m2)]],4,0),"")</f>
        <v/>
      </c>
      <c r="K493" s="30" t="str">
        <f>IFERROR((GA[[#This Row],[Sunset Time (POA&lt;20 W/m2)]]-GA[[#This Row],[Sunrise Time (POA&gt;20 W/m2)]])*24,"")</f>
        <v/>
      </c>
      <c r="M493" s="17" t="str">
        <f>IFERROR(VLOOKUP(GA[[#This Row],[Affceted Equipment]],'Basic Data'!$A$1:$B$113,2,0),"")</f>
        <v/>
      </c>
      <c r="P493" s="28" t="str">
        <f>IFERROR(VLOOKUP(GA[[#This Row],[Affceted Equipment]],'Basic Data'!$A$2:$C$118,3,0),"")</f>
        <v/>
      </c>
      <c r="Q493" s="2"/>
      <c r="W493" s="34"/>
      <c r="X493" s="35"/>
      <c r="Y493" s="35"/>
      <c r="Z493" s="2"/>
      <c r="AA493" s="2"/>
      <c r="AB493" s="2" t="str">
        <f>IFERROR(GA[[#This Row],[Plant Equivalent Weightage]]*GA[[#This Row],[Resolution Time]],"")</f>
        <v/>
      </c>
      <c r="AC493" s="2"/>
      <c r="AD493" s="32" t="str">
        <f>IFERROR((_xlfn.XLOOKUP(GA[[#This Row],[Month Year]],'Modelling New'!D:D,'Modelling New'!$O:$O)*GA[[#This Row],[Lost POA (Wh/m2)]]*GA[[#This Row],[DC Capacity Affceted (kW)]])/1000,"")</f>
        <v/>
      </c>
      <c r="AE493" s="2"/>
    </row>
    <row r="494" spans="1:31">
      <c r="A494" s="2">
        <f t="shared" si="34"/>
        <v>492</v>
      </c>
      <c r="B494" s="156">
        <f t="shared" si="32"/>
        <v>1900</v>
      </c>
      <c r="C494" s="129">
        <f t="shared" si="33"/>
        <v>1900</v>
      </c>
      <c r="I494" s="31" t="str">
        <f>IFERROR(VLOOKUP(GA[[#This Row],[Date]],Raw_Data[[#All],[Date]:[Sunset Time (POA&lt;20 W/m2)]],3,0),"")</f>
        <v/>
      </c>
      <c r="J494" s="31" t="str">
        <f>IFERROR(VLOOKUP(GA[[#This Row],[Date]],Raw_Data[[#All],[Date]:[Sunset Time (POA&lt;20 W/m2)]],4,0),"")</f>
        <v/>
      </c>
      <c r="K494" s="30" t="str">
        <f>IFERROR((GA[[#This Row],[Sunset Time (POA&lt;20 W/m2)]]-GA[[#This Row],[Sunrise Time (POA&gt;20 W/m2)]])*24,"")</f>
        <v/>
      </c>
      <c r="M494" s="17" t="str">
        <f>IFERROR(VLOOKUP(GA[[#This Row],[Affceted Equipment]],'Basic Data'!$A$1:$B$113,2,0),"")</f>
        <v/>
      </c>
      <c r="P494" s="28" t="str">
        <f>IFERROR(VLOOKUP(GA[[#This Row],[Affceted Equipment]],'Basic Data'!$A$2:$C$118,3,0),"")</f>
        <v/>
      </c>
      <c r="Q494" s="2"/>
      <c r="W494" s="34"/>
      <c r="X494" s="35"/>
      <c r="Y494" s="35"/>
      <c r="Z494" s="2"/>
      <c r="AA494" s="2"/>
      <c r="AB494" s="2" t="str">
        <f>IFERROR(GA[[#This Row],[Plant Equivalent Weightage]]*GA[[#This Row],[Resolution Time]],"")</f>
        <v/>
      </c>
      <c r="AC494" s="2"/>
      <c r="AD494" s="32" t="str">
        <f>IFERROR((_xlfn.XLOOKUP(GA[[#This Row],[Month Year]],'Modelling New'!D:D,'Modelling New'!$O:$O)*GA[[#This Row],[Lost POA (Wh/m2)]]*GA[[#This Row],[DC Capacity Affceted (kW)]])/1000,"")</f>
        <v/>
      </c>
      <c r="AE494" s="2"/>
    </row>
    <row r="495" spans="1:31">
      <c r="A495" s="2">
        <f t="shared" si="34"/>
        <v>493</v>
      </c>
      <c r="B495" s="156">
        <f t="shared" si="32"/>
        <v>1900</v>
      </c>
      <c r="C495" s="129">
        <f t="shared" si="33"/>
        <v>1900</v>
      </c>
      <c r="I495" s="31" t="str">
        <f>IFERROR(VLOOKUP(GA[[#This Row],[Date]],Raw_Data[[#All],[Date]:[Sunset Time (POA&lt;20 W/m2)]],3,0),"")</f>
        <v/>
      </c>
      <c r="J495" s="31" t="str">
        <f>IFERROR(VLOOKUP(GA[[#This Row],[Date]],Raw_Data[[#All],[Date]:[Sunset Time (POA&lt;20 W/m2)]],4,0),"")</f>
        <v/>
      </c>
      <c r="K495" s="30" t="str">
        <f>IFERROR((GA[[#This Row],[Sunset Time (POA&lt;20 W/m2)]]-GA[[#This Row],[Sunrise Time (POA&gt;20 W/m2)]])*24,"")</f>
        <v/>
      </c>
      <c r="M495" s="17" t="str">
        <f>IFERROR(VLOOKUP(GA[[#This Row],[Affceted Equipment]],'Basic Data'!$A$1:$B$113,2,0),"")</f>
        <v/>
      </c>
      <c r="P495" s="28" t="str">
        <f>IFERROR(VLOOKUP(GA[[#This Row],[Affceted Equipment]],'Basic Data'!$A$2:$C$118,3,0),"")</f>
        <v/>
      </c>
      <c r="Q495" s="2"/>
      <c r="W495" s="34"/>
      <c r="X495" s="35"/>
      <c r="Y495" s="35"/>
      <c r="Z495" s="2"/>
      <c r="AA495" s="2"/>
      <c r="AB495" s="2" t="str">
        <f>IFERROR(GA[[#This Row],[Plant Equivalent Weightage]]*GA[[#This Row],[Resolution Time]],"")</f>
        <v/>
      </c>
      <c r="AC495" s="2"/>
      <c r="AD495" s="32" t="str">
        <f>IFERROR((_xlfn.XLOOKUP(GA[[#This Row],[Month Year]],'Modelling New'!D:D,'Modelling New'!$O:$O)*GA[[#This Row],[Lost POA (Wh/m2)]]*GA[[#This Row],[DC Capacity Affceted (kW)]])/1000,"")</f>
        <v/>
      </c>
      <c r="AE495" s="2"/>
    </row>
    <row r="496" spans="1:31">
      <c r="A496" s="2">
        <f t="shared" si="34"/>
        <v>494</v>
      </c>
      <c r="B496" s="156">
        <f t="shared" si="32"/>
        <v>1900</v>
      </c>
      <c r="C496" s="129">
        <f t="shared" si="33"/>
        <v>1900</v>
      </c>
      <c r="I496" s="31" t="str">
        <f>IFERROR(VLOOKUP(GA[[#This Row],[Date]],Raw_Data[[#All],[Date]:[Sunset Time (POA&lt;20 W/m2)]],3,0),"")</f>
        <v/>
      </c>
      <c r="J496" s="31" t="str">
        <f>IFERROR(VLOOKUP(GA[[#This Row],[Date]],Raw_Data[[#All],[Date]:[Sunset Time (POA&lt;20 W/m2)]],4,0),"")</f>
        <v/>
      </c>
      <c r="K496" s="30" t="str">
        <f>IFERROR((GA[[#This Row],[Sunset Time (POA&lt;20 W/m2)]]-GA[[#This Row],[Sunrise Time (POA&gt;20 W/m2)]])*24,"")</f>
        <v/>
      </c>
      <c r="M496" s="17" t="str">
        <f>IFERROR(VLOOKUP(GA[[#This Row],[Affceted Equipment]],'Basic Data'!$A$1:$B$113,2,0),"")</f>
        <v/>
      </c>
      <c r="P496" s="28" t="str">
        <f>IFERROR(VLOOKUP(GA[[#This Row],[Affceted Equipment]],'Basic Data'!$A$2:$C$118,3,0),"")</f>
        <v/>
      </c>
      <c r="Q496" s="2"/>
      <c r="W496" s="34"/>
      <c r="X496" s="35"/>
      <c r="Y496" s="35"/>
      <c r="Z496" s="2"/>
      <c r="AA496" s="2"/>
      <c r="AB496" s="2" t="str">
        <f>IFERROR(GA[[#This Row],[Plant Equivalent Weightage]]*GA[[#This Row],[Resolution Time]],"")</f>
        <v/>
      </c>
      <c r="AC496" s="2"/>
      <c r="AD496" s="32" t="str">
        <f>IFERROR((_xlfn.XLOOKUP(GA[[#This Row],[Month Year]],'Modelling New'!D:D,'Modelling New'!$O:$O)*GA[[#This Row],[Lost POA (Wh/m2)]]*GA[[#This Row],[DC Capacity Affceted (kW)]])/1000,"")</f>
        <v/>
      </c>
      <c r="AE496" s="2"/>
    </row>
    <row r="497" spans="1:31">
      <c r="A497" s="2">
        <f t="shared" si="34"/>
        <v>495</v>
      </c>
      <c r="B497" s="156">
        <f t="shared" si="32"/>
        <v>1900</v>
      </c>
      <c r="C497" s="129">
        <f t="shared" si="33"/>
        <v>1900</v>
      </c>
      <c r="I497" s="31" t="str">
        <f>IFERROR(VLOOKUP(GA[[#This Row],[Date]],Raw_Data[[#All],[Date]:[Sunset Time (POA&lt;20 W/m2)]],3,0),"")</f>
        <v/>
      </c>
      <c r="J497" s="31" t="str">
        <f>IFERROR(VLOOKUP(GA[[#This Row],[Date]],Raw_Data[[#All],[Date]:[Sunset Time (POA&lt;20 W/m2)]],4,0),"")</f>
        <v/>
      </c>
      <c r="K497" s="30" t="str">
        <f>IFERROR((GA[[#This Row],[Sunset Time (POA&lt;20 W/m2)]]-GA[[#This Row],[Sunrise Time (POA&gt;20 W/m2)]])*24,"")</f>
        <v/>
      </c>
      <c r="M497" s="17" t="str">
        <f>IFERROR(VLOOKUP(GA[[#This Row],[Affceted Equipment]],'Basic Data'!$A$1:$B$113,2,0),"")</f>
        <v/>
      </c>
      <c r="P497" s="28" t="str">
        <f>IFERROR(VLOOKUP(GA[[#This Row],[Affceted Equipment]],'Basic Data'!$A$2:$C$118,3,0),"")</f>
        <v/>
      </c>
      <c r="Q497" s="2"/>
      <c r="W497" s="34"/>
      <c r="X497" s="35"/>
      <c r="Y497" s="35"/>
      <c r="Z497" s="2"/>
      <c r="AA497" s="2"/>
      <c r="AB497" s="2" t="str">
        <f>IFERROR(GA[[#This Row],[Plant Equivalent Weightage]]*GA[[#This Row],[Resolution Time]],"")</f>
        <v/>
      </c>
      <c r="AC497" s="2"/>
      <c r="AD497" s="32" t="str">
        <f>IFERROR((_xlfn.XLOOKUP(GA[[#This Row],[Month Year]],'Modelling New'!D:D,'Modelling New'!$O:$O)*GA[[#This Row],[Lost POA (Wh/m2)]]*GA[[#This Row],[DC Capacity Affceted (kW)]])/1000,"")</f>
        <v/>
      </c>
      <c r="AE497" s="2"/>
    </row>
    <row r="498" spans="1:31">
      <c r="A498" s="2">
        <f t="shared" si="34"/>
        <v>496</v>
      </c>
      <c r="B498" s="156">
        <f t="shared" si="32"/>
        <v>1900</v>
      </c>
      <c r="C498" s="129">
        <f t="shared" si="33"/>
        <v>1900</v>
      </c>
      <c r="I498" s="31" t="str">
        <f>IFERROR(VLOOKUP(GA[[#This Row],[Date]],Raw_Data[[#All],[Date]:[Sunset Time (POA&lt;20 W/m2)]],3,0),"")</f>
        <v/>
      </c>
      <c r="J498" s="31" t="str">
        <f>IFERROR(VLOOKUP(GA[[#This Row],[Date]],Raw_Data[[#All],[Date]:[Sunset Time (POA&lt;20 W/m2)]],4,0),"")</f>
        <v/>
      </c>
      <c r="K498" s="30" t="str">
        <f>IFERROR((GA[[#This Row],[Sunset Time (POA&lt;20 W/m2)]]-GA[[#This Row],[Sunrise Time (POA&gt;20 W/m2)]])*24,"")</f>
        <v/>
      </c>
      <c r="M498" s="17" t="str">
        <f>IFERROR(VLOOKUP(GA[[#This Row],[Affceted Equipment]],'Basic Data'!$A$1:$B$113,2,0),"")</f>
        <v/>
      </c>
      <c r="P498" s="28" t="str">
        <f>IFERROR(VLOOKUP(GA[[#This Row],[Affceted Equipment]],'Basic Data'!$A$2:$C$118,3,0),"")</f>
        <v/>
      </c>
      <c r="Q498" s="2"/>
      <c r="W498" s="34"/>
      <c r="X498" s="35"/>
      <c r="Y498" s="35"/>
      <c r="Z498" s="2"/>
      <c r="AA498" s="2"/>
      <c r="AB498" s="2" t="str">
        <f>IFERROR(GA[[#This Row],[Plant Equivalent Weightage]]*GA[[#This Row],[Resolution Time]],"")</f>
        <v/>
      </c>
      <c r="AC498" s="2"/>
      <c r="AD498" s="32" t="str">
        <f>IFERROR((_xlfn.XLOOKUP(GA[[#This Row],[Month Year]],'Modelling New'!D:D,'Modelling New'!$O:$O)*GA[[#This Row],[Lost POA (Wh/m2)]]*GA[[#This Row],[DC Capacity Affceted (kW)]])/1000,"")</f>
        <v/>
      </c>
      <c r="AE498" s="2"/>
    </row>
    <row r="499" spans="1:31">
      <c r="A499" s="2">
        <f t="shared" si="34"/>
        <v>497</v>
      </c>
      <c r="B499" s="156">
        <f t="shared" si="32"/>
        <v>1900</v>
      </c>
      <c r="C499" s="129">
        <f t="shared" si="33"/>
        <v>1900</v>
      </c>
      <c r="I499" s="31" t="str">
        <f>IFERROR(VLOOKUP(GA[[#This Row],[Date]],Raw_Data[[#All],[Date]:[Sunset Time (POA&lt;20 W/m2)]],3,0),"")</f>
        <v/>
      </c>
      <c r="J499" s="31" t="str">
        <f>IFERROR(VLOOKUP(GA[[#This Row],[Date]],Raw_Data[[#All],[Date]:[Sunset Time (POA&lt;20 W/m2)]],4,0),"")</f>
        <v/>
      </c>
      <c r="K499" s="30" t="str">
        <f>IFERROR((GA[[#This Row],[Sunset Time (POA&lt;20 W/m2)]]-GA[[#This Row],[Sunrise Time (POA&gt;20 W/m2)]])*24,"")</f>
        <v/>
      </c>
      <c r="M499" s="17" t="str">
        <f>IFERROR(VLOOKUP(GA[[#This Row],[Affceted Equipment]],'Basic Data'!$A$1:$B$113,2,0),"")</f>
        <v/>
      </c>
      <c r="P499" s="28" t="str">
        <f>IFERROR(VLOOKUP(GA[[#This Row],[Affceted Equipment]],'Basic Data'!$A$2:$C$118,3,0),"")</f>
        <v/>
      </c>
      <c r="Q499" s="2"/>
      <c r="W499" s="34"/>
      <c r="X499" s="35"/>
      <c r="Y499" s="35"/>
      <c r="Z499" s="2"/>
      <c r="AA499" s="2"/>
      <c r="AB499" s="2" t="str">
        <f>IFERROR(GA[[#This Row],[Plant Equivalent Weightage]]*GA[[#This Row],[Resolution Time]],"")</f>
        <v/>
      </c>
      <c r="AC499" s="2"/>
      <c r="AD499" s="32" t="str">
        <f>IFERROR((_xlfn.XLOOKUP(GA[[#This Row],[Month Year]],'Modelling New'!D:D,'Modelling New'!$O:$O)*GA[[#This Row],[Lost POA (Wh/m2)]]*GA[[#This Row],[DC Capacity Affceted (kW)]])/1000,"")</f>
        <v/>
      </c>
      <c r="AE499" s="2"/>
    </row>
    <row r="500" spans="1:31">
      <c r="A500" s="2">
        <f t="shared" si="34"/>
        <v>498</v>
      </c>
      <c r="B500" s="156">
        <f t="shared" si="32"/>
        <v>1900</v>
      </c>
      <c r="C500" s="129">
        <f t="shared" si="33"/>
        <v>1900</v>
      </c>
      <c r="I500" s="31" t="str">
        <f>IFERROR(VLOOKUP(GA[[#This Row],[Date]],Raw_Data[[#All],[Date]:[Sunset Time (POA&lt;20 W/m2)]],3,0),"")</f>
        <v/>
      </c>
      <c r="J500" s="31" t="str">
        <f>IFERROR(VLOOKUP(GA[[#This Row],[Date]],Raw_Data[[#All],[Date]:[Sunset Time (POA&lt;20 W/m2)]],4,0),"")</f>
        <v/>
      </c>
      <c r="K500" s="30" t="str">
        <f>IFERROR((GA[[#This Row],[Sunset Time (POA&lt;20 W/m2)]]-GA[[#This Row],[Sunrise Time (POA&gt;20 W/m2)]])*24,"")</f>
        <v/>
      </c>
      <c r="M500" s="17" t="str">
        <f>IFERROR(VLOOKUP(GA[[#This Row],[Affceted Equipment]],'Basic Data'!$A$1:$B$113,2,0),"")</f>
        <v/>
      </c>
      <c r="P500" s="28" t="str">
        <f>IFERROR(VLOOKUP(GA[[#This Row],[Affceted Equipment]],'Basic Data'!$A$2:$C$118,3,0),"")</f>
        <v/>
      </c>
      <c r="Q500" s="2"/>
      <c r="W500" s="34"/>
      <c r="X500" s="35"/>
      <c r="Y500" s="35"/>
      <c r="Z500" s="2"/>
      <c r="AA500" s="2"/>
      <c r="AB500" s="2" t="str">
        <f>IFERROR(GA[[#This Row],[Plant Equivalent Weightage]]*GA[[#This Row],[Resolution Time]],"")</f>
        <v/>
      </c>
      <c r="AC500" s="2"/>
      <c r="AD500" s="32" t="str">
        <f>IFERROR((_xlfn.XLOOKUP(GA[[#This Row],[Month Year]],'Modelling New'!D:D,'Modelling New'!$O:$O)*GA[[#This Row],[Lost POA (Wh/m2)]]*GA[[#This Row],[DC Capacity Affceted (kW)]])/1000,"")</f>
        <v/>
      </c>
      <c r="AE500" s="2"/>
    </row>
    <row r="501" spans="1:31">
      <c r="A501" s="2">
        <f t="shared" si="34"/>
        <v>499</v>
      </c>
      <c r="B501" s="156">
        <f t="shared" si="32"/>
        <v>1900</v>
      </c>
      <c r="C501" s="129">
        <f t="shared" si="33"/>
        <v>1900</v>
      </c>
      <c r="I501" s="31" t="str">
        <f>IFERROR(VLOOKUP(GA[[#This Row],[Date]],Raw_Data[[#All],[Date]:[Sunset Time (POA&lt;20 W/m2)]],3,0),"")</f>
        <v/>
      </c>
      <c r="J501" s="31" t="str">
        <f>IFERROR(VLOOKUP(GA[[#This Row],[Date]],Raw_Data[[#All],[Date]:[Sunset Time (POA&lt;20 W/m2)]],4,0),"")</f>
        <v/>
      </c>
      <c r="K501" s="30" t="str">
        <f>IFERROR((GA[[#This Row],[Sunset Time (POA&lt;20 W/m2)]]-GA[[#This Row],[Sunrise Time (POA&gt;20 W/m2)]])*24,"")</f>
        <v/>
      </c>
      <c r="M501" s="17" t="str">
        <f>IFERROR(VLOOKUP(GA[[#This Row],[Affceted Equipment]],'Basic Data'!$A$1:$B$113,2,0),"")</f>
        <v/>
      </c>
      <c r="P501" s="28" t="str">
        <f>IFERROR(VLOOKUP(GA[[#This Row],[Affceted Equipment]],'Basic Data'!$A$2:$C$118,3,0),"")</f>
        <v/>
      </c>
      <c r="Q501" s="2"/>
      <c r="W501" s="34"/>
      <c r="X501" s="35"/>
      <c r="Y501" s="35"/>
      <c r="Z501" s="2"/>
      <c r="AA501" s="2"/>
      <c r="AB501" s="2" t="str">
        <f>IFERROR(GA[[#This Row],[Plant Equivalent Weightage]]*GA[[#This Row],[Resolution Time]],"")</f>
        <v/>
      </c>
      <c r="AC501" s="2"/>
      <c r="AD501" s="32" t="str">
        <f>IFERROR((_xlfn.XLOOKUP(GA[[#This Row],[Month Year]],'Modelling New'!D:D,'Modelling New'!$O:$O)*GA[[#This Row],[Lost POA (Wh/m2)]]*GA[[#This Row],[DC Capacity Affceted (kW)]])/1000,"")</f>
        <v/>
      </c>
      <c r="AE501" s="2"/>
    </row>
    <row r="502" spans="1:31">
      <c r="A502" s="2">
        <f t="shared" si="34"/>
        <v>500</v>
      </c>
      <c r="B502" s="156">
        <f t="shared" si="32"/>
        <v>1900</v>
      </c>
      <c r="C502" s="129">
        <f t="shared" si="33"/>
        <v>1900</v>
      </c>
      <c r="I502" s="31" t="str">
        <f>IFERROR(VLOOKUP(GA[[#This Row],[Date]],Raw_Data[[#All],[Date]:[Sunset Time (POA&lt;20 W/m2)]],3,0),"")</f>
        <v/>
      </c>
      <c r="J502" s="31" t="str">
        <f>IFERROR(VLOOKUP(GA[[#This Row],[Date]],Raw_Data[[#All],[Date]:[Sunset Time (POA&lt;20 W/m2)]],4,0),"")</f>
        <v/>
      </c>
      <c r="K502" s="30" t="str">
        <f>IFERROR((GA[[#This Row],[Sunset Time (POA&lt;20 W/m2)]]-GA[[#This Row],[Sunrise Time (POA&gt;20 W/m2)]])*24,"")</f>
        <v/>
      </c>
      <c r="M502" s="17" t="str">
        <f>IFERROR(VLOOKUP(GA[[#This Row],[Affceted Equipment]],'Basic Data'!$A$1:$B$113,2,0),"")</f>
        <v/>
      </c>
      <c r="P502" s="28" t="str">
        <f>IFERROR(VLOOKUP(GA[[#This Row],[Affceted Equipment]],'Basic Data'!$A$2:$C$118,3,0),"")</f>
        <v/>
      </c>
      <c r="Q502" s="2"/>
      <c r="W502" s="34"/>
      <c r="X502" s="35"/>
      <c r="Y502" s="35"/>
      <c r="Z502" s="2"/>
      <c r="AA502" s="2"/>
      <c r="AB502" s="2" t="str">
        <f>IFERROR(GA[[#This Row],[Plant Equivalent Weightage]]*GA[[#This Row],[Resolution Time]],"")</f>
        <v/>
      </c>
      <c r="AC502" s="2"/>
      <c r="AD502" s="32" t="str">
        <f>IFERROR((_xlfn.XLOOKUP(GA[[#This Row],[Month Year]],'Modelling New'!D:D,'Modelling New'!$O:$O)*GA[[#This Row],[Lost POA (Wh/m2)]]*GA[[#This Row],[DC Capacity Affceted (kW)]])/1000,"")</f>
        <v/>
      </c>
      <c r="AE502" s="2"/>
    </row>
    <row r="503" spans="1:31">
      <c r="A503" s="2">
        <f t="shared" si="34"/>
        <v>501</v>
      </c>
      <c r="B503" s="156">
        <f t="shared" si="32"/>
        <v>1900</v>
      </c>
      <c r="C503" s="129">
        <f t="shared" si="33"/>
        <v>1900</v>
      </c>
      <c r="I503" s="31" t="str">
        <f>IFERROR(VLOOKUP(GA[[#This Row],[Date]],Raw_Data[[#All],[Date]:[Sunset Time (POA&lt;20 W/m2)]],3,0),"")</f>
        <v/>
      </c>
      <c r="J503" s="31" t="str">
        <f>IFERROR(VLOOKUP(GA[[#This Row],[Date]],Raw_Data[[#All],[Date]:[Sunset Time (POA&lt;20 W/m2)]],4,0),"")</f>
        <v/>
      </c>
      <c r="K503" s="30" t="str">
        <f>IFERROR((GA[[#This Row],[Sunset Time (POA&lt;20 W/m2)]]-GA[[#This Row],[Sunrise Time (POA&gt;20 W/m2)]])*24,"")</f>
        <v/>
      </c>
      <c r="M503" s="17" t="str">
        <f>IFERROR(VLOOKUP(GA[[#This Row],[Affceted Equipment]],'Basic Data'!$A$1:$B$113,2,0),"")</f>
        <v/>
      </c>
      <c r="P503" s="28" t="str">
        <f>IFERROR(VLOOKUP(GA[[#This Row],[Affceted Equipment]],'Basic Data'!$A$2:$C$118,3,0),"")</f>
        <v/>
      </c>
      <c r="Q503" s="2"/>
      <c r="W503" s="34"/>
      <c r="X503" s="35"/>
      <c r="Y503" s="35"/>
      <c r="Z503" s="2"/>
      <c r="AA503" s="2"/>
      <c r="AB503" s="2" t="str">
        <f>IFERROR(GA[[#This Row],[Plant Equivalent Weightage]]*GA[[#This Row],[Resolution Time]],"")</f>
        <v/>
      </c>
      <c r="AC503" s="2"/>
      <c r="AD503" s="32" t="str">
        <f>IFERROR((_xlfn.XLOOKUP(GA[[#This Row],[Month Year]],'Modelling New'!D:D,'Modelling New'!$O:$O)*GA[[#This Row],[Lost POA (Wh/m2)]]*GA[[#This Row],[DC Capacity Affceted (kW)]])/1000,"")</f>
        <v/>
      </c>
      <c r="AE503" s="2"/>
    </row>
    <row r="504" spans="1:31">
      <c r="A504" s="2">
        <f t="shared" si="34"/>
        <v>502</v>
      </c>
      <c r="B504" s="156">
        <f t="shared" si="32"/>
        <v>1900</v>
      </c>
      <c r="C504" s="129">
        <f t="shared" si="33"/>
        <v>1900</v>
      </c>
      <c r="I504" s="31" t="str">
        <f>IFERROR(VLOOKUP(GA[[#This Row],[Date]],Raw_Data[[#All],[Date]:[Sunset Time (POA&lt;20 W/m2)]],3,0),"")</f>
        <v/>
      </c>
      <c r="J504" s="31" t="str">
        <f>IFERROR(VLOOKUP(GA[[#This Row],[Date]],Raw_Data[[#All],[Date]:[Sunset Time (POA&lt;20 W/m2)]],4,0),"")</f>
        <v/>
      </c>
      <c r="K504" s="30" t="str">
        <f>IFERROR((GA[[#This Row],[Sunset Time (POA&lt;20 W/m2)]]-GA[[#This Row],[Sunrise Time (POA&gt;20 W/m2)]])*24,"")</f>
        <v/>
      </c>
      <c r="M504" s="17" t="str">
        <f>IFERROR(VLOOKUP(GA[[#This Row],[Affceted Equipment]],'Basic Data'!$A$1:$B$113,2,0),"")</f>
        <v/>
      </c>
      <c r="P504" s="28" t="str">
        <f>IFERROR(VLOOKUP(GA[[#This Row],[Affceted Equipment]],'Basic Data'!$A$2:$C$118,3,0),"")</f>
        <v/>
      </c>
      <c r="Q504" s="2"/>
      <c r="W504" s="34"/>
      <c r="X504" s="35"/>
      <c r="Y504" s="35"/>
      <c r="Z504" s="2"/>
      <c r="AA504" s="2"/>
      <c r="AB504" s="2" t="str">
        <f>IFERROR(GA[[#This Row],[Plant Equivalent Weightage]]*GA[[#This Row],[Resolution Time]],"")</f>
        <v/>
      </c>
      <c r="AC504" s="2"/>
      <c r="AD504" s="32" t="str">
        <f>IFERROR((_xlfn.XLOOKUP(GA[[#This Row],[Month Year]],'Modelling New'!D:D,'Modelling New'!$O:$O)*GA[[#This Row],[Lost POA (Wh/m2)]]*GA[[#This Row],[DC Capacity Affceted (kW)]])/1000,"")</f>
        <v/>
      </c>
      <c r="AE504" s="2"/>
    </row>
    <row r="505" spans="1:31">
      <c r="A505" s="2">
        <f t="shared" si="34"/>
        <v>503</v>
      </c>
      <c r="B505" s="156">
        <f t="shared" si="32"/>
        <v>1900</v>
      </c>
      <c r="C505" s="129">
        <f t="shared" si="33"/>
        <v>1900</v>
      </c>
      <c r="I505" s="31" t="str">
        <f>IFERROR(VLOOKUP(GA[[#This Row],[Date]],Raw_Data[[#All],[Date]:[Sunset Time (POA&lt;20 W/m2)]],3,0),"")</f>
        <v/>
      </c>
      <c r="J505" s="31" t="str">
        <f>IFERROR(VLOOKUP(GA[[#This Row],[Date]],Raw_Data[[#All],[Date]:[Sunset Time (POA&lt;20 W/m2)]],4,0),"")</f>
        <v/>
      </c>
      <c r="K505" s="30" t="str">
        <f>IFERROR((GA[[#This Row],[Sunset Time (POA&lt;20 W/m2)]]-GA[[#This Row],[Sunrise Time (POA&gt;20 W/m2)]])*24,"")</f>
        <v/>
      </c>
      <c r="M505" s="17" t="str">
        <f>IFERROR(VLOOKUP(GA[[#This Row],[Affceted Equipment]],'Basic Data'!$A$1:$B$113,2,0),"")</f>
        <v/>
      </c>
      <c r="P505" s="28" t="str">
        <f>IFERROR(VLOOKUP(GA[[#This Row],[Affceted Equipment]],'Basic Data'!$A$2:$C$118,3,0),"")</f>
        <v/>
      </c>
      <c r="Q505" s="2"/>
      <c r="W505" s="34"/>
      <c r="X505" s="35"/>
      <c r="Y505" s="35"/>
      <c r="Z505" s="2"/>
      <c r="AA505" s="2"/>
      <c r="AB505" s="2" t="str">
        <f>IFERROR(GA[[#This Row],[Plant Equivalent Weightage]]*GA[[#This Row],[Resolution Time]],"")</f>
        <v/>
      </c>
      <c r="AC505" s="2"/>
      <c r="AD505" s="32" t="str">
        <f>IFERROR((_xlfn.XLOOKUP(GA[[#This Row],[Month Year]],'Modelling New'!D:D,'Modelling New'!$O:$O)*GA[[#This Row],[Lost POA (Wh/m2)]]*GA[[#This Row],[DC Capacity Affceted (kW)]])/1000,"")</f>
        <v/>
      </c>
      <c r="AE505" s="2"/>
    </row>
    <row r="506" spans="1:31">
      <c r="A506" s="2">
        <f t="shared" si="34"/>
        <v>504</v>
      </c>
      <c r="B506" s="156">
        <f t="shared" si="32"/>
        <v>1900</v>
      </c>
      <c r="C506" s="129">
        <f t="shared" si="33"/>
        <v>1900</v>
      </c>
      <c r="I506" s="31" t="str">
        <f>IFERROR(VLOOKUP(GA[[#This Row],[Date]],Raw_Data[[#All],[Date]:[Sunset Time (POA&lt;20 W/m2)]],3,0),"")</f>
        <v/>
      </c>
      <c r="J506" s="31" t="str">
        <f>IFERROR(VLOOKUP(GA[[#This Row],[Date]],Raw_Data[[#All],[Date]:[Sunset Time (POA&lt;20 W/m2)]],4,0),"")</f>
        <v/>
      </c>
      <c r="K506" s="30" t="str">
        <f>IFERROR((GA[[#This Row],[Sunset Time (POA&lt;20 W/m2)]]-GA[[#This Row],[Sunrise Time (POA&gt;20 W/m2)]])*24,"")</f>
        <v/>
      </c>
      <c r="M506" s="17" t="str">
        <f>IFERROR(VLOOKUP(GA[[#This Row],[Affceted Equipment]],'Basic Data'!$A$1:$B$113,2,0),"")</f>
        <v/>
      </c>
      <c r="P506" s="28" t="str">
        <f>IFERROR(VLOOKUP(GA[[#This Row],[Affceted Equipment]],'Basic Data'!$A$2:$C$118,3,0),"")</f>
        <v/>
      </c>
      <c r="Q506" s="2"/>
      <c r="W506" s="34"/>
      <c r="X506" s="35"/>
      <c r="Y506" s="35"/>
      <c r="Z506" s="2"/>
      <c r="AA506" s="2"/>
      <c r="AB506" s="2" t="str">
        <f>IFERROR(GA[[#This Row],[Plant Equivalent Weightage]]*GA[[#This Row],[Resolution Time]],"")</f>
        <v/>
      </c>
      <c r="AC506" s="2"/>
      <c r="AD506" s="32" t="str">
        <f>IFERROR((_xlfn.XLOOKUP(GA[[#This Row],[Month Year]],'Modelling New'!D:D,'Modelling New'!$O:$O)*GA[[#This Row],[Lost POA (Wh/m2)]]*GA[[#This Row],[DC Capacity Affceted (kW)]])/1000,"")</f>
        <v/>
      </c>
      <c r="AE506" s="2"/>
    </row>
    <row r="507" spans="1:31">
      <c r="A507" s="2">
        <f t="shared" si="34"/>
        <v>505</v>
      </c>
      <c r="B507" s="156">
        <f t="shared" si="32"/>
        <v>1900</v>
      </c>
      <c r="C507" s="129">
        <f t="shared" si="33"/>
        <v>1900</v>
      </c>
      <c r="I507" s="31" t="str">
        <f>IFERROR(VLOOKUP(GA[[#This Row],[Date]],Raw_Data[[#All],[Date]:[Sunset Time (POA&lt;20 W/m2)]],3,0),"")</f>
        <v/>
      </c>
      <c r="J507" s="31" t="str">
        <f>IFERROR(VLOOKUP(GA[[#This Row],[Date]],Raw_Data[[#All],[Date]:[Sunset Time (POA&lt;20 W/m2)]],4,0),"")</f>
        <v/>
      </c>
      <c r="K507" s="30" t="str">
        <f>IFERROR((GA[[#This Row],[Sunset Time (POA&lt;20 W/m2)]]-GA[[#This Row],[Sunrise Time (POA&gt;20 W/m2)]])*24,"")</f>
        <v/>
      </c>
      <c r="M507" s="17" t="str">
        <f>IFERROR(VLOOKUP(GA[[#This Row],[Affceted Equipment]],'Basic Data'!$A$1:$B$113,2,0),"")</f>
        <v/>
      </c>
      <c r="P507" s="28" t="str">
        <f>IFERROR(VLOOKUP(GA[[#This Row],[Affceted Equipment]],'Basic Data'!$A$2:$C$118,3,0),"")</f>
        <v/>
      </c>
      <c r="Q507" s="2"/>
      <c r="W507" s="34"/>
      <c r="X507" s="35"/>
      <c r="Y507" s="35"/>
      <c r="Z507" s="2"/>
      <c r="AA507" s="2"/>
      <c r="AB507" s="2" t="str">
        <f>IFERROR(GA[[#This Row],[Plant Equivalent Weightage]]*GA[[#This Row],[Resolution Time]],"")</f>
        <v/>
      </c>
      <c r="AC507" s="2"/>
      <c r="AD507" s="32" t="str">
        <f>IFERROR((_xlfn.XLOOKUP(GA[[#This Row],[Month Year]],'Modelling New'!D:D,'Modelling New'!$O:$O)*GA[[#This Row],[Lost POA (Wh/m2)]]*GA[[#This Row],[DC Capacity Affceted (kW)]])/1000,"")</f>
        <v/>
      </c>
      <c r="AE507" s="2"/>
    </row>
    <row r="508" spans="1:31">
      <c r="A508" s="2">
        <f t="shared" si="34"/>
        <v>506</v>
      </c>
      <c r="B508" s="156">
        <f t="shared" si="32"/>
        <v>1900</v>
      </c>
      <c r="C508" s="129">
        <f t="shared" si="33"/>
        <v>1900</v>
      </c>
      <c r="I508" s="31" t="str">
        <f>IFERROR(VLOOKUP(GA[[#This Row],[Date]],Raw_Data[[#All],[Date]:[Sunset Time (POA&lt;20 W/m2)]],3,0),"")</f>
        <v/>
      </c>
      <c r="J508" s="31" t="str">
        <f>IFERROR(VLOOKUP(GA[[#This Row],[Date]],Raw_Data[[#All],[Date]:[Sunset Time (POA&lt;20 W/m2)]],4,0),"")</f>
        <v/>
      </c>
      <c r="K508" s="30" t="str">
        <f>IFERROR((GA[[#This Row],[Sunset Time (POA&lt;20 W/m2)]]-GA[[#This Row],[Sunrise Time (POA&gt;20 W/m2)]])*24,"")</f>
        <v/>
      </c>
      <c r="M508" s="17" t="str">
        <f>IFERROR(VLOOKUP(GA[[#This Row],[Affceted Equipment]],'Basic Data'!$A$1:$B$113,2,0),"")</f>
        <v/>
      </c>
      <c r="P508" s="28" t="str">
        <f>IFERROR(VLOOKUP(GA[[#This Row],[Affceted Equipment]],'Basic Data'!$A$2:$C$118,3,0),"")</f>
        <v/>
      </c>
      <c r="Q508" s="2"/>
      <c r="W508" s="34"/>
      <c r="X508" s="35"/>
      <c r="Y508" s="35"/>
      <c r="Z508" s="2"/>
      <c r="AA508" s="2"/>
      <c r="AB508" s="2" t="str">
        <f>IFERROR(GA[[#This Row],[Plant Equivalent Weightage]]*GA[[#This Row],[Resolution Time]],"")</f>
        <v/>
      </c>
      <c r="AC508" s="2"/>
      <c r="AD508" s="32" t="str">
        <f>IFERROR((_xlfn.XLOOKUP(GA[[#This Row],[Month Year]],'Modelling New'!D:D,'Modelling New'!$O:$O)*GA[[#This Row],[Lost POA (Wh/m2)]]*GA[[#This Row],[DC Capacity Affceted (kW)]])/1000,"")</f>
        <v/>
      </c>
      <c r="AE508" s="2"/>
    </row>
    <row r="509" spans="1:31">
      <c r="A509" s="2">
        <f t="shared" si="34"/>
        <v>507</v>
      </c>
      <c r="B509" s="156">
        <f t="shared" si="32"/>
        <v>1900</v>
      </c>
      <c r="C509" s="129">
        <f t="shared" si="33"/>
        <v>1900</v>
      </c>
      <c r="I509" s="31" t="str">
        <f>IFERROR(VLOOKUP(GA[[#This Row],[Date]],Raw_Data[[#All],[Date]:[Sunset Time (POA&lt;20 W/m2)]],3,0),"")</f>
        <v/>
      </c>
      <c r="J509" s="31" t="str">
        <f>IFERROR(VLOOKUP(GA[[#This Row],[Date]],Raw_Data[[#All],[Date]:[Sunset Time (POA&lt;20 W/m2)]],4,0),"")</f>
        <v/>
      </c>
      <c r="K509" s="30" t="str">
        <f>IFERROR((GA[[#This Row],[Sunset Time (POA&lt;20 W/m2)]]-GA[[#This Row],[Sunrise Time (POA&gt;20 W/m2)]])*24,"")</f>
        <v/>
      </c>
      <c r="M509" s="17" t="str">
        <f>IFERROR(VLOOKUP(GA[[#This Row],[Affceted Equipment]],'Basic Data'!$A$1:$B$113,2,0),"")</f>
        <v/>
      </c>
      <c r="P509" s="28" t="str">
        <f>IFERROR(VLOOKUP(GA[[#This Row],[Affceted Equipment]],'Basic Data'!$A$2:$C$118,3,0),"")</f>
        <v/>
      </c>
      <c r="Q509" s="2"/>
      <c r="W509" s="34"/>
      <c r="X509" s="35"/>
      <c r="Y509" s="35"/>
      <c r="Z509" s="2"/>
      <c r="AA509" s="2"/>
      <c r="AB509" s="2" t="str">
        <f>IFERROR(GA[[#This Row],[Plant Equivalent Weightage]]*GA[[#This Row],[Resolution Time]],"")</f>
        <v/>
      </c>
      <c r="AC509" s="2"/>
      <c r="AD509" s="32" t="str">
        <f>IFERROR((_xlfn.XLOOKUP(GA[[#This Row],[Month Year]],'Modelling New'!D:D,'Modelling New'!$O:$O)*GA[[#This Row],[Lost POA (Wh/m2)]]*GA[[#This Row],[DC Capacity Affceted (kW)]])/1000,"")</f>
        <v/>
      </c>
      <c r="AE509" s="2"/>
    </row>
    <row r="510" spans="1:31">
      <c r="A510" s="2">
        <f t="shared" si="34"/>
        <v>508</v>
      </c>
      <c r="B510" s="156">
        <f t="shared" si="32"/>
        <v>1900</v>
      </c>
      <c r="C510" s="129">
        <f t="shared" si="33"/>
        <v>1900</v>
      </c>
      <c r="I510" s="31" t="str">
        <f>IFERROR(VLOOKUP(GA[[#This Row],[Date]],Raw_Data[[#All],[Date]:[Sunset Time (POA&lt;20 W/m2)]],3,0),"")</f>
        <v/>
      </c>
      <c r="J510" s="31" t="str">
        <f>IFERROR(VLOOKUP(GA[[#This Row],[Date]],Raw_Data[[#All],[Date]:[Sunset Time (POA&lt;20 W/m2)]],4,0),"")</f>
        <v/>
      </c>
      <c r="K510" s="30" t="str">
        <f>IFERROR((GA[[#This Row],[Sunset Time (POA&lt;20 W/m2)]]-GA[[#This Row],[Sunrise Time (POA&gt;20 W/m2)]])*24,"")</f>
        <v/>
      </c>
      <c r="M510" s="17" t="str">
        <f>IFERROR(VLOOKUP(GA[[#This Row],[Affceted Equipment]],'Basic Data'!$A$1:$B$113,2,0),"")</f>
        <v/>
      </c>
      <c r="P510" s="28" t="str">
        <f>IFERROR(VLOOKUP(GA[[#This Row],[Affceted Equipment]],'Basic Data'!$A$2:$C$118,3,0),"")</f>
        <v/>
      </c>
      <c r="Q510" s="2"/>
      <c r="W510" s="34"/>
      <c r="X510" s="35"/>
      <c r="Y510" s="35"/>
      <c r="Z510" s="2"/>
      <c r="AA510" s="2"/>
      <c r="AB510" s="2" t="str">
        <f>IFERROR(GA[[#This Row],[Plant Equivalent Weightage]]*GA[[#This Row],[Resolution Time]],"")</f>
        <v/>
      </c>
      <c r="AC510" s="2"/>
      <c r="AD510" s="32" t="str">
        <f>IFERROR((_xlfn.XLOOKUP(GA[[#This Row],[Month Year]],'Modelling New'!D:D,'Modelling New'!$O:$O)*GA[[#This Row],[Lost POA (Wh/m2)]]*GA[[#This Row],[DC Capacity Affceted (kW)]])/1000,"")</f>
        <v/>
      </c>
      <c r="AE510" s="2"/>
    </row>
    <row r="511" spans="1:31">
      <c r="A511" s="2">
        <f t="shared" si="34"/>
        <v>509</v>
      </c>
      <c r="B511" s="156">
        <f t="shared" si="32"/>
        <v>1900</v>
      </c>
      <c r="C511" s="129">
        <f t="shared" si="33"/>
        <v>1900</v>
      </c>
      <c r="I511" s="31" t="str">
        <f>IFERROR(VLOOKUP(GA[[#This Row],[Date]],Raw_Data[[#All],[Date]:[Sunset Time (POA&lt;20 W/m2)]],3,0),"")</f>
        <v/>
      </c>
      <c r="J511" s="31" t="str">
        <f>IFERROR(VLOOKUP(GA[[#This Row],[Date]],Raw_Data[[#All],[Date]:[Sunset Time (POA&lt;20 W/m2)]],4,0),"")</f>
        <v/>
      </c>
      <c r="K511" s="30" t="str">
        <f>IFERROR((GA[[#This Row],[Sunset Time (POA&lt;20 W/m2)]]-GA[[#This Row],[Sunrise Time (POA&gt;20 W/m2)]])*24,"")</f>
        <v/>
      </c>
      <c r="M511" s="17" t="str">
        <f>IFERROR(VLOOKUP(GA[[#This Row],[Affceted Equipment]],'Basic Data'!$A$1:$B$113,2,0),"")</f>
        <v/>
      </c>
      <c r="P511" s="28" t="str">
        <f>IFERROR(VLOOKUP(GA[[#This Row],[Affceted Equipment]],'Basic Data'!$A$2:$C$118,3,0),"")</f>
        <v/>
      </c>
      <c r="Q511" s="2"/>
      <c r="W511" s="34"/>
      <c r="X511" s="35"/>
      <c r="Y511" s="35"/>
      <c r="Z511" s="2"/>
      <c r="AA511" s="2"/>
      <c r="AB511" s="2" t="str">
        <f>IFERROR(GA[[#This Row],[Plant Equivalent Weightage]]*GA[[#This Row],[Resolution Time]],"")</f>
        <v/>
      </c>
      <c r="AC511" s="2"/>
      <c r="AD511" s="32" t="str">
        <f>IFERROR((_xlfn.XLOOKUP(GA[[#This Row],[Month Year]],'Modelling New'!D:D,'Modelling New'!$O:$O)*GA[[#This Row],[Lost POA (Wh/m2)]]*GA[[#This Row],[DC Capacity Affceted (kW)]])/1000,"")</f>
        <v/>
      </c>
      <c r="AE511" s="2"/>
    </row>
    <row r="512" spans="1:31">
      <c r="A512" s="2">
        <f t="shared" si="34"/>
        <v>510</v>
      </c>
      <c r="B512" s="156">
        <f t="shared" si="32"/>
        <v>1900</v>
      </c>
      <c r="C512" s="129">
        <f t="shared" si="33"/>
        <v>1900</v>
      </c>
      <c r="I512" s="31" t="str">
        <f>IFERROR(VLOOKUP(GA[[#This Row],[Date]],Raw_Data[[#All],[Date]:[Sunset Time (POA&lt;20 W/m2)]],3,0),"")</f>
        <v/>
      </c>
      <c r="J512" s="31" t="str">
        <f>IFERROR(VLOOKUP(GA[[#This Row],[Date]],Raw_Data[[#All],[Date]:[Sunset Time (POA&lt;20 W/m2)]],4,0),"")</f>
        <v/>
      </c>
      <c r="K512" s="30" t="str">
        <f>IFERROR((GA[[#This Row],[Sunset Time (POA&lt;20 W/m2)]]-GA[[#This Row],[Sunrise Time (POA&gt;20 W/m2)]])*24,"")</f>
        <v/>
      </c>
      <c r="M512" s="17" t="str">
        <f>IFERROR(VLOOKUP(GA[[#This Row],[Affceted Equipment]],'Basic Data'!$A$1:$B$113,2,0),"")</f>
        <v/>
      </c>
      <c r="P512" s="28" t="str">
        <f>IFERROR(VLOOKUP(GA[[#This Row],[Affceted Equipment]],'Basic Data'!$A$2:$C$118,3,0),"")</f>
        <v/>
      </c>
      <c r="Q512" s="2"/>
      <c r="W512" s="34"/>
      <c r="X512" s="35"/>
      <c r="Y512" s="35"/>
      <c r="Z512" s="2"/>
      <c r="AA512" s="2"/>
      <c r="AB512" s="2" t="str">
        <f>IFERROR(GA[[#This Row],[Plant Equivalent Weightage]]*GA[[#This Row],[Resolution Time]],"")</f>
        <v/>
      </c>
      <c r="AC512" s="2"/>
      <c r="AD512" s="32" t="str">
        <f>IFERROR((_xlfn.XLOOKUP(GA[[#This Row],[Month Year]],'Modelling New'!D:D,'Modelling New'!$O:$O)*GA[[#This Row],[Lost POA (Wh/m2)]]*GA[[#This Row],[DC Capacity Affceted (kW)]])/1000,"")</f>
        <v/>
      </c>
      <c r="AE512" s="2"/>
    </row>
    <row r="513" spans="1:31">
      <c r="A513" s="2">
        <f t="shared" si="34"/>
        <v>511</v>
      </c>
      <c r="B513" s="156">
        <f t="shared" si="32"/>
        <v>1900</v>
      </c>
      <c r="C513" s="129">
        <f t="shared" si="33"/>
        <v>1900</v>
      </c>
      <c r="I513" s="31" t="str">
        <f>IFERROR(VLOOKUP(GA[[#This Row],[Date]],Raw_Data[[#All],[Date]:[Sunset Time (POA&lt;20 W/m2)]],3,0),"")</f>
        <v/>
      </c>
      <c r="J513" s="31" t="str">
        <f>IFERROR(VLOOKUP(GA[[#This Row],[Date]],Raw_Data[[#All],[Date]:[Sunset Time (POA&lt;20 W/m2)]],4,0),"")</f>
        <v/>
      </c>
      <c r="K513" s="30" t="str">
        <f>IFERROR((GA[[#This Row],[Sunset Time (POA&lt;20 W/m2)]]-GA[[#This Row],[Sunrise Time (POA&gt;20 W/m2)]])*24,"")</f>
        <v/>
      </c>
      <c r="M513" s="17" t="str">
        <f>IFERROR(VLOOKUP(GA[[#This Row],[Affceted Equipment]],'Basic Data'!$A$1:$B$113,2,0),"")</f>
        <v/>
      </c>
      <c r="P513" s="28" t="str">
        <f>IFERROR(VLOOKUP(GA[[#This Row],[Affceted Equipment]],'Basic Data'!$A$2:$C$118,3,0),"")</f>
        <v/>
      </c>
      <c r="Q513" s="2"/>
      <c r="W513" s="34"/>
      <c r="X513" s="35"/>
      <c r="Y513" s="35"/>
      <c r="Z513" s="2"/>
      <c r="AA513" s="2"/>
      <c r="AB513" s="2" t="str">
        <f>IFERROR(GA[[#This Row],[Plant Equivalent Weightage]]*GA[[#This Row],[Resolution Time]],"")</f>
        <v/>
      </c>
      <c r="AC513" s="2"/>
      <c r="AD513" s="32" t="str">
        <f>IFERROR((_xlfn.XLOOKUP(GA[[#This Row],[Month Year]],'Modelling New'!D:D,'Modelling New'!$O:$O)*GA[[#This Row],[Lost POA (Wh/m2)]]*GA[[#This Row],[DC Capacity Affceted (kW)]])/1000,"")</f>
        <v/>
      </c>
      <c r="AE513" s="2"/>
    </row>
  </sheetData>
  <pageMargins left="0.7" right="0.7" top="0.75" bottom="0.75" header="0.3" footer="0.3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'Basic Data'!$A$2:$A$115</xm:f>
          </x14:formula1>
          <xm:sqref>L3:L513</xm:sqref>
        </x14:dataValidation>
        <x14:dataValidation type="list" allowBlank="1" showInputMessage="1" showErrorMessage="1" xr:uid="{00000000-0002-0000-0B00-000001000000}">
          <x14:formula1>
            <xm:f>'Basic Data'!$E$2:$E$35</xm:f>
          </x14:formula1>
          <xm:sqref>O3:O513</xm:sqref>
        </x14:dataValidation>
        <x14:dataValidation type="list" allowBlank="1" showInputMessage="1" showErrorMessage="1" xr:uid="{00000000-0002-0000-0B00-000002000000}">
          <x14:formula1>
            <xm:f>'Basic Data'!$M$2:$M$4</xm:f>
          </x14:formula1>
          <xm:sqref>AA3:AA513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27"/>
  <sheetViews>
    <sheetView topLeftCell="A2" workbookViewId="0">
      <pane xSplit="8" ySplit="1" topLeftCell="I100" activePane="bottomRight" state="frozen"/>
      <selection pane="topRight" activeCell="I2" sqref="I2"/>
      <selection pane="bottomLeft" activeCell="A3" sqref="A3"/>
      <selection pane="bottomRight" activeCell="P114" sqref="P114"/>
    </sheetView>
  </sheetViews>
  <sheetFormatPr defaultColWidth="9" defaultRowHeight="15"/>
  <cols>
    <col min="1" max="1" width="8.7109375" style="2"/>
    <col min="2" max="2" width="11.28515625" style="2" customWidth="1"/>
    <col min="3" max="3" width="12.28515625" style="2" customWidth="1"/>
    <col min="4" max="4" width="14.28515625" style="2" customWidth="1"/>
    <col min="5" max="5" width="13.7109375" style="2" customWidth="1"/>
    <col min="6" max="6" width="10.7109375" style="2" customWidth="1"/>
    <col min="7" max="7" width="8.7109375" style="2"/>
    <col min="8" max="8" width="12.5703125" style="2" customWidth="1"/>
    <col min="9" max="9" width="12.28515625" customWidth="1"/>
    <col min="10" max="10" width="11.42578125" customWidth="1"/>
    <col min="11" max="16" width="8.7109375" customWidth="1"/>
    <col min="17" max="17" width="17.7109375" style="2" customWidth="1"/>
    <col min="18" max="18" width="13" customWidth="1"/>
    <col min="19" max="19" width="12.5703125" customWidth="1"/>
    <col min="20" max="20" width="13.5703125" customWidth="1"/>
    <col min="21" max="21" width="9.7109375" customWidth="1"/>
    <col min="22" max="22" width="10.7109375" customWidth="1"/>
    <col min="23" max="23" width="9.7109375" customWidth="1"/>
    <col min="24" max="24" width="10.7109375" hidden="1" customWidth="1"/>
    <col min="28" max="28" width="13.7109375" customWidth="1"/>
    <col min="30" max="30" width="18.28515625" customWidth="1"/>
    <col min="32" max="32" width="20.7109375" customWidth="1"/>
  </cols>
  <sheetData>
    <row r="1" spans="1:26" hidden="1"/>
    <row r="2" spans="1:26" s="1" customFormat="1" ht="60">
      <c r="A2" s="17" t="s">
        <v>5</v>
      </c>
      <c r="B2" s="17" t="s">
        <v>125</v>
      </c>
      <c r="C2" s="17" t="s">
        <v>126</v>
      </c>
      <c r="D2" s="17" t="s">
        <v>127</v>
      </c>
      <c r="E2" s="17" t="s">
        <v>128</v>
      </c>
      <c r="F2" s="17" t="s">
        <v>84</v>
      </c>
      <c r="G2" s="17" t="s">
        <v>63</v>
      </c>
      <c r="H2" s="17" t="s">
        <v>34</v>
      </c>
      <c r="I2" s="1" t="s">
        <v>343</v>
      </c>
      <c r="J2" s="1" t="s">
        <v>344</v>
      </c>
      <c r="K2" s="20" t="s">
        <v>345</v>
      </c>
      <c r="L2" s="20" t="s">
        <v>346</v>
      </c>
      <c r="M2" s="20" t="s">
        <v>347</v>
      </c>
      <c r="N2" s="20" t="s">
        <v>348</v>
      </c>
      <c r="O2" s="20" t="s">
        <v>349</v>
      </c>
      <c r="P2" s="20" t="s">
        <v>350</v>
      </c>
      <c r="Q2" s="17" t="s">
        <v>351</v>
      </c>
      <c r="R2" s="20" t="s">
        <v>352</v>
      </c>
      <c r="S2" s="20" t="s">
        <v>353</v>
      </c>
      <c r="T2" s="20" t="s">
        <v>354</v>
      </c>
      <c r="U2" s="20" t="s">
        <v>355</v>
      </c>
      <c r="V2" s="20" t="s">
        <v>356</v>
      </c>
      <c r="W2" s="1" t="s">
        <v>357</v>
      </c>
      <c r="X2" s="20" t="s">
        <v>358</v>
      </c>
      <c r="Y2" s="1" t="s">
        <v>333</v>
      </c>
      <c r="Z2" s="1" t="s">
        <v>359</v>
      </c>
    </row>
    <row r="3" spans="1:26">
      <c r="A3" s="2">
        <v>1</v>
      </c>
      <c r="B3" s="156">
        <f>YEAR(H3)+IF(MONTH(H3)&gt;=4,1,0)</f>
        <v>2025</v>
      </c>
      <c r="C3" s="129">
        <f t="shared" ref="C3" si="0">YEAR(H3)</f>
        <v>2025</v>
      </c>
      <c r="D3" s="2" t="s">
        <v>224</v>
      </c>
      <c r="E3" s="2" t="s">
        <v>224</v>
      </c>
      <c r="F3" s="18">
        <v>45717</v>
      </c>
      <c r="G3" s="2">
        <f t="shared" ref="G3" si="1">DAY(EOMONTH(F3,0))</f>
        <v>31</v>
      </c>
      <c r="H3" s="19">
        <v>45745</v>
      </c>
      <c r="I3">
        <v>12</v>
      </c>
      <c r="J3" t="s">
        <v>360</v>
      </c>
      <c r="L3">
        <v>3570</v>
      </c>
      <c r="M3">
        <v>252</v>
      </c>
      <c r="Q3" s="2">
        <f>SUM(MC[[#This Row],[IC1_Inv1_MC]:[IC2_Inv2_MC]])</f>
        <v>3822</v>
      </c>
    </row>
    <row r="4" spans="1:26">
      <c r="A4" s="2">
        <f>A3+1</f>
        <v>2</v>
      </c>
      <c r="B4" s="156">
        <f t="shared" ref="B4:B40" si="2">YEAR(H4)+IF(MONTH(H4)&gt;=4,1,0)</f>
        <v>2025</v>
      </c>
      <c r="C4" s="129">
        <f t="shared" ref="C4:C40" si="3">YEAR(H4)</f>
        <v>2025</v>
      </c>
      <c r="D4" s="2" t="s">
        <v>224</v>
      </c>
      <c r="E4" s="2" t="s">
        <v>224</v>
      </c>
      <c r="F4" s="18">
        <v>45717</v>
      </c>
      <c r="G4" s="2">
        <f t="shared" ref="G4" si="4">DAY(EOMONTH(F4,0))</f>
        <v>31</v>
      </c>
      <c r="H4" s="19">
        <f t="shared" ref="H4:H25" si="5">H3+1</f>
        <v>45746</v>
      </c>
      <c r="I4">
        <v>12</v>
      </c>
      <c r="J4" t="s">
        <v>360</v>
      </c>
      <c r="P4">
        <v>1512</v>
      </c>
      <c r="Q4" s="2">
        <f>SUM(MC[[#This Row],[IC1_Inv1_MC]:[IC2_Inv2_MC]])</f>
        <v>1512</v>
      </c>
    </row>
    <row r="5" spans="1:26">
      <c r="A5" s="2">
        <f t="shared" ref="A5:A127" si="6">A4+1</f>
        <v>3</v>
      </c>
      <c r="B5" s="156">
        <f t="shared" si="2"/>
        <v>2025</v>
      </c>
      <c r="C5" s="129">
        <f t="shared" si="3"/>
        <v>2025</v>
      </c>
      <c r="D5" s="2" t="s">
        <v>224</v>
      </c>
      <c r="E5" s="2" t="s">
        <v>224</v>
      </c>
      <c r="F5" s="18">
        <v>45717</v>
      </c>
      <c r="G5" s="2">
        <f t="shared" ref="G5" si="7">DAY(EOMONTH(F5,0))</f>
        <v>31</v>
      </c>
      <c r="H5" s="19">
        <f t="shared" si="5"/>
        <v>45747</v>
      </c>
      <c r="I5">
        <v>12</v>
      </c>
      <c r="J5" t="s">
        <v>360</v>
      </c>
      <c r="L5">
        <v>2898</v>
      </c>
      <c r="M5">
        <v>1134</v>
      </c>
      <c r="Q5" s="2">
        <f>SUM(MC[[#This Row],[IC1_Inv1_MC]:[IC2_Inv2_MC]])</f>
        <v>4032</v>
      </c>
    </row>
    <row r="6" spans="1:26">
      <c r="A6" s="2">
        <f t="shared" si="6"/>
        <v>4</v>
      </c>
      <c r="B6" s="156">
        <f t="shared" si="2"/>
        <v>2026</v>
      </c>
      <c r="C6" s="129">
        <f t="shared" si="3"/>
        <v>2025</v>
      </c>
      <c r="D6" s="2" t="s">
        <v>224</v>
      </c>
      <c r="E6" s="2" t="s">
        <v>224</v>
      </c>
      <c r="F6" s="18">
        <v>45748</v>
      </c>
      <c r="G6" s="2">
        <f t="shared" ref="G6" si="8">DAY(EOMONTH(F6,0))</f>
        <v>30</v>
      </c>
      <c r="H6" s="19">
        <f t="shared" si="5"/>
        <v>45748</v>
      </c>
      <c r="I6">
        <v>12</v>
      </c>
      <c r="J6" t="s">
        <v>360</v>
      </c>
      <c r="O6">
        <v>3864</v>
      </c>
      <c r="Q6" s="2">
        <f>SUM(MC[[#This Row],[IC1_Inv1_MC]:[IC2_Inv2_MC]])</f>
        <v>3864</v>
      </c>
    </row>
    <row r="7" spans="1:26">
      <c r="A7" s="2">
        <f t="shared" si="6"/>
        <v>5</v>
      </c>
      <c r="B7" s="156">
        <f t="shared" si="2"/>
        <v>2026</v>
      </c>
      <c r="C7" s="129">
        <f t="shared" si="3"/>
        <v>2025</v>
      </c>
      <c r="D7" s="2" t="s">
        <v>224</v>
      </c>
      <c r="E7" s="2" t="s">
        <v>224</v>
      </c>
      <c r="F7" s="18">
        <v>45748</v>
      </c>
      <c r="G7" s="2">
        <f t="shared" ref="G7" si="9">DAY(EOMONTH(F7,0))</f>
        <v>30</v>
      </c>
      <c r="H7" s="19">
        <f t="shared" si="5"/>
        <v>45749</v>
      </c>
      <c r="I7">
        <v>12</v>
      </c>
      <c r="J7" t="s">
        <v>360</v>
      </c>
      <c r="O7">
        <v>2037</v>
      </c>
      <c r="P7">
        <v>1848</v>
      </c>
      <c r="Q7" s="2">
        <f>SUM(MC[[#This Row],[IC1_Inv1_MC]:[IC2_Inv2_MC]])</f>
        <v>3885</v>
      </c>
    </row>
    <row r="8" spans="1:26">
      <c r="A8" s="2">
        <f t="shared" si="6"/>
        <v>6</v>
      </c>
      <c r="B8" s="156">
        <f t="shared" si="2"/>
        <v>2026</v>
      </c>
      <c r="C8" s="129">
        <f t="shared" si="3"/>
        <v>2025</v>
      </c>
      <c r="D8" s="2" t="s">
        <v>224</v>
      </c>
      <c r="E8" s="2" t="s">
        <v>224</v>
      </c>
      <c r="F8" s="18">
        <v>45748</v>
      </c>
      <c r="G8" s="2">
        <f t="shared" ref="G8" si="10">DAY(EOMONTH(F8,0))</f>
        <v>30</v>
      </c>
      <c r="H8" s="19">
        <f t="shared" si="5"/>
        <v>45750</v>
      </c>
      <c r="I8">
        <v>12</v>
      </c>
      <c r="J8" t="s">
        <v>360</v>
      </c>
      <c r="P8">
        <v>3780</v>
      </c>
      <c r="Q8" s="2">
        <f>SUM(MC[[#This Row],[IC1_Inv1_MC]:[IC2_Inv2_MC]])</f>
        <v>3780</v>
      </c>
    </row>
    <row r="9" spans="1:26">
      <c r="A9" s="2">
        <f t="shared" si="6"/>
        <v>7</v>
      </c>
      <c r="B9" s="156">
        <f t="shared" si="2"/>
        <v>2026</v>
      </c>
      <c r="C9" s="129">
        <f t="shared" si="3"/>
        <v>2025</v>
      </c>
      <c r="D9" s="2" t="s">
        <v>224</v>
      </c>
      <c r="E9" s="2" t="s">
        <v>224</v>
      </c>
      <c r="F9" s="18">
        <v>45748</v>
      </c>
      <c r="G9" s="2">
        <f t="shared" ref="G9" si="11">DAY(EOMONTH(F9,0))</f>
        <v>30</v>
      </c>
      <c r="H9" s="19">
        <f t="shared" si="5"/>
        <v>45751</v>
      </c>
      <c r="I9">
        <v>12</v>
      </c>
      <c r="J9" t="s">
        <v>360</v>
      </c>
      <c r="K9">
        <v>1764</v>
      </c>
      <c r="N9">
        <v>588</v>
      </c>
      <c r="P9">
        <v>1848</v>
      </c>
      <c r="Q9" s="2">
        <f>SUM(MC[[#This Row],[IC1_Inv1_MC]:[IC2_Inv2_MC]])</f>
        <v>4200</v>
      </c>
    </row>
    <row r="10" spans="1:26">
      <c r="A10" s="2">
        <f t="shared" si="6"/>
        <v>8</v>
      </c>
      <c r="B10" s="156">
        <f t="shared" si="2"/>
        <v>2026</v>
      </c>
      <c r="C10" s="129">
        <f t="shared" si="3"/>
        <v>2025</v>
      </c>
      <c r="D10" s="2" t="s">
        <v>224</v>
      </c>
      <c r="E10" s="2" t="s">
        <v>224</v>
      </c>
      <c r="F10" s="18">
        <v>45748</v>
      </c>
      <c r="G10" s="2">
        <f t="shared" ref="G10" si="12">DAY(EOMONTH(F10,0))</f>
        <v>30</v>
      </c>
      <c r="H10" s="19">
        <f t="shared" si="5"/>
        <v>45752</v>
      </c>
      <c r="I10">
        <v>12</v>
      </c>
      <c r="J10" t="s">
        <v>360</v>
      </c>
      <c r="K10">
        <v>2310</v>
      </c>
      <c r="M10">
        <v>546</v>
      </c>
      <c r="N10">
        <v>1344</v>
      </c>
      <c r="Q10" s="2">
        <f>SUM(MC[[#This Row],[IC1_Inv1_MC]:[IC2_Inv2_MC]])</f>
        <v>4200</v>
      </c>
    </row>
    <row r="11" spans="1:26">
      <c r="A11" s="2">
        <f t="shared" si="6"/>
        <v>9</v>
      </c>
      <c r="B11" s="156">
        <f t="shared" si="2"/>
        <v>2026</v>
      </c>
      <c r="C11" s="129">
        <f t="shared" si="3"/>
        <v>2025</v>
      </c>
      <c r="D11" s="2" t="s">
        <v>224</v>
      </c>
      <c r="E11" s="2" t="s">
        <v>224</v>
      </c>
      <c r="F11" s="18">
        <v>45748</v>
      </c>
      <c r="G11" s="2">
        <f t="shared" ref="G11" si="13">DAY(EOMONTH(F11,0))</f>
        <v>30</v>
      </c>
      <c r="H11" s="19">
        <f t="shared" si="5"/>
        <v>45753</v>
      </c>
      <c r="I11">
        <v>12</v>
      </c>
      <c r="J11" t="s">
        <v>360</v>
      </c>
      <c r="Q11" s="2">
        <f>SUM(MC[[#This Row],[IC1_Inv1_MC]:[IC2_Inv2_MC]])</f>
        <v>0</v>
      </c>
    </row>
    <row r="12" spans="1:26">
      <c r="A12" s="2">
        <f t="shared" si="6"/>
        <v>10</v>
      </c>
      <c r="B12" s="156">
        <f t="shared" si="2"/>
        <v>2026</v>
      </c>
      <c r="C12" s="129">
        <f t="shared" si="3"/>
        <v>2025</v>
      </c>
      <c r="D12" s="2" t="s">
        <v>224</v>
      </c>
      <c r="E12" s="2" t="s">
        <v>224</v>
      </c>
      <c r="F12" s="18">
        <v>45748</v>
      </c>
      <c r="G12" s="2">
        <f t="shared" ref="G12" si="14">DAY(EOMONTH(F12,0))</f>
        <v>30</v>
      </c>
      <c r="H12" s="19">
        <f t="shared" si="5"/>
        <v>45754</v>
      </c>
      <c r="I12">
        <v>13</v>
      </c>
      <c r="J12" t="s">
        <v>360</v>
      </c>
      <c r="K12">
        <v>588</v>
      </c>
      <c r="N12">
        <v>2100</v>
      </c>
      <c r="O12">
        <v>126</v>
      </c>
      <c r="P12">
        <v>1438</v>
      </c>
      <c r="Q12" s="2">
        <f>SUM(MC[[#This Row],[IC1_Inv1_MC]:[IC2_Inv2_MC]])</f>
        <v>4252</v>
      </c>
    </row>
    <row r="13" spans="1:26">
      <c r="A13" s="2">
        <f t="shared" si="6"/>
        <v>11</v>
      </c>
      <c r="B13" s="156">
        <f t="shared" si="2"/>
        <v>2026</v>
      </c>
      <c r="C13" s="129">
        <f t="shared" si="3"/>
        <v>2025</v>
      </c>
      <c r="D13" s="2" t="s">
        <v>224</v>
      </c>
      <c r="E13" s="2" t="s">
        <v>224</v>
      </c>
      <c r="F13" s="18">
        <v>45748</v>
      </c>
      <c r="G13" s="2">
        <f t="shared" ref="G13" si="15">DAY(EOMONTH(F13,0))</f>
        <v>30</v>
      </c>
      <c r="H13" s="19">
        <f t="shared" si="5"/>
        <v>45755</v>
      </c>
      <c r="I13">
        <v>13</v>
      </c>
      <c r="J13" t="s">
        <v>360</v>
      </c>
      <c r="M13">
        <v>3528</v>
      </c>
      <c r="N13">
        <v>504</v>
      </c>
      <c r="O13">
        <v>210</v>
      </c>
      <c r="Q13" s="2">
        <f>SUM(MC[[#This Row],[IC1_Inv1_MC]:[IC2_Inv2_MC]])</f>
        <v>4242</v>
      </c>
    </row>
    <row r="14" spans="1:26">
      <c r="A14" s="2">
        <f t="shared" si="6"/>
        <v>12</v>
      </c>
      <c r="B14" s="156">
        <f t="shared" si="2"/>
        <v>2026</v>
      </c>
      <c r="C14" s="129">
        <f t="shared" si="3"/>
        <v>2025</v>
      </c>
      <c r="D14" s="2" t="s">
        <v>224</v>
      </c>
      <c r="E14" s="2" t="s">
        <v>224</v>
      </c>
      <c r="F14" s="18">
        <v>45748</v>
      </c>
      <c r="G14" s="2">
        <f t="shared" ref="G14" si="16">DAY(EOMONTH(F14,0))</f>
        <v>30</v>
      </c>
      <c r="H14" s="19">
        <f t="shared" si="5"/>
        <v>45756</v>
      </c>
      <c r="I14">
        <v>13</v>
      </c>
      <c r="J14" t="s">
        <v>360</v>
      </c>
      <c r="K14">
        <v>504</v>
      </c>
      <c r="L14">
        <v>1890</v>
      </c>
      <c r="M14">
        <v>1029</v>
      </c>
      <c r="N14">
        <v>588</v>
      </c>
      <c r="Q14" s="2">
        <f>SUM(MC[[#This Row],[IC1_Inv1_MC]:[IC2_Inv2_MC]])</f>
        <v>4011</v>
      </c>
    </row>
    <row r="15" spans="1:26">
      <c r="A15" s="2">
        <f t="shared" si="6"/>
        <v>13</v>
      </c>
      <c r="B15" s="156">
        <f t="shared" si="2"/>
        <v>2026</v>
      </c>
      <c r="C15" s="129">
        <f t="shared" si="3"/>
        <v>2025</v>
      </c>
      <c r="D15" s="2" t="s">
        <v>224</v>
      </c>
      <c r="E15" s="2" t="s">
        <v>224</v>
      </c>
      <c r="F15" s="18">
        <v>45748</v>
      </c>
      <c r="G15" s="2">
        <f t="shared" ref="G15" si="17">DAY(EOMONTH(F15,0))</f>
        <v>30</v>
      </c>
      <c r="H15" s="19">
        <f t="shared" si="5"/>
        <v>45757</v>
      </c>
      <c r="I15">
        <v>13</v>
      </c>
      <c r="J15" t="s">
        <v>360</v>
      </c>
      <c r="K15">
        <v>3444</v>
      </c>
      <c r="L15">
        <v>588</v>
      </c>
      <c r="Q15" s="2">
        <f>SUM(MC[[#This Row],[IC1_Inv1_MC]:[IC2_Inv2_MC]])</f>
        <v>4032</v>
      </c>
    </row>
    <row r="16" spans="1:26">
      <c r="A16" s="2">
        <f t="shared" si="6"/>
        <v>14</v>
      </c>
      <c r="B16" s="156">
        <f t="shared" si="2"/>
        <v>2026</v>
      </c>
      <c r="C16" s="129">
        <f t="shared" si="3"/>
        <v>2025</v>
      </c>
      <c r="D16" s="2" t="s">
        <v>224</v>
      </c>
      <c r="E16" s="2" t="s">
        <v>224</v>
      </c>
      <c r="F16" s="18">
        <v>45748</v>
      </c>
      <c r="G16" s="2">
        <f t="shared" ref="G16" si="18">DAY(EOMONTH(F16,0))</f>
        <v>30</v>
      </c>
      <c r="H16" s="19">
        <f t="shared" si="5"/>
        <v>45758</v>
      </c>
      <c r="I16">
        <v>13</v>
      </c>
      <c r="J16" t="s">
        <v>360</v>
      </c>
      <c r="Q16" s="2">
        <f>SUM(MC[[#This Row],[IC1_Inv1_MC]:[IC2_Inv2_MC]])</f>
        <v>0</v>
      </c>
    </row>
    <row r="17" spans="1:17">
      <c r="A17" s="2">
        <f t="shared" si="6"/>
        <v>15</v>
      </c>
      <c r="B17" s="156">
        <f t="shared" si="2"/>
        <v>2026</v>
      </c>
      <c r="C17" s="129">
        <f t="shared" si="3"/>
        <v>2025</v>
      </c>
      <c r="D17" s="2" t="s">
        <v>224</v>
      </c>
      <c r="E17" s="2" t="s">
        <v>224</v>
      </c>
      <c r="F17" s="18">
        <v>45748</v>
      </c>
      <c r="G17" s="2">
        <f t="shared" ref="G17" si="19">DAY(EOMONTH(F17,0))</f>
        <v>30</v>
      </c>
      <c r="H17" s="19">
        <f t="shared" si="5"/>
        <v>45759</v>
      </c>
      <c r="I17">
        <v>13</v>
      </c>
      <c r="J17" t="s">
        <v>360</v>
      </c>
      <c r="Q17" s="2">
        <f>SUM(MC[[#This Row],[IC1_Inv1_MC]:[IC2_Inv2_MC]])</f>
        <v>0</v>
      </c>
    </row>
    <row r="18" spans="1:17">
      <c r="A18" s="2">
        <f t="shared" si="6"/>
        <v>16</v>
      </c>
      <c r="B18" s="156">
        <f t="shared" si="2"/>
        <v>2026</v>
      </c>
      <c r="C18" s="129">
        <f t="shared" si="3"/>
        <v>2025</v>
      </c>
      <c r="D18" s="2" t="s">
        <v>224</v>
      </c>
      <c r="E18" s="2" t="s">
        <v>224</v>
      </c>
      <c r="F18" s="18">
        <v>45748</v>
      </c>
      <c r="G18" s="2">
        <f t="shared" ref="G18" si="20">DAY(EOMONTH(F18,0))</f>
        <v>30</v>
      </c>
      <c r="H18" s="19">
        <f t="shared" si="5"/>
        <v>45760</v>
      </c>
      <c r="I18">
        <v>13</v>
      </c>
      <c r="J18" t="s">
        <v>360</v>
      </c>
      <c r="Q18" s="2">
        <f>SUM(MC[[#This Row],[IC1_Inv1_MC]:[IC2_Inv2_MC]])</f>
        <v>0</v>
      </c>
    </row>
    <row r="19" spans="1:17">
      <c r="A19" s="2">
        <f t="shared" si="6"/>
        <v>17</v>
      </c>
      <c r="B19" s="156">
        <f t="shared" si="2"/>
        <v>2026</v>
      </c>
      <c r="C19" s="129">
        <f t="shared" si="3"/>
        <v>2025</v>
      </c>
      <c r="D19" s="2" t="s">
        <v>224</v>
      </c>
      <c r="E19" s="2" t="s">
        <v>224</v>
      </c>
      <c r="F19" s="18">
        <v>45748</v>
      </c>
      <c r="G19" s="2">
        <f t="shared" ref="G19" si="21">DAY(EOMONTH(F19,0))</f>
        <v>30</v>
      </c>
      <c r="H19" s="19">
        <f t="shared" si="5"/>
        <v>45761</v>
      </c>
      <c r="I19">
        <v>13</v>
      </c>
      <c r="J19" t="s">
        <v>360</v>
      </c>
      <c r="K19">
        <v>2961</v>
      </c>
      <c r="Q19" s="2">
        <f>SUM(MC[[#This Row],[IC1_Inv1_MC]:[IC2_Inv2_MC]])</f>
        <v>2961</v>
      </c>
    </row>
    <row r="20" spans="1:17">
      <c r="A20" s="2">
        <f t="shared" si="6"/>
        <v>18</v>
      </c>
      <c r="B20" s="156">
        <f t="shared" si="2"/>
        <v>2026</v>
      </c>
      <c r="C20" s="129">
        <f t="shared" si="3"/>
        <v>2025</v>
      </c>
      <c r="D20" s="2" t="s">
        <v>224</v>
      </c>
      <c r="E20" s="2" t="s">
        <v>224</v>
      </c>
      <c r="F20" s="18">
        <v>45748</v>
      </c>
      <c r="G20" s="2">
        <f t="shared" ref="G20" si="22">DAY(EOMONTH(F20,0))</f>
        <v>30</v>
      </c>
      <c r="H20" s="19">
        <f t="shared" si="5"/>
        <v>45762</v>
      </c>
      <c r="I20">
        <v>13</v>
      </c>
      <c r="J20" t="s">
        <v>360</v>
      </c>
      <c r="K20">
        <v>1722</v>
      </c>
      <c r="M20">
        <v>588</v>
      </c>
      <c r="N20">
        <v>1722</v>
      </c>
      <c r="Q20" s="2">
        <f>SUM(MC[[#This Row],[IC1_Inv1_MC]:[IC2_Inv2_MC]])</f>
        <v>4032</v>
      </c>
    </row>
    <row r="21" spans="1:17">
      <c r="A21" s="2">
        <f t="shared" si="6"/>
        <v>19</v>
      </c>
      <c r="B21" s="156">
        <f t="shared" si="2"/>
        <v>2026</v>
      </c>
      <c r="C21" s="129">
        <f t="shared" si="3"/>
        <v>2025</v>
      </c>
      <c r="D21" s="2" t="s">
        <v>224</v>
      </c>
      <c r="E21" s="2" t="s">
        <v>224</v>
      </c>
      <c r="F21" s="18">
        <v>45748</v>
      </c>
      <c r="G21" s="2">
        <f t="shared" ref="G21" si="23">DAY(EOMONTH(F21,0))</f>
        <v>30</v>
      </c>
      <c r="H21" s="19">
        <f t="shared" si="5"/>
        <v>45763</v>
      </c>
      <c r="I21">
        <v>13</v>
      </c>
      <c r="J21" t="s">
        <v>360</v>
      </c>
      <c r="K21">
        <v>420</v>
      </c>
      <c r="M21">
        <v>588</v>
      </c>
      <c r="O21">
        <v>1680</v>
      </c>
      <c r="P21">
        <v>1512</v>
      </c>
      <c r="Q21" s="2">
        <f>SUM(MC[[#This Row],[IC1_Inv1_MC]:[IC2_Inv2_MC]])</f>
        <v>4200</v>
      </c>
    </row>
    <row r="22" spans="1:17">
      <c r="A22" s="2">
        <f t="shared" si="6"/>
        <v>20</v>
      </c>
      <c r="B22" s="156">
        <f t="shared" si="2"/>
        <v>2026</v>
      </c>
      <c r="C22" s="129">
        <f t="shared" si="3"/>
        <v>2025</v>
      </c>
      <c r="D22" s="2" t="s">
        <v>224</v>
      </c>
      <c r="E22" s="2" t="s">
        <v>224</v>
      </c>
      <c r="F22" s="18">
        <v>45748</v>
      </c>
      <c r="G22" s="2">
        <f t="shared" ref="G22" si="24">DAY(EOMONTH(F22,0))</f>
        <v>30</v>
      </c>
      <c r="H22" s="19">
        <f t="shared" si="5"/>
        <v>45764</v>
      </c>
      <c r="I22">
        <v>13</v>
      </c>
      <c r="J22" t="s">
        <v>360</v>
      </c>
      <c r="O22">
        <v>4032</v>
      </c>
      <c r="Q22" s="2">
        <f>SUM(MC[[#This Row],[IC1_Inv1_MC]:[IC2_Inv2_MC]])</f>
        <v>4032</v>
      </c>
    </row>
    <row r="23" spans="1:17">
      <c r="A23" s="2">
        <f t="shared" si="6"/>
        <v>21</v>
      </c>
      <c r="B23" s="156">
        <f t="shared" si="2"/>
        <v>2026</v>
      </c>
      <c r="C23" s="129">
        <f t="shared" si="3"/>
        <v>2025</v>
      </c>
      <c r="D23" s="2" t="s">
        <v>224</v>
      </c>
      <c r="E23" s="2" t="s">
        <v>224</v>
      </c>
      <c r="F23" s="18">
        <v>45748</v>
      </c>
      <c r="G23" s="2">
        <f t="shared" ref="G23" si="25">DAY(EOMONTH(F23,0))</f>
        <v>30</v>
      </c>
      <c r="H23" s="19">
        <f t="shared" si="5"/>
        <v>45765</v>
      </c>
      <c r="I23">
        <v>13</v>
      </c>
      <c r="J23" t="s">
        <v>360</v>
      </c>
      <c r="O23">
        <v>1848</v>
      </c>
      <c r="P23">
        <v>2352</v>
      </c>
      <c r="Q23" s="2">
        <f>SUM(MC[[#This Row],[IC1_Inv1_MC]:[IC2_Inv2_MC]])</f>
        <v>4200</v>
      </c>
    </row>
    <row r="24" spans="1:17">
      <c r="A24" s="2">
        <f t="shared" si="6"/>
        <v>22</v>
      </c>
      <c r="B24" s="156">
        <f t="shared" si="2"/>
        <v>2026</v>
      </c>
      <c r="C24" s="129">
        <f t="shared" si="3"/>
        <v>2025</v>
      </c>
      <c r="D24" s="2" t="s">
        <v>224</v>
      </c>
      <c r="E24" s="2" t="s">
        <v>224</v>
      </c>
      <c r="F24" s="18">
        <v>45748</v>
      </c>
      <c r="G24" s="2">
        <f t="shared" ref="G24" si="26">DAY(EOMONTH(F24,0))</f>
        <v>30</v>
      </c>
      <c r="H24" s="19">
        <f t="shared" si="5"/>
        <v>45766</v>
      </c>
      <c r="I24">
        <v>13</v>
      </c>
      <c r="J24" t="s">
        <v>360</v>
      </c>
      <c r="N24">
        <v>2352</v>
      </c>
      <c r="P24">
        <v>2352</v>
      </c>
      <c r="Q24" s="2">
        <f>SUM(MC[[#This Row],[IC1_Inv1_MC]:[IC2_Inv2_MC]])</f>
        <v>4704</v>
      </c>
    </row>
    <row r="25" spans="1:17">
      <c r="A25" s="2">
        <f t="shared" si="6"/>
        <v>23</v>
      </c>
      <c r="B25" s="156">
        <f t="shared" si="2"/>
        <v>2026</v>
      </c>
      <c r="C25" s="129">
        <f t="shared" si="3"/>
        <v>2025</v>
      </c>
      <c r="D25" s="2" t="s">
        <v>224</v>
      </c>
      <c r="E25" s="2" t="s">
        <v>224</v>
      </c>
      <c r="F25" s="18">
        <v>45748</v>
      </c>
      <c r="G25" s="2">
        <f t="shared" ref="G25" si="27">DAY(EOMONTH(F25,0))</f>
        <v>30</v>
      </c>
      <c r="H25" s="19">
        <f t="shared" si="5"/>
        <v>45767</v>
      </c>
      <c r="I25">
        <v>13</v>
      </c>
      <c r="J25" t="s">
        <v>360</v>
      </c>
      <c r="L25">
        <v>588</v>
      </c>
      <c r="M25">
        <v>588</v>
      </c>
      <c r="N25">
        <v>588</v>
      </c>
      <c r="O25">
        <v>588</v>
      </c>
      <c r="P25">
        <v>210</v>
      </c>
      <c r="Q25" s="2">
        <f>SUM(MC[[#This Row],[IC1_Inv1_MC]:[IC2_Inv2_MC]])</f>
        <v>2562</v>
      </c>
    </row>
    <row r="26" spans="1:17">
      <c r="A26" s="2">
        <f t="shared" si="6"/>
        <v>24</v>
      </c>
      <c r="B26" s="156">
        <f t="shared" si="2"/>
        <v>2026</v>
      </c>
      <c r="C26" s="129">
        <f t="shared" si="3"/>
        <v>2025</v>
      </c>
      <c r="D26" s="2" t="s">
        <v>224</v>
      </c>
      <c r="E26" s="2" t="s">
        <v>224</v>
      </c>
      <c r="F26" s="18">
        <v>45748</v>
      </c>
      <c r="G26" s="2">
        <f t="shared" ref="G26" si="28">DAY(EOMONTH(F26,0))</f>
        <v>30</v>
      </c>
      <c r="H26" s="19">
        <f t="shared" ref="H26:H31" si="29">H25+1</f>
        <v>45768</v>
      </c>
      <c r="I26">
        <v>14</v>
      </c>
      <c r="J26" t="s">
        <v>360</v>
      </c>
      <c r="M26">
        <v>3381</v>
      </c>
      <c r="N26">
        <v>714</v>
      </c>
      <c r="Q26" s="2">
        <f>SUM(MC[[#This Row],[IC1_Inv1_MC]:[IC2_Inv2_MC]])</f>
        <v>4095</v>
      </c>
    </row>
    <row r="27" spans="1:17">
      <c r="A27" s="2">
        <f t="shared" si="6"/>
        <v>25</v>
      </c>
      <c r="B27" s="156">
        <f t="shared" si="2"/>
        <v>2026</v>
      </c>
      <c r="C27" s="129">
        <f t="shared" si="3"/>
        <v>2025</v>
      </c>
      <c r="D27" s="2" t="s">
        <v>224</v>
      </c>
      <c r="E27" s="2" t="s">
        <v>224</v>
      </c>
      <c r="F27" s="18">
        <v>45748</v>
      </c>
      <c r="G27" s="2">
        <f t="shared" ref="G27" si="30">DAY(EOMONTH(F27,0))</f>
        <v>30</v>
      </c>
      <c r="H27" s="19">
        <f t="shared" si="29"/>
        <v>45769</v>
      </c>
      <c r="I27">
        <v>14</v>
      </c>
      <c r="J27" t="s">
        <v>360</v>
      </c>
      <c r="K27">
        <v>504</v>
      </c>
      <c r="L27">
        <v>2100</v>
      </c>
      <c r="M27">
        <v>1176</v>
      </c>
      <c r="N27">
        <v>378</v>
      </c>
      <c r="Q27" s="2">
        <f>SUM(MC[[#This Row],[IC1_Inv1_MC]:[IC2_Inv2_MC]])</f>
        <v>4158</v>
      </c>
    </row>
    <row r="28" spans="1:17">
      <c r="A28" s="2">
        <f t="shared" si="6"/>
        <v>26</v>
      </c>
      <c r="B28" s="156">
        <f t="shared" si="2"/>
        <v>2026</v>
      </c>
      <c r="C28" s="129">
        <f t="shared" si="3"/>
        <v>2025</v>
      </c>
      <c r="D28" s="2" t="s">
        <v>224</v>
      </c>
      <c r="E28" s="2" t="s">
        <v>224</v>
      </c>
      <c r="F28" s="18">
        <v>45748</v>
      </c>
      <c r="G28" s="2">
        <f t="shared" ref="G28" si="31">DAY(EOMONTH(F28,0))</f>
        <v>30</v>
      </c>
      <c r="H28" s="19">
        <f t="shared" si="29"/>
        <v>45770</v>
      </c>
      <c r="I28">
        <v>14</v>
      </c>
      <c r="J28" t="s">
        <v>360</v>
      </c>
      <c r="L28">
        <v>1764</v>
      </c>
      <c r="Q28" s="2">
        <f>SUM(MC[[#This Row],[IC1_Inv1_MC]:[IC2_Inv2_MC]])</f>
        <v>1764</v>
      </c>
    </row>
    <row r="29" spans="1:17">
      <c r="A29" s="2">
        <f t="shared" si="6"/>
        <v>27</v>
      </c>
      <c r="B29" s="156">
        <f t="shared" si="2"/>
        <v>2026</v>
      </c>
      <c r="C29" s="129">
        <f t="shared" si="3"/>
        <v>2025</v>
      </c>
      <c r="D29" s="2" t="s">
        <v>224</v>
      </c>
      <c r="E29" s="2" t="s">
        <v>224</v>
      </c>
      <c r="F29" s="18">
        <v>45748</v>
      </c>
      <c r="G29" s="2">
        <f t="shared" ref="G29" si="32">DAY(EOMONTH(F29,0))</f>
        <v>30</v>
      </c>
      <c r="H29" s="19">
        <f t="shared" si="29"/>
        <v>45771</v>
      </c>
      <c r="I29">
        <v>14</v>
      </c>
      <c r="J29" t="s">
        <v>360</v>
      </c>
      <c r="K29">
        <v>588</v>
      </c>
      <c r="L29">
        <v>2856</v>
      </c>
      <c r="O29">
        <v>588</v>
      </c>
      <c r="Q29" s="2">
        <f>SUM(MC[[#This Row],[IC1_Inv1_MC]:[IC2_Inv2_MC]])</f>
        <v>4032</v>
      </c>
    </row>
    <row r="30" spans="1:17">
      <c r="A30" s="2">
        <f t="shared" si="6"/>
        <v>28</v>
      </c>
      <c r="B30" s="156">
        <f t="shared" si="2"/>
        <v>2026</v>
      </c>
      <c r="C30" s="129">
        <f t="shared" si="3"/>
        <v>2025</v>
      </c>
      <c r="D30" s="2" t="s">
        <v>224</v>
      </c>
      <c r="E30" s="2" t="s">
        <v>224</v>
      </c>
      <c r="F30" s="18">
        <v>45748</v>
      </c>
      <c r="G30" s="2">
        <f t="shared" ref="G30" si="33">DAY(EOMONTH(F30,0))</f>
        <v>30</v>
      </c>
      <c r="H30" s="19">
        <f t="shared" si="29"/>
        <v>45772</v>
      </c>
      <c r="I30">
        <v>14</v>
      </c>
      <c r="J30" t="s">
        <v>360</v>
      </c>
      <c r="O30">
        <v>4116</v>
      </c>
      <c r="Q30" s="2">
        <f>SUM(MC[[#This Row],[IC1_Inv1_MC]:[IC2_Inv2_MC]])</f>
        <v>4116</v>
      </c>
    </row>
    <row r="31" spans="1:17">
      <c r="A31" s="2">
        <f t="shared" si="6"/>
        <v>29</v>
      </c>
      <c r="B31" s="156">
        <f t="shared" si="2"/>
        <v>2026</v>
      </c>
      <c r="C31" s="129">
        <f t="shared" si="3"/>
        <v>2025</v>
      </c>
      <c r="D31" s="2" t="s">
        <v>224</v>
      </c>
      <c r="E31" s="2" t="s">
        <v>224</v>
      </c>
      <c r="F31" s="18">
        <v>45748</v>
      </c>
      <c r="G31" s="2">
        <f t="shared" ref="G31" si="34">DAY(EOMONTH(F31,0))</f>
        <v>30</v>
      </c>
      <c r="H31" s="19">
        <f t="shared" si="29"/>
        <v>45773</v>
      </c>
      <c r="I31">
        <v>14</v>
      </c>
      <c r="J31" t="s">
        <v>360</v>
      </c>
      <c r="O31">
        <v>1512</v>
      </c>
      <c r="P31">
        <v>2562</v>
      </c>
      <c r="Q31" s="2">
        <f>SUM(MC[[#This Row],[IC1_Inv1_MC]:[IC2_Inv2_MC]])</f>
        <v>4074</v>
      </c>
    </row>
    <row r="32" spans="1:17">
      <c r="A32" s="2">
        <f t="shared" si="6"/>
        <v>30</v>
      </c>
      <c r="B32" s="156">
        <f t="shared" si="2"/>
        <v>2026</v>
      </c>
      <c r="C32" s="129">
        <f t="shared" si="3"/>
        <v>2025</v>
      </c>
      <c r="D32" s="2" t="s">
        <v>224</v>
      </c>
      <c r="E32" s="2" t="s">
        <v>224</v>
      </c>
      <c r="F32" s="18">
        <v>45748</v>
      </c>
      <c r="G32" s="2">
        <f t="shared" ref="G32" si="35">DAY(EOMONTH(F32,0))</f>
        <v>30</v>
      </c>
      <c r="H32" s="19">
        <f t="shared" ref="H32:H61" si="36">H31+1</f>
        <v>45774</v>
      </c>
      <c r="I32">
        <v>14</v>
      </c>
      <c r="J32" t="s">
        <v>360</v>
      </c>
      <c r="K32">
        <v>1764</v>
      </c>
      <c r="P32">
        <v>1932</v>
      </c>
      <c r="Q32" s="2">
        <f>SUM(MC[[#This Row],[IC1_Inv1_MC]:[IC2_Inv2_MC]])</f>
        <v>3696</v>
      </c>
    </row>
    <row r="33" spans="1:17">
      <c r="A33" s="2">
        <f t="shared" si="6"/>
        <v>31</v>
      </c>
      <c r="B33" s="156">
        <f t="shared" si="2"/>
        <v>2026</v>
      </c>
      <c r="C33" s="129">
        <f t="shared" si="3"/>
        <v>2025</v>
      </c>
      <c r="D33" s="2" t="s">
        <v>224</v>
      </c>
      <c r="E33" s="2" t="s">
        <v>224</v>
      </c>
      <c r="F33" s="18">
        <v>45748</v>
      </c>
      <c r="G33" s="2">
        <f t="shared" ref="G33" si="37">DAY(EOMONTH(F33,0))</f>
        <v>30</v>
      </c>
      <c r="H33" s="19">
        <f t="shared" si="36"/>
        <v>45775</v>
      </c>
      <c r="I33">
        <v>14</v>
      </c>
      <c r="J33" t="s">
        <v>360</v>
      </c>
      <c r="K33">
        <v>3318</v>
      </c>
      <c r="M33">
        <v>588</v>
      </c>
      <c r="Q33" s="2">
        <f>SUM(MC[[#This Row],[IC1_Inv1_MC]:[IC2_Inv2_MC]])</f>
        <v>3906</v>
      </c>
    </row>
    <row r="34" spans="1:17">
      <c r="A34" s="2">
        <f t="shared" si="6"/>
        <v>32</v>
      </c>
      <c r="B34" s="156">
        <f t="shared" si="2"/>
        <v>2026</v>
      </c>
      <c r="C34" s="129">
        <f t="shared" si="3"/>
        <v>2025</v>
      </c>
      <c r="D34" s="2" t="s">
        <v>224</v>
      </c>
      <c r="E34" s="2" t="s">
        <v>224</v>
      </c>
      <c r="F34" s="18">
        <v>45748</v>
      </c>
      <c r="G34" s="2">
        <f t="shared" ref="G34" si="38">DAY(EOMONTH(F34,0))</f>
        <v>30</v>
      </c>
      <c r="H34" s="19">
        <f t="shared" si="36"/>
        <v>45776</v>
      </c>
      <c r="I34">
        <v>14</v>
      </c>
      <c r="J34" t="s">
        <v>360</v>
      </c>
      <c r="M34">
        <v>168</v>
      </c>
      <c r="N34">
        <v>2352</v>
      </c>
      <c r="P34">
        <v>1512</v>
      </c>
      <c r="Q34" s="2">
        <f>SUM(MC[[#This Row],[IC1_Inv1_MC]:[IC2_Inv2_MC]])</f>
        <v>4032</v>
      </c>
    </row>
    <row r="35" spans="1:17">
      <c r="A35" s="2">
        <f t="shared" si="6"/>
        <v>33</v>
      </c>
      <c r="B35" s="156">
        <f t="shared" si="2"/>
        <v>2026</v>
      </c>
      <c r="C35" s="129">
        <f t="shared" si="3"/>
        <v>2025</v>
      </c>
      <c r="D35" s="2" t="s">
        <v>224</v>
      </c>
      <c r="E35" s="2" t="s">
        <v>224</v>
      </c>
      <c r="F35" s="18">
        <v>45748</v>
      </c>
      <c r="G35" s="2">
        <f t="shared" ref="G35" si="39">DAY(EOMONTH(F35,0))</f>
        <v>30</v>
      </c>
      <c r="H35" s="19">
        <f t="shared" si="36"/>
        <v>45777</v>
      </c>
      <c r="I35">
        <v>14</v>
      </c>
      <c r="J35" t="s">
        <v>360</v>
      </c>
      <c r="M35">
        <v>1092</v>
      </c>
      <c r="N35">
        <v>2856</v>
      </c>
      <c r="Q35" s="2">
        <f>SUM(MC[[#This Row],[IC1_Inv1_MC]:[IC2_Inv2_MC]])</f>
        <v>3948</v>
      </c>
    </row>
    <row r="36" spans="1:17">
      <c r="A36" s="2">
        <f t="shared" si="6"/>
        <v>34</v>
      </c>
      <c r="B36" s="156">
        <f t="shared" si="2"/>
        <v>2026</v>
      </c>
      <c r="C36" s="129">
        <f t="shared" si="3"/>
        <v>2025</v>
      </c>
      <c r="D36" s="2" t="s">
        <v>224</v>
      </c>
      <c r="E36" s="2" t="s">
        <v>224</v>
      </c>
      <c r="F36" s="18">
        <v>45778</v>
      </c>
      <c r="G36" s="2">
        <f t="shared" ref="G36" si="40">DAY(EOMONTH(F36,0))</f>
        <v>31</v>
      </c>
      <c r="H36" s="19">
        <f t="shared" si="36"/>
        <v>45778</v>
      </c>
      <c r="I36">
        <v>15</v>
      </c>
      <c r="J36" t="s">
        <v>360</v>
      </c>
      <c r="M36">
        <v>3381</v>
      </c>
      <c r="N36">
        <v>588</v>
      </c>
      <c r="Q36" s="2">
        <f>SUM(MC[[#This Row],[IC1_Inv1_MC]:[IC2_Inv2_MC]])</f>
        <v>3969</v>
      </c>
    </row>
    <row r="37" spans="1:17">
      <c r="A37" s="2">
        <f t="shared" si="6"/>
        <v>35</v>
      </c>
      <c r="B37" s="156">
        <f t="shared" si="2"/>
        <v>2026</v>
      </c>
      <c r="C37" s="129">
        <f t="shared" si="3"/>
        <v>2025</v>
      </c>
      <c r="D37" s="2" t="s">
        <v>224</v>
      </c>
      <c r="E37" s="2" t="s">
        <v>224</v>
      </c>
      <c r="F37" s="18">
        <v>45778</v>
      </c>
      <c r="G37" s="2">
        <f t="shared" ref="G37" si="41">DAY(EOMONTH(F37,0))</f>
        <v>31</v>
      </c>
      <c r="H37" s="19">
        <f t="shared" si="36"/>
        <v>45779</v>
      </c>
      <c r="I37">
        <v>15</v>
      </c>
      <c r="J37" t="s">
        <v>360</v>
      </c>
      <c r="K37">
        <v>504</v>
      </c>
      <c r="L37">
        <v>2394</v>
      </c>
      <c r="M37">
        <v>1176</v>
      </c>
      <c r="Q37" s="2">
        <f>SUM(MC[[#This Row],[IC1_Inv1_MC]:[IC2_Inv2_MC]])</f>
        <v>4074</v>
      </c>
    </row>
    <row r="38" spans="1:17">
      <c r="A38" s="2">
        <f t="shared" si="6"/>
        <v>36</v>
      </c>
      <c r="B38" s="156">
        <f t="shared" si="2"/>
        <v>2026</v>
      </c>
      <c r="C38" s="129">
        <f t="shared" si="3"/>
        <v>2025</v>
      </c>
      <c r="D38" s="2" t="s">
        <v>224</v>
      </c>
      <c r="E38" s="2" t="s">
        <v>224</v>
      </c>
      <c r="F38" s="18">
        <v>45778</v>
      </c>
      <c r="G38" s="2">
        <f t="shared" ref="G38" si="42">DAY(EOMONTH(F38,0))</f>
        <v>31</v>
      </c>
      <c r="H38" s="19">
        <f t="shared" si="36"/>
        <v>45780</v>
      </c>
      <c r="I38">
        <v>15</v>
      </c>
      <c r="J38" t="s">
        <v>360</v>
      </c>
      <c r="K38">
        <v>588</v>
      </c>
      <c r="L38">
        <v>3528</v>
      </c>
      <c r="Q38" s="2">
        <f>SUM(MC[[#This Row],[IC1_Inv1_MC]:[IC2_Inv2_MC]])</f>
        <v>4116</v>
      </c>
    </row>
    <row r="39" spans="1:17">
      <c r="A39" s="2">
        <f t="shared" si="6"/>
        <v>37</v>
      </c>
      <c r="B39" s="156">
        <f t="shared" si="2"/>
        <v>2026</v>
      </c>
      <c r="C39" s="129">
        <f t="shared" si="3"/>
        <v>2025</v>
      </c>
      <c r="D39" s="2" t="s">
        <v>224</v>
      </c>
      <c r="E39" s="2" t="s">
        <v>224</v>
      </c>
      <c r="F39" s="18">
        <v>45778</v>
      </c>
      <c r="G39" s="2">
        <f t="shared" ref="G39" si="43">DAY(EOMONTH(F39,0))</f>
        <v>31</v>
      </c>
      <c r="H39" s="19">
        <f t="shared" si="36"/>
        <v>45781</v>
      </c>
      <c r="I39">
        <v>15</v>
      </c>
      <c r="J39" t="s">
        <v>360</v>
      </c>
      <c r="Q39" s="2">
        <f>SUM(MC[[#This Row],[IC1_Inv1_MC]:[IC2_Inv2_MC]])</f>
        <v>0</v>
      </c>
    </row>
    <row r="40" spans="1:17">
      <c r="A40" s="2">
        <f t="shared" si="6"/>
        <v>38</v>
      </c>
      <c r="B40" s="156">
        <f t="shared" si="2"/>
        <v>2026</v>
      </c>
      <c r="C40" s="129">
        <f t="shared" si="3"/>
        <v>2025</v>
      </c>
      <c r="D40" s="2" t="s">
        <v>224</v>
      </c>
      <c r="E40" s="2" t="s">
        <v>224</v>
      </c>
      <c r="F40" s="18">
        <v>45778</v>
      </c>
      <c r="G40" s="2">
        <f t="shared" ref="G40" si="44">DAY(EOMONTH(F40,0))</f>
        <v>31</v>
      </c>
      <c r="H40" s="19">
        <f t="shared" si="36"/>
        <v>45782</v>
      </c>
      <c r="I40">
        <v>15</v>
      </c>
      <c r="J40" t="s">
        <v>360</v>
      </c>
      <c r="L40">
        <v>588</v>
      </c>
      <c r="O40">
        <v>3528</v>
      </c>
      <c r="Q40" s="2">
        <f>SUM(MC[[#This Row],[IC1_Inv1_MC]:[IC2_Inv2_MC]])</f>
        <v>4116</v>
      </c>
    </row>
    <row r="41" spans="1:17">
      <c r="A41" s="2">
        <f t="shared" si="6"/>
        <v>39</v>
      </c>
      <c r="B41" s="156">
        <f t="shared" ref="B41" si="45">YEAR(H41)+IF(MONTH(H41)&gt;=4,1,0)</f>
        <v>2026</v>
      </c>
      <c r="C41" s="129">
        <f t="shared" ref="C41" si="46">YEAR(H41)</f>
        <v>2025</v>
      </c>
      <c r="D41" s="2" t="s">
        <v>224</v>
      </c>
      <c r="E41" s="2" t="s">
        <v>224</v>
      </c>
      <c r="F41" s="18">
        <v>45778</v>
      </c>
      <c r="G41" s="2">
        <f t="shared" ref="G41" si="47">DAY(EOMONTH(F41,0))</f>
        <v>31</v>
      </c>
      <c r="H41" s="19">
        <f t="shared" si="36"/>
        <v>45783</v>
      </c>
      <c r="I41">
        <v>15</v>
      </c>
      <c r="J41" t="s">
        <v>360</v>
      </c>
      <c r="O41">
        <v>2352</v>
      </c>
      <c r="P41">
        <v>1764</v>
      </c>
      <c r="Q41" s="2">
        <f>SUM(MC[[#This Row],[IC1_Inv1_MC]:[IC2_Inv2_MC]])</f>
        <v>4116</v>
      </c>
    </row>
    <row r="42" spans="1:17">
      <c r="A42" s="2">
        <f t="shared" si="6"/>
        <v>40</v>
      </c>
      <c r="B42" s="156">
        <f t="shared" ref="B42" si="48">YEAR(H42)+IF(MONTH(H42)&gt;=4,1,0)</f>
        <v>2026</v>
      </c>
      <c r="C42" s="129">
        <f t="shared" ref="C42" si="49">YEAR(H42)</f>
        <v>2025</v>
      </c>
      <c r="D42" s="2" t="s">
        <v>224</v>
      </c>
      <c r="E42" s="2" t="s">
        <v>224</v>
      </c>
      <c r="F42" s="18">
        <v>45778</v>
      </c>
      <c r="G42" s="2">
        <f t="shared" ref="G42" si="50">DAY(EOMONTH(F42,0))</f>
        <v>31</v>
      </c>
      <c r="H42" s="19">
        <f t="shared" si="36"/>
        <v>45784</v>
      </c>
      <c r="I42">
        <v>15</v>
      </c>
      <c r="J42" t="s">
        <v>360</v>
      </c>
      <c r="K42">
        <v>420</v>
      </c>
      <c r="O42">
        <v>336</v>
      </c>
      <c r="P42">
        <v>3360</v>
      </c>
      <c r="Q42" s="2">
        <f>SUM(MC[[#This Row],[IC1_Inv1_MC]:[IC2_Inv2_MC]])</f>
        <v>4116</v>
      </c>
    </row>
    <row r="43" spans="1:17">
      <c r="A43" s="2">
        <f t="shared" si="6"/>
        <v>41</v>
      </c>
      <c r="B43" s="156">
        <f t="shared" ref="B43" si="51">YEAR(H43)+IF(MONTH(H43)&gt;=4,1,0)</f>
        <v>2026</v>
      </c>
      <c r="C43" s="129">
        <f t="shared" ref="C43" si="52">YEAR(H43)</f>
        <v>2025</v>
      </c>
      <c r="D43" s="2" t="s">
        <v>224</v>
      </c>
      <c r="E43" s="2" t="s">
        <v>224</v>
      </c>
      <c r="F43" s="18">
        <v>45778</v>
      </c>
      <c r="G43" s="2">
        <f t="shared" ref="G43" si="53">DAY(EOMONTH(F43,0))</f>
        <v>31</v>
      </c>
      <c r="H43" s="19">
        <f t="shared" si="36"/>
        <v>45785</v>
      </c>
      <c r="I43">
        <v>15</v>
      </c>
      <c r="J43" t="s">
        <v>360</v>
      </c>
      <c r="K43">
        <v>4116</v>
      </c>
      <c r="Q43" s="2">
        <f>SUM(MC[[#This Row],[IC1_Inv1_MC]:[IC2_Inv2_MC]])</f>
        <v>4116</v>
      </c>
    </row>
    <row r="44" spans="1:17">
      <c r="A44" s="2">
        <f t="shared" si="6"/>
        <v>42</v>
      </c>
      <c r="B44" s="156">
        <f t="shared" ref="B44" si="54">YEAR(H44)+IF(MONTH(H44)&gt;=4,1,0)</f>
        <v>2026</v>
      </c>
      <c r="C44" s="129">
        <f t="shared" ref="C44" si="55">YEAR(H44)</f>
        <v>2025</v>
      </c>
      <c r="D44" s="2" t="s">
        <v>224</v>
      </c>
      <c r="E44" s="2" t="s">
        <v>224</v>
      </c>
      <c r="F44" s="18">
        <v>45778</v>
      </c>
      <c r="G44" s="2">
        <f t="shared" ref="G44" si="56">DAY(EOMONTH(F44,0))</f>
        <v>31</v>
      </c>
      <c r="H44" s="19">
        <f t="shared" si="36"/>
        <v>45786</v>
      </c>
      <c r="I44">
        <v>15</v>
      </c>
      <c r="J44" t="s">
        <v>360</v>
      </c>
      <c r="M44">
        <v>1176</v>
      </c>
      <c r="N44">
        <v>1176</v>
      </c>
      <c r="P44">
        <v>1512</v>
      </c>
      <c r="Q44" s="2">
        <f>SUM(MC[[#This Row],[IC1_Inv1_MC]:[IC2_Inv2_MC]])</f>
        <v>3864</v>
      </c>
    </row>
    <row r="45" spans="1:17">
      <c r="A45" s="2">
        <f t="shared" si="6"/>
        <v>43</v>
      </c>
      <c r="B45" s="156">
        <f t="shared" ref="B45" si="57">YEAR(H45)+IF(MONTH(H45)&gt;=4,1,0)</f>
        <v>2026</v>
      </c>
      <c r="C45" s="129">
        <f t="shared" ref="C45" si="58">YEAR(H45)</f>
        <v>2025</v>
      </c>
      <c r="D45" s="2" t="s">
        <v>224</v>
      </c>
      <c r="E45" s="2" t="s">
        <v>224</v>
      </c>
      <c r="F45" s="18">
        <v>45778</v>
      </c>
      <c r="G45" s="2">
        <f t="shared" ref="G45" si="59">DAY(EOMONTH(F45,0))</f>
        <v>31</v>
      </c>
      <c r="H45" s="19">
        <f t="shared" si="36"/>
        <v>45787</v>
      </c>
      <c r="I45">
        <v>15</v>
      </c>
      <c r="J45" t="s">
        <v>360</v>
      </c>
      <c r="K45">
        <v>420</v>
      </c>
      <c r="M45">
        <v>588</v>
      </c>
      <c r="N45">
        <v>2898</v>
      </c>
      <c r="Q45" s="2">
        <f>SUM(MC[[#This Row],[IC1_Inv1_MC]:[IC2_Inv2_MC]])</f>
        <v>3906</v>
      </c>
    </row>
    <row r="46" spans="1:17">
      <c r="A46" s="2">
        <f t="shared" si="6"/>
        <v>44</v>
      </c>
      <c r="B46" s="156">
        <f t="shared" ref="B46" si="60">YEAR(H46)+IF(MONTH(H46)&gt;=4,1,0)</f>
        <v>2026</v>
      </c>
      <c r="C46" s="129">
        <f t="shared" ref="C46" si="61">YEAR(H46)</f>
        <v>2025</v>
      </c>
      <c r="D46" s="2" t="s">
        <v>224</v>
      </c>
      <c r="E46" s="2" t="s">
        <v>224</v>
      </c>
      <c r="F46" s="18">
        <v>45778</v>
      </c>
      <c r="G46" s="2">
        <f t="shared" ref="G46" si="62">DAY(EOMONTH(F46,0))</f>
        <v>31</v>
      </c>
      <c r="H46" s="19">
        <f t="shared" si="36"/>
        <v>45788</v>
      </c>
      <c r="I46">
        <v>15</v>
      </c>
      <c r="J46" t="s">
        <v>360</v>
      </c>
      <c r="M46">
        <v>2940</v>
      </c>
      <c r="N46">
        <v>1176</v>
      </c>
      <c r="Q46" s="2">
        <f>SUM(MC[[#This Row],[IC1_Inv1_MC]:[IC2_Inv2_MC]])</f>
        <v>4116</v>
      </c>
    </row>
    <row r="47" spans="1:17">
      <c r="A47" s="2">
        <f t="shared" si="6"/>
        <v>45</v>
      </c>
      <c r="B47" s="156">
        <f t="shared" ref="B47" si="63">YEAR(H47)+IF(MONTH(H47)&gt;=4,1,0)</f>
        <v>2026</v>
      </c>
      <c r="C47" s="129">
        <f t="shared" ref="C47" si="64">YEAR(H47)</f>
        <v>2025</v>
      </c>
      <c r="D47" s="2" t="s">
        <v>224</v>
      </c>
      <c r="E47" s="2" t="s">
        <v>224</v>
      </c>
      <c r="F47" s="18">
        <v>45778</v>
      </c>
      <c r="G47" s="2">
        <f t="shared" ref="G47" si="65">DAY(EOMONTH(F47,0))</f>
        <v>31</v>
      </c>
      <c r="H47" s="19">
        <f t="shared" si="36"/>
        <v>45789</v>
      </c>
      <c r="I47">
        <v>15</v>
      </c>
      <c r="J47" t="s">
        <v>360</v>
      </c>
      <c r="M47">
        <v>1618</v>
      </c>
      <c r="N47">
        <v>420</v>
      </c>
      <c r="Q47" s="2">
        <f>SUM(MC[[#This Row],[IC1_Inv1_MC]:[IC2_Inv2_MC]])</f>
        <v>2038</v>
      </c>
    </row>
    <row r="48" spans="1:17">
      <c r="A48" s="2">
        <f t="shared" si="6"/>
        <v>46</v>
      </c>
      <c r="B48" s="156">
        <f t="shared" ref="B48" si="66">YEAR(H48)+IF(MONTH(H48)&gt;=4,1,0)</f>
        <v>2026</v>
      </c>
      <c r="C48" s="129">
        <f t="shared" ref="C48" si="67">YEAR(H48)</f>
        <v>2025</v>
      </c>
      <c r="D48" s="2" t="s">
        <v>224</v>
      </c>
      <c r="E48" s="2" t="s">
        <v>224</v>
      </c>
      <c r="F48" s="18">
        <v>45778</v>
      </c>
      <c r="G48" s="2">
        <f t="shared" ref="G48" si="68">DAY(EOMONTH(F48,0))</f>
        <v>31</v>
      </c>
      <c r="H48" s="19">
        <f t="shared" si="36"/>
        <v>45790</v>
      </c>
      <c r="I48">
        <v>16</v>
      </c>
      <c r="J48" t="s">
        <v>360</v>
      </c>
      <c r="Q48" s="2">
        <f>SUM(MC[[#This Row],[IC1_Inv1_MC]:[IC2_Inv2_MC]])</f>
        <v>0</v>
      </c>
    </row>
    <row r="49" spans="1:17">
      <c r="A49" s="2">
        <f t="shared" si="6"/>
        <v>47</v>
      </c>
      <c r="B49" s="156">
        <f t="shared" ref="B49" si="69">YEAR(H49)+IF(MONTH(H49)&gt;=4,1,0)</f>
        <v>2026</v>
      </c>
      <c r="C49" s="129">
        <f t="shared" ref="C49" si="70">YEAR(H49)</f>
        <v>2025</v>
      </c>
      <c r="D49" s="2" t="s">
        <v>224</v>
      </c>
      <c r="E49" s="2" t="s">
        <v>224</v>
      </c>
      <c r="F49" s="18">
        <v>45778</v>
      </c>
      <c r="G49" s="2">
        <f t="shared" ref="G49" si="71">DAY(EOMONTH(F49,0))</f>
        <v>31</v>
      </c>
      <c r="H49" s="19">
        <f t="shared" si="36"/>
        <v>45791</v>
      </c>
      <c r="I49">
        <v>16</v>
      </c>
      <c r="J49" t="s">
        <v>360</v>
      </c>
      <c r="Q49" s="2">
        <f>SUM(MC[[#This Row],[IC1_Inv1_MC]:[IC2_Inv2_MC]])</f>
        <v>0</v>
      </c>
    </row>
    <row r="50" spans="1:17">
      <c r="A50" s="2">
        <f t="shared" si="6"/>
        <v>48</v>
      </c>
      <c r="B50" s="156">
        <f t="shared" ref="B50" si="72">YEAR(H50)+IF(MONTH(H50)&gt;=4,1,0)</f>
        <v>2026</v>
      </c>
      <c r="C50" s="129">
        <f t="shared" ref="C50" si="73">YEAR(H50)</f>
        <v>2025</v>
      </c>
      <c r="D50" s="2" t="s">
        <v>224</v>
      </c>
      <c r="E50" s="2" t="s">
        <v>224</v>
      </c>
      <c r="F50" s="18">
        <v>45778</v>
      </c>
      <c r="G50" s="2">
        <f t="shared" ref="G50" si="74">DAY(EOMONTH(F50,0))</f>
        <v>31</v>
      </c>
      <c r="H50" s="19">
        <f t="shared" si="36"/>
        <v>45792</v>
      </c>
      <c r="I50">
        <v>16</v>
      </c>
      <c r="J50" t="s">
        <v>360</v>
      </c>
      <c r="Q50" s="2">
        <f>SUM(MC[[#This Row],[IC1_Inv1_MC]:[IC2_Inv2_MC]])</f>
        <v>0</v>
      </c>
    </row>
    <row r="51" spans="1:17">
      <c r="A51" s="2">
        <f t="shared" si="6"/>
        <v>49</v>
      </c>
      <c r="B51" s="156">
        <f t="shared" ref="B51" si="75">YEAR(H51)+IF(MONTH(H51)&gt;=4,1,0)</f>
        <v>2026</v>
      </c>
      <c r="C51" s="129">
        <f t="shared" ref="C51" si="76">YEAR(H51)</f>
        <v>2025</v>
      </c>
      <c r="D51" s="2" t="s">
        <v>224</v>
      </c>
      <c r="E51" s="2" t="s">
        <v>224</v>
      </c>
      <c r="F51" s="18">
        <v>45778</v>
      </c>
      <c r="G51" s="2">
        <f t="shared" ref="G51" si="77">DAY(EOMONTH(F51,0))</f>
        <v>31</v>
      </c>
      <c r="H51" s="19">
        <f t="shared" si="36"/>
        <v>45793</v>
      </c>
      <c r="I51">
        <v>16</v>
      </c>
      <c r="J51" t="s">
        <v>360</v>
      </c>
      <c r="Q51" s="2">
        <f>SUM(MC[[#This Row],[IC1_Inv1_MC]:[IC2_Inv2_MC]])</f>
        <v>0</v>
      </c>
    </row>
    <row r="52" spans="1:17">
      <c r="A52" s="2">
        <f t="shared" si="6"/>
        <v>50</v>
      </c>
      <c r="B52" s="156">
        <f t="shared" ref="B52" si="78">YEAR(H52)+IF(MONTH(H52)&gt;=4,1,0)</f>
        <v>2026</v>
      </c>
      <c r="C52" s="129">
        <f t="shared" ref="C52" si="79">YEAR(H52)</f>
        <v>2025</v>
      </c>
      <c r="D52" s="2" t="s">
        <v>224</v>
      </c>
      <c r="E52" s="2" t="s">
        <v>224</v>
      </c>
      <c r="F52" s="18">
        <v>45778</v>
      </c>
      <c r="G52" s="2">
        <f t="shared" ref="G52" si="80">DAY(EOMONTH(F52,0))</f>
        <v>31</v>
      </c>
      <c r="H52" s="19">
        <f t="shared" si="36"/>
        <v>45794</v>
      </c>
      <c r="I52">
        <v>15</v>
      </c>
      <c r="J52" t="s">
        <v>360</v>
      </c>
      <c r="Q52" s="2">
        <f>SUM(MC[[#This Row],[IC1_Inv1_MC]:[IC2_Inv2_MC]])</f>
        <v>0</v>
      </c>
    </row>
    <row r="53" spans="1:17">
      <c r="A53" s="2">
        <f t="shared" si="6"/>
        <v>51</v>
      </c>
      <c r="B53" s="156">
        <f t="shared" ref="B53" si="81">YEAR(H53)+IF(MONTH(H53)&gt;=4,1,0)</f>
        <v>2026</v>
      </c>
      <c r="C53" s="129">
        <f t="shared" ref="C53" si="82">YEAR(H53)</f>
        <v>2025</v>
      </c>
      <c r="D53" s="2" t="s">
        <v>224</v>
      </c>
      <c r="E53" s="2" t="s">
        <v>224</v>
      </c>
      <c r="F53" s="18">
        <v>45778</v>
      </c>
      <c r="G53" s="2">
        <f t="shared" ref="G53" si="83">DAY(EOMONTH(F53,0))</f>
        <v>31</v>
      </c>
      <c r="H53" s="19">
        <f t="shared" si="36"/>
        <v>45795</v>
      </c>
      <c r="I53">
        <v>15</v>
      </c>
      <c r="J53" t="s">
        <v>360</v>
      </c>
      <c r="Q53" s="2">
        <f>SUM(MC[[#This Row],[IC1_Inv1_MC]:[IC2_Inv2_MC]])</f>
        <v>0</v>
      </c>
    </row>
    <row r="54" spans="1:17">
      <c r="A54" s="2">
        <f t="shared" si="6"/>
        <v>52</v>
      </c>
      <c r="B54" s="156">
        <f t="shared" ref="B54" si="84">YEAR(H54)+IF(MONTH(H54)&gt;=4,1,0)</f>
        <v>2026</v>
      </c>
      <c r="C54" s="129">
        <f t="shared" ref="C54" si="85">YEAR(H54)</f>
        <v>2025</v>
      </c>
      <c r="D54" s="2" t="s">
        <v>224</v>
      </c>
      <c r="E54" s="2" t="s">
        <v>224</v>
      </c>
      <c r="F54" s="18">
        <v>45778</v>
      </c>
      <c r="G54" s="2">
        <f t="shared" ref="G54" si="86">DAY(EOMONTH(F54,0))</f>
        <v>31</v>
      </c>
      <c r="H54" s="19">
        <f t="shared" si="36"/>
        <v>45796</v>
      </c>
      <c r="I54">
        <v>15</v>
      </c>
      <c r="J54" t="s">
        <v>360</v>
      </c>
      <c r="Q54" s="2">
        <f>SUM(MC[[#This Row],[IC1_Inv1_MC]:[IC2_Inv2_MC]])</f>
        <v>0</v>
      </c>
    </row>
    <row r="55" spans="1:17">
      <c r="A55" s="2">
        <f t="shared" si="6"/>
        <v>53</v>
      </c>
      <c r="B55" s="156">
        <f t="shared" ref="B55" si="87">YEAR(H55)+IF(MONTH(H55)&gt;=4,1,0)</f>
        <v>2026</v>
      </c>
      <c r="C55" s="129">
        <f t="shared" ref="C55" si="88">YEAR(H55)</f>
        <v>2025</v>
      </c>
      <c r="D55" s="2" t="s">
        <v>224</v>
      </c>
      <c r="E55" s="2" t="s">
        <v>224</v>
      </c>
      <c r="F55" s="18">
        <v>45778</v>
      </c>
      <c r="G55" s="2">
        <f t="shared" ref="G55" si="89">DAY(EOMONTH(F55,0))</f>
        <v>31</v>
      </c>
      <c r="H55" s="19">
        <f t="shared" si="36"/>
        <v>45797</v>
      </c>
      <c r="I55">
        <v>16</v>
      </c>
      <c r="J55" t="s">
        <v>360</v>
      </c>
      <c r="O55">
        <v>4316</v>
      </c>
      <c r="Q55" s="2">
        <f>SUM(MC[[#This Row],[IC1_Inv1_MC]:[IC2_Inv2_MC]])</f>
        <v>4316</v>
      </c>
    </row>
    <row r="56" spans="1:17">
      <c r="A56" s="2">
        <f t="shared" si="6"/>
        <v>54</v>
      </c>
      <c r="B56" s="156">
        <f t="shared" ref="B56" si="90">YEAR(H56)+IF(MONTH(H56)&gt;=4,1,0)</f>
        <v>2026</v>
      </c>
      <c r="C56" s="129">
        <f t="shared" ref="C56" si="91">YEAR(H56)</f>
        <v>2025</v>
      </c>
      <c r="D56" s="2" t="s">
        <v>224</v>
      </c>
      <c r="E56" s="2" t="s">
        <v>224</v>
      </c>
      <c r="F56" s="18">
        <v>45778</v>
      </c>
      <c r="G56" s="2">
        <f t="shared" ref="G56" si="92">DAY(EOMONTH(F56,0))</f>
        <v>31</v>
      </c>
      <c r="H56" s="19">
        <f t="shared" si="36"/>
        <v>45798</v>
      </c>
      <c r="I56">
        <v>16</v>
      </c>
      <c r="J56" t="s">
        <v>360</v>
      </c>
      <c r="O56">
        <v>1900</v>
      </c>
      <c r="P56">
        <v>2352</v>
      </c>
      <c r="Q56" s="2">
        <f>SUM(MC[[#This Row],[IC1_Inv1_MC]:[IC2_Inv2_MC]])</f>
        <v>4252</v>
      </c>
    </row>
    <row r="57" spans="1:17">
      <c r="A57" s="2">
        <f t="shared" si="6"/>
        <v>55</v>
      </c>
      <c r="B57" s="156">
        <f t="shared" ref="B57" si="93">YEAR(H57)+IF(MONTH(H57)&gt;=4,1,0)</f>
        <v>2026</v>
      </c>
      <c r="C57" s="129">
        <f t="shared" ref="C57" si="94">YEAR(H57)</f>
        <v>2025</v>
      </c>
      <c r="D57" s="2" t="s">
        <v>224</v>
      </c>
      <c r="E57" s="2" t="s">
        <v>224</v>
      </c>
      <c r="F57" s="18">
        <v>45778</v>
      </c>
      <c r="G57" s="2">
        <f t="shared" ref="G57" si="95">DAY(EOMONTH(F57,0))</f>
        <v>31</v>
      </c>
      <c r="H57" s="19">
        <f t="shared" si="36"/>
        <v>45799</v>
      </c>
      <c r="I57">
        <v>16</v>
      </c>
      <c r="J57" t="s">
        <v>360</v>
      </c>
      <c r="K57">
        <v>688</v>
      </c>
      <c r="P57">
        <v>3528</v>
      </c>
      <c r="Q57" s="2">
        <f>SUM(MC[[#This Row],[IC1_Inv1_MC]:[IC2_Inv2_MC]])</f>
        <v>4216</v>
      </c>
    </row>
    <row r="58" spans="1:17">
      <c r="A58" s="2">
        <f t="shared" si="6"/>
        <v>56</v>
      </c>
      <c r="B58" s="156">
        <f t="shared" ref="B58" si="96">YEAR(H58)+IF(MONTH(H58)&gt;=4,1,0)</f>
        <v>2026</v>
      </c>
      <c r="C58" s="129">
        <f t="shared" ref="C58" si="97">YEAR(H58)</f>
        <v>2025</v>
      </c>
      <c r="D58" s="2" t="s">
        <v>224</v>
      </c>
      <c r="E58" s="2" t="s">
        <v>224</v>
      </c>
      <c r="F58" s="18">
        <v>45778</v>
      </c>
      <c r="G58" s="2">
        <f t="shared" ref="G58" si="98">DAY(EOMONTH(F58,0))</f>
        <v>31</v>
      </c>
      <c r="H58" s="19">
        <f t="shared" si="36"/>
        <v>45800</v>
      </c>
      <c r="I58">
        <v>16</v>
      </c>
      <c r="J58" t="s">
        <v>360</v>
      </c>
      <c r="K58">
        <v>3428</v>
      </c>
      <c r="P58">
        <v>788</v>
      </c>
      <c r="Q58" s="2">
        <f>SUM(MC[[#This Row],[IC1_Inv1_MC]:[IC2_Inv2_MC]])</f>
        <v>4216</v>
      </c>
    </row>
    <row r="59" spans="1:17">
      <c r="A59" s="2">
        <f t="shared" si="6"/>
        <v>57</v>
      </c>
      <c r="B59" s="156">
        <f t="shared" ref="B59" si="99">YEAR(H59)+IF(MONTH(H59)&gt;=4,1,0)</f>
        <v>2026</v>
      </c>
      <c r="C59" s="129">
        <f t="shared" ref="C59" si="100">YEAR(H59)</f>
        <v>2025</v>
      </c>
      <c r="D59" s="2" t="s">
        <v>224</v>
      </c>
      <c r="E59" s="2" t="s">
        <v>224</v>
      </c>
      <c r="F59" s="18">
        <v>45778</v>
      </c>
      <c r="G59" s="2">
        <f t="shared" ref="G59" si="101">DAY(EOMONTH(F59,0))</f>
        <v>31</v>
      </c>
      <c r="H59" s="19">
        <f t="shared" si="36"/>
        <v>45801</v>
      </c>
      <c r="I59">
        <v>16</v>
      </c>
      <c r="J59" t="s">
        <v>360</v>
      </c>
      <c r="Q59" s="2">
        <f>SUM(MC[[#This Row],[IC1_Inv1_MC]:[IC2_Inv2_MC]])</f>
        <v>0</v>
      </c>
    </row>
    <row r="60" spans="1:17">
      <c r="A60" s="2">
        <f t="shared" si="6"/>
        <v>58</v>
      </c>
      <c r="B60" s="156">
        <f t="shared" ref="B60" si="102">YEAR(H60)+IF(MONTH(H60)&gt;=4,1,0)</f>
        <v>2026</v>
      </c>
      <c r="C60" s="129">
        <f t="shared" ref="C60" si="103">YEAR(H60)</f>
        <v>2025</v>
      </c>
      <c r="D60" s="2" t="s">
        <v>224</v>
      </c>
      <c r="E60" s="2" t="s">
        <v>224</v>
      </c>
      <c r="F60" s="18">
        <v>45778</v>
      </c>
      <c r="G60" s="2">
        <f t="shared" ref="G60" si="104">DAY(EOMONTH(F60,0))</f>
        <v>31</v>
      </c>
      <c r="H60" s="19">
        <f t="shared" si="36"/>
        <v>45802</v>
      </c>
      <c r="I60">
        <v>16</v>
      </c>
      <c r="J60" t="s">
        <v>360</v>
      </c>
      <c r="Q60" s="2">
        <f>SUM(MC[[#This Row],[IC1_Inv1_MC]:[IC2_Inv2_MC]])</f>
        <v>0</v>
      </c>
    </row>
    <row r="61" spans="1:17">
      <c r="A61" s="2">
        <f t="shared" si="6"/>
        <v>59</v>
      </c>
      <c r="B61" s="156">
        <f t="shared" ref="B61" si="105">YEAR(H61)+IF(MONTH(H61)&gt;=4,1,0)</f>
        <v>2026</v>
      </c>
      <c r="C61" s="129">
        <f t="shared" ref="C61" si="106">YEAR(H61)</f>
        <v>2025</v>
      </c>
      <c r="D61" s="2" t="s">
        <v>224</v>
      </c>
      <c r="E61" s="2" t="s">
        <v>224</v>
      </c>
      <c r="F61" s="18">
        <v>45778</v>
      </c>
      <c r="G61" s="2">
        <f t="shared" ref="G61" si="107">DAY(EOMONTH(F61,0))</f>
        <v>31</v>
      </c>
      <c r="H61" s="19">
        <f t="shared" si="36"/>
        <v>45803</v>
      </c>
      <c r="I61">
        <v>16</v>
      </c>
      <c r="J61" t="s">
        <v>360</v>
      </c>
      <c r="Q61" s="2">
        <f>SUM(MC[[#This Row],[IC1_Inv1_MC]:[IC2_Inv2_MC]])</f>
        <v>0</v>
      </c>
    </row>
    <row r="62" spans="1:17">
      <c r="A62" s="2">
        <f t="shared" si="6"/>
        <v>60</v>
      </c>
      <c r="B62" s="156">
        <f t="shared" ref="B62" si="108">YEAR(H62)+IF(MONTH(H62)&gt;=4,1,0)</f>
        <v>2026</v>
      </c>
      <c r="C62" s="129">
        <f t="shared" ref="C62" si="109">YEAR(H62)</f>
        <v>2025</v>
      </c>
      <c r="D62" s="2" t="s">
        <v>224</v>
      </c>
      <c r="E62" s="2" t="s">
        <v>224</v>
      </c>
      <c r="F62" s="18">
        <v>45778</v>
      </c>
      <c r="G62" s="2">
        <f t="shared" ref="G62" si="110">DAY(EOMONTH(F62,0))</f>
        <v>31</v>
      </c>
      <c r="H62" s="19">
        <f t="shared" ref="H62:H80" si="111">H61+1</f>
        <v>45804</v>
      </c>
      <c r="I62">
        <v>16</v>
      </c>
      <c r="J62" t="s">
        <v>360</v>
      </c>
      <c r="Q62" s="2">
        <f>SUM(MC[[#This Row],[IC1_Inv1_MC]:[IC2_Inv2_MC]])</f>
        <v>0</v>
      </c>
    </row>
    <row r="63" spans="1:17">
      <c r="A63" s="2">
        <f t="shared" si="6"/>
        <v>61</v>
      </c>
      <c r="B63" s="156">
        <f t="shared" ref="B63" si="112">YEAR(H63)+IF(MONTH(H63)&gt;=4,1,0)</f>
        <v>2026</v>
      </c>
      <c r="C63" s="129">
        <f t="shared" ref="C63" si="113">YEAR(H63)</f>
        <v>2025</v>
      </c>
      <c r="D63" s="2" t="s">
        <v>224</v>
      </c>
      <c r="E63" s="2" t="s">
        <v>224</v>
      </c>
      <c r="F63" s="18">
        <v>45778</v>
      </c>
      <c r="G63" s="2">
        <f t="shared" ref="G63" si="114">DAY(EOMONTH(F63,0))</f>
        <v>31</v>
      </c>
      <c r="H63" s="19">
        <f t="shared" si="111"/>
        <v>45805</v>
      </c>
      <c r="I63">
        <v>16</v>
      </c>
      <c r="J63" t="s">
        <v>360</v>
      </c>
      <c r="Q63" s="2">
        <f>SUM(MC[[#This Row],[IC1_Inv1_MC]:[IC2_Inv2_MC]])</f>
        <v>0</v>
      </c>
    </row>
    <row r="64" spans="1:17">
      <c r="A64" s="2">
        <f t="shared" si="6"/>
        <v>62</v>
      </c>
      <c r="B64" s="156">
        <f t="shared" ref="B64" si="115">YEAR(H64)+IF(MONTH(H64)&gt;=4,1,0)</f>
        <v>2026</v>
      </c>
      <c r="C64" s="129">
        <f t="shared" ref="C64" si="116">YEAR(H64)</f>
        <v>2025</v>
      </c>
      <c r="D64" s="2" t="s">
        <v>224</v>
      </c>
      <c r="E64" s="2" t="s">
        <v>224</v>
      </c>
      <c r="F64" s="18">
        <v>45778</v>
      </c>
      <c r="G64" s="2">
        <f t="shared" ref="G64" si="117">DAY(EOMONTH(F64,0))</f>
        <v>31</v>
      </c>
      <c r="H64" s="19">
        <f t="shared" si="111"/>
        <v>45806</v>
      </c>
      <c r="I64">
        <v>16</v>
      </c>
      <c r="J64" t="s">
        <v>360</v>
      </c>
      <c r="Q64" s="2">
        <f>SUM(MC[[#This Row],[IC1_Inv1_MC]:[IC2_Inv2_MC]])</f>
        <v>0</v>
      </c>
    </row>
    <row r="65" spans="1:17">
      <c r="A65" s="2">
        <f t="shared" si="6"/>
        <v>63</v>
      </c>
      <c r="B65" s="156">
        <f t="shared" ref="B65" si="118">YEAR(H65)+IF(MONTH(H65)&gt;=4,1,0)</f>
        <v>2026</v>
      </c>
      <c r="C65" s="129">
        <f t="shared" ref="C65" si="119">YEAR(H65)</f>
        <v>2025</v>
      </c>
      <c r="D65" s="2" t="s">
        <v>224</v>
      </c>
      <c r="E65" s="2" t="s">
        <v>224</v>
      </c>
      <c r="F65" s="18">
        <v>45778</v>
      </c>
      <c r="G65" s="2">
        <f t="shared" ref="G65" si="120">DAY(EOMONTH(F65,0))</f>
        <v>31</v>
      </c>
      <c r="H65" s="19">
        <f t="shared" si="111"/>
        <v>45807</v>
      </c>
      <c r="I65">
        <v>16</v>
      </c>
      <c r="J65" t="s">
        <v>360</v>
      </c>
      <c r="Q65" s="2">
        <f>SUM(MC[[#This Row],[IC1_Inv1_MC]:[IC2_Inv2_MC]])</f>
        <v>0</v>
      </c>
    </row>
    <row r="66" spans="1:17">
      <c r="A66" s="2">
        <f t="shared" si="6"/>
        <v>64</v>
      </c>
      <c r="B66" s="156">
        <f t="shared" ref="B66" si="121">YEAR(H66)+IF(MONTH(H66)&gt;=4,1,0)</f>
        <v>2026</v>
      </c>
      <c r="C66" s="129">
        <f t="shared" ref="C66" si="122">YEAR(H66)</f>
        <v>2025</v>
      </c>
      <c r="D66" s="2" t="s">
        <v>224</v>
      </c>
      <c r="E66" s="2" t="s">
        <v>224</v>
      </c>
      <c r="F66" s="18">
        <v>45778</v>
      </c>
      <c r="G66" s="2">
        <f t="shared" ref="G66" si="123">DAY(EOMONTH(F66,0))</f>
        <v>31</v>
      </c>
      <c r="H66" s="19">
        <f t="shared" si="111"/>
        <v>45808</v>
      </c>
      <c r="I66">
        <v>16</v>
      </c>
      <c r="J66" t="s">
        <v>360</v>
      </c>
      <c r="Q66" s="2">
        <f>SUM(MC[[#This Row],[IC1_Inv1_MC]:[IC2_Inv2_MC]])</f>
        <v>0</v>
      </c>
    </row>
    <row r="67" spans="1:17">
      <c r="A67" s="2">
        <f t="shared" si="6"/>
        <v>65</v>
      </c>
      <c r="B67" s="156">
        <f t="shared" ref="B67" si="124">YEAR(H67)+IF(MONTH(H67)&gt;=4,1,0)</f>
        <v>2026</v>
      </c>
      <c r="C67" s="129">
        <f t="shared" ref="C67" si="125">YEAR(H67)</f>
        <v>2025</v>
      </c>
      <c r="D67" s="2" t="s">
        <v>224</v>
      </c>
      <c r="E67" s="2" t="s">
        <v>224</v>
      </c>
      <c r="F67" s="18">
        <v>45809</v>
      </c>
      <c r="G67" s="2">
        <f t="shared" ref="G67" si="126">DAY(EOMONTH(F67,0))</f>
        <v>30</v>
      </c>
      <c r="H67" s="19">
        <f t="shared" si="111"/>
        <v>45809</v>
      </c>
      <c r="I67">
        <v>16</v>
      </c>
      <c r="J67" t="s">
        <v>360</v>
      </c>
      <c r="Q67" s="2">
        <f>SUM(MC[[#This Row],[IC1_Inv1_MC]:[IC2_Inv2_MC]])</f>
        <v>0</v>
      </c>
    </row>
    <row r="68" spans="1:17">
      <c r="A68" s="2">
        <f t="shared" si="6"/>
        <v>66</v>
      </c>
      <c r="B68" s="156">
        <f t="shared" ref="B68" si="127">YEAR(H68)+IF(MONTH(H68)&gt;=4,1,0)</f>
        <v>2026</v>
      </c>
      <c r="C68" s="129">
        <f t="shared" ref="C68" si="128">YEAR(H68)</f>
        <v>2025</v>
      </c>
      <c r="D68" s="2" t="s">
        <v>224</v>
      </c>
      <c r="E68" s="2" t="s">
        <v>224</v>
      </c>
      <c r="F68" s="18">
        <v>45809</v>
      </c>
      <c r="G68" s="2">
        <f t="shared" ref="G68" si="129">DAY(EOMONTH(F68,0))</f>
        <v>30</v>
      </c>
      <c r="H68" s="19">
        <f t="shared" si="111"/>
        <v>45810</v>
      </c>
      <c r="I68">
        <v>16</v>
      </c>
      <c r="J68" t="s">
        <v>360</v>
      </c>
      <c r="Q68" s="2">
        <f>SUM(MC[[#This Row],[IC1_Inv1_MC]:[IC2_Inv2_MC]])</f>
        <v>0</v>
      </c>
    </row>
    <row r="69" spans="1:17">
      <c r="A69" s="2">
        <f t="shared" si="6"/>
        <v>67</v>
      </c>
      <c r="B69" s="156">
        <f t="shared" ref="B69" si="130">YEAR(H69)+IF(MONTH(H69)&gt;=4,1,0)</f>
        <v>2026</v>
      </c>
      <c r="C69" s="129">
        <f t="shared" ref="C69" si="131">YEAR(H69)</f>
        <v>2025</v>
      </c>
      <c r="D69" s="2" t="s">
        <v>224</v>
      </c>
      <c r="E69" s="2" t="s">
        <v>224</v>
      </c>
      <c r="F69" s="18">
        <v>45809</v>
      </c>
      <c r="G69" s="2">
        <f t="shared" ref="G69" si="132">DAY(EOMONTH(F69,0))</f>
        <v>30</v>
      </c>
      <c r="H69" s="19">
        <f t="shared" si="111"/>
        <v>45811</v>
      </c>
      <c r="I69">
        <v>16</v>
      </c>
      <c r="J69" t="s">
        <v>360</v>
      </c>
      <c r="Q69" s="2">
        <f>SUM(MC[[#This Row],[IC1_Inv1_MC]:[IC2_Inv2_MC]])</f>
        <v>0</v>
      </c>
    </row>
    <row r="70" spans="1:17">
      <c r="A70" s="2">
        <f t="shared" si="6"/>
        <v>68</v>
      </c>
      <c r="B70" s="156">
        <f t="shared" ref="B70" si="133">YEAR(H70)+IF(MONTH(H70)&gt;=4,1,0)</f>
        <v>2026</v>
      </c>
      <c r="C70" s="129">
        <f t="shared" ref="C70" si="134">YEAR(H70)</f>
        <v>2025</v>
      </c>
      <c r="D70" s="2" t="s">
        <v>224</v>
      </c>
      <c r="E70" s="2" t="s">
        <v>224</v>
      </c>
      <c r="F70" s="18">
        <v>45809</v>
      </c>
      <c r="G70" s="2">
        <f t="shared" ref="G70" si="135">DAY(EOMONTH(F70,0))</f>
        <v>30</v>
      </c>
      <c r="H70" s="19">
        <f t="shared" si="111"/>
        <v>45812</v>
      </c>
      <c r="I70">
        <v>16</v>
      </c>
      <c r="J70" t="s">
        <v>360</v>
      </c>
      <c r="Q70" s="2">
        <f>SUM(MC[[#This Row],[IC1_Inv1_MC]:[IC2_Inv2_MC]])</f>
        <v>0</v>
      </c>
    </row>
    <row r="71" spans="1:17">
      <c r="A71" s="2">
        <f t="shared" si="6"/>
        <v>69</v>
      </c>
      <c r="B71" s="156">
        <f t="shared" ref="B71" si="136">YEAR(H71)+IF(MONTH(H71)&gt;=4,1,0)</f>
        <v>2026</v>
      </c>
      <c r="C71" s="129">
        <f t="shared" ref="C71" si="137">YEAR(H71)</f>
        <v>2025</v>
      </c>
      <c r="D71" s="2" t="s">
        <v>224</v>
      </c>
      <c r="E71" s="2" t="s">
        <v>224</v>
      </c>
      <c r="F71" s="18">
        <v>45809</v>
      </c>
      <c r="G71" s="2">
        <f t="shared" ref="G71" si="138">DAY(EOMONTH(F71,0))</f>
        <v>30</v>
      </c>
      <c r="H71" s="19">
        <f t="shared" si="111"/>
        <v>45813</v>
      </c>
      <c r="I71">
        <v>16</v>
      </c>
      <c r="J71" t="s">
        <v>360</v>
      </c>
      <c r="Q71" s="2">
        <f>SUM(MC[[#This Row],[IC1_Inv1_MC]:[IC2_Inv2_MC]])</f>
        <v>0</v>
      </c>
    </row>
    <row r="72" spans="1:17">
      <c r="A72" s="2">
        <f t="shared" si="6"/>
        <v>70</v>
      </c>
      <c r="B72" s="156">
        <f t="shared" ref="B72" si="139">YEAR(H72)+IF(MONTH(H72)&gt;=4,1,0)</f>
        <v>2026</v>
      </c>
      <c r="C72" s="129">
        <f t="shared" ref="C72" si="140">YEAR(H72)</f>
        <v>2025</v>
      </c>
      <c r="D72" s="2" t="s">
        <v>224</v>
      </c>
      <c r="E72" s="2" t="s">
        <v>224</v>
      </c>
      <c r="F72" s="18">
        <v>45809</v>
      </c>
      <c r="G72" s="2">
        <f t="shared" ref="G72" si="141">DAY(EOMONTH(F72,0))</f>
        <v>30</v>
      </c>
      <c r="H72" s="19">
        <f t="shared" si="111"/>
        <v>45814</v>
      </c>
      <c r="I72">
        <v>16</v>
      </c>
      <c r="J72" t="s">
        <v>360</v>
      </c>
      <c r="Q72" s="2">
        <f>SUM(MC[[#This Row],[IC1_Inv1_MC]:[IC2_Inv2_MC]])</f>
        <v>0</v>
      </c>
    </row>
    <row r="73" spans="1:17">
      <c r="A73" s="2">
        <f t="shared" si="6"/>
        <v>71</v>
      </c>
      <c r="B73" s="156">
        <f t="shared" ref="B73" si="142">YEAR(H73)+IF(MONTH(H73)&gt;=4,1,0)</f>
        <v>2026</v>
      </c>
      <c r="C73" s="129">
        <f t="shared" ref="C73" si="143">YEAR(H73)</f>
        <v>2025</v>
      </c>
      <c r="D73" s="2" t="s">
        <v>224</v>
      </c>
      <c r="E73" s="2" t="s">
        <v>224</v>
      </c>
      <c r="F73" s="18">
        <v>45809</v>
      </c>
      <c r="G73" s="2">
        <f t="shared" ref="G73" si="144">DAY(EOMONTH(F73,0))</f>
        <v>30</v>
      </c>
      <c r="H73" s="19">
        <f t="shared" si="111"/>
        <v>45815</v>
      </c>
      <c r="I73">
        <v>16</v>
      </c>
      <c r="J73" t="s">
        <v>360</v>
      </c>
      <c r="Q73" s="2">
        <f>SUM(MC[[#This Row],[IC1_Inv1_MC]:[IC2_Inv2_MC]])</f>
        <v>0</v>
      </c>
    </row>
    <row r="74" spans="1:17">
      <c r="A74" s="2">
        <f t="shared" si="6"/>
        <v>72</v>
      </c>
      <c r="B74" s="156">
        <f t="shared" ref="B74" si="145">YEAR(H74)+IF(MONTH(H74)&gt;=4,1,0)</f>
        <v>2026</v>
      </c>
      <c r="C74" s="129">
        <f t="shared" ref="C74" si="146">YEAR(H74)</f>
        <v>2025</v>
      </c>
      <c r="D74" s="2" t="s">
        <v>224</v>
      </c>
      <c r="E74" s="2" t="s">
        <v>224</v>
      </c>
      <c r="F74" s="18">
        <v>45809</v>
      </c>
      <c r="G74" s="2">
        <f t="shared" ref="G74" si="147">DAY(EOMONTH(F74,0))</f>
        <v>30</v>
      </c>
      <c r="H74" s="19">
        <f t="shared" si="111"/>
        <v>45816</v>
      </c>
      <c r="I74">
        <v>16</v>
      </c>
      <c r="J74" t="s">
        <v>360</v>
      </c>
      <c r="Q74" s="2">
        <f>SUM(MC[[#This Row],[IC1_Inv1_MC]:[IC2_Inv2_MC]])</f>
        <v>0</v>
      </c>
    </row>
    <row r="75" spans="1:17">
      <c r="A75" s="2">
        <f t="shared" si="6"/>
        <v>73</v>
      </c>
      <c r="B75" s="156">
        <f t="shared" ref="B75" si="148">YEAR(H75)+IF(MONTH(H75)&gt;=4,1,0)</f>
        <v>2026</v>
      </c>
      <c r="C75" s="129">
        <f t="shared" ref="C75" si="149">YEAR(H75)</f>
        <v>2025</v>
      </c>
      <c r="D75" s="2" t="s">
        <v>224</v>
      </c>
      <c r="E75" s="2" t="s">
        <v>224</v>
      </c>
      <c r="F75" s="18">
        <v>45809</v>
      </c>
      <c r="G75" s="2">
        <f t="shared" ref="G75" si="150">DAY(EOMONTH(F75,0))</f>
        <v>30</v>
      </c>
      <c r="H75" s="19">
        <f t="shared" si="111"/>
        <v>45817</v>
      </c>
      <c r="I75">
        <v>16</v>
      </c>
      <c r="J75" t="s">
        <v>360</v>
      </c>
      <c r="Q75" s="2">
        <f>SUM(MC[[#This Row],[IC1_Inv1_MC]:[IC2_Inv2_MC]])</f>
        <v>0</v>
      </c>
    </row>
    <row r="76" spans="1:17">
      <c r="A76" s="2">
        <f t="shared" si="6"/>
        <v>74</v>
      </c>
      <c r="B76" s="156">
        <f t="shared" ref="B76" si="151">YEAR(H76)+IF(MONTH(H76)&gt;=4,1,0)</f>
        <v>2026</v>
      </c>
      <c r="C76" s="129">
        <f t="shared" ref="C76" si="152">YEAR(H76)</f>
        <v>2025</v>
      </c>
      <c r="D76" s="2" t="s">
        <v>224</v>
      </c>
      <c r="E76" s="2" t="s">
        <v>224</v>
      </c>
      <c r="F76" s="18">
        <v>45809</v>
      </c>
      <c r="G76" s="2">
        <f t="shared" ref="G76" si="153">DAY(EOMONTH(F76,0))</f>
        <v>30</v>
      </c>
      <c r="H76" s="19">
        <f t="shared" si="111"/>
        <v>45818</v>
      </c>
      <c r="I76">
        <v>16</v>
      </c>
      <c r="J76" t="s">
        <v>360</v>
      </c>
      <c r="Q76" s="2">
        <f>SUM(MC[[#This Row],[IC1_Inv1_MC]:[IC2_Inv2_MC]])</f>
        <v>0</v>
      </c>
    </row>
    <row r="77" spans="1:17">
      <c r="A77" s="2">
        <f t="shared" si="6"/>
        <v>75</v>
      </c>
      <c r="B77" s="156">
        <f t="shared" ref="B77" si="154">YEAR(H77)+IF(MONTH(H77)&gt;=4,1,0)</f>
        <v>2026</v>
      </c>
      <c r="C77" s="129">
        <f t="shared" ref="C77" si="155">YEAR(H77)</f>
        <v>2025</v>
      </c>
      <c r="D77" s="2" t="s">
        <v>224</v>
      </c>
      <c r="E77" s="2" t="s">
        <v>224</v>
      </c>
      <c r="F77" s="18">
        <v>45809</v>
      </c>
      <c r="G77" s="2">
        <f t="shared" ref="G77" si="156">DAY(EOMONTH(F77,0))</f>
        <v>30</v>
      </c>
      <c r="H77" s="19">
        <f t="shared" si="111"/>
        <v>45819</v>
      </c>
      <c r="I77">
        <v>16</v>
      </c>
      <c r="J77" t="s">
        <v>360</v>
      </c>
      <c r="Q77" s="2">
        <f>SUM(MC[[#This Row],[IC1_Inv1_MC]:[IC2_Inv2_MC]])</f>
        <v>0</v>
      </c>
    </row>
    <row r="78" spans="1:17">
      <c r="A78" s="2">
        <f t="shared" si="6"/>
        <v>76</v>
      </c>
      <c r="B78" s="156">
        <f t="shared" ref="B78" si="157">YEAR(H78)+IF(MONTH(H78)&gt;=4,1,0)</f>
        <v>2026</v>
      </c>
      <c r="C78" s="129">
        <f t="shared" ref="C78" si="158">YEAR(H78)</f>
        <v>2025</v>
      </c>
      <c r="D78" s="2" t="s">
        <v>224</v>
      </c>
      <c r="E78" s="2" t="s">
        <v>224</v>
      </c>
      <c r="F78" s="18">
        <v>45809</v>
      </c>
      <c r="G78" s="2">
        <f t="shared" ref="G78" si="159">DAY(EOMONTH(F78,0))</f>
        <v>30</v>
      </c>
      <c r="H78" s="19">
        <f t="shared" si="111"/>
        <v>45820</v>
      </c>
      <c r="I78">
        <v>16</v>
      </c>
      <c r="J78" t="s">
        <v>360</v>
      </c>
      <c r="Q78" s="2">
        <f>SUM(MC[[#This Row],[IC1_Inv1_MC]:[IC2_Inv2_MC]])</f>
        <v>0</v>
      </c>
    </row>
    <row r="79" spans="1:17">
      <c r="A79" s="2">
        <f t="shared" si="6"/>
        <v>77</v>
      </c>
      <c r="B79" s="156">
        <f t="shared" ref="B79" si="160">YEAR(H79)+IF(MONTH(H79)&gt;=4,1,0)</f>
        <v>2026</v>
      </c>
      <c r="C79" s="129">
        <f t="shared" ref="C79" si="161">YEAR(H79)</f>
        <v>2025</v>
      </c>
      <c r="D79" s="2" t="s">
        <v>224</v>
      </c>
      <c r="E79" s="2" t="s">
        <v>224</v>
      </c>
      <c r="F79" s="18">
        <v>45809</v>
      </c>
      <c r="G79" s="2">
        <f t="shared" ref="G79" si="162">DAY(EOMONTH(F79,0))</f>
        <v>30</v>
      </c>
      <c r="H79" s="19">
        <f t="shared" si="111"/>
        <v>45821</v>
      </c>
      <c r="I79">
        <v>16</v>
      </c>
      <c r="J79" t="s">
        <v>360</v>
      </c>
      <c r="Q79" s="2">
        <f>SUM(MC[[#This Row],[IC1_Inv1_MC]:[IC2_Inv2_MC]])</f>
        <v>0</v>
      </c>
    </row>
    <row r="80" spans="1:17">
      <c r="A80" s="2">
        <f t="shared" si="6"/>
        <v>78</v>
      </c>
      <c r="B80" s="156">
        <f t="shared" ref="B80:B81" si="163">YEAR(H80)+IF(MONTH(H80)&gt;=4,1,0)</f>
        <v>2026</v>
      </c>
      <c r="C80" s="129">
        <f t="shared" ref="C80" si="164">YEAR(H80)</f>
        <v>2025</v>
      </c>
      <c r="D80" s="2" t="s">
        <v>224</v>
      </c>
      <c r="E80" s="2" t="s">
        <v>224</v>
      </c>
      <c r="F80" s="18">
        <v>45809</v>
      </c>
      <c r="G80" s="2">
        <f t="shared" ref="G80" si="165">DAY(EOMONTH(F80,0))</f>
        <v>30</v>
      </c>
      <c r="H80" s="19">
        <f t="shared" si="111"/>
        <v>45822</v>
      </c>
      <c r="I80">
        <v>16</v>
      </c>
      <c r="J80" t="s">
        <v>360</v>
      </c>
      <c r="Q80" s="2">
        <f>SUM(MC[[#This Row],[IC1_Inv1_MC]:[IC2_Inv2_MC]])</f>
        <v>0</v>
      </c>
    </row>
    <row r="81" spans="1:17">
      <c r="A81" s="2">
        <f t="shared" si="6"/>
        <v>79</v>
      </c>
      <c r="B81" s="156">
        <f t="shared" si="163"/>
        <v>2026</v>
      </c>
      <c r="C81" s="2">
        <f t="shared" ref="C81:C102" si="166">YEAR(H81)</f>
        <v>2025</v>
      </c>
      <c r="D81" s="2" t="s">
        <v>224</v>
      </c>
      <c r="E81" s="2" t="s">
        <v>224</v>
      </c>
      <c r="F81" s="18">
        <v>45809</v>
      </c>
      <c r="G81" s="2">
        <f t="shared" ref="G81:G102" si="167">DAY(EOMONTH(F81,0))</f>
        <v>30</v>
      </c>
      <c r="H81" s="19">
        <f t="shared" ref="H81:H127" si="168">H80+1</f>
        <v>45823</v>
      </c>
      <c r="I81">
        <v>16</v>
      </c>
      <c r="J81" t="s">
        <v>360</v>
      </c>
      <c r="Q81" s="2">
        <f>SUM(MC[[#This Row],[IC1_Inv1_MC]:[IC2_Inv2_MC]])</f>
        <v>0</v>
      </c>
    </row>
    <row r="82" spans="1:17">
      <c r="A82" s="2">
        <f t="shared" si="6"/>
        <v>80</v>
      </c>
      <c r="B82" s="156">
        <f t="shared" ref="B82" si="169">YEAR(H82)+IF(MONTH(H82)&gt;=4,1,0)</f>
        <v>2026</v>
      </c>
      <c r="C82" s="2">
        <f t="shared" si="166"/>
        <v>2025</v>
      </c>
      <c r="D82" s="2" t="s">
        <v>224</v>
      </c>
      <c r="E82" s="2" t="s">
        <v>224</v>
      </c>
      <c r="F82" s="18">
        <v>45809</v>
      </c>
      <c r="G82" s="2">
        <f t="shared" si="167"/>
        <v>30</v>
      </c>
      <c r="H82" s="19">
        <f t="shared" si="168"/>
        <v>45824</v>
      </c>
      <c r="I82">
        <v>16</v>
      </c>
      <c r="J82" t="s">
        <v>360</v>
      </c>
      <c r="Q82" s="2">
        <f>SUM(MC[[#This Row],[IC1_Inv1_MC]:[IC2_Inv2_MC]])</f>
        <v>0</v>
      </c>
    </row>
    <row r="83" spans="1:17">
      <c r="A83" s="2">
        <f t="shared" si="6"/>
        <v>81</v>
      </c>
      <c r="B83" s="156">
        <f t="shared" ref="B83" si="170">YEAR(H83)+IF(MONTH(H83)&gt;=4,1,0)</f>
        <v>2026</v>
      </c>
      <c r="C83" s="2">
        <f t="shared" si="166"/>
        <v>2025</v>
      </c>
      <c r="D83" s="2" t="s">
        <v>224</v>
      </c>
      <c r="E83" s="2" t="s">
        <v>224</v>
      </c>
      <c r="F83" s="18">
        <v>45809</v>
      </c>
      <c r="G83" s="2">
        <f t="shared" si="167"/>
        <v>30</v>
      </c>
      <c r="H83" s="19">
        <f t="shared" si="168"/>
        <v>45825</v>
      </c>
      <c r="I83">
        <v>16</v>
      </c>
      <c r="J83" t="s">
        <v>360</v>
      </c>
      <c r="L83">
        <v>1176</v>
      </c>
      <c r="N83">
        <v>2877</v>
      </c>
      <c r="Q83" s="2">
        <f>SUM(MC[[#This Row],[IC1_Inv1_MC]:[IC2_Inv2_MC]])</f>
        <v>4053</v>
      </c>
    </row>
    <row r="84" spans="1:17">
      <c r="A84" s="2">
        <f t="shared" si="6"/>
        <v>82</v>
      </c>
      <c r="B84" s="156">
        <f t="shared" ref="B84" si="171">YEAR(H84)+IF(MONTH(H84)&gt;=4,1,0)</f>
        <v>2026</v>
      </c>
      <c r="C84" s="2">
        <f t="shared" si="166"/>
        <v>2025</v>
      </c>
      <c r="D84" s="2" t="s">
        <v>224</v>
      </c>
      <c r="E84" s="2" t="s">
        <v>224</v>
      </c>
      <c r="F84" s="18">
        <v>45809</v>
      </c>
      <c r="G84" s="2">
        <f t="shared" si="167"/>
        <v>30</v>
      </c>
      <c r="H84" s="19">
        <f t="shared" si="168"/>
        <v>45826</v>
      </c>
      <c r="I84">
        <v>16</v>
      </c>
      <c r="J84" t="s">
        <v>360</v>
      </c>
      <c r="M84">
        <v>4116</v>
      </c>
      <c r="Q84" s="2">
        <f>SUM(MC[[#This Row],[IC1_Inv1_MC]:[IC2_Inv2_MC]])</f>
        <v>4116</v>
      </c>
    </row>
    <row r="85" spans="1:17">
      <c r="A85" s="2">
        <f t="shared" si="6"/>
        <v>83</v>
      </c>
      <c r="B85" s="156">
        <f t="shared" ref="B85:B86" si="172">YEAR(H85)+IF(MONTH(H85)&gt;=4,1,0)</f>
        <v>2026</v>
      </c>
      <c r="C85" s="2">
        <f t="shared" si="166"/>
        <v>2025</v>
      </c>
      <c r="D85" s="2" t="s">
        <v>224</v>
      </c>
      <c r="E85" s="2" t="s">
        <v>224</v>
      </c>
      <c r="F85" s="18">
        <v>45809</v>
      </c>
      <c r="G85" s="2">
        <f t="shared" si="167"/>
        <v>30</v>
      </c>
      <c r="H85" s="19">
        <f t="shared" si="168"/>
        <v>45827</v>
      </c>
      <c r="I85">
        <v>16</v>
      </c>
      <c r="J85" t="s">
        <v>360</v>
      </c>
      <c r="L85">
        <v>2562</v>
      </c>
      <c r="M85">
        <v>441</v>
      </c>
      <c r="Q85" s="2">
        <f>SUM(MC[[#This Row],[IC1_Inv1_MC]:[IC2_Inv2_MC]])</f>
        <v>3003</v>
      </c>
    </row>
    <row r="86" spans="1:17">
      <c r="A86" s="2">
        <f t="shared" si="6"/>
        <v>84</v>
      </c>
      <c r="B86" s="156">
        <f t="shared" si="172"/>
        <v>2026</v>
      </c>
      <c r="C86" s="2">
        <f t="shared" si="166"/>
        <v>2025</v>
      </c>
      <c r="D86" s="2" t="s">
        <v>224</v>
      </c>
      <c r="E86" s="2" t="s">
        <v>224</v>
      </c>
      <c r="F86" s="18">
        <v>45809</v>
      </c>
      <c r="G86" s="2">
        <f t="shared" si="167"/>
        <v>30</v>
      </c>
      <c r="H86" s="19">
        <f t="shared" si="168"/>
        <v>45828</v>
      </c>
      <c r="I86">
        <v>16</v>
      </c>
      <c r="J86" t="s">
        <v>360</v>
      </c>
      <c r="L86">
        <v>3822</v>
      </c>
      <c r="M86">
        <v>588</v>
      </c>
      <c r="Q86" s="2">
        <f>SUM(MC[[#This Row],[IC1_Inv1_MC]:[IC2_Inv2_MC]])</f>
        <v>4410</v>
      </c>
    </row>
    <row r="87" spans="1:17">
      <c r="A87" s="2">
        <f t="shared" si="6"/>
        <v>85</v>
      </c>
      <c r="B87" s="156">
        <f t="shared" ref="B87:B102" si="173">YEAR(H87)+IF(MONTH(H87)&gt;=4,1,0)</f>
        <v>2026</v>
      </c>
      <c r="C87" s="2">
        <f t="shared" si="166"/>
        <v>2025</v>
      </c>
      <c r="D87" s="2" t="s">
        <v>224</v>
      </c>
      <c r="E87" s="2" t="s">
        <v>224</v>
      </c>
      <c r="F87" s="18">
        <v>45809</v>
      </c>
      <c r="G87" s="2">
        <f t="shared" si="167"/>
        <v>30</v>
      </c>
      <c r="H87" s="19">
        <f t="shared" si="168"/>
        <v>45829</v>
      </c>
      <c r="I87">
        <v>16</v>
      </c>
      <c r="J87" t="s">
        <v>360</v>
      </c>
      <c r="K87">
        <v>504</v>
      </c>
      <c r="O87">
        <v>3696</v>
      </c>
      <c r="Q87" s="2">
        <f>SUM(MC[[#This Row],[IC1_Inv1_MC]:[IC2_Inv2_MC]])</f>
        <v>4200</v>
      </c>
    </row>
    <row r="88" spans="1:17">
      <c r="A88" s="2">
        <f t="shared" si="6"/>
        <v>86</v>
      </c>
      <c r="B88" s="156">
        <f t="shared" si="173"/>
        <v>2026</v>
      </c>
      <c r="C88" s="2">
        <f t="shared" si="166"/>
        <v>2025</v>
      </c>
      <c r="D88" s="2" t="s">
        <v>224</v>
      </c>
      <c r="E88" s="2" t="s">
        <v>224</v>
      </c>
      <c r="F88" s="18">
        <v>45809</v>
      </c>
      <c r="G88" s="2">
        <f t="shared" si="167"/>
        <v>30</v>
      </c>
      <c r="H88" s="19">
        <f t="shared" si="168"/>
        <v>45830</v>
      </c>
      <c r="I88">
        <v>17</v>
      </c>
      <c r="J88" t="s">
        <v>360</v>
      </c>
      <c r="Q88" s="2">
        <f>SUM(MC[[#This Row],[IC1_Inv1_MC]:[IC2_Inv2_MC]])</f>
        <v>0</v>
      </c>
    </row>
    <row r="89" spans="1:17">
      <c r="A89" s="2">
        <f t="shared" si="6"/>
        <v>87</v>
      </c>
      <c r="B89" s="156">
        <f t="shared" si="173"/>
        <v>2026</v>
      </c>
      <c r="C89" s="2">
        <f t="shared" si="166"/>
        <v>2025</v>
      </c>
      <c r="D89" s="2" t="s">
        <v>224</v>
      </c>
      <c r="E89" s="2" t="s">
        <v>224</v>
      </c>
      <c r="F89" s="18">
        <v>45809</v>
      </c>
      <c r="G89" s="2">
        <f t="shared" si="167"/>
        <v>30</v>
      </c>
      <c r="H89" s="19">
        <f t="shared" si="168"/>
        <v>45831</v>
      </c>
      <c r="I89">
        <v>17</v>
      </c>
      <c r="J89" t="s">
        <v>360</v>
      </c>
      <c r="O89">
        <v>2541</v>
      </c>
      <c r="P89">
        <v>1764</v>
      </c>
      <c r="Q89" s="2">
        <f>SUM(MC[[#This Row],[IC1_Inv1_MC]:[IC2_Inv2_MC]])</f>
        <v>4305</v>
      </c>
    </row>
    <row r="90" spans="1:17">
      <c r="A90" s="2">
        <f t="shared" si="6"/>
        <v>88</v>
      </c>
      <c r="B90" s="156">
        <f t="shared" si="173"/>
        <v>2026</v>
      </c>
      <c r="C90" s="2">
        <f t="shared" si="166"/>
        <v>2025</v>
      </c>
      <c r="D90" s="2" t="s">
        <v>224</v>
      </c>
      <c r="E90" s="2" t="s">
        <v>224</v>
      </c>
      <c r="F90" s="18">
        <v>45809</v>
      </c>
      <c r="G90" s="2">
        <f t="shared" si="167"/>
        <v>30</v>
      </c>
      <c r="H90" s="19">
        <f t="shared" si="168"/>
        <v>45832</v>
      </c>
      <c r="I90">
        <v>17</v>
      </c>
      <c r="J90" t="s">
        <v>360</v>
      </c>
      <c r="K90">
        <v>1260</v>
      </c>
      <c r="P90">
        <v>2940</v>
      </c>
      <c r="Q90" s="2">
        <f>SUM(MC[[#This Row],[IC1_Inv1_MC]:[IC2_Inv2_MC]])</f>
        <v>4200</v>
      </c>
    </row>
    <row r="91" spans="1:17">
      <c r="A91" s="2">
        <f t="shared" si="6"/>
        <v>89</v>
      </c>
      <c r="B91" s="156">
        <f t="shared" si="173"/>
        <v>2026</v>
      </c>
      <c r="C91" s="2">
        <f t="shared" si="166"/>
        <v>2025</v>
      </c>
      <c r="D91" s="2" t="s">
        <v>224</v>
      </c>
      <c r="E91" s="2" t="s">
        <v>224</v>
      </c>
      <c r="F91" s="18">
        <v>45809</v>
      </c>
      <c r="G91" s="2">
        <f t="shared" si="167"/>
        <v>30</v>
      </c>
      <c r="H91" s="19">
        <f t="shared" si="168"/>
        <v>45833</v>
      </c>
      <c r="I91">
        <v>17</v>
      </c>
      <c r="J91" t="s">
        <v>360</v>
      </c>
      <c r="K91">
        <v>3864</v>
      </c>
      <c r="M91">
        <v>336</v>
      </c>
      <c r="Q91" s="2">
        <f>SUM(MC[[#This Row],[IC1_Inv1_MC]:[IC2_Inv2_MC]])</f>
        <v>4200</v>
      </c>
    </row>
    <row r="92" spans="1:17">
      <c r="A92" s="2">
        <f t="shared" si="6"/>
        <v>90</v>
      </c>
      <c r="B92" s="156">
        <f t="shared" si="173"/>
        <v>2026</v>
      </c>
      <c r="C92" s="2">
        <f t="shared" si="166"/>
        <v>2025</v>
      </c>
      <c r="D92" s="2" t="s">
        <v>224</v>
      </c>
      <c r="E92" s="2" t="s">
        <v>224</v>
      </c>
      <c r="F92" s="18">
        <v>45809</v>
      </c>
      <c r="G92" s="2">
        <f t="shared" si="167"/>
        <v>30</v>
      </c>
      <c r="H92" s="19">
        <f t="shared" si="168"/>
        <v>45834</v>
      </c>
      <c r="I92">
        <v>17</v>
      </c>
      <c r="J92" t="s">
        <v>360</v>
      </c>
      <c r="M92">
        <v>588</v>
      </c>
      <c r="N92">
        <v>2310</v>
      </c>
      <c r="P92">
        <v>1312</v>
      </c>
      <c r="Q92" s="2">
        <f>SUM(MC[[#This Row],[IC1_Inv1_MC]:[IC2_Inv2_MC]])</f>
        <v>4210</v>
      </c>
    </row>
    <row r="93" spans="1:17">
      <c r="A93" s="2">
        <f t="shared" si="6"/>
        <v>91</v>
      </c>
      <c r="B93" s="156">
        <f t="shared" si="173"/>
        <v>2026</v>
      </c>
      <c r="C93" s="2">
        <f t="shared" si="166"/>
        <v>2025</v>
      </c>
      <c r="D93" s="2" t="s">
        <v>224</v>
      </c>
      <c r="E93" s="2" t="s">
        <v>224</v>
      </c>
      <c r="F93" s="18">
        <v>45809</v>
      </c>
      <c r="G93" s="2">
        <f t="shared" si="167"/>
        <v>30</v>
      </c>
      <c r="H93" s="19">
        <f t="shared" si="168"/>
        <v>45835</v>
      </c>
      <c r="I93">
        <v>17</v>
      </c>
      <c r="J93" t="s">
        <v>360</v>
      </c>
      <c r="N93">
        <v>2856</v>
      </c>
      <c r="P93">
        <v>788</v>
      </c>
      <c r="Q93" s="2">
        <f>SUM(MC[[#This Row],[IC1_Inv1_MC]:[IC2_Inv2_MC]])</f>
        <v>3644</v>
      </c>
    </row>
    <row r="94" spans="1:17">
      <c r="A94" s="2">
        <f t="shared" si="6"/>
        <v>92</v>
      </c>
      <c r="B94" s="156">
        <f t="shared" si="173"/>
        <v>2026</v>
      </c>
      <c r="C94" s="2">
        <f t="shared" si="166"/>
        <v>2025</v>
      </c>
      <c r="D94" s="2" t="s">
        <v>224</v>
      </c>
      <c r="E94" s="2" t="s">
        <v>224</v>
      </c>
      <c r="F94" s="18">
        <v>45809</v>
      </c>
      <c r="G94" s="2">
        <f t="shared" si="167"/>
        <v>30</v>
      </c>
      <c r="H94" s="19">
        <f t="shared" si="168"/>
        <v>45836</v>
      </c>
      <c r="I94">
        <v>17</v>
      </c>
      <c r="J94" t="s">
        <v>360</v>
      </c>
      <c r="M94">
        <v>4221</v>
      </c>
      <c r="Q94" s="2">
        <f>SUM(MC[[#This Row],[IC1_Inv1_MC]:[IC2_Inv2_MC]])</f>
        <v>4221</v>
      </c>
    </row>
    <row r="95" spans="1:17">
      <c r="A95" s="2">
        <f t="shared" si="6"/>
        <v>93</v>
      </c>
      <c r="B95" s="156">
        <f t="shared" si="173"/>
        <v>2026</v>
      </c>
      <c r="C95" s="2">
        <f t="shared" si="166"/>
        <v>2025</v>
      </c>
      <c r="D95" s="2" t="s">
        <v>224</v>
      </c>
      <c r="E95" s="2" t="s">
        <v>224</v>
      </c>
      <c r="F95" s="18">
        <v>45809</v>
      </c>
      <c r="G95" s="2">
        <f t="shared" si="167"/>
        <v>30</v>
      </c>
      <c r="H95" s="19">
        <f t="shared" si="168"/>
        <v>45837</v>
      </c>
      <c r="I95">
        <v>17</v>
      </c>
      <c r="J95" t="s">
        <v>360</v>
      </c>
      <c r="Q95" s="2">
        <f>SUM(MC[[#This Row],[IC1_Inv1_MC]:[IC2_Inv2_MC]])</f>
        <v>0</v>
      </c>
    </row>
    <row r="96" spans="1:17">
      <c r="A96" s="2">
        <f t="shared" si="6"/>
        <v>94</v>
      </c>
      <c r="B96" s="156">
        <f t="shared" si="173"/>
        <v>2026</v>
      </c>
      <c r="C96" s="2">
        <f t="shared" si="166"/>
        <v>2025</v>
      </c>
      <c r="D96" s="2" t="s">
        <v>224</v>
      </c>
      <c r="E96" s="2" t="s">
        <v>224</v>
      </c>
      <c r="F96" s="18">
        <v>45809</v>
      </c>
      <c r="G96" s="2">
        <f t="shared" si="167"/>
        <v>30</v>
      </c>
      <c r="H96" s="19">
        <f t="shared" si="168"/>
        <v>45838</v>
      </c>
      <c r="I96">
        <v>17</v>
      </c>
      <c r="J96" t="s">
        <v>360</v>
      </c>
      <c r="Q96" s="2">
        <f>SUM(MC[[#This Row],[IC1_Inv1_MC]:[IC2_Inv2_MC]])</f>
        <v>0</v>
      </c>
    </row>
    <row r="97" spans="1:17">
      <c r="A97" s="2">
        <f t="shared" si="6"/>
        <v>95</v>
      </c>
      <c r="B97" s="156">
        <f t="shared" si="173"/>
        <v>2026</v>
      </c>
      <c r="C97" s="2">
        <f t="shared" si="166"/>
        <v>2025</v>
      </c>
      <c r="D97" s="2" t="s">
        <v>224</v>
      </c>
      <c r="E97" s="2" t="s">
        <v>224</v>
      </c>
      <c r="F97" s="18">
        <v>45839</v>
      </c>
      <c r="G97" s="2">
        <f t="shared" si="167"/>
        <v>31</v>
      </c>
      <c r="H97" s="19">
        <f t="shared" si="168"/>
        <v>45839</v>
      </c>
      <c r="I97">
        <v>17</v>
      </c>
      <c r="J97" t="s">
        <v>360</v>
      </c>
      <c r="Q97" s="2">
        <f>SUM(MC[[#This Row],[IC1_Inv1_MC]:[IC2_Inv2_MC]])</f>
        <v>0</v>
      </c>
    </row>
    <row r="98" spans="1:17">
      <c r="A98" s="2">
        <f t="shared" si="6"/>
        <v>96</v>
      </c>
      <c r="B98" s="156">
        <f t="shared" si="173"/>
        <v>2026</v>
      </c>
      <c r="C98" s="2">
        <f t="shared" si="166"/>
        <v>2025</v>
      </c>
      <c r="D98" s="2" t="s">
        <v>224</v>
      </c>
      <c r="E98" s="2" t="s">
        <v>224</v>
      </c>
      <c r="F98" s="18">
        <v>45839</v>
      </c>
      <c r="G98" s="2">
        <f t="shared" si="167"/>
        <v>31</v>
      </c>
      <c r="H98" s="19">
        <f t="shared" si="168"/>
        <v>45840</v>
      </c>
      <c r="I98">
        <v>17</v>
      </c>
      <c r="J98" t="s">
        <v>360</v>
      </c>
      <c r="Q98" s="2">
        <f>SUM(MC[[#This Row],[IC1_Inv1_MC]:[IC2_Inv2_MC]])</f>
        <v>0</v>
      </c>
    </row>
    <row r="99" spans="1:17">
      <c r="A99" s="2">
        <f t="shared" si="6"/>
        <v>97</v>
      </c>
      <c r="B99" s="156">
        <f t="shared" si="173"/>
        <v>2026</v>
      </c>
      <c r="C99" s="2">
        <f t="shared" si="166"/>
        <v>2025</v>
      </c>
      <c r="D99" s="2" t="s">
        <v>224</v>
      </c>
      <c r="E99" s="2" t="s">
        <v>224</v>
      </c>
      <c r="F99" s="18">
        <v>45839</v>
      </c>
      <c r="G99" s="2">
        <f t="shared" si="167"/>
        <v>31</v>
      </c>
      <c r="H99" s="19">
        <f t="shared" si="168"/>
        <v>45841</v>
      </c>
      <c r="I99">
        <v>17</v>
      </c>
      <c r="J99" t="s">
        <v>360</v>
      </c>
      <c r="Q99" s="2">
        <f>SUM(MC[[#This Row],[IC1_Inv1_MC]:[IC2_Inv2_MC]])</f>
        <v>0</v>
      </c>
    </row>
    <row r="100" spans="1:17">
      <c r="A100" s="2">
        <f t="shared" si="6"/>
        <v>98</v>
      </c>
      <c r="B100" s="156">
        <f t="shared" si="173"/>
        <v>2026</v>
      </c>
      <c r="C100" s="2">
        <f t="shared" si="166"/>
        <v>2025</v>
      </c>
      <c r="D100" s="2" t="s">
        <v>224</v>
      </c>
      <c r="E100" s="2" t="s">
        <v>224</v>
      </c>
      <c r="F100" s="18">
        <v>45839</v>
      </c>
      <c r="G100" s="2">
        <f t="shared" si="167"/>
        <v>31</v>
      </c>
      <c r="H100" s="19">
        <f t="shared" si="168"/>
        <v>45842</v>
      </c>
      <c r="I100">
        <v>17</v>
      </c>
      <c r="J100" t="s">
        <v>360</v>
      </c>
      <c r="Q100" s="2">
        <f>SUM(MC[[#This Row],[IC1_Inv1_MC]:[IC2_Inv2_MC]])</f>
        <v>0</v>
      </c>
    </row>
    <row r="101" spans="1:17">
      <c r="A101" s="2">
        <f t="shared" si="6"/>
        <v>99</v>
      </c>
      <c r="B101" s="156">
        <f t="shared" si="173"/>
        <v>2026</v>
      </c>
      <c r="C101" s="2">
        <f t="shared" si="166"/>
        <v>2025</v>
      </c>
      <c r="D101" s="2" t="s">
        <v>224</v>
      </c>
      <c r="E101" s="2" t="s">
        <v>224</v>
      </c>
      <c r="F101" s="18">
        <v>45839</v>
      </c>
      <c r="G101" s="2">
        <f t="shared" si="167"/>
        <v>31</v>
      </c>
      <c r="H101" s="19">
        <f t="shared" si="168"/>
        <v>45843</v>
      </c>
      <c r="I101">
        <v>17</v>
      </c>
      <c r="J101" t="s">
        <v>360</v>
      </c>
      <c r="Q101" s="2">
        <f>SUM(MC[[#This Row],[IC1_Inv1_MC]:[IC2_Inv2_MC]])</f>
        <v>0</v>
      </c>
    </row>
    <row r="102" spans="1:17">
      <c r="A102" s="2">
        <f t="shared" si="6"/>
        <v>100</v>
      </c>
      <c r="B102" s="156">
        <f t="shared" si="173"/>
        <v>2026</v>
      </c>
      <c r="C102" s="2">
        <f t="shared" si="166"/>
        <v>2025</v>
      </c>
      <c r="D102" s="2" t="s">
        <v>224</v>
      </c>
      <c r="E102" s="2" t="s">
        <v>224</v>
      </c>
      <c r="F102" s="18">
        <v>45839</v>
      </c>
      <c r="G102" s="2">
        <f t="shared" si="167"/>
        <v>31</v>
      </c>
      <c r="H102" s="19">
        <f t="shared" si="168"/>
        <v>45844</v>
      </c>
      <c r="I102">
        <v>17</v>
      </c>
      <c r="J102" t="s">
        <v>360</v>
      </c>
      <c r="Q102" s="2">
        <f>SUM(MC[[#This Row],[IC1_Inv1_MC]:[IC2_Inv2_MC]])</f>
        <v>0</v>
      </c>
    </row>
    <row r="103" spans="1:17">
      <c r="A103" s="2">
        <f t="shared" si="6"/>
        <v>101</v>
      </c>
      <c r="B103" s="156">
        <f t="shared" ref="B103" si="174">YEAR(H103)+IF(MONTH(H103)&gt;=4,1,0)</f>
        <v>2026</v>
      </c>
      <c r="C103" s="2">
        <f t="shared" ref="C103" si="175">YEAR(H103)</f>
        <v>2025</v>
      </c>
      <c r="D103" s="2" t="s">
        <v>224</v>
      </c>
      <c r="E103" s="2" t="s">
        <v>224</v>
      </c>
      <c r="F103" s="18">
        <v>45839</v>
      </c>
      <c r="G103" s="2">
        <f t="shared" ref="G103" si="176">DAY(EOMONTH(F103,0))</f>
        <v>31</v>
      </c>
      <c r="H103" s="19">
        <f t="shared" si="168"/>
        <v>45845</v>
      </c>
      <c r="I103">
        <v>17</v>
      </c>
      <c r="J103" t="s">
        <v>360</v>
      </c>
      <c r="Q103" s="2">
        <f>SUM(MC[[#This Row],[IC1_Inv1_MC]:[IC2_Inv2_MC]])</f>
        <v>0</v>
      </c>
    </row>
    <row r="104" spans="1:17">
      <c r="A104" s="2">
        <f t="shared" si="6"/>
        <v>102</v>
      </c>
      <c r="B104" s="156">
        <f t="shared" ref="B104" si="177">YEAR(H104)+IF(MONTH(H104)&gt;=4,1,0)</f>
        <v>2026</v>
      </c>
      <c r="C104" s="2">
        <f t="shared" ref="C104" si="178">YEAR(H104)</f>
        <v>2025</v>
      </c>
      <c r="D104" s="2" t="s">
        <v>224</v>
      </c>
      <c r="E104" s="2" t="s">
        <v>224</v>
      </c>
      <c r="F104" s="18">
        <v>45839</v>
      </c>
      <c r="G104" s="2">
        <f t="shared" ref="G104" si="179">DAY(EOMONTH(F104,0))</f>
        <v>31</v>
      </c>
      <c r="H104" s="19">
        <f t="shared" si="168"/>
        <v>45846</v>
      </c>
      <c r="I104">
        <v>17</v>
      </c>
      <c r="J104" t="s">
        <v>360</v>
      </c>
      <c r="Q104" s="2">
        <f>SUM(MC[[#This Row],[IC1_Inv1_MC]:[IC2_Inv2_MC]])</f>
        <v>0</v>
      </c>
    </row>
    <row r="105" spans="1:17">
      <c r="A105" s="2">
        <f t="shared" si="6"/>
        <v>103</v>
      </c>
      <c r="B105" s="156">
        <f t="shared" ref="B105" si="180">YEAR(H105)+IF(MONTH(H105)&gt;=4,1,0)</f>
        <v>2026</v>
      </c>
      <c r="C105" s="2">
        <f t="shared" ref="C105" si="181">YEAR(H105)</f>
        <v>2025</v>
      </c>
      <c r="D105" s="2" t="s">
        <v>224</v>
      </c>
      <c r="E105" s="2" t="s">
        <v>224</v>
      </c>
      <c r="F105" s="18">
        <v>45839</v>
      </c>
      <c r="G105" s="2">
        <f t="shared" ref="G105" si="182">DAY(EOMONTH(F105,0))</f>
        <v>31</v>
      </c>
      <c r="H105" s="19">
        <f t="shared" si="168"/>
        <v>45847</v>
      </c>
      <c r="I105">
        <v>17</v>
      </c>
      <c r="J105" t="s">
        <v>360</v>
      </c>
      <c r="Q105" s="2">
        <f>SUM(MC[[#This Row],[IC1_Inv1_MC]:[IC2_Inv2_MC]])</f>
        <v>0</v>
      </c>
    </row>
    <row r="106" spans="1:17">
      <c r="A106" s="2">
        <f t="shared" si="6"/>
        <v>104</v>
      </c>
      <c r="B106" s="156">
        <f t="shared" ref="B106" si="183">YEAR(H106)+IF(MONTH(H106)&gt;=4,1,0)</f>
        <v>2026</v>
      </c>
      <c r="C106" s="2">
        <f t="shared" ref="C106" si="184">YEAR(H106)</f>
        <v>2025</v>
      </c>
      <c r="D106" s="2" t="s">
        <v>224</v>
      </c>
      <c r="E106" s="2" t="s">
        <v>224</v>
      </c>
      <c r="F106" s="18">
        <v>45839</v>
      </c>
      <c r="G106" s="2">
        <f t="shared" ref="G106" si="185">DAY(EOMONTH(F106,0))</f>
        <v>31</v>
      </c>
      <c r="H106" s="19">
        <f t="shared" si="168"/>
        <v>45848</v>
      </c>
      <c r="I106">
        <v>17</v>
      </c>
      <c r="J106" t="s">
        <v>360</v>
      </c>
      <c r="Q106" s="2">
        <f>SUM(MC[[#This Row],[IC1_Inv1_MC]:[IC2_Inv2_MC]])</f>
        <v>0</v>
      </c>
    </row>
    <row r="107" spans="1:17">
      <c r="A107" s="2">
        <f t="shared" si="6"/>
        <v>105</v>
      </c>
      <c r="B107" s="156">
        <f t="shared" ref="B107" si="186">YEAR(H107)+IF(MONTH(H107)&gt;=4,1,0)</f>
        <v>2026</v>
      </c>
      <c r="C107" s="2">
        <f t="shared" ref="C107" si="187">YEAR(H107)</f>
        <v>2025</v>
      </c>
      <c r="D107" s="2" t="s">
        <v>224</v>
      </c>
      <c r="E107" s="2" t="s">
        <v>224</v>
      </c>
      <c r="F107" s="18">
        <v>45839</v>
      </c>
      <c r="G107" s="2">
        <f t="shared" ref="G107" si="188">DAY(EOMONTH(F107,0))</f>
        <v>31</v>
      </c>
      <c r="H107" s="19">
        <f t="shared" si="168"/>
        <v>45849</v>
      </c>
      <c r="I107">
        <v>17</v>
      </c>
      <c r="J107" t="s">
        <v>360</v>
      </c>
      <c r="Q107" s="2">
        <f>SUM(MC[[#This Row],[IC1_Inv1_MC]:[IC2_Inv2_MC]])</f>
        <v>0</v>
      </c>
    </row>
    <row r="108" spans="1:17">
      <c r="A108" s="2">
        <f t="shared" si="6"/>
        <v>106</v>
      </c>
      <c r="B108" s="156">
        <f t="shared" ref="B108" si="189">YEAR(H108)+IF(MONTH(H108)&gt;=4,1,0)</f>
        <v>2026</v>
      </c>
      <c r="C108" s="2">
        <f t="shared" ref="C108" si="190">YEAR(H108)</f>
        <v>2025</v>
      </c>
      <c r="D108" s="2" t="s">
        <v>224</v>
      </c>
      <c r="E108" s="2" t="s">
        <v>224</v>
      </c>
      <c r="F108" s="18">
        <v>45839</v>
      </c>
      <c r="G108" s="2">
        <f t="shared" ref="G108" si="191">DAY(EOMONTH(F108,0))</f>
        <v>31</v>
      </c>
      <c r="H108" s="19">
        <f t="shared" si="168"/>
        <v>45850</v>
      </c>
      <c r="I108">
        <v>17</v>
      </c>
      <c r="J108" t="s">
        <v>360</v>
      </c>
      <c r="Q108" s="2">
        <f>SUM(MC[[#This Row],[IC1_Inv1_MC]:[IC2_Inv2_MC]])</f>
        <v>0</v>
      </c>
    </row>
    <row r="109" spans="1:17">
      <c r="A109" s="2">
        <f t="shared" si="6"/>
        <v>107</v>
      </c>
      <c r="B109" s="156">
        <f t="shared" ref="B109" si="192">YEAR(H109)+IF(MONTH(H109)&gt;=4,1,0)</f>
        <v>2026</v>
      </c>
      <c r="C109" s="2">
        <f t="shared" ref="C109" si="193">YEAR(H109)</f>
        <v>2025</v>
      </c>
      <c r="D109" s="2" t="s">
        <v>224</v>
      </c>
      <c r="E109" s="2" t="s">
        <v>224</v>
      </c>
      <c r="F109" s="18">
        <v>45839</v>
      </c>
      <c r="G109" s="2">
        <f t="shared" ref="G109" si="194">DAY(EOMONTH(F109,0))</f>
        <v>31</v>
      </c>
      <c r="H109" s="19">
        <f t="shared" si="168"/>
        <v>45851</v>
      </c>
      <c r="I109">
        <v>17</v>
      </c>
      <c r="J109" t="s">
        <v>360</v>
      </c>
      <c r="Q109" s="2">
        <f>SUM(MC[[#This Row],[IC1_Inv1_MC]:[IC2_Inv2_MC]])</f>
        <v>0</v>
      </c>
    </row>
    <row r="110" spans="1:17">
      <c r="A110" s="2">
        <f t="shared" si="6"/>
        <v>108</v>
      </c>
      <c r="B110" s="156">
        <f t="shared" ref="B110" si="195">YEAR(H110)+IF(MONTH(H110)&gt;=4,1,0)</f>
        <v>2026</v>
      </c>
      <c r="C110" s="2">
        <f t="shared" ref="C110" si="196">YEAR(H110)</f>
        <v>2025</v>
      </c>
      <c r="D110" s="2" t="s">
        <v>224</v>
      </c>
      <c r="E110" s="2" t="s">
        <v>224</v>
      </c>
      <c r="F110" s="18">
        <v>45839</v>
      </c>
      <c r="G110" s="2">
        <f t="shared" ref="G110" si="197">DAY(EOMONTH(F110,0))</f>
        <v>31</v>
      </c>
      <c r="H110" s="19">
        <f t="shared" si="168"/>
        <v>45852</v>
      </c>
      <c r="I110">
        <v>17</v>
      </c>
      <c r="J110" t="s">
        <v>360</v>
      </c>
      <c r="Q110" s="2">
        <f>SUM(MC[[#This Row],[IC1_Inv1_MC]:[IC2_Inv2_MC]])</f>
        <v>0</v>
      </c>
    </row>
    <row r="111" spans="1:17">
      <c r="A111" s="2">
        <f t="shared" si="6"/>
        <v>109</v>
      </c>
      <c r="B111" s="156">
        <f t="shared" ref="B111" si="198">YEAR(H111)+IF(MONTH(H111)&gt;=4,1,0)</f>
        <v>2026</v>
      </c>
      <c r="C111" s="2">
        <f t="shared" ref="C111" si="199">YEAR(H111)</f>
        <v>2025</v>
      </c>
      <c r="D111" s="2" t="s">
        <v>224</v>
      </c>
      <c r="E111" s="2" t="s">
        <v>224</v>
      </c>
      <c r="F111" s="18">
        <v>45839</v>
      </c>
      <c r="G111" s="2">
        <f t="shared" ref="G111" si="200">DAY(EOMONTH(F111,0))</f>
        <v>31</v>
      </c>
      <c r="H111" s="19">
        <f t="shared" si="168"/>
        <v>45853</v>
      </c>
      <c r="I111">
        <v>17</v>
      </c>
      <c r="J111" t="s">
        <v>360</v>
      </c>
      <c r="M111">
        <v>588</v>
      </c>
      <c r="N111">
        <v>3465</v>
      </c>
      <c r="Q111" s="2">
        <f>SUM(MC[[#This Row],[IC1_Inv1_MC]:[IC2_Inv2_MC]])</f>
        <v>4053</v>
      </c>
    </row>
    <row r="112" spans="1:17">
      <c r="A112" s="2">
        <f t="shared" si="6"/>
        <v>110</v>
      </c>
      <c r="B112" s="156">
        <f t="shared" ref="B112" si="201">YEAR(H112)+IF(MONTH(H112)&gt;=4,1,0)</f>
        <v>2026</v>
      </c>
      <c r="C112" s="2">
        <f t="shared" ref="C112" si="202">YEAR(H112)</f>
        <v>2025</v>
      </c>
      <c r="D112" s="2" t="s">
        <v>224</v>
      </c>
      <c r="E112" s="2" t="s">
        <v>224</v>
      </c>
      <c r="F112" s="18">
        <v>45839</v>
      </c>
      <c r="G112" s="2">
        <f t="shared" ref="G112" si="203">DAY(EOMONTH(F112,0))</f>
        <v>31</v>
      </c>
      <c r="H112" s="19">
        <f t="shared" si="168"/>
        <v>45854</v>
      </c>
      <c r="I112">
        <v>17</v>
      </c>
      <c r="J112" t="s">
        <v>360</v>
      </c>
      <c r="K112">
        <v>210</v>
      </c>
      <c r="L112">
        <v>3969</v>
      </c>
      <c r="Q112" s="2">
        <f>SUM(MC[[#This Row],[IC1_Inv1_MC]:[IC2_Inv2_MC]])</f>
        <v>4179</v>
      </c>
    </row>
    <row r="113" spans="1:17">
      <c r="A113" s="2">
        <f t="shared" si="6"/>
        <v>111</v>
      </c>
      <c r="B113" s="156">
        <f t="shared" ref="B113" si="204">YEAR(H113)+IF(MONTH(H113)&gt;=4,1,0)</f>
        <v>2026</v>
      </c>
      <c r="C113" s="2">
        <f t="shared" ref="C113" si="205">YEAR(H113)</f>
        <v>2025</v>
      </c>
      <c r="D113" s="2" t="s">
        <v>224</v>
      </c>
      <c r="E113" s="2" t="s">
        <v>224</v>
      </c>
      <c r="F113" s="18">
        <v>45839</v>
      </c>
      <c r="G113" s="2">
        <f t="shared" ref="G113" si="206">DAY(EOMONTH(F113,0))</f>
        <v>31</v>
      </c>
      <c r="H113" s="19">
        <f t="shared" si="168"/>
        <v>45855</v>
      </c>
      <c r="I113">
        <v>17</v>
      </c>
      <c r="J113" t="s">
        <v>360</v>
      </c>
      <c r="K113">
        <v>294</v>
      </c>
      <c r="L113">
        <v>3864</v>
      </c>
      <c r="Q113" s="2">
        <f>SUM(MC[[#This Row],[IC1_Inv1_MC]:[IC2_Inv2_MC]])</f>
        <v>4158</v>
      </c>
    </row>
    <row r="114" spans="1:17">
      <c r="A114" s="2">
        <f t="shared" si="6"/>
        <v>112</v>
      </c>
      <c r="B114" s="156">
        <f t="shared" ref="B114" si="207">YEAR(H114)+IF(MONTH(H114)&gt;=4,1,0)</f>
        <v>2026</v>
      </c>
      <c r="C114" s="2">
        <f t="shared" ref="C114" si="208">YEAR(H114)</f>
        <v>2025</v>
      </c>
      <c r="D114" s="2" t="s">
        <v>224</v>
      </c>
      <c r="E114" s="2" t="s">
        <v>224</v>
      </c>
      <c r="F114" s="18">
        <v>45839</v>
      </c>
      <c r="G114" s="2">
        <f t="shared" ref="G114" si="209">DAY(EOMONTH(F114,0))</f>
        <v>31</v>
      </c>
      <c r="H114" s="19">
        <f t="shared" si="168"/>
        <v>45856</v>
      </c>
      <c r="I114">
        <v>17</v>
      </c>
      <c r="J114" t="s">
        <v>360</v>
      </c>
      <c r="Q114" s="2">
        <f>SUM(MC[[#This Row],[IC1_Inv1_MC]:[IC2_Inv2_MC]])</f>
        <v>0</v>
      </c>
    </row>
    <row r="115" spans="1:17">
      <c r="A115" s="2">
        <f t="shared" si="6"/>
        <v>113</v>
      </c>
      <c r="B115" s="156">
        <f t="shared" ref="B115" si="210">YEAR(H115)+IF(MONTH(H115)&gt;=4,1,0)</f>
        <v>2026</v>
      </c>
      <c r="C115" s="2">
        <f t="shared" ref="C115" si="211">YEAR(H115)</f>
        <v>2025</v>
      </c>
      <c r="D115" s="2" t="s">
        <v>224</v>
      </c>
      <c r="E115" s="2" t="s">
        <v>224</v>
      </c>
      <c r="F115" s="18">
        <v>45839</v>
      </c>
      <c r="G115" s="2">
        <f t="shared" ref="G115" si="212">DAY(EOMONTH(F115,0))</f>
        <v>31</v>
      </c>
      <c r="H115" s="19">
        <f t="shared" si="168"/>
        <v>45857</v>
      </c>
      <c r="I115">
        <v>17</v>
      </c>
      <c r="J115" t="s">
        <v>360</v>
      </c>
      <c r="Q115" s="2">
        <f>SUM(MC[[#This Row],[IC1_Inv1_MC]:[IC2_Inv2_MC]])</f>
        <v>0</v>
      </c>
    </row>
    <row r="116" spans="1:17">
      <c r="A116" s="2">
        <f t="shared" si="6"/>
        <v>114</v>
      </c>
      <c r="B116" s="156">
        <f t="shared" ref="B116" si="213">YEAR(H116)+IF(MONTH(H116)&gt;=4,1,0)</f>
        <v>2026</v>
      </c>
      <c r="C116" s="2">
        <f t="shared" ref="C116" si="214">YEAR(H116)</f>
        <v>2025</v>
      </c>
      <c r="D116" s="2" t="s">
        <v>224</v>
      </c>
      <c r="E116" s="2" t="s">
        <v>224</v>
      </c>
      <c r="F116" s="18">
        <v>45839</v>
      </c>
      <c r="G116" s="2">
        <f t="shared" ref="G116" si="215">DAY(EOMONTH(F116,0))</f>
        <v>31</v>
      </c>
      <c r="H116" s="19">
        <f t="shared" si="168"/>
        <v>45858</v>
      </c>
      <c r="I116">
        <v>17</v>
      </c>
      <c r="J116" t="s">
        <v>360</v>
      </c>
      <c r="Q116" s="2">
        <f>SUM(MC[[#This Row],[IC1_Inv1_MC]:[IC2_Inv2_MC]])</f>
        <v>0</v>
      </c>
    </row>
    <row r="117" spans="1:17">
      <c r="A117" s="2">
        <f t="shared" si="6"/>
        <v>115</v>
      </c>
      <c r="B117" s="156">
        <f t="shared" ref="B117" si="216">YEAR(H117)+IF(MONTH(H117)&gt;=4,1,0)</f>
        <v>2026</v>
      </c>
      <c r="C117" s="2">
        <f t="shared" ref="C117" si="217">YEAR(H117)</f>
        <v>2025</v>
      </c>
      <c r="D117" s="2" t="s">
        <v>224</v>
      </c>
      <c r="E117" s="2" t="s">
        <v>224</v>
      </c>
      <c r="F117" s="18">
        <v>45839</v>
      </c>
      <c r="G117" s="2">
        <f t="shared" ref="G117" si="218">DAY(EOMONTH(F117,0))</f>
        <v>31</v>
      </c>
      <c r="H117" s="19">
        <f t="shared" si="168"/>
        <v>45859</v>
      </c>
      <c r="I117">
        <v>17</v>
      </c>
      <c r="J117" t="s">
        <v>360</v>
      </c>
      <c r="Q117" s="2">
        <f>SUM(MC[[#This Row],[IC1_Inv1_MC]:[IC2_Inv2_MC]])</f>
        <v>0</v>
      </c>
    </row>
    <row r="118" spans="1:17">
      <c r="A118" s="2">
        <f t="shared" si="6"/>
        <v>116</v>
      </c>
      <c r="B118" s="156">
        <f t="shared" ref="B118" si="219">YEAR(H118)+IF(MONTH(H118)&gt;=4,1,0)</f>
        <v>2026</v>
      </c>
      <c r="C118" s="2">
        <f t="shared" ref="C118" si="220">YEAR(H118)</f>
        <v>2025</v>
      </c>
      <c r="D118" s="2" t="s">
        <v>224</v>
      </c>
      <c r="E118" s="2" t="s">
        <v>224</v>
      </c>
      <c r="F118" s="18">
        <v>45839</v>
      </c>
      <c r="G118" s="2">
        <f t="shared" ref="G118" si="221">DAY(EOMONTH(F118,0))</f>
        <v>31</v>
      </c>
      <c r="H118" s="19">
        <f t="shared" si="168"/>
        <v>45860</v>
      </c>
      <c r="I118">
        <v>17</v>
      </c>
      <c r="J118" t="s">
        <v>360</v>
      </c>
      <c r="Q118" s="2">
        <f>SUM(MC[[#This Row],[IC1_Inv1_MC]:[IC2_Inv2_MC]])</f>
        <v>0</v>
      </c>
    </row>
    <row r="119" spans="1:17">
      <c r="A119" s="2">
        <f t="shared" si="6"/>
        <v>117</v>
      </c>
      <c r="B119" s="156">
        <f t="shared" ref="B119" si="222">YEAR(H119)+IF(MONTH(H119)&gt;=4,1,0)</f>
        <v>2026</v>
      </c>
      <c r="C119" s="2">
        <f t="shared" ref="C119" si="223">YEAR(H119)</f>
        <v>2025</v>
      </c>
      <c r="D119" s="2" t="s">
        <v>224</v>
      </c>
      <c r="E119" s="2" t="s">
        <v>224</v>
      </c>
      <c r="F119" s="18">
        <v>45839</v>
      </c>
      <c r="G119" s="2">
        <f t="shared" ref="G119" si="224">DAY(EOMONTH(F119,0))</f>
        <v>31</v>
      </c>
      <c r="H119" s="19">
        <f t="shared" si="168"/>
        <v>45861</v>
      </c>
      <c r="I119">
        <v>17</v>
      </c>
      <c r="J119" t="s">
        <v>360</v>
      </c>
      <c r="Q119" s="2">
        <f>SUM(MC[[#This Row],[IC1_Inv1_MC]:[IC2_Inv2_MC]])</f>
        <v>0</v>
      </c>
    </row>
    <row r="120" spans="1:17">
      <c r="A120" s="2">
        <f t="shared" si="6"/>
        <v>118</v>
      </c>
      <c r="B120" s="156">
        <f t="shared" ref="B120" si="225">YEAR(H120)+IF(MONTH(H120)&gt;=4,1,0)</f>
        <v>2026</v>
      </c>
      <c r="C120" s="2">
        <f t="shared" ref="C120" si="226">YEAR(H120)</f>
        <v>2025</v>
      </c>
      <c r="D120" s="2" t="s">
        <v>224</v>
      </c>
      <c r="E120" s="2" t="s">
        <v>224</v>
      </c>
      <c r="F120" s="18">
        <v>45839</v>
      </c>
      <c r="G120" s="2">
        <f t="shared" ref="G120" si="227">DAY(EOMONTH(F120,0))</f>
        <v>31</v>
      </c>
      <c r="H120" s="19">
        <f t="shared" si="168"/>
        <v>45862</v>
      </c>
      <c r="I120">
        <v>17</v>
      </c>
      <c r="J120" t="s">
        <v>360</v>
      </c>
      <c r="Q120" s="2">
        <f>SUM(MC[[#This Row],[IC1_Inv1_MC]:[IC2_Inv2_MC]])</f>
        <v>0</v>
      </c>
    </row>
    <row r="121" spans="1:17">
      <c r="A121" s="2">
        <f t="shared" si="6"/>
        <v>119</v>
      </c>
      <c r="B121" s="156">
        <f t="shared" ref="B121" si="228">YEAR(H121)+IF(MONTH(H121)&gt;=4,1,0)</f>
        <v>2026</v>
      </c>
      <c r="C121" s="2">
        <f t="shared" ref="C121" si="229">YEAR(H121)</f>
        <v>2025</v>
      </c>
      <c r="D121" s="2" t="s">
        <v>224</v>
      </c>
      <c r="E121" s="2" t="s">
        <v>224</v>
      </c>
      <c r="F121" s="18">
        <v>45839</v>
      </c>
      <c r="G121" s="2">
        <f t="shared" ref="G121" si="230">DAY(EOMONTH(F121,0))</f>
        <v>31</v>
      </c>
      <c r="H121" s="19">
        <f t="shared" si="168"/>
        <v>45863</v>
      </c>
      <c r="I121">
        <v>17</v>
      </c>
      <c r="J121" t="s">
        <v>360</v>
      </c>
      <c r="Q121" s="2">
        <f>SUM(MC[[#This Row],[IC1_Inv1_MC]:[IC2_Inv2_MC]])</f>
        <v>0</v>
      </c>
    </row>
    <row r="122" spans="1:17">
      <c r="A122" s="2">
        <f t="shared" si="6"/>
        <v>120</v>
      </c>
      <c r="B122" s="156">
        <f t="shared" ref="B122" si="231">YEAR(H122)+IF(MONTH(H122)&gt;=4,1,0)</f>
        <v>2026</v>
      </c>
      <c r="C122" s="2">
        <f t="shared" ref="C122" si="232">YEAR(H122)</f>
        <v>2025</v>
      </c>
      <c r="D122" s="2" t="s">
        <v>224</v>
      </c>
      <c r="E122" s="2" t="s">
        <v>224</v>
      </c>
      <c r="F122" s="18">
        <v>45839</v>
      </c>
      <c r="G122" s="2">
        <f t="shared" ref="G122" si="233">DAY(EOMONTH(F122,0))</f>
        <v>31</v>
      </c>
      <c r="H122" s="19">
        <f t="shared" si="168"/>
        <v>45864</v>
      </c>
      <c r="I122">
        <v>17</v>
      </c>
      <c r="J122" t="s">
        <v>360</v>
      </c>
      <c r="Q122" s="2">
        <f>SUM(MC[[#This Row],[IC1_Inv1_MC]:[IC2_Inv2_MC]])</f>
        <v>0</v>
      </c>
    </row>
    <row r="123" spans="1:17">
      <c r="A123" s="2">
        <f t="shared" si="6"/>
        <v>121</v>
      </c>
      <c r="B123" s="156">
        <f t="shared" ref="B123" si="234">YEAR(H123)+IF(MONTH(H123)&gt;=4,1,0)</f>
        <v>2026</v>
      </c>
      <c r="C123" s="2">
        <f t="shared" ref="C123" si="235">YEAR(H123)</f>
        <v>2025</v>
      </c>
      <c r="D123" s="2" t="s">
        <v>224</v>
      </c>
      <c r="E123" s="2" t="s">
        <v>224</v>
      </c>
      <c r="F123" s="18">
        <v>45839</v>
      </c>
      <c r="G123" s="2">
        <f t="shared" ref="G123" si="236">DAY(EOMONTH(F123,0))</f>
        <v>31</v>
      </c>
      <c r="H123" s="19">
        <f t="shared" si="168"/>
        <v>45865</v>
      </c>
      <c r="I123">
        <v>17</v>
      </c>
      <c r="J123" t="s">
        <v>360</v>
      </c>
      <c r="Q123" s="2">
        <f>SUM(MC[[#This Row],[IC1_Inv1_MC]:[IC2_Inv2_MC]])</f>
        <v>0</v>
      </c>
    </row>
    <row r="124" spans="1:17">
      <c r="A124" s="2">
        <f t="shared" si="6"/>
        <v>122</v>
      </c>
      <c r="B124" s="156">
        <f t="shared" ref="B124" si="237">YEAR(H124)+IF(MONTH(H124)&gt;=4,1,0)</f>
        <v>2026</v>
      </c>
      <c r="C124" s="2">
        <f t="shared" ref="C124" si="238">YEAR(H124)</f>
        <v>2025</v>
      </c>
      <c r="D124" s="2" t="s">
        <v>224</v>
      </c>
      <c r="E124" s="2" t="s">
        <v>224</v>
      </c>
      <c r="F124" s="18">
        <v>45839</v>
      </c>
      <c r="G124" s="2">
        <f t="shared" ref="G124" si="239">DAY(EOMONTH(F124,0))</f>
        <v>31</v>
      </c>
      <c r="H124" s="19">
        <f t="shared" si="168"/>
        <v>45866</v>
      </c>
      <c r="I124">
        <v>17</v>
      </c>
      <c r="J124" t="s">
        <v>360</v>
      </c>
      <c r="Q124" s="2">
        <f>SUM(MC[[#This Row],[IC1_Inv1_MC]:[IC2_Inv2_MC]])</f>
        <v>0</v>
      </c>
    </row>
    <row r="125" spans="1:17">
      <c r="A125" s="2">
        <f t="shared" si="6"/>
        <v>123</v>
      </c>
      <c r="B125" s="156">
        <f t="shared" ref="B125" si="240">YEAR(H125)+IF(MONTH(H125)&gt;=4,1,0)</f>
        <v>2026</v>
      </c>
      <c r="C125" s="2">
        <f t="shared" ref="C125" si="241">YEAR(H125)</f>
        <v>2025</v>
      </c>
      <c r="D125" s="2" t="s">
        <v>224</v>
      </c>
      <c r="E125" s="2" t="s">
        <v>224</v>
      </c>
      <c r="F125" s="18">
        <v>45839</v>
      </c>
      <c r="G125" s="2">
        <f t="shared" ref="G125" si="242">DAY(EOMONTH(F125,0))</f>
        <v>31</v>
      </c>
      <c r="H125" s="19">
        <f t="shared" si="168"/>
        <v>45867</v>
      </c>
      <c r="I125">
        <v>17</v>
      </c>
      <c r="J125" t="s">
        <v>360</v>
      </c>
      <c r="Q125" s="2">
        <f>SUM(MC[[#This Row],[IC1_Inv1_MC]:[IC2_Inv2_MC]])</f>
        <v>0</v>
      </c>
    </row>
    <row r="126" spans="1:17">
      <c r="A126" s="2">
        <f t="shared" si="6"/>
        <v>124</v>
      </c>
      <c r="B126" s="156">
        <f t="shared" ref="B126" si="243">YEAR(H126)+IF(MONTH(H126)&gt;=4,1,0)</f>
        <v>2026</v>
      </c>
      <c r="C126" s="2">
        <f t="shared" ref="C126" si="244">YEAR(H126)</f>
        <v>2025</v>
      </c>
      <c r="D126" s="2" t="s">
        <v>224</v>
      </c>
      <c r="E126" s="2" t="s">
        <v>224</v>
      </c>
      <c r="F126" s="18">
        <v>45839</v>
      </c>
      <c r="G126" s="2">
        <f t="shared" ref="G126" si="245">DAY(EOMONTH(F126,0))</f>
        <v>31</v>
      </c>
      <c r="H126" s="19">
        <f t="shared" si="168"/>
        <v>45868</v>
      </c>
      <c r="I126">
        <v>17</v>
      </c>
      <c r="J126" t="s">
        <v>360</v>
      </c>
      <c r="Q126" s="2">
        <f>SUM(MC[[#This Row],[IC1_Inv1_MC]:[IC2_Inv2_MC]])</f>
        <v>0</v>
      </c>
    </row>
    <row r="127" spans="1:17">
      <c r="A127" s="2">
        <f t="shared" si="6"/>
        <v>125</v>
      </c>
      <c r="B127" s="156">
        <f t="shared" ref="B127" si="246">YEAR(H127)+IF(MONTH(H127)&gt;=4,1,0)</f>
        <v>2026</v>
      </c>
      <c r="C127" s="2">
        <f t="shared" ref="C127" si="247">YEAR(H127)</f>
        <v>2025</v>
      </c>
      <c r="D127" s="2" t="s">
        <v>224</v>
      </c>
      <c r="E127" s="2" t="s">
        <v>224</v>
      </c>
      <c r="F127" s="18">
        <v>45839</v>
      </c>
      <c r="G127" s="2">
        <f t="shared" ref="G127" si="248">DAY(EOMONTH(F127,0))</f>
        <v>31</v>
      </c>
      <c r="H127" s="19">
        <f t="shared" si="168"/>
        <v>45869</v>
      </c>
      <c r="I127">
        <v>17</v>
      </c>
      <c r="J127" t="s">
        <v>360</v>
      </c>
      <c r="Q127" s="2">
        <f>SUM(MC[[#This Row],[IC1_Inv1_MC]:[IC2_Inv2_MC]])</f>
        <v>0</v>
      </c>
    </row>
  </sheetData>
  <phoneticPr fontId="36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52"/>
  <sheetViews>
    <sheetView topLeftCell="A2" workbookViewId="0">
      <pane xSplit="8" ySplit="1" topLeftCell="I96" activePane="bottomRight" state="frozen"/>
      <selection pane="topRight" activeCell="I2" sqref="I2"/>
      <selection pane="bottomLeft" activeCell="A3" sqref="A3"/>
      <selection pane="bottomRight" activeCell="K109" sqref="K109"/>
    </sheetView>
  </sheetViews>
  <sheetFormatPr defaultColWidth="9" defaultRowHeight="15"/>
  <cols>
    <col min="2" max="2" width="11.28515625" customWidth="1"/>
    <col min="3" max="3" width="12.5703125" customWidth="1"/>
    <col min="4" max="4" width="14.7109375" customWidth="1"/>
    <col min="5" max="5" width="13.42578125" customWidth="1"/>
    <col min="6" max="6" width="10.7109375" customWidth="1"/>
    <col min="7" max="7" width="4.7109375" customWidth="1"/>
    <col min="8" max="8" width="11.5703125" customWidth="1"/>
    <col min="10" max="10" width="9.28515625" customWidth="1"/>
    <col min="17" max="17" width="12.5703125" customWidth="1"/>
    <col min="18" max="18" width="37.42578125" customWidth="1"/>
    <col min="19" max="19" width="19.7109375" customWidth="1"/>
  </cols>
  <sheetData>
    <row r="1" spans="1:19" hidden="1"/>
    <row r="2" spans="1:19" ht="45">
      <c r="A2" s="17" t="s">
        <v>5</v>
      </c>
      <c r="B2" s="17" t="s">
        <v>125</v>
      </c>
      <c r="C2" s="17" t="s">
        <v>126</v>
      </c>
      <c r="D2" s="17" t="s">
        <v>127</v>
      </c>
      <c r="E2" s="17" t="s">
        <v>128</v>
      </c>
      <c r="F2" s="17" t="s">
        <v>84</v>
      </c>
      <c r="G2" s="17" t="s">
        <v>63</v>
      </c>
      <c r="H2" s="17" t="s">
        <v>34</v>
      </c>
      <c r="I2" s="20" t="s">
        <v>343</v>
      </c>
      <c r="J2" s="20" t="s">
        <v>344</v>
      </c>
      <c r="K2" s="20" t="s">
        <v>361</v>
      </c>
      <c r="L2" s="20" t="s">
        <v>362</v>
      </c>
      <c r="M2" s="20" t="s">
        <v>363</v>
      </c>
      <c r="N2" s="20" t="s">
        <v>364</v>
      </c>
      <c r="O2" s="20" t="s">
        <v>365</v>
      </c>
      <c r="P2" s="20" t="s">
        <v>366</v>
      </c>
      <c r="Q2" s="23" t="s">
        <v>367</v>
      </c>
      <c r="R2" s="20" t="s">
        <v>358</v>
      </c>
      <c r="S2" t="s">
        <v>333</v>
      </c>
    </row>
    <row r="3" spans="1:19">
      <c r="A3" s="2">
        <v>1</v>
      </c>
      <c r="B3" s="156">
        <f t="shared" ref="B3:B43" si="0">YEAR(H3)+IF(MONTH(H3)&gt;=4,1,0)</f>
        <v>2025</v>
      </c>
      <c r="C3" s="129">
        <f t="shared" ref="C3:C43" si="1">YEAR(H3)</f>
        <v>2025</v>
      </c>
      <c r="D3" s="2" t="s">
        <v>155</v>
      </c>
      <c r="E3" s="2" t="s">
        <v>155</v>
      </c>
      <c r="F3" s="18">
        <v>45717</v>
      </c>
      <c r="G3" s="2"/>
      <c r="H3" s="19">
        <v>45745</v>
      </c>
      <c r="Q3" s="2">
        <f>SUM(GC[[#This Row],[IC1_Inv1_GC]:[IC2_Inv2_GC]])</f>
        <v>0</v>
      </c>
    </row>
    <row r="4" spans="1:19">
      <c r="A4" s="2">
        <f>A3+1</f>
        <v>2</v>
      </c>
      <c r="B4" s="156">
        <f t="shared" si="0"/>
        <v>2025</v>
      </c>
      <c r="C4" s="129">
        <f t="shared" si="1"/>
        <v>2025</v>
      </c>
      <c r="D4" s="2" t="s">
        <v>155</v>
      </c>
      <c r="E4" s="2" t="s">
        <v>155</v>
      </c>
      <c r="F4" s="18">
        <v>45717</v>
      </c>
      <c r="G4" s="2"/>
      <c r="H4" s="19">
        <f t="shared" ref="H4:H43" si="2">H3+1</f>
        <v>45746</v>
      </c>
      <c r="Q4" s="2">
        <f>SUM(GC[[#This Row],[IC1_Inv1_GC]:[IC2_Inv2_GC]])</f>
        <v>0</v>
      </c>
    </row>
    <row r="5" spans="1:19">
      <c r="A5" s="2">
        <f t="shared" ref="A5:A68" si="3">A4+1</f>
        <v>3</v>
      </c>
      <c r="B5" s="156">
        <f t="shared" si="0"/>
        <v>2025</v>
      </c>
      <c r="C5" s="129">
        <f t="shared" si="1"/>
        <v>2025</v>
      </c>
      <c r="D5" s="2" t="s">
        <v>155</v>
      </c>
      <c r="E5" s="2" t="s">
        <v>155</v>
      </c>
      <c r="F5" s="18">
        <v>45717</v>
      </c>
      <c r="G5" s="2"/>
      <c r="H5" s="19">
        <f t="shared" si="2"/>
        <v>45747</v>
      </c>
      <c r="Q5" s="2">
        <f>SUM(GC[[#This Row],[IC1_Inv1_GC]:[IC2_Inv2_GC]])</f>
        <v>0</v>
      </c>
    </row>
    <row r="6" spans="1:19">
      <c r="A6" s="2">
        <f t="shared" si="3"/>
        <v>4</v>
      </c>
      <c r="B6" s="156">
        <f t="shared" si="0"/>
        <v>2026</v>
      </c>
      <c r="C6" s="129">
        <f t="shared" si="1"/>
        <v>2025</v>
      </c>
      <c r="D6" s="2" t="s">
        <v>155</v>
      </c>
      <c r="E6" s="2" t="s">
        <v>155</v>
      </c>
      <c r="F6" s="18">
        <v>45748</v>
      </c>
      <c r="G6" s="2"/>
      <c r="H6" s="19">
        <f t="shared" si="2"/>
        <v>45748</v>
      </c>
      <c r="Q6" s="2">
        <f>SUM(GC[[#This Row],[IC1_Inv1_GC]:[IC2_Inv2_GC]])</f>
        <v>0</v>
      </c>
    </row>
    <row r="7" spans="1:19">
      <c r="A7" s="2">
        <f t="shared" si="3"/>
        <v>5</v>
      </c>
      <c r="B7" s="156">
        <f t="shared" si="0"/>
        <v>2026</v>
      </c>
      <c r="C7" s="129">
        <f t="shared" si="1"/>
        <v>2025</v>
      </c>
      <c r="D7" s="2" t="s">
        <v>155</v>
      </c>
      <c r="E7" s="2" t="s">
        <v>155</v>
      </c>
      <c r="F7" s="18">
        <v>45748</v>
      </c>
      <c r="G7" s="2"/>
      <c r="H7" s="19">
        <f t="shared" si="2"/>
        <v>45749</v>
      </c>
      <c r="Q7" s="2">
        <f>SUM(GC[[#This Row],[IC1_Inv1_GC]:[IC2_Inv2_GC]])</f>
        <v>0</v>
      </c>
    </row>
    <row r="8" spans="1:19">
      <c r="A8" s="2">
        <f t="shared" si="3"/>
        <v>6</v>
      </c>
      <c r="B8" s="156">
        <f t="shared" si="0"/>
        <v>2026</v>
      </c>
      <c r="C8" s="129">
        <f t="shared" si="1"/>
        <v>2025</v>
      </c>
      <c r="D8" s="2" t="s">
        <v>155</v>
      </c>
      <c r="E8" s="2" t="s">
        <v>155</v>
      </c>
      <c r="F8" s="18">
        <v>45748</v>
      </c>
      <c r="G8" s="2"/>
      <c r="H8" s="19">
        <f t="shared" si="2"/>
        <v>45750</v>
      </c>
      <c r="Q8" s="2">
        <f>SUM(GC[[#This Row],[IC1_Inv1_GC]:[IC2_Inv2_GC]])</f>
        <v>0</v>
      </c>
    </row>
    <row r="9" spans="1:19">
      <c r="A9" s="2">
        <f t="shared" si="3"/>
        <v>7</v>
      </c>
      <c r="B9" s="156">
        <f t="shared" si="0"/>
        <v>2026</v>
      </c>
      <c r="C9" s="129">
        <f t="shared" si="1"/>
        <v>2025</v>
      </c>
      <c r="D9" s="2" t="s">
        <v>155</v>
      </c>
      <c r="E9" s="2" t="s">
        <v>155</v>
      </c>
      <c r="F9" s="18">
        <v>45748</v>
      </c>
      <c r="G9" s="2"/>
      <c r="H9" s="19">
        <f t="shared" si="2"/>
        <v>45751</v>
      </c>
      <c r="Q9" s="2">
        <f>SUM(GC[[#This Row],[IC1_Inv1_GC]:[IC2_Inv2_GC]])</f>
        <v>0</v>
      </c>
    </row>
    <row r="10" spans="1:19">
      <c r="A10" s="2">
        <f t="shared" si="3"/>
        <v>8</v>
      </c>
      <c r="B10" s="156">
        <f t="shared" si="0"/>
        <v>2026</v>
      </c>
      <c r="C10" s="129">
        <f t="shared" si="1"/>
        <v>2025</v>
      </c>
      <c r="D10" s="2" t="s">
        <v>155</v>
      </c>
      <c r="E10" s="2" t="s">
        <v>155</v>
      </c>
      <c r="F10" s="18">
        <v>45748</v>
      </c>
      <c r="G10" s="2"/>
      <c r="H10" s="19">
        <f t="shared" si="2"/>
        <v>45752</v>
      </c>
      <c r="Q10" s="2">
        <f>SUM(GC[[#This Row],[IC1_Inv1_GC]:[IC2_Inv2_GC]])</f>
        <v>0</v>
      </c>
    </row>
    <row r="11" spans="1:19">
      <c r="A11" s="2">
        <f t="shared" si="3"/>
        <v>9</v>
      </c>
      <c r="B11" s="156">
        <f t="shared" si="0"/>
        <v>2026</v>
      </c>
      <c r="C11" s="129">
        <f t="shared" si="1"/>
        <v>2025</v>
      </c>
      <c r="D11" s="2" t="s">
        <v>155</v>
      </c>
      <c r="E11" s="2" t="s">
        <v>155</v>
      </c>
      <c r="F11" s="18">
        <v>45748</v>
      </c>
      <c r="G11" s="2"/>
      <c r="H11" s="19">
        <f t="shared" si="2"/>
        <v>45753</v>
      </c>
      <c r="Q11" s="2">
        <f>SUM(GC[[#This Row],[IC1_Inv1_GC]:[IC2_Inv2_GC]])</f>
        <v>0</v>
      </c>
    </row>
    <row r="12" spans="1:19">
      <c r="A12" s="2">
        <f t="shared" si="3"/>
        <v>10</v>
      </c>
      <c r="B12" s="156">
        <f t="shared" si="0"/>
        <v>2026</v>
      </c>
      <c r="C12" s="129">
        <f t="shared" si="1"/>
        <v>2025</v>
      </c>
      <c r="D12" s="2" t="s">
        <v>155</v>
      </c>
      <c r="E12" s="2" t="s">
        <v>155</v>
      </c>
      <c r="F12" s="18">
        <v>45748</v>
      </c>
      <c r="G12" s="2"/>
      <c r="H12" s="19">
        <f t="shared" si="2"/>
        <v>45754</v>
      </c>
      <c r="Q12" s="2">
        <f>SUM(GC[[#This Row],[IC1_Inv1_GC]:[IC2_Inv2_GC]])</f>
        <v>0</v>
      </c>
    </row>
    <row r="13" spans="1:19">
      <c r="A13" s="2">
        <f t="shared" si="3"/>
        <v>11</v>
      </c>
      <c r="B13" s="156">
        <f t="shared" si="0"/>
        <v>2026</v>
      </c>
      <c r="C13" s="129">
        <f t="shared" si="1"/>
        <v>2025</v>
      </c>
      <c r="D13" s="2" t="s">
        <v>155</v>
      </c>
      <c r="E13" s="2" t="s">
        <v>155</v>
      </c>
      <c r="F13" s="18">
        <v>45748</v>
      </c>
      <c r="G13" s="2"/>
      <c r="H13" s="19">
        <f t="shared" si="2"/>
        <v>45755</v>
      </c>
      <c r="Q13" s="2">
        <f>SUM(GC[[#This Row],[IC1_Inv1_GC]:[IC2_Inv2_GC]])</f>
        <v>0</v>
      </c>
    </row>
    <row r="14" spans="1:19">
      <c r="A14" s="2">
        <f t="shared" si="3"/>
        <v>12</v>
      </c>
      <c r="B14" s="156">
        <f t="shared" si="0"/>
        <v>2026</v>
      </c>
      <c r="C14" s="129">
        <f t="shared" si="1"/>
        <v>2025</v>
      </c>
      <c r="D14" s="2" t="s">
        <v>155</v>
      </c>
      <c r="E14" s="2" t="s">
        <v>155</v>
      </c>
      <c r="F14" s="18">
        <v>45748</v>
      </c>
      <c r="G14" s="2"/>
      <c r="H14" s="19">
        <f t="shared" si="2"/>
        <v>45756</v>
      </c>
      <c r="Q14" s="2">
        <f>SUM(GC[[#This Row],[IC1_Inv1_GC]:[IC2_Inv2_GC]])</f>
        <v>0</v>
      </c>
    </row>
    <row r="15" spans="1:19">
      <c r="A15" s="2">
        <f t="shared" si="3"/>
        <v>13</v>
      </c>
      <c r="B15" s="156">
        <f t="shared" si="0"/>
        <v>2026</v>
      </c>
      <c r="C15" s="129">
        <f t="shared" si="1"/>
        <v>2025</v>
      </c>
      <c r="D15" s="2" t="s">
        <v>155</v>
      </c>
      <c r="E15" s="2" t="s">
        <v>155</v>
      </c>
      <c r="F15" s="18">
        <v>45748</v>
      </c>
      <c r="G15" s="2"/>
      <c r="H15" s="19">
        <f t="shared" si="2"/>
        <v>45757</v>
      </c>
      <c r="Q15" s="2">
        <f>SUM(GC[[#This Row],[IC1_Inv1_GC]:[IC2_Inv2_GC]])</f>
        <v>0</v>
      </c>
    </row>
    <row r="16" spans="1:19">
      <c r="A16" s="2">
        <f t="shared" si="3"/>
        <v>14</v>
      </c>
      <c r="B16" s="156">
        <f t="shared" si="0"/>
        <v>2026</v>
      </c>
      <c r="C16" s="129">
        <f t="shared" si="1"/>
        <v>2025</v>
      </c>
      <c r="D16" s="2" t="s">
        <v>155</v>
      </c>
      <c r="E16" s="2" t="s">
        <v>155</v>
      </c>
      <c r="F16" s="18">
        <v>45748</v>
      </c>
      <c r="G16" s="2"/>
      <c r="H16" s="19">
        <f t="shared" si="2"/>
        <v>45758</v>
      </c>
      <c r="Q16" s="2">
        <f>SUM(GC[[#This Row],[IC1_Inv1_GC]:[IC2_Inv2_GC]])</f>
        <v>0</v>
      </c>
    </row>
    <row r="17" spans="1:17">
      <c r="A17" s="2">
        <f t="shared" si="3"/>
        <v>15</v>
      </c>
      <c r="B17" s="156">
        <f t="shared" si="0"/>
        <v>2026</v>
      </c>
      <c r="C17" s="129">
        <f t="shared" si="1"/>
        <v>2025</v>
      </c>
      <c r="D17" s="2" t="s">
        <v>155</v>
      </c>
      <c r="E17" s="2" t="s">
        <v>155</v>
      </c>
      <c r="F17" s="18">
        <v>45748</v>
      </c>
      <c r="G17" s="2"/>
      <c r="H17" s="19">
        <f t="shared" si="2"/>
        <v>45759</v>
      </c>
      <c r="Q17" s="2">
        <f>SUM(GC[[#This Row],[IC1_Inv1_GC]:[IC2_Inv2_GC]])</f>
        <v>0</v>
      </c>
    </row>
    <row r="18" spans="1:17">
      <c r="A18" s="2">
        <f t="shared" si="3"/>
        <v>16</v>
      </c>
      <c r="B18" s="156">
        <f t="shared" si="0"/>
        <v>2026</v>
      </c>
      <c r="C18" s="129">
        <f t="shared" si="1"/>
        <v>2025</v>
      </c>
      <c r="D18" s="2" t="s">
        <v>155</v>
      </c>
      <c r="E18" s="2" t="s">
        <v>155</v>
      </c>
      <c r="F18" s="18">
        <v>45748</v>
      </c>
      <c r="G18" s="2"/>
      <c r="H18" s="19">
        <f t="shared" si="2"/>
        <v>45760</v>
      </c>
      <c r="Q18" s="2">
        <f>SUM(GC[[#This Row],[IC1_Inv1_GC]:[IC2_Inv2_GC]])</f>
        <v>0</v>
      </c>
    </row>
    <row r="19" spans="1:17">
      <c r="A19" s="2">
        <f t="shared" si="3"/>
        <v>17</v>
      </c>
      <c r="B19" s="156">
        <f t="shared" si="0"/>
        <v>2026</v>
      </c>
      <c r="C19" s="129">
        <f t="shared" si="1"/>
        <v>2025</v>
      </c>
      <c r="D19" s="2" t="s">
        <v>155</v>
      </c>
      <c r="E19" s="2" t="s">
        <v>155</v>
      </c>
      <c r="F19" s="18">
        <v>45748</v>
      </c>
      <c r="G19" s="2"/>
      <c r="H19" s="19">
        <f t="shared" si="2"/>
        <v>45761</v>
      </c>
      <c r="Q19" s="2">
        <f>SUM(GC[[#This Row],[IC1_Inv1_GC]:[IC2_Inv2_GC]])</f>
        <v>0</v>
      </c>
    </row>
    <row r="20" spans="1:17">
      <c r="A20" s="2">
        <f t="shared" si="3"/>
        <v>18</v>
      </c>
      <c r="B20" s="156">
        <f t="shared" si="0"/>
        <v>2026</v>
      </c>
      <c r="C20" s="129">
        <f t="shared" si="1"/>
        <v>2025</v>
      </c>
      <c r="D20" s="2" t="s">
        <v>155</v>
      </c>
      <c r="E20" s="2" t="s">
        <v>155</v>
      </c>
      <c r="F20" s="18">
        <v>45748</v>
      </c>
      <c r="G20" s="2"/>
      <c r="H20" s="19">
        <f t="shared" si="2"/>
        <v>45762</v>
      </c>
      <c r="Q20" s="2">
        <f>SUM(GC[[#This Row],[IC1_Inv1_GC]:[IC2_Inv2_GC]])</f>
        <v>0</v>
      </c>
    </row>
    <row r="21" spans="1:17">
      <c r="A21" s="2">
        <f t="shared" si="3"/>
        <v>19</v>
      </c>
      <c r="B21" s="156">
        <f t="shared" si="0"/>
        <v>2026</v>
      </c>
      <c r="C21" s="129">
        <f t="shared" si="1"/>
        <v>2025</v>
      </c>
      <c r="D21" s="2" t="s">
        <v>155</v>
      </c>
      <c r="E21" s="2" t="s">
        <v>155</v>
      </c>
      <c r="F21" s="18">
        <v>45748</v>
      </c>
      <c r="G21" s="2"/>
      <c r="H21" s="19">
        <f t="shared" si="2"/>
        <v>45763</v>
      </c>
      <c r="Q21" s="2">
        <f>SUM(GC[[#This Row],[IC1_Inv1_GC]:[IC2_Inv2_GC]])</f>
        <v>0</v>
      </c>
    </row>
    <row r="22" spans="1:17">
      <c r="A22" s="2">
        <f t="shared" si="3"/>
        <v>20</v>
      </c>
      <c r="B22" s="156">
        <f t="shared" si="0"/>
        <v>2026</v>
      </c>
      <c r="C22" s="129">
        <f t="shared" si="1"/>
        <v>2025</v>
      </c>
      <c r="D22" s="2" t="s">
        <v>155</v>
      </c>
      <c r="E22" s="2" t="s">
        <v>155</v>
      </c>
      <c r="F22" s="18">
        <v>45748</v>
      </c>
      <c r="G22" s="2"/>
      <c r="H22" s="19">
        <f t="shared" si="2"/>
        <v>45764</v>
      </c>
      <c r="Q22" s="2">
        <f>SUM(GC[[#This Row],[IC1_Inv1_GC]:[IC2_Inv2_GC]])</f>
        <v>0</v>
      </c>
    </row>
    <row r="23" spans="1:17">
      <c r="A23" s="2">
        <f t="shared" si="3"/>
        <v>21</v>
      </c>
      <c r="B23" s="156">
        <f t="shared" si="0"/>
        <v>2026</v>
      </c>
      <c r="C23" s="129">
        <f t="shared" si="1"/>
        <v>2025</v>
      </c>
      <c r="D23" s="2" t="s">
        <v>155</v>
      </c>
      <c r="E23" s="2" t="s">
        <v>155</v>
      </c>
      <c r="F23" s="18">
        <v>45748</v>
      </c>
      <c r="G23" s="2"/>
      <c r="H23" s="19">
        <f t="shared" si="2"/>
        <v>45765</v>
      </c>
      <c r="Q23" s="2">
        <f>SUM(GC[[#This Row],[IC1_Inv1_GC]:[IC2_Inv2_GC]])</f>
        <v>0</v>
      </c>
    </row>
    <row r="24" spans="1:17">
      <c r="A24" s="2">
        <f t="shared" si="3"/>
        <v>22</v>
      </c>
      <c r="B24" s="156">
        <f t="shared" si="0"/>
        <v>2026</v>
      </c>
      <c r="C24" s="129">
        <f t="shared" si="1"/>
        <v>2025</v>
      </c>
      <c r="D24" s="2" t="s">
        <v>155</v>
      </c>
      <c r="E24" s="2" t="s">
        <v>155</v>
      </c>
      <c r="F24" s="18">
        <v>45748</v>
      </c>
      <c r="G24" s="2"/>
      <c r="H24" s="19">
        <f t="shared" si="2"/>
        <v>45766</v>
      </c>
      <c r="Q24" s="2">
        <f>SUM(GC[[#This Row],[IC1_Inv1_GC]:[IC2_Inv2_GC]])</f>
        <v>0</v>
      </c>
    </row>
    <row r="25" spans="1:17">
      <c r="A25" s="2">
        <f t="shared" si="3"/>
        <v>23</v>
      </c>
      <c r="B25" s="156">
        <f t="shared" si="0"/>
        <v>2026</v>
      </c>
      <c r="C25" s="129">
        <f t="shared" si="1"/>
        <v>2025</v>
      </c>
      <c r="D25" s="2" t="s">
        <v>155</v>
      </c>
      <c r="E25" s="2" t="s">
        <v>155</v>
      </c>
      <c r="F25" s="18">
        <v>45748</v>
      </c>
      <c r="G25" s="2"/>
      <c r="H25" s="19">
        <f t="shared" si="2"/>
        <v>45767</v>
      </c>
      <c r="Q25" s="2">
        <f>SUM(GC[[#This Row],[IC1_Inv1_GC]:[IC2_Inv2_GC]])</f>
        <v>0</v>
      </c>
    </row>
    <row r="26" spans="1:17">
      <c r="A26" s="2">
        <f t="shared" si="3"/>
        <v>24</v>
      </c>
      <c r="B26" s="156">
        <f t="shared" si="0"/>
        <v>2026</v>
      </c>
      <c r="C26" s="129">
        <f t="shared" si="1"/>
        <v>2025</v>
      </c>
      <c r="D26" s="2" t="s">
        <v>155</v>
      </c>
      <c r="E26" s="2" t="s">
        <v>155</v>
      </c>
      <c r="F26" s="18">
        <v>45748</v>
      </c>
      <c r="G26" s="2"/>
      <c r="H26" s="19">
        <f t="shared" si="2"/>
        <v>45768</v>
      </c>
      <c r="Q26" s="2">
        <f>SUM(GC[[#This Row],[IC1_Inv1_GC]:[IC2_Inv2_GC]])</f>
        <v>0</v>
      </c>
    </row>
    <row r="27" spans="1:17">
      <c r="A27" s="2">
        <f t="shared" si="3"/>
        <v>25</v>
      </c>
      <c r="B27" s="156">
        <f t="shared" si="0"/>
        <v>2026</v>
      </c>
      <c r="C27" s="129">
        <f t="shared" si="1"/>
        <v>2025</v>
      </c>
      <c r="D27" s="2" t="s">
        <v>155</v>
      </c>
      <c r="E27" s="2" t="s">
        <v>155</v>
      </c>
      <c r="F27" s="18">
        <v>45748</v>
      </c>
      <c r="G27" s="2"/>
      <c r="H27" s="19">
        <f t="shared" si="2"/>
        <v>45769</v>
      </c>
      <c r="Q27" s="2">
        <f>SUM(GC[[#This Row],[IC1_Inv1_GC]:[IC2_Inv2_GC]])</f>
        <v>0</v>
      </c>
    </row>
    <row r="28" spans="1:17">
      <c r="A28" s="2">
        <f t="shared" si="3"/>
        <v>26</v>
      </c>
      <c r="B28" s="156">
        <f t="shared" si="0"/>
        <v>2026</v>
      </c>
      <c r="C28" s="129">
        <f t="shared" si="1"/>
        <v>2025</v>
      </c>
      <c r="D28" s="2" t="s">
        <v>155</v>
      </c>
      <c r="E28" s="2" t="s">
        <v>155</v>
      </c>
      <c r="F28" s="18">
        <v>45748</v>
      </c>
      <c r="G28" s="2"/>
      <c r="H28" s="19">
        <f t="shared" si="2"/>
        <v>45770</v>
      </c>
      <c r="Q28" s="2">
        <f>SUM(GC[[#This Row],[IC1_Inv1_GC]:[IC2_Inv2_GC]])</f>
        <v>0</v>
      </c>
    </row>
    <row r="29" spans="1:17">
      <c r="A29" s="2">
        <f t="shared" si="3"/>
        <v>27</v>
      </c>
      <c r="B29" s="156">
        <f t="shared" si="0"/>
        <v>2026</v>
      </c>
      <c r="C29" s="129">
        <f t="shared" si="1"/>
        <v>2025</v>
      </c>
      <c r="D29" s="2" t="s">
        <v>155</v>
      </c>
      <c r="E29" s="2" t="s">
        <v>155</v>
      </c>
      <c r="F29" s="18">
        <v>45748</v>
      </c>
      <c r="G29" s="2"/>
      <c r="H29" s="19">
        <f t="shared" si="2"/>
        <v>45771</v>
      </c>
      <c r="Q29" s="2">
        <f>SUM(GC[[#This Row],[IC1_Inv1_GC]:[IC2_Inv2_GC]])</f>
        <v>0</v>
      </c>
    </row>
    <row r="30" spans="1:17">
      <c r="A30" s="2">
        <f t="shared" si="3"/>
        <v>28</v>
      </c>
      <c r="B30" s="156">
        <f t="shared" si="0"/>
        <v>2026</v>
      </c>
      <c r="C30" s="129">
        <f t="shared" si="1"/>
        <v>2025</v>
      </c>
      <c r="D30" s="2" t="s">
        <v>155</v>
      </c>
      <c r="E30" s="2" t="s">
        <v>155</v>
      </c>
      <c r="F30" s="18">
        <v>45748</v>
      </c>
      <c r="G30" s="2"/>
      <c r="H30" s="19">
        <f t="shared" si="2"/>
        <v>45772</v>
      </c>
      <c r="Q30" s="2">
        <f>SUM(GC[[#This Row],[IC1_Inv1_GC]:[IC2_Inv2_GC]])</f>
        <v>0</v>
      </c>
    </row>
    <row r="31" spans="1:17">
      <c r="A31" s="2">
        <f t="shared" si="3"/>
        <v>29</v>
      </c>
      <c r="B31" s="156">
        <f t="shared" si="0"/>
        <v>2026</v>
      </c>
      <c r="C31" s="129">
        <f t="shared" si="1"/>
        <v>2025</v>
      </c>
      <c r="D31" s="2" t="s">
        <v>155</v>
      </c>
      <c r="E31" s="2" t="s">
        <v>155</v>
      </c>
      <c r="F31" s="18">
        <v>45748</v>
      </c>
      <c r="G31" s="2"/>
      <c r="H31" s="19">
        <f t="shared" si="2"/>
        <v>45773</v>
      </c>
      <c r="Q31" s="2">
        <f>SUM(GC[[#This Row],[IC1_Inv1_GC]:[IC2_Inv2_GC]])</f>
        <v>0</v>
      </c>
    </row>
    <row r="32" spans="1:17">
      <c r="A32" s="2">
        <f t="shared" si="3"/>
        <v>30</v>
      </c>
      <c r="B32" s="156">
        <f t="shared" si="0"/>
        <v>2026</v>
      </c>
      <c r="C32" s="129">
        <f t="shared" si="1"/>
        <v>2025</v>
      </c>
      <c r="D32" s="2" t="s">
        <v>155</v>
      </c>
      <c r="E32" s="2" t="s">
        <v>155</v>
      </c>
      <c r="F32" s="18">
        <v>45748</v>
      </c>
      <c r="G32" s="2"/>
      <c r="H32" s="19">
        <f t="shared" si="2"/>
        <v>45774</v>
      </c>
      <c r="Q32" s="2">
        <f>SUM(GC[[#This Row],[IC1_Inv1_GC]:[IC2_Inv2_GC]])</f>
        <v>0</v>
      </c>
    </row>
    <row r="33" spans="1:17">
      <c r="A33" s="2">
        <f t="shared" si="3"/>
        <v>31</v>
      </c>
      <c r="B33" s="156">
        <f t="shared" si="0"/>
        <v>2026</v>
      </c>
      <c r="C33" s="129">
        <f t="shared" si="1"/>
        <v>2025</v>
      </c>
      <c r="D33" s="2" t="s">
        <v>155</v>
      </c>
      <c r="E33" s="2" t="s">
        <v>155</v>
      </c>
      <c r="F33" s="18">
        <v>45748</v>
      </c>
      <c r="G33" s="2"/>
      <c r="H33" s="19">
        <f t="shared" si="2"/>
        <v>45775</v>
      </c>
      <c r="Q33" s="2">
        <f>SUM(GC[[#This Row],[IC1_Inv1_GC]:[IC2_Inv2_GC]])</f>
        <v>0</v>
      </c>
    </row>
    <row r="34" spans="1:17">
      <c r="A34" s="2">
        <f t="shared" si="3"/>
        <v>32</v>
      </c>
      <c r="B34" s="156">
        <f t="shared" si="0"/>
        <v>2026</v>
      </c>
      <c r="C34" s="129">
        <f t="shared" si="1"/>
        <v>2025</v>
      </c>
      <c r="D34" s="2" t="s">
        <v>155</v>
      </c>
      <c r="E34" s="2" t="s">
        <v>155</v>
      </c>
      <c r="F34" s="18">
        <v>45748</v>
      </c>
      <c r="G34" s="2"/>
      <c r="H34" s="19">
        <f t="shared" si="2"/>
        <v>45776</v>
      </c>
      <c r="Q34" s="2">
        <f>SUM(GC[[#This Row],[IC1_Inv1_GC]:[IC2_Inv2_GC]])</f>
        <v>0</v>
      </c>
    </row>
    <row r="35" spans="1:17">
      <c r="A35" s="2">
        <f t="shared" si="3"/>
        <v>33</v>
      </c>
      <c r="B35" s="156">
        <f t="shared" si="0"/>
        <v>2026</v>
      </c>
      <c r="C35" s="129">
        <f t="shared" si="1"/>
        <v>2025</v>
      </c>
      <c r="D35" s="2" t="s">
        <v>155</v>
      </c>
      <c r="E35" s="2" t="s">
        <v>155</v>
      </c>
      <c r="F35" s="18">
        <v>45748</v>
      </c>
      <c r="G35" s="2"/>
      <c r="H35" s="19">
        <f t="shared" si="2"/>
        <v>45777</v>
      </c>
      <c r="Q35" s="2">
        <f>SUM(GC[[#This Row],[IC1_Inv1_GC]:[IC2_Inv2_GC]])</f>
        <v>0</v>
      </c>
    </row>
    <row r="36" spans="1:17">
      <c r="A36" s="2">
        <f t="shared" si="3"/>
        <v>34</v>
      </c>
      <c r="B36" s="156">
        <f t="shared" si="0"/>
        <v>2026</v>
      </c>
      <c r="C36" s="129">
        <f t="shared" si="1"/>
        <v>2025</v>
      </c>
      <c r="D36" s="2" t="s">
        <v>155</v>
      </c>
      <c r="E36" s="2" t="s">
        <v>155</v>
      </c>
      <c r="F36" s="18">
        <v>45778</v>
      </c>
      <c r="G36" s="2"/>
      <c r="H36" s="19">
        <f t="shared" si="2"/>
        <v>45778</v>
      </c>
      <c r="Q36" s="2">
        <f>SUM(GC[[#This Row],[IC1_Inv1_GC]:[IC2_Inv2_GC]])</f>
        <v>0</v>
      </c>
    </row>
    <row r="37" spans="1:17">
      <c r="A37" s="2">
        <f t="shared" si="3"/>
        <v>35</v>
      </c>
      <c r="B37" s="156">
        <f t="shared" si="0"/>
        <v>2026</v>
      </c>
      <c r="C37" s="129">
        <f t="shared" si="1"/>
        <v>2025</v>
      </c>
      <c r="D37" s="2" t="s">
        <v>155</v>
      </c>
      <c r="E37" s="2" t="s">
        <v>155</v>
      </c>
      <c r="F37" s="18">
        <v>45778</v>
      </c>
      <c r="G37" s="2"/>
      <c r="H37" s="19">
        <f t="shared" si="2"/>
        <v>45779</v>
      </c>
      <c r="Q37" s="2">
        <f>SUM(GC[[#This Row],[IC1_Inv1_GC]:[IC2_Inv2_GC]])</f>
        <v>0</v>
      </c>
    </row>
    <row r="38" spans="1:17">
      <c r="A38" s="2">
        <f t="shared" si="3"/>
        <v>36</v>
      </c>
      <c r="B38" s="156">
        <f t="shared" si="0"/>
        <v>2026</v>
      </c>
      <c r="C38" s="129">
        <f t="shared" si="1"/>
        <v>2025</v>
      </c>
      <c r="D38" s="2" t="s">
        <v>155</v>
      </c>
      <c r="E38" s="2" t="s">
        <v>155</v>
      </c>
      <c r="F38" s="18">
        <v>45778</v>
      </c>
      <c r="G38" s="2"/>
      <c r="H38" s="19">
        <f t="shared" si="2"/>
        <v>45780</v>
      </c>
      <c r="Q38" s="2">
        <f>SUM(GC[[#This Row],[IC1_Inv1_GC]:[IC2_Inv2_GC]])</f>
        <v>0</v>
      </c>
    </row>
    <row r="39" spans="1:17">
      <c r="A39" s="2">
        <f t="shared" si="3"/>
        <v>37</v>
      </c>
      <c r="B39" s="156">
        <f t="shared" si="0"/>
        <v>2026</v>
      </c>
      <c r="C39" s="129">
        <f t="shared" si="1"/>
        <v>2025</v>
      </c>
      <c r="D39" s="2" t="s">
        <v>155</v>
      </c>
      <c r="E39" s="2" t="s">
        <v>155</v>
      </c>
      <c r="F39" s="18">
        <v>45778</v>
      </c>
      <c r="G39" s="2"/>
      <c r="H39" s="19">
        <f t="shared" si="2"/>
        <v>45781</v>
      </c>
      <c r="Q39" s="2">
        <f>SUM(GC[[#This Row],[IC1_Inv1_GC]:[IC2_Inv2_GC]])</f>
        <v>0</v>
      </c>
    </row>
    <row r="40" spans="1:17">
      <c r="A40" s="2">
        <f t="shared" si="3"/>
        <v>38</v>
      </c>
      <c r="B40" s="156">
        <f t="shared" si="0"/>
        <v>2026</v>
      </c>
      <c r="C40" s="129">
        <f t="shared" si="1"/>
        <v>2025</v>
      </c>
      <c r="D40" s="2" t="s">
        <v>155</v>
      </c>
      <c r="E40" s="2" t="s">
        <v>155</v>
      </c>
      <c r="F40" s="18">
        <v>45778</v>
      </c>
      <c r="G40" s="2"/>
      <c r="H40" s="19">
        <f t="shared" si="2"/>
        <v>45782</v>
      </c>
      <c r="Q40" s="2">
        <f>SUM(GC[[#This Row],[IC1_Inv1_GC]:[IC2_Inv2_GC]])</f>
        <v>0</v>
      </c>
    </row>
    <row r="41" spans="1:17">
      <c r="A41" s="2">
        <f t="shared" si="3"/>
        <v>39</v>
      </c>
      <c r="B41" s="156">
        <f t="shared" si="0"/>
        <v>2026</v>
      </c>
      <c r="C41" s="129">
        <f t="shared" si="1"/>
        <v>2025</v>
      </c>
      <c r="D41" s="2" t="s">
        <v>155</v>
      </c>
      <c r="E41" s="2" t="s">
        <v>155</v>
      </c>
      <c r="F41" s="18">
        <v>45778</v>
      </c>
      <c r="G41" s="2"/>
      <c r="H41" s="19">
        <f t="shared" si="2"/>
        <v>45783</v>
      </c>
      <c r="Q41" s="2">
        <f>SUM(GC[[#This Row],[IC1_Inv1_GC]:[IC2_Inv2_GC]])</f>
        <v>0</v>
      </c>
    </row>
    <row r="42" spans="1:17">
      <c r="A42" s="2">
        <f t="shared" si="3"/>
        <v>40</v>
      </c>
      <c r="B42" s="156">
        <f t="shared" si="0"/>
        <v>2026</v>
      </c>
      <c r="C42" s="129">
        <f t="shared" si="1"/>
        <v>2025</v>
      </c>
      <c r="D42" s="2" t="s">
        <v>155</v>
      </c>
      <c r="E42" s="2" t="s">
        <v>155</v>
      </c>
      <c r="F42" s="18">
        <v>45778</v>
      </c>
      <c r="G42" s="2"/>
      <c r="H42" s="19">
        <f t="shared" si="2"/>
        <v>45784</v>
      </c>
      <c r="Q42" s="2">
        <f>SUM(GC[[#This Row],[IC1_Inv1_GC]:[IC2_Inv2_GC]])</f>
        <v>0</v>
      </c>
    </row>
    <row r="43" spans="1:17">
      <c r="A43" s="2">
        <f t="shared" si="3"/>
        <v>41</v>
      </c>
      <c r="B43" s="156">
        <f t="shared" si="0"/>
        <v>2026</v>
      </c>
      <c r="C43" s="129">
        <f t="shared" si="1"/>
        <v>2025</v>
      </c>
      <c r="D43" s="2" t="s">
        <v>155</v>
      </c>
      <c r="E43" s="2" t="s">
        <v>155</v>
      </c>
      <c r="F43" s="18">
        <v>45778</v>
      </c>
      <c r="G43" s="2"/>
      <c r="H43" s="19">
        <f t="shared" si="2"/>
        <v>45785</v>
      </c>
      <c r="Q43" s="2">
        <f>SUM(GC[[#This Row],[IC1_Inv1_GC]:[IC2_Inv2_GC]])</f>
        <v>0</v>
      </c>
    </row>
    <row r="44" spans="1:17">
      <c r="A44" s="2">
        <f t="shared" si="3"/>
        <v>42</v>
      </c>
      <c r="B44" s="156">
        <f t="shared" ref="B44:B107" si="4">YEAR(H44)+IF(MONTH(H44)&gt;=4,1,0)</f>
        <v>2026</v>
      </c>
      <c r="C44" s="2">
        <f t="shared" ref="C44:C75" si="5">YEAR(H44)</f>
        <v>2025</v>
      </c>
      <c r="D44" s="2" t="s">
        <v>155</v>
      </c>
      <c r="E44" s="2" t="s">
        <v>155</v>
      </c>
      <c r="F44" s="18">
        <v>45778</v>
      </c>
      <c r="G44" s="2"/>
      <c r="H44" s="19">
        <f t="shared" ref="H44:H75" si="6">H43+1</f>
        <v>45786</v>
      </c>
      <c r="Q44" s="2">
        <f>SUM(GC[[#This Row],[IC1_Inv1_GC]:[IC2_Inv2_GC]])</f>
        <v>0</v>
      </c>
    </row>
    <row r="45" spans="1:17">
      <c r="A45" s="2">
        <f t="shared" si="3"/>
        <v>43</v>
      </c>
      <c r="B45" s="156">
        <f t="shared" si="4"/>
        <v>2026</v>
      </c>
      <c r="C45" s="2">
        <f t="shared" si="5"/>
        <v>2025</v>
      </c>
      <c r="D45" s="2" t="s">
        <v>155</v>
      </c>
      <c r="E45" s="2" t="s">
        <v>155</v>
      </c>
      <c r="F45" s="18">
        <v>45778</v>
      </c>
      <c r="G45" s="2"/>
      <c r="H45" s="19">
        <f t="shared" si="6"/>
        <v>45787</v>
      </c>
      <c r="Q45" s="2">
        <f>SUM(GC[[#This Row],[IC1_Inv1_GC]:[IC2_Inv2_GC]])</f>
        <v>0</v>
      </c>
    </row>
    <row r="46" spans="1:17">
      <c r="A46" s="2">
        <f t="shared" si="3"/>
        <v>44</v>
      </c>
      <c r="B46" s="156">
        <f t="shared" si="4"/>
        <v>2026</v>
      </c>
      <c r="C46" s="2">
        <f t="shared" si="5"/>
        <v>2025</v>
      </c>
      <c r="D46" s="2" t="s">
        <v>155</v>
      </c>
      <c r="E46" s="2" t="s">
        <v>155</v>
      </c>
      <c r="F46" s="18">
        <v>45778</v>
      </c>
      <c r="G46" s="2"/>
      <c r="H46" s="19">
        <f t="shared" si="6"/>
        <v>45788</v>
      </c>
      <c r="Q46" s="2">
        <f>SUM(GC[[#This Row],[IC1_Inv1_GC]:[IC2_Inv2_GC]])</f>
        <v>0</v>
      </c>
    </row>
    <row r="47" spans="1:17">
      <c r="A47" s="2">
        <f t="shared" si="3"/>
        <v>45</v>
      </c>
      <c r="B47" s="156">
        <f t="shared" si="4"/>
        <v>2026</v>
      </c>
      <c r="C47" s="2">
        <f t="shared" si="5"/>
        <v>2025</v>
      </c>
      <c r="D47" s="2" t="s">
        <v>155</v>
      </c>
      <c r="E47" s="2" t="s">
        <v>155</v>
      </c>
      <c r="F47" s="18">
        <v>45778</v>
      </c>
      <c r="G47" s="2"/>
      <c r="H47" s="19">
        <f t="shared" si="6"/>
        <v>45789</v>
      </c>
      <c r="Q47" s="2">
        <f>SUM(GC[[#This Row],[IC1_Inv1_GC]:[IC2_Inv2_GC]])</f>
        <v>0</v>
      </c>
    </row>
    <row r="48" spans="1:17">
      <c r="A48" s="2">
        <f t="shared" si="3"/>
        <v>46</v>
      </c>
      <c r="B48" s="156">
        <f t="shared" si="4"/>
        <v>2026</v>
      </c>
      <c r="C48" s="2">
        <f t="shared" si="5"/>
        <v>2025</v>
      </c>
      <c r="D48" s="2" t="s">
        <v>155</v>
      </c>
      <c r="E48" s="2" t="s">
        <v>155</v>
      </c>
      <c r="F48" s="18">
        <v>45778</v>
      </c>
      <c r="G48" s="2"/>
      <c r="H48" s="19">
        <f t="shared" si="6"/>
        <v>45790</v>
      </c>
      <c r="Q48" s="2">
        <f>SUM(GC[[#This Row],[IC1_Inv1_GC]:[IC2_Inv2_GC]])</f>
        <v>0</v>
      </c>
    </row>
    <row r="49" spans="1:17">
      <c r="A49" s="2">
        <f t="shared" si="3"/>
        <v>47</v>
      </c>
      <c r="B49" s="156">
        <f t="shared" si="4"/>
        <v>2026</v>
      </c>
      <c r="C49" s="2">
        <f t="shared" si="5"/>
        <v>2025</v>
      </c>
      <c r="D49" s="2" t="s">
        <v>155</v>
      </c>
      <c r="E49" s="2" t="s">
        <v>155</v>
      </c>
      <c r="F49" s="18">
        <v>45778</v>
      </c>
      <c r="G49" s="2"/>
      <c r="H49" s="19">
        <f t="shared" si="6"/>
        <v>45791</v>
      </c>
      <c r="Q49" s="2">
        <f>SUM(GC[[#This Row],[IC1_Inv1_GC]:[IC2_Inv2_GC]])</f>
        <v>0</v>
      </c>
    </row>
    <row r="50" spans="1:17">
      <c r="A50" s="2">
        <f t="shared" si="3"/>
        <v>48</v>
      </c>
      <c r="B50" s="156">
        <f t="shared" si="4"/>
        <v>2026</v>
      </c>
      <c r="C50" s="2">
        <f t="shared" si="5"/>
        <v>2025</v>
      </c>
      <c r="D50" s="2" t="s">
        <v>155</v>
      </c>
      <c r="E50" s="2" t="s">
        <v>155</v>
      </c>
      <c r="F50" s="18">
        <v>45778</v>
      </c>
      <c r="G50" s="2"/>
      <c r="H50" s="19">
        <f t="shared" si="6"/>
        <v>45792</v>
      </c>
      <c r="Q50" s="2">
        <f>SUM(GC[[#This Row],[IC1_Inv1_GC]:[IC2_Inv2_GC]])</f>
        <v>0</v>
      </c>
    </row>
    <row r="51" spans="1:17">
      <c r="A51" s="2">
        <f t="shared" si="3"/>
        <v>49</v>
      </c>
      <c r="B51" s="156">
        <f t="shared" si="4"/>
        <v>2026</v>
      </c>
      <c r="C51" s="2">
        <f t="shared" si="5"/>
        <v>2025</v>
      </c>
      <c r="D51" s="2" t="s">
        <v>155</v>
      </c>
      <c r="E51" s="2" t="s">
        <v>155</v>
      </c>
      <c r="F51" s="18">
        <v>45778</v>
      </c>
      <c r="G51" s="2"/>
      <c r="H51" s="19">
        <f t="shared" si="6"/>
        <v>45793</v>
      </c>
      <c r="Q51" s="2">
        <f>SUM(GC[[#This Row],[IC1_Inv1_GC]:[IC2_Inv2_GC]])</f>
        <v>0</v>
      </c>
    </row>
    <row r="52" spans="1:17">
      <c r="A52" s="2">
        <f t="shared" si="3"/>
        <v>50</v>
      </c>
      <c r="B52" s="156">
        <f t="shared" si="4"/>
        <v>2026</v>
      </c>
      <c r="C52" s="2">
        <f t="shared" si="5"/>
        <v>2025</v>
      </c>
      <c r="D52" s="2" t="s">
        <v>155</v>
      </c>
      <c r="E52" s="2" t="s">
        <v>155</v>
      </c>
      <c r="F52" s="18">
        <v>45778</v>
      </c>
      <c r="G52" s="2"/>
      <c r="H52" s="19">
        <f t="shared" si="6"/>
        <v>45794</v>
      </c>
      <c r="Q52" s="2">
        <f>SUM(GC[[#This Row],[IC1_Inv1_GC]:[IC2_Inv2_GC]])</f>
        <v>0</v>
      </c>
    </row>
    <row r="53" spans="1:17">
      <c r="A53" s="2">
        <f t="shared" si="3"/>
        <v>51</v>
      </c>
      <c r="B53" s="156">
        <f t="shared" si="4"/>
        <v>2026</v>
      </c>
      <c r="C53" s="2">
        <f t="shared" si="5"/>
        <v>2025</v>
      </c>
      <c r="D53" s="2" t="s">
        <v>155</v>
      </c>
      <c r="E53" s="2" t="s">
        <v>155</v>
      </c>
      <c r="F53" s="18">
        <v>45778</v>
      </c>
      <c r="G53" s="2"/>
      <c r="H53" s="19">
        <f t="shared" si="6"/>
        <v>45795</v>
      </c>
      <c r="Q53" s="2">
        <f>SUM(GC[[#This Row],[IC1_Inv1_GC]:[IC2_Inv2_GC]])</f>
        <v>0</v>
      </c>
    </row>
    <row r="54" spans="1:17">
      <c r="A54" s="2">
        <f t="shared" si="3"/>
        <v>52</v>
      </c>
      <c r="B54" s="156">
        <f t="shared" si="4"/>
        <v>2026</v>
      </c>
      <c r="C54" s="2">
        <f t="shared" si="5"/>
        <v>2025</v>
      </c>
      <c r="D54" s="2" t="s">
        <v>155</v>
      </c>
      <c r="E54" s="2" t="s">
        <v>155</v>
      </c>
      <c r="F54" s="18">
        <v>45778</v>
      </c>
      <c r="G54" s="2"/>
      <c r="H54" s="19">
        <f t="shared" si="6"/>
        <v>45796</v>
      </c>
      <c r="Q54" s="2">
        <f>SUM(GC[[#This Row],[IC1_Inv1_GC]:[IC2_Inv2_GC]])</f>
        <v>0</v>
      </c>
    </row>
    <row r="55" spans="1:17">
      <c r="A55" s="2">
        <f t="shared" si="3"/>
        <v>53</v>
      </c>
      <c r="B55" s="156">
        <f t="shared" si="4"/>
        <v>2026</v>
      </c>
      <c r="C55" s="2">
        <f t="shared" si="5"/>
        <v>2025</v>
      </c>
      <c r="D55" s="2" t="s">
        <v>155</v>
      </c>
      <c r="E55" s="2" t="s">
        <v>155</v>
      </c>
      <c r="F55" s="18">
        <v>45778</v>
      </c>
      <c r="G55" s="2"/>
      <c r="H55" s="19">
        <f t="shared" si="6"/>
        <v>45797</v>
      </c>
      <c r="Q55" s="2">
        <f>SUM(GC[[#This Row],[IC1_Inv1_GC]:[IC2_Inv2_GC]])</f>
        <v>0</v>
      </c>
    </row>
    <row r="56" spans="1:17">
      <c r="A56" s="2">
        <f t="shared" si="3"/>
        <v>54</v>
      </c>
      <c r="B56" s="156">
        <f t="shared" si="4"/>
        <v>2026</v>
      </c>
      <c r="C56" s="2">
        <f t="shared" si="5"/>
        <v>2025</v>
      </c>
      <c r="D56" s="2" t="s">
        <v>155</v>
      </c>
      <c r="E56" s="2" t="s">
        <v>155</v>
      </c>
      <c r="F56" s="18">
        <v>45778</v>
      </c>
      <c r="G56" s="2"/>
      <c r="H56" s="19">
        <f t="shared" si="6"/>
        <v>45798</v>
      </c>
      <c r="Q56" s="2">
        <f>SUM(GC[[#This Row],[IC1_Inv1_GC]:[IC2_Inv2_GC]])</f>
        <v>0</v>
      </c>
    </row>
    <row r="57" spans="1:17">
      <c r="A57" s="2">
        <f t="shared" si="3"/>
        <v>55</v>
      </c>
      <c r="B57" s="156">
        <f t="shared" si="4"/>
        <v>2026</v>
      </c>
      <c r="C57" s="2">
        <f t="shared" si="5"/>
        <v>2025</v>
      </c>
      <c r="D57" s="2" t="s">
        <v>155</v>
      </c>
      <c r="E57" s="2" t="s">
        <v>155</v>
      </c>
      <c r="F57" s="18">
        <v>45778</v>
      </c>
      <c r="G57" s="2"/>
      <c r="H57" s="19">
        <f t="shared" si="6"/>
        <v>45799</v>
      </c>
      <c r="Q57" s="2">
        <f>SUM(GC[[#This Row],[IC1_Inv1_GC]:[IC2_Inv2_GC]])</f>
        <v>0</v>
      </c>
    </row>
    <row r="58" spans="1:17">
      <c r="A58" s="2">
        <f t="shared" si="3"/>
        <v>56</v>
      </c>
      <c r="B58" s="156">
        <f t="shared" si="4"/>
        <v>2026</v>
      </c>
      <c r="C58" s="2">
        <f t="shared" si="5"/>
        <v>2025</v>
      </c>
      <c r="D58" s="2" t="s">
        <v>155</v>
      </c>
      <c r="E58" s="2" t="s">
        <v>155</v>
      </c>
      <c r="F58" s="18">
        <v>45778</v>
      </c>
      <c r="G58" s="2"/>
      <c r="H58" s="19">
        <f t="shared" si="6"/>
        <v>45800</v>
      </c>
      <c r="Q58" s="2">
        <f>SUM(GC[[#This Row],[IC1_Inv1_GC]:[IC2_Inv2_GC]])</f>
        <v>0</v>
      </c>
    </row>
    <row r="59" spans="1:17">
      <c r="A59" s="2">
        <f t="shared" si="3"/>
        <v>57</v>
      </c>
      <c r="B59" s="156">
        <f t="shared" si="4"/>
        <v>2026</v>
      </c>
      <c r="C59" s="2">
        <f t="shared" si="5"/>
        <v>2025</v>
      </c>
      <c r="D59" s="2" t="s">
        <v>155</v>
      </c>
      <c r="E59" s="2" t="s">
        <v>155</v>
      </c>
      <c r="F59" s="18">
        <v>45778</v>
      </c>
      <c r="G59" s="2"/>
      <c r="H59" s="19">
        <f t="shared" si="6"/>
        <v>45801</v>
      </c>
      <c r="Q59" s="2">
        <f>SUM(GC[[#This Row],[IC1_Inv1_GC]:[IC2_Inv2_GC]])</f>
        <v>0</v>
      </c>
    </row>
    <row r="60" spans="1:17">
      <c r="A60" s="2">
        <f t="shared" si="3"/>
        <v>58</v>
      </c>
      <c r="B60" s="156">
        <f t="shared" si="4"/>
        <v>2026</v>
      </c>
      <c r="C60" s="2">
        <f t="shared" si="5"/>
        <v>2025</v>
      </c>
      <c r="D60" s="2" t="s">
        <v>155</v>
      </c>
      <c r="E60" s="2" t="s">
        <v>155</v>
      </c>
      <c r="F60" s="18">
        <v>45778</v>
      </c>
      <c r="G60" s="2"/>
      <c r="H60" s="19">
        <f t="shared" si="6"/>
        <v>45802</v>
      </c>
      <c r="Q60" s="2">
        <f>SUM(GC[[#This Row],[IC1_Inv1_GC]:[IC2_Inv2_GC]])</f>
        <v>0</v>
      </c>
    </row>
    <row r="61" spans="1:17">
      <c r="A61" s="2">
        <f t="shared" si="3"/>
        <v>59</v>
      </c>
      <c r="B61" s="156">
        <f t="shared" si="4"/>
        <v>2026</v>
      </c>
      <c r="C61" s="2">
        <f t="shared" si="5"/>
        <v>2025</v>
      </c>
      <c r="D61" s="2" t="s">
        <v>155</v>
      </c>
      <c r="E61" s="2" t="s">
        <v>155</v>
      </c>
      <c r="F61" s="18">
        <v>45778</v>
      </c>
      <c r="G61" s="2"/>
      <c r="H61" s="19">
        <f t="shared" si="6"/>
        <v>45803</v>
      </c>
      <c r="Q61" s="2">
        <f>SUM(GC[[#This Row],[IC1_Inv1_GC]:[IC2_Inv2_GC]])</f>
        <v>0</v>
      </c>
    </row>
    <row r="62" spans="1:17">
      <c r="A62" s="2">
        <f t="shared" si="3"/>
        <v>60</v>
      </c>
      <c r="B62" s="156">
        <f t="shared" si="4"/>
        <v>2026</v>
      </c>
      <c r="C62" s="2">
        <f t="shared" si="5"/>
        <v>2025</v>
      </c>
      <c r="D62" s="2" t="s">
        <v>155</v>
      </c>
      <c r="E62" s="2" t="s">
        <v>155</v>
      </c>
      <c r="F62" s="18">
        <v>45778</v>
      </c>
      <c r="G62" s="2"/>
      <c r="H62" s="19">
        <f t="shared" si="6"/>
        <v>45804</v>
      </c>
      <c r="Q62" s="2">
        <f>SUM(GC[[#This Row],[IC1_Inv1_GC]:[IC2_Inv2_GC]])</f>
        <v>0</v>
      </c>
    </row>
    <row r="63" spans="1:17">
      <c r="A63" s="2">
        <f t="shared" si="3"/>
        <v>61</v>
      </c>
      <c r="B63" s="156">
        <f t="shared" si="4"/>
        <v>2026</v>
      </c>
      <c r="C63" s="2">
        <f t="shared" si="5"/>
        <v>2025</v>
      </c>
      <c r="D63" s="2" t="s">
        <v>155</v>
      </c>
      <c r="E63" s="2" t="s">
        <v>155</v>
      </c>
      <c r="F63" s="18">
        <v>45778</v>
      </c>
      <c r="G63" s="2"/>
      <c r="H63" s="19">
        <f t="shared" si="6"/>
        <v>45805</v>
      </c>
      <c r="Q63" s="2">
        <f>SUM(GC[[#This Row],[IC1_Inv1_GC]:[IC2_Inv2_GC]])</f>
        <v>0</v>
      </c>
    </row>
    <row r="64" spans="1:17">
      <c r="A64" s="2">
        <f t="shared" si="3"/>
        <v>62</v>
      </c>
      <c r="B64" s="156">
        <f t="shared" si="4"/>
        <v>2026</v>
      </c>
      <c r="C64" s="2">
        <f t="shared" si="5"/>
        <v>2025</v>
      </c>
      <c r="D64" s="2" t="s">
        <v>155</v>
      </c>
      <c r="E64" s="2" t="s">
        <v>155</v>
      </c>
      <c r="F64" s="18">
        <v>45778</v>
      </c>
      <c r="G64" s="2"/>
      <c r="H64" s="19">
        <f t="shared" si="6"/>
        <v>45806</v>
      </c>
      <c r="Q64" s="2">
        <f>SUM(GC[[#This Row],[IC1_Inv1_GC]:[IC2_Inv2_GC]])</f>
        <v>0</v>
      </c>
    </row>
    <row r="65" spans="1:18">
      <c r="A65" s="2">
        <f t="shared" si="3"/>
        <v>63</v>
      </c>
      <c r="B65" s="156">
        <f t="shared" si="4"/>
        <v>2026</v>
      </c>
      <c r="C65" s="2">
        <f t="shared" si="5"/>
        <v>2025</v>
      </c>
      <c r="D65" s="2" t="s">
        <v>155</v>
      </c>
      <c r="E65" s="2" t="s">
        <v>155</v>
      </c>
      <c r="F65" s="18">
        <v>45778</v>
      </c>
      <c r="G65" s="2"/>
      <c r="H65" s="19">
        <f t="shared" si="6"/>
        <v>45807</v>
      </c>
      <c r="Q65" s="2">
        <f>SUM(GC[[#This Row],[IC1_Inv1_GC]:[IC2_Inv2_GC]])</f>
        <v>0</v>
      </c>
    </row>
    <row r="66" spans="1:18">
      <c r="A66" s="2">
        <f t="shared" si="3"/>
        <v>64</v>
      </c>
      <c r="B66" s="156">
        <f t="shared" si="4"/>
        <v>2026</v>
      </c>
      <c r="C66" s="2">
        <f t="shared" si="5"/>
        <v>2025</v>
      </c>
      <c r="D66" s="2" t="s">
        <v>155</v>
      </c>
      <c r="E66" s="2" t="s">
        <v>155</v>
      </c>
      <c r="F66" s="18">
        <v>45778</v>
      </c>
      <c r="G66" s="2"/>
      <c r="H66" s="19">
        <f t="shared" si="6"/>
        <v>45808</v>
      </c>
      <c r="Q66" s="2">
        <f>SUM(GC[[#This Row],[IC1_Inv1_GC]:[IC2_Inv2_GC]])</f>
        <v>0</v>
      </c>
    </row>
    <row r="67" spans="1:18">
      <c r="A67" s="2">
        <f t="shared" si="3"/>
        <v>65</v>
      </c>
      <c r="B67" s="156">
        <f t="shared" si="4"/>
        <v>2026</v>
      </c>
      <c r="C67" s="2">
        <f t="shared" si="5"/>
        <v>2025</v>
      </c>
      <c r="D67" s="2" t="s">
        <v>155</v>
      </c>
      <c r="E67" s="2" t="s">
        <v>155</v>
      </c>
      <c r="F67" s="18">
        <v>45809</v>
      </c>
      <c r="G67" s="2"/>
      <c r="H67" s="19">
        <f t="shared" si="6"/>
        <v>45809</v>
      </c>
      <c r="Q67" s="2">
        <f>SUM(GC[[#This Row],[IC1_Inv1_GC]:[IC2_Inv2_GC]])</f>
        <v>0</v>
      </c>
    </row>
    <row r="68" spans="1:18">
      <c r="A68" s="2">
        <f t="shared" si="3"/>
        <v>66</v>
      </c>
      <c r="B68" s="156">
        <f t="shared" si="4"/>
        <v>2026</v>
      </c>
      <c r="C68" s="2">
        <f t="shared" si="5"/>
        <v>2025</v>
      </c>
      <c r="D68" s="2" t="s">
        <v>155</v>
      </c>
      <c r="E68" s="2" t="s">
        <v>155</v>
      </c>
      <c r="F68" s="18">
        <v>45809</v>
      </c>
      <c r="G68" s="2"/>
      <c r="H68" s="19">
        <f t="shared" si="6"/>
        <v>45810</v>
      </c>
      <c r="Q68" s="2">
        <f>SUM(GC[[#This Row],[IC1_Inv1_GC]:[IC2_Inv2_GC]])</f>
        <v>0</v>
      </c>
    </row>
    <row r="69" spans="1:18">
      <c r="A69" s="2">
        <f t="shared" ref="A69:A132" si="7">A68+1</f>
        <v>67</v>
      </c>
      <c r="B69" s="156">
        <f t="shared" si="4"/>
        <v>2026</v>
      </c>
      <c r="C69" s="2">
        <f t="shared" si="5"/>
        <v>2025</v>
      </c>
      <c r="D69" s="2" t="s">
        <v>155</v>
      </c>
      <c r="E69" s="2" t="s">
        <v>155</v>
      </c>
      <c r="F69" s="18">
        <v>45809</v>
      </c>
      <c r="G69" s="2"/>
      <c r="H69" s="19">
        <f t="shared" si="6"/>
        <v>45811</v>
      </c>
      <c r="Q69" s="2">
        <f>SUM(GC[[#This Row],[IC1_Inv1_GC]:[IC2_Inv2_GC]])</f>
        <v>0</v>
      </c>
    </row>
    <row r="70" spans="1:18">
      <c r="A70" s="2">
        <f t="shared" si="7"/>
        <v>68</v>
      </c>
      <c r="B70" s="156">
        <f t="shared" si="4"/>
        <v>2026</v>
      </c>
      <c r="C70" s="2">
        <f t="shared" si="5"/>
        <v>2025</v>
      </c>
      <c r="D70" s="2" t="s">
        <v>155</v>
      </c>
      <c r="E70" s="2" t="s">
        <v>155</v>
      </c>
      <c r="F70" s="18">
        <v>45809</v>
      </c>
      <c r="G70" s="2"/>
      <c r="H70" s="19">
        <f t="shared" si="6"/>
        <v>45812</v>
      </c>
      <c r="Q70" s="2">
        <f>SUM(GC[[#This Row],[IC1_Inv1_GC]:[IC2_Inv2_GC]])</f>
        <v>0</v>
      </c>
    </row>
    <row r="71" spans="1:18">
      <c r="A71" s="2">
        <f t="shared" si="7"/>
        <v>69</v>
      </c>
      <c r="B71" s="156">
        <f t="shared" si="4"/>
        <v>2026</v>
      </c>
      <c r="C71" s="2">
        <f t="shared" si="5"/>
        <v>2025</v>
      </c>
      <c r="D71" s="2" t="s">
        <v>155</v>
      </c>
      <c r="E71" s="2" t="s">
        <v>155</v>
      </c>
      <c r="F71" s="18">
        <v>45809</v>
      </c>
      <c r="G71" s="2"/>
      <c r="H71" s="19">
        <f t="shared" si="6"/>
        <v>45813</v>
      </c>
      <c r="Q71" s="2">
        <f>SUM(GC[[#This Row],[IC1_Inv1_GC]:[IC2_Inv2_GC]])</f>
        <v>0</v>
      </c>
    </row>
    <row r="72" spans="1:18">
      <c r="A72" s="2">
        <f t="shared" si="7"/>
        <v>70</v>
      </c>
      <c r="B72" s="156">
        <f t="shared" si="4"/>
        <v>2026</v>
      </c>
      <c r="C72" s="2">
        <f t="shared" si="5"/>
        <v>2025</v>
      </c>
      <c r="D72" s="2" t="s">
        <v>155</v>
      </c>
      <c r="E72" s="2" t="s">
        <v>155</v>
      </c>
      <c r="F72" s="18">
        <v>45809</v>
      </c>
      <c r="G72" s="2"/>
      <c r="H72" s="19">
        <f t="shared" si="6"/>
        <v>45814</v>
      </c>
      <c r="Q72" s="2">
        <f>SUM(GC[[#This Row],[IC1_Inv1_GC]:[IC2_Inv2_GC]])</f>
        <v>0</v>
      </c>
    </row>
    <row r="73" spans="1:18">
      <c r="A73" s="2">
        <f t="shared" si="7"/>
        <v>71</v>
      </c>
      <c r="B73" s="156">
        <f t="shared" si="4"/>
        <v>2026</v>
      </c>
      <c r="C73" s="2">
        <f t="shared" si="5"/>
        <v>2025</v>
      </c>
      <c r="D73" s="2" t="s">
        <v>155</v>
      </c>
      <c r="E73" s="2" t="s">
        <v>155</v>
      </c>
      <c r="F73" s="18">
        <v>45809</v>
      </c>
      <c r="G73" s="2"/>
      <c r="H73" s="19">
        <f t="shared" si="6"/>
        <v>45815</v>
      </c>
      <c r="Q73" s="2">
        <f>SUM(GC[[#This Row],[IC1_Inv1_GC]:[IC2_Inv2_GC]])</f>
        <v>0</v>
      </c>
    </row>
    <row r="74" spans="1:18">
      <c r="A74" s="2">
        <f t="shared" si="7"/>
        <v>72</v>
      </c>
      <c r="B74" s="156">
        <f t="shared" si="4"/>
        <v>2026</v>
      </c>
      <c r="C74" s="2">
        <f t="shared" si="5"/>
        <v>2025</v>
      </c>
      <c r="D74" s="2" t="s">
        <v>155</v>
      </c>
      <c r="E74" s="2" t="s">
        <v>155</v>
      </c>
      <c r="F74" s="18">
        <v>45809</v>
      </c>
      <c r="G74" s="2"/>
      <c r="H74" s="19">
        <f t="shared" si="6"/>
        <v>45816</v>
      </c>
      <c r="Q74" s="2">
        <f>SUM(GC[[#This Row],[IC1_Inv1_GC]:[IC2_Inv2_GC]])</f>
        <v>0</v>
      </c>
    </row>
    <row r="75" spans="1:18">
      <c r="A75" s="2">
        <f t="shared" si="7"/>
        <v>73</v>
      </c>
      <c r="B75" s="156">
        <f t="shared" si="4"/>
        <v>2026</v>
      </c>
      <c r="C75" s="2">
        <f t="shared" si="5"/>
        <v>2025</v>
      </c>
      <c r="D75" s="2" t="s">
        <v>155</v>
      </c>
      <c r="E75" s="2" t="s">
        <v>155</v>
      </c>
      <c r="F75" s="18">
        <v>45809</v>
      </c>
      <c r="G75" s="2"/>
      <c r="H75" s="19">
        <f t="shared" si="6"/>
        <v>45817</v>
      </c>
      <c r="Q75" s="2">
        <f>SUM(GC[[#This Row],[IC1_Inv1_GC]:[IC2_Inv2_GC]])</f>
        <v>0</v>
      </c>
    </row>
    <row r="76" spans="1:18">
      <c r="A76" s="2">
        <f t="shared" si="7"/>
        <v>74</v>
      </c>
      <c r="B76" s="156">
        <f t="shared" si="4"/>
        <v>2026</v>
      </c>
      <c r="C76" s="2">
        <f t="shared" ref="C76:C107" si="8">YEAR(H76)</f>
        <v>2025</v>
      </c>
      <c r="D76" s="2" t="s">
        <v>155</v>
      </c>
      <c r="E76" s="2" t="s">
        <v>155</v>
      </c>
      <c r="F76" s="18">
        <v>45809</v>
      </c>
      <c r="G76" s="2"/>
      <c r="H76" s="19">
        <f t="shared" ref="H76:H107" si="9">H75+1</f>
        <v>45818</v>
      </c>
      <c r="Q76" s="2">
        <f>SUM(GC[[#This Row],[IC1_Inv1_GC]:[IC2_Inv2_GC]])</f>
        <v>0</v>
      </c>
    </row>
    <row r="77" spans="1:18">
      <c r="A77" s="2">
        <f t="shared" si="7"/>
        <v>75</v>
      </c>
      <c r="B77" s="156">
        <f t="shared" si="4"/>
        <v>2026</v>
      </c>
      <c r="C77" s="2">
        <f t="shared" si="8"/>
        <v>2025</v>
      </c>
      <c r="D77" s="2" t="s">
        <v>155</v>
      </c>
      <c r="E77" s="2" t="s">
        <v>155</v>
      </c>
      <c r="F77" s="18">
        <v>45809</v>
      </c>
      <c r="G77" s="2"/>
      <c r="H77" s="19">
        <f t="shared" si="9"/>
        <v>45819</v>
      </c>
      <c r="Q77" s="2">
        <f>SUM(GC[[#This Row],[IC1_Inv1_GC]:[IC2_Inv2_GC]])</f>
        <v>0</v>
      </c>
    </row>
    <row r="78" spans="1:18">
      <c r="A78" s="2">
        <f t="shared" si="7"/>
        <v>76</v>
      </c>
      <c r="B78" s="156">
        <f t="shared" si="4"/>
        <v>2026</v>
      </c>
      <c r="C78" s="2">
        <f t="shared" si="8"/>
        <v>2025</v>
      </c>
      <c r="D78" s="2" t="s">
        <v>155</v>
      </c>
      <c r="E78" s="2" t="s">
        <v>155</v>
      </c>
      <c r="F78" s="18">
        <v>45809</v>
      </c>
      <c r="G78" s="2"/>
      <c r="H78" s="19">
        <f t="shared" si="9"/>
        <v>45820</v>
      </c>
      <c r="Q78" s="2">
        <f>SUM(GC[[#This Row],[IC1_Inv1_GC]:[IC2_Inv2_GC]])</f>
        <v>0</v>
      </c>
    </row>
    <row r="79" spans="1:18">
      <c r="A79" s="2">
        <f t="shared" si="7"/>
        <v>77</v>
      </c>
      <c r="B79" s="156">
        <f t="shared" si="4"/>
        <v>2026</v>
      </c>
      <c r="C79" s="2">
        <f t="shared" si="8"/>
        <v>2025</v>
      </c>
      <c r="D79" s="2" t="s">
        <v>155</v>
      </c>
      <c r="E79" s="2" t="s">
        <v>155</v>
      </c>
      <c r="F79" s="18">
        <v>45809</v>
      </c>
      <c r="G79" s="2"/>
      <c r="H79" s="19">
        <f t="shared" si="9"/>
        <v>45821</v>
      </c>
      <c r="L79">
        <v>8</v>
      </c>
      <c r="M79">
        <v>4</v>
      </c>
      <c r="Q79" s="2">
        <f>SUM(GC[[#This Row],[IC1_Inv1_GC]:[IC2_Inv2_GC]])</f>
        <v>12</v>
      </c>
      <c r="R79" t="s">
        <v>511</v>
      </c>
    </row>
    <row r="80" spans="1:18">
      <c r="A80" s="2">
        <f t="shared" si="7"/>
        <v>78</v>
      </c>
      <c r="B80" s="156">
        <f t="shared" si="4"/>
        <v>2026</v>
      </c>
      <c r="C80" s="2">
        <f t="shared" si="8"/>
        <v>2025</v>
      </c>
      <c r="D80" s="2" t="s">
        <v>155</v>
      </c>
      <c r="E80" s="2" t="s">
        <v>155</v>
      </c>
      <c r="F80" s="18">
        <v>45809</v>
      </c>
      <c r="G80" s="2"/>
      <c r="H80" s="19">
        <f t="shared" si="9"/>
        <v>45822</v>
      </c>
      <c r="M80">
        <v>4</v>
      </c>
      <c r="N80">
        <v>10</v>
      </c>
      <c r="Q80" s="2">
        <f>SUM(GC[[#This Row],[IC1_Inv1_GC]:[IC2_Inv2_GC]])</f>
        <v>14</v>
      </c>
      <c r="R80" t="s">
        <v>511</v>
      </c>
    </row>
    <row r="81" spans="1:18">
      <c r="A81" s="2">
        <f t="shared" si="7"/>
        <v>79</v>
      </c>
      <c r="B81" s="156">
        <f t="shared" si="4"/>
        <v>2026</v>
      </c>
      <c r="C81" s="2">
        <f t="shared" si="8"/>
        <v>2025</v>
      </c>
      <c r="D81" s="2" t="s">
        <v>155</v>
      </c>
      <c r="E81" s="2" t="s">
        <v>155</v>
      </c>
      <c r="F81" s="18">
        <v>45809</v>
      </c>
      <c r="G81" s="2"/>
      <c r="H81" s="19">
        <f t="shared" si="9"/>
        <v>45823</v>
      </c>
      <c r="N81">
        <v>28</v>
      </c>
      <c r="Q81" s="2">
        <f>SUM(GC[[#This Row],[IC1_Inv1_GC]:[IC2_Inv2_GC]])</f>
        <v>28</v>
      </c>
      <c r="R81" t="s">
        <v>511</v>
      </c>
    </row>
    <row r="82" spans="1:18">
      <c r="A82" s="2">
        <f t="shared" si="7"/>
        <v>80</v>
      </c>
      <c r="B82" s="156">
        <f t="shared" si="4"/>
        <v>2026</v>
      </c>
      <c r="C82" s="2">
        <f t="shared" si="8"/>
        <v>2025</v>
      </c>
      <c r="D82" s="2" t="s">
        <v>155</v>
      </c>
      <c r="E82" s="2" t="s">
        <v>155</v>
      </c>
      <c r="F82" s="18">
        <v>45809</v>
      </c>
      <c r="G82" s="2"/>
      <c r="H82" s="19">
        <f t="shared" si="9"/>
        <v>45824</v>
      </c>
      <c r="Q82" s="2">
        <f>SUM(GC[[#This Row],[IC1_Inv1_GC]:[IC2_Inv2_GC]])</f>
        <v>0</v>
      </c>
      <c r="R82" t="s">
        <v>511</v>
      </c>
    </row>
    <row r="83" spans="1:18">
      <c r="A83" s="2">
        <f t="shared" si="7"/>
        <v>81</v>
      </c>
      <c r="B83" s="156">
        <f t="shared" si="4"/>
        <v>2026</v>
      </c>
      <c r="C83" s="2">
        <f t="shared" si="8"/>
        <v>2025</v>
      </c>
      <c r="D83" s="2" t="s">
        <v>155</v>
      </c>
      <c r="E83" s="2" t="s">
        <v>155</v>
      </c>
      <c r="F83" s="18">
        <v>45809</v>
      </c>
      <c r="G83" s="2"/>
      <c r="H83" s="19">
        <f t="shared" si="9"/>
        <v>45825</v>
      </c>
      <c r="Q83" s="2">
        <f>SUM(GC[[#This Row],[IC1_Inv1_GC]:[IC2_Inv2_GC]])</f>
        <v>0</v>
      </c>
      <c r="R83" t="s">
        <v>511</v>
      </c>
    </row>
    <row r="84" spans="1:18">
      <c r="A84" s="2">
        <f t="shared" si="7"/>
        <v>82</v>
      </c>
      <c r="B84" s="156">
        <f t="shared" si="4"/>
        <v>2026</v>
      </c>
      <c r="C84" s="2">
        <f t="shared" si="8"/>
        <v>2025</v>
      </c>
      <c r="D84" s="2" t="s">
        <v>155</v>
      </c>
      <c r="E84" s="2" t="s">
        <v>155</v>
      </c>
      <c r="F84" s="18">
        <v>45809</v>
      </c>
      <c r="G84" s="2"/>
      <c r="H84" s="19">
        <f t="shared" si="9"/>
        <v>45826</v>
      </c>
      <c r="L84">
        <v>3</v>
      </c>
      <c r="N84">
        <v>17</v>
      </c>
      <c r="Q84" s="2">
        <f>SUM(GC[[#This Row],[IC1_Inv1_GC]:[IC2_Inv2_GC]])</f>
        <v>20</v>
      </c>
      <c r="R84" t="s">
        <v>511</v>
      </c>
    </row>
    <row r="85" spans="1:18">
      <c r="A85" s="2">
        <f t="shared" si="7"/>
        <v>83</v>
      </c>
      <c r="B85" s="156">
        <f t="shared" si="4"/>
        <v>2026</v>
      </c>
      <c r="C85" s="2">
        <f t="shared" si="8"/>
        <v>2025</v>
      </c>
      <c r="D85" s="2" t="s">
        <v>155</v>
      </c>
      <c r="E85" s="2" t="s">
        <v>155</v>
      </c>
      <c r="F85" s="18">
        <v>45809</v>
      </c>
      <c r="G85" s="2"/>
      <c r="H85" s="19">
        <f t="shared" si="9"/>
        <v>45827</v>
      </c>
      <c r="Q85" s="2">
        <f>SUM(GC[[#This Row],[IC1_Inv1_GC]:[IC2_Inv2_GC]])</f>
        <v>0</v>
      </c>
    </row>
    <row r="86" spans="1:18">
      <c r="A86" s="2">
        <f t="shared" si="7"/>
        <v>84</v>
      </c>
      <c r="B86" s="156">
        <f t="shared" si="4"/>
        <v>2026</v>
      </c>
      <c r="C86" s="2">
        <f t="shared" si="8"/>
        <v>2025</v>
      </c>
      <c r="D86" s="2" t="s">
        <v>155</v>
      </c>
      <c r="E86" s="2" t="s">
        <v>155</v>
      </c>
      <c r="F86" s="18">
        <v>45809</v>
      </c>
      <c r="G86" s="2"/>
      <c r="H86" s="19">
        <f t="shared" si="9"/>
        <v>45828</v>
      </c>
      <c r="K86">
        <v>8</v>
      </c>
      <c r="M86">
        <v>8</v>
      </c>
      <c r="Q86" s="2">
        <f>SUM(GC[[#This Row],[IC1_Inv1_GC]:[IC2_Inv2_GC]])</f>
        <v>16</v>
      </c>
      <c r="R86" t="s">
        <v>511</v>
      </c>
    </row>
    <row r="87" spans="1:18">
      <c r="A87" s="2">
        <f t="shared" si="7"/>
        <v>85</v>
      </c>
      <c r="B87" s="156">
        <f t="shared" si="4"/>
        <v>2026</v>
      </c>
      <c r="C87" s="2">
        <f t="shared" si="8"/>
        <v>2025</v>
      </c>
      <c r="D87" s="2" t="s">
        <v>155</v>
      </c>
      <c r="E87" s="2" t="s">
        <v>155</v>
      </c>
      <c r="F87" s="18">
        <v>45809</v>
      </c>
      <c r="G87" s="2"/>
      <c r="H87" s="19">
        <f t="shared" si="9"/>
        <v>45829</v>
      </c>
      <c r="K87">
        <v>11</v>
      </c>
      <c r="N87">
        <v>10</v>
      </c>
      <c r="Q87" s="2">
        <f>SUM(GC[[#This Row],[IC1_Inv1_GC]:[IC2_Inv2_GC]])</f>
        <v>21</v>
      </c>
      <c r="R87" t="s">
        <v>517</v>
      </c>
    </row>
    <row r="88" spans="1:18">
      <c r="A88" s="2">
        <f t="shared" si="7"/>
        <v>86</v>
      </c>
      <c r="B88" s="156">
        <f t="shared" si="4"/>
        <v>2026</v>
      </c>
      <c r="C88" s="2">
        <f t="shared" si="8"/>
        <v>2025</v>
      </c>
      <c r="D88" s="2" t="s">
        <v>155</v>
      </c>
      <c r="E88" s="2" t="s">
        <v>155</v>
      </c>
      <c r="F88" s="18">
        <v>45809</v>
      </c>
      <c r="G88" s="2"/>
      <c r="H88" s="19">
        <f t="shared" si="9"/>
        <v>45830</v>
      </c>
      <c r="Q88" s="2">
        <f>SUM(GC[[#This Row],[IC1_Inv1_GC]:[IC2_Inv2_GC]])</f>
        <v>0</v>
      </c>
    </row>
    <row r="89" spans="1:18">
      <c r="A89" s="2">
        <f t="shared" si="7"/>
        <v>87</v>
      </c>
      <c r="B89" s="156">
        <f t="shared" si="4"/>
        <v>2026</v>
      </c>
      <c r="C89" s="2">
        <f t="shared" si="8"/>
        <v>2025</v>
      </c>
      <c r="D89" s="2" t="s">
        <v>155</v>
      </c>
      <c r="E89" s="2" t="s">
        <v>155</v>
      </c>
      <c r="F89" s="18">
        <v>45809</v>
      </c>
      <c r="G89" s="2"/>
      <c r="H89" s="19">
        <f t="shared" si="9"/>
        <v>45831</v>
      </c>
      <c r="Q89" s="2">
        <f>SUM(GC[[#This Row],[IC1_Inv1_GC]:[IC2_Inv2_GC]])</f>
        <v>0</v>
      </c>
    </row>
    <row r="90" spans="1:18">
      <c r="A90" s="2">
        <f t="shared" si="7"/>
        <v>88</v>
      </c>
      <c r="B90" s="156">
        <f t="shared" si="4"/>
        <v>2026</v>
      </c>
      <c r="C90" s="2">
        <f t="shared" si="8"/>
        <v>2025</v>
      </c>
      <c r="D90" s="2" t="s">
        <v>155</v>
      </c>
      <c r="E90" s="2" t="s">
        <v>155</v>
      </c>
      <c r="F90" s="18">
        <v>45809</v>
      </c>
      <c r="G90" s="2"/>
      <c r="H90" s="19">
        <f t="shared" si="9"/>
        <v>45832</v>
      </c>
      <c r="N90">
        <v>10</v>
      </c>
      <c r="Q90" s="2">
        <f>SUM(GC[[#This Row],[IC1_Inv1_GC]:[IC2_Inv2_GC]])</f>
        <v>10</v>
      </c>
      <c r="R90" t="s">
        <v>517</v>
      </c>
    </row>
    <row r="91" spans="1:18">
      <c r="A91" s="2">
        <f t="shared" si="7"/>
        <v>89</v>
      </c>
      <c r="B91" s="156">
        <f t="shared" si="4"/>
        <v>2026</v>
      </c>
      <c r="C91" s="2">
        <f t="shared" si="8"/>
        <v>2025</v>
      </c>
      <c r="D91" s="2" t="s">
        <v>155</v>
      </c>
      <c r="E91" s="2" t="s">
        <v>155</v>
      </c>
      <c r="F91" s="18">
        <v>45809</v>
      </c>
      <c r="G91" s="2"/>
      <c r="H91" s="19">
        <f t="shared" si="9"/>
        <v>45833</v>
      </c>
      <c r="N91">
        <v>5</v>
      </c>
      <c r="Q91" s="2">
        <f>SUM(GC[[#This Row],[IC1_Inv1_GC]:[IC2_Inv2_GC]])</f>
        <v>5</v>
      </c>
      <c r="R91" t="s">
        <v>517</v>
      </c>
    </row>
    <row r="92" spans="1:18">
      <c r="A92" s="2">
        <f t="shared" si="7"/>
        <v>90</v>
      </c>
      <c r="B92" s="156">
        <f t="shared" si="4"/>
        <v>2026</v>
      </c>
      <c r="C92" s="2">
        <f t="shared" si="8"/>
        <v>2025</v>
      </c>
      <c r="D92" s="2" t="s">
        <v>155</v>
      </c>
      <c r="E92" s="2" t="s">
        <v>155</v>
      </c>
      <c r="F92" s="18">
        <v>45809</v>
      </c>
      <c r="G92" s="2"/>
      <c r="H92" s="19">
        <f t="shared" si="9"/>
        <v>45834</v>
      </c>
      <c r="N92">
        <v>16</v>
      </c>
      <c r="Q92" s="2">
        <f>SUM(GC[[#This Row],[IC1_Inv1_GC]:[IC2_Inv2_GC]])</f>
        <v>16</v>
      </c>
      <c r="R92" t="s">
        <v>518</v>
      </c>
    </row>
    <row r="93" spans="1:18">
      <c r="A93" s="2">
        <f t="shared" si="7"/>
        <v>91</v>
      </c>
      <c r="B93" s="156">
        <f t="shared" si="4"/>
        <v>2026</v>
      </c>
      <c r="C93" s="2">
        <f t="shared" si="8"/>
        <v>2025</v>
      </c>
      <c r="D93" s="2" t="s">
        <v>155</v>
      </c>
      <c r="E93" s="2" t="s">
        <v>155</v>
      </c>
      <c r="F93" s="18">
        <v>45809</v>
      </c>
      <c r="G93" s="2"/>
      <c r="H93" s="19">
        <f t="shared" si="9"/>
        <v>45835</v>
      </c>
      <c r="M93">
        <v>8</v>
      </c>
      <c r="N93">
        <v>12</v>
      </c>
      <c r="Q93" s="2">
        <f>SUM(GC[[#This Row],[IC1_Inv1_GC]:[IC2_Inv2_GC]])</f>
        <v>20</v>
      </c>
      <c r="R93" t="s">
        <v>519</v>
      </c>
    </row>
    <row r="94" spans="1:18">
      <c r="A94" s="2">
        <f t="shared" si="7"/>
        <v>92</v>
      </c>
      <c r="B94" s="156">
        <f t="shared" si="4"/>
        <v>2026</v>
      </c>
      <c r="C94" s="2">
        <f t="shared" si="8"/>
        <v>2025</v>
      </c>
      <c r="D94" s="2" t="s">
        <v>155</v>
      </c>
      <c r="E94" s="2" t="s">
        <v>155</v>
      </c>
      <c r="F94" s="18">
        <v>45809</v>
      </c>
      <c r="G94" s="2"/>
      <c r="H94" s="19">
        <f t="shared" si="9"/>
        <v>45836</v>
      </c>
      <c r="M94">
        <v>15</v>
      </c>
      <c r="N94">
        <v>9</v>
      </c>
      <c r="Q94" s="2">
        <f>SUM(GC[[#This Row],[IC1_Inv1_GC]:[IC2_Inv2_GC]])</f>
        <v>24</v>
      </c>
    </row>
    <row r="95" spans="1:18">
      <c r="A95" s="2">
        <f t="shared" si="7"/>
        <v>93</v>
      </c>
      <c r="B95" s="156">
        <f t="shared" si="4"/>
        <v>2026</v>
      </c>
      <c r="C95" s="2">
        <f t="shared" si="8"/>
        <v>2025</v>
      </c>
      <c r="D95" s="2" t="s">
        <v>155</v>
      </c>
      <c r="E95" s="2" t="s">
        <v>155</v>
      </c>
      <c r="F95" s="18">
        <v>45809</v>
      </c>
      <c r="G95" s="2"/>
      <c r="H95" s="19">
        <f t="shared" si="9"/>
        <v>45837</v>
      </c>
      <c r="Q95" s="2">
        <f>SUM(GC[[#This Row],[IC1_Inv1_GC]:[IC2_Inv2_GC]])</f>
        <v>0</v>
      </c>
    </row>
    <row r="96" spans="1:18">
      <c r="A96" s="2">
        <f t="shared" si="7"/>
        <v>94</v>
      </c>
      <c r="B96" s="156">
        <f t="shared" si="4"/>
        <v>2026</v>
      </c>
      <c r="C96" s="2">
        <f t="shared" si="8"/>
        <v>2025</v>
      </c>
      <c r="D96" s="2" t="s">
        <v>155</v>
      </c>
      <c r="E96" s="2" t="s">
        <v>155</v>
      </c>
      <c r="F96" s="18">
        <v>45809</v>
      </c>
      <c r="G96" s="2"/>
      <c r="H96" s="19">
        <f t="shared" si="9"/>
        <v>45838</v>
      </c>
      <c r="K96">
        <v>11</v>
      </c>
      <c r="L96">
        <v>32</v>
      </c>
      <c r="Q96" s="2">
        <f>SUM(GC[[#This Row],[IC1_Inv1_GC]:[IC2_Inv2_GC]])</f>
        <v>43</v>
      </c>
    </row>
    <row r="97" spans="1:18">
      <c r="A97" s="2">
        <f t="shared" si="7"/>
        <v>95</v>
      </c>
      <c r="B97" s="156">
        <f t="shared" si="4"/>
        <v>2026</v>
      </c>
      <c r="C97" s="2">
        <f t="shared" si="8"/>
        <v>2025</v>
      </c>
      <c r="D97" s="2" t="s">
        <v>155</v>
      </c>
      <c r="E97" s="2" t="s">
        <v>155</v>
      </c>
      <c r="F97" s="18">
        <v>45839</v>
      </c>
      <c r="G97" s="2"/>
      <c r="H97" s="19">
        <f t="shared" si="9"/>
        <v>45839</v>
      </c>
      <c r="L97">
        <v>30</v>
      </c>
      <c r="Q97" s="2">
        <f>SUM(GC[[#This Row],[IC1_Inv1_GC]:[IC2_Inv2_GC]])</f>
        <v>30</v>
      </c>
      <c r="R97" t="s">
        <v>521</v>
      </c>
    </row>
    <row r="98" spans="1:18">
      <c r="A98" s="2">
        <f t="shared" si="7"/>
        <v>96</v>
      </c>
      <c r="B98" s="156">
        <f t="shared" si="4"/>
        <v>2026</v>
      </c>
      <c r="C98" s="2">
        <f t="shared" si="8"/>
        <v>2025</v>
      </c>
      <c r="D98" s="2" t="s">
        <v>155</v>
      </c>
      <c r="E98" s="2" t="s">
        <v>155</v>
      </c>
      <c r="F98" s="18">
        <v>45839</v>
      </c>
      <c r="G98" s="2"/>
      <c r="H98" s="19">
        <f t="shared" si="9"/>
        <v>45840</v>
      </c>
      <c r="K98">
        <v>19</v>
      </c>
      <c r="L98">
        <v>27</v>
      </c>
      <c r="Q98" s="2">
        <f>SUM(GC[[#This Row],[IC1_Inv1_GC]:[IC2_Inv2_GC]])</f>
        <v>46</v>
      </c>
      <c r="R98" t="s">
        <v>522</v>
      </c>
    </row>
    <row r="99" spans="1:18">
      <c r="A99" s="2">
        <f t="shared" si="7"/>
        <v>97</v>
      </c>
      <c r="B99" s="156">
        <f t="shared" si="4"/>
        <v>2026</v>
      </c>
      <c r="C99" s="2">
        <f t="shared" si="8"/>
        <v>2025</v>
      </c>
      <c r="D99" s="2" t="s">
        <v>155</v>
      </c>
      <c r="E99" s="2" t="s">
        <v>155</v>
      </c>
      <c r="F99" s="18">
        <v>45839</v>
      </c>
      <c r="G99" s="2"/>
      <c r="H99" s="19">
        <f t="shared" si="9"/>
        <v>45841</v>
      </c>
      <c r="L99">
        <v>36</v>
      </c>
      <c r="Q99" s="2">
        <f>SUM(GC[[#This Row],[IC1_Inv1_GC]:[IC2_Inv2_GC]])</f>
        <v>36</v>
      </c>
      <c r="R99" t="s">
        <v>522</v>
      </c>
    </row>
    <row r="100" spans="1:18">
      <c r="A100" s="2">
        <f t="shared" si="7"/>
        <v>98</v>
      </c>
      <c r="B100" s="156">
        <f t="shared" si="4"/>
        <v>2026</v>
      </c>
      <c r="C100" s="2">
        <f t="shared" si="8"/>
        <v>2025</v>
      </c>
      <c r="D100" s="2" t="s">
        <v>155</v>
      </c>
      <c r="E100" s="2" t="s">
        <v>155</v>
      </c>
      <c r="F100" s="18">
        <v>45839</v>
      </c>
      <c r="G100" s="2"/>
      <c r="H100" s="19">
        <f t="shared" si="9"/>
        <v>45842</v>
      </c>
      <c r="L100">
        <v>30</v>
      </c>
      <c r="M100">
        <v>6</v>
      </c>
      <c r="Q100" s="2">
        <f>SUM(GC[[#This Row],[IC1_Inv1_GC]:[IC2_Inv2_GC]])</f>
        <v>36</v>
      </c>
      <c r="R100" t="s">
        <v>522</v>
      </c>
    </row>
    <row r="101" spans="1:18">
      <c r="A101" s="2">
        <f t="shared" si="7"/>
        <v>99</v>
      </c>
      <c r="B101" s="156">
        <f t="shared" si="4"/>
        <v>2026</v>
      </c>
      <c r="C101" s="2">
        <f t="shared" si="8"/>
        <v>2025</v>
      </c>
      <c r="D101" s="2" t="s">
        <v>155</v>
      </c>
      <c r="E101" s="2" t="s">
        <v>155</v>
      </c>
      <c r="F101" s="18">
        <v>45839</v>
      </c>
      <c r="G101" s="2"/>
      <c r="H101" s="19">
        <f t="shared" si="9"/>
        <v>45843</v>
      </c>
      <c r="M101">
        <v>18</v>
      </c>
      <c r="O101">
        <v>4</v>
      </c>
      <c r="Q101" s="2">
        <f>SUM(GC[[#This Row],[IC1_Inv1_GC]:[IC2_Inv2_GC]])</f>
        <v>22</v>
      </c>
      <c r="R101" t="s">
        <v>523</v>
      </c>
    </row>
    <row r="102" spans="1:18">
      <c r="A102" s="2">
        <f t="shared" si="7"/>
        <v>100</v>
      </c>
      <c r="B102" s="156">
        <f t="shared" si="4"/>
        <v>2026</v>
      </c>
      <c r="C102" s="2">
        <f t="shared" si="8"/>
        <v>2025</v>
      </c>
      <c r="D102" s="2" t="s">
        <v>155</v>
      </c>
      <c r="E102" s="2" t="s">
        <v>155</v>
      </c>
      <c r="F102" s="18">
        <v>45839</v>
      </c>
      <c r="G102" s="2"/>
      <c r="H102" s="19">
        <f t="shared" si="9"/>
        <v>45844</v>
      </c>
      <c r="Q102" s="2">
        <f>SUM(GC[[#This Row],[IC1_Inv1_GC]:[IC2_Inv2_GC]])</f>
        <v>0</v>
      </c>
      <c r="R102" t="s">
        <v>523</v>
      </c>
    </row>
    <row r="103" spans="1:18">
      <c r="A103" s="2">
        <f t="shared" si="7"/>
        <v>101</v>
      </c>
      <c r="B103" s="156">
        <f t="shared" si="4"/>
        <v>2026</v>
      </c>
      <c r="C103" s="2">
        <f t="shared" si="8"/>
        <v>2025</v>
      </c>
      <c r="D103" s="2" t="s">
        <v>155</v>
      </c>
      <c r="E103" s="2" t="s">
        <v>155</v>
      </c>
      <c r="F103" s="18">
        <v>45839</v>
      </c>
      <c r="G103" s="2"/>
      <c r="H103" s="19">
        <f t="shared" si="9"/>
        <v>45845</v>
      </c>
      <c r="P103">
        <v>32</v>
      </c>
      <c r="Q103" s="2">
        <f>SUM(GC[[#This Row],[IC1_Inv1_GC]:[IC2_Inv2_GC]])</f>
        <v>32</v>
      </c>
      <c r="R103" t="s">
        <v>524</v>
      </c>
    </row>
    <row r="104" spans="1:18">
      <c r="A104" s="2">
        <f t="shared" si="7"/>
        <v>102</v>
      </c>
      <c r="B104" s="156">
        <f t="shared" si="4"/>
        <v>2026</v>
      </c>
      <c r="C104" s="2">
        <f t="shared" si="8"/>
        <v>2025</v>
      </c>
      <c r="D104" s="2" t="s">
        <v>155</v>
      </c>
      <c r="E104" s="2" t="s">
        <v>155</v>
      </c>
      <c r="F104" s="18">
        <v>45839</v>
      </c>
      <c r="G104" s="2"/>
      <c r="H104" s="19">
        <f t="shared" si="9"/>
        <v>45846</v>
      </c>
      <c r="P104">
        <v>32</v>
      </c>
      <c r="Q104" s="2">
        <f>SUM(GC[[#This Row],[IC1_Inv1_GC]:[IC2_Inv2_GC]])</f>
        <v>32</v>
      </c>
      <c r="R104" t="s">
        <v>524</v>
      </c>
    </row>
    <row r="105" spans="1:18">
      <c r="A105" s="2">
        <f t="shared" si="7"/>
        <v>103</v>
      </c>
      <c r="B105" s="156">
        <f t="shared" si="4"/>
        <v>2026</v>
      </c>
      <c r="C105" s="2">
        <f t="shared" si="8"/>
        <v>2025</v>
      </c>
      <c r="D105" s="2" t="s">
        <v>155</v>
      </c>
      <c r="E105" s="2" t="s">
        <v>155</v>
      </c>
      <c r="F105" s="18">
        <v>45839</v>
      </c>
      <c r="G105" s="2"/>
      <c r="H105" s="19">
        <f t="shared" si="9"/>
        <v>45847</v>
      </c>
      <c r="Q105" s="2">
        <f>SUM(GC[[#This Row],[IC1_Inv1_GC]:[IC2_Inv2_GC]])</f>
        <v>0</v>
      </c>
    </row>
    <row r="106" spans="1:18">
      <c r="A106" s="2">
        <f t="shared" si="7"/>
        <v>104</v>
      </c>
      <c r="B106" s="156">
        <f t="shared" si="4"/>
        <v>2026</v>
      </c>
      <c r="C106" s="2">
        <f t="shared" si="8"/>
        <v>2025</v>
      </c>
      <c r="D106" s="2" t="s">
        <v>155</v>
      </c>
      <c r="E106" s="2" t="s">
        <v>155</v>
      </c>
      <c r="F106" s="18">
        <v>45839</v>
      </c>
      <c r="G106" s="2"/>
      <c r="H106" s="19">
        <f t="shared" si="9"/>
        <v>45848</v>
      </c>
      <c r="K106">
        <v>24</v>
      </c>
      <c r="P106">
        <v>8</v>
      </c>
      <c r="Q106" s="2">
        <f>SUM(GC[[#This Row],[IC1_Inv1_GC]:[IC2_Inv2_GC]])</f>
        <v>32</v>
      </c>
      <c r="R106" t="s">
        <v>525</v>
      </c>
    </row>
    <row r="107" spans="1:18">
      <c r="A107" s="2">
        <f t="shared" si="7"/>
        <v>105</v>
      </c>
      <c r="B107" s="156">
        <f t="shared" si="4"/>
        <v>2026</v>
      </c>
      <c r="C107" s="2">
        <f t="shared" si="8"/>
        <v>2025</v>
      </c>
      <c r="D107" s="2" t="s">
        <v>155</v>
      </c>
      <c r="E107" s="2" t="s">
        <v>155</v>
      </c>
      <c r="F107" s="18">
        <v>45839</v>
      </c>
      <c r="G107" s="2"/>
      <c r="H107" s="19">
        <f t="shared" si="9"/>
        <v>45849</v>
      </c>
      <c r="K107">
        <v>28</v>
      </c>
      <c r="Q107" s="2">
        <f>SUM(GC[[#This Row],[IC1_Inv1_GC]:[IC2_Inv2_GC]])</f>
        <v>28</v>
      </c>
      <c r="R107" t="s">
        <v>525</v>
      </c>
    </row>
    <row r="108" spans="1:18">
      <c r="A108" s="2">
        <f t="shared" si="7"/>
        <v>106</v>
      </c>
      <c r="B108" s="156">
        <f t="shared" ref="B108:B152" si="10">YEAR(H108)+IF(MONTH(H108)&gt;=4,1,0)</f>
        <v>2026</v>
      </c>
      <c r="C108" s="2">
        <f t="shared" ref="C108:C139" si="11">YEAR(H108)</f>
        <v>2025</v>
      </c>
      <c r="D108" s="2" t="s">
        <v>155</v>
      </c>
      <c r="E108" s="2" t="s">
        <v>155</v>
      </c>
      <c r="F108" s="18">
        <v>45839</v>
      </c>
      <c r="G108" s="2"/>
      <c r="H108" s="19">
        <f t="shared" ref="H108:H139" si="12">H107+1</f>
        <v>45850</v>
      </c>
      <c r="K108">
        <v>8</v>
      </c>
      <c r="P108">
        <v>15</v>
      </c>
      <c r="Q108" s="2">
        <f>SUM(GC[[#This Row],[IC1_Inv1_GC]:[IC2_Inv2_GC]])</f>
        <v>23</v>
      </c>
      <c r="R108" t="s">
        <v>525</v>
      </c>
    </row>
    <row r="109" spans="1:18">
      <c r="A109" s="2">
        <f t="shared" si="7"/>
        <v>107</v>
      </c>
      <c r="B109" s="156">
        <f t="shared" si="10"/>
        <v>2026</v>
      </c>
      <c r="C109" s="2">
        <f t="shared" si="11"/>
        <v>2025</v>
      </c>
      <c r="D109" s="2" t="s">
        <v>155</v>
      </c>
      <c r="E109" s="2" t="s">
        <v>155</v>
      </c>
      <c r="F109" s="18">
        <v>45839</v>
      </c>
      <c r="G109" s="2"/>
      <c r="H109" s="19">
        <f t="shared" si="12"/>
        <v>45851</v>
      </c>
      <c r="Q109" s="2">
        <f>SUM(GC[[#This Row],[IC1_Inv1_GC]:[IC2_Inv2_GC]])</f>
        <v>0</v>
      </c>
    </row>
    <row r="110" spans="1:18">
      <c r="A110" s="2">
        <f t="shared" si="7"/>
        <v>108</v>
      </c>
      <c r="B110" s="156">
        <f t="shared" si="10"/>
        <v>2026</v>
      </c>
      <c r="C110" s="2">
        <f t="shared" si="11"/>
        <v>2025</v>
      </c>
      <c r="D110" s="2" t="s">
        <v>155</v>
      </c>
      <c r="E110" s="2" t="s">
        <v>155</v>
      </c>
      <c r="F110" s="18">
        <v>45839</v>
      </c>
      <c r="G110" s="2"/>
      <c r="H110" s="19">
        <f t="shared" si="12"/>
        <v>45852</v>
      </c>
      <c r="Q110" s="2">
        <f>SUM(GC[[#This Row],[IC1_Inv1_GC]:[IC2_Inv2_GC]])</f>
        <v>0</v>
      </c>
    </row>
    <row r="111" spans="1:18">
      <c r="A111" s="2">
        <f t="shared" si="7"/>
        <v>109</v>
      </c>
      <c r="B111" s="156">
        <f t="shared" si="10"/>
        <v>2026</v>
      </c>
      <c r="C111" s="2">
        <f t="shared" si="11"/>
        <v>2025</v>
      </c>
      <c r="D111" s="2"/>
      <c r="E111" s="2"/>
      <c r="F111" s="18"/>
      <c r="G111" s="2"/>
      <c r="H111" s="19">
        <f t="shared" si="12"/>
        <v>45853</v>
      </c>
      <c r="Q111" s="2">
        <f>SUM(GC[[#This Row],[IC1_Inv1_GC]:[IC2_Inv2_GC]])</f>
        <v>0</v>
      </c>
    </row>
    <row r="112" spans="1:18">
      <c r="A112" s="2">
        <f t="shared" si="7"/>
        <v>110</v>
      </c>
      <c r="B112" s="156">
        <f t="shared" si="10"/>
        <v>2026</v>
      </c>
      <c r="C112" s="2">
        <f t="shared" si="11"/>
        <v>2025</v>
      </c>
      <c r="D112" s="2"/>
      <c r="E112" s="2"/>
      <c r="F112" s="18"/>
      <c r="G112" s="2"/>
      <c r="H112" s="19">
        <f t="shared" si="12"/>
        <v>45854</v>
      </c>
      <c r="Q112" s="2">
        <f>SUM(GC[[#This Row],[IC1_Inv1_GC]:[IC2_Inv2_GC]])</f>
        <v>0</v>
      </c>
    </row>
    <row r="113" spans="1:17">
      <c r="A113" s="2">
        <f t="shared" si="7"/>
        <v>111</v>
      </c>
      <c r="B113" s="156">
        <f t="shared" si="10"/>
        <v>2026</v>
      </c>
      <c r="C113" s="2">
        <f t="shared" si="11"/>
        <v>2025</v>
      </c>
      <c r="D113" s="2"/>
      <c r="E113" s="2"/>
      <c r="F113" s="18"/>
      <c r="G113" s="2"/>
      <c r="H113" s="19">
        <f t="shared" si="12"/>
        <v>45855</v>
      </c>
      <c r="Q113" s="2">
        <f>SUM(GC[[#This Row],[IC1_Inv1_GC]:[IC2_Inv2_GC]])</f>
        <v>0</v>
      </c>
    </row>
    <row r="114" spans="1:17">
      <c r="A114" s="2">
        <f t="shared" si="7"/>
        <v>112</v>
      </c>
      <c r="B114" s="156">
        <f t="shared" si="10"/>
        <v>2026</v>
      </c>
      <c r="C114" s="2">
        <f t="shared" si="11"/>
        <v>2025</v>
      </c>
      <c r="D114" s="2"/>
      <c r="E114" s="2"/>
      <c r="F114" s="18"/>
      <c r="G114" s="2"/>
      <c r="H114" s="19">
        <f t="shared" si="12"/>
        <v>45856</v>
      </c>
      <c r="Q114" s="2">
        <f>SUM(GC[[#This Row],[IC1_Inv1_GC]:[IC2_Inv2_GC]])</f>
        <v>0</v>
      </c>
    </row>
    <row r="115" spans="1:17">
      <c r="A115" s="2">
        <f t="shared" si="7"/>
        <v>113</v>
      </c>
      <c r="B115" s="156">
        <f t="shared" si="10"/>
        <v>2026</v>
      </c>
      <c r="C115" s="2">
        <f t="shared" si="11"/>
        <v>2025</v>
      </c>
      <c r="D115" s="2"/>
      <c r="E115" s="2"/>
      <c r="F115" s="18"/>
      <c r="G115" s="2"/>
      <c r="H115" s="19">
        <f t="shared" si="12"/>
        <v>45857</v>
      </c>
      <c r="Q115" s="2">
        <f>SUM(GC[[#This Row],[IC1_Inv1_GC]:[IC2_Inv2_GC]])</f>
        <v>0</v>
      </c>
    </row>
    <row r="116" spans="1:17">
      <c r="A116" s="2">
        <f t="shared" si="7"/>
        <v>114</v>
      </c>
      <c r="B116" s="156">
        <f t="shared" si="10"/>
        <v>2026</v>
      </c>
      <c r="C116" s="2">
        <f t="shared" si="11"/>
        <v>2025</v>
      </c>
      <c r="D116" s="2"/>
      <c r="E116" s="2"/>
      <c r="F116" s="18"/>
      <c r="G116" s="2"/>
      <c r="H116" s="19">
        <f t="shared" si="12"/>
        <v>45858</v>
      </c>
      <c r="Q116" s="2">
        <f>SUM(GC[[#This Row],[IC1_Inv1_GC]:[IC2_Inv2_GC]])</f>
        <v>0</v>
      </c>
    </row>
    <row r="117" spans="1:17">
      <c r="A117" s="2">
        <f t="shared" si="7"/>
        <v>115</v>
      </c>
      <c r="B117" s="156">
        <f t="shared" si="10"/>
        <v>2026</v>
      </c>
      <c r="C117" s="2">
        <f t="shared" si="11"/>
        <v>2025</v>
      </c>
      <c r="D117" s="2"/>
      <c r="E117" s="2"/>
      <c r="F117" s="18"/>
      <c r="G117" s="2"/>
      <c r="H117" s="19">
        <f t="shared" si="12"/>
        <v>45859</v>
      </c>
      <c r="Q117" s="2">
        <f>SUM(GC[[#This Row],[IC1_Inv1_GC]:[IC2_Inv2_GC]])</f>
        <v>0</v>
      </c>
    </row>
    <row r="118" spans="1:17">
      <c r="A118" s="2">
        <f t="shared" si="7"/>
        <v>116</v>
      </c>
      <c r="B118" s="156">
        <f t="shared" si="10"/>
        <v>2026</v>
      </c>
      <c r="C118" s="2">
        <f t="shared" si="11"/>
        <v>2025</v>
      </c>
      <c r="D118" s="2"/>
      <c r="E118" s="2"/>
      <c r="F118" s="18"/>
      <c r="G118" s="2"/>
      <c r="H118" s="19">
        <f t="shared" si="12"/>
        <v>45860</v>
      </c>
      <c r="Q118" s="2">
        <f>SUM(GC[[#This Row],[IC1_Inv1_GC]:[IC2_Inv2_GC]])</f>
        <v>0</v>
      </c>
    </row>
    <row r="119" spans="1:17">
      <c r="A119" s="2">
        <f t="shared" si="7"/>
        <v>117</v>
      </c>
      <c r="B119" s="156">
        <f t="shared" si="10"/>
        <v>2026</v>
      </c>
      <c r="C119" s="2">
        <f t="shared" si="11"/>
        <v>2025</v>
      </c>
      <c r="D119" s="2"/>
      <c r="E119" s="2"/>
      <c r="F119" s="18"/>
      <c r="G119" s="2"/>
      <c r="H119" s="19">
        <f t="shared" si="12"/>
        <v>45861</v>
      </c>
      <c r="Q119" s="2">
        <f>SUM(GC[[#This Row],[IC1_Inv1_GC]:[IC2_Inv2_GC]])</f>
        <v>0</v>
      </c>
    </row>
    <row r="120" spans="1:17">
      <c r="A120" s="2">
        <f t="shared" si="7"/>
        <v>118</v>
      </c>
      <c r="B120" s="156">
        <f t="shared" si="10"/>
        <v>2026</v>
      </c>
      <c r="C120" s="2">
        <f t="shared" si="11"/>
        <v>2025</v>
      </c>
      <c r="D120" s="2"/>
      <c r="E120" s="2"/>
      <c r="F120" s="18"/>
      <c r="G120" s="2"/>
      <c r="H120" s="19">
        <f t="shared" si="12"/>
        <v>45862</v>
      </c>
      <c r="Q120" s="2">
        <f>SUM(GC[[#This Row],[IC1_Inv1_GC]:[IC2_Inv2_GC]])</f>
        <v>0</v>
      </c>
    </row>
    <row r="121" spans="1:17">
      <c r="A121" s="2">
        <f t="shared" si="7"/>
        <v>119</v>
      </c>
      <c r="B121" s="156">
        <f t="shared" si="10"/>
        <v>2026</v>
      </c>
      <c r="C121" s="2">
        <f t="shared" si="11"/>
        <v>2025</v>
      </c>
      <c r="D121" s="2"/>
      <c r="E121" s="2"/>
      <c r="F121" s="18"/>
      <c r="G121" s="2"/>
      <c r="H121" s="19">
        <f t="shared" si="12"/>
        <v>45863</v>
      </c>
      <c r="Q121" s="2">
        <f>SUM(GC[[#This Row],[IC1_Inv1_GC]:[IC2_Inv2_GC]])</f>
        <v>0</v>
      </c>
    </row>
    <row r="122" spans="1:17">
      <c r="A122" s="2">
        <f t="shared" si="7"/>
        <v>120</v>
      </c>
      <c r="B122" s="156">
        <f t="shared" si="10"/>
        <v>2026</v>
      </c>
      <c r="C122" s="2">
        <f t="shared" si="11"/>
        <v>2025</v>
      </c>
      <c r="D122" s="2"/>
      <c r="E122" s="2"/>
      <c r="F122" s="18"/>
      <c r="G122" s="2"/>
      <c r="H122" s="19">
        <f t="shared" si="12"/>
        <v>45864</v>
      </c>
      <c r="Q122" s="2">
        <f>SUM(GC[[#This Row],[IC1_Inv1_GC]:[IC2_Inv2_GC]])</f>
        <v>0</v>
      </c>
    </row>
    <row r="123" spans="1:17">
      <c r="A123" s="2">
        <f t="shared" si="7"/>
        <v>121</v>
      </c>
      <c r="B123" s="156">
        <f t="shared" si="10"/>
        <v>2026</v>
      </c>
      <c r="C123" s="2">
        <f t="shared" si="11"/>
        <v>2025</v>
      </c>
      <c r="D123" s="2"/>
      <c r="E123" s="2"/>
      <c r="F123" s="18"/>
      <c r="G123" s="2"/>
      <c r="H123" s="19">
        <f t="shared" si="12"/>
        <v>45865</v>
      </c>
      <c r="Q123" s="2">
        <f>SUM(GC[[#This Row],[IC1_Inv1_GC]:[IC2_Inv2_GC]])</f>
        <v>0</v>
      </c>
    </row>
    <row r="124" spans="1:17">
      <c r="A124" s="2">
        <f t="shared" si="7"/>
        <v>122</v>
      </c>
      <c r="B124" s="156">
        <f t="shared" si="10"/>
        <v>2026</v>
      </c>
      <c r="C124" s="2">
        <f t="shared" si="11"/>
        <v>2025</v>
      </c>
      <c r="D124" s="2"/>
      <c r="E124" s="2"/>
      <c r="F124" s="18"/>
      <c r="G124" s="2"/>
      <c r="H124" s="19">
        <f t="shared" si="12"/>
        <v>45866</v>
      </c>
      <c r="Q124" s="2">
        <f>SUM(GC[[#This Row],[IC1_Inv1_GC]:[IC2_Inv2_GC]])</f>
        <v>0</v>
      </c>
    </row>
    <row r="125" spans="1:17">
      <c r="A125" s="2">
        <f t="shared" si="7"/>
        <v>123</v>
      </c>
      <c r="B125" s="156">
        <f t="shared" si="10"/>
        <v>2026</v>
      </c>
      <c r="C125" s="2">
        <f t="shared" si="11"/>
        <v>2025</v>
      </c>
      <c r="D125" s="2"/>
      <c r="E125" s="2"/>
      <c r="F125" s="18"/>
      <c r="G125" s="2"/>
      <c r="H125" s="19">
        <f t="shared" si="12"/>
        <v>45867</v>
      </c>
      <c r="Q125" s="2">
        <f>SUM(GC[[#This Row],[IC1_Inv1_GC]:[IC2_Inv2_GC]])</f>
        <v>0</v>
      </c>
    </row>
    <row r="126" spans="1:17">
      <c r="A126" s="2">
        <f t="shared" si="7"/>
        <v>124</v>
      </c>
      <c r="B126" s="156">
        <f t="shared" si="10"/>
        <v>2026</v>
      </c>
      <c r="C126" s="2">
        <f t="shared" si="11"/>
        <v>2025</v>
      </c>
      <c r="D126" s="2"/>
      <c r="E126" s="2"/>
      <c r="F126" s="18"/>
      <c r="G126" s="2"/>
      <c r="H126" s="19">
        <f t="shared" si="12"/>
        <v>45868</v>
      </c>
      <c r="Q126" s="2">
        <f>SUM(GC[[#This Row],[IC1_Inv1_GC]:[IC2_Inv2_GC]])</f>
        <v>0</v>
      </c>
    </row>
    <row r="127" spans="1:17">
      <c r="A127" s="2">
        <f t="shared" si="7"/>
        <v>125</v>
      </c>
      <c r="B127" s="156">
        <f t="shared" si="10"/>
        <v>2026</v>
      </c>
      <c r="C127" s="2">
        <f t="shared" si="11"/>
        <v>2025</v>
      </c>
      <c r="D127" s="2"/>
      <c r="E127" s="2"/>
      <c r="F127" s="18"/>
      <c r="G127" s="2"/>
      <c r="H127" s="19">
        <f t="shared" si="12"/>
        <v>45869</v>
      </c>
      <c r="Q127" s="2">
        <f>SUM(GC[[#This Row],[IC1_Inv1_GC]:[IC2_Inv2_GC]])</f>
        <v>0</v>
      </c>
    </row>
    <row r="128" spans="1:17">
      <c r="A128" s="2">
        <f t="shared" si="7"/>
        <v>126</v>
      </c>
      <c r="B128" s="156">
        <f t="shared" si="10"/>
        <v>2026</v>
      </c>
      <c r="C128" s="2">
        <f t="shared" si="11"/>
        <v>2025</v>
      </c>
      <c r="D128" s="2"/>
      <c r="E128" s="2"/>
      <c r="F128" s="18"/>
      <c r="G128" s="2"/>
      <c r="H128" s="19">
        <f t="shared" si="12"/>
        <v>45870</v>
      </c>
      <c r="Q128" s="2">
        <f>SUM(GC[[#This Row],[IC1_Inv1_GC]:[IC2_Inv2_GC]])</f>
        <v>0</v>
      </c>
    </row>
    <row r="129" spans="1:17">
      <c r="A129" s="2">
        <f t="shared" si="7"/>
        <v>127</v>
      </c>
      <c r="B129" s="156">
        <f t="shared" si="10"/>
        <v>2026</v>
      </c>
      <c r="C129" s="2">
        <f t="shared" si="11"/>
        <v>2025</v>
      </c>
      <c r="D129" s="2"/>
      <c r="E129" s="2"/>
      <c r="F129" s="18"/>
      <c r="G129" s="2"/>
      <c r="H129" s="19">
        <f t="shared" si="12"/>
        <v>45871</v>
      </c>
      <c r="Q129" s="2">
        <f>SUM(GC[[#This Row],[IC1_Inv1_GC]:[IC2_Inv2_GC]])</f>
        <v>0</v>
      </c>
    </row>
    <row r="130" spans="1:17">
      <c r="A130" s="2">
        <f t="shared" si="7"/>
        <v>128</v>
      </c>
      <c r="B130" s="156">
        <f t="shared" si="10"/>
        <v>2026</v>
      </c>
      <c r="C130" s="2">
        <f t="shared" si="11"/>
        <v>2025</v>
      </c>
      <c r="D130" s="2"/>
      <c r="E130" s="2"/>
      <c r="F130" s="18"/>
      <c r="G130" s="2"/>
      <c r="H130" s="19">
        <f t="shared" si="12"/>
        <v>45872</v>
      </c>
      <c r="Q130" s="2">
        <f>SUM(GC[[#This Row],[IC1_Inv1_GC]:[IC2_Inv2_GC]])</f>
        <v>0</v>
      </c>
    </row>
    <row r="131" spans="1:17">
      <c r="A131" s="2">
        <f t="shared" si="7"/>
        <v>129</v>
      </c>
      <c r="B131" s="156">
        <f t="shared" si="10"/>
        <v>2026</v>
      </c>
      <c r="C131" s="2">
        <f t="shared" si="11"/>
        <v>2025</v>
      </c>
      <c r="D131" s="2"/>
      <c r="E131" s="2"/>
      <c r="F131" s="18"/>
      <c r="G131" s="2"/>
      <c r="H131" s="19">
        <f t="shared" si="12"/>
        <v>45873</v>
      </c>
      <c r="Q131" s="2">
        <f>SUM(GC[[#This Row],[IC1_Inv1_GC]:[IC2_Inv2_GC]])</f>
        <v>0</v>
      </c>
    </row>
    <row r="132" spans="1:17">
      <c r="A132" s="2">
        <f t="shared" si="7"/>
        <v>130</v>
      </c>
      <c r="B132" s="156">
        <f t="shared" si="10"/>
        <v>2026</v>
      </c>
      <c r="C132" s="2">
        <f t="shared" si="11"/>
        <v>2025</v>
      </c>
      <c r="D132" s="2"/>
      <c r="E132" s="2"/>
      <c r="F132" s="18"/>
      <c r="G132" s="2"/>
      <c r="H132" s="19">
        <f t="shared" si="12"/>
        <v>45874</v>
      </c>
      <c r="Q132" s="2">
        <f>SUM(GC[[#This Row],[IC1_Inv1_GC]:[IC2_Inv2_GC]])</f>
        <v>0</v>
      </c>
    </row>
    <row r="133" spans="1:17">
      <c r="A133" s="2">
        <f t="shared" ref="A133:A152" si="13">A132+1</f>
        <v>131</v>
      </c>
      <c r="B133" s="156">
        <f t="shared" si="10"/>
        <v>2026</v>
      </c>
      <c r="C133" s="2">
        <f t="shared" si="11"/>
        <v>2025</v>
      </c>
      <c r="D133" s="2"/>
      <c r="E133" s="2"/>
      <c r="F133" s="18"/>
      <c r="G133" s="2"/>
      <c r="H133" s="19">
        <f t="shared" si="12"/>
        <v>45875</v>
      </c>
      <c r="Q133" s="2">
        <f>SUM(GC[[#This Row],[IC1_Inv1_GC]:[IC2_Inv2_GC]])</f>
        <v>0</v>
      </c>
    </row>
    <row r="134" spans="1:17">
      <c r="A134" s="2">
        <f t="shared" si="13"/>
        <v>132</v>
      </c>
      <c r="B134" s="156">
        <f t="shared" si="10"/>
        <v>2026</v>
      </c>
      <c r="C134" s="2">
        <f t="shared" si="11"/>
        <v>2025</v>
      </c>
      <c r="D134" s="2"/>
      <c r="E134" s="2"/>
      <c r="F134" s="18"/>
      <c r="G134" s="2"/>
      <c r="H134" s="19">
        <f t="shared" si="12"/>
        <v>45876</v>
      </c>
      <c r="Q134" s="2">
        <f>SUM(GC[[#This Row],[IC1_Inv1_GC]:[IC2_Inv2_GC]])</f>
        <v>0</v>
      </c>
    </row>
    <row r="135" spans="1:17">
      <c r="A135" s="2">
        <f t="shared" si="13"/>
        <v>133</v>
      </c>
      <c r="B135" s="156">
        <f t="shared" si="10"/>
        <v>2026</v>
      </c>
      <c r="C135" s="2">
        <f t="shared" si="11"/>
        <v>2025</v>
      </c>
      <c r="D135" s="2"/>
      <c r="E135" s="2"/>
      <c r="F135" s="18"/>
      <c r="G135" s="2"/>
      <c r="H135" s="19">
        <f t="shared" si="12"/>
        <v>45877</v>
      </c>
      <c r="Q135" s="2">
        <f>SUM(GC[[#This Row],[IC1_Inv1_GC]:[IC2_Inv2_GC]])</f>
        <v>0</v>
      </c>
    </row>
    <row r="136" spans="1:17">
      <c r="A136" s="2">
        <f t="shared" si="13"/>
        <v>134</v>
      </c>
      <c r="B136" s="156">
        <f t="shared" si="10"/>
        <v>2026</v>
      </c>
      <c r="C136" s="2">
        <f t="shared" si="11"/>
        <v>2025</v>
      </c>
      <c r="D136" s="2"/>
      <c r="E136" s="2"/>
      <c r="F136" s="18"/>
      <c r="G136" s="2"/>
      <c r="H136" s="19">
        <f t="shared" si="12"/>
        <v>45878</v>
      </c>
      <c r="Q136" s="2">
        <f>SUM(GC[[#This Row],[IC1_Inv1_GC]:[IC2_Inv2_GC]])</f>
        <v>0</v>
      </c>
    </row>
    <row r="137" spans="1:17">
      <c r="A137" s="2">
        <f t="shared" si="13"/>
        <v>135</v>
      </c>
      <c r="B137" s="156">
        <f t="shared" si="10"/>
        <v>2026</v>
      </c>
      <c r="C137" s="2">
        <f t="shared" si="11"/>
        <v>2025</v>
      </c>
      <c r="D137" s="2"/>
      <c r="E137" s="2"/>
      <c r="F137" s="18"/>
      <c r="G137" s="2"/>
      <c r="H137" s="19">
        <f t="shared" si="12"/>
        <v>45879</v>
      </c>
      <c r="Q137" s="2">
        <f>SUM(GC[[#This Row],[IC1_Inv1_GC]:[IC2_Inv2_GC]])</f>
        <v>0</v>
      </c>
    </row>
    <row r="138" spans="1:17">
      <c r="A138" s="2">
        <f t="shared" si="13"/>
        <v>136</v>
      </c>
      <c r="B138" s="156">
        <f t="shared" si="10"/>
        <v>2026</v>
      </c>
      <c r="C138" s="2">
        <f t="shared" si="11"/>
        <v>2025</v>
      </c>
      <c r="D138" s="2"/>
      <c r="E138" s="2"/>
      <c r="F138" s="18"/>
      <c r="G138" s="2"/>
      <c r="H138" s="19">
        <f t="shared" si="12"/>
        <v>45880</v>
      </c>
      <c r="Q138" s="2">
        <f>SUM(GC[[#This Row],[IC1_Inv1_GC]:[IC2_Inv2_GC]])</f>
        <v>0</v>
      </c>
    </row>
    <row r="139" spans="1:17">
      <c r="A139" s="2">
        <f t="shared" si="13"/>
        <v>137</v>
      </c>
      <c r="B139" s="156">
        <f t="shared" si="10"/>
        <v>2026</v>
      </c>
      <c r="C139" s="2">
        <f t="shared" si="11"/>
        <v>2025</v>
      </c>
      <c r="D139" s="2"/>
      <c r="E139" s="2"/>
      <c r="F139" s="18"/>
      <c r="G139" s="2"/>
      <c r="H139" s="19">
        <f t="shared" si="12"/>
        <v>45881</v>
      </c>
      <c r="Q139" s="2">
        <f>SUM(GC[[#This Row],[IC1_Inv1_GC]:[IC2_Inv2_GC]])</f>
        <v>0</v>
      </c>
    </row>
    <row r="140" spans="1:17">
      <c r="A140" s="2">
        <f t="shared" si="13"/>
        <v>138</v>
      </c>
      <c r="B140" s="156">
        <f t="shared" si="10"/>
        <v>2026</v>
      </c>
      <c r="C140" s="2">
        <f t="shared" ref="C140:C152" si="14">YEAR(H140)</f>
        <v>2025</v>
      </c>
      <c r="D140" s="2"/>
      <c r="E140" s="2"/>
      <c r="F140" s="18"/>
      <c r="G140" s="2"/>
      <c r="H140" s="19">
        <f t="shared" ref="H140:H152" si="15">H139+1</f>
        <v>45882</v>
      </c>
      <c r="Q140" s="2">
        <f>SUM(GC[[#This Row],[IC1_Inv1_GC]:[IC2_Inv2_GC]])</f>
        <v>0</v>
      </c>
    </row>
    <row r="141" spans="1:17">
      <c r="A141" s="2">
        <f t="shared" si="13"/>
        <v>139</v>
      </c>
      <c r="B141" s="156">
        <f t="shared" si="10"/>
        <v>2026</v>
      </c>
      <c r="C141" s="2">
        <f t="shared" si="14"/>
        <v>2025</v>
      </c>
      <c r="D141" s="2"/>
      <c r="E141" s="2"/>
      <c r="F141" s="18"/>
      <c r="G141" s="2"/>
      <c r="H141" s="19">
        <f t="shared" si="15"/>
        <v>45883</v>
      </c>
      <c r="Q141" s="2">
        <f>SUM(GC[[#This Row],[IC1_Inv1_GC]:[IC2_Inv2_GC]])</f>
        <v>0</v>
      </c>
    </row>
    <row r="142" spans="1:17">
      <c r="A142" s="2">
        <f t="shared" si="13"/>
        <v>140</v>
      </c>
      <c r="B142" s="156">
        <f t="shared" si="10"/>
        <v>2026</v>
      </c>
      <c r="C142" s="2">
        <f t="shared" si="14"/>
        <v>2025</v>
      </c>
      <c r="D142" s="2"/>
      <c r="E142" s="2"/>
      <c r="F142" s="18"/>
      <c r="G142" s="2"/>
      <c r="H142" s="19">
        <f t="shared" si="15"/>
        <v>45884</v>
      </c>
      <c r="Q142" s="2">
        <f>SUM(GC[[#This Row],[IC1_Inv1_GC]:[IC2_Inv2_GC]])</f>
        <v>0</v>
      </c>
    </row>
    <row r="143" spans="1:17">
      <c r="A143" s="2">
        <f t="shared" si="13"/>
        <v>141</v>
      </c>
      <c r="B143" s="156">
        <f t="shared" si="10"/>
        <v>2026</v>
      </c>
      <c r="C143" s="2">
        <f t="shared" si="14"/>
        <v>2025</v>
      </c>
      <c r="D143" s="2"/>
      <c r="E143" s="2"/>
      <c r="F143" s="18"/>
      <c r="G143" s="2"/>
      <c r="H143" s="19">
        <f t="shared" si="15"/>
        <v>45885</v>
      </c>
      <c r="Q143" s="2">
        <f>SUM(GC[[#This Row],[IC1_Inv1_GC]:[IC2_Inv2_GC]])</f>
        <v>0</v>
      </c>
    </row>
    <row r="144" spans="1:17">
      <c r="A144" s="2">
        <f t="shared" si="13"/>
        <v>142</v>
      </c>
      <c r="B144" s="156">
        <f t="shared" si="10"/>
        <v>2026</v>
      </c>
      <c r="C144" s="2">
        <f t="shared" si="14"/>
        <v>2025</v>
      </c>
      <c r="D144" s="2"/>
      <c r="E144" s="2"/>
      <c r="F144" s="18"/>
      <c r="G144" s="2"/>
      <c r="H144" s="19">
        <f t="shared" si="15"/>
        <v>45886</v>
      </c>
      <c r="Q144" s="2">
        <f>SUM(GC[[#This Row],[IC1_Inv1_GC]:[IC2_Inv2_GC]])</f>
        <v>0</v>
      </c>
    </row>
    <row r="145" spans="1:17">
      <c r="A145" s="2">
        <f t="shared" si="13"/>
        <v>143</v>
      </c>
      <c r="B145" s="156">
        <f t="shared" si="10"/>
        <v>2026</v>
      </c>
      <c r="C145" s="2">
        <f t="shared" si="14"/>
        <v>2025</v>
      </c>
      <c r="D145" s="2"/>
      <c r="E145" s="2"/>
      <c r="F145" s="18"/>
      <c r="G145" s="2"/>
      <c r="H145" s="19">
        <f t="shared" si="15"/>
        <v>45887</v>
      </c>
      <c r="Q145" s="2">
        <f>SUM(GC[[#This Row],[IC1_Inv1_GC]:[IC2_Inv2_GC]])</f>
        <v>0</v>
      </c>
    </row>
    <row r="146" spans="1:17">
      <c r="A146" s="2">
        <f t="shared" si="13"/>
        <v>144</v>
      </c>
      <c r="B146" s="156">
        <f t="shared" si="10"/>
        <v>2026</v>
      </c>
      <c r="C146" s="2">
        <f t="shared" si="14"/>
        <v>2025</v>
      </c>
      <c r="D146" s="2"/>
      <c r="E146" s="2"/>
      <c r="F146" s="18"/>
      <c r="G146" s="2"/>
      <c r="H146" s="19">
        <f t="shared" si="15"/>
        <v>45888</v>
      </c>
      <c r="Q146" s="2">
        <f>SUM(GC[[#This Row],[IC1_Inv1_GC]:[IC2_Inv2_GC]])</f>
        <v>0</v>
      </c>
    </row>
    <row r="147" spans="1:17">
      <c r="A147" s="2">
        <f t="shared" si="13"/>
        <v>145</v>
      </c>
      <c r="B147" s="156">
        <f t="shared" si="10"/>
        <v>2026</v>
      </c>
      <c r="C147" s="2">
        <f t="shared" si="14"/>
        <v>2025</v>
      </c>
      <c r="D147" s="2"/>
      <c r="E147" s="2"/>
      <c r="F147" s="18"/>
      <c r="G147" s="2"/>
      <c r="H147" s="19">
        <f t="shared" si="15"/>
        <v>45889</v>
      </c>
      <c r="Q147" s="2">
        <f>SUM(GC[[#This Row],[IC1_Inv1_GC]:[IC2_Inv2_GC]])</f>
        <v>0</v>
      </c>
    </row>
    <row r="148" spans="1:17">
      <c r="A148" s="2">
        <f t="shared" si="13"/>
        <v>146</v>
      </c>
      <c r="B148" s="156">
        <f t="shared" si="10"/>
        <v>2026</v>
      </c>
      <c r="C148" s="2">
        <f t="shared" si="14"/>
        <v>2025</v>
      </c>
      <c r="D148" s="2"/>
      <c r="E148" s="2"/>
      <c r="F148" s="18"/>
      <c r="G148" s="2"/>
      <c r="H148" s="19">
        <f t="shared" si="15"/>
        <v>45890</v>
      </c>
      <c r="Q148" s="2">
        <f>SUM(GC[[#This Row],[IC1_Inv1_GC]:[IC2_Inv2_GC]])</f>
        <v>0</v>
      </c>
    </row>
    <row r="149" spans="1:17">
      <c r="A149" s="2">
        <f t="shared" si="13"/>
        <v>147</v>
      </c>
      <c r="B149" s="156">
        <f t="shared" si="10"/>
        <v>2026</v>
      </c>
      <c r="C149" s="2">
        <f t="shared" si="14"/>
        <v>2025</v>
      </c>
      <c r="D149" s="2"/>
      <c r="E149" s="2"/>
      <c r="F149" s="18"/>
      <c r="G149" s="2"/>
      <c r="H149" s="19">
        <f t="shared" si="15"/>
        <v>45891</v>
      </c>
      <c r="Q149" s="2">
        <f>SUM(GC[[#This Row],[IC1_Inv1_GC]:[IC2_Inv2_GC]])</f>
        <v>0</v>
      </c>
    </row>
    <row r="150" spans="1:17">
      <c r="A150" s="2">
        <f t="shared" si="13"/>
        <v>148</v>
      </c>
      <c r="B150" s="156">
        <f t="shared" si="10"/>
        <v>2026</v>
      </c>
      <c r="C150" s="2">
        <f t="shared" si="14"/>
        <v>2025</v>
      </c>
      <c r="D150" s="2"/>
      <c r="E150" s="2"/>
      <c r="F150" s="18"/>
      <c r="G150" s="2"/>
      <c r="H150" s="19">
        <f t="shared" si="15"/>
        <v>45892</v>
      </c>
      <c r="Q150" s="2">
        <f>SUM(GC[[#This Row],[IC1_Inv1_GC]:[IC2_Inv2_GC]])</f>
        <v>0</v>
      </c>
    </row>
    <row r="151" spans="1:17">
      <c r="A151" s="2">
        <f t="shared" si="13"/>
        <v>149</v>
      </c>
      <c r="B151" s="156">
        <f t="shared" si="10"/>
        <v>2026</v>
      </c>
      <c r="C151" s="2">
        <f t="shared" si="14"/>
        <v>2025</v>
      </c>
      <c r="D151" s="2"/>
      <c r="E151" s="2"/>
      <c r="F151" s="18"/>
      <c r="G151" s="2"/>
      <c r="H151" s="19">
        <f t="shared" si="15"/>
        <v>45893</v>
      </c>
      <c r="Q151" s="2">
        <f>SUM(GC[[#This Row],[IC1_Inv1_GC]:[IC2_Inv2_GC]])</f>
        <v>0</v>
      </c>
    </row>
    <row r="152" spans="1:17">
      <c r="A152" s="2">
        <f t="shared" si="13"/>
        <v>150</v>
      </c>
      <c r="B152" s="156">
        <f t="shared" si="10"/>
        <v>2026</v>
      </c>
      <c r="C152" s="2">
        <f t="shared" si="14"/>
        <v>2025</v>
      </c>
      <c r="D152" s="2"/>
      <c r="E152" s="2"/>
      <c r="F152" s="18"/>
      <c r="G152" s="2"/>
      <c r="H152" s="19">
        <f t="shared" si="15"/>
        <v>45894</v>
      </c>
      <c r="Q152" s="2">
        <f>SUM(GC[[#This Row],[IC1_Inv1_GC]:[IC2_Inv2_GC]])</f>
        <v>0</v>
      </c>
    </row>
  </sheetData>
  <phoneticPr fontId="3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3" sqref="H13"/>
    </sheetView>
  </sheetViews>
  <sheetFormatPr defaultColWidth="9" defaultRowHeight="15"/>
  <cols>
    <col min="2" max="2" width="11.28515625" customWidth="1"/>
    <col min="3" max="3" width="12.5703125" customWidth="1"/>
    <col min="4" max="4" width="14.7109375" customWidth="1"/>
    <col min="5" max="5" width="13.42578125" customWidth="1"/>
    <col min="6" max="6" width="10.7109375" customWidth="1"/>
    <col min="7" max="7" width="8.28515625" customWidth="1"/>
    <col min="8" max="8" width="13.5703125" customWidth="1"/>
    <col min="9" max="9" width="15.7109375" customWidth="1"/>
    <col min="10" max="10" width="10.7109375" customWidth="1"/>
    <col min="11" max="11" width="13.28515625" customWidth="1"/>
    <col min="12" max="12" width="17.7109375" customWidth="1"/>
    <col min="13" max="13" width="24.28515625" customWidth="1"/>
  </cols>
  <sheetData>
    <row r="1" spans="1:14" ht="45">
      <c r="A1" s="17" t="s">
        <v>5</v>
      </c>
      <c r="B1" s="17" t="s">
        <v>125</v>
      </c>
      <c r="C1" s="17" t="s">
        <v>126</v>
      </c>
      <c r="D1" s="17" t="s">
        <v>127</v>
      </c>
      <c r="E1" s="17" t="s">
        <v>128</v>
      </c>
      <c r="F1" s="17" t="s">
        <v>84</v>
      </c>
      <c r="G1" s="17" t="s">
        <v>63</v>
      </c>
      <c r="H1" s="17" t="s">
        <v>34</v>
      </c>
      <c r="I1" s="20" t="s">
        <v>368</v>
      </c>
      <c r="J1" s="20" t="s">
        <v>369</v>
      </c>
      <c r="K1" s="20" t="s">
        <v>370</v>
      </c>
      <c r="L1" s="20" t="s">
        <v>371</v>
      </c>
      <c r="M1" s="20" t="s">
        <v>358</v>
      </c>
      <c r="N1" s="1" t="s">
        <v>333</v>
      </c>
    </row>
    <row r="2" spans="1:14">
      <c r="A2" s="2">
        <v>1</v>
      </c>
      <c r="B2" s="156">
        <f t="shared" ref="B2" si="0">YEAR(H2)+IF(MONTH(H2)&gt;=4,1,0)</f>
        <v>2024</v>
      </c>
      <c r="C2" s="129">
        <f t="shared" ref="C2" si="1">YEAR(H2)</f>
        <v>2024</v>
      </c>
      <c r="D2" s="2" t="s">
        <v>155</v>
      </c>
      <c r="E2" s="2" t="s">
        <v>155</v>
      </c>
      <c r="F2" s="18">
        <v>45352</v>
      </c>
      <c r="G2" s="2">
        <f t="shared" ref="G2:G60" si="2">DAY(EOMONTH(F2,0))</f>
        <v>31</v>
      </c>
      <c r="H2" s="19">
        <v>45380</v>
      </c>
      <c r="I2" t="s">
        <v>295</v>
      </c>
      <c r="J2" s="2">
        <v>1</v>
      </c>
      <c r="K2" s="22">
        <v>17</v>
      </c>
      <c r="L2" s="2" t="s">
        <v>372</v>
      </c>
      <c r="M2" t="s">
        <v>373</v>
      </c>
    </row>
    <row r="3" spans="1:14">
      <c r="A3" s="2">
        <f>A2+1</f>
        <v>2</v>
      </c>
      <c r="B3" s="156">
        <f t="shared" ref="B3:B66" si="3">YEAR(H3)+IF(MONTH(H3)&gt;=4,1,0)</f>
        <v>2024</v>
      </c>
      <c r="C3" s="129">
        <f t="shared" ref="C3:C66" si="4">YEAR(H3)</f>
        <v>2024</v>
      </c>
      <c r="D3" s="2" t="s">
        <v>155</v>
      </c>
      <c r="E3" s="2" t="s">
        <v>155</v>
      </c>
      <c r="F3" s="18">
        <v>45352</v>
      </c>
      <c r="G3" s="2">
        <f t="shared" si="2"/>
        <v>31</v>
      </c>
      <c r="H3" s="19">
        <v>45380</v>
      </c>
      <c r="I3" t="s">
        <v>295</v>
      </c>
      <c r="J3" s="2">
        <v>1</v>
      </c>
      <c r="K3" s="22">
        <v>93</v>
      </c>
      <c r="L3" s="2" t="s">
        <v>372</v>
      </c>
      <c r="M3" t="s">
        <v>373</v>
      </c>
    </row>
    <row r="4" spans="1:14">
      <c r="A4" s="2">
        <f t="shared" ref="A4:A67" si="5">A3+1</f>
        <v>3</v>
      </c>
      <c r="B4" s="156">
        <f t="shared" si="3"/>
        <v>2024</v>
      </c>
      <c r="C4" s="129">
        <f t="shared" si="4"/>
        <v>2024</v>
      </c>
      <c r="D4" s="2" t="s">
        <v>155</v>
      </c>
      <c r="E4" s="2" t="s">
        <v>155</v>
      </c>
      <c r="F4" s="18">
        <v>45352</v>
      </c>
      <c r="G4" s="2">
        <f t="shared" si="2"/>
        <v>31</v>
      </c>
      <c r="H4" s="19">
        <v>45382</v>
      </c>
      <c r="I4" t="s">
        <v>295</v>
      </c>
      <c r="J4" s="2">
        <v>1</v>
      </c>
      <c r="K4" s="22">
        <v>66</v>
      </c>
      <c r="L4" s="2" t="s">
        <v>372</v>
      </c>
      <c r="M4" t="s">
        <v>373</v>
      </c>
    </row>
    <row r="5" spans="1:14">
      <c r="A5" s="2">
        <f t="shared" si="5"/>
        <v>4</v>
      </c>
      <c r="B5" s="156">
        <f t="shared" si="3"/>
        <v>1900</v>
      </c>
      <c r="C5" s="129">
        <f t="shared" si="4"/>
        <v>1900</v>
      </c>
      <c r="D5" s="2" t="s">
        <v>155</v>
      </c>
      <c r="E5" s="2" t="s">
        <v>155</v>
      </c>
      <c r="F5" s="18">
        <v>45383</v>
      </c>
      <c r="G5" s="2">
        <f t="shared" si="2"/>
        <v>30</v>
      </c>
      <c r="H5" s="19"/>
      <c r="J5" s="2">
        <v>1</v>
      </c>
      <c r="K5" s="2"/>
      <c r="L5" s="2" t="s">
        <v>372</v>
      </c>
      <c r="M5" t="s">
        <v>373</v>
      </c>
    </row>
    <row r="6" spans="1:14">
      <c r="A6" s="2">
        <f t="shared" si="5"/>
        <v>5</v>
      </c>
      <c r="B6" s="156">
        <f t="shared" si="3"/>
        <v>1900</v>
      </c>
      <c r="C6" s="129">
        <f t="shared" si="4"/>
        <v>1900</v>
      </c>
      <c r="D6" s="2" t="s">
        <v>155</v>
      </c>
      <c r="E6" s="2" t="s">
        <v>155</v>
      </c>
      <c r="F6" s="18">
        <v>45383</v>
      </c>
      <c r="G6" s="2">
        <f t="shared" si="2"/>
        <v>30</v>
      </c>
      <c r="H6" s="19"/>
      <c r="J6" s="2">
        <v>1</v>
      </c>
      <c r="K6" s="2"/>
      <c r="L6" s="2" t="s">
        <v>372</v>
      </c>
      <c r="M6" t="s">
        <v>373</v>
      </c>
    </row>
    <row r="7" spans="1:14">
      <c r="A7" s="2">
        <f t="shared" si="5"/>
        <v>6</v>
      </c>
      <c r="B7" s="156">
        <f t="shared" si="3"/>
        <v>1900</v>
      </c>
      <c r="C7" s="129">
        <f t="shared" si="4"/>
        <v>1900</v>
      </c>
      <c r="D7" s="2" t="s">
        <v>155</v>
      </c>
      <c r="E7" s="2" t="s">
        <v>155</v>
      </c>
      <c r="F7" s="18">
        <v>45383</v>
      </c>
      <c r="G7" s="2">
        <f t="shared" si="2"/>
        <v>30</v>
      </c>
      <c r="H7" s="19"/>
      <c r="J7" s="2">
        <v>1</v>
      </c>
      <c r="K7" s="2"/>
      <c r="L7" s="2" t="s">
        <v>372</v>
      </c>
      <c r="M7" t="s">
        <v>373</v>
      </c>
    </row>
    <row r="8" spans="1:14">
      <c r="A8" s="2">
        <f t="shared" si="5"/>
        <v>7</v>
      </c>
      <c r="B8" s="156">
        <f t="shared" si="3"/>
        <v>1900</v>
      </c>
      <c r="C8" s="129">
        <f t="shared" si="4"/>
        <v>1900</v>
      </c>
      <c r="D8" s="2" t="s">
        <v>155</v>
      </c>
      <c r="E8" s="2" t="s">
        <v>155</v>
      </c>
      <c r="F8" s="18"/>
      <c r="G8" s="2">
        <f t="shared" si="2"/>
        <v>31</v>
      </c>
      <c r="H8" s="19"/>
      <c r="J8" s="2">
        <v>1</v>
      </c>
      <c r="K8" s="2"/>
      <c r="L8" s="2" t="s">
        <v>372</v>
      </c>
      <c r="M8" t="s">
        <v>373</v>
      </c>
    </row>
    <row r="9" spans="1:14">
      <c r="A9" s="2">
        <f t="shared" si="5"/>
        <v>8</v>
      </c>
      <c r="B9" s="156">
        <f t="shared" si="3"/>
        <v>1900</v>
      </c>
      <c r="C9" s="129">
        <f t="shared" si="4"/>
        <v>1900</v>
      </c>
      <c r="D9" s="2" t="s">
        <v>155</v>
      </c>
      <c r="E9" s="2" t="s">
        <v>155</v>
      </c>
      <c r="F9" s="18"/>
      <c r="G9" s="2">
        <f t="shared" si="2"/>
        <v>31</v>
      </c>
      <c r="H9" s="19"/>
      <c r="J9" s="2">
        <v>1</v>
      </c>
      <c r="K9" s="2"/>
      <c r="L9" s="2" t="s">
        <v>372</v>
      </c>
      <c r="M9" t="s">
        <v>373</v>
      </c>
    </row>
    <row r="10" spans="1:14">
      <c r="A10" s="2">
        <f t="shared" si="5"/>
        <v>9</v>
      </c>
      <c r="B10" s="156">
        <f t="shared" si="3"/>
        <v>1900</v>
      </c>
      <c r="C10" s="129">
        <f t="shared" si="4"/>
        <v>1900</v>
      </c>
      <c r="D10" s="2" t="s">
        <v>155</v>
      </c>
      <c r="E10" s="2" t="s">
        <v>155</v>
      </c>
      <c r="F10" s="18"/>
      <c r="G10" s="2">
        <f t="shared" si="2"/>
        <v>31</v>
      </c>
      <c r="H10" s="19"/>
      <c r="J10" s="2">
        <v>1</v>
      </c>
      <c r="K10" s="2"/>
      <c r="L10" s="2" t="s">
        <v>372</v>
      </c>
      <c r="M10" t="s">
        <v>373</v>
      </c>
    </row>
    <row r="11" spans="1:14">
      <c r="A11" s="2">
        <f t="shared" si="5"/>
        <v>10</v>
      </c>
      <c r="B11" s="156">
        <f t="shared" si="3"/>
        <v>1900</v>
      </c>
      <c r="C11" s="129">
        <f t="shared" si="4"/>
        <v>1900</v>
      </c>
      <c r="D11" s="2" t="s">
        <v>155</v>
      </c>
      <c r="E11" s="2" t="s">
        <v>155</v>
      </c>
      <c r="F11" s="18"/>
      <c r="G11" s="2">
        <f t="shared" si="2"/>
        <v>31</v>
      </c>
      <c r="H11" s="19"/>
      <c r="J11" s="2">
        <v>1</v>
      </c>
      <c r="K11" s="2"/>
      <c r="L11" s="2" t="s">
        <v>372</v>
      </c>
      <c r="M11" t="s">
        <v>373</v>
      </c>
    </row>
    <row r="12" spans="1:14">
      <c r="A12" s="2">
        <f t="shared" si="5"/>
        <v>11</v>
      </c>
      <c r="B12" s="156">
        <f t="shared" si="3"/>
        <v>1900</v>
      </c>
      <c r="C12" s="129">
        <f t="shared" si="4"/>
        <v>1900</v>
      </c>
      <c r="D12" s="2" t="s">
        <v>155</v>
      </c>
      <c r="E12" s="2" t="s">
        <v>155</v>
      </c>
      <c r="F12" s="18"/>
      <c r="G12" s="2">
        <f t="shared" si="2"/>
        <v>31</v>
      </c>
      <c r="H12" s="19"/>
      <c r="J12" s="2">
        <v>1</v>
      </c>
      <c r="K12" s="2"/>
      <c r="L12" s="2" t="s">
        <v>372</v>
      </c>
      <c r="M12" t="s">
        <v>373</v>
      </c>
    </row>
    <row r="13" spans="1:14">
      <c r="A13" s="2">
        <f t="shared" si="5"/>
        <v>12</v>
      </c>
      <c r="B13" s="156">
        <f t="shared" si="3"/>
        <v>1900</v>
      </c>
      <c r="C13" s="129">
        <f t="shared" si="4"/>
        <v>1900</v>
      </c>
      <c r="D13" s="2" t="s">
        <v>155</v>
      </c>
      <c r="E13" s="2" t="s">
        <v>155</v>
      </c>
      <c r="F13" s="18"/>
      <c r="G13" s="2">
        <f t="shared" si="2"/>
        <v>31</v>
      </c>
      <c r="H13" s="19"/>
      <c r="J13" s="2">
        <v>1</v>
      </c>
      <c r="K13" s="2"/>
      <c r="L13" s="2" t="s">
        <v>372</v>
      </c>
      <c r="M13" t="s">
        <v>373</v>
      </c>
    </row>
    <row r="14" spans="1:14">
      <c r="A14" s="2">
        <f t="shared" si="5"/>
        <v>13</v>
      </c>
      <c r="B14" s="156">
        <f t="shared" si="3"/>
        <v>1900</v>
      </c>
      <c r="C14" s="129">
        <f t="shared" si="4"/>
        <v>1900</v>
      </c>
      <c r="D14" s="2" t="s">
        <v>155</v>
      </c>
      <c r="E14" s="2" t="s">
        <v>155</v>
      </c>
      <c r="F14" s="18"/>
      <c r="G14" s="2">
        <f t="shared" si="2"/>
        <v>31</v>
      </c>
      <c r="H14" s="19"/>
      <c r="J14" s="2">
        <v>1</v>
      </c>
      <c r="K14" s="2"/>
      <c r="L14" s="2" t="s">
        <v>372</v>
      </c>
      <c r="M14" t="s">
        <v>373</v>
      </c>
    </row>
    <row r="15" spans="1:14">
      <c r="A15" s="2">
        <f t="shared" si="5"/>
        <v>14</v>
      </c>
      <c r="B15" s="156">
        <f t="shared" si="3"/>
        <v>1900</v>
      </c>
      <c r="C15" s="129">
        <f t="shared" si="4"/>
        <v>1900</v>
      </c>
      <c r="D15" s="2" t="s">
        <v>155</v>
      </c>
      <c r="E15" s="2" t="s">
        <v>155</v>
      </c>
      <c r="F15" s="18"/>
      <c r="G15" s="2">
        <f t="shared" si="2"/>
        <v>31</v>
      </c>
      <c r="H15" s="19"/>
      <c r="J15" s="2">
        <v>1</v>
      </c>
      <c r="K15" s="2"/>
      <c r="L15" s="2" t="s">
        <v>372</v>
      </c>
      <c r="M15" t="s">
        <v>373</v>
      </c>
    </row>
    <row r="16" spans="1:14">
      <c r="A16" s="2">
        <f t="shared" si="5"/>
        <v>15</v>
      </c>
      <c r="B16" s="156">
        <f t="shared" si="3"/>
        <v>1900</v>
      </c>
      <c r="C16" s="129">
        <f t="shared" si="4"/>
        <v>1900</v>
      </c>
      <c r="D16" s="2" t="s">
        <v>155</v>
      </c>
      <c r="E16" s="2" t="s">
        <v>155</v>
      </c>
      <c r="F16" s="18"/>
      <c r="G16" s="2">
        <f t="shared" si="2"/>
        <v>31</v>
      </c>
      <c r="H16" s="19"/>
      <c r="J16" s="2">
        <v>1</v>
      </c>
      <c r="K16" s="2"/>
      <c r="L16" s="2" t="s">
        <v>372</v>
      </c>
      <c r="M16" t="s">
        <v>373</v>
      </c>
    </row>
    <row r="17" spans="1:13">
      <c r="A17" s="2">
        <f t="shared" si="5"/>
        <v>16</v>
      </c>
      <c r="B17" s="156">
        <f t="shared" si="3"/>
        <v>1900</v>
      </c>
      <c r="C17" s="129">
        <f t="shared" si="4"/>
        <v>1900</v>
      </c>
      <c r="D17" s="2" t="s">
        <v>155</v>
      </c>
      <c r="E17" s="2" t="s">
        <v>155</v>
      </c>
      <c r="F17" s="18"/>
      <c r="G17" s="2">
        <f t="shared" si="2"/>
        <v>31</v>
      </c>
      <c r="H17" s="19"/>
      <c r="J17" s="2">
        <v>1</v>
      </c>
      <c r="K17" s="2"/>
      <c r="L17" s="2" t="s">
        <v>372</v>
      </c>
      <c r="M17" t="s">
        <v>373</v>
      </c>
    </row>
    <row r="18" spans="1:13">
      <c r="A18" s="2">
        <f t="shared" si="5"/>
        <v>17</v>
      </c>
      <c r="B18" s="156">
        <f t="shared" si="3"/>
        <v>1900</v>
      </c>
      <c r="C18" s="129">
        <f t="shared" si="4"/>
        <v>1900</v>
      </c>
      <c r="D18" s="2" t="s">
        <v>155</v>
      </c>
      <c r="E18" s="2" t="s">
        <v>155</v>
      </c>
      <c r="F18" s="18"/>
      <c r="G18" s="2">
        <f t="shared" si="2"/>
        <v>31</v>
      </c>
      <c r="H18" s="19"/>
      <c r="J18" s="2">
        <v>1</v>
      </c>
      <c r="K18" s="2"/>
      <c r="L18" s="2" t="s">
        <v>372</v>
      </c>
      <c r="M18" t="s">
        <v>373</v>
      </c>
    </row>
    <row r="19" spans="1:13">
      <c r="A19" s="2">
        <f t="shared" si="5"/>
        <v>18</v>
      </c>
      <c r="B19" s="156">
        <f t="shared" si="3"/>
        <v>1900</v>
      </c>
      <c r="C19" s="129">
        <f t="shared" si="4"/>
        <v>1900</v>
      </c>
      <c r="D19" s="2" t="s">
        <v>155</v>
      </c>
      <c r="E19" s="2" t="s">
        <v>155</v>
      </c>
      <c r="F19" s="18"/>
      <c r="G19" s="2">
        <f t="shared" si="2"/>
        <v>31</v>
      </c>
      <c r="H19" s="19"/>
      <c r="J19" s="2">
        <v>1</v>
      </c>
      <c r="K19" s="2"/>
      <c r="L19" s="2" t="s">
        <v>372</v>
      </c>
      <c r="M19" t="s">
        <v>373</v>
      </c>
    </row>
    <row r="20" spans="1:13">
      <c r="A20" s="2">
        <f t="shared" si="5"/>
        <v>19</v>
      </c>
      <c r="B20" s="156">
        <f t="shared" si="3"/>
        <v>1900</v>
      </c>
      <c r="C20" s="129">
        <f t="shared" si="4"/>
        <v>1900</v>
      </c>
      <c r="D20" s="2" t="s">
        <v>155</v>
      </c>
      <c r="E20" s="2" t="s">
        <v>155</v>
      </c>
      <c r="F20" s="18"/>
      <c r="G20" s="2">
        <f t="shared" si="2"/>
        <v>31</v>
      </c>
      <c r="H20" s="19"/>
      <c r="J20" s="2">
        <v>1</v>
      </c>
      <c r="K20" s="2"/>
      <c r="L20" s="2" t="s">
        <v>372</v>
      </c>
      <c r="M20" t="s">
        <v>373</v>
      </c>
    </row>
    <row r="21" spans="1:13">
      <c r="A21" s="2">
        <f t="shared" si="5"/>
        <v>20</v>
      </c>
      <c r="B21" s="156">
        <f t="shared" si="3"/>
        <v>1900</v>
      </c>
      <c r="C21" s="129">
        <f t="shared" si="4"/>
        <v>1900</v>
      </c>
      <c r="D21" s="2" t="s">
        <v>155</v>
      </c>
      <c r="E21" s="2" t="s">
        <v>155</v>
      </c>
      <c r="F21" s="18"/>
      <c r="G21" s="2">
        <f t="shared" si="2"/>
        <v>31</v>
      </c>
      <c r="H21" s="19"/>
      <c r="J21" s="2">
        <v>1</v>
      </c>
      <c r="K21" s="2"/>
      <c r="L21" s="2" t="s">
        <v>372</v>
      </c>
      <c r="M21" t="s">
        <v>373</v>
      </c>
    </row>
    <row r="22" spans="1:13">
      <c r="A22" s="2">
        <f t="shared" si="5"/>
        <v>21</v>
      </c>
      <c r="B22" s="156">
        <f t="shared" si="3"/>
        <v>1900</v>
      </c>
      <c r="C22" s="129">
        <f t="shared" si="4"/>
        <v>1900</v>
      </c>
      <c r="D22" s="2" t="s">
        <v>155</v>
      </c>
      <c r="E22" s="2" t="s">
        <v>155</v>
      </c>
      <c r="F22" s="18"/>
      <c r="G22" s="2">
        <f t="shared" si="2"/>
        <v>31</v>
      </c>
      <c r="H22" s="19"/>
      <c r="J22" s="2">
        <v>1</v>
      </c>
      <c r="K22" s="2"/>
      <c r="L22" s="2" t="s">
        <v>372</v>
      </c>
      <c r="M22" t="s">
        <v>373</v>
      </c>
    </row>
    <row r="23" spans="1:13">
      <c r="A23" s="2">
        <f t="shared" si="5"/>
        <v>22</v>
      </c>
      <c r="B23" s="156">
        <f t="shared" si="3"/>
        <v>1900</v>
      </c>
      <c r="C23" s="129">
        <f t="shared" si="4"/>
        <v>1900</v>
      </c>
      <c r="D23" s="2" t="s">
        <v>155</v>
      </c>
      <c r="E23" s="2" t="s">
        <v>155</v>
      </c>
      <c r="F23" s="18"/>
      <c r="G23" s="2">
        <f t="shared" si="2"/>
        <v>31</v>
      </c>
      <c r="H23" s="19"/>
      <c r="J23" s="2">
        <v>1</v>
      </c>
      <c r="K23" s="2"/>
      <c r="L23" s="2" t="s">
        <v>372</v>
      </c>
      <c r="M23" t="s">
        <v>373</v>
      </c>
    </row>
    <row r="24" spans="1:13">
      <c r="A24" s="2">
        <f t="shared" si="5"/>
        <v>23</v>
      </c>
      <c r="B24" s="156">
        <f t="shared" si="3"/>
        <v>1900</v>
      </c>
      <c r="C24" s="129">
        <f t="shared" si="4"/>
        <v>1900</v>
      </c>
      <c r="D24" s="2" t="s">
        <v>155</v>
      </c>
      <c r="E24" s="2" t="s">
        <v>155</v>
      </c>
      <c r="F24" s="18"/>
      <c r="G24" s="2">
        <f t="shared" si="2"/>
        <v>31</v>
      </c>
      <c r="H24" s="19"/>
      <c r="J24" s="2">
        <v>1</v>
      </c>
      <c r="K24" s="2"/>
      <c r="L24" s="2" t="s">
        <v>372</v>
      </c>
      <c r="M24" t="s">
        <v>373</v>
      </c>
    </row>
    <row r="25" spans="1:13">
      <c r="A25" s="2">
        <f t="shared" si="5"/>
        <v>24</v>
      </c>
      <c r="B25" s="156">
        <f t="shared" si="3"/>
        <v>1900</v>
      </c>
      <c r="C25" s="129">
        <f t="shared" si="4"/>
        <v>1900</v>
      </c>
      <c r="D25" s="2" t="s">
        <v>155</v>
      </c>
      <c r="E25" s="2" t="s">
        <v>155</v>
      </c>
      <c r="F25" s="18"/>
      <c r="G25" s="2">
        <f t="shared" si="2"/>
        <v>31</v>
      </c>
      <c r="H25" s="19"/>
      <c r="J25" s="2">
        <v>1</v>
      </c>
      <c r="K25" s="2"/>
      <c r="L25" s="2" t="s">
        <v>372</v>
      </c>
      <c r="M25" t="s">
        <v>373</v>
      </c>
    </row>
    <row r="26" spans="1:13">
      <c r="A26" s="2">
        <f t="shared" si="5"/>
        <v>25</v>
      </c>
      <c r="B26" s="156">
        <f t="shared" si="3"/>
        <v>1900</v>
      </c>
      <c r="C26" s="129">
        <f t="shared" si="4"/>
        <v>1900</v>
      </c>
      <c r="D26" s="2" t="s">
        <v>155</v>
      </c>
      <c r="E26" s="2" t="s">
        <v>155</v>
      </c>
      <c r="F26" s="18"/>
      <c r="G26" s="2">
        <f t="shared" si="2"/>
        <v>31</v>
      </c>
      <c r="H26" s="19"/>
      <c r="J26" s="2">
        <v>1</v>
      </c>
      <c r="K26" s="2"/>
      <c r="L26" s="2" t="s">
        <v>372</v>
      </c>
      <c r="M26" t="s">
        <v>373</v>
      </c>
    </row>
    <row r="27" spans="1:13">
      <c r="A27" s="2">
        <f t="shared" si="5"/>
        <v>26</v>
      </c>
      <c r="B27" s="156">
        <f t="shared" si="3"/>
        <v>1900</v>
      </c>
      <c r="C27" s="129">
        <f t="shared" si="4"/>
        <v>1900</v>
      </c>
      <c r="D27" s="2" t="s">
        <v>155</v>
      </c>
      <c r="E27" s="2" t="s">
        <v>155</v>
      </c>
      <c r="F27" s="18"/>
      <c r="G27" s="2">
        <f t="shared" si="2"/>
        <v>31</v>
      </c>
      <c r="H27" s="19"/>
      <c r="J27" s="2">
        <v>1</v>
      </c>
      <c r="K27" s="2"/>
      <c r="L27" s="2" t="s">
        <v>372</v>
      </c>
      <c r="M27" t="s">
        <v>373</v>
      </c>
    </row>
    <row r="28" spans="1:13">
      <c r="A28" s="2">
        <f t="shared" si="5"/>
        <v>27</v>
      </c>
      <c r="B28" s="156">
        <f t="shared" si="3"/>
        <v>1900</v>
      </c>
      <c r="C28" s="129">
        <f t="shared" si="4"/>
        <v>1900</v>
      </c>
      <c r="D28" s="2" t="s">
        <v>155</v>
      </c>
      <c r="E28" s="2" t="s">
        <v>155</v>
      </c>
      <c r="F28" s="18"/>
      <c r="G28" s="2">
        <f t="shared" si="2"/>
        <v>31</v>
      </c>
      <c r="H28" s="19"/>
      <c r="J28" s="2">
        <v>1</v>
      </c>
      <c r="K28" s="2"/>
      <c r="L28" s="2" t="s">
        <v>372</v>
      </c>
      <c r="M28" t="s">
        <v>373</v>
      </c>
    </row>
    <row r="29" spans="1:13">
      <c r="A29" s="2">
        <f t="shared" si="5"/>
        <v>28</v>
      </c>
      <c r="B29" s="156">
        <f t="shared" si="3"/>
        <v>1900</v>
      </c>
      <c r="C29" s="129">
        <f t="shared" si="4"/>
        <v>1900</v>
      </c>
      <c r="D29" s="2" t="s">
        <v>155</v>
      </c>
      <c r="E29" s="2" t="s">
        <v>155</v>
      </c>
      <c r="F29" s="18"/>
      <c r="G29" s="2">
        <f t="shared" si="2"/>
        <v>31</v>
      </c>
      <c r="H29" s="19"/>
      <c r="J29" s="2">
        <v>1</v>
      </c>
      <c r="K29" s="2"/>
      <c r="L29" s="2" t="s">
        <v>372</v>
      </c>
      <c r="M29" t="s">
        <v>373</v>
      </c>
    </row>
    <row r="30" spans="1:13">
      <c r="A30" s="2">
        <f t="shared" si="5"/>
        <v>29</v>
      </c>
      <c r="B30" s="156">
        <f t="shared" si="3"/>
        <v>1900</v>
      </c>
      <c r="C30" s="129">
        <f t="shared" si="4"/>
        <v>1900</v>
      </c>
      <c r="D30" s="2" t="s">
        <v>155</v>
      </c>
      <c r="E30" s="2" t="s">
        <v>155</v>
      </c>
      <c r="F30" s="18"/>
      <c r="G30" s="2">
        <f t="shared" si="2"/>
        <v>31</v>
      </c>
      <c r="H30" s="19"/>
      <c r="J30" s="2">
        <v>1</v>
      </c>
      <c r="K30" s="2"/>
      <c r="L30" s="2" t="s">
        <v>372</v>
      </c>
      <c r="M30" t="s">
        <v>373</v>
      </c>
    </row>
    <row r="31" spans="1:13">
      <c r="A31" s="2">
        <f t="shared" si="5"/>
        <v>30</v>
      </c>
      <c r="B31" s="156">
        <f t="shared" si="3"/>
        <v>1900</v>
      </c>
      <c r="C31" s="129">
        <f t="shared" si="4"/>
        <v>1900</v>
      </c>
      <c r="D31" s="2" t="s">
        <v>155</v>
      </c>
      <c r="E31" s="2" t="s">
        <v>155</v>
      </c>
      <c r="F31" s="18"/>
      <c r="G31" s="2">
        <f t="shared" si="2"/>
        <v>31</v>
      </c>
      <c r="H31" s="19"/>
      <c r="J31" s="2">
        <v>1</v>
      </c>
      <c r="K31" s="2"/>
      <c r="L31" s="2" t="s">
        <v>372</v>
      </c>
      <c r="M31" t="s">
        <v>373</v>
      </c>
    </row>
    <row r="32" spans="1:13">
      <c r="A32" s="2">
        <f t="shared" si="5"/>
        <v>31</v>
      </c>
      <c r="B32" s="156">
        <f t="shared" si="3"/>
        <v>1900</v>
      </c>
      <c r="C32" s="129">
        <f t="shared" si="4"/>
        <v>1900</v>
      </c>
      <c r="D32" s="2" t="s">
        <v>155</v>
      </c>
      <c r="E32" s="2" t="s">
        <v>155</v>
      </c>
      <c r="F32" s="18"/>
      <c r="G32" s="2">
        <f t="shared" si="2"/>
        <v>31</v>
      </c>
      <c r="H32" s="19"/>
      <c r="J32" s="2">
        <v>1</v>
      </c>
      <c r="K32" s="2"/>
      <c r="L32" s="2" t="s">
        <v>372</v>
      </c>
      <c r="M32" t="s">
        <v>373</v>
      </c>
    </row>
    <row r="33" spans="1:13">
      <c r="A33" s="2">
        <f t="shared" si="5"/>
        <v>32</v>
      </c>
      <c r="B33" s="156">
        <f t="shared" si="3"/>
        <v>1900</v>
      </c>
      <c r="C33" s="129">
        <f t="shared" si="4"/>
        <v>1900</v>
      </c>
      <c r="D33" s="2" t="s">
        <v>155</v>
      </c>
      <c r="E33" s="2" t="s">
        <v>155</v>
      </c>
      <c r="F33" s="18"/>
      <c r="G33" s="2">
        <f t="shared" si="2"/>
        <v>31</v>
      </c>
      <c r="H33" s="19"/>
      <c r="J33" s="2">
        <v>1</v>
      </c>
      <c r="K33" s="2"/>
      <c r="L33" s="2" t="s">
        <v>372</v>
      </c>
      <c r="M33" t="s">
        <v>373</v>
      </c>
    </row>
    <row r="34" spans="1:13">
      <c r="A34" s="2">
        <f t="shared" si="5"/>
        <v>33</v>
      </c>
      <c r="B34" s="156">
        <f t="shared" si="3"/>
        <v>1900</v>
      </c>
      <c r="C34" s="129">
        <f t="shared" si="4"/>
        <v>1900</v>
      </c>
      <c r="D34" s="2" t="s">
        <v>155</v>
      </c>
      <c r="E34" s="2" t="s">
        <v>155</v>
      </c>
      <c r="F34" s="18"/>
      <c r="G34" s="2">
        <f t="shared" si="2"/>
        <v>31</v>
      </c>
      <c r="H34" s="19"/>
      <c r="J34" s="2">
        <v>1</v>
      </c>
      <c r="K34" s="2"/>
      <c r="L34" s="2" t="s">
        <v>372</v>
      </c>
      <c r="M34" t="s">
        <v>373</v>
      </c>
    </row>
    <row r="35" spans="1:13">
      <c r="A35" s="2">
        <f t="shared" si="5"/>
        <v>34</v>
      </c>
      <c r="B35" s="156">
        <f t="shared" si="3"/>
        <v>1900</v>
      </c>
      <c r="C35" s="129">
        <f t="shared" si="4"/>
        <v>1900</v>
      </c>
      <c r="D35" s="2" t="s">
        <v>155</v>
      </c>
      <c r="E35" s="2" t="s">
        <v>155</v>
      </c>
      <c r="F35" s="18"/>
      <c r="G35" s="2">
        <f t="shared" si="2"/>
        <v>31</v>
      </c>
      <c r="H35" s="19"/>
      <c r="J35" s="2">
        <v>1</v>
      </c>
      <c r="K35" s="2"/>
      <c r="L35" s="2" t="s">
        <v>372</v>
      </c>
      <c r="M35" t="s">
        <v>373</v>
      </c>
    </row>
    <row r="36" spans="1:13">
      <c r="A36" s="2">
        <f t="shared" si="5"/>
        <v>35</v>
      </c>
      <c r="B36" s="156">
        <f t="shared" si="3"/>
        <v>1900</v>
      </c>
      <c r="C36" s="129">
        <f t="shared" si="4"/>
        <v>1900</v>
      </c>
      <c r="D36" s="2" t="s">
        <v>155</v>
      </c>
      <c r="E36" s="2" t="s">
        <v>155</v>
      </c>
      <c r="F36" s="18"/>
      <c r="G36" s="2">
        <f t="shared" si="2"/>
        <v>31</v>
      </c>
      <c r="H36" s="19"/>
      <c r="J36" s="2">
        <v>1</v>
      </c>
      <c r="K36" s="2"/>
      <c r="L36" s="2" t="s">
        <v>372</v>
      </c>
      <c r="M36" t="s">
        <v>373</v>
      </c>
    </row>
    <row r="37" spans="1:13">
      <c r="A37" s="2">
        <f t="shared" si="5"/>
        <v>36</v>
      </c>
      <c r="B37" s="156">
        <f t="shared" si="3"/>
        <v>1900</v>
      </c>
      <c r="C37" s="129">
        <f t="shared" si="4"/>
        <v>1900</v>
      </c>
      <c r="D37" s="2" t="s">
        <v>155</v>
      </c>
      <c r="E37" s="2" t="s">
        <v>155</v>
      </c>
      <c r="F37" s="18"/>
      <c r="G37" s="2">
        <f t="shared" si="2"/>
        <v>31</v>
      </c>
      <c r="H37" s="19"/>
      <c r="J37" s="2">
        <v>1</v>
      </c>
      <c r="K37" s="2"/>
      <c r="L37" s="2" t="s">
        <v>372</v>
      </c>
      <c r="M37" t="s">
        <v>373</v>
      </c>
    </row>
    <row r="38" spans="1:13">
      <c r="A38" s="2">
        <f t="shared" si="5"/>
        <v>37</v>
      </c>
      <c r="B38" s="156">
        <f t="shared" si="3"/>
        <v>1900</v>
      </c>
      <c r="C38" s="129">
        <f t="shared" si="4"/>
        <v>1900</v>
      </c>
      <c r="D38" s="2" t="s">
        <v>155</v>
      </c>
      <c r="E38" s="2" t="s">
        <v>155</v>
      </c>
      <c r="F38" s="18"/>
      <c r="G38" s="2">
        <f t="shared" si="2"/>
        <v>31</v>
      </c>
      <c r="H38" s="19"/>
      <c r="J38" s="2">
        <v>1</v>
      </c>
      <c r="K38" s="2"/>
      <c r="L38" s="2" t="s">
        <v>372</v>
      </c>
      <c r="M38" t="s">
        <v>373</v>
      </c>
    </row>
    <row r="39" spans="1:13">
      <c r="A39" s="2">
        <f t="shared" si="5"/>
        <v>38</v>
      </c>
      <c r="B39" s="156">
        <f t="shared" si="3"/>
        <v>1900</v>
      </c>
      <c r="C39" s="129">
        <f t="shared" si="4"/>
        <v>1900</v>
      </c>
      <c r="D39" s="2" t="s">
        <v>155</v>
      </c>
      <c r="E39" s="2" t="s">
        <v>155</v>
      </c>
      <c r="F39" s="18"/>
      <c r="G39" s="2">
        <f t="shared" si="2"/>
        <v>31</v>
      </c>
      <c r="H39" s="19"/>
      <c r="J39" s="2">
        <v>1</v>
      </c>
      <c r="K39" s="2"/>
      <c r="L39" s="2" t="s">
        <v>372</v>
      </c>
      <c r="M39" t="s">
        <v>373</v>
      </c>
    </row>
    <row r="40" spans="1:13">
      <c r="A40" s="2">
        <f t="shared" si="5"/>
        <v>39</v>
      </c>
      <c r="B40" s="156">
        <f t="shared" si="3"/>
        <v>1900</v>
      </c>
      <c r="C40" s="129">
        <f t="shared" si="4"/>
        <v>1900</v>
      </c>
      <c r="D40" s="2" t="s">
        <v>155</v>
      </c>
      <c r="E40" s="2" t="s">
        <v>155</v>
      </c>
      <c r="F40" s="18"/>
      <c r="G40" s="2">
        <f t="shared" si="2"/>
        <v>31</v>
      </c>
      <c r="H40" s="19"/>
      <c r="J40" s="2">
        <v>1</v>
      </c>
      <c r="K40" s="2"/>
      <c r="L40" s="2" t="s">
        <v>372</v>
      </c>
      <c r="M40" t="s">
        <v>373</v>
      </c>
    </row>
    <row r="41" spans="1:13">
      <c r="A41" s="2">
        <f t="shared" si="5"/>
        <v>40</v>
      </c>
      <c r="B41" s="156">
        <f t="shared" si="3"/>
        <v>1900</v>
      </c>
      <c r="C41" s="129">
        <f t="shared" si="4"/>
        <v>1900</v>
      </c>
      <c r="D41" s="2" t="s">
        <v>155</v>
      </c>
      <c r="E41" s="2" t="s">
        <v>155</v>
      </c>
      <c r="F41" s="18"/>
      <c r="G41" s="2">
        <f t="shared" si="2"/>
        <v>31</v>
      </c>
      <c r="H41" s="19"/>
      <c r="J41" s="2">
        <v>1</v>
      </c>
      <c r="K41" s="2"/>
      <c r="L41" s="2" t="s">
        <v>372</v>
      </c>
      <c r="M41" t="s">
        <v>373</v>
      </c>
    </row>
    <row r="42" spans="1:13">
      <c r="A42" s="2">
        <f t="shared" si="5"/>
        <v>41</v>
      </c>
      <c r="B42" s="156">
        <f t="shared" si="3"/>
        <v>1900</v>
      </c>
      <c r="C42" s="129">
        <f t="shared" si="4"/>
        <v>1900</v>
      </c>
      <c r="D42" s="2" t="s">
        <v>155</v>
      </c>
      <c r="E42" s="2" t="s">
        <v>155</v>
      </c>
      <c r="F42" s="18"/>
      <c r="G42" s="2">
        <f t="shared" si="2"/>
        <v>31</v>
      </c>
      <c r="H42" s="19"/>
      <c r="J42" s="2">
        <v>1</v>
      </c>
      <c r="K42" s="2"/>
      <c r="L42" s="2" t="s">
        <v>372</v>
      </c>
      <c r="M42" t="s">
        <v>373</v>
      </c>
    </row>
    <row r="43" spans="1:13">
      <c r="A43" s="2">
        <f t="shared" si="5"/>
        <v>42</v>
      </c>
      <c r="B43" s="156">
        <f t="shared" si="3"/>
        <v>1900</v>
      </c>
      <c r="C43" s="129">
        <f t="shared" si="4"/>
        <v>1900</v>
      </c>
      <c r="D43" s="2" t="s">
        <v>155</v>
      </c>
      <c r="E43" s="2" t="s">
        <v>155</v>
      </c>
      <c r="F43" s="18"/>
      <c r="G43" s="2">
        <f t="shared" si="2"/>
        <v>31</v>
      </c>
      <c r="H43" s="19"/>
      <c r="J43" s="2">
        <v>1</v>
      </c>
      <c r="K43" s="2"/>
      <c r="L43" s="2" t="s">
        <v>372</v>
      </c>
      <c r="M43" t="s">
        <v>373</v>
      </c>
    </row>
    <row r="44" spans="1:13">
      <c r="A44" s="2">
        <f t="shared" si="5"/>
        <v>43</v>
      </c>
      <c r="B44" s="156">
        <f t="shared" si="3"/>
        <v>1900</v>
      </c>
      <c r="C44" s="129">
        <f t="shared" si="4"/>
        <v>1900</v>
      </c>
      <c r="D44" s="2" t="s">
        <v>155</v>
      </c>
      <c r="E44" s="2" t="s">
        <v>155</v>
      </c>
      <c r="F44" s="18"/>
      <c r="G44" s="2">
        <f t="shared" si="2"/>
        <v>31</v>
      </c>
      <c r="H44" s="19"/>
      <c r="J44" s="2">
        <v>1</v>
      </c>
      <c r="K44" s="2"/>
      <c r="L44" s="2" t="s">
        <v>372</v>
      </c>
      <c r="M44" t="s">
        <v>373</v>
      </c>
    </row>
    <row r="45" spans="1:13">
      <c r="A45" s="2">
        <f t="shared" si="5"/>
        <v>44</v>
      </c>
      <c r="B45" s="156">
        <f t="shared" si="3"/>
        <v>1900</v>
      </c>
      <c r="C45" s="129">
        <f t="shared" si="4"/>
        <v>1900</v>
      </c>
      <c r="D45" s="2" t="s">
        <v>155</v>
      </c>
      <c r="E45" s="2" t="s">
        <v>155</v>
      </c>
      <c r="F45" s="18"/>
      <c r="G45" s="2">
        <f t="shared" si="2"/>
        <v>31</v>
      </c>
      <c r="H45" s="19"/>
      <c r="J45" s="2">
        <v>1</v>
      </c>
      <c r="K45" s="2"/>
      <c r="L45" s="2" t="s">
        <v>372</v>
      </c>
      <c r="M45" t="s">
        <v>373</v>
      </c>
    </row>
    <row r="46" spans="1:13">
      <c r="A46" s="2">
        <f t="shared" si="5"/>
        <v>45</v>
      </c>
      <c r="B46" s="156">
        <f t="shared" si="3"/>
        <v>1900</v>
      </c>
      <c r="C46" s="129">
        <f t="shared" si="4"/>
        <v>1900</v>
      </c>
      <c r="D46" s="2" t="s">
        <v>155</v>
      </c>
      <c r="E46" s="2" t="s">
        <v>155</v>
      </c>
      <c r="F46" s="18"/>
      <c r="G46" s="2">
        <f t="shared" si="2"/>
        <v>31</v>
      </c>
      <c r="H46" s="19"/>
      <c r="J46" s="2">
        <v>1</v>
      </c>
      <c r="K46" s="2"/>
      <c r="L46" s="2" t="s">
        <v>372</v>
      </c>
      <c r="M46" t="s">
        <v>373</v>
      </c>
    </row>
    <row r="47" spans="1:13">
      <c r="A47" s="2">
        <f t="shared" si="5"/>
        <v>46</v>
      </c>
      <c r="B47" s="156">
        <f t="shared" si="3"/>
        <v>1900</v>
      </c>
      <c r="C47" s="129">
        <f t="shared" si="4"/>
        <v>1900</v>
      </c>
      <c r="D47" s="2" t="s">
        <v>155</v>
      </c>
      <c r="E47" s="2" t="s">
        <v>155</v>
      </c>
      <c r="F47" s="18"/>
      <c r="G47" s="2">
        <f t="shared" si="2"/>
        <v>31</v>
      </c>
      <c r="H47" s="19"/>
      <c r="J47" s="2">
        <v>1</v>
      </c>
      <c r="K47" s="2"/>
      <c r="L47" s="2" t="s">
        <v>372</v>
      </c>
      <c r="M47" t="s">
        <v>373</v>
      </c>
    </row>
    <row r="48" spans="1:13">
      <c r="A48" s="2">
        <f t="shared" si="5"/>
        <v>47</v>
      </c>
      <c r="B48" s="156">
        <f t="shared" si="3"/>
        <v>1900</v>
      </c>
      <c r="C48" s="129">
        <f t="shared" si="4"/>
        <v>1900</v>
      </c>
      <c r="D48" s="2" t="s">
        <v>155</v>
      </c>
      <c r="E48" s="2" t="s">
        <v>155</v>
      </c>
      <c r="F48" s="18"/>
      <c r="G48" s="2">
        <f t="shared" si="2"/>
        <v>31</v>
      </c>
      <c r="H48" s="19"/>
      <c r="J48" s="2">
        <v>1</v>
      </c>
      <c r="K48" s="2"/>
      <c r="L48" s="2" t="s">
        <v>372</v>
      </c>
      <c r="M48" t="s">
        <v>373</v>
      </c>
    </row>
    <row r="49" spans="1:13">
      <c r="A49" s="2">
        <f t="shared" si="5"/>
        <v>48</v>
      </c>
      <c r="B49" s="156">
        <f t="shared" si="3"/>
        <v>1900</v>
      </c>
      <c r="C49" s="129">
        <f t="shared" si="4"/>
        <v>1900</v>
      </c>
      <c r="D49" s="2" t="s">
        <v>155</v>
      </c>
      <c r="E49" s="2" t="s">
        <v>155</v>
      </c>
      <c r="F49" s="18"/>
      <c r="G49" s="2">
        <f t="shared" si="2"/>
        <v>31</v>
      </c>
      <c r="H49" s="19"/>
      <c r="J49" s="2">
        <v>1</v>
      </c>
      <c r="K49" s="2"/>
      <c r="L49" s="2" t="s">
        <v>372</v>
      </c>
      <c r="M49" t="s">
        <v>373</v>
      </c>
    </row>
    <row r="50" spans="1:13">
      <c r="A50" s="2">
        <f t="shared" si="5"/>
        <v>49</v>
      </c>
      <c r="B50" s="156">
        <f t="shared" si="3"/>
        <v>1900</v>
      </c>
      <c r="C50" s="129">
        <f t="shared" si="4"/>
        <v>1900</v>
      </c>
      <c r="D50" s="2" t="s">
        <v>155</v>
      </c>
      <c r="E50" s="2" t="s">
        <v>155</v>
      </c>
      <c r="F50" s="18"/>
      <c r="G50" s="2">
        <f t="shared" si="2"/>
        <v>31</v>
      </c>
      <c r="H50" s="19"/>
      <c r="J50" s="2">
        <v>1</v>
      </c>
      <c r="K50" s="2"/>
      <c r="L50" s="2" t="s">
        <v>372</v>
      </c>
      <c r="M50" t="s">
        <v>373</v>
      </c>
    </row>
    <row r="51" spans="1:13">
      <c r="A51" s="2">
        <f t="shared" si="5"/>
        <v>50</v>
      </c>
      <c r="B51" s="156">
        <f t="shared" si="3"/>
        <v>1900</v>
      </c>
      <c r="C51" s="129">
        <f t="shared" si="4"/>
        <v>1900</v>
      </c>
      <c r="D51" s="2" t="s">
        <v>155</v>
      </c>
      <c r="E51" s="2" t="s">
        <v>155</v>
      </c>
      <c r="F51" s="18"/>
      <c r="G51" s="2">
        <f t="shared" si="2"/>
        <v>31</v>
      </c>
      <c r="H51" s="19"/>
      <c r="J51" s="2">
        <v>1</v>
      </c>
      <c r="K51" s="2"/>
      <c r="L51" s="2" t="s">
        <v>372</v>
      </c>
      <c r="M51" t="s">
        <v>373</v>
      </c>
    </row>
    <row r="52" spans="1:13">
      <c r="A52" s="2">
        <f t="shared" si="5"/>
        <v>51</v>
      </c>
      <c r="B52" s="156">
        <f t="shared" si="3"/>
        <v>1900</v>
      </c>
      <c r="C52" s="129">
        <f t="shared" si="4"/>
        <v>1900</v>
      </c>
      <c r="D52" s="2" t="s">
        <v>155</v>
      </c>
      <c r="E52" s="2" t="s">
        <v>155</v>
      </c>
      <c r="F52" s="18"/>
      <c r="G52" s="2">
        <f t="shared" si="2"/>
        <v>31</v>
      </c>
      <c r="H52" s="19"/>
      <c r="J52" s="2">
        <v>1</v>
      </c>
      <c r="K52" s="2"/>
      <c r="L52" s="2" t="s">
        <v>372</v>
      </c>
      <c r="M52" t="s">
        <v>373</v>
      </c>
    </row>
    <row r="53" spans="1:13">
      <c r="A53" s="2">
        <f t="shared" si="5"/>
        <v>52</v>
      </c>
      <c r="B53" s="156">
        <f t="shared" si="3"/>
        <v>1900</v>
      </c>
      <c r="C53" s="129">
        <f t="shared" si="4"/>
        <v>1900</v>
      </c>
      <c r="D53" s="2" t="s">
        <v>155</v>
      </c>
      <c r="E53" s="2" t="s">
        <v>155</v>
      </c>
      <c r="F53" s="18"/>
      <c r="G53" s="2">
        <f t="shared" si="2"/>
        <v>31</v>
      </c>
      <c r="H53" s="19"/>
      <c r="J53" s="2">
        <v>1</v>
      </c>
      <c r="K53" s="2"/>
      <c r="L53" s="2" t="s">
        <v>372</v>
      </c>
      <c r="M53" t="s">
        <v>373</v>
      </c>
    </row>
    <row r="54" spans="1:13">
      <c r="A54" s="2">
        <f t="shared" si="5"/>
        <v>53</v>
      </c>
      <c r="B54" s="156">
        <f t="shared" si="3"/>
        <v>1900</v>
      </c>
      <c r="C54" s="129">
        <f t="shared" si="4"/>
        <v>1900</v>
      </c>
      <c r="D54" s="2" t="s">
        <v>155</v>
      </c>
      <c r="E54" s="2" t="s">
        <v>155</v>
      </c>
      <c r="F54" s="18"/>
      <c r="G54" s="2">
        <f t="shared" si="2"/>
        <v>31</v>
      </c>
      <c r="H54" s="19"/>
      <c r="J54" s="2">
        <v>1</v>
      </c>
      <c r="K54" s="2"/>
      <c r="L54" s="2" t="s">
        <v>372</v>
      </c>
      <c r="M54" t="s">
        <v>373</v>
      </c>
    </row>
    <row r="55" spans="1:13">
      <c r="A55" s="2">
        <f t="shared" si="5"/>
        <v>54</v>
      </c>
      <c r="B55" s="156">
        <f t="shared" si="3"/>
        <v>1900</v>
      </c>
      <c r="C55" s="129">
        <f t="shared" si="4"/>
        <v>1900</v>
      </c>
      <c r="D55" s="2" t="s">
        <v>155</v>
      </c>
      <c r="E55" s="2" t="s">
        <v>155</v>
      </c>
      <c r="F55" s="18"/>
      <c r="G55" s="2">
        <f t="shared" si="2"/>
        <v>31</v>
      </c>
      <c r="H55" s="19"/>
      <c r="J55" s="2">
        <v>1</v>
      </c>
      <c r="K55" s="2"/>
      <c r="L55" s="2" t="s">
        <v>372</v>
      </c>
      <c r="M55" t="s">
        <v>373</v>
      </c>
    </row>
    <row r="56" spans="1:13">
      <c r="A56" s="2">
        <f t="shared" si="5"/>
        <v>55</v>
      </c>
      <c r="B56" s="156">
        <f t="shared" si="3"/>
        <v>1900</v>
      </c>
      <c r="C56" s="129">
        <f t="shared" si="4"/>
        <v>1900</v>
      </c>
      <c r="D56" s="2" t="s">
        <v>155</v>
      </c>
      <c r="E56" s="2" t="s">
        <v>155</v>
      </c>
      <c r="F56" s="18"/>
      <c r="G56" s="2">
        <f t="shared" si="2"/>
        <v>31</v>
      </c>
      <c r="H56" s="19"/>
      <c r="J56" s="2">
        <v>1</v>
      </c>
      <c r="K56" s="2"/>
      <c r="L56" s="2" t="s">
        <v>372</v>
      </c>
      <c r="M56" t="s">
        <v>373</v>
      </c>
    </row>
    <row r="57" spans="1:13">
      <c r="A57" s="2">
        <f t="shared" si="5"/>
        <v>56</v>
      </c>
      <c r="B57" s="156">
        <f t="shared" si="3"/>
        <v>1900</v>
      </c>
      <c r="C57" s="129">
        <f t="shared" si="4"/>
        <v>1900</v>
      </c>
      <c r="D57" s="2" t="s">
        <v>155</v>
      </c>
      <c r="E57" s="2" t="s">
        <v>155</v>
      </c>
      <c r="F57" s="18"/>
      <c r="G57" s="2">
        <f t="shared" si="2"/>
        <v>31</v>
      </c>
      <c r="H57" s="19"/>
      <c r="J57" s="2">
        <v>1</v>
      </c>
      <c r="K57" s="2"/>
      <c r="L57" s="2" t="s">
        <v>372</v>
      </c>
      <c r="M57" t="s">
        <v>373</v>
      </c>
    </row>
    <row r="58" spans="1:13">
      <c r="A58" s="2">
        <f t="shared" si="5"/>
        <v>57</v>
      </c>
      <c r="B58" s="156">
        <f t="shared" si="3"/>
        <v>1900</v>
      </c>
      <c r="C58" s="129">
        <f t="shared" si="4"/>
        <v>1900</v>
      </c>
      <c r="D58" s="2" t="s">
        <v>155</v>
      </c>
      <c r="E58" s="2" t="s">
        <v>155</v>
      </c>
      <c r="F58" s="18"/>
      <c r="G58" s="2">
        <f t="shared" si="2"/>
        <v>31</v>
      </c>
      <c r="H58" s="19"/>
      <c r="J58" s="2">
        <v>1</v>
      </c>
      <c r="K58" s="2"/>
      <c r="L58" s="2" t="s">
        <v>372</v>
      </c>
      <c r="M58" t="s">
        <v>373</v>
      </c>
    </row>
    <row r="59" spans="1:13">
      <c r="A59" s="2">
        <f t="shared" si="5"/>
        <v>58</v>
      </c>
      <c r="B59" s="156">
        <f t="shared" si="3"/>
        <v>1900</v>
      </c>
      <c r="C59" s="129">
        <f t="shared" si="4"/>
        <v>1900</v>
      </c>
      <c r="D59" s="2" t="s">
        <v>155</v>
      </c>
      <c r="E59" s="2" t="s">
        <v>155</v>
      </c>
      <c r="F59" s="18"/>
      <c r="G59" s="2">
        <f t="shared" si="2"/>
        <v>31</v>
      </c>
      <c r="H59" s="19"/>
      <c r="J59" s="2">
        <v>1</v>
      </c>
      <c r="K59" s="2"/>
      <c r="L59" s="2" t="s">
        <v>372</v>
      </c>
      <c r="M59" t="s">
        <v>373</v>
      </c>
    </row>
    <row r="60" spans="1:13">
      <c r="A60" s="2">
        <f t="shared" si="5"/>
        <v>59</v>
      </c>
      <c r="B60" s="156">
        <f t="shared" si="3"/>
        <v>1900</v>
      </c>
      <c r="C60" s="129">
        <f t="shared" si="4"/>
        <v>1900</v>
      </c>
      <c r="D60" s="2" t="s">
        <v>155</v>
      </c>
      <c r="E60" s="2" t="s">
        <v>155</v>
      </c>
      <c r="F60" s="18"/>
      <c r="G60" s="2">
        <f t="shared" si="2"/>
        <v>31</v>
      </c>
      <c r="H60" s="19"/>
      <c r="J60" s="2">
        <v>1</v>
      </c>
      <c r="K60" s="2"/>
      <c r="L60" s="2" t="s">
        <v>372</v>
      </c>
      <c r="M60" t="s">
        <v>373</v>
      </c>
    </row>
    <row r="61" spans="1:13">
      <c r="A61" s="2">
        <f t="shared" si="5"/>
        <v>60</v>
      </c>
      <c r="B61" s="156">
        <f t="shared" si="3"/>
        <v>1900</v>
      </c>
      <c r="C61" s="129">
        <f t="shared" si="4"/>
        <v>1900</v>
      </c>
      <c r="D61" s="2" t="s">
        <v>155</v>
      </c>
      <c r="E61" s="2" t="s">
        <v>155</v>
      </c>
      <c r="F61" s="18"/>
      <c r="G61" s="2">
        <f t="shared" ref="G61:G124" si="6">DAY(EOMONTH(F61,0))</f>
        <v>31</v>
      </c>
      <c r="H61" s="19"/>
      <c r="J61" s="2">
        <v>1</v>
      </c>
      <c r="K61" s="2"/>
      <c r="L61" s="2" t="s">
        <v>372</v>
      </c>
      <c r="M61" t="s">
        <v>373</v>
      </c>
    </row>
    <row r="62" spans="1:13">
      <c r="A62" s="2">
        <f t="shared" si="5"/>
        <v>61</v>
      </c>
      <c r="B62" s="156">
        <f t="shared" si="3"/>
        <v>1900</v>
      </c>
      <c r="C62" s="129">
        <f t="shared" si="4"/>
        <v>1900</v>
      </c>
      <c r="D62" s="2" t="s">
        <v>155</v>
      </c>
      <c r="E62" s="2" t="s">
        <v>155</v>
      </c>
      <c r="F62" s="18"/>
      <c r="G62" s="2">
        <f t="shared" si="6"/>
        <v>31</v>
      </c>
      <c r="H62" s="19"/>
      <c r="J62" s="2">
        <v>1</v>
      </c>
      <c r="K62" s="2"/>
      <c r="L62" s="2" t="s">
        <v>372</v>
      </c>
      <c r="M62" t="s">
        <v>373</v>
      </c>
    </row>
    <row r="63" spans="1:13">
      <c r="A63" s="2">
        <f t="shared" si="5"/>
        <v>62</v>
      </c>
      <c r="B63" s="156">
        <f t="shared" si="3"/>
        <v>1900</v>
      </c>
      <c r="C63" s="129">
        <f t="shared" si="4"/>
        <v>1900</v>
      </c>
      <c r="D63" s="2" t="s">
        <v>155</v>
      </c>
      <c r="E63" s="2" t="s">
        <v>155</v>
      </c>
      <c r="F63" s="18"/>
      <c r="G63" s="2">
        <f t="shared" si="6"/>
        <v>31</v>
      </c>
      <c r="H63" s="19"/>
      <c r="J63" s="2">
        <v>1</v>
      </c>
      <c r="K63" s="2"/>
      <c r="L63" s="2" t="s">
        <v>372</v>
      </c>
      <c r="M63" t="s">
        <v>373</v>
      </c>
    </row>
    <row r="64" spans="1:13">
      <c r="A64" s="2">
        <f t="shared" si="5"/>
        <v>63</v>
      </c>
      <c r="B64" s="156">
        <f t="shared" si="3"/>
        <v>1900</v>
      </c>
      <c r="C64" s="129">
        <f t="shared" si="4"/>
        <v>1900</v>
      </c>
      <c r="D64" s="2" t="s">
        <v>155</v>
      </c>
      <c r="E64" s="2" t="s">
        <v>155</v>
      </c>
      <c r="F64" s="18"/>
      <c r="G64" s="2">
        <f t="shared" si="6"/>
        <v>31</v>
      </c>
      <c r="H64" s="19"/>
      <c r="J64" s="2">
        <v>1</v>
      </c>
      <c r="K64" s="2"/>
      <c r="L64" s="2" t="s">
        <v>372</v>
      </c>
      <c r="M64" t="s">
        <v>373</v>
      </c>
    </row>
    <row r="65" spans="1:13">
      <c r="A65" s="2">
        <f t="shared" si="5"/>
        <v>64</v>
      </c>
      <c r="B65" s="156">
        <f t="shared" si="3"/>
        <v>1900</v>
      </c>
      <c r="C65" s="129">
        <f t="shared" si="4"/>
        <v>1900</v>
      </c>
      <c r="D65" s="2" t="s">
        <v>155</v>
      </c>
      <c r="E65" s="2" t="s">
        <v>155</v>
      </c>
      <c r="F65" s="18"/>
      <c r="G65" s="2">
        <f t="shared" si="6"/>
        <v>31</v>
      </c>
      <c r="H65" s="19"/>
      <c r="J65" s="2">
        <v>1</v>
      </c>
      <c r="K65" s="2"/>
      <c r="L65" s="2" t="s">
        <v>372</v>
      </c>
      <c r="M65" t="s">
        <v>373</v>
      </c>
    </row>
    <row r="66" spans="1:13">
      <c r="A66" s="2">
        <f t="shared" si="5"/>
        <v>65</v>
      </c>
      <c r="B66" s="156">
        <f t="shared" si="3"/>
        <v>1900</v>
      </c>
      <c r="C66" s="129">
        <f t="shared" si="4"/>
        <v>1900</v>
      </c>
      <c r="D66" s="2" t="s">
        <v>155</v>
      </c>
      <c r="E66" s="2" t="s">
        <v>155</v>
      </c>
      <c r="F66" s="18"/>
      <c r="G66" s="2">
        <f t="shared" si="6"/>
        <v>31</v>
      </c>
      <c r="H66" s="19"/>
      <c r="J66" s="2">
        <v>1</v>
      </c>
      <c r="K66" s="2"/>
      <c r="L66" s="2" t="s">
        <v>372</v>
      </c>
      <c r="M66" t="s">
        <v>373</v>
      </c>
    </row>
    <row r="67" spans="1:13">
      <c r="A67" s="2">
        <f t="shared" si="5"/>
        <v>66</v>
      </c>
      <c r="B67" s="156">
        <f t="shared" ref="B67:B130" si="7">YEAR(H67)+IF(MONTH(H67)&gt;=4,1,0)</f>
        <v>1900</v>
      </c>
      <c r="C67" s="129">
        <f t="shared" ref="C67:C130" si="8">YEAR(H67)</f>
        <v>1900</v>
      </c>
      <c r="D67" s="2" t="s">
        <v>155</v>
      </c>
      <c r="E67" s="2" t="s">
        <v>155</v>
      </c>
      <c r="F67" s="18"/>
      <c r="G67" s="2">
        <f t="shared" si="6"/>
        <v>31</v>
      </c>
      <c r="H67" s="19"/>
      <c r="J67" s="2">
        <v>1</v>
      </c>
      <c r="K67" s="2"/>
      <c r="L67" s="2" t="s">
        <v>372</v>
      </c>
      <c r="M67" t="s">
        <v>373</v>
      </c>
    </row>
    <row r="68" spans="1:13">
      <c r="A68" s="2">
        <f t="shared" ref="A68:A131" si="9">A67+1</f>
        <v>67</v>
      </c>
      <c r="B68" s="156">
        <f t="shared" si="7"/>
        <v>1900</v>
      </c>
      <c r="C68" s="129">
        <f t="shared" si="8"/>
        <v>1900</v>
      </c>
      <c r="D68" s="2" t="s">
        <v>155</v>
      </c>
      <c r="E68" s="2" t="s">
        <v>155</v>
      </c>
      <c r="F68" s="18"/>
      <c r="G68" s="2">
        <f t="shared" si="6"/>
        <v>31</v>
      </c>
      <c r="H68" s="19"/>
      <c r="J68" s="2">
        <v>1</v>
      </c>
      <c r="K68" s="2"/>
      <c r="L68" s="2" t="s">
        <v>372</v>
      </c>
      <c r="M68" t="s">
        <v>373</v>
      </c>
    </row>
    <row r="69" spans="1:13">
      <c r="A69" s="2">
        <f t="shared" si="9"/>
        <v>68</v>
      </c>
      <c r="B69" s="156">
        <f t="shared" si="7"/>
        <v>1900</v>
      </c>
      <c r="C69" s="129">
        <f t="shared" si="8"/>
        <v>1900</v>
      </c>
      <c r="D69" s="2" t="s">
        <v>155</v>
      </c>
      <c r="E69" s="2" t="s">
        <v>155</v>
      </c>
      <c r="F69" s="18"/>
      <c r="G69" s="2">
        <f t="shared" si="6"/>
        <v>31</v>
      </c>
      <c r="H69" s="19"/>
      <c r="J69" s="2">
        <v>1</v>
      </c>
      <c r="K69" s="2"/>
      <c r="L69" s="2" t="s">
        <v>372</v>
      </c>
      <c r="M69" t="s">
        <v>373</v>
      </c>
    </row>
    <row r="70" spans="1:13">
      <c r="A70" s="2">
        <f t="shared" si="9"/>
        <v>69</v>
      </c>
      <c r="B70" s="156">
        <f t="shared" si="7"/>
        <v>1900</v>
      </c>
      <c r="C70" s="129">
        <f t="shared" si="8"/>
        <v>1900</v>
      </c>
      <c r="D70" s="2" t="s">
        <v>155</v>
      </c>
      <c r="E70" s="2" t="s">
        <v>155</v>
      </c>
      <c r="F70" s="18"/>
      <c r="G70" s="2">
        <f t="shared" si="6"/>
        <v>31</v>
      </c>
      <c r="H70" s="19"/>
      <c r="J70" s="2">
        <v>1</v>
      </c>
      <c r="K70" s="2"/>
      <c r="L70" s="2" t="s">
        <v>372</v>
      </c>
      <c r="M70" t="s">
        <v>373</v>
      </c>
    </row>
    <row r="71" spans="1:13">
      <c r="A71" s="2">
        <f t="shared" si="9"/>
        <v>70</v>
      </c>
      <c r="B71" s="156">
        <f t="shared" si="7"/>
        <v>1900</v>
      </c>
      <c r="C71" s="129">
        <f t="shared" si="8"/>
        <v>1900</v>
      </c>
      <c r="D71" s="2" t="s">
        <v>155</v>
      </c>
      <c r="E71" s="2" t="s">
        <v>155</v>
      </c>
      <c r="F71" s="18"/>
      <c r="G71" s="2">
        <f t="shared" si="6"/>
        <v>31</v>
      </c>
      <c r="H71" s="19"/>
      <c r="J71" s="2">
        <v>1</v>
      </c>
      <c r="K71" s="2"/>
      <c r="L71" s="2" t="s">
        <v>372</v>
      </c>
      <c r="M71" t="s">
        <v>373</v>
      </c>
    </row>
    <row r="72" spans="1:13">
      <c r="A72" s="2">
        <f t="shared" si="9"/>
        <v>71</v>
      </c>
      <c r="B72" s="156">
        <f t="shared" si="7"/>
        <v>1900</v>
      </c>
      <c r="C72" s="129">
        <f t="shared" si="8"/>
        <v>1900</v>
      </c>
      <c r="D72" s="2" t="s">
        <v>155</v>
      </c>
      <c r="E72" s="2" t="s">
        <v>155</v>
      </c>
      <c r="F72" s="18"/>
      <c r="G72" s="2">
        <f t="shared" si="6"/>
        <v>31</v>
      </c>
      <c r="H72" s="19"/>
      <c r="J72" s="2">
        <v>1</v>
      </c>
      <c r="K72" s="2"/>
      <c r="L72" s="2" t="s">
        <v>372</v>
      </c>
      <c r="M72" t="s">
        <v>373</v>
      </c>
    </row>
    <row r="73" spans="1:13">
      <c r="A73" s="2">
        <f t="shared" si="9"/>
        <v>72</v>
      </c>
      <c r="B73" s="156">
        <f t="shared" si="7"/>
        <v>1900</v>
      </c>
      <c r="C73" s="129">
        <f t="shared" si="8"/>
        <v>1900</v>
      </c>
      <c r="D73" s="2" t="s">
        <v>155</v>
      </c>
      <c r="E73" s="2" t="s">
        <v>155</v>
      </c>
      <c r="F73" s="18"/>
      <c r="G73" s="2">
        <f t="shared" si="6"/>
        <v>31</v>
      </c>
      <c r="H73" s="19"/>
      <c r="J73" s="2">
        <v>1</v>
      </c>
      <c r="K73" s="2"/>
      <c r="L73" s="2" t="s">
        <v>372</v>
      </c>
      <c r="M73" t="s">
        <v>373</v>
      </c>
    </row>
    <row r="74" spans="1:13">
      <c r="A74" s="2">
        <f t="shared" si="9"/>
        <v>73</v>
      </c>
      <c r="B74" s="156">
        <f t="shared" si="7"/>
        <v>1900</v>
      </c>
      <c r="C74" s="129">
        <f t="shared" si="8"/>
        <v>1900</v>
      </c>
      <c r="D74" s="2" t="s">
        <v>155</v>
      </c>
      <c r="E74" s="2" t="s">
        <v>155</v>
      </c>
      <c r="F74" s="18"/>
      <c r="G74" s="2">
        <f t="shared" si="6"/>
        <v>31</v>
      </c>
      <c r="H74" s="19"/>
      <c r="J74" s="2">
        <v>1</v>
      </c>
      <c r="K74" s="2"/>
      <c r="L74" s="2" t="s">
        <v>372</v>
      </c>
      <c r="M74" t="s">
        <v>373</v>
      </c>
    </row>
    <row r="75" spans="1:13">
      <c r="A75" s="2">
        <f t="shared" si="9"/>
        <v>74</v>
      </c>
      <c r="B75" s="156">
        <f t="shared" si="7"/>
        <v>1900</v>
      </c>
      <c r="C75" s="129">
        <f t="shared" si="8"/>
        <v>1900</v>
      </c>
      <c r="D75" s="2" t="s">
        <v>155</v>
      </c>
      <c r="E75" s="2" t="s">
        <v>155</v>
      </c>
      <c r="F75" s="18"/>
      <c r="G75" s="2">
        <f t="shared" si="6"/>
        <v>31</v>
      </c>
      <c r="H75" s="19"/>
      <c r="J75" s="2">
        <v>1</v>
      </c>
      <c r="K75" s="2"/>
      <c r="L75" s="2" t="s">
        <v>372</v>
      </c>
      <c r="M75" t="s">
        <v>373</v>
      </c>
    </row>
    <row r="76" spans="1:13">
      <c r="A76" s="2">
        <f t="shared" si="9"/>
        <v>75</v>
      </c>
      <c r="B76" s="156">
        <f t="shared" si="7"/>
        <v>1900</v>
      </c>
      <c r="C76" s="129">
        <f t="shared" si="8"/>
        <v>1900</v>
      </c>
      <c r="D76" s="2" t="s">
        <v>155</v>
      </c>
      <c r="E76" s="2" t="s">
        <v>155</v>
      </c>
      <c r="F76" s="18"/>
      <c r="G76" s="2">
        <f t="shared" si="6"/>
        <v>31</v>
      </c>
      <c r="H76" s="19"/>
      <c r="J76" s="2">
        <v>1</v>
      </c>
      <c r="K76" s="2"/>
      <c r="L76" s="2" t="s">
        <v>372</v>
      </c>
      <c r="M76" t="s">
        <v>373</v>
      </c>
    </row>
    <row r="77" spans="1:13">
      <c r="A77" s="2">
        <f t="shared" si="9"/>
        <v>76</v>
      </c>
      <c r="B77" s="156">
        <f t="shared" si="7"/>
        <v>1900</v>
      </c>
      <c r="C77" s="129">
        <f t="shared" si="8"/>
        <v>1900</v>
      </c>
      <c r="D77" s="2" t="s">
        <v>155</v>
      </c>
      <c r="E77" s="2" t="s">
        <v>155</v>
      </c>
      <c r="F77" s="18"/>
      <c r="G77" s="2">
        <f t="shared" si="6"/>
        <v>31</v>
      </c>
      <c r="H77" s="19"/>
      <c r="J77" s="2">
        <v>1</v>
      </c>
      <c r="K77" s="2"/>
      <c r="L77" s="2" t="s">
        <v>372</v>
      </c>
      <c r="M77" t="s">
        <v>373</v>
      </c>
    </row>
    <row r="78" spans="1:13">
      <c r="A78" s="2">
        <f t="shared" si="9"/>
        <v>77</v>
      </c>
      <c r="B78" s="156">
        <f t="shared" si="7"/>
        <v>1900</v>
      </c>
      <c r="C78" s="129">
        <f t="shared" si="8"/>
        <v>1900</v>
      </c>
      <c r="D78" s="2" t="s">
        <v>155</v>
      </c>
      <c r="E78" s="2" t="s">
        <v>155</v>
      </c>
      <c r="F78" s="18"/>
      <c r="G78" s="2">
        <f t="shared" si="6"/>
        <v>31</v>
      </c>
      <c r="H78" s="19"/>
      <c r="J78" s="2">
        <v>1</v>
      </c>
      <c r="K78" s="2"/>
      <c r="L78" s="2" t="s">
        <v>372</v>
      </c>
      <c r="M78" t="s">
        <v>373</v>
      </c>
    </row>
    <row r="79" spans="1:13">
      <c r="A79" s="2">
        <f t="shared" si="9"/>
        <v>78</v>
      </c>
      <c r="B79" s="156">
        <f t="shared" si="7"/>
        <v>1900</v>
      </c>
      <c r="C79" s="129">
        <f t="shared" si="8"/>
        <v>1900</v>
      </c>
      <c r="D79" s="2" t="s">
        <v>155</v>
      </c>
      <c r="E79" s="2" t="s">
        <v>155</v>
      </c>
      <c r="F79" s="18"/>
      <c r="G79" s="2">
        <f t="shared" si="6"/>
        <v>31</v>
      </c>
      <c r="H79" s="19"/>
      <c r="J79" s="2">
        <v>1</v>
      </c>
      <c r="K79" s="2"/>
      <c r="L79" s="2" t="s">
        <v>372</v>
      </c>
      <c r="M79" t="s">
        <v>373</v>
      </c>
    </row>
    <row r="80" spans="1:13">
      <c r="A80" s="2">
        <f t="shared" si="9"/>
        <v>79</v>
      </c>
      <c r="B80" s="156">
        <f t="shared" si="7"/>
        <v>1900</v>
      </c>
      <c r="C80" s="129">
        <f t="shared" si="8"/>
        <v>1900</v>
      </c>
      <c r="D80" s="2" t="s">
        <v>155</v>
      </c>
      <c r="E80" s="2" t="s">
        <v>155</v>
      </c>
      <c r="F80" s="18"/>
      <c r="G80" s="2">
        <f t="shared" si="6"/>
        <v>31</v>
      </c>
      <c r="H80" s="19"/>
      <c r="J80" s="2">
        <v>1</v>
      </c>
      <c r="K80" s="2"/>
      <c r="L80" s="2" t="s">
        <v>372</v>
      </c>
      <c r="M80" t="s">
        <v>373</v>
      </c>
    </row>
    <row r="81" spans="1:13">
      <c r="A81" s="2">
        <f t="shared" si="9"/>
        <v>80</v>
      </c>
      <c r="B81" s="156">
        <f t="shared" si="7"/>
        <v>1900</v>
      </c>
      <c r="C81" s="129">
        <f t="shared" si="8"/>
        <v>1900</v>
      </c>
      <c r="D81" s="2" t="s">
        <v>155</v>
      </c>
      <c r="E81" s="2" t="s">
        <v>155</v>
      </c>
      <c r="F81" s="18"/>
      <c r="G81" s="2">
        <f t="shared" si="6"/>
        <v>31</v>
      </c>
      <c r="H81" s="19"/>
      <c r="J81" s="2">
        <v>1</v>
      </c>
      <c r="K81" s="2"/>
      <c r="L81" s="2" t="s">
        <v>372</v>
      </c>
      <c r="M81" t="s">
        <v>373</v>
      </c>
    </row>
    <row r="82" spans="1:13">
      <c r="A82" s="2">
        <f t="shared" si="9"/>
        <v>81</v>
      </c>
      <c r="B82" s="156">
        <f t="shared" si="7"/>
        <v>1900</v>
      </c>
      <c r="C82" s="129">
        <f t="shared" si="8"/>
        <v>1900</v>
      </c>
      <c r="D82" s="2" t="s">
        <v>155</v>
      </c>
      <c r="E82" s="2" t="s">
        <v>155</v>
      </c>
      <c r="F82" s="18"/>
      <c r="G82" s="2">
        <f t="shared" si="6"/>
        <v>31</v>
      </c>
      <c r="H82" s="19"/>
      <c r="J82" s="2">
        <v>1</v>
      </c>
      <c r="K82" s="2"/>
      <c r="L82" s="2" t="s">
        <v>372</v>
      </c>
      <c r="M82" t="s">
        <v>373</v>
      </c>
    </row>
    <row r="83" spans="1:13">
      <c r="A83" s="2">
        <f t="shared" si="9"/>
        <v>82</v>
      </c>
      <c r="B83" s="156">
        <f t="shared" si="7"/>
        <v>1900</v>
      </c>
      <c r="C83" s="129">
        <f t="shared" si="8"/>
        <v>1900</v>
      </c>
      <c r="D83" s="2" t="s">
        <v>155</v>
      </c>
      <c r="E83" s="2" t="s">
        <v>155</v>
      </c>
      <c r="F83" s="18"/>
      <c r="G83" s="2">
        <f t="shared" si="6"/>
        <v>31</v>
      </c>
      <c r="H83" s="19"/>
      <c r="J83" s="2">
        <v>1</v>
      </c>
      <c r="K83" s="2"/>
      <c r="L83" s="2" t="s">
        <v>372</v>
      </c>
      <c r="M83" t="s">
        <v>373</v>
      </c>
    </row>
    <row r="84" spans="1:13">
      <c r="A84" s="2">
        <f t="shared" si="9"/>
        <v>83</v>
      </c>
      <c r="B84" s="156">
        <f t="shared" si="7"/>
        <v>1900</v>
      </c>
      <c r="C84" s="129">
        <f t="shared" si="8"/>
        <v>1900</v>
      </c>
      <c r="D84" s="2" t="s">
        <v>155</v>
      </c>
      <c r="E84" s="2" t="s">
        <v>155</v>
      </c>
      <c r="F84" s="18"/>
      <c r="G84" s="2">
        <f t="shared" si="6"/>
        <v>31</v>
      </c>
      <c r="H84" s="19"/>
      <c r="J84" s="2">
        <v>1</v>
      </c>
      <c r="K84" s="2"/>
      <c r="L84" s="2" t="s">
        <v>372</v>
      </c>
      <c r="M84" t="s">
        <v>373</v>
      </c>
    </row>
    <row r="85" spans="1:13">
      <c r="A85" s="2">
        <f t="shared" si="9"/>
        <v>84</v>
      </c>
      <c r="B85" s="156">
        <f t="shared" si="7"/>
        <v>1900</v>
      </c>
      <c r="C85" s="129">
        <f t="shared" si="8"/>
        <v>1900</v>
      </c>
      <c r="D85" s="2" t="s">
        <v>155</v>
      </c>
      <c r="E85" s="2" t="s">
        <v>155</v>
      </c>
      <c r="F85" s="18"/>
      <c r="G85" s="2">
        <f t="shared" si="6"/>
        <v>31</v>
      </c>
      <c r="H85" s="19"/>
      <c r="J85" s="2">
        <v>1</v>
      </c>
      <c r="K85" s="2"/>
      <c r="L85" s="2" t="s">
        <v>372</v>
      </c>
      <c r="M85" t="s">
        <v>373</v>
      </c>
    </row>
    <row r="86" spans="1:13">
      <c r="A86" s="2">
        <f t="shared" si="9"/>
        <v>85</v>
      </c>
      <c r="B86" s="156">
        <f t="shared" si="7"/>
        <v>1900</v>
      </c>
      <c r="C86" s="129">
        <f t="shared" si="8"/>
        <v>1900</v>
      </c>
      <c r="D86" s="2" t="s">
        <v>155</v>
      </c>
      <c r="E86" s="2" t="s">
        <v>155</v>
      </c>
      <c r="F86" s="18"/>
      <c r="G86" s="2">
        <f t="shared" si="6"/>
        <v>31</v>
      </c>
      <c r="H86" s="19"/>
      <c r="J86" s="2">
        <v>1</v>
      </c>
      <c r="K86" s="2"/>
      <c r="L86" s="2" t="s">
        <v>372</v>
      </c>
      <c r="M86" t="s">
        <v>373</v>
      </c>
    </row>
    <row r="87" spans="1:13">
      <c r="A87" s="2">
        <f t="shared" si="9"/>
        <v>86</v>
      </c>
      <c r="B87" s="156">
        <f t="shared" si="7"/>
        <v>1900</v>
      </c>
      <c r="C87" s="129">
        <f t="shared" si="8"/>
        <v>1900</v>
      </c>
      <c r="D87" s="2" t="s">
        <v>155</v>
      </c>
      <c r="E87" s="2" t="s">
        <v>155</v>
      </c>
      <c r="F87" s="18"/>
      <c r="G87" s="2">
        <f t="shared" si="6"/>
        <v>31</v>
      </c>
      <c r="H87" s="19"/>
      <c r="J87" s="2">
        <v>1</v>
      </c>
      <c r="K87" s="2"/>
      <c r="L87" s="2" t="s">
        <v>372</v>
      </c>
      <c r="M87" t="s">
        <v>373</v>
      </c>
    </row>
    <row r="88" spans="1:13">
      <c r="A88" s="2">
        <f t="shared" si="9"/>
        <v>87</v>
      </c>
      <c r="B88" s="156">
        <f t="shared" si="7"/>
        <v>1900</v>
      </c>
      <c r="C88" s="129">
        <f t="shared" si="8"/>
        <v>1900</v>
      </c>
      <c r="D88" s="2" t="s">
        <v>155</v>
      </c>
      <c r="E88" s="2" t="s">
        <v>155</v>
      </c>
      <c r="F88" s="18"/>
      <c r="G88" s="2">
        <f t="shared" si="6"/>
        <v>31</v>
      </c>
      <c r="H88" s="19"/>
      <c r="J88" s="2">
        <v>1</v>
      </c>
      <c r="K88" s="2"/>
      <c r="L88" s="2" t="s">
        <v>372</v>
      </c>
      <c r="M88" t="s">
        <v>373</v>
      </c>
    </row>
    <row r="89" spans="1:13">
      <c r="A89" s="2">
        <f t="shared" si="9"/>
        <v>88</v>
      </c>
      <c r="B89" s="156">
        <f t="shared" si="7"/>
        <v>1900</v>
      </c>
      <c r="C89" s="129">
        <f t="shared" si="8"/>
        <v>1900</v>
      </c>
      <c r="D89" s="2" t="s">
        <v>155</v>
      </c>
      <c r="E89" s="2" t="s">
        <v>155</v>
      </c>
      <c r="F89" s="18"/>
      <c r="G89" s="2">
        <f t="shared" si="6"/>
        <v>31</v>
      </c>
      <c r="H89" s="19"/>
      <c r="J89" s="2">
        <v>1</v>
      </c>
      <c r="K89" s="2"/>
      <c r="L89" s="2" t="s">
        <v>372</v>
      </c>
      <c r="M89" t="s">
        <v>373</v>
      </c>
    </row>
    <row r="90" spans="1:13">
      <c r="A90" s="2">
        <f t="shared" si="9"/>
        <v>89</v>
      </c>
      <c r="B90" s="156">
        <f t="shared" si="7"/>
        <v>1900</v>
      </c>
      <c r="C90" s="129">
        <f t="shared" si="8"/>
        <v>1900</v>
      </c>
      <c r="D90" s="2" t="s">
        <v>155</v>
      </c>
      <c r="E90" s="2" t="s">
        <v>155</v>
      </c>
      <c r="F90" s="18"/>
      <c r="G90" s="2">
        <f t="shared" si="6"/>
        <v>31</v>
      </c>
      <c r="H90" s="19"/>
      <c r="J90" s="2">
        <v>1</v>
      </c>
      <c r="K90" s="2"/>
      <c r="L90" s="2" t="s">
        <v>372</v>
      </c>
      <c r="M90" t="s">
        <v>373</v>
      </c>
    </row>
    <row r="91" spans="1:13">
      <c r="A91" s="2">
        <f t="shared" si="9"/>
        <v>90</v>
      </c>
      <c r="B91" s="156">
        <f t="shared" si="7"/>
        <v>1900</v>
      </c>
      <c r="C91" s="129">
        <f t="shared" si="8"/>
        <v>1900</v>
      </c>
      <c r="D91" s="2" t="s">
        <v>155</v>
      </c>
      <c r="E91" s="2" t="s">
        <v>155</v>
      </c>
      <c r="F91" s="18"/>
      <c r="G91" s="2">
        <f t="shared" si="6"/>
        <v>31</v>
      </c>
      <c r="H91" s="19"/>
      <c r="J91" s="2">
        <v>1</v>
      </c>
      <c r="K91" s="2"/>
      <c r="L91" s="2" t="s">
        <v>372</v>
      </c>
      <c r="M91" t="s">
        <v>373</v>
      </c>
    </row>
    <row r="92" spans="1:13">
      <c r="A92" s="2">
        <f t="shared" si="9"/>
        <v>91</v>
      </c>
      <c r="B92" s="156">
        <f t="shared" si="7"/>
        <v>1900</v>
      </c>
      <c r="C92" s="129">
        <f t="shared" si="8"/>
        <v>1900</v>
      </c>
      <c r="D92" s="2" t="s">
        <v>155</v>
      </c>
      <c r="E92" s="2" t="s">
        <v>155</v>
      </c>
      <c r="F92" s="18"/>
      <c r="G92" s="2">
        <f t="shared" si="6"/>
        <v>31</v>
      </c>
      <c r="H92" s="19"/>
      <c r="J92" s="2">
        <v>1</v>
      </c>
      <c r="K92" s="2"/>
      <c r="L92" s="2" t="s">
        <v>372</v>
      </c>
      <c r="M92" t="s">
        <v>373</v>
      </c>
    </row>
    <row r="93" spans="1:13">
      <c r="A93" s="2">
        <f t="shared" si="9"/>
        <v>92</v>
      </c>
      <c r="B93" s="156">
        <f t="shared" si="7"/>
        <v>1900</v>
      </c>
      <c r="C93" s="129">
        <f t="shared" si="8"/>
        <v>1900</v>
      </c>
      <c r="D93" s="2" t="s">
        <v>155</v>
      </c>
      <c r="E93" s="2" t="s">
        <v>155</v>
      </c>
      <c r="F93" s="18"/>
      <c r="G93" s="2">
        <f t="shared" si="6"/>
        <v>31</v>
      </c>
      <c r="H93" s="19"/>
      <c r="J93" s="2">
        <v>1</v>
      </c>
      <c r="K93" s="2"/>
      <c r="L93" s="2" t="s">
        <v>372</v>
      </c>
      <c r="M93" t="s">
        <v>373</v>
      </c>
    </row>
    <row r="94" spans="1:13">
      <c r="A94" s="2">
        <f t="shared" si="9"/>
        <v>93</v>
      </c>
      <c r="B94" s="156">
        <f t="shared" si="7"/>
        <v>1900</v>
      </c>
      <c r="C94" s="129">
        <f t="shared" si="8"/>
        <v>1900</v>
      </c>
      <c r="D94" s="2" t="s">
        <v>155</v>
      </c>
      <c r="E94" s="2" t="s">
        <v>155</v>
      </c>
      <c r="F94" s="18"/>
      <c r="G94" s="2">
        <f t="shared" si="6"/>
        <v>31</v>
      </c>
      <c r="H94" s="19"/>
      <c r="J94" s="2">
        <v>1</v>
      </c>
      <c r="K94" s="2"/>
      <c r="L94" s="2" t="s">
        <v>372</v>
      </c>
      <c r="M94" t="s">
        <v>373</v>
      </c>
    </row>
    <row r="95" spans="1:13">
      <c r="A95" s="2">
        <f t="shared" si="9"/>
        <v>94</v>
      </c>
      <c r="B95" s="156">
        <f t="shared" si="7"/>
        <v>1900</v>
      </c>
      <c r="C95" s="129">
        <f t="shared" si="8"/>
        <v>1900</v>
      </c>
      <c r="D95" s="2" t="s">
        <v>155</v>
      </c>
      <c r="E95" s="2" t="s">
        <v>155</v>
      </c>
      <c r="F95" s="18"/>
      <c r="G95" s="2">
        <f t="shared" si="6"/>
        <v>31</v>
      </c>
      <c r="H95" s="19"/>
      <c r="J95" s="2">
        <v>1</v>
      </c>
      <c r="K95" s="2"/>
      <c r="L95" s="2" t="s">
        <v>372</v>
      </c>
      <c r="M95" t="s">
        <v>373</v>
      </c>
    </row>
    <row r="96" spans="1:13">
      <c r="A96" s="2">
        <f t="shared" si="9"/>
        <v>95</v>
      </c>
      <c r="B96" s="156">
        <f t="shared" si="7"/>
        <v>1900</v>
      </c>
      <c r="C96" s="129">
        <f t="shared" si="8"/>
        <v>1900</v>
      </c>
      <c r="D96" s="2" t="s">
        <v>155</v>
      </c>
      <c r="E96" s="2" t="s">
        <v>155</v>
      </c>
      <c r="F96" s="18"/>
      <c r="G96" s="2">
        <f t="shared" si="6"/>
        <v>31</v>
      </c>
      <c r="H96" s="19"/>
      <c r="J96" s="2">
        <v>1</v>
      </c>
      <c r="K96" s="2"/>
      <c r="L96" s="2" t="s">
        <v>372</v>
      </c>
      <c r="M96" t="s">
        <v>373</v>
      </c>
    </row>
    <row r="97" spans="1:13">
      <c r="A97" s="2">
        <f t="shared" si="9"/>
        <v>96</v>
      </c>
      <c r="B97" s="156">
        <f t="shared" si="7"/>
        <v>1900</v>
      </c>
      <c r="C97" s="129">
        <f t="shared" si="8"/>
        <v>1900</v>
      </c>
      <c r="D97" s="2" t="s">
        <v>155</v>
      </c>
      <c r="E97" s="2" t="s">
        <v>155</v>
      </c>
      <c r="F97" s="18"/>
      <c r="G97" s="2">
        <f t="shared" si="6"/>
        <v>31</v>
      </c>
      <c r="H97" s="19"/>
      <c r="J97" s="2">
        <v>1</v>
      </c>
      <c r="K97" s="2"/>
      <c r="L97" s="2" t="s">
        <v>372</v>
      </c>
      <c r="M97" t="s">
        <v>373</v>
      </c>
    </row>
    <row r="98" spans="1:13">
      <c r="A98" s="2">
        <f t="shared" si="9"/>
        <v>97</v>
      </c>
      <c r="B98" s="156">
        <f t="shared" si="7"/>
        <v>1900</v>
      </c>
      <c r="C98" s="129">
        <f t="shared" si="8"/>
        <v>1900</v>
      </c>
      <c r="D98" s="2" t="s">
        <v>155</v>
      </c>
      <c r="E98" s="2" t="s">
        <v>155</v>
      </c>
      <c r="F98" s="18"/>
      <c r="G98" s="2">
        <f t="shared" si="6"/>
        <v>31</v>
      </c>
      <c r="H98" s="19"/>
      <c r="J98" s="2">
        <v>1</v>
      </c>
      <c r="K98" s="2"/>
      <c r="L98" s="2" t="s">
        <v>372</v>
      </c>
      <c r="M98" t="s">
        <v>373</v>
      </c>
    </row>
    <row r="99" spans="1:13">
      <c r="A99" s="2">
        <f t="shared" si="9"/>
        <v>98</v>
      </c>
      <c r="B99" s="156">
        <f t="shared" si="7"/>
        <v>1900</v>
      </c>
      <c r="C99" s="129">
        <f t="shared" si="8"/>
        <v>1900</v>
      </c>
      <c r="D99" s="2" t="s">
        <v>155</v>
      </c>
      <c r="E99" s="2" t="s">
        <v>155</v>
      </c>
      <c r="F99" s="18"/>
      <c r="G99" s="2">
        <f t="shared" si="6"/>
        <v>31</v>
      </c>
      <c r="H99" s="19"/>
      <c r="J99" s="2">
        <v>1</v>
      </c>
      <c r="K99" s="2"/>
      <c r="L99" s="2" t="s">
        <v>372</v>
      </c>
      <c r="M99" t="s">
        <v>373</v>
      </c>
    </row>
    <row r="100" spans="1:13">
      <c r="A100" s="2">
        <f t="shared" si="9"/>
        <v>99</v>
      </c>
      <c r="B100" s="156">
        <f t="shared" si="7"/>
        <v>1900</v>
      </c>
      <c r="C100" s="129">
        <f t="shared" si="8"/>
        <v>1900</v>
      </c>
      <c r="D100" s="2" t="s">
        <v>155</v>
      </c>
      <c r="E100" s="2" t="s">
        <v>155</v>
      </c>
      <c r="F100" s="18"/>
      <c r="G100" s="2">
        <f t="shared" si="6"/>
        <v>31</v>
      </c>
      <c r="H100" s="19"/>
      <c r="J100" s="2">
        <v>1</v>
      </c>
      <c r="K100" s="2"/>
      <c r="L100" s="2" t="s">
        <v>372</v>
      </c>
      <c r="M100" t="s">
        <v>373</v>
      </c>
    </row>
    <row r="101" spans="1:13">
      <c r="A101" s="2">
        <f t="shared" si="9"/>
        <v>100</v>
      </c>
      <c r="B101" s="156">
        <f t="shared" si="7"/>
        <v>1900</v>
      </c>
      <c r="C101" s="129">
        <f t="shared" si="8"/>
        <v>1900</v>
      </c>
      <c r="D101" s="2" t="s">
        <v>155</v>
      </c>
      <c r="E101" s="2" t="s">
        <v>155</v>
      </c>
      <c r="F101" s="18"/>
      <c r="G101" s="2">
        <f t="shared" si="6"/>
        <v>31</v>
      </c>
      <c r="H101" s="19"/>
      <c r="J101" s="2">
        <v>1</v>
      </c>
      <c r="K101" s="2"/>
      <c r="L101" s="2" t="s">
        <v>372</v>
      </c>
      <c r="M101" t="s">
        <v>373</v>
      </c>
    </row>
    <row r="102" spans="1:13">
      <c r="A102" s="2">
        <f t="shared" si="9"/>
        <v>101</v>
      </c>
      <c r="B102" s="156">
        <f t="shared" si="7"/>
        <v>1900</v>
      </c>
      <c r="C102" s="129">
        <f t="shared" si="8"/>
        <v>1900</v>
      </c>
      <c r="D102" s="2" t="s">
        <v>155</v>
      </c>
      <c r="E102" s="2" t="s">
        <v>155</v>
      </c>
      <c r="F102" s="18"/>
      <c r="G102" s="2">
        <f t="shared" si="6"/>
        <v>31</v>
      </c>
      <c r="H102" s="19"/>
      <c r="J102" s="2">
        <v>1</v>
      </c>
      <c r="K102" s="2"/>
      <c r="L102" s="2" t="s">
        <v>372</v>
      </c>
      <c r="M102" t="s">
        <v>373</v>
      </c>
    </row>
    <row r="103" spans="1:13">
      <c r="A103" s="2">
        <f t="shared" si="9"/>
        <v>102</v>
      </c>
      <c r="B103" s="156">
        <f t="shared" si="7"/>
        <v>1900</v>
      </c>
      <c r="C103" s="129">
        <f t="shared" si="8"/>
        <v>1900</v>
      </c>
      <c r="D103" s="2" t="s">
        <v>155</v>
      </c>
      <c r="E103" s="2" t="s">
        <v>155</v>
      </c>
      <c r="F103" s="18"/>
      <c r="G103" s="2">
        <f t="shared" si="6"/>
        <v>31</v>
      </c>
      <c r="H103" s="19"/>
      <c r="J103" s="2">
        <v>1</v>
      </c>
      <c r="K103" s="2"/>
      <c r="L103" s="2" t="s">
        <v>372</v>
      </c>
      <c r="M103" t="s">
        <v>373</v>
      </c>
    </row>
    <row r="104" spans="1:13">
      <c r="A104" s="2">
        <f t="shared" si="9"/>
        <v>103</v>
      </c>
      <c r="B104" s="156">
        <f t="shared" si="7"/>
        <v>1900</v>
      </c>
      <c r="C104" s="129">
        <f t="shared" si="8"/>
        <v>1900</v>
      </c>
      <c r="D104" s="2" t="s">
        <v>155</v>
      </c>
      <c r="E104" s="2" t="s">
        <v>155</v>
      </c>
      <c r="F104" s="18"/>
      <c r="G104" s="2">
        <f t="shared" si="6"/>
        <v>31</v>
      </c>
      <c r="H104" s="19"/>
      <c r="J104" s="2">
        <v>1</v>
      </c>
      <c r="K104" s="2"/>
      <c r="L104" s="2" t="s">
        <v>372</v>
      </c>
      <c r="M104" t="s">
        <v>373</v>
      </c>
    </row>
    <row r="105" spans="1:13">
      <c r="A105" s="2">
        <f t="shared" si="9"/>
        <v>104</v>
      </c>
      <c r="B105" s="156">
        <f t="shared" si="7"/>
        <v>1900</v>
      </c>
      <c r="C105" s="129">
        <f t="shared" si="8"/>
        <v>1900</v>
      </c>
      <c r="D105" s="2" t="s">
        <v>155</v>
      </c>
      <c r="E105" s="2" t="s">
        <v>155</v>
      </c>
      <c r="F105" s="18"/>
      <c r="G105" s="2">
        <f t="shared" si="6"/>
        <v>31</v>
      </c>
      <c r="H105" s="19"/>
      <c r="J105" s="2">
        <v>1</v>
      </c>
      <c r="K105" s="2"/>
      <c r="L105" s="2" t="s">
        <v>372</v>
      </c>
      <c r="M105" t="s">
        <v>373</v>
      </c>
    </row>
    <row r="106" spans="1:13">
      <c r="A106" s="2">
        <f t="shared" si="9"/>
        <v>105</v>
      </c>
      <c r="B106" s="156">
        <f t="shared" si="7"/>
        <v>1900</v>
      </c>
      <c r="C106" s="129">
        <f t="shared" si="8"/>
        <v>1900</v>
      </c>
      <c r="D106" s="2" t="s">
        <v>155</v>
      </c>
      <c r="E106" s="2" t="s">
        <v>155</v>
      </c>
      <c r="F106" s="18"/>
      <c r="G106" s="2">
        <f t="shared" si="6"/>
        <v>31</v>
      </c>
      <c r="H106" s="19"/>
      <c r="J106" s="2">
        <v>1</v>
      </c>
      <c r="K106" s="2"/>
      <c r="L106" s="2" t="s">
        <v>372</v>
      </c>
      <c r="M106" t="s">
        <v>373</v>
      </c>
    </row>
    <row r="107" spans="1:13">
      <c r="A107" s="2">
        <f t="shared" si="9"/>
        <v>106</v>
      </c>
      <c r="B107" s="156">
        <f t="shared" si="7"/>
        <v>1900</v>
      </c>
      <c r="C107" s="129">
        <f t="shared" si="8"/>
        <v>1900</v>
      </c>
      <c r="D107" s="2" t="s">
        <v>155</v>
      </c>
      <c r="E107" s="2" t="s">
        <v>155</v>
      </c>
      <c r="F107" s="18"/>
      <c r="G107" s="2">
        <f t="shared" si="6"/>
        <v>31</v>
      </c>
      <c r="H107" s="19"/>
      <c r="J107" s="2">
        <v>1</v>
      </c>
      <c r="K107" s="2"/>
      <c r="L107" s="2" t="s">
        <v>372</v>
      </c>
      <c r="M107" t="s">
        <v>373</v>
      </c>
    </row>
    <row r="108" spans="1:13">
      <c r="A108" s="2">
        <f t="shared" si="9"/>
        <v>107</v>
      </c>
      <c r="B108" s="156">
        <f t="shared" si="7"/>
        <v>1900</v>
      </c>
      <c r="C108" s="129">
        <f t="shared" si="8"/>
        <v>1900</v>
      </c>
      <c r="D108" s="2" t="s">
        <v>155</v>
      </c>
      <c r="E108" s="2" t="s">
        <v>155</v>
      </c>
      <c r="F108" s="18"/>
      <c r="G108" s="2">
        <f t="shared" si="6"/>
        <v>31</v>
      </c>
      <c r="H108" s="19"/>
      <c r="J108" s="2">
        <v>1</v>
      </c>
      <c r="K108" s="2"/>
      <c r="L108" s="2" t="s">
        <v>372</v>
      </c>
      <c r="M108" t="s">
        <v>373</v>
      </c>
    </row>
    <row r="109" spans="1:13">
      <c r="A109" s="2">
        <f t="shared" si="9"/>
        <v>108</v>
      </c>
      <c r="B109" s="156">
        <f t="shared" si="7"/>
        <v>1900</v>
      </c>
      <c r="C109" s="129">
        <f t="shared" si="8"/>
        <v>1900</v>
      </c>
      <c r="D109" s="2" t="s">
        <v>155</v>
      </c>
      <c r="E109" s="2" t="s">
        <v>155</v>
      </c>
      <c r="F109" s="18"/>
      <c r="G109" s="2">
        <f t="shared" si="6"/>
        <v>31</v>
      </c>
      <c r="H109" s="19"/>
      <c r="J109" s="2">
        <v>1</v>
      </c>
      <c r="K109" s="2"/>
      <c r="L109" s="2" t="s">
        <v>372</v>
      </c>
      <c r="M109" t="s">
        <v>373</v>
      </c>
    </row>
    <row r="110" spans="1:13">
      <c r="A110" s="2">
        <f t="shared" si="9"/>
        <v>109</v>
      </c>
      <c r="B110" s="156">
        <f t="shared" si="7"/>
        <v>1900</v>
      </c>
      <c r="C110" s="129">
        <f t="shared" si="8"/>
        <v>1900</v>
      </c>
      <c r="D110" s="2" t="s">
        <v>155</v>
      </c>
      <c r="E110" s="2" t="s">
        <v>155</v>
      </c>
      <c r="F110" s="18"/>
      <c r="G110" s="2">
        <f t="shared" si="6"/>
        <v>31</v>
      </c>
      <c r="H110" s="19"/>
      <c r="J110" s="2">
        <v>1</v>
      </c>
      <c r="K110" s="2"/>
      <c r="L110" s="2" t="s">
        <v>372</v>
      </c>
      <c r="M110" t="s">
        <v>373</v>
      </c>
    </row>
    <row r="111" spans="1:13">
      <c r="A111" s="2">
        <f t="shared" si="9"/>
        <v>110</v>
      </c>
      <c r="B111" s="156">
        <f t="shared" si="7"/>
        <v>1900</v>
      </c>
      <c r="C111" s="129">
        <f t="shared" si="8"/>
        <v>1900</v>
      </c>
      <c r="D111" s="2" t="s">
        <v>155</v>
      </c>
      <c r="E111" s="2" t="s">
        <v>155</v>
      </c>
      <c r="F111" s="18"/>
      <c r="G111" s="2">
        <f t="shared" si="6"/>
        <v>31</v>
      </c>
      <c r="H111" s="19"/>
      <c r="J111" s="2">
        <v>1</v>
      </c>
      <c r="K111" s="2"/>
      <c r="L111" s="2" t="s">
        <v>372</v>
      </c>
      <c r="M111" t="s">
        <v>373</v>
      </c>
    </row>
    <row r="112" spans="1:13">
      <c r="A112" s="2">
        <f t="shared" si="9"/>
        <v>111</v>
      </c>
      <c r="B112" s="156">
        <f t="shared" si="7"/>
        <v>1900</v>
      </c>
      <c r="C112" s="129">
        <f t="shared" si="8"/>
        <v>1900</v>
      </c>
      <c r="D112" s="2" t="s">
        <v>155</v>
      </c>
      <c r="E112" s="2" t="s">
        <v>155</v>
      </c>
      <c r="F112" s="18"/>
      <c r="G112" s="2">
        <f t="shared" si="6"/>
        <v>31</v>
      </c>
      <c r="H112" s="19"/>
      <c r="J112" s="2">
        <v>1</v>
      </c>
      <c r="K112" s="2"/>
      <c r="L112" s="2" t="s">
        <v>372</v>
      </c>
      <c r="M112" t="s">
        <v>373</v>
      </c>
    </row>
    <row r="113" spans="1:13">
      <c r="A113" s="2">
        <f t="shared" si="9"/>
        <v>112</v>
      </c>
      <c r="B113" s="156">
        <f t="shared" si="7"/>
        <v>1900</v>
      </c>
      <c r="C113" s="129">
        <f t="shared" si="8"/>
        <v>1900</v>
      </c>
      <c r="D113" s="2" t="s">
        <v>155</v>
      </c>
      <c r="E113" s="2" t="s">
        <v>155</v>
      </c>
      <c r="F113" s="18"/>
      <c r="G113" s="2">
        <f t="shared" si="6"/>
        <v>31</v>
      </c>
      <c r="H113" s="19"/>
      <c r="J113" s="2">
        <v>1</v>
      </c>
      <c r="K113" s="2"/>
      <c r="L113" s="2" t="s">
        <v>372</v>
      </c>
      <c r="M113" t="s">
        <v>373</v>
      </c>
    </row>
    <row r="114" spans="1:13">
      <c r="A114" s="2">
        <f t="shared" si="9"/>
        <v>113</v>
      </c>
      <c r="B114" s="156">
        <f t="shared" si="7"/>
        <v>1900</v>
      </c>
      <c r="C114" s="129">
        <f t="shared" si="8"/>
        <v>1900</v>
      </c>
      <c r="D114" s="2" t="s">
        <v>155</v>
      </c>
      <c r="E114" s="2" t="s">
        <v>155</v>
      </c>
      <c r="F114" s="18"/>
      <c r="G114" s="2">
        <f t="shared" si="6"/>
        <v>31</v>
      </c>
      <c r="H114" s="19"/>
      <c r="J114" s="2">
        <v>1</v>
      </c>
      <c r="K114" s="2"/>
      <c r="L114" s="2" t="s">
        <v>372</v>
      </c>
      <c r="M114" t="s">
        <v>373</v>
      </c>
    </row>
    <row r="115" spans="1:13">
      <c r="A115" s="2">
        <f t="shared" si="9"/>
        <v>114</v>
      </c>
      <c r="B115" s="156">
        <f t="shared" si="7"/>
        <v>1900</v>
      </c>
      <c r="C115" s="129">
        <f t="shared" si="8"/>
        <v>1900</v>
      </c>
      <c r="D115" s="2" t="s">
        <v>155</v>
      </c>
      <c r="E115" s="2" t="s">
        <v>155</v>
      </c>
      <c r="F115" s="18"/>
      <c r="G115" s="2">
        <f t="shared" si="6"/>
        <v>31</v>
      </c>
      <c r="H115" s="19"/>
      <c r="J115" s="2">
        <v>1</v>
      </c>
      <c r="K115" s="2"/>
      <c r="L115" s="2" t="s">
        <v>372</v>
      </c>
      <c r="M115" t="s">
        <v>373</v>
      </c>
    </row>
    <row r="116" spans="1:13">
      <c r="A116" s="2">
        <f t="shared" si="9"/>
        <v>115</v>
      </c>
      <c r="B116" s="156">
        <f t="shared" si="7"/>
        <v>1900</v>
      </c>
      <c r="C116" s="129">
        <f t="shared" si="8"/>
        <v>1900</v>
      </c>
      <c r="D116" s="2" t="s">
        <v>155</v>
      </c>
      <c r="E116" s="2" t="s">
        <v>155</v>
      </c>
      <c r="F116" s="18"/>
      <c r="G116" s="2">
        <f t="shared" si="6"/>
        <v>31</v>
      </c>
      <c r="H116" s="19"/>
      <c r="J116" s="2">
        <v>1</v>
      </c>
      <c r="K116" s="2"/>
      <c r="L116" s="2" t="s">
        <v>372</v>
      </c>
      <c r="M116" t="s">
        <v>373</v>
      </c>
    </row>
    <row r="117" spans="1:13">
      <c r="A117" s="2">
        <f t="shared" si="9"/>
        <v>116</v>
      </c>
      <c r="B117" s="156">
        <f t="shared" si="7"/>
        <v>1900</v>
      </c>
      <c r="C117" s="129">
        <f t="shared" si="8"/>
        <v>1900</v>
      </c>
      <c r="D117" s="2" t="s">
        <v>155</v>
      </c>
      <c r="E117" s="2" t="s">
        <v>155</v>
      </c>
      <c r="F117" s="18"/>
      <c r="G117" s="2">
        <f t="shared" si="6"/>
        <v>31</v>
      </c>
      <c r="H117" s="19"/>
      <c r="J117" s="2">
        <v>1</v>
      </c>
      <c r="K117" s="2"/>
      <c r="L117" s="2" t="s">
        <v>372</v>
      </c>
      <c r="M117" t="s">
        <v>373</v>
      </c>
    </row>
    <row r="118" spans="1:13">
      <c r="A118" s="2">
        <f t="shared" si="9"/>
        <v>117</v>
      </c>
      <c r="B118" s="156">
        <f t="shared" si="7"/>
        <v>1900</v>
      </c>
      <c r="C118" s="129">
        <f t="shared" si="8"/>
        <v>1900</v>
      </c>
      <c r="D118" s="2" t="s">
        <v>155</v>
      </c>
      <c r="E118" s="2" t="s">
        <v>155</v>
      </c>
      <c r="F118" s="18"/>
      <c r="G118" s="2">
        <f t="shared" si="6"/>
        <v>31</v>
      </c>
      <c r="H118" s="19"/>
      <c r="J118" s="2">
        <v>1</v>
      </c>
      <c r="K118" s="2"/>
      <c r="L118" s="2" t="s">
        <v>372</v>
      </c>
      <c r="M118" t="s">
        <v>373</v>
      </c>
    </row>
    <row r="119" spans="1:13">
      <c r="A119" s="2">
        <f t="shared" si="9"/>
        <v>118</v>
      </c>
      <c r="B119" s="156">
        <f t="shared" si="7"/>
        <v>1900</v>
      </c>
      <c r="C119" s="129">
        <f t="shared" si="8"/>
        <v>1900</v>
      </c>
      <c r="D119" s="2" t="s">
        <v>155</v>
      </c>
      <c r="E119" s="2" t="s">
        <v>155</v>
      </c>
      <c r="F119" s="18"/>
      <c r="G119" s="2">
        <f t="shared" si="6"/>
        <v>31</v>
      </c>
      <c r="H119" s="19"/>
      <c r="J119" s="2">
        <v>1</v>
      </c>
      <c r="K119" s="2"/>
      <c r="L119" s="2" t="s">
        <v>372</v>
      </c>
      <c r="M119" t="s">
        <v>373</v>
      </c>
    </row>
    <row r="120" spans="1:13">
      <c r="A120" s="2">
        <f t="shared" si="9"/>
        <v>119</v>
      </c>
      <c r="B120" s="156">
        <f t="shared" si="7"/>
        <v>1900</v>
      </c>
      <c r="C120" s="129">
        <f t="shared" si="8"/>
        <v>1900</v>
      </c>
      <c r="D120" s="2" t="s">
        <v>155</v>
      </c>
      <c r="E120" s="2" t="s">
        <v>155</v>
      </c>
      <c r="F120" s="18"/>
      <c r="G120" s="2">
        <f t="shared" si="6"/>
        <v>31</v>
      </c>
      <c r="H120" s="19"/>
      <c r="J120" s="2">
        <v>1</v>
      </c>
      <c r="K120" s="2"/>
      <c r="L120" s="2" t="s">
        <v>372</v>
      </c>
      <c r="M120" t="s">
        <v>373</v>
      </c>
    </row>
    <row r="121" spans="1:13">
      <c r="A121" s="2">
        <f t="shared" si="9"/>
        <v>120</v>
      </c>
      <c r="B121" s="156">
        <f t="shared" si="7"/>
        <v>1900</v>
      </c>
      <c r="C121" s="129">
        <f t="shared" si="8"/>
        <v>1900</v>
      </c>
      <c r="D121" s="2" t="s">
        <v>155</v>
      </c>
      <c r="E121" s="2" t="s">
        <v>155</v>
      </c>
      <c r="F121" s="18"/>
      <c r="G121" s="2">
        <f t="shared" si="6"/>
        <v>31</v>
      </c>
      <c r="H121" s="19"/>
      <c r="J121" s="2">
        <v>1</v>
      </c>
      <c r="K121" s="2"/>
      <c r="L121" s="2" t="s">
        <v>372</v>
      </c>
      <c r="M121" t="s">
        <v>373</v>
      </c>
    </row>
    <row r="122" spans="1:13">
      <c r="A122" s="2">
        <f t="shared" si="9"/>
        <v>121</v>
      </c>
      <c r="B122" s="156">
        <f t="shared" si="7"/>
        <v>1900</v>
      </c>
      <c r="C122" s="129">
        <f t="shared" si="8"/>
        <v>1900</v>
      </c>
      <c r="D122" s="2" t="s">
        <v>155</v>
      </c>
      <c r="E122" s="2" t="s">
        <v>155</v>
      </c>
      <c r="F122" s="18"/>
      <c r="G122" s="2">
        <f t="shared" si="6"/>
        <v>31</v>
      </c>
      <c r="H122" s="19"/>
      <c r="J122" s="2">
        <v>1</v>
      </c>
      <c r="K122" s="2"/>
      <c r="L122" s="2" t="s">
        <v>372</v>
      </c>
      <c r="M122" t="s">
        <v>373</v>
      </c>
    </row>
    <row r="123" spans="1:13">
      <c r="A123" s="2">
        <f t="shared" si="9"/>
        <v>122</v>
      </c>
      <c r="B123" s="156">
        <f t="shared" si="7"/>
        <v>1900</v>
      </c>
      <c r="C123" s="129">
        <f t="shared" si="8"/>
        <v>1900</v>
      </c>
      <c r="D123" s="2" t="s">
        <v>155</v>
      </c>
      <c r="E123" s="2" t="s">
        <v>155</v>
      </c>
      <c r="F123" s="18"/>
      <c r="G123" s="2">
        <f t="shared" si="6"/>
        <v>31</v>
      </c>
      <c r="H123" s="19"/>
      <c r="J123" s="2">
        <v>1</v>
      </c>
      <c r="K123" s="2"/>
      <c r="L123" s="2" t="s">
        <v>372</v>
      </c>
      <c r="M123" t="s">
        <v>373</v>
      </c>
    </row>
    <row r="124" spans="1:13">
      <c r="A124" s="2">
        <f t="shared" si="9"/>
        <v>123</v>
      </c>
      <c r="B124" s="156">
        <f t="shared" si="7"/>
        <v>1900</v>
      </c>
      <c r="C124" s="129">
        <f t="shared" si="8"/>
        <v>1900</v>
      </c>
      <c r="D124" s="2" t="s">
        <v>155</v>
      </c>
      <c r="E124" s="2" t="s">
        <v>155</v>
      </c>
      <c r="F124" s="18"/>
      <c r="G124" s="2">
        <f t="shared" si="6"/>
        <v>31</v>
      </c>
      <c r="H124" s="19"/>
      <c r="J124" s="2">
        <v>1</v>
      </c>
      <c r="K124" s="2"/>
      <c r="L124" s="2" t="s">
        <v>372</v>
      </c>
      <c r="M124" t="s">
        <v>373</v>
      </c>
    </row>
    <row r="125" spans="1:13">
      <c r="A125" s="2">
        <f t="shared" si="9"/>
        <v>124</v>
      </c>
      <c r="B125" s="156">
        <f t="shared" si="7"/>
        <v>1900</v>
      </c>
      <c r="C125" s="129">
        <f t="shared" si="8"/>
        <v>1900</v>
      </c>
      <c r="D125" s="2" t="s">
        <v>155</v>
      </c>
      <c r="E125" s="2" t="s">
        <v>155</v>
      </c>
      <c r="F125" s="18"/>
      <c r="G125" s="2">
        <f t="shared" ref="G125:G131" si="10">DAY(EOMONTH(F125,0))</f>
        <v>31</v>
      </c>
      <c r="H125" s="19"/>
      <c r="J125" s="2">
        <v>1</v>
      </c>
      <c r="K125" s="2"/>
      <c r="L125" s="2" t="s">
        <v>372</v>
      </c>
      <c r="M125" t="s">
        <v>373</v>
      </c>
    </row>
    <row r="126" spans="1:13">
      <c r="A126" s="2">
        <f t="shared" si="9"/>
        <v>125</v>
      </c>
      <c r="B126" s="156">
        <f t="shared" si="7"/>
        <v>1900</v>
      </c>
      <c r="C126" s="129">
        <f t="shared" si="8"/>
        <v>1900</v>
      </c>
      <c r="D126" s="2" t="s">
        <v>155</v>
      </c>
      <c r="E126" s="2" t="s">
        <v>155</v>
      </c>
      <c r="F126" s="18"/>
      <c r="G126" s="2">
        <f t="shared" si="10"/>
        <v>31</v>
      </c>
      <c r="H126" s="19"/>
      <c r="J126" s="2">
        <v>1</v>
      </c>
      <c r="K126" s="2"/>
      <c r="L126" s="2" t="s">
        <v>372</v>
      </c>
      <c r="M126" t="s">
        <v>373</v>
      </c>
    </row>
    <row r="127" spans="1:13">
      <c r="A127" s="2">
        <f t="shared" si="9"/>
        <v>126</v>
      </c>
      <c r="B127" s="156">
        <f t="shared" si="7"/>
        <v>1900</v>
      </c>
      <c r="C127" s="129">
        <f t="shared" si="8"/>
        <v>1900</v>
      </c>
      <c r="D127" s="2" t="s">
        <v>155</v>
      </c>
      <c r="E127" s="2" t="s">
        <v>155</v>
      </c>
      <c r="F127" s="18"/>
      <c r="G127" s="2">
        <f t="shared" si="10"/>
        <v>31</v>
      </c>
      <c r="H127" s="19"/>
      <c r="J127" s="2">
        <v>1</v>
      </c>
      <c r="K127" s="2"/>
      <c r="L127" s="2" t="s">
        <v>372</v>
      </c>
      <c r="M127" t="s">
        <v>373</v>
      </c>
    </row>
    <row r="128" spans="1:13">
      <c r="A128" s="2">
        <f t="shared" si="9"/>
        <v>127</v>
      </c>
      <c r="B128" s="156">
        <f t="shared" si="7"/>
        <v>1900</v>
      </c>
      <c r="C128" s="129">
        <f t="shared" si="8"/>
        <v>1900</v>
      </c>
      <c r="D128" s="2" t="s">
        <v>155</v>
      </c>
      <c r="E128" s="2" t="s">
        <v>155</v>
      </c>
      <c r="F128" s="18"/>
      <c r="G128" s="2">
        <f t="shared" si="10"/>
        <v>31</v>
      </c>
      <c r="H128" s="19"/>
      <c r="J128" s="2">
        <v>1</v>
      </c>
      <c r="K128" s="2"/>
      <c r="L128" s="2" t="s">
        <v>372</v>
      </c>
      <c r="M128" t="s">
        <v>373</v>
      </c>
    </row>
    <row r="129" spans="1:13">
      <c r="A129" s="2">
        <f t="shared" si="9"/>
        <v>128</v>
      </c>
      <c r="B129" s="156">
        <f t="shared" si="7"/>
        <v>1900</v>
      </c>
      <c r="C129" s="129">
        <f t="shared" si="8"/>
        <v>1900</v>
      </c>
      <c r="D129" s="2" t="s">
        <v>155</v>
      </c>
      <c r="E129" s="2" t="s">
        <v>155</v>
      </c>
      <c r="F129" s="18"/>
      <c r="G129" s="2">
        <f t="shared" si="10"/>
        <v>31</v>
      </c>
      <c r="H129" s="19"/>
      <c r="J129" s="2">
        <v>1</v>
      </c>
      <c r="K129" s="2"/>
      <c r="L129" s="2" t="s">
        <v>372</v>
      </c>
      <c r="M129" t="s">
        <v>373</v>
      </c>
    </row>
    <row r="130" spans="1:13">
      <c r="A130" s="2">
        <f t="shared" si="9"/>
        <v>129</v>
      </c>
      <c r="B130" s="156">
        <f t="shared" si="7"/>
        <v>1900</v>
      </c>
      <c r="C130" s="129">
        <f t="shared" si="8"/>
        <v>1900</v>
      </c>
      <c r="D130" s="2" t="s">
        <v>155</v>
      </c>
      <c r="E130" s="2" t="s">
        <v>155</v>
      </c>
      <c r="F130" s="18"/>
      <c r="G130" s="2">
        <f t="shared" si="10"/>
        <v>31</v>
      </c>
      <c r="H130" s="19"/>
      <c r="J130" s="2">
        <v>1</v>
      </c>
      <c r="K130" s="2"/>
      <c r="L130" s="2" t="s">
        <v>372</v>
      </c>
      <c r="M130" t="s">
        <v>373</v>
      </c>
    </row>
    <row r="131" spans="1:13">
      <c r="A131" s="2">
        <f t="shared" si="9"/>
        <v>130</v>
      </c>
      <c r="B131" s="156">
        <f t="shared" ref="B131" si="11">YEAR(H131)+IF(MONTH(H131)&gt;=4,1,0)</f>
        <v>1900</v>
      </c>
      <c r="C131" s="129">
        <f t="shared" ref="C131" si="12">YEAR(H131)</f>
        <v>1900</v>
      </c>
      <c r="D131" s="2" t="s">
        <v>155</v>
      </c>
      <c r="E131" s="2" t="s">
        <v>155</v>
      </c>
      <c r="F131" s="18"/>
      <c r="G131" s="2">
        <f t="shared" si="10"/>
        <v>31</v>
      </c>
      <c r="H131" s="19"/>
      <c r="J131" s="2">
        <v>5</v>
      </c>
      <c r="K131" s="2"/>
      <c r="L131" s="2" t="s">
        <v>372</v>
      </c>
      <c r="M131" t="s">
        <v>374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'Basic Data'!$G$2:$G$17</xm:f>
          </x14:formula1>
          <xm:sqref>I2:I4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3" workbookViewId="0">
      <selection activeCell="I27" sqref="I27"/>
    </sheetView>
  </sheetViews>
  <sheetFormatPr defaultColWidth="9" defaultRowHeight="15"/>
  <cols>
    <col min="1" max="1" width="18.7109375" customWidth="1"/>
    <col min="2" max="3" width="18.28515625" style="2" customWidth="1"/>
    <col min="5" max="5" width="25.5703125" customWidth="1"/>
    <col min="7" max="7" width="19.7109375" customWidth="1"/>
    <col min="9" max="9" width="18.28515625" style="3" customWidth="1"/>
    <col min="10" max="10" width="14.7109375" style="2" customWidth="1"/>
    <col min="11" max="11" width="19.7109375" style="2" customWidth="1"/>
  </cols>
  <sheetData>
    <row r="1" spans="1:13" s="1" customFormat="1" ht="30">
      <c r="A1" s="4" t="s">
        <v>375</v>
      </c>
      <c r="B1" s="5" t="s">
        <v>376</v>
      </c>
      <c r="C1" s="6" t="s">
        <v>228</v>
      </c>
      <c r="E1" s="4" t="s">
        <v>377</v>
      </c>
      <c r="G1" s="4" t="s">
        <v>378</v>
      </c>
      <c r="I1" s="11" t="s">
        <v>379</v>
      </c>
      <c r="J1" s="5" t="s">
        <v>380</v>
      </c>
      <c r="K1" s="12" t="s">
        <v>228</v>
      </c>
      <c r="M1" s="13" t="s">
        <v>242</v>
      </c>
    </row>
    <row r="2" spans="1:13">
      <c r="A2" s="7" t="s">
        <v>132</v>
      </c>
      <c r="B2" s="8">
        <v>1987.7249999999999</v>
      </c>
      <c r="C2" s="9">
        <f>IFERROR(B2/$B$79,"")</f>
        <v>0.169739565720844</v>
      </c>
      <c r="E2" s="7" t="s">
        <v>381</v>
      </c>
      <c r="G2" s="7" t="s">
        <v>297</v>
      </c>
      <c r="I2" s="14" t="s">
        <v>296</v>
      </c>
      <c r="J2" s="15">
        <f>5*63</f>
        <v>315</v>
      </c>
      <c r="K2" s="16">
        <f>J2/36540</f>
        <v>8.6206896551724102E-3</v>
      </c>
      <c r="M2" t="s">
        <v>256</v>
      </c>
    </row>
    <row r="3" spans="1:13">
      <c r="A3" s="7" t="s">
        <v>133</v>
      </c>
      <c r="B3" s="8">
        <v>2031.2049999999999</v>
      </c>
      <c r="C3" s="9">
        <f t="shared" ref="C3:C66" si="0">IFERROR(B3/$B$79,"")</f>
        <v>0.17345249196443499</v>
      </c>
      <c r="E3" s="7" t="s">
        <v>253</v>
      </c>
      <c r="G3" s="7" t="s">
        <v>299</v>
      </c>
      <c r="I3" s="14" t="s">
        <v>306</v>
      </c>
      <c r="J3" s="15">
        <f>4*63</f>
        <v>252</v>
      </c>
      <c r="K3" s="16">
        <f t="shared" ref="K3:K23" si="1">J3/36540</f>
        <v>6.8965517241379301E-3</v>
      </c>
      <c r="M3" t="s">
        <v>249</v>
      </c>
    </row>
    <row r="4" spans="1:13">
      <c r="A4" s="7" t="s">
        <v>134</v>
      </c>
      <c r="B4" s="8">
        <v>1806.68</v>
      </c>
      <c r="C4" s="9">
        <f t="shared" si="0"/>
        <v>0.15427942929556901</v>
      </c>
      <c r="E4" s="7" t="s">
        <v>254</v>
      </c>
      <c r="G4" s="7" t="s">
        <v>304</v>
      </c>
      <c r="I4" s="14" t="s">
        <v>302</v>
      </c>
      <c r="J4" s="15">
        <f>3*63</f>
        <v>189</v>
      </c>
      <c r="K4" s="16">
        <f t="shared" si="1"/>
        <v>5.1724137931034499E-3</v>
      </c>
    </row>
    <row r="5" spans="1:13">
      <c r="A5" s="7" t="s">
        <v>135</v>
      </c>
      <c r="B5" s="8">
        <v>1844.7249999999999</v>
      </c>
      <c r="C5" s="9">
        <f t="shared" si="0"/>
        <v>0.157528239758711</v>
      </c>
      <c r="E5" s="7" t="s">
        <v>265</v>
      </c>
      <c r="G5" s="7" t="s">
        <v>295</v>
      </c>
      <c r="I5" s="14" t="s">
        <v>312</v>
      </c>
      <c r="J5" s="15">
        <f>5*42</f>
        <v>210</v>
      </c>
      <c r="K5" s="16">
        <f t="shared" si="1"/>
        <v>5.74712643678161E-3</v>
      </c>
    </row>
    <row r="6" spans="1:13">
      <c r="A6" s="7" t="s">
        <v>136</v>
      </c>
      <c r="B6" s="8">
        <v>2020.105</v>
      </c>
      <c r="C6" s="9">
        <f t="shared" si="0"/>
        <v>0.17250461980933299</v>
      </c>
      <c r="E6" s="7" t="s">
        <v>382</v>
      </c>
      <c r="G6" s="7" t="s">
        <v>383</v>
      </c>
      <c r="I6" s="14" t="s">
        <v>322</v>
      </c>
      <c r="J6" s="15">
        <f>4*42</f>
        <v>168</v>
      </c>
      <c r="K6" s="16">
        <f t="shared" si="1"/>
        <v>4.5977011494252899E-3</v>
      </c>
    </row>
    <row r="7" spans="1:13">
      <c r="A7" s="7" t="s">
        <v>137</v>
      </c>
      <c r="B7" s="8">
        <v>2020</v>
      </c>
      <c r="C7" s="9">
        <f t="shared" si="0"/>
        <v>0.17249565345110901</v>
      </c>
      <c r="E7" s="7" t="s">
        <v>384</v>
      </c>
      <c r="G7" s="7" t="s">
        <v>308</v>
      </c>
      <c r="I7" s="14" t="s">
        <v>311</v>
      </c>
      <c r="J7" s="15">
        <f>3*42</f>
        <v>126</v>
      </c>
      <c r="K7" s="16">
        <f t="shared" si="1"/>
        <v>3.4482758620689698E-3</v>
      </c>
    </row>
    <row r="8" spans="1:13">
      <c r="A8" s="7" t="s">
        <v>275</v>
      </c>
      <c r="B8" s="8">
        <v>191.1</v>
      </c>
      <c r="C8" s="9">
        <f t="shared" si="0"/>
        <v>1.6318771967577601E-2</v>
      </c>
      <c r="E8" s="7" t="s">
        <v>248</v>
      </c>
      <c r="G8" s="7" t="s">
        <v>385</v>
      </c>
      <c r="I8" s="14" t="s">
        <v>303</v>
      </c>
      <c r="J8" s="15">
        <v>63</v>
      </c>
      <c r="K8" s="16">
        <f t="shared" si="1"/>
        <v>1.7241379310344799E-3</v>
      </c>
    </row>
    <row r="9" spans="1:13">
      <c r="A9" s="7" t="s">
        <v>273</v>
      </c>
      <c r="B9" s="8">
        <v>191.1</v>
      </c>
      <c r="C9" s="9">
        <f t="shared" si="0"/>
        <v>1.6318771967577601E-2</v>
      </c>
      <c r="E9" s="7" t="s">
        <v>386</v>
      </c>
      <c r="G9" s="7" t="s">
        <v>387</v>
      </c>
      <c r="I9" s="14" t="s">
        <v>307</v>
      </c>
      <c r="J9" s="15">
        <v>42</v>
      </c>
      <c r="K9" s="16">
        <f t="shared" si="1"/>
        <v>1.1494252873563201E-3</v>
      </c>
    </row>
    <row r="10" spans="1:13">
      <c r="A10" s="7" t="s">
        <v>274</v>
      </c>
      <c r="B10" s="8">
        <v>190.965</v>
      </c>
      <c r="C10" s="9">
        <f t="shared" si="0"/>
        <v>1.63072437927183E-2</v>
      </c>
      <c r="E10" s="7" t="s">
        <v>388</v>
      </c>
      <c r="G10" s="7" t="s">
        <v>389</v>
      </c>
      <c r="I10" s="14" t="s">
        <v>390</v>
      </c>
      <c r="J10" s="15">
        <f>5*63</f>
        <v>315</v>
      </c>
      <c r="K10" s="16">
        <f t="shared" si="1"/>
        <v>8.6206896551724102E-3</v>
      </c>
    </row>
    <row r="11" spans="1:13">
      <c r="A11" s="7" t="s">
        <v>391</v>
      </c>
      <c r="B11" s="8">
        <v>188.58500000000001</v>
      </c>
      <c r="C11" s="9">
        <f t="shared" si="0"/>
        <v>1.61040063396422E-2</v>
      </c>
      <c r="E11" s="7" t="s">
        <v>392</v>
      </c>
      <c r="G11" s="7"/>
      <c r="I11" s="14" t="s">
        <v>393</v>
      </c>
      <c r="J11" s="15">
        <f>4*63</f>
        <v>252</v>
      </c>
      <c r="K11" s="16">
        <f t="shared" si="1"/>
        <v>6.8965517241379301E-3</v>
      </c>
    </row>
    <row r="12" spans="1:13">
      <c r="A12" s="7" t="s">
        <v>394</v>
      </c>
      <c r="B12" s="8">
        <v>181.67</v>
      </c>
      <c r="C12" s="9">
        <f t="shared" si="0"/>
        <v>1.5513507605179701E-2</v>
      </c>
      <c r="E12" s="7" t="s">
        <v>251</v>
      </c>
      <c r="G12" s="7"/>
      <c r="I12" s="14" t="s">
        <v>395</v>
      </c>
      <c r="J12" s="15">
        <f>3*63</f>
        <v>189</v>
      </c>
      <c r="K12" s="16">
        <f t="shared" si="1"/>
        <v>5.1724137931034499E-3</v>
      </c>
    </row>
    <row r="13" spans="1:13">
      <c r="A13" s="7" t="s">
        <v>396</v>
      </c>
      <c r="B13" s="8">
        <v>190.035</v>
      </c>
      <c r="C13" s="9">
        <f t="shared" si="0"/>
        <v>1.62278274770205E-2</v>
      </c>
      <c r="E13" s="7" t="s">
        <v>397</v>
      </c>
      <c r="G13" s="7"/>
      <c r="I13" s="14" t="s">
        <v>398</v>
      </c>
      <c r="J13" s="15">
        <f>5*42</f>
        <v>210</v>
      </c>
      <c r="K13" s="16">
        <f t="shared" si="1"/>
        <v>5.74712643678161E-3</v>
      </c>
    </row>
    <row r="14" spans="1:13">
      <c r="A14" s="7" t="s">
        <v>399</v>
      </c>
      <c r="B14" s="8">
        <v>188.17</v>
      </c>
      <c r="C14" s="9">
        <f t="shared" si="0"/>
        <v>1.6068567876185699E-2</v>
      </c>
      <c r="E14" s="7" t="s">
        <v>400</v>
      </c>
      <c r="G14" s="7"/>
      <c r="I14" s="14" t="s">
        <v>401</v>
      </c>
      <c r="J14" s="15">
        <f>4*42</f>
        <v>168</v>
      </c>
      <c r="K14" s="16">
        <f t="shared" si="1"/>
        <v>4.5977011494252899E-3</v>
      </c>
    </row>
    <row r="15" spans="1:13">
      <c r="A15" s="7" t="s">
        <v>402</v>
      </c>
      <c r="B15" s="8">
        <v>176.61</v>
      </c>
      <c r="C15" s="9">
        <f t="shared" si="0"/>
        <v>1.50814145326734E-2</v>
      </c>
      <c r="E15" s="7" t="s">
        <v>403</v>
      </c>
      <c r="G15" s="7"/>
      <c r="I15" s="14" t="s">
        <v>404</v>
      </c>
      <c r="J15" s="15">
        <f>3*42</f>
        <v>126</v>
      </c>
      <c r="K15" s="16">
        <f t="shared" si="1"/>
        <v>3.4482758620689698E-3</v>
      </c>
    </row>
    <row r="16" spans="1:13">
      <c r="A16" s="7" t="s">
        <v>405</v>
      </c>
      <c r="B16" s="8">
        <v>135.86500000000001</v>
      </c>
      <c r="C16" s="9">
        <f t="shared" si="0"/>
        <v>1.1602040572344E-2</v>
      </c>
      <c r="E16" s="7" t="s">
        <v>277</v>
      </c>
      <c r="G16" s="7"/>
      <c r="I16" s="14" t="s">
        <v>327</v>
      </c>
      <c r="J16" s="15">
        <f>5*63</f>
        <v>315</v>
      </c>
      <c r="K16" s="16">
        <f t="shared" si="1"/>
        <v>8.6206896551724102E-3</v>
      </c>
    </row>
    <row r="17" spans="1:11">
      <c r="A17" s="7" t="s">
        <v>406</v>
      </c>
      <c r="B17" s="8">
        <v>165.45500000000001</v>
      </c>
      <c r="C17" s="9">
        <f t="shared" si="0"/>
        <v>1.4128845713739201E-2</v>
      </c>
      <c r="E17" s="7" t="s">
        <v>407</v>
      </c>
      <c r="G17" s="7"/>
      <c r="I17" s="14" t="s">
        <v>408</v>
      </c>
      <c r="J17" s="15">
        <f>4*63</f>
        <v>252</v>
      </c>
      <c r="K17" s="16">
        <f t="shared" si="1"/>
        <v>6.8965517241379301E-3</v>
      </c>
    </row>
    <row r="18" spans="1:11">
      <c r="A18" s="7" t="s">
        <v>409</v>
      </c>
      <c r="B18" s="8">
        <v>188.17</v>
      </c>
      <c r="C18" s="9">
        <f t="shared" si="0"/>
        <v>1.6068567876185699E-2</v>
      </c>
      <c r="E18" s="7" t="s">
        <v>410</v>
      </c>
      <c r="I18" s="14" t="s">
        <v>325</v>
      </c>
      <c r="J18" s="15">
        <f>3*63</f>
        <v>189</v>
      </c>
      <c r="K18" s="16">
        <f t="shared" si="1"/>
        <v>5.1724137931034499E-3</v>
      </c>
    </row>
    <row r="19" spans="1:11">
      <c r="A19" s="7" t="s">
        <v>411</v>
      </c>
      <c r="B19" s="8">
        <v>185.25</v>
      </c>
      <c r="C19" s="9">
        <f t="shared" si="0"/>
        <v>1.5819217723672199E-2</v>
      </c>
      <c r="E19" s="7" t="s">
        <v>389</v>
      </c>
      <c r="I19" s="14" t="s">
        <v>324</v>
      </c>
      <c r="J19" s="15">
        <f>5*42</f>
        <v>210</v>
      </c>
      <c r="K19" s="16">
        <f t="shared" si="1"/>
        <v>5.74712643678161E-3</v>
      </c>
    </row>
    <row r="20" spans="1:11">
      <c r="A20" s="7" t="s">
        <v>412</v>
      </c>
      <c r="B20" s="8">
        <v>185.245</v>
      </c>
      <c r="C20" s="9">
        <f t="shared" si="0"/>
        <v>1.5818790754233002E-2</v>
      </c>
      <c r="E20" s="7" t="s">
        <v>413</v>
      </c>
      <c r="I20" s="14" t="s">
        <v>414</v>
      </c>
      <c r="J20" s="15">
        <f>4*42</f>
        <v>168</v>
      </c>
      <c r="K20" s="16">
        <f t="shared" si="1"/>
        <v>4.5977011494252899E-3</v>
      </c>
    </row>
    <row r="21" spans="1:11">
      <c r="A21" s="7" t="s">
        <v>415</v>
      </c>
      <c r="B21" s="8">
        <v>185.255</v>
      </c>
      <c r="C21" s="9">
        <f t="shared" si="0"/>
        <v>1.5819644693111399E-2</v>
      </c>
      <c r="E21" s="7" t="s">
        <v>416</v>
      </c>
      <c r="I21" s="14" t="s">
        <v>310</v>
      </c>
      <c r="J21" s="15">
        <f>3*42</f>
        <v>126</v>
      </c>
      <c r="K21" s="16">
        <f t="shared" si="1"/>
        <v>3.4482758620689698E-3</v>
      </c>
    </row>
    <row r="22" spans="1:11">
      <c r="A22" s="7" t="s">
        <v>262</v>
      </c>
      <c r="B22" s="8">
        <v>185.23</v>
      </c>
      <c r="C22" s="9">
        <f t="shared" si="0"/>
        <v>1.58175098459153E-2</v>
      </c>
      <c r="E22" s="7" t="s">
        <v>417</v>
      </c>
      <c r="I22" s="14" t="s">
        <v>294</v>
      </c>
      <c r="J22" s="15">
        <v>63</v>
      </c>
      <c r="K22" s="16">
        <f t="shared" si="1"/>
        <v>1.7241379310344799E-3</v>
      </c>
    </row>
    <row r="23" spans="1:11">
      <c r="A23" s="7" t="s">
        <v>418</v>
      </c>
      <c r="B23" s="8">
        <v>185.23</v>
      </c>
      <c r="C23" s="9">
        <f t="shared" si="0"/>
        <v>1.58175098459153E-2</v>
      </c>
      <c r="E23" s="7" t="s">
        <v>419</v>
      </c>
      <c r="I23" s="14" t="s">
        <v>305</v>
      </c>
      <c r="J23" s="15">
        <v>42</v>
      </c>
      <c r="K23" s="16">
        <f t="shared" si="1"/>
        <v>1.1494252873563201E-3</v>
      </c>
    </row>
    <row r="24" spans="1:11">
      <c r="A24" s="7" t="s">
        <v>420</v>
      </c>
      <c r="B24" s="8">
        <v>185.27500000000001</v>
      </c>
      <c r="C24" s="9">
        <f t="shared" si="0"/>
        <v>1.5821352570868401E-2</v>
      </c>
      <c r="E24" s="7" t="s">
        <v>421</v>
      </c>
      <c r="I24" s="14" t="s">
        <v>385</v>
      </c>
      <c r="J24" s="15"/>
      <c r="K24" s="15"/>
    </row>
    <row r="25" spans="1:11">
      <c r="A25" s="7" t="s">
        <v>422</v>
      </c>
      <c r="B25" s="8">
        <v>191.845</v>
      </c>
      <c r="C25" s="9">
        <f t="shared" si="0"/>
        <v>1.6382390414023701E-2</v>
      </c>
      <c r="E25" s="10" t="s">
        <v>255</v>
      </c>
      <c r="I25" s="14" t="s">
        <v>387</v>
      </c>
      <c r="J25" s="15"/>
      <c r="K25" s="15"/>
    </row>
    <row r="26" spans="1:11">
      <c r="A26" s="7" t="s">
        <v>423</v>
      </c>
      <c r="B26" s="8">
        <v>191.83500000000001</v>
      </c>
      <c r="C26" s="9">
        <f t="shared" si="0"/>
        <v>1.63815364751453E-2</v>
      </c>
      <c r="E26" s="10" t="s">
        <v>252</v>
      </c>
      <c r="I26" s="14" t="s">
        <v>424</v>
      </c>
      <c r="J26" s="15"/>
      <c r="K26" s="15"/>
    </row>
    <row r="27" spans="1:11">
      <c r="A27" s="7" t="s">
        <v>425</v>
      </c>
      <c r="B27" s="8">
        <v>188.16</v>
      </c>
      <c r="C27" s="9">
        <f t="shared" si="0"/>
        <v>1.6067713937307201E-2</v>
      </c>
      <c r="I27" s="14" t="s">
        <v>426</v>
      </c>
      <c r="J27" s="15"/>
      <c r="K27" s="15"/>
    </row>
    <row r="28" spans="1:11">
      <c r="A28" s="7" t="s">
        <v>270</v>
      </c>
      <c r="B28" s="8">
        <v>159.70500000000001</v>
      </c>
      <c r="C28" s="9">
        <f t="shared" si="0"/>
        <v>1.3637830858618499E-2</v>
      </c>
    </row>
    <row r="29" spans="1:11">
      <c r="A29" s="7" t="s">
        <v>409</v>
      </c>
      <c r="B29" s="8">
        <v>188.17500000000001</v>
      </c>
      <c r="C29" s="9">
        <f t="shared" si="0"/>
        <v>1.60689948456249E-2</v>
      </c>
    </row>
    <row r="30" spans="1:11">
      <c r="A30" s="7" t="s">
        <v>427</v>
      </c>
      <c r="B30" s="8">
        <v>185.23</v>
      </c>
      <c r="C30" s="9">
        <f t="shared" si="0"/>
        <v>1.58175098459153E-2</v>
      </c>
    </row>
    <row r="31" spans="1:11">
      <c r="A31" s="7" t="s">
        <v>428</v>
      </c>
      <c r="B31" s="8">
        <v>185.23</v>
      </c>
      <c r="C31" s="9">
        <f t="shared" si="0"/>
        <v>1.58175098459153E-2</v>
      </c>
    </row>
    <row r="32" spans="1:11">
      <c r="A32" s="7" t="s">
        <v>429</v>
      </c>
      <c r="B32" s="8">
        <v>185.22499999999999</v>
      </c>
      <c r="C32" s="9">
        <f t="shared" si="0"/>
        <v>1.5817082876475999E-2</v>
      </c>
    </row>
    <row r="33" spans="1:3">
      <c r="A33" s="7" t="s">
        <v>430</v>
      </c>
      <c r="B33" s="8">
        <v>185.22499999999999</v>
      </c>
      <c r="C33" s="9">
        <f t="shared" si="0"/>
        <v>1.5817082876475999E-2</v>
      </c>
    </row>
    <row r="34" spans="1:3">
      <c r="A34" s="7" t="s">
        <v>431</v>
      </c>
      <c r="B34" s="8">
        <v>185.23</v>
      </c>
      <c r="C34" s="9">
        <f t="shared" si="0"/>
        <v>1.58175098459153E-2</v>
      </c>
    </row>
    <row r="35" spans="1:3">
      <c r="A35" s="7" t="s">
        <v>432</v>
      </c>
      <c r="B35" s="8">
        <v>185.22</v>
      </c>
      <c r="C35" s="9">
        <f t="shared" si="0"/>
        <v>1.5816655907036799E-2</v>
      </c>
    </row>
    <row r="36" spans="1:3">
      <c r="A36" s="7" t="s">
        <v>433</v>
      </c>
      <c r="B36" s="8">
        <v>185.22</v>
      </c>
      <c r="C36" s="9">
        <f t="shared" si="0"/>
        <v>1.5816655907036799E-2</v>
      </c>
    </row>
    <row r="37" spans="1:3">
      <c r="A37" s="7" t="s">
        <v>434</v>
      </c>
      <c r="B37" s="8">
        <v>139.65</v>
      </c>
      <c r="C37" s="9">
        <f t="shared" si="0"/>
        <v>1.19252564378452E-2</v>
      </c>
    </row>
    <row r="38" spans="1:3">
      <c r="A38" s="7" t="s">
        <v>435</v>
      </c>
      <c r="B38" s="8">
        <v>185.22</v>
      </c>
      <c r="C38" s="9">
        <f t="shared" si="0"/>
        <v>1.5816655907036799E-2</v>
      </c>
    </row>
    <row r="39" spans="1:3">
      <c r="A39" s="7" t="s">
        <v>436</v>
      </c>
      <c r="B39" s="8">
        <v>185.23</v>
      </c>
      <c r="C39" s="9">
        <f t="shared" si="0"/>
        <v>1.58175098459153E-2</v>
      </c>
    </row>
    <row r="40" spans="1:3">
      <c r="A40" s="7" t="s">
        <v>437</v>
      </c>
      <c r="B40" s="8" t="s">
        <v>258</v>
      </c>
      <c r="C40" s="9" t="str">
        <f t="shared" si="0"/>
        <v/>
      </c>
    </row>
    <row r="41" spans="1:3">
      <c r="A41" s="7" t="s">
        <v>438</v>
      </c>
      <c r="B41" s="8">
        <v>188.17</v>
      </c>
      <c r="C41" s="9">
        <f t="shared" si="0"/>
        <v>1.6068567876185699E-2</v>
      </c>
    </row>
    <row r="42" spans="1:3">
      <c r="A42" s="7" t="s">
        <v>439</v>
      </c>
      <c r="B42" s="8">
        <v>188.19</v>
      </c>
      <c r="C42" s="9">
        <f t="shared" si="0"/>
        <v>1.6070275753942601E-2</v>
      </c>
    </row>
    <row r="43" spans="1:3">
      <c r="A43" s="7" t="s">
        <v>440</v>
      </c>
      <c r="B43" s="8">
        <v>188.16499999999999</v>
      </c>
      <c r="C43" s="9">
        <f t="shared" si="0"/>
        <v>1.6068140906746499E-2</v>
      </c>
    </row>
    <row r="44" spans="1:3">
      <c r="A44" s="7" t="s">
        <v>441</v>
      </c>
      <c r="B44" s="8">
        <v>188.17500000000001</v>
      </c>
      <c r="C44" s="9">
        <f t="shared" si="0"/>
        <v>1.60689948456249E-2</v>
      </c>
    </row>
    <row r="45" spans="1:3">
      <c r="A45" s="7" t="s">
        <v>442</v>
      </c>
      <c r="B45" s="8">
        <v>188.16499999999999</v>
      </c>
      <c r="C45" s="9">
        <f t="shared" si="0"/>
        <v>1.6068140906746499E-2</v>
      </c>
    </row>
    <row r="46" spans="1:3">
      <c r="A46" s="7" t="s">
        <v>443</v>
      </c>
      <c r="B46" s="8">
        <v>188.17</v>
      </c>
      <c r="C46" s="9">
        <f t="shared" si="0"/>
        <v>1.6068567876185699E-2</v>
      </c>
    </row>
    <row r="47" spans="1:3">
      <c r="A47" s="7" t="s">
        <v>271</v>
      </c>
      <c r="B47" s="8">
        <v>190.85499999999999</v>
      </c>
      <c r="C47" s="9">
        <f t="shared" si="0"/>
        <v>1.6297850465055101E-2</v>
      </c>
    </row>
    <row r="48" spans="1:3">
      <c r="A48" s="7" t="s">
        <v>444</v>
      </c>
      <c r="B48" s="8">
        <v>161.91999999999999</v>
      </c>
      <c r="C48" s="9">
        <f t="shared" si="0"/>
        <v>1.3826978320199799E-2</v>
      </c>
    </row>
    <row r="49" spans="1:3">
      <c r="A49" s="7" t="s">
        <v>445</v>
      </c>
      <c r="B49" s="8">
        <v>174.745</v>
      </c>
      <c r="C49" s="9">
        <f t="shared" si="0"/>
        <v>1.4922154931838599E-2</v>
      </c>
    </row>
    <row r="50" spans="1:3">
      <c r="A50" s="7" t="s">
        <v>446</v>
      </c>
      <c r="B50" s="8">
        <v>188.17</v>
      </c>
      <c r="C50" s="9">
        <f t="shared" si="0"/>
        <v>1.6068567876185699E-2</v>
      </c>
    </row>
    <row r="51" spans="1:3">
      <c r="A51" s="7" t="s">
        <v>447</v>
      </c>
      <c r="B51" s="8" t="s">
        <v>258</v>
      </c>
      <c r="C51" s="9" t="str">
        <f t="shared" si="0"/>
        <v/>
      </c>
    </row>
    <row r="52" spans="1:3">
      <c r="A52" s="7" t="s">
        <v>257</v>
      </c>
      <c r="B52" s="8">
        <v>188.16499999999999</v>
      </c>
      <c r="C52" s="9">
        <f t="shared" si="0"/>
        <v>1.6068140906746499E-2</v>
      </c>
    </row>
    <row r="53" spans="1:3">
      <c r="A53" s="7" t="s">
        <v>259</v>
      </c>
      <c r="B53" s="8">
        <v>195.09</v>
      </c>
      <c r="C53" s="9">
        <f t="shared" si="0"/>
        <v>1.66594935800875E-2</v>
      </c>
    </row>
    <row r="54" spans="1:3">
      <c r="A54" s="7" t="s">
        <v>260</v>
      </c>
      <c r="B54" s="8">
        <v>191.1</v>
      </c>
      <c r="C54" s="9">
        <f t="shared" si="0"/>
        <v>1.6318771967577601E-2</v>
      </c>
    </row>
    <row r="55" spans="1:3">
      <c r="A55" s="7" t="s">
        <v>266</v>
      </c>
      <c r="B55" s="8">
        <v>191.1</v>
      </c>
      <c r="C55" s="9">
        <f t="shared" si="0"/>
        <v>1.6318771967577601E-2</v>
      </c>
    </row>
    <row r="56" spans="1:3">
      <c r="A56" s="7" t="s">
        <v>448</v>
      </c>
      <c r="B56" s="8">
        <v>190.47499999999999</v>
      </c>
      <c r="C56" s="9">
        <f t="shared" si="0"/>
        <v>1.62654007876732E-2</v>
      </c>
    </row>
    <row r="57" spans="1:3">
      <c r="A57" s="7" t="s">
        <v>449</v>
      </c>
      <c r="B57" s="8">
        <v>190.57499999999999</v>
      </c>
      <c r="C57" s="9">
        <f t="shared" si="0"/>
        <v>1.6273940176457901E-2</v>
      </c>
    </row>
    <row r="58" spans="1:3">
      <c r="A58" s="7" t="s">
        <v>267</v>
      </c>
      <c r="B58" s="8">
        <v>191.1</v>
      </c>
      <c r="C58" s="9">
        <f t="shared" si="0"/>
        <v>1.6318771967577601E-2</v>
      </c>
    </row>
    <row r="59" spans="1:3">
      <c r="A59" s="7" t="s">
        <v>450</v>
      </c>
      <c r="B59" s="8">
        <v>191.1</v>
      </c>
      <c r="C59" s="9">
        <f t="shared" si="0"/>
        <v>1.6318771967577601E-2</v>
      </c>
    </row>
    <row r="60" spans="1:3">
      <c r="A60" s="7" t="s">
        <v>451</v>
      </c>
      <c r="B60" s="8">
        <v>191.1</v>
      </c>
      <c r="C60" s="9">
        <f t="shared" si="0"/>
        <v>1.6318771967577601E-2</v>
      </c>
    </row>
    <row r="61" spans="1:3">
      <c r="A61" s="7" t="s">
        <v>452</v>
      </c>
      <c r="B61" s="8">
        <v>191.1</v>
      </c>
      <c r="C61" s="9">
        <f t="shared" si="0"/>
        <v>1.6318771967577601E-2</v>
      </c>
    </row>
    <row r="62" spans="1:3">
      <c r="A62" s="7" t="s">
        <v>453</v>
      </c>
      <c r="B62" s="8">
        <v>109.2</v>
      </c>
      <c r="C62" s="9">
        <f t="shared" si="0"/>
        <v>9.3250125529015099E-3</v>
      </c>
    </row>
    <row r="63" spans="1:3">
      <c r="A63" s="7" t="s">
        <v>272</v>
      </c>
      <c r="B63" s="8">
        <v>191.1</v>
      </c>
      <c r="C63" s="9">
        <f t="shared" si="0"/>
        <v>1.6318771967577601E-2</v>
      </c>
    </row>
    <row r="64" spans="1:3">
      <c r="A64" s="7" t="s">
        <v>268</v>
      </c>
      <c r="B64" s="8">
        <v>191.1</v>
      </c>
      <c r="C64" s="9">
        <f t="shared" si="0"/>
        <v>1.6318771967577601E-2</v>
      </c>
    </row>
    <row r="65" spans="1:3">
      <c r="A65" s="7" t="s">
        <v>454</v>
      </c>
      <c r="B65" s="8">
        <v>190.9</v>
      </c>
      <c r="C65" s="9">
        <f t="shared" si="0"/>
        <v>1.6301693190008199E-2</v>
      </c>
    </row>
    <row r="66" spans="1:3">
      <c r="A66" s="7" t="s">
        <v>455</v>
      </c>
      <c r="B66" s="8">
        <v>191.1</v>
      </c>
      <c r="C66" s="9">
        <f t="shared" si="0"/>
        <v>1.6318771967577601E-2</v>
      </c>
    </row>
    <row r="67" spans="1:3">
      <c r="A67" s="7" t="s">
        <v>456</v>
      </c>
      <c r="B67" s="8">
        <v>191.1</v>
      </c>
      <c r="C67" s="9">
        <f t="shared" ref="C67:C105" si="2">IFERROR(B67/$B$79,"")</f>
        <v>1.6318771967577601E-2</v>
      </c>
    </row>
    <row r="68" spans="1:3">
      <c r="A68" s="7" t="s">
        <v>457</v>
      </c>
      <c r="B68" s="8">
        <v>191.1</v>
      </c>
      <c r="C68" s="9">
        <f t="shared" si="2"/>
        <v>1.6318771967577601E-2</v>
      </c>
    </row>
    <row r="69" spans="1:3">
      <c r="A69" s="7" t="s">
        <v>269</v>
      </c>
      <c r="B69" s="8">
        <v>191.1</v>
      </c>
      <c r="C69" s="9">
        <f t="shared" si="2"/>
        <v>1.6318771967577601E-2</v>
      </c>
    </row>
    <row r="70" spans="1:3">
      <c r="A70" s="7" t="s">
        <v>458</v>
      </c>
      <c r="B70" s="8">
        <v>191.1</v>
      </c>
      <c r="C70" s="9">
        <f t="shared" si="2"/>
        <v>1.6318771967577601E-2</v>
      </c>
    </row>
    <row r="71" spans="1:3">
      <c r="A71" s="7" t="s">
        <v>459</v>
      </c>
      <c r="B71" s="8">
        <v>191.1</v>
      </c>
      <c r="C71" s="9">
        <f t="shared" si="2"/>
        <v>1.6318771967577601E-2</v>
      </c>
    </row>
    <row r="72" spans="1:3">
      <c r="A72" s="7" t="s">
        <v>460</v>
      </c>
      <c r="B72" s="8">
        <v>191.1</v>
      </c>
      <c r="C72" s="9">
        <f t="shared" si="2"/>
        <v>1.6318771967577601E-2</v>
      </c>
    </row>
    <row r="73" spans="1:3">
      <c r="A73" s="7" t="s">
        <v>461</v>
      </c>
      <c r="B73" s="8">
        <v>109.2</v>
      </c>
      <c r="C73" s="9">
        <f t="shared" si="2"/>
        <v>9.3250125529015099E-3</v>
      </c>
    </row>
    <row r="74" spans="1:3">
      <c r="A74" s="7" t="s">
        <v>462</v>
      </c>
      <c r="B74" s="8">
        <v>7670.335</v>
      </c>
      <c r="C74" s="9">
        <f t="shared" si="2"/>
        <v>0.65499972673955897</v>
      </c>
    </row>
    <row r="75" spans="1:3">
      <c r="A75" s="7" t="s">
        <v>463</v>
      </c>
      <c r="B75" s="8">
        <v>4040.105</v>
      </c>
      <c r="C75" s="9">
        <f t="shared" si="2"/>
        <v>0.34500027326044103</v>
      </c>
    </row>
    <row r="76" spans="1:3">
      <c r="A76" s="7" t="s">
        <v>250</v>
      </c>
      <c r="B76" s="8">
        <f>B74</f>
        <v>7670.335</v>
      </c>
      <c r="C76" s="9">
        <f t="shared" si="2"/>
        <v>0.65499972673955897</v>
      </c>
    </row>
    <row r="77" spans="1:3">
      <c r="A77" s="7" t="s">
        <v>464</v>
      </c>
      <c r="B77" s="8">
        <f>B75</f>
        <v>4040.105</v>
      </c>
      <c r="C77" s="9">
        <f t="shared" si="2"/>
        <v>0.34500027326044103</v>
      </c>
    </row>
    <row r="78" spans="1:3">
      <c r="A78" s="7" t="s">
        <v>465</v>
      </c>
      <c r="B78" s="8">
        <f>B75</f>
        <v>4040.105</v>
      </c>
      <c r="C78" s="9">
        <f t="shared" si="2"/>
        <v>0.34500027326044103</v>
      </c>
    </row>
    <row r="79" spans="1:3">
      <c r="A79" s="7" t="s">
        <v>276</v>
      </c>
      <c r="B79" s="8">
        <f>SUM(B74:B75)</f>
        <v>11710.44</v>
      </c>
      <c r="C79" s="9">
        <f t="shared" si="2"/>
        <v>1</v>
      </c>
    </row>
    <row r="80" spans="1:3">
      <c r="A80" s="7" t="s">
        <v>334</v>
      </c>
      <c r="B80" s="8">
        <f>SUM(B75:B76)</f>
        <v>11710.44</v>
      </c>
      <c r="C80" s="9">
        <f t="shared" si="2"/>
        <v>1</v>
      </c>
    </row>
    <row r="81" spans="1:3">
      <c r="A81" s="7" t="s">
        <v>466</v>
      </c>
      <c r="B81" s="8">
        <v>7683.5649999999996</v>
      </c>
      <c r="C81" s="9">
        <f t="shared" si="2"/>
        <v>0.65612948787577596</v>
      </c>
    </row>
    <row r="82" spans="1:3">
      <c r="A82" s="7" t="s">
        <v>467</v>
      </c>
      <c r="B82" s="8">
        <v>4047.0349999999999</v>
      </c>
      <c r="C82" s="9">
        <f t="shared" si="2"/>
        <v>0.34559205290322098</v>
      </c>
    </row>
    <row r="83" spans="1:3">
      <c r="A83" s="7" t="s">
        <v>468</v>
      </c>
      <c r="B83" s="8">
        <f t="shared" ref="B83:B90" si="3">B81</f>
        <v>7683.5649999999996</v>
      </c>
      <c r="C83" s="9">
        <f t="shared" si="2"/>
        <v>0.65612948787577596</v>
      </c>
    </row>
    <row r="84" spans="1:3">
      <c r="A84" s="7" t="s">
        <v>469</v>
      </c>
      <c r="B84" s="8">
        <f t="shared" si="3"/>
        <v>4047.0349999999999</v>
      </c>
      <c r="C84" s="9">
        <f t="shared" si="2"/>
        <v>0.34559205290322098</v>
      </c>
    </row>
    <row r="85" spans="1:3">
      <c r="A85" s="7" t="s">
        <v>470</v>
      </c>
      <c r="B85" s="8">
        <f t="shared" si="3"/>
        <v>7683.5649999999996</v>
      </c>
      <c r="C85" s="9">
        <f t="shared" si="2"/>
        <v>0.65612948787577596</v>
      </c>
    </row>
    <row r="86" spans="1:3">
      <c r="A86" s="7" t="s">
        <v>471</v>
      </c>
      <c r="B86" s="8">
        <f t="shared" si="3"/>
        <v>4047.0349999999999</v>
      </c>
      <c r="C86" s="9">
        <f t="shared" si="2"/>
        <v>0.34559205290322098</v>
      </c>
    </row>
    <row r="87" spans="1:3">
      <c r="A87" s="7" t="s">
        <v>472</v>
      </c>
      <c r="B87" s="8">
        <f t="shared" si="3"/>
        <v>7683.5649999999996</v>
      </c>
      <c r="C87" s="9">
        <f t="shared" si="2"/>
        <v>0.65612948787577596</v>
      </c>
    </row>
    <row r="88" spans="1:3">
      <c r="A88" s="7" t="s">
        <v>473</v>
      </c>
      <c r="B88" s="8">
        <f t="shared" si="3"/>
        <v>4047.0349999999999</v>
      </c>
      <c r="C88" s="9">
        <f t="shared" si="2"/>
        <v>0.34559205290322098</v>
      </c>
    </row>
    <row r="89" spans="1:3">
      <c r="A89" s="7" t="s">
        <v>474</v>
      </c>
      <c r="B89" s="8">
        <f t="shared" si="3"/>
        <v>7683.5649999999996</v>
      </c>
      <c r="C89" s="9">
        <f t="shared" si="2"/>
        <v>0.65612948787577596</v>
      </c>
    </row>
    <row r="90" spans="1:3">
      <c r="A90" s="7" t="s">
        <v>475</v>
      </c>
      <c r="B90" s="8">
        <f t="shared" si="3"/>
        <v>4047.0349999999999</v>
      </c>
      <c r="C90" s="9">
        <f t="shared" si="2"/>
        <v>0.34559205290322098</v>
      </c>
    </row>
    <row r="91" spans="1:3">
      <c r="A91" s="7" t="s">
        <v>476</v>
      </c>
      <c r="B91" s="8">
        <v>0</v>
      </c>
      <c r="C91" s="9">
        <f t="shared" si="2"/>
        <v>0</v>
      </c>
    </row>
    <row r="92" spans="1:3">
      <c r="A92" s="7" t="s">
        <v>477</v>
      </c>
      <c r="B92" s="8">
        <v>0</v>
      </c>
      <c r="C92" s="9">
        <f t="shared" si="2"/>
        <v>0</v>
      </c>
    </row>
    <row r="93" spans="1:3">
      <c r="A93" s="7" t="s">
        <v>478</v>
      </c>
      <c r="B93" s="8">
        <v>0</v>
      </c>
      <c r="C93" s="9">
        <f t="shared" si="2"/>
        <v>0</v>
      </c>
    </row>
    <row r="94" spans="1:3">
      <c r="A94" s="7" t="s">
        <v>479</v>
      </c>
      <c r="B94" s="8">
        <f>B80</f>
        <v>11710.44</v>
      </c>
      <c r="C94" s="9">
        <f t="shared" si="2"/>
        <v>1</v>
      </c>
    </row>
    <row r="95" spans="1:3">
      <c r="A95" s="7" t="s">
        <v>480</v>
      </c>
      <c r="B95" s="8">
        <f>B94</f>
        <v>11710.44</v>
      </c>
      <c r="C95" s="9">
        <f t="shared" si="2"/>
        <v>1</v>
      </c>
    </row>
    <row r="96" spans="1:3">
      <c r="A96" s="7" t="s">
        <v>481</v>
      </c>
      <c r="B96" s="8">
        <v>13.02</v>
      </c>
      <c r="C96" s="9">
        <f t="shared" si="2"/>
        <v>1.1118284197690299E-3</v>
      </c>
    </row>
    <row r="97" spans="1:3">
      <c r="A97" s="7" t="s">
        <v>263</v>
      </c>
      <c r="B97" s="8">
        <v>13.23</v>
      </c>
      <c r="C97" s="9">
        <f t="shared" si="2"/>
        <v>1.1297611362169101E-3</v>
      </c>
    </row>
    <row r="98" spans="1:3">
      <c r="A98" s="7" t="s">
        <v>482</v>
      </c>
      <c r="B98" s="8">
        <v>13.44</v>
      </c>
      <c r="C98" s="9">
        <f t="shared" si="2"/>
        <v>1.1476938526648001E-3</v>
      </c>
    </row>
    <row r="99" spans="1:3">
      <c r="A99" s="7" t="s">
        <v>483</v>
      </c>
      <c r="B99" s="8">
        <v>13.65</v>
      </c>
      <c r="C99" s="9">
        <f t="shared" si="2"/>
        <v>1.16562656911269E-3</v>
      </c>
    </row>
    <row r="100" spans="1:3">
      <c r="A100" s="7" t="s">
        <v>484</v>
      </c>
      <c r="B100" s="8">
        <v>13.86</v>
      </c>
      <c r="C100" s="9">
        <f t="shared" si="2"/>
        <v>1.18355928556058E-3</v>
      </c>
    </row>
    <row r="101" spans="1:3">
      <c r="A101" s="7" t="s">
        <v>485</v>
      </c>
      <c r="B101" s="8">
        <v>6.51</v>
      </c>
      <c r="C101" s="9">
        <f t="shared" si="2"/>
        <v>5.55914209884513E-4</v>
      </c>
    </row>
    <row r="102" spans="1:3">
      <c r="A102" s="7" t="s">
        <v>486</v>
      </c>
      <c r="B102" s="8">
        <v>6.6150000000000002</v>
      </c>
      <c r="C102" s="9">
        <f t="shared" si="2"/>
        <v>5.6488056810845701E-4</v>
      </c>
    </row>
    <row r="103" spans="1:3">
      <c r="A103" s="7" t="s">
        <v>487</v>
      </c>
      <c r="B103" s="8">
        <v>6.72</v>
      </c>
      <c r="C103" s="9">
        <f t="shared" si="2"/>
        <v>5.7384692633240101E-4</v>
      </c>
    </row>
    <row r="104" spans="1:3">
      <c r="A104" s="7" t="s">
        <v>488</v>
      </c>
      <c r="B104" s="8">
        <v>6.8250000000000002</v>
      </c>
      <c r="C104" s="9">
        <f t="shared" si="2"/>
        <v>5.8281328455634502E-4</v>
      </c>
    </row>
    <row r="105" spans="1:3">
      <c r="A105" s="7" t="s">
        <v>489</v>
      </c>
      <c r="B105" s="8">
        <v>6.93</v>
      </c>
      <c r="C105" s="9">
        <f t="shared" si="2"/>
        <v>5.9177964278028805E-4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30"/>
  <sheetViews>
    <sheetView workbookViewId="0">
      <selection activeCell="H16" sqref="H16"/>
    </sheetView>
  </sheetViews>
  <sheetFormatPr defaultColWidth="9.140625" defaultRowHeight="15"/>
  <cols>
    <col min="1" max="1" width="9.140625" style="83"/>
    <col min="2" max="2" width="18.85546875" style="83" customWidth="1"/>
    <col min="3" max="3" width="10.28515625" style="83" customWidth="1"/>
    <col min="4" max="5" width="9.140625" style="83"/>
    <col min="6" max="6" width="12.7109375" style="83" customWidth="1"/>
    <col min="7" max="16384" width="9.140625" style="83"/>
  </cols>
  <sheetData>
    <row r="4" spans="2:6">
      <c r="B4" s="83" t="s">
        <v>32</v>
      </c>
    </row>
    <row r="6" spans="2:6">
      <c r="B6" s="84" t="s">
        <v>33</v>
      </c>
      <c r="C6" s="84" t="s">
        <v>34</v>
      </c>
      <c r="D6" s="84" t="s">
        <v>7</v>
      </c>
      <c r="E6" s="84" t="s">
        <v>35</v>
      </c>
      <c r="F6" s="84" t="s">
        <v>36</v>
      </c>
    </row>
    <row r="7" spans="2:6">
      <c r="B7" s="84" t="s">
        <v>37</v>
      </c>
      <c r="C7" s="85">
        <f>'Daily Dashboard'!B3</f>
        <v>45855</v>
      </c>
      <c r="D7" s="86">
        <f>'Daily Dashboard'!C9</f>
        <v>40.702654142805535</v>
      </c>
      <c r="E7" s="86">
        <f>'Daily Dashboard'!D9</f>
        <v>43.903800000019828</v>
      </c>
      <c r="F7" s="86">
        <f>D7-E7</f>
        <v>-3.2011458572142928</v>
      </c>
    </row>
    <row r="8" spans="2:6">
      <c r="B8" s="84" t="s">
        <v>38</v>
      </c>
      <c r="C8" s="85">
        <f t="shared" ref="C8:C30" si="0">$C$7</f>
        <v>45855</v>
      </c>
      <c r="D8" s="84">
        <v>0</v>
      </c>
      <c r="E8" s="84">
        <v>0</v>
      </c>
      <c r="F8" s="84">
        <v>0</v>
      </c>
    </row>
    <row r="9" spans="2:6">
      <c r="B9" s="84" t="s">
        <v>39</v>
      </c>
      <c r="C9" s="85">
        <f t="shared" si="0"/>
        <v>45855</v>
      </c>
      <c r="D9" s="84">
        <v>0</v>
      </c>
      <c r="E9" s="84">
        <v>0</v>
      </c>
      <c r="F9" s="84">
        <v>0</v>
      </c>
    </row>
    <row r="10" spans="2:6">
      <c r="B10" s="84" t="s">
        <v>40</v>
      </c>
      <c r="C10" s="85">
        <f t="shared" si="0"/>
        <v>45855</v>
      </c>
      <c r="D10" s="84">
        <v>0</v>
      </c>
      <c r="E10" s="84">
        <v>0</v>
      </c>
      <c r="F10" s="84">
        <v>0</v>
      </c>
    </row>
    <row r="11" spans="2:6">
      <c r="B11" s="84" t="s">
        <v>41</v>
      </c>
      <c r="C11" s="85">
        <f t="shared" si="0"/>
        <v>45855</v>
      </c>
      <c r="D11" s="84">
        <v>0</v>
      </c>
      <c r="E11" s="84">
        <v>0</v>
      </c>
      <c r="F11" s="84">
        <v>0</v>
      </c>
    </row>
    <row r="12" spans="2:6">
      <c r="B12" s="84" t="s">
        <v>42</v>
      </c>
      <c r="C12" s="85">
        <f t="shared" si="0"/>
        <v>45855</v>
      </c>
      <c r="D12" s="84">
        <v>0</v>
      </c>
      <c r="E12" s="84">
        <v>0</v>
      </c>
      <c r="F12" s="84">
        <v>0</v>
      </c>
    </row>
    <row r="13" spans="2:6">
      <c r="B13" s="84" t="s">
        <v>43</v>
      </c>
      <c r="C13" s="85">
        <f t="shared" si="0"/>
        <v>45855</v>
      </c>
      <c r="D13" s="84">
        <v>0</v>
      </c>
      <c r="E13" s="84">
        <v>0</v>
      </c>
      <c r="F13" s="84">
        <v>0</v>
      </c>
    </row>
    <row r="14" spans="2:6">
      <c r="B14" s="84" t="s">
        <v>44</v>
      </c>
      <c r="C14" s="85">
        <f t="shared" si="0"/>
        <v>45855</v>
      </c>
      <c r="D14" s="84">
        <v>0</v>
      </c>
      <c r="E14" s="84">
        <v>0</v>
      </c>
      <c r="F14" s="84">
        <v>0</v>
      </c>
    </row>
    <row r="15" spans="2:6">
      <c r="B15" s="84" t="s">
        <v>45</v>
      </c>
      <c r="C15" s="85">
        <f t="shared" si="0"/>
        <v>45855</v>
      </c>
      <c r="D15" s="84">
        <v>0</v>
      </c>
      <c r="E15" s="84">
        <v>0</v>
      </c>
      <c r="F15" s="84">
        <v>0</v>
      </c>
    </row>
    <row r="16" spans="2:6">
      <c r="B16" s="84" t="s">
        <v>46</v>
      </c>
      <c r="C16" s="85">
        <f t="shared" si="0"/>
        <v>45855</v>
      </c>
      <c r="D16" s="84">
        <v>0</v>
      </c>
      <c r="E16" s="84">
        <v>0</v>
      </c>
      <c r="F16" s="84">
        <v>0</v>
      </c>
    </row>
    <row r="17" spans="2:7">
      <c r="B17" s="84" t="s">
        <v>47</v>
      </c>
      <c r="C17" s="85">
        <f t="shared" si="0"/>
        <v>45855</v>
      </c>
      <c r="D17" s="84">
        <v>0</v>
      </c>
      <c r="E17" s="84">
        <v>0</v>
      </c>
      <c r="F17" s="84">
        <v>0</v>
      </c>
    </row>
    <row r="18" spans="2:7">
      <c r="B18" s="84" t="s">
        <v>48</v>
      </c>
      <c r="C18" s="85">
        <f t="shared" si="0"/>
        <v>45855</v>
      </c>
      <c r="D18" s="84">
        <v>0</v>
      </c>
      <c r="E18" s="84">
        <v>0</v>
      </c>
      <c r="F18" s="84">
        <v>0</v>
      </c>
    </row>
    <row r="19" spans="2:7">
      <c r="B19" s="84" t="s">
        <v>49</v>
      </c>
      <c r="C19" s="85">
        <f t="shared" si="0"/>
        <v>45855</v>
      </c>
      <c r="D19" s="84">
        <v>0</v>
      </c>
      <c r="E19" s="84">
        <v>0</v>
      </c>
      <c r="F19" s="84">
        <v>0</v>
      </c>
    </row>
    <row r="20" spans="2:7">
      <c r="B20" s="84" t="s">
        <v>50</v>
      </c>
      <c r="C20" s="85">
        <f t="shared" si="0"/>
        <v>45855</v>
      </c>
      <c r="D20" s="84">
        <v>0</v>
      </c>
      <c r="E20" s="84">
        <v>0</v>
      </c>
      <c r="F20" s="84">
        <v>0</v>
      </c>
    </row>
    <row r="21" spans="2:7">
      <c r="B21" s="84" t="s">
        <v>51</v>
      </c>
      <c r="C21" s="85">
        <f t="shared" si="0"/>
        <v>45855</v>
      </c>
      <c r="D21" s="84">
        <f>'Daily Dashboard'!C21*100</f>
        <v>99.5</v>
      </c>
      <c r="E21" s="84">
        <f>'Daily Dashboard'!D21*100</f>
        <v>100</v>
      </c>
      <c r="F21" s="84">
        <f>E21-D21</f>
        <v>0.5</v>
      </c>
      <c r="G21" s="87">
        <f>(F21/100)*$D$7</f>
        <v>0.20351327071402769</v>
      </c>
    </row>
    <row r="22" spans="2:7">
      <c r="B22" s="84" t="s">
        <v>52</v>
      </c>
      <c r="C22" s="85">
        <f t="shared" si="0"/>
        <v>45855</v>
      </c>
      <c r="D22" s="84">
        <f>'Daily Dashboard'!C24*100</f>
        <v>98.550000000000011</v>
      </c>
      <c r="E22" s="84">
        <f>'Daily Dashboard'!D24*100</f>
        <v>100</v>
      </c>
      <c r="F22" s="84">
        <f>E22-D22</f>
        <v>1.4499999999999886</v>
      </c>
      <c r="G22" s="87">
        <f>(F22/100)*$D$7</f>
        <v>0.59018848507067567</v>
      </c>
    </row>
    <row r="23" spans="2:7">
      <c r="B23" s="84" t="s">
        <v>53</v>
      </c>
      <c r="C23" s="85">
        <f t="shared" si="0"/>
        <v>45855</v>
      </c>
      <c r="D23" s="84">
        <f>'Daily Dashboard'!C27*100</f>
        <v>99.5</v>
      </c>
      <c r="E23" s="84">
        <f>'Daily Dashboard'!D27*100</f>
        <v>98.614942528735625</v>
      </c>
      <c r="F23" s="84">
        <f>E23-D23</f>
        <v>-0.88505747126437484</v>
      </c>
      <c r="G23" s="87">
        <f>((F23/100)*$D$7)*20%</f>
        <v>-7.2048376298759792E-2</v>
      </c>
    </row>
    <row r="24" spans="2:7">
      <c r="B24" s="84" t="s">
        <v>54</v>
      </c>
      <c r="C24" s="85">
        <f t="shared" si="0"/>
        <v>45855</v>
      </c>
      <c r="D24" s="84">
        <v>0</v>
      </c>
      <c r="E24" s="84">
        <v>0</v>
      </c>
      <c r="F24" s="84">
        <v>0</v>
      </c>
    </row>
    <row r="25" spans="2:7">
      <c r="B25" s="84" t="s">
        <v>55</v>
      </c>
      <c r="C25" s="85">
        <f t="shared" si="0"/>
        <v>45855</v>
      </c>
      <c r="D25" s="84">
        <v>0</v>
      </c>
      <c r="E25" s="84">
        <v>0</v>
      </c>
      <c r="F25" s="84">
        <v>0</v>
      </c>
    </row>
    <row r="26" spans="2:7">
      <c r="B26" s="84" t="s">
        <v>8</v>
      </c>
      <c r="C26" s="85">
        <f t="shared" si="0"/>
        <v>45855</v>
      </c>
      <c r="D26" s="88">
        <f>'Daily Dashboard'!$D$9</f>
        <v>43.903800000019828</v>
      </c>
      <c r="E26" s="88">
        <f>'Daily Dashboard'!$D$9</f>
        <v>43.903800000019828</v>
      </c>
      <c r="F26" s="88">
        <f>'Daily Dashboard'!$D$9</f>
        <v>43.903800000019828</v>
      </c>
    </row>
    <row r="27" spans="2:7">
      <c r="B27" s="84" t="s">
        <v>56</v>
      </c>
      <c r="C27" s="85">
        <f t="shared" si="0"/>
        <v>45855</v>
      </c>
      <c r="D27" s="84">
        <v>0</v>
      </c>
      <c r="E27" s="84">
        <v>0</v>
      </c>
      <c r="F27" s="84">
        <v>0</v>
      </c>
    </row>
    <row r="28" spans="2:7">
      <c r="B28" s="84" t="s">
        <v>57</v>
      </c>
      <c r="C28" s="85">
        <f t="shared" si="0"/>
        <v>45855</v>
      </c>
      <c r="D28" s="84">
        <v>0</v>
      </c>
      <c r="E28" s="84">
        <v>0</v>
      </c>
      <c r="F28" s="84">
        <v>0</v>
      </c>
    </row>
    <row r="29" spans="2:7">
      <c r="B29" s="84" t="s">
        <v>58</v>
      </c>
      <c r="C29" s="85">
        <f t="shared" si="0"/>
        <v>45855</v>
      </c>
      <c r="D29" s="84">
        <v>0</v>
      </c>
      <c r="E29" s="86">
        <f>-(F7+G30)+(SUM(G21:G23))</f>
        <v>1.5822375791427938</v>
      </c>
      <c r="F29" s="86">
        <f>E29</f>
        <v>1.5822375791427938</v>
      </c>
    </row>
    <row r="30" spans="2:7">
      <c r="B30" s="84" t="s">
        <v>59</v>
      </c>
      <c r="C30" s="85">
        <f t="shared" si="0"/>
        <v>45855</v>
      </c>
      <c r="D30" s="84">
        <f>'Daily Dashboard'!C18</f>
        <v>4.6269332580645148</v>
      </c>
      <c r="E30" s="89">
        <f>'Daily Dashboard'!D18</f>
        <v>4.8929999999999998</v>
      </c>
      <c r="F30" s="84">
        <f>E30-D30</f>
        <v>0.26606674193548496</v>
      </c>
      <c r="G30" s="83">
        <f>(F30/D30)*D7</f>
        <v>2.3405616575574424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zoomScale="89" zoomScaleNormal="89" workbookViewId="0">
      <selection activeCell="E12" sqref="E12"/>
    </sheetView>
  </sheetViews>
  <sheetFormatPr defaultColWidth="9" defaultRowHeight="15"/>
  <cols>
    <col min="1" max="1" width="11" customWidth="1"/>
    <col min="2" max="2" width="13.7109375" customWidth="1"/>
    <col min="3" max="3" width="13.5703125" customWidth="1"/>
    <col min="4" max="4" width="13.42578125" customWidth="1"/>
    <col min="5" max="5" width="13.7109375" customWidth="1"/>
    <col min="6" max="6" width="14" customWidth="1"/>
    <col min="8" max="8" width="9.5703125" customWidth="1"/>
    <col min="9" max="9" width="9.7109375" customWidth="1"/>
    <col min="10" max="10" width="10.7109375" customWidth="1"/>
    <col min="12" max="12" width="9.5703125" customWidth="1"/>
    <col min="13" max="13" width="9" customWidth="1"/>
    <col min="14" max="14" width="9.5703125" customWidth="1"/>
    <col min="16" max="16" width="9.5703125" customWidth="1"/>
  </cols>
  <sheetData>
    <row r="1" spans="1:16">
      <c r="A1" s="66" t="s">
        <v>60</v>
      </c>
      <c r="B1" s="67">
        <f>'Daily Dashboard'!$B$3</f>
        <v>45855</v>
      </c>
      <c r="C1" s="70">
        <f>'Daily Dashboard'!$B$2</f>
        <v>45839</v>
      </c>
    </row>
    <row r="2" spans="1:16" ht="21">
      <c r="A2" s="232" t="s">
        <v>61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</row>
    <row r="3" spans="1:16" ht="45">
      <c r="A3" s="76" t="s">
        <v>62</v>
      </c>
      <c r="B3" s="76" t="s">
        <v>63</v>
      </c>
      <c r="C3" s="69" t="s">
        <v>64</v>
      </c>
      <c r="D3" s="69" t="s">
        <v>65</v>
      </c>
      <c r="E3" s="69" t="s">
        <v>66</v>
      </c>
      <c r="F3" s="69" t="s">
        <v>67</v>
      </c>
      <c r="G3" s="69" t="s">
        <v>68</v>
      </c>
      <c r="H3" s="69" t="s">
        <v>69</v>
      </c>
      <c r="I3" s="69" t="s">
        <v>70</v>
      </c>
      <c r="J3" s="69" t="s">
        <v>71</v>
      </c>
      <c r="K3" s="69" t="s">
        <v>72</v>
      </c>
      <c r="L3" s="69" t="s">
        <v>73</v>
      </c>
      <c r="M3" s="69" t="s">
        <v>74</v>
      </c>
      <c r="N3" s="69" t="s">
        <v>75</v>
      </c>
      <c r="O3" s="69" t="s">
        <v>76</v>
      </c>
      <c r="P3" s="69" t="s">
        <v>77</v>
      </c>
    </row>
    <row r="4" spans="1:16" s="1" customFormat="1" ht="18.600000000000001" customHeight="1">
      <c r="A4" s="77">
        <f>YEAR($B$1)+IF(MONTH($B$1)&gt;=4,1,0)</f>
        <v>2026</v>
      </c>
      <c r="B4" s="78">
        <f>($B$1-'Daily Dashboard'!$B$5)+1</f>
        <v>108</v>
      </c>
      <c r="C4" s="78">
        <f>_xlfn.XLOOKUP($C$1,'Modelling New'!$D:$D,'Modelling New'!S:S)</f>
        <v>712.69087138709676</v>
      </c>
      <c r="D4" s="79">
        <f>IFERROR(SUMIFS('Daily KPI'!$I:$I,'Daily KPI'!$B:$B,$A4,'Daily KPI'!$A:$A,"&lt;="&amp;$B$1),"")</f>
        <v>622.05349999999999</v>
      </c>
      <c r="E4" s="78">
        <f>_xlfn.XLOOKUP($C$1,'Modelling New'!$D:$D,'Modelling New'!V:V)</f>
        <v>6049.706025312782</v>
      </c>
      <c r="F4" s="79">
        <f>SUMIFS('Daily KPI'!$AA:$AA,'Daily KPI'!$B:$B,'Annual KPI'!A4,'Daily KPI'!$A:$A,"&lt;="&amp;'Annual KPI'!$B$1)/1000</f>
        <v>5007.0262999999968</v>
      </c>
      <c r="G4" s="80">
        <f>IFERROR(E4/C4/'Modelling New'!$AQ$1,"")</f>
        <v>0.72427828341126443</v>
      </c>
      <c r="H4" s="81">
        <f>IFERROR(F4/D4/'Modelling New'!$AQ$1,"")</f>
        <v>0.68679088544865219</v>
      </c>
      <c r="I4" s="80">
        <f>IFERROR(E4/(B4*24*'Modelling New'!$AQ$1),"")</f>
        <v>0.19914603430984751</v>
      </c>
      <c r="J4" s="81">
        <f>IFERROR(F4/(B4*24*'Modelling New'!$AQ$1),"")</f>
        <v>0.16482279091876278</v>
      </c>
      <c r="K4" s="73">
        <f>_xlfn.XLOOKUP($C$1,'Modelling New'!$D:$D,'Modelling New'!AF:AF)</f>
        <v>0.98550000000000004</v>
      </c>
      <c r="L4" s="82">
        <f>IFERROR(AVERAGEIFS('Daily KPI'!$R:$R,'Daily KPI'!$B:$B,A4,'Daily KPI'!$A:$A,"&lt;="&amp;$B$1),"")</f>
        <v>0.95763410995017872</v>
      </c>
      <c r="M4" s="73">
        <f>_xlfn.XLOOKUP($C$1,'Modelling New'!$D:$D,'Modelling New'!AE:AE)</f>
        <v>0.995</v>
      </c>
      <c r="N4" s="82">
        <f>IFERROR(AVERAGEIFS('Daily KPI'!$O:$O,'Daily KPI'!$B:$B,A4,'Daily KPI'!$A:$A,"&lt;="&amp;$B$1),"")</f>
        <v>0.98849414773680833</v>
      </c>
      <c r="O4" s="73">
        <f>_xlfn.XLOOKUP($C$1,'Modelling New'!$D:$D,'Modelling New'!AG:AG)</f>
        <v>0.995</v>
      </c>
      <c r="P4" s="82">
        <f>IFERROR(AVERAGEIFS('Daily KPI'!$T:$T,'Daily KPI'!$B:$B,A4,'Daily KPI'!$A:$A,"&lt;="&amp;$B$1),"")</f>
        <v>0.97966642824369243</v>
      </c>
    </row>
    <row r="8" spans="1:16" ht="21">
      <c r="A8" s="232" t="s">
        <v>78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</row>
    <row r="9" spans="1:16" ht="45">
      <c r="A9" s="76" t="s">
        <v>62</v>
      </c>
      <c r="B9" s="68" t="s">
        <v>63</v>
      </c>
      <c r="C9" s="69" t="s">
        <v>64</v>
      </c>
      <c r="D9" s="69" t="s">
        <v>65</v>
      </c>
      <c r="E9" s="69" t="s">
        <v>66</v>
      </c>
      <c r="F9" s="69" t="s">
        <v>67</v>
      </c>
      <c r="G9" s="69" t="s">
        <v>68</v>
      </c>
      <c r="H9" s="69" t="s">
        <v>69</v>
      </c>
      <c r="I9" s="69" t="s">
        <v>70</v>
      </c>
      <c r="J9" s="69" t="s">
        <v>71</v>
      </c>
      <c r="K9" s="69" t="s">
        <v>72</v>
      </c>
      <c r="L9" s="69" t="s">
        <v>73</v>
      </c>
      <c r="M9" s="69" t="s">
        <v>74</v>
      </c>
      <c r="N9" s="69" t="s">
        <v>75</v>
      </c>
      <c r="O9" s="69" t="s">
        <v>76</v>
      </c>
      <c r="P9" s="69" t="s">
        <v>77</v>
      </c>
    </row>
    <row r="10" spans="1:16">
      <c r="A10" s="70">
        <v>45748</v>
      </c>
      <c r="B10" s="71">
        <f t="shared" ref="B10:B21" si="0">DAY(EOMONTH(A10,0))</f>
        <v>30</v>
      </c>
      <c r="C10" s="78">
        <f>_xlfn.XLOOKUP($A10,'Modelling New'!$D:$D,'Modelling New'!S:S)</f>
        <v>228.56010069999994</v>
      </c>
      <c r="D10" s="79">
        <f>SUMIF('Daily KPI'!$D:$D,$A10,'Daily KPI'!I:I)</f>
        <v>203.58849999999998</v>
      </c>
      <c r="E10" s="78">
        <f>_xlfn.XLOOKUP($A10,'Modelling New'!$D:$D,'Modelling New'!V:V)</f>
        <v>1903.6714096083219</v>
      </c>
      <c r="F10" s="79">
        <f>SUMIF('Daily KPI'!$D:$D,$A10,'Daily KPI'!AA:AA)/1000</f>
        <v>1666.8494999999978</v>
      </c>
      <c r="G10" s="73">
        <f>IFERROR(E10/C10/'Modelling New'!$AQ$1,"")</f>
        <v>0.71066341265888178</v>
      </c>
      <c r="H10" s="74">
        <f>IFERROR(F10/D10/'Modelling New'!$AQ$1,"")</f>
        <v>0.69857901396010857</v>
      </c>
      <c r="I10" s="73">
        <f>IFERROR(E10/(B10*24*'Modelling New'!$AQ$1),"")</f>
        <v>0.22559625161266614</v>
      </c>
      <c r="J10" s="74">
        <f>IFERROR(F10/(B10*24*'Modelling New'!$AQ$1),"")</f>
        <v>0.19753146331057994</v>
      </c>
      <c r="K10" s="73">
        <f>_xlfn.XLOOKUP($A10,'Modelling New'!$D:$D,'Modelling New'!AF:AF)</f>
        <v>0.98550000000000004</v>
      </c>
      <c r="L10" s="74">
        <f>IFERROR(AVERAGEIF('Daily KPI'!$D:$D,$A10,'Daily KPI'!R:R),"")</f>
        <v>0.98178245936257902</v>
      </c>
      <c r="M10" s="73">
        <f>_xlfn.XLOOKUP($A10,'Modelling New'!$D:$D,'Modelling New'!AE:AE)</f>
        <v>0.995</v>
      </c>
      <c r="N10" s="74">
        <f>IFERROR(AVERAGEIF('Daily KPI'!$D:$D,$A10,'Daily KPI'!O:O),"")</f>
        <v>1</v>
      </c>
      <c r="O10" s="73">
        <f>_xlfn.XLOOKUP($A10,'Modelling New'!$D:$D,'Modelling New'!AG:AG)</f>
        <v>0.995</v>
      </c>
      <c r="P10" s="74">
        <f>IFERROR(AVERAGEIF('Daily KPI'!$D:$D,$A10,'Daily KPI'!T:T),"")</f>
        <v>0.96398343268188769</v>
      </c>
    </row>
    <row r="11" spans="1:16">
      <c r="A11" s="70">
        <v>45778</v>
      </c>
      <c r="B11" s="71">
        <f t="shared" si="0"/>
        <v>31</v>
      </c>
      <c r="C11" s="78">
        <f>_xlfn.XLOOKUP($A11,'Modelling New'!$D:$D,'Modelling New'!S:S)</f>
        <v>465.51486239999997</v>
      </c>
      <c r="D11" s="79">
        <f>SUMIF('Daily KPI'!$D:$D,$A11,'Daily KPI'!I:I)</f>
        <v>185.28549999999998</v>
      </c>
      <c r="E11" s="78">
        <f>_xlfn.XLOOKUP($A11,'Modelling New'!$D:$D,'Modelling New'!V:V)</f>
        <v>3935.3547392788696</v>
      </c>
      <c r="F11" s="79">
        <f>SUMIF('Daily KPI'!$D:$D,$A11,'Daily KPI'!AA:AA)/1000</f>
        <v>1419.1660000000011</v>
      </c>
      <c r="G11" s="73">
        <f>IFERROR(E11/C11/'Modelling New'!$AQ$1,"")</f>
        <v>0.72131127966083108</v>
      </c>
      <c r="H11" s="74">
        <f>IFERROR(F11/D11/'Modelling New'!$AQ$1,"")</f>
        <v>0.65352792931318304</v>
      </c>
      <c r="I11" s="73">
        <f>IFERROR(E11/(B11*24*'Modelling New'!$AQ$1),"")</f>
        <v>0.45131871115440814</v>
      </c>
      <c r="J11" s="74">
        <f>IFERROR(F11/(B11*24*'Modelling New'!$AQ$1),"")</f>
        <v>0.16275436713273894</v>
      </c>
      <c r="K11" s="73">
        <f>_xlfn.XLOOKUP($A11,'Modelling New'!$D:$D,'Modelling New'!AF:AF)</f>
        <v>0.98550000000000004</v>
      </c>
      <c r="L11" s="74">
        <f>IFERROR(AVERAGEIF('Daily KPI'!$D:$D,$A11,'Daily KPI'!R:R),"")</f>
        <v>0.93988834222764783</v>
      </c>
      <c r="M11" s="73">
        <f>_xlfn.XLOOKUP($A11,'Modelling New'!$D:$D,'Modelling New'!AE:AE)</f>
        <v>0.995</v>
      </c>
      <c r="N11" s="74">
        <f>IFERROR(AVERAGEIF('Daily KPI'!$D:$D,$A11,'Daily KPI'!O:O),"")</f>
        <v>0.96055612044413863</v>
      </c>
      <c r="O11" s="73">
        <f>_xlfn.XLOOKUP($A11,'Modelling New'!$D:$D,'Modelling New'!AG:AG)</f>
        <v>0.995</v>
      </c>
      <c r="P11" s="74">
        <f>IFERROR(AVERAGEIF('Daily KPI'!$D:$D,$A11,'Daily KPI'!T:T),"")</f>
        <v>0.98434883603835166</v>
      </c>
    </row>
    <row r="12" spans="1:16">
      <c r="A12" s="70">
        <v>45809</v>
      </c>
      <c r="B12" s="71">
        <f t="shared" si="0"/>
        <v>30</v>
      </c>
      <c r="C12" s="78">
        <f>_xlfn.XLOOKUP($A12,'Modelling New'!$D:$D,'Modelling New'!S:S)</f>
        <v>634.033006</v>
      </c>
      <c r="D12" s="79">
        <f>SUMIF('Daily KPI'!$D:$D,$A12,'Daily KPI'!I:I)</f>
        <v>153.45850000000004</v>
      </c>
      <c r="E12" s="78">
        <f>_xlfn.XLOOKUP($A12,'Modelling New'!$D:$D,'Modelling New'!V:V)</f>
        <v>5357.7609048850882</v>
      </c>
      <c r="F12" s="79">
        <f>SUMIF('Daily KPI'!$D:$D,$A12,'Daily KPI'!AA:AA)/1000</f>
        <v>1220.3673999999833</v>
      </c>
      <c r="G12" s="73">
        <f>IFERROR(E12/C12/'Modelling New'!$AQ$1,"")</f>
        <v>0.72101425408728037</v>
      </c>
      <c r="H12" s="74">
        <f>IFERROR(F12/D12/'Modelling New'!$AQ$1,"")</f>
        <v>0.67853466092003489</v>
      </c>
      <c r="I12" s="73">
        <f>IFERROR(E12/(B12*24*'Modelling New'!$AQ$1),"")</f>
        <v>0.63492615956639742</v>
      </c>
      <c r="J12" s="74">
        <f>IFERROR(F12/(B12*24*'Modelling New'!$AQ$1),"")</f>
        <v>0.14462071008721836</v>
      </c>
      <c r="K12" s="73">
        <f>_xlfn.XLOOKUP($A12,'Modelling New'!$D:$D,'Modelling New'!AF:AF)</f>
        <v>0.98550000000000004</v>
      </c>
      <c r="L12" s="74">
        <f>IFERROR(AVERAGEIF('Daily KPI'!$D:$D,$A12,'Daily KPI'!R:R),"")</f>
        <v>0.9322669890153471</v>
      </c>
      <c r="M12" s="73">
        <f>_xlfn.XLOOKUP($A12,'Modelling New'!$D:$D,'Modelling New'!AE:AE)</f>
        <v>0.995</v>
      </c>
      <c r="N12" s="74">
        <f>IFERROR(AVERAGEIF('Daily KPI'!$D:$D,$A12,'Daily KPI'!O:O),"")</f>
        <v>0.99938484956351781</v>
      </c>
      <c r="O12" s="73">
        <f>_xlfn.XLOOKUP($A12,'Modelling New'!$D:$D,'Modelling New'!AG:AG)</f>
        <v>0.995</v>
      </c>
      <c r="P12" s="74">
        <f>IFERROR(AVERAGEIF('Daily KPI'!$D:$D,$A12,'Daily KPI'!T:T),"")</f>
        <v>0.98599422648005752</v>
      </c>
    </row>
    <row r="13" spans="1:16">
      <c r="A13" s="70">
        <v>45839</v>
      </c>
      <c r="B13" s="71">
        <f t="shared" si="0"/>
        <v>31</v>
      </c>
      <c r="C13" s="78">
        <f>_xlfn.XLOOKUP($A13,'Modelling New'!$D:$D,'Modelling New'!S:S)</f>
        <v>712.69087138709676</v>
      </c>
      <c r="D13" s="79">
        <f>SUMIF('Daily KPI'!$D:$D,$A13,'Daily KPI'!I:I)</f>
        <v>79.721000000000018</v>
      </c>
      <c r="E13" s="78">
        <f>_xlfn.XLOOKUP($A13,'Modelling New'!$D:$D,'Modelling New'!V:V)</f>
        <v>6049.706025312782</v>
      </c>
      <c r="F13" s="79">
        <f>SUMIF('Daily KPI'!$D:$D,$A13,'Daily KPI'!AA:AA)/1000</f>
        <v>700.64340000001846</v>
      </c>
      <c r="G13" s="73">
        <f>IFERROR(E13/C13/'Modelling New'!$AQ$1,"")</f>
        <v>0.72427828341126443</v>
      </c>
      <c r="H13" s="74">
        <f>IFERROR(F13/D13/'Modelling New'!$AQ$1,"")</f>
        <v>0.74988848695150512</v>
      </c>
      <c r="I13" s="73">
        <f>IFERROR(E13/(B13*24*'Modelling New'!$AQ$1),"")</f>
        <v>0.69379908727301709</v>
      </c>
      <c r="J13" s="74">
        <f>IFERROR(F13/(B13*24*'Modelling New'!$AQ$1),"")</f>
        <v>8.0351962457339998E-2</v>
      </c>
      <c r="K13" s="73">
        <f>_xlfn.XLOOKUP($A13,'Modelling New'!$D:$D,'Modelling New'!AF:AF)</f>
        <v>0.98550000000000004</v>
      </c>
      <c r="L13" s="74">
        <f>IFERROR(AVERAGEIF('Daily KPI'!$D:$D,$A13,'Daily KPI'!R:R),"")</f>
        <v>0.99214481260143761</v>
      </c>
      <c r="M13" s="73">
        <f>_xlfn.XLOOKUP($A13,'Modelling New'!$D:$D,'Modelling New'!AE:AE)</f>
        <v>0.995</v>
      </c>
      <c r="N13" s="74">
        <f>IFERROR(AVERAGEIF('Daily KPI'!$D:$D,$A13,'Daily KPI'!O:O),"")</f>
        <v>0.99991663146479315</v>
      </c>
      <c r="O13" s="73">
        <f>_xlfn.XLOOKUP($A13,'Modelling New'!$D:$D,'Modelling New'!AG:AG)</f>
        <v>0.995</v>
      </c>
      <c r="P13" s="74">
        <f>IFERROR(AVERAGEIF('Daily KPI'!$D:$D,$A13,'Daily KPI'!T:T),"")</f>
        <v>0.98763709166303282</v>
      </c>
    </row>
    <row r="14" spans="1:16">
      <c r="A14" s="70">
        <v>45870</v>
      </c>
      <c r="B14" s="71">
        <f t="shared" si="0"/>
        <v>31</v>
      </c>
      <c r="C14" s="78">
        <f>_xlfn.XLOOKUP($A14,'Modelling New'!$D:$D,'Modelling New'!S:S)</f>
        <v>712.69087138709676</v>
      </c>
      <c r="D14" s="79">
        <f>SUMIF('Daily KPI'!$D:$D,$A14,'Daily KPI'!I:I)</f>
        <v>0</v>
      </c>
      <c r="E14" s="78">
        <f>_xlfn.XLOOKUP($A14,'Modelling New'!$D:$D,'Modelling New'!V:V)</f>
        <v>6049.706025312782</v>
      </c>
      <c r="F14" s="79">
        <f>SUMIF('Daily KPI'!$D:$D,$A14,'Daily KPI'!AA:AA)/1000</f>
        <v>0</v>
      </c>
      <c r="G14" s="73">
        <f>IFERROR(E14/C14/'Modelling New'!$AQ$1,"")</f>
        <v>0.72427828341126443</v>
      </c>
      <c r="H14" s="74" t="str">
        <f>IFERROR(F14/D14/'Modelling New'!$AQ$1,"")</f>
        <v/>
      </c>
      <c r="I14" s="73">
        <f>IFERROR(E14/(B14*24*'Modelling New'!$AQ$1),"")</f>
        <v>0.69379908727301709</v>
      </c>
      <c r="J14" s="74">
        <f>IFERROR(F14/(B14*24*'Modelling New'!$AQ$1),"")</f>
        <v>0</v>
      </c>
      <c r="K14" s="73">
        <f>_xlfn.XLOOKUP($A14,'Modelling New'!$D:$D,'Modelling New'!AF:AF)</f>
        <v>0.98550000000000004</v>
      </c>
      <c r="L14" s="74" t="str">
        <f>IFERROR(AVERAGEIF('Daily KPI'!$D:$D,$A14,'Daily KPI'!R:R),"")</f>
        <v/>
      </c>
      <c r="M14" s="73">
        <f>_xlfn.XLOOKUP($A14,'Modelling New'!$D:$D,'Modelling New'!AE:AE)</f>
        <v>0.995</v>
      </c>
      <c r="N14" s="74" t="str">
        <f>IFERROR(AVERAGEIF('Daily KPI'!$D:$D,$A14,'Daily KPI'!O:O),"")</f>
        <v/>
      </c>
      <c r="O14" s="73">
        <f>_xlfn.XLOOKUP($A14,'Modelling New'!$D:$D,'Modelling New'!AG:AG)</f>
        <v>0.995</v>
      </c>
      <c r="P14" s="74" t="str">
        <f>IFERROR(AVERAGEIF('Daily KPI'!$D:$D,$A14,'Daily KPI'!T:T),"")</f>
        <v/>
      </c>
    </row>
    <row r="15" spans="1:16">
      <c r="A15" s="70">
        <v>45901</v>
      </c>
      <c r="B15" s="71">
        <f t="shared" si="0"/>
        <v>30</v>
      </c>
      <c r="C15" s="78">
        <f>_xlfn.XLOOKUP($A15,'Modelling New'!$D:$D,'Modelling New'!S:S)</f>
        <v>712.69087138709676</v>
      </c>
      <c r="D15" s="79">
        <f>SUMIF('Daily KPI'!$D:$D,$A15,'Daily KPI'!I:I)</f>
        <v>0</v>
      </c>
      <c r="E15" s="78">
        <f>_xlfn.XLOOKUP($A15,'Modelling New'!$D:$D,'Modelling New'!V:V)</f>
        <v>6049.706025312782</v>
      </c>
      <c r="F15" s="79">
        <f>SUMIF('Daily KPI'!$D:$D,$A15,'Daily KPI'!AA:AA)/1000</f>
        <v>0</v>
      </c>
      <c r="G15" s="73">
        <f>IFERROR(E15/C15/'Modelling New'!$AQ$1,"")</f>
        <v>0.72427828341126443</v>
      </c>
      <c r="H15" s="74" t="str">
        <f>IFERROR(F15/D15/'Modelling New'!$AQ$1,"")</f>
        <v/>
      </c>
      <c r="I15" s="73">
        <f>IFERROR(E15/(B15*24*'Modelling New'!$AQ$1),"")</f>
        <v>0.71692572351545103</v>
      </c>
      <c r="J15" s="74">
        <f>IFERROR(F15/(B15*24*'Modelling New'!$AQ$1),"")</f>
        <v>0</v>
      </c>
      <c r="K15" s="73">
        <f>_xlfn.XLOOKUP($A15,'Modelling New'!$D:$D,'Modelling New'!AF:AF)</f>
        <v>0.98550000000000004</v>
      </c>
      <c r="L15" s="74" t="str">
        <f>IFERROR(AVERAGEIF('Daily KPI'!$D:$D,$A15,'Daily KPI'!R:R),"")</f>
        <v/>
      </c>
      <c r="M15" s="73">
        <f>_xlfn.XLOOKUP($A15,'Modelling New'!$D:$D,'Modelling New'!AE:AE)</f>
        <v>0.995</v>
      </c>
      <c r="N15" s="74" t="str">
        <f>IFERROR(AVERAGEIF('Daily KPI'!$D:$D,$A15,'Daily KPI'!O:O),"")</f>
        <v/>
      </c>
      <c r="O15" s="73">
        <f>_xlfn.XLOOKUP($A15,'Modelling New'!$D:$D,'Modelling New'!AG:AG)</f>
        <v>0.995</v>
      </c>
      <c r="P15" s="74" t="str">
        <f>IFERROR(AVERAGEIF('Daily KPI'!$D:$D,$A15,'Daily KPI'!T:T),"")</f>
        <v/>
      </c>
    </row>
    <row r="16" spans="1:16">
      <c r="A16" s="70">
        <v>45931</v>
      </c>
      <c r="B16" s="71">
        <f t="shared" si="0"/>
        <v>31</v>
      </c>
      <c r="C16" s="78">
        <f>_xlfn.XLOOKUP($A16,'Modelling New'!$D:$D,'Modelling New'!S:S)</f>
        <v>712.69087138709676</v>
      </c>
      <c r="D16" s="79">
        <f>SUMIF('Daily KPI'!$D:$D,$A16,'Daily KPI'!I:I)</f>
        <v>0</v>
      </c>
      <c r="E16" s="78">
        <f>_xlfn.XLOOKUP($A16,'Modelling New'!$D:$D,'Modelling New'!V:V)</f>
        <v>6049.706025312782</v>
      </c>
      <c r="F16" s="79">
        <f>SUMIF('Daily KPI'!$D:$D,$A16,'Daily KPI'!AA:AA)/1000</f>
        <v>0</v>
      </c>
      <c r="G16" s="73">
        <f>IFERROR(E16/C16/'Modelling New'!$AQ$1,"")</f>
        <v>0.72427828341126443</v>
      </c>
      <c r="H16" s="74" t="str">
        <f>IFERROR(F16/D16/'Modelling New'!$AQ$1,"")</f>
        <v/>
      </c>
      <c r="I16" s="73">
        <f>IFERROR(E16/(B16*24*'Modelling New'!$AQ$1),"")</f>
        <v>0.69379908727301709</v>
      </c>
      <c r="J16" s="74">
        <f>IFERROR(F16/(B16*24*'Modelling New'!$AQ$1),"")</f>
        <v>0</v>
      </c>
      <c r="K16" s="73">
        <f>_xlfn.XLOOKUP($A16,'Modelling New'!$D:$D,'Modelling New'!AF:AF)</f>
        <v>0.98550000000000004</v>
      </c>
      <c r="L16" s="74" t="str">
        <f>IFERROR(AVERAGEIF('Daily KPI'!$D:$D,$A16,'Daily KPI'!R:R),"")</f>
        <v/>
      </c>
      <c r="M16" s="73">
        <f>_xlfn.XLOOKUP($A16,'Modelling New'!$D:$D,'Modelling New'!AE:AE)</f>
        <v>0.995</v>
      </c>
      <c r="N16" s="74" t="str">
        <f>IFERROR(AVERAGEIF('Daily KPI'!$D:$D,$A16,'Daily KPI'!O:O),"")</f>
        <v/>
      </c>
      <c r="O16" s="73">
        <f>_xlfn.XLOOKUP($A16,'Modelling New'!$D:$D,'Modelling New'!AG:AG)</f>
        <v>0.995</v>
      </c>
      <c r="P16" s="74" t="str">
        <f>IFERROR(AVERAGEIF('Daily KPI'!$D:$D,$A16,'Daily KPI'!T:T),"")</f>
        <v/>
      </c>
    </row>
    <row r="17" spans="1:16">
      <c r="A17" s="70">
        <v>45962</v>
      </c>
      <c r="B17" s="71">
        <f t="shared" si="0"/>
        <v>30</v>
      </c>
      <c r="C17" s="78">
        <f>_xlfn.XLOOKUP($A17,'Modelling New'!$D:$D,'Modelling New'!S:S)</f>
        <v>712.69087138709676</v>
      </c>
      <c r="D17" s="79">
        <f>SUMIF('Daily KPI'!$D:$D,$A17,'Daily KPI'!I:I)</f>
        <v>0</v>
      </c>
      <c r="E17" s="78">
        <f>_xlfn.XLOOKUP($A17,'Modelling New'!$D:$D,'Modelling New'!V:V)</f>
        <v>6049.706025312782</v>
      </c>
      <c r="F17" s="79">
        <f>SUMIF('Daily KPI'!$D:$D,$A17,'Daily KPI'!AA:AA)/1000</f>
        <v>0</v>
      </c>
      <c r="G17" s="73">
        <f>IFERROR(E17/C17/'Modelling New'!$AQ$1,"")</f>
        <v>0.72427828341126443</v>
      </c>
      <c r="H17" s="74" t="str">
        <f>IFERROR(F17/D17/'Modelling New'!$AQ$1,"")</f>
        <v/>
      </c>
      <c r="I17" s="73">
        <f>IFERROR(E17/(B17*24*'Modelling New'!$AQ$1),"")</f>
        <v>0.71692572351545103</v>
      </c>
      <c r="J17" s="74">
        <f>IFERROR(F17/(B17*24*'Modelling New'!$AQ$1),"")</f>
        <v>0</v>
      </c>
      <c r="K17" s="73">
        <f>_xlfn.XLOOKUP($A17,'Modelling New'!$D:$D,'Modelling New'!AF:AF)</f>
        <v>0.98550000000000004</v>
      </c>
      <c r="L17" s="74" t="str">
        <f>IFERROR(AVERAGEIF('Daily KPI'!$D:$D,$A17,'Daily KPI'!R:R),"")</f>
        <v/>
      </c>
      <c r="M17" s="73">
        <f>_xlfn.XLOOKUP($A17,'Modelling New'!$D:$D,'Modelling New'!AE:AE)</f>
        <v>0.995</v>
      </c>
      <c r="N17" s="74" t="str">
        <f>IFERROR(AVERAGEIF('Daily KPI'!$D:$D,$A17,'Daily KPI'!O:O),"")</f>
        <v/>
      </c>
      <c r="O17" s="73">
        <f>_xlfn.XLOOKUP($A17,'Modelling New'!$D:$D,'Modelling New'!AG:AG)</f>
        <v>0.995</v>
      </c>
      <c r="P17" s="74" t="str">
        <f>IFERROR(AVERAGEIF('Daily KPI'!$D:$D,$A17,'Daily KPI'!T:T),"")</f>
        <v/>
      </c>
    </row>
    <row r="18" spans="1:16">
      <c r="A18" s="70">
        <v>45992</v>
      </c>
      <c r="B18" s="71">
        <f t="shared" si="0"/>
        <v>31</v>
      </c>
      <c r="C18" s="78">
        <f>_xlfn.XLOOKUP($A18,'Modelling New'!$D:$D,'Modelling New'!S:S)</f>
        <v>712.69087138709676</v>
      </c>
      <c r="D18" s="79">
        <f>SUMIF('Daily KPI'!$D:$D,$A18,'Daily KPI'!I:I)</f>
        <v>0</v>
      </c>
      <c r="E18" s="78">
        <f>_xlfn.XLOOKUP($A18,'Modelling New'!$D:$D,'Modelling New'!V:V)</f>
        <v>6049.706025312782</v>
      </c>
      <c r="F18" s="79">
        <f>SUMIF('Daily KPI'!$D:$D,$A18,'Daily KPI'!AA:AA)/1000</f>
        <v>0</v>
      </c>
      <c r="G18" s="73">
        <f>IFERROR(E18/C18/'Modelling New'!$AQ$1,"")</f>
        <v>0.72427828341126443</v>
      </c>
      <c r="H18" s="74" t="str">
        <f>IFERROR(F18/D18/'Modelling New'!$AQ$1,"")</f>
        <v/>
      </c>
      <c r="I18" s="73">
        <f>IFERROR(E18/(B18*24*'Modelling New'!$AQ$1),"")</f>
        <v>0.69379908727301709</v>
      </c>
      <c r="J18" s="74">
        <f>IFERROR(F18/(B18*24*'Modelling New'!$AQ$1),"")</f>
        <v>0</v>
      </c>
      <c r="K18" s="73">
        <f>_xlfn.XLOOKUP($A18,'Modelling New'!$D:$D,'Modelling New'!AF:AF)</f>
        <v>0.98550000000000004</v>
      </c>
      <c r="L18" s="74" t="str">
        <f>IFERROR(AVERAGEIF('Daily KPI'!$D:$D,$A18,'Daily KPI'!R:R),"")</f>
        <v/>
      </c>
      <c r="M18" s="73">
        <f>_xlfn.XLOOKUP($A18,'Modelling New'!$D:$D,'Modelling New'!AE:AE)</f>
        <v>0.995</v>
      </c>
      <c r="N18" s="74" t="str">
        <f>IFERROR(AVERAGEIF('Daily KPI'!$D:$D,$A18,'Daily KPI'!O:O),"")</f>
        <v/>
      </c>
      <c r="O18" s="73">
        <f>_xlfn.XLOOKUP($A18,'Modelling New'!$D:$D,'Modelling New'!AG:AG)</f>
        <v>0.995</v>
      </c>
      <c r="P18" s="74" t="str">
        <f>IFERROR(AVERAGEIF('Daily KPI'!$D:$D,$A18,'Daily KPI'!T:T),"")</f>
        <v/>
      </c>
    </row>
    <row r="19" spans="1:16">
      <c r="A19" s="70">
        <v>46023</v>
      </c>
      <c r="B19" s="71">
        <f t="shared" si="0"/>
        <v>31</v>
      </c>
      <c r="C19" s="78">
        <f>_xlfn.XLOOKUP($A19,'Modelling New'!$D:$D,'Modelling New'!S:S)</f>
        <v>712.69087138709676</v>
      </c>
      <c r="D19" s="79">
        <f>SUMIF('Daily KPI'!$D:$D,$A19,'Daily KPI'!I:I)</f>
        <v>0</v>
      </c>
      <c r="E19" s="78">
        <f>_xlfn.XLOOKUP($A19,'Modelling New'!$D:$D,'Modelling New'!V:V)</f>
        <v>6049.706025312782</v>
      </c>
      <c r="F19" s="79">
        <f>SUMIF('Daily KPI'!$D:$D,$A19,'Daily KPI'!AA:AA)/1000</f>
        <v>0</v>
      </c>
      <c r="G19" s="73">
        <f>IFERROR(E19/C19/'Modelling New'!$AQ$1,"")</f>
        <v>0.72427828341126443</v>
      </c>
      <c r="H19" s="74" t="str">
        <f>IFERROR(F19/D19/'Modelling New'!$AQ$1,"")</f>
        <v/>
      </c>
      <c r="I19" s="73">
        <f>IFERROR(E19/(B19*24*'Modelling New'!$AQ$1),"")</f>
        <v>0.69379908727301709</v>
      </c>
      <c r="J19" s="74">
        <f>IFERROR(F19/(B19*24*'Modelling New'!$AQ$1),"")</f>
        <v>0</v>
      </c>
      <c r="K19" s="73">
        <f>_xlfn.XLOOKUP($A19,'Modelling New'!$D:$D,'Modelling New'!AF:AF)</f>
        <v>0.98550000000000004</v>
      </c>
      <c r="L19" s="74" t="str">
        <f>IFERROR(AVERAGEIF('Daily KPI'!$D:$D,$A19,'Daily KPI'!R:R),"")</f>
        <v/>
      </c>
      <c r="M19" s="73">
        <f>_xlfn.XLOOKUP($A19,'Modelling New'!$D:$D,'Modelling New'!AE:AE)</f>
        <v>0.995</v>
      </c>
      <c r="N19" s="74" t="str">
        <f>IFERROR(AVERAGEIF('Daily KPI'!$D:$D,$A19,'Daily KPI'!O:O),"")</f>
        <v/>
      </c>
      <c r="O19" s="73">
        <f>_xlfn.XLOOKUP($A19,'Modelling New'!$D:$D,'Modelling New'!AG:AG)</f>
        <v>0.995</v>
      </c>
      <c r="P19" s="74" t="str">
        <f>IFERROR(AVERAGEIF('Daily KPI'!$D:$D,$A19,'Daily KPI'!T:T),"")</f>
        <v/>
      </c>
    </row>
    <row r="20" spans="1:16">
      <c r="A20" s="70">
        <v>46054</v>
      </c>
      <c r="B20" s="71">
        <f t="shared" si="0"/>
        <v>28</v>
      </c>
      <c r="C20" s="78">
        <f>_xlfn.XLOOKUP($A20,'Modelling New'!$D:$D,'Modelling New'!S:S)</f>
        <v>712.69087138709676</v>
      </c>
      <c r="D20" s="79">
        <f>SUMIF('Daily KPI'!$D:$D,$A20,'Daily KPI'!I:I)</f>
        <v>0</v>
      </c>
      <c r="E20" s="78">
        <f>_xlfn.XLOOKUP($A20,'Modelling New'!$D:$D,'Modelling New'!V:V)</f>
        <v>6049.706025312782</v>
      </c>
      <c r="F20" s="79">
        <f>SUMIF('Daily KPI'!$D:$D,$A20,'Daily KPI'!AA:AA)/1000</f>
        <v>0</v>
      </c>
      <c r="G20" s="73">
        <f>IFERROR(E20/C20/'Modelling New'!$AQ$1,"")</f>
        <v>0.72427828341126443</v>
      </c>
      <c r="H20" s="74" t="str">
        <f>IFERROR(F20/D20/'Modelling New'!$AQ$1,"")</f>
        <v/>
      </c>
      <c r="I20" s="73">
        <f>IFERROR(E20/(B20*24*'Modelling New'!$AQ$1),"")</f>
        <v>0.76813470376655468</v>
      </c>
      <c r="J20" s="74">
        <f>IFERROR(F20/(B20*24*'Modelling New'!$AQ$1),"")</f>
        <v>0</v>
      </c>
      <c r="K20" s="73">
        <f>_xlfn.XLOOKUP($A20,'Modelling New'!$D:$D,'Modelling New'!AF:AF)</f>
        <v>0.98550000000000004</v>
      </c>
      <c r="L20" s="74" t="str">
        <f>IFERROR(AVERAGEIF('Daily KPI'!$D:$D,$A20,'Daily KPI'!R:R),"")</f>
        <v/>
      </c>
      <c r="M20" s="73">
        <f>_xlfn.XLOOKUP($A20,'Modelling New'!$D:$D,'Modelling New'!AE:AE)</f>
        <v>0.995</v>
      </c>
      <c r="N20" s="74" t="str">
        <f>IFERROR(AVERAGEIF('Daily KPI'!$D:$D,$A20,'Daily KPI'!O:O),"")</f>
        <v/>
      </c>
      <c r="O20" s="73">
        <f>_xlfn.XLOOKUP($A20,'Modelling New'!$D:$D,'Modelling New'!AG:AG)</f>
        <v>0.995</v>
      </c>
      <c r="P20" s="74" t="str">
        <f>IFERROR(AVERAGEIF('Daily KPI'!$D:$D,$A20,'Daily KPI'!T:T),"")</f>
        <v/>
      </c>
    </row>
    <row r="21" spans="1:16">
      <c r="A21" s="70">
        <v>46082</v>
      </c>
      <c r="B21" s="71">
        <f t="shared" si="0"/>
        <v>31</v>
      </c>
      <c r="C21" s="78">
        <f>_xlfn.XLOOKUP($A21,'Modelling New'!$D:$D,'Modelling New'!S:S)</f>
        <v>712.69087138709676</v>
      </c>
      <c r="D21" s="79">
        <f>SUMIF('Daily KPI'!$D:$D,$A21,'Daily KPI'!I:I)</f>
        <v>0</v>
      </c>
      <c r="E21" s="78">
        <f>_xlfn.XLOOKUP($A21,'Modelling New'!$D:$D,'Modelling New'!V:V)</f>
        <v>6049.706025312782</v>
      </c>
      <c r="F21" s="79">
        <f>SUMIF('Daily KPI'!$D:$D,$A21,'Daily KPI'!AA:AA)/1000</f>
        <v>0</v>
      </c>
      <c r="G21" s="73">
        <f>IFERROR(E21/C21/'Modelling New'!$AQ$1,"")</f>
        <v>0.72427828341126443</v>
      </c>
      <c r="H21" s="74" t="str">
        <f>IFERROR(F21/D21/'Modelling New'!$AQ$1,"")</f>
        <v/>
      </c>
      <c r="I21" s="73">
        <f>IFERROR(E21/(B21*24*'Modelling New'!$AQ$1),"")</f>
        <v>0.69379908727301709</v>
      </c>
      <c r="J21" s="74">
        <f>IFERROR(F21/(B21*24*'Modelling New'!$AQ$1),"")</f>
        <v>0</v>
      </c>
      <c r="K21" s="73">
        <f>_xlfn.XLOOKUP($A21,'Modelling New'!$D:$D,'Modelling New'!AF:AF)</f>
        <v>0.98550000000000004</v>
      </c>
      <c r="L21" s="74" t="str">
        <f>IFERROR(AVERAGEIF('Daily KPI'!$D:$D,$A21,'Daily KPI'!R:R),"")</f>
        <v/>
      </c>
      <c r="M21" s="73">
        <f>_xlfn.XLOOKUP($A21,'Modelling New'!$D:$D,'Modelling New'!AE:AE)</f>
        <v>0.995</v>
      </c>
      <c r="N21" s="74" t="str">
        <f>IFERROR(AVERAGEIF('Daily KPI'!$D:$D,$A21,'Daily KPI'!O:O),"")</f>
        <v/>
      </c>
      <c r="O21" s="73">
        <f>_xlfn.XLOOKUP($A21,'Modelling New'!$D:$D,'Modelling New'!AG:AG)</f>
        <v>0.995</v>
      </c>
      <c r="P21" s="74" t="str">
        <f>IFERROR(AVERAGEIF('Daily KPI'!$D:$D,$A21,'Daily KPI'!T:T),"")</f>
        <v/>
      </c>
    </row>
  </sheetData>
  <sheetProtection algorithmName="SHA-512" hashValue="ojczaDyvXwe+EXz55kGEOjhK1NNxsfJUp0EgxE7gcG/X9MJbQqdgFXPAsNs4kOTecjfMoc5J+NKA5jZBlkiAaw==" saltValue="bWV9xLFSTlnuaD48zSkvHg==" spinCount="100000" sheet="1" objects="1" scenarios="1"/>
  <mergeCells count="2">
    <mergeCell ref="A2:P2"/>
    <mergeCell ref="A8:P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F14" sqref="F14"/>
    </sheetView>
  </sheetViews>
  <sheetFormatPr defaultColWidth="9" defaultRowHeight="15"/>
  <cols>
    <col min="1" max="1" width="10.85546875" customWidth="1"/>
    <col min="2" max="2" width="14.85546875" customWidth="1"/>
    <col min="3" max="3" width="13.42578125" customWidth="1"/>
    <col min="4" max="4" width="12" customWidth="1"/>
    <col min="5" max="5" width="12.28515625" customWidth="1"/>
    <col min="6" max="6" width="13.7109375" customWidth="1"/>
    <col min="8" max="8" width="9.42578125" customWidth="1"/>
    <col min="9" max="9" width="10.28515625" customWidth="1"/>
    <col min="10" max="10" width="11.28515625" customWidth="1"/>
    <col min="12" max="12" width="9.28515625" customWidth="1"/>
    <col min="14" max="14" width="9.42578125" customWidth="1"/>
    <col min="15" max="15" width="9.5703125" customWidth="1"/>
    <col min="16" max="16" width="9.7109375" customWidth="1"/>
  </cols>
  <sheetData>
    <row r="1" spans="1:16">
      <c r="A1" s="66" t="s">
        <v>60</v>
      </c>
      <c r="B1" s="67">
        <f>'Daily Dashboard'!$B$3</f>
        <v>45855</v>
      </c>
    </row>
    <row r="2" spans="1:16" ht="20.45" customHeight="1">
      <c r="A2" s="232" t="s">
        <v>79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</row>
    <row r="3" spans="1:16" ht="45">
      <c r="A3" s="68" t="s">
        <v>62</v>
      </c>
      <c r="B3" s="68" t="s">
        <v>63</v>
      </c>
      <c r="C3" s="69" t="s">
        <v>64</v>
      </c>
      <c r="D3" s="69" t="s">
        <v>65</v>
      </c>
      <c r="E3" s="69" t="s">
        <v>66</v>
      </c>
      <c r="F3" s="69" t="s">
        <v>67</v>
      </c>
      <c r="G3" s="69" t="s">
        <v>68</v>
      </c>
      <c r="H3" s="69" t="s">
        <v>69</v>
      </c>
      <c r="I3" s="69" t="s">
        <v>70</v>
      </c>
      <c r="J3" s="69" t="s">
        <v>71</v>
      </c>
      <c r="K3" s="69" t="s">
        <v>72</v>
      </c>
      <c r="L3" s="69" t="s">
        <v>73</v>
      </c>
      <c r="M3" s="69" t="s">
        <v>74</v>
      </c>
      <c r="N3" s="69" t="s">
        <v>75</v>
      </c>
      <c r="O3" s="69" t="s">
        <v>76</v>
      </c>
      <c r="P3" s="69" t="s">
        <v>77</v>
      </c>
    </row>
    <row r="4" spans="1:16">
      <c r="A4" s="70">
        <f>'Daily Dashboard'!B2</f>
        <v>45839</v>
      </c>
      <c r="B4" s="71">
        <f>DAY($B$1)</f>
        <v>17</v>
      </c>
      <c r="C4" s="71">
        <f>_xlfn.XLOOKUP($A$4,'Modelling New'!$D:$D,'Modelling New'!R:R)</f>
        <v>78.657865387096749</v>
      </c>
      <c r="D4" s="72">
        <f>SUMIF('Daily KPI'!$D:$D,$A$4,'Daily KPI'!I:I)</f>
        <v>79.721000000000018</v>
      </c>
      <c r="E4" s="71">
        <f>_xlfn.XLOOKUP($A$4,'Modelling New'!$D:$D,'Modelling New'!U:U)</f>
        <v>691.94512042769406</v>
      </c>
      <c r="F4" s="72">
        <f>SUMIF('Daily KPI'!$D:$D,$A$4,'Daily KPI'!$AA:$AA)/1000</f>
        <v>700.64340000001846</v>
      </c>
      <c r="G4" s="73">
        <f>IFERROR(E4/C4/'Modelling New'!$AQ$1,"")</f>
        <v>0.75058845994317613</v>
      </c>
      <c r="H4" s="74">
        <f>IFERROR(F4/D4/'Modelling New'!$AQ$1,"")</f>
        <v>0.74988848695150512</v>
      </c>
      <c r="I4" s="73">
        <f>IFERROR(E4/(B4*24*'Modelling New'!$AQ$1),"")</f>
        <v>0.14470511285127108</v>
      </c>
      <c r="J4" s="74">
        <f>IFERROR(F4/(B4*24*'Modelling New'!$AQ$1),"")</f>
        <v>0.14652416683397293</v>
      </c>
      <c r="K4" s="73">
        <f>_xlfn.XLOOKUP($A$4,'Modelling New'!$D:$D,'Modelling New'!AF:AF)</f>
        <v>0.98550000000000004</v>
      </c>
      <c r="L4" s="74">
        <f>IFERROR(AVERAGEIF('Daily KPI'!$D:$D,$A$4,'Daily KPI'!R:R),"")</f>
        <v>0.99214481260143761</v>
      </c>
      <c r="M4" s="73">
        <f>_xlfn.XLOOKUP($A$4,'Modelling New'!$D:$D,'Modelling New'!AE:AE)</f>
        <v>0.995</v>
      </c>
      <c r="N4" s="74">
        <f>IFERROR(AVERAGEIF('Daily KPI'!$D:$D,$A$4,'Daily KPI'!O:O),"")</f>
        <v>0.99991663146479315</v>
      </c>
      <c r="O4" s="73">
        <f>_xlfn.XLOOKUP($A$4,'Modelling New'!$D:$D,'Modelling New'!AG:AG)</f>
        <v>0.995</v>
      </c>
      <c r="P4" s="74">
        <f>IFERROR(AVERAGEIF('Daily KPI'!$D:$D,$A$4,'Daily KPI'!T:T),"")</f>
        <v>0.98763709166303282</v>
      </c>
    </row>
    <row r="7" spans="1:16">
      <c r="A7" s="66" t="s">
        <v>80</v>
      </c>
      <c r="B7" s="67">
        <f>B8-6</f>
        <v>45849</v>
      </c>
      <c r="D7" s="75"/>
      <c r="F7" s="75"/>
    </row>
    <row r="8" spans="1:16">
      <c r="A8" s="66" t="s">
        <v>81</v>
      </c>
      <c r="B8" s="67">
        <f>$B$1</f>
        <v>45855</v>
      </c>
    </row>
    <row r="9" spans="1:16" ht="21">
      <c r="A9" s="232" t="s">
        <v>79</v>
      </c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</row>
    <row r="10" spans="1:16" ht="45">
      <c r="A10" s="68" t="s">
        <v>62</v>
      </c>
      <c r="B10" s="68" t="s">
        <v>63</v>
      </c>
      <c r="C10" s="69" t="s">
        <v>64</v>
      </c>
      <c r="D10" s="69" t="s">
        <v>65</v>
      </c>
      <c r="E10" s="69" t="s">
        <v>66</v>
      </c>
      <c r="F10" s="69" t="s">
        <v>67</v>
      </c>
      <c r="G10" s="69" t="s">
        <v>68</v>
      </c>
      <c r="H10" s="69" t="s">
        <v>69</v>
      </c>
      <c r="I10" s="69" t="s">
        <v>70</v>
      </c>
      <c r="J10" s="69" t="s">
        <v>71</v>
      </c>
      <c r="K10" s="69" t="s">
        <v>72</v>
      </c>
      <c r="L10" s="69" t="s">
        <v>73</v>
      </c>
      <c r="M10" s="69" t="s">
        <v>74</v>
      </c>
      <c r="N10" s="69" t="s">
        <v>75</v>
      </c>
      <c r="O10" s="69" t="s">
        <v>76</v>
      </c>
      <c r="P10" s="69" t="s">
        <v>77</v>
      </c>
    </row>
    <row r="11" spans="1:16">
      <c r="A11" s="70">
        <f>A4</f>
        <v>45839</v>
      </c>
      <c r="B11" s="71">
        <f>(B8-B7)+1</f>
        <v>7</v>
      </c>
      <c r="C11" s="71">
        <f>SUMIFS('Daily KPI'!$AC:$AC,'Daily KPI'!$A:$A,"&gt;="&amp;$B$7,'Daily KPI'!$A:$A,"&lt;="&amp;$B$8)</f>
        <v>32.388532806451607</v>
      </c>
      <c r="D11" s="72">
        <f>SUMIFS('Daily KPI'!$I:$I,'Daily KPI'!$A:$A,"&gt;="&amp;$B$7,'Daily KPI'!$A:$A,"&lt;="&amp;$B$8)</f>
        <v>40.612000000000002</v>
      </c>
      <c r="E11" s="71">
        <f>SUMIFS('Daily KPI'!$AD:$AD,'Daily KPI'!$A:$A,"&gt;="&amp;$B$7,'Daily KPI'!$A:$A,"&lt;="&amp;$B$8)/1000</f>
        <v>284.91857899963878</v>
      </c>
      <c r="F11" s="72">
        <f>SUMIFS('Daily KPI'!$AA:$AA,'Daily KPI'!$A:$A,"&gt;="&amp;$B$7,'Daily KPI'!$A:$A,"&lt;="&amp;$B$8)/1000</f>
        <v>349.09720000001334</v>
      </c>
      <c r="G11" s="73">
        <f>IFERROR(E11/C11/'Modelling New'!$AQ$1,"")</f>
        <v>0.75058845994317613</v>
      </c>
      <c r="H11" s="74">
        <f>IFERROR(F11/D11/'Modelling New'!$AQ$1,"")</f>
        <v>0.73343963636231979</v>
      </c>
      <c r="I11" s="73">
        <f>IFERROR(E11/(B11*24*'Modelling New'!$AQ$1),"")</f>
        <v>0.14470511285127111</v>
      </c>
      <c r="J11" s="74">
        <f>IFERROR(F11/(B11*24*'Modelling New'!$AQ$1),"")</f>
        <v>0.17730030066634839</v>
      </c>
      <c r="K11" s="73">
        <f>_xlfn.XLOOKUP($A$4,'Modelling New'!$D:$D,'Modelling New'!AF:AF)</f>
        <v>0.98550000000000004</v>
      </c>
      <c r="L11" s="74">
        <f>AVERAGEIFS('Daily KPI'!$R:$R,'Daily KPI'!$A:$A,"&gt;="&amp;$B$7,'Daily KPI'!$A:$A,"&lt;="&amp;$B$8)</f>
        <v>0.99137607799025118</v>
      </c>
      <c r="M11" s="73">
        <f>_xlfn.XLOOKUP($A$4,'Modelling New'!$D:$D,'Modelling New'!AE:AE)</f>
        <v>0.995</v>
      </c>
      <c r="N11" s="74">
        <f>AVERAGEIFS('Daily KPI'!$O:$O,'Daily KPI'!$A:$A,"&gt;="&amp;$B$7,'Daily KPI'!$A:$A,"&lt;="&amp;$B$8)</f>
        <v>0.9997975335573549</v>
      </c>
      <c r="O11" s="73">
        <f>_xlfn.XLOOKUP($A$4,'Modelling New'!$D:$D,'Modelling New'!AG:AG)</f>
        <v>0.995</v>
      </c>
      <c r="P11" s="74">
        <f>AVERAGEIFS('Daily KPI'!$T:$T,'Daily KPI'!$A:$A,"&gt;="&amp;$B$7,'Daily KPI'!$A:$A,"&lt;="&amp;$B$8)</f>
        <v>0.98616754061221401</v>
      </c>
    </row>
  </sheetData>
  <sheetProtection algorithmName="SHA-512" hashValue="LE5ZNPQp8t6TjcrHae/uTdYcgFC2nQHpwib8HeSXjnES/cXe6ADMYgwYHzPq9oUYhwZ2UUjJKBUmMhHvKGLfmA==" saltValue="6TDzbYt1cNbNEe/cllfOOw==" spinCount="100000" sheet="1" objects="1" scenarios="1"/>
  <mergeCells count="2">
    <mergeCell ref="A2:P2"/>
    <mergeCell ref="A9:P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D5A3-F5C8-44E6-B394-12B95FEB0AAF}">
  <dimension ref="A1:AS369"/>
  <sheetViews>
    <sheetView workbookViewId="0">
      <pane xSplit="1" ySplit="1" topLeftCell="B96" activePane="bottomRight" state="frozen"/>
      <selection pane="topRight" activeCell="AB39" sqref="AB39"/>
      <selection pane="bottomLeft" activeCell="AB39" sqref="AB39"/>
      <selection pane="bottomRight" activeCell="A101" sqref="A101"/>
    </sheetView>
  </sheetViews>
  <sheetFormatPr defaultColWidth="8.7109375" defaultRowHeight="15"/>
  <cols>
    <col min="1" max="1" width="12.85546875" style="129" customWidth="1"/>
    <col min="2" max="5" width="9" style="129" customWidth="1"/>
    <col min="6" max="9" width="10.28515625" style="129" customWidth="1"/>
    <col min="10" max="12" width="11.28515625" style="129" customWidth="1"/>
    <col min="13" max="13" width="15.140625" style="129" bestFit="1" customWidth="1"/>
    <col min="14" max="39" width="11.28515625" style="129" customWidth="1"/>
    <col min="40" max="40" width="11.28515625" style="195" customWidth="1"/>
    <col min="41" max="43" width="11.28515625" style="129" customWidth="1"/>
    <col min="44" max="16384" width="8.7109375" style="129"/>
  </cols>
  <sheetData>
    <row r="1" spans="1:45" ht="60">
      <c r="A1" s="151" t="s">
        <v>34</v>
      </c>
      <c r="B1" s="152" t="s">
        <v>82</v>
      </c>
      <c r="C1" s="152" t="s">
        <v>83</v>
      </c>
      <c r="D1" s="152" t="s">
        <v>84</v>
      </c>
      <c r="E1" s="152" t="s">
        <v>63</v>
      </c>
      <c r="F1" s="153" t="s">
        <v>85</v>
      </c>
      <c r="G1" s="153" t="s">
        <v>86</v>
      </c>
      <c r="H1" s="153" t="s">
        <v>87</v>
      </c>
      <c r="I1" s="153" t="s">
        <v>88</v>
      </c>
      <c r="J1" s="153" t="s">
        <v>89</v>
      </c>
      <c r="K1" s="153" t="s">
        <v>90</v>
      </c>
      <c r="L1" s="153" t="s">
        <v>91</v>
      </c>
      <c r="M1" s="153" t="s">
        <v>92</v>
      </c>
      <c r="N1" s="153" t="s">
        <v>93</v>
      </c>
      <c r="O1" s="153" t="s">
        <v>94</v>
      </c>
      <c r="P1" s="153" t="s">
        <v>95</v>
      </c>
      <c r="Q1" s="153" t="s">
        <v>96</v>
      </c>
      <c r="R1" s="153" t="s">
        <v>97</v>
      </c>
      <c r="S1" s="153" t="s">
        <v>98</v>
      </c>
      <c r="T1" s="153" t="s">
        <v>99</v>
      </c>
      <c r="U1" s="153" t="s">
        <v>100</v>
      </c>
      <c r="V1" s="153" t="s">
        <v>101</v>
      </c>
      <c r="W1" s="153" t="s">
        <v>102</v>
      </c>
      <c r="X1" s="153" t="s">
        <v>103</v>
      </c>
      <c r="Y1" s="153" t="s">
        <v>104</v>
      </c>
      <c r="Z1" s="153" t="s">
        <v>105</v>
      </c>
      <c r="AA1" s="153" t="s">
        <v>106</v>
      </c>
      <c r="AB1" s="153" t="s">
        <v>107</v>
      </c>
      <c r="AC1" s="153" t="s">
        <v>108</v>
      </c>
      <c r="AD1" s="153" t="s">
        <v>109</v>
      </c>
      <c r="AE1" s="153" t="s">
        <v>110</v>
      </c>
      <c r="AF1" s="153" t="s">
        <v>111</v>
      </c>
      <c r="AG1" s="153" t="s">
        <v>112</v>
      </c>
      <c r="AH1" s="153" t="s">
        <v>113</v>
      </c>
      <c r="AI1" s="153" t="s">
        <v>114</v>
      </c>
      <c r="AJ1" s="153" t="s">
        <v>115</v>
      </c>
      <c r="AK1" s="153" t="s">
        <v>116</v>
      </c>
      <c r="AL1" s="153" t="s">
        <v>117</v>
      </c>
      <c r="AM1" s="153" t="s">
        <v>118</v>
      </c>
      <c r="AN1" s="154" t="s">
        <v>119</v>
      </c>
      <c r="AO1" s="153" t="s">
        <v>120</v>
      </c>
      <c r="AP1" s="153" t="s">
        <v>121</v>
      </c>
      <c r="AQ1" s="153" t="s">
        <v>122</v>
      </c>
      <c r="AR1" s="153" t="s">
        <v>123</v>
      </c>
      <c r="AS1" s="153" t="s">
        <v>124</v>
      </c>
    </row>
    <row r="2" spans="1:45">
      <c r="A2" s="155">
        <v>45745</v>
      </c>
      <c r="B2" s="156">
        <f>YEAR(Table13[[#This Row],[Date]])+IF(MONTH(Table13[[#This Row],[Date]])&gt;=4,1,0)</f>
        <v>2025</v>
      </c>
      <c r="C2" s="129">
        <f>YEAR(Table13[[#This Row],[Date]])</f>
        <v>2025</v>
      </c>
      <c r="D2" s="157">
        <f>Table13[[#This Row],[Date]]-DAY(Table13[[#This Row],[Date]])+1</f>
        <v>45717</v>
      </c>
      <c r="E2" s="129">
        <f t="shared" ref="E2:E45" si="0">DAY(EOMONTH(A2,0))</f>
        <v>31</v>
      </c>
      <c r="F2" s="130">
        <f>IFERROR(_xlfn.XLOOKUP($A2,'Raw Data'!$G:$G,'Raw Data'!$AH:$AH),"")</f>
        <v>12.066666666666666</v>
      </c>
      <c r="G2" s="131">
        <f>IFERROR(_xlfn.XLOOKUP($A2,'Raw Data'!$G:$G,'Raw Data'!$S:$S)/1000,"")</f>
        <v>0</v>
      </c>
      <c r="H2" s="131"/>
      <c r="I2" s="131">
        <f>IFERROR(_xlfn.XLOOKUP($A2,'Raw Data'!$G:$G,'Raw Data'!$AF:$AF)/1000,"")</f>
        <v>6.2009999999999996</v>
      </c>
      <c r="J2" s="131"/>
      <c r="K2" s="131">
        <f>IFERROR(_xlfn.XLOOKUP($A2,'Raw Data'!$G:$G,'Raw Data'!W:W),"")</f>
        <v>23</v>
      </c>
      <c r="L2" s="131">
        <f>IFERROR(_xlfn.XLOOKUP($A2,'Raw Data'!$G:$G,'Raw Data'!X:X),"")</f>
        <v>47</v>
      </c>
      <c r="M2" s="131">
        <f>IFERROR(_xlfn.XLOOKUP($A2,'Raw Data'!$G:$G,'Raw Data'!Y:Y),"")</f>
        <v>3</v>
      </c>
      <c r="N2" s="131">
        <f>IFERROR(_xlfn.XLOOKUP($A2,'Raw Data'!$G:$G,'Raw Data'!Z:Z),"")</f>
        <v>7</v>
      </c>
      <c r="O2" s="158">
        <f>IFERROR(1-SUMIF('Plant BD'!$H:$H,$A2,'Plant BD'!AC:AC)/$F2,"")</f>
        <v>1</v>
      </c>
      <c r="P2" s="158"/>
      <c r="Q2" s="159"/>
      <c r="R2" s="158">
        <f>IFERROR(1-SUMIF('Grid BD'!$H:$H,$A2,'Grid BD'!AB:AB)/$F2,"")</f>
        <v>0.97928176795580113</v>
      </c>
      <c r="T2" s="159">
        <f>IFERROR(1-SUMIF(Tracker_BD!$H:$H,$A2,Tracker_BD!AI:AI)/$F2,"")</f>
        <v>0.95414999682479207</v>
      </c>
      <c r="U2" s="160" t="str">
        <f t="shared" ref="U2:U60" si="1">IFERROR(AA2/I2/AB2/1000,"")</f>
        <v/>
      </c>
      <c r="V2" s="160"/>
      <c r="W2" s="161" t="str">
        <f t="shared" ref="W2:W60" si="2">IFERROR(AA2/(24*AR2*1000),"")</f>
        <v/>
      </c>
      <c r="X2" s="156">
        <f>IFERROR(_xlfn.XLOOKUP($A2,'Raw Data'!$G:$G,'Raw Data'!$AB:$AB),"")</f>
        <v>50008</v>
      </c>
      <c r="Y2" s="156" t="str">
        <f>IFERROR(_xlfn.XLOOKUP($A2,'Raw Data'!$G:$G,'Raw Data'!AC:AC),"")</f>
        <v/>
      </c>
      <c r="Z2" s="156" t="str">
        <f>IFERROR(_xlfn.XLOOKUP($A2,'Raw Data'!$G:$G,'Raw Data'!AD:AD),"")</f>
        <v/>
      </c>
      <c r="AA2" s="156" t="str">
        <f>IFERROR(_xlfn.XLOOKUP($A2,'Raw Data'!$G:$G,'Raw Data'!AE:AE),"")</f>
        <v/>
      </c>
      <c r="AB2" s="156">
        <f>IFERROR(_xlfn.XLOOKUP($A2,'Raw Data'!$G:$G,'Raw Data'!$H:$H),"")</f>
        <v>11.72</v>
      </c>
      <c r="AC2" s="162">
        <f>IFERROR(_xlfn.XLOOKUP($D2,'Modelling New'!$D:$D,'Modelling New'!$P:$P),"")</f>
        <v>7.7166057064516123</v>
      </c>
      <c r="AD2" s="156">
        <f>IFERROR(_xlfn.XLOOKUP($D2,'Modelling New'!$D:$D,'Modelling New'!$T:$T)*1000,"")</f>
        <v>74138.709677419363</v>
      </c>
      <c r="AE2" s="163">
        <f>IFERROR(_xlfn.XLOOKUP($D2,'Modelling New'!$D:$D,'Modelling New'!$O:$O),"")</f>
        <v>0.81976826488370957</v>
      </c>
      <c r="AF2" s="163">
        <f>IFERROR(_xlfn.XLOOKUP($D2,'Modelling New'!$D:$D,'Modelling New'!$W:$W),"")</f>
        <v>0.26357618628206536</v>
      </c>
      <c r="AG2" s="163">
        <f>IFERROR(_xlfn.XLOOKUP($D2,'Modelling New'!$D:$D,'Modelling New'!AE:AE),"")</f>
        <v>0.995</v>
      </c>
      <c r="AH2" s="163">
        <f>IFERROR(_xlfn.XLOOKUP($D2,'Modelling New'!$D:$D,'Modelling New'!AF:AF),"")</f>
        <v>0.98550000000000004</v>
      </c>
      <c r="AN2" s="164"/>
      <c r="AO2" s="161"/>
      <c r="AP2" s="161"/>
      <c r="AQ2" s="161"/>
      <c r="AR2" s="156">
        <f>IFERROR(_xlfn.XLOOKUP($D2,'Modelling New'!$D:$D,'Modelling New'!$N:$N),"")</f>
        <v>11.72</v>
      </c>
    </row>
    <row r="3" spans="1:45">
      <c r="A3" s="155">
        <f t="shared" ref="A3:A62" si="3">A2+1</f>
        <v>45746</v>
      </c>
      <c r="B3" s="156">
        <f>YEAR(Table13[[#This Row],[Date]])+IF(MONTH(Table13[[#This Row],[Date]])&gt;=4,1,0)</f>
        <v>2025</v>
      </c>
      <c r="C3" s="129">
        <f>YEAR(Table13[[#This Row],[Date]])</f>
        <v>2025</v>
      </c>
      <c r="D3" s="157">
        <f>Table13[[#This Row],[Date]]-DAY(Table13[[#This Row],[Date]])+1</f>
        <v>45717</v>
      </c>
      <c r="E3" s="129">
        <f t="shared" si="0"/>
        <v>31</v>
      </c>
      <c r="F3" s="130">
        <f>IFERROR(_xlfn.XLOOKUP($A3,'Raw Data'!$G:$G,'Raw Data'!$AH:$AH),"")</f>
        <v>11.733333333333333</v>
      </c>
      <c r="G3" s="131">
        <f>IFERROR(_xlfn.XLOOKUP($A3,'Raw Data'!$G:$G,'Raw Data'!$S:$S)/1000,"")</f>
        <v>0</v>
      </c>
      <c r="H3" s="131"/>
      <c r="I3" s="131">
        <f>IFERROR(_xlfn.XLOOKUP($A3,'Raw Data'!$G:$G,'Raw Data'!$AF:$AF)/1000,"")</f>
        <v>6.4634999999999998</v>
      </c>
      <c r="J3" s="131"/>
      <c r="K3" s="131">
        <f>IFERROR(_xlfn.XLOOKUP($A3,'Raw Data'!$G:$G,'Raw Data'!W:W),"")</f>
        <v>23</v>
      </c>
      <c r="L3" s="131">
        <f>IFERROR(_xlfn.XLOOKUP($A3,'Raw Data'!$G:$G,'Raw Data'!X:X),"")</f>
        <v>47</v>
      </c>
      <c r="M3" s="131">
        <f>IFERROR(_xlfn.XLOOKUP($A3,'Raw Data'!$G:$G,'Raw Data'!Y:Y),"")</f>
        <v>3</v>
      </c>
      <c r="N3" s="131">
        <f>IFERROR(_xlfn.XLOOKUP($A3,'Raw Data'!$G:$G,'Raw Data'!Z:Z),"")</f>
        <v>7</v>
      </c>
      <c r="O3" s="158">
        <f>IFERROR(1-SUMIF('Plant BD'!$H:$H,$A3,'Plant BD'!AC:AC)/$F3,"")</f>
        <v>1</v>
      </c>
      <c r="P3" s="158"/>
      <c r="Q3" s="159"/>
      <c r="R3" s="158">
        <f>IFERROR(1-SUMIF('Grid BD'!$H:$H,$A3,'Grid BD'!AB:AB)/$F3,"")</f>
        <v>1</v>
      </c>
      <c r="T3" s="159">
        <f>IFERROR(1-SUMIF(Tracker_BD!$H:$H,$A3,Tracker_BD!AI:AI)/$F3,"")</f>
        <v>0.9538270637408568</v>
      </c>
      <c r="U3" s="160">
        <f t="shared" si="1"/>
        <v>0.70543411136989609</v>
      </c>
      <c r="V3" s="160"/>
      <c r="W3" s="161">
        <f t="shared" si="2"/>
        <v>0.18998222411830509</v>
      </c>
      <c r="X3" s="156">
        <f>IFERROR(_xlfn.XLOOKUP($A3,'Raw Data'!$G:$G,'Raw Data'!$AB:$AB),"")</f>
        <v>53648</v>
      </c>
      <c r="Y3" s="156">
        <f>IFERROR(_xlfn.XLOOKUP($A3,'Raw Data'!$G:$G,'Raw Data'!AC:AC),"")</f>
        <v>53632.89999999688</v>
      </c>
      <c r="Z3" s="156">
        <f>IFERROR(_xlfn.XLOOKUP($A3,'Raw Data'!$G:$G,'Raw Data'!AD:AD),"")</f>
        <v>194.70000000001164</v>
      </c>
      <c r="AA3" s="156">
        <f>IFERROR(_xlfn.XLOOKUP($A3,'Raw Data'!$G:$G,'Raw Data'!AE:AE),"")</f>
        <v>53438.199999996868</v>
      </c>
      <c r="AB3" s="156">
        <f>IFERROR(_xlfn.XLOOKUP($A3,'Raw Data'!$G:$G,'Raw Data'!$H:$H),"")</f>
        <v>11.72</v>
      </c>
      <c r="AC3" s="162">
        <f>IFERROR(_xlfn.XLOOKUP($D3,'Modelling New'!$D:$D,'Modelling New'!$P:$P),"")</f>
        <v>7.7166057064516123</v>
      </c>
      <c r="AD3" s="156">
        <f>IFERROR(_xlfn.XLOOKUP($D3,'Modelling New'!$D:$D,'Modelling New'!$T:$T)*1000,"")</f>
        <v>74138.709677419363</v>
      </c>
      <c r="AE3" s="163">
        <f>IFERROR(_xlfn.XLOOKUP($D3,'Modelling New'!$D:$D,'Modelling New'!$O:$O),"")</f>
        <v>0.81976826488370957</v>
      </c>
      <c r="AF3" s="163">
        <f>IFERROR(_xlfn.XLOOKUP($D3,'Modelling New'!$D:$D,'Modelling New'!$W:$W),"")</f>
        <v>0.26357618628206536</v>
      </c>
      <c r="AG3" s="163">
        <f>IFERROR(_xlfn.XLOOKUP($D3,'Modelling New'!$D:$D,'Modelling New'!AE:AE),"")</f>
        <v>0.995</v>
      </c>
      <c r="AH3" s="163">
        <f>IFERROR(_xlfn.XLOOKUP($D3,'Modelling New'!$D:$D,'Modelling New'!AF:AF),"")</f>
        <v>0.98550000000000004</v>
      </c>
      <c r="AN3" s="164"/>
      <c r="AO3" s="161"/>
      <c r="AP3" s="161"/>
      <c r="AQ3" s="161"/>
      <c r="AR3" s="156">
        <f>IFERROR(_xlfn.XLOOKUP($D3,'Modelling New'!$D:$D,'Modelling New'!$N:$N),"")</f>
        <v>11.72</v>
      </c>
    </row>
    <row r="4" spans="1:45">
      <c r="A4" s="155">
        <f t="shared" si="3"/>
        <v>45747</v>
      </c>
      <c r="B4" s="156">
        <f>YEAR(Table13[[#This Row],[Date]])+IF(MONTH(Table13[[#This Row],[Date]])&gt;=4,1,0)</f>
        <v>2025</v>
      </c>
      <c r="C4" s="129">
        <f>YEAR(Table13[[#This Row],[Date]])</f>
        <v>2025</v>
      </c>
      <c r="D4" s="157">
        <f>Table13[[#This Row],[Date]]-DAY(Table13[[#This Row],[Date]])+1</f>
        <v>45717</v>
      </c>
      <c r="E4" s="129">
        <f t="shared" si="0"/>
        <v>31</v>
      </c>
      <c r="F4" s="130">
        <f>IFERROR(_xlfn.XLOOKUP($A4,'Raw Data'!$G:$G,'Raw Data'!$AH:$AH),"")</f>
        <v>11.749999999999998</v>
      </c>
      <c r="G4" s="131">
        <f>IFERROR(_xlfn.XLOOKUP($A4,'Raw Data'!$G:$G,'Raw Data'!$S:$S)/1000,"")</f>
        <v>0</v>
      </c>
      <c r="H4" s="131"/>
      <c r="I4" s="131">
        <f>IFERROR(_xlfn.XLOOKUP($A4,'Raw Data'!$G:$G,'Raw Data'!$AF:$AF)/1000,"")</f>
        <v>6.7590000000000003</v>
      </c>
      <c r="J4" s="131"/>
      <c r="K4" s="131">
        <f>IFERROR(_xlfn.XLOOKUP($A4,'Raw Data'!$G:$G,'Raw Data'!W:W),"")</f>
        <v>23</v>
      </c>
      <c r="L4" s="131">
        <f>IFERROR(_xlfn.XLOOKUP($A4,'Raw Data'!$G:$G,'Raw Data'!X:X),"")</f>
        <v>45.64</v>
      </c>
      <c r="M4" s="131">
        <f>IFERROR(_xlfn.XLOOKUP($A4,'Raw Data'!$G:$G,'Raw Data'!Y:Y),"")</f>
        <v>7.9</v>
      </c>
      <c r="N4" s="131">
        <f>IFERROR(_xlfn.XLOOKUP($A4,'Raw Data'!$G:$G,'Raw Data'!Z:Z),"")</f>
        <v>10</v>
      </c>
      <c r="O4" s="158">
        <f>IFERROR(1-SUMIF('Plant BD'!$H:$H,$A4,'Plant BD'!AC:AC)/$F4,"")</f>
        <v>1</v>
      </c>
      <c r="P4" s="158"/>
      <c r="Q4" s="159"/>
      <c r="R4" s="158">
        <f>IFERROR(1-SUMIF('Grid BD'!$H:$H,$A4,'Grid BD'!AB:AB)/$F4,"")</f>
        <v>1</v>
      </c>
      <c r="T4" s="159">
        <f>IFERROR(1-SUMIF(Tracker_BD!$H:$H,$A4,Tracker_BD!AI:AI)/$F4,"")</f>
        <v>0.95434906660145102</v>
      </c>
      <c r="U4" s="160">
        <f t="shared" si="1"/>
        <v>0.70243341326730657</v>
      </c>
      <c r="V4" s="160"/>
      <c r="W4" s="161">
        <f t="shared" si="2"/>
        <v>0.1978228100114052</v>
      </c>
      <c r="X4" s="156">
        <f>IFERROR(_xlfn.XLOOKUP($A4,'Raw Data'!$G:$G,'Raw Data'!$AB:$AB),"")</f>
        <v>55860</v>
      </c>
      <c r="Y4" s="156">
        <f>IFERROR(_xlfn.XLOOKUP($A4,'Raw Data'!$G:$G,'Raw Data'!AC:AC),"")</f>
        <v>55857.400000008056</v>
      </c>
      <c r="Z4" s="156">
        <f>IFERROR(_xlfn.XLOOKUP($A4,'Raw Data'!$G:$G,'Raw Data'!AD:AD),"")</f>
        <v>213.799999999992</v>
      </c>
      <c r="AA4" s="156">
        <f>IFERROR(_xlfn.XLOOKUP($A4,'Raw Data'!$G:$G,'Raw Data'!AE:AE),"")</f>
        <v>55643.600000008068</v>
      </c>
      <c r="AB4" s="156">
        <f>IFERROR(_xlfn.XLOOKUP($A4,'Raw Data'!$G:$G,'Raw Data'!$H:$H),"")</f>
        <v>11.72</v>
      </c>
      <c r="AC4" s="162">
        <f>IFERROR(_xlfn.XLOOKUP($D4,'Modelling New'!$D:$D,'Modelling New'!$P:$P),"")</f>
        <v>7.7166057064516123</v>
      </c>
      <c r="AD4" s="156">
        <f>IFERROR(_xlfn.XLOOKUP($D4,'Modelling New'!$D:$D,'Modelling New'!$T:$T)*1000,"")</f>
        <v>74138.709677419363</v>
      </c>
      <c r="AE4" s="163">
        <f>IFERROR(_xlfn.XLOOKUP($D4,'Modelling New'!$D:$D,'Modelling New'!$O:$O),"")</f>
        <v>0.81976826488370957</v>
      </c>
      <c r="AF4" s="163">
        <f>IFERROR(_xlfn.XLOOKUP($D4,'Modelling New'!$D:$D,'Modelling New'!$W:$W),"")</f>
        <v>0.26357618628206536</v>
      </c>
      <c r="AG4" s="163">
        <f>IFERROR(_xlfn.XLOOKUP($D4,'Modelling New'!$D:$D,'Modelling New'!AE:AE),"")</f>
        <v>0.995</v>
      </c>
      <c r="AH4" s="163">
        <f>IFERROR(_xlfn.XLOOKUP($D4,'Modelling New'!$D:$D,'Modelling New'!AF:AF),"")</f>
        <v>0.98550000000000004</v>
      </c>
      <c r="AN4" s="164"/>
      <c r="AO4" s="161"/>
      <c r="AP4" s="161"/>
      <c r="AQ4" s="161"/>
      <c r="AR4" s="156">
        <f>IFERROR(_xlfn.XLOOKUP($D4,'Modelling New'!$D:$D,'Modelling New'!$N:$N),"")</f>
        <v>11.72</v>
      </c>
    </row>
    <row r="5" spans="1:45">
      <c r="A5" s="155">
        <f t="shared" si="3"/>
        <v>45748</v>
      </c>
      <c r="B5" s="156">
        <f>YEAR(Table13[[#This Row],[Date]])+IF(MONTH(Table13[[#This Row],[Date]])&gt;=4,1,0)</f>
        <v>2026</v>
      </c>
      <c r="C5" s="129">
        <f>YEAR(Table13[[#This Row],[Date]])</f>
        <v>2025</v>
      </c>
      <c r="D5" s="157">
        <f>Table13[[#This Row],[Date]]-DAY(Table13[[#This Row],[Date]])+1</f>
        <v>45748</v>
      </c>
      <c r="E5" s="129">
        <f t="shared" si="0"/>
        <v>30</v>
      </c>
      <c r="F5" s="130">
        <f>IFERROR(_xlfn.XLOOKUP($A5,'Raw Data'!$G:$G,'Raw Data'!$AH:$AH),"")</f>
        <v>11.883333333333333</v>
      </c>
      <c r="G5" s="131">
        <f>IFERROR(_xlfn.XLOOKUP($A5,'Raw Data'!$G:$G,'Raw Data'!$S:$S)/1000,"")</f>
        <v>0</v>
      </c>
      <c r="H5" s="131"/>
      <c r="I5" s="131">
        <f>IFERROR(_xlfn.XLOOKUP($A5,'Raw Data'!$G:$G,'Raw Data'!$AF:$AF)/1000,"")</f>
        <v>6.5220000000000002</v>
      </c>
      <c r="J5" s="131"/>
      <c r="K5" s="131">
        <f>IFERROR(_xlfn.XLOOKUP($A5,'Raw Data'!$G:$G,'Raw Data'!W:W),"")</f>
        <v>23</v>
      </c>
      <c r="L5" s="131">
        <f>IFERROR(_xlfn.XLOOKUP($A5,'Raw Data'!$G:$G,'Raw Data'!X:X),"")</f>
        <v>46.3</v>
      </c>
      <c r="M5" s="131">
        <f>IFERROR(_xlfn.XLOOKUP($A5,'Raw Data'!$G:$G,'Raw Data'!Y:Y),"")</f>
        <v>6</v>
      </c>
      <c r="N5" s="131">
        <f>IFERROR(_xlfn.XLOOKUP($A5,'Raw Data'!$G:$G,'Raw Data'!Z:Z),"")</f>
        <v>11</v>
      </c>
      <c r="O5" s="158">
        <f>IFERROR(1-SUMIF('Plant BD'!$H:$H,$A5,'Plant BD'!AC:AC)/$F5,"")</f>
        <v>1</v>
      </c>
      <c r="P5" s="158"/>
      <c r="Q5" s="159"/>
      <c r="R5" s="158">
        <f>IFERROR(1-SUMIF('Grid BD'!$H:$H,$A5,'Grid BD'!AB:AB)/$F5,"")</f>
        <v>1</v>
      </c>
      <c r="T5" s="159">
        <f>IFERROR(1-SUMIF(Tracker_BD!$H:$H,$A5,Tracker_BD!AI:AI)/$F5,"")</f>
        <v>0.95415195627992455</v>
      </c>
      <c r="U5" s="160">
        <f t="shared" si="1"/>
        <v>0.70270823979325225</v>
      </c>
      <c r="V5" s="160"/>
      <c r="W5" s="161">
        <f t="shared" si="2"/>
        <v>0.19096096416381625</v>
      </c>
      <c r="X5" s="156">
        <f>IFERROR(_xlfn.XLOOKUP($A5,'Raw Data'!$G:$G,'Raw Data'!$AB:$AB),"")</f>
        <v>53934</v>
      </c>
      <c r="Y5" s="156">
        <f>IFERROR(_xlfn.XLOOKUP($A5,'Raw Data'!$G:$G,'Raw Data'!AC:AC),"")</f>
        <v>53905.59999999823</v>
      </c>
      <c r="Z5" s="156">
        <f>IFERROR(_xlfn.XLOOKUP($A5,'Raw Data'!$G:$G,'Raw Data'!AD:AD),"")</f>
        <v>192.09999999998217</v>
      </c>
      <c r="AA5" s="156">
        <f>IFERROR(_xlfn.XLOOKUP($A5,'Raw Data'!$G:$G,'Raw Data'!AE:AE),"")</f>
        <v>53713.499999998246</v>
      </c>
      <c r="AB5" s="156">
        <f>IFERROR(_xlfn.XLOOKUP($A5,'Raw Data'!$G:$G,'Raw Data'!$H:$H),"")</f>
        <v>11.72</v>
      </c>
      <c r="AC5" s="162">
        <f>IFERROR(_xlfn.XLOOKUP($D5,'Modelling New'!$D:$D,'Modelling New'!$P:$P),"")</f>
        <v>7.6186700233333315</v>
      </c>
      <c r="AD5" s="156">
        <f>IFERROR(_xlfn.XLOOKUP($D5,'Modelling New'!$D:$D,'Modelling New'!$T:$T)*1000,"")</f>
        <v>63455.713653610728</v>
      </c>
      <c r="AE5" s="163">
        <f>IFERROR(_xlfn.XLOOKUP($D5,'Modelling New'!$D:$D,'Modelling New'!$O:$O),"")</f>
        <v>0.71066341265888178</v>
      </c>
      <c r="AF5" s="163">
        <f>IFERROR(_xlfn.XLOOKUP($D5,'Modelling New'!$D:$D,'Modelling New'!$W:$W),"")</f>
        <v>0.22559625161266611</v>
      </c>
      <c r="AG5" s="163">
        <f>IFERROR(_xlfn.XLOOKUP($D5,'Modelling New'!$D:$D,'Modelling New'!AE:AE),"")</f>
        <v>0.995</v>
      </c>
      <c r="AH5" s="163">
        <f>IFERROR(_xlfn.XLOOKUP($D5,'Modelling New'!$D:$D,'Modelling New'!AF:AF),"")</f>
        <v>0.98550000000000004</v>
      </c>
      <c r="AN5" s="164"/>
      <c r="AO5" s="161"/>
      <c r="AP5" s="161"/>
      <c r="AQ5" s="161"/>
      <c r="AR5" s="156">
        <f>IFERROR(_xlfn.XLOOKUP($D5,'Modelling New'!$D:$D,'Modelling New'!$N:$N),"")</f>
        <v>11.72</v>
      </c>
    </row>
    <row r="6" spans="1:45">
      <c r="A6" s="155">
        <f t="shared" si="3"/>
        <v>45749</v>
      </c>
      <c r="B6" s="156">
        <f>YEAR(Table13[[#This Row],[Date]])+IF(MONTH(Table13[[#This Row],[Date]])&gt;=4,1,0)</f>
        <v>2026</v>
      </c>
      <c r="C6" s="129">
        <f>YEAR(Table13[[#This Row],[Date]])</f>
        <v>2025</v>
      </c>
      <c r="D6" s="157">
        <f>Table13[[#This Row],[Date]]-DAY(Table13[[#This Row],[Date]])+1</f>
        <v>45748</v>
      </c>
      <c r="E6" s="129">
        <f t="shared" si="0"/>
        <v>30</v>
      </c>
      <c r="F6" s="130">
        <f>IFERROR(_xlfn.XLOOKUP($A6,'Raw Data'!$G:$G,'Raw Data'!$AH:$AH),"")</f>
        <v>11.85</v>
      </c>
      <c r="G6" s="131">
        <f>IFERROR(_xlfn.XLOOKUP($A6,'Raw Data'!$G:$G,'Raw Data'!$S:$S)/1000,"")</f>
        <v>0</v>
      </c>
      <c r="H6" s="131"/>
      <c r="I6" s="131">
        <f>IFERROR(_xlfn.XLOOKUP($A6,'Raw Data'!$G:$G,'Raw Data'!$AF:$AF)/1000,"")</f>
        <v>7.8250000000000002</v>
      </c>
      <c r="J6" s="131"/>
      <c r="K6" s="131">
        <f>IFERROR(_xlfn.XLOOKUP($A6,'Raw Data'!$G:$G,'Raw Data'!W:W),"")</f>
        <v>23</v>
      </c>
      <c r="L6" s="131">
        <f>IFERROR(_xlfn.XLOOKUP($A6,'Raw Data'!$G:$G,'Raw Data'!X:X),"")</f>
        <v>46.3</v>
      </c>
      <c r="M6" s="131">
        <f>IFERROR(_xlfn.XLOOKUP($A6,'Raw Data'!$G:$G,'Raw Data'!Y:Y),"")</f>
        <v>6</v>
      </c>
      <c r="N6" s="131">
        <f>IFERROR(_xlfn.XLOOKUP($A6,'Raw Data'!$G:$G,'Raw Data'!Z:Z),"")</f>
        <v>11</v>
      </c>
      <c r="O6" s="158">
        <f>IFERROR(1-SUMIF('Plant BD'!$H:$H,$A6,'Plant BD'!AC:AC)/$F6,"")</f>
        <v>1</v>
      </c>
      <c r="P6" s="158"/>
      <c r="Q6" s="159"/>
      <c r="R6" s="158">
        <f>IFERROR(1-SUMIF('Grid BD'!$H:$H,$A6,'Grid BD'!AB:AB)/$F6,"")</f>
        <v>1</v>
      </c>
      <c r="T6" s="159">
        <f>IFERROR(1-SUMIF(Tracker_BD!$H:$H,$A6,Tracker_BD!AI:AI)/$F6,"")</f>
        <v>0.95421698433483682</v>
      </c>
      <c r="U6" s="160">
        <f t="shared" si="1"/>
        <v>0.70005342987051389</v>
      </c>
      <c r="V6" s="160"/>
      <c r="W6" s="161">
        <f t="shared" si="2"/>
        <v>0.22824658703069881</v>
      </c>
      <c r="X6" s="156">
        <f>IFERROR(_xlfn.XLOOKUP($A6,'Raw Data'!$G:$G,'Raw Data'!$AB:$AB),"")</f>
        <v>64439</v>
      </c>
      <c r="Y6" s="156">
        <f>IFERROR(_xlfn.XLOOKUP($A6,'Raw Data'!$G:$G,'Raw Data'!AC:AC),"")</f>
        <v>64403.999999994994</v>
      </c>
      <c r="Z6" s="156">
        <f>IFERROR(_xlfn.XLOOKUP($A6,'Raw Data'!$G:$G,'Raw Data'!AD:AD),"")</f>
        <v>202.80000000002474</v>
      </c>
      <c r="AA6" s="156">
        <f>IFERROR(_xlfn.XLOOKUP($A6,'Raw Data'!$G:$G,'Raw Data'!AE:AE),"")</f>
        <v>64201.199999994969</v>
      </c>
      <c r="AB6" s="156">
        <f>IFERROR(_xlfn.XLOOKUP($A6,'Raw Data'!$G:$G,'Raw Data'!$H:$H),"")</f>
        <v>11.72</v>
      </c>
      <c r="AC6" s="162">
        <f>IFERROR(_xlfn.XLOOKUP($D6,'Modelling New'!$D:$D,'Modelling New'!$P:$P),"")</f>
        <v>7.6186700233333315</v>
      </c>
      <c r="AD6" s="156">
        <f>IFERROR(_xlfn.XLOOKUP($D6,'Modelling New'!$D:$D,'Modelling New'!$T:$T)*1000,"")</f>
        <v>63455.713653610728</v>
      </c>
      <c r="AE6" s="163">
        <f>IFERROR(_xlfn.XLOOKUP($D6,'Modelling New'!$D:$D,'Modelling New'!$O:$O),"")</f>
        <v>0.71066341265888178</v>
      </c>
      <c r="AF6" s="163">
        <f>IFERROR(_xlfn.XLOOKUP($D6,'Modelling New'!$D:$D,'Modelling New'!$W:$W),"")</f>
        <v>0.22559625161266611</v>
      </c>
      <c r="AG6" s="163">
        <f>IFERROR(_xlfn.XLOOKUP($D6,'Modelling New'!$D:$D,'Modelling New'!AE:AE),"")</f>
        <v>0.995</v>
      </c>
      <c r="AH6" s="163">
        <f>IFERROR(_xlfn.XLOOKUP($D6,'Modelling New'!$D:$D,'Modelling New'!AF:AF),"")</f>
        <v>0.98550000000000004</v>
      </c>
      <c r="AN6" s="164"/>
      <c r="AO6" s="161"/>
      <c r="AP6" s="161"/>
      <c r="AQ6" s="161"/>
      <c r="AR6" s="156">
        <f>IFERROR(_xlfn.XLOOKUP($D6,'Modelling New'!$D:$D,'Modelling New'!$N:$N),"")</f>
        <v>11.72</v>
      </c>
    </row>
    <row r="7" spans="1:45">
      <c r="A7" s="155">
        <f t="shared" si="3"/>
        <v>45750</v>
      </c>
      <c r="B7" s="156">
        <f>YEAR(Table13[[#This Row],[Date]])+IF(MONTH(Table13[[#This Row],[Date]])&gt;=4,1,0)</f>
        <v>2026</v>
      </c>
      <c r="C7" s="129">
        <f>YEAR(Table13[[#This Row],[Date]])</f>
        <v>2025</v>
      </c>
      <c r="D7" s="157">
        <f>Table13[[#This Row],[Date]]-DAY(Table13[[#This Row],[Date]])+1</f>
        <v>45748</v>
      </c>
      <c r="E7" s="129">
        <f t="shared" si="0"/>
        <v>30</v>
      </c>
      <c r="F7" s="130">
        <f>IFERROR(_xlfn.XLOOKUP($A7,'Raw Data'!$G:$G,'Raw Data'!$AH:$AH),"")</f>
        <v>11.7</v>
      </c>
      <c r="G7" s="131">
        <f>IFERROR(_xlfn.XLOOKUP($A7,'Raw Data'!$G:$G,'Raw Data'!$S:$S)/1000,"")</f>
        <v>0</v>
      </c>
      <c r="H7" s="131"/>
      <c r="I7" s="131">
        <f>IFERROR(_xlfn.XLOOKUP($A7,'Raw Data'!$G:$G,'Raw Data'!$AF:$AF)/1000,"")</f>
        <v>4.1340000000000003</v>
      </c>
      <c r="J7" s="131"/>
      <c r="K7" s="131">
        <f>IFERROR(_xlfn.XLOOKUP($A7,'Raw Data'!$G:$G,'Raw Data'!W:W),"")</f>
        <v>23</v>
      </c>
      <c r="L7" s="131">
        <f>IFERROR(_xlfn.XLOOKUP($A7,'Raw Data'!$G:$G,'Raw Data'!X:X),"")</f>
        <v>35</v>
      </c>
      <c r="M7" s="131">
        <f>IFERROR(_xlfn.XLOOKUP($A7,'Raw Data'!$G:$G,'Raw Data'!Y:Y),"")</f>
        <v>8</v>
      </c>
      <c r="N7" s="131">
        <f>IFERROR(_xlfn.XLOOKUP($A7,'Raw Data'!$G:$G,'Raw Data'!Z:Z),"")</f>
        <v>13</v>
      </c>
      <c r="O7" s="158">
        <f>IFERROR(1-SUMIF('Plant BD'!$H:$H,$A7,'Plant BD'!AC:AC)/$F7,"")</f>
        <v>1</v>
      </c>
      <c r="P7" s="158"/>
      <c r="Q7" s="159"/>
      <c r="R7" s="158">
        <f>IFERROR(1-SUMIF('Grid BD'!$H:$H,$A7,'Grid BD'!AB:AB)/$F7,"")</f>
        <v>1</v>
      </c>
      <c r="T7" s="159">
        <f>IFERROR(1-SUMIF(Tracker_BD!$H:$H,$A7,Tracker_BD!AI:AI)/$F7,"")</f>
        <v>0.95435046009758651</v>
      </c>
      <c r="U7" s="160">
        <f t="shared" si="1"/>
        <v>0.73370170945678714</v>
      </c>
      <c r="V7" s="160"/>
      <c r="W7" s="161">
        <f t="shared" si="2"/>
        <v>0.12638011945393157</v>
      </c>
      <c r="X7" s="156">
        <f>IFERROR(_xlfn.XLOOKUP($A7,'Raw Data'!$G:$G,'Raw Data'!$AB:$AB),"")</f>
        <v>35802</v>
      </c>
      <c r="Y7" s="156">
        <f>IFERROR(_xlfn.XLOOKUP($A7,'Raw Data'!$G:$G,'Raw Data'!AC:AC),"")</f>
        <v>35748.200000001816</v>
      </c>
      <c r="Z7" s="156">
        <f>IFERROR(_xlfn.XLOOKUP($A7,'Raw Data'!$G:$G,'Raw Data'!AD:AD),"")</f>
        <v>199.99999999993179</v>
      </c>
      <c r="AA7" s="156">
        <f>IFERROR(_xlfn.XLOOKUP($A7,'Raw Data'!$G:$G,'Raw Data'!AE:AE),"")</f>
        <v>35548.200000001882</v>
      </c>
      <c r="AB7" s="156">
        <f>IFERROR(_xlfn.XLOOKUP($A7,'Raw Data'!$G:$G,'Raw Data'!$H:$H),"")</f>
        <v>11.72</v>
      </c>
      <c r="AC7" s="162">
        <f>IFERROR(_xlfn.XLOOKUP($D7,'Modelling New'!$D:$D,'Modelling New'!$P:$P),"")</f>
        <v>7.6186700233333315</v>
      </c>
      <c r="AD7" s="156">
        <f>IFERROR(_xlfn.XLOOKUP($D7,'Modelling New'!$D:$D,'Modelling New'!$T:$T)*1000,"")</f>
        <v>63455.713653610728</v>
      </c>
      <c r="AE7" s="163">
        <f>IFERROR(_xlfn.XLOOKUP($D7,'Modelling New'!$D:$D,'Modelling New'!$O:$O),"")</f>
        <v>0.71066341265888178</v>
      </c>
      <c r="AF7" s="163">
        <f>IFERROR(_xlfn.XLOOKUP($D7,'Modelling New'!$D:$D,'Modelling New'!$W:$W),"")</f>
        <v>0.22559625161266611</v>
      </c>
      <c r="AG7" s="163">
        <f>IFERROR(_xlfn.XLOOKUP($D7,'Modelling New'!$D:$D,'Modelling New'!AE:AE),"")</f>
        <v>0.995</v>
      </c>
      <c r="AH7" s="163">
        <f>IFERROR(_xlfn.XLOOKUP($D7,'Modelling New'!$D:$D,'Modelling New'!AF:AF),"")</f>
        <v>0.98550000000000004</v>
      </c>
      <c r="AN7" s="164"/>
      <c r="AO7" s="161"/>
      <c r="AP7" s="161"/>
      <c r="AQ7" s="161"/>
      <c r="AR7" s="156">
        <f>IFERROR(_xlfn.XLOOKUP($D7,'Modelling New'!$D:$D,'Modelling New'!$N:$N),"")</f>
        <v>11.72</v>
      </c>
    </row>
    <row r="8" spans="1:45">
      <c r="A8" s="155">
        <f t="shared" si="3"/>
        <v>45751</v>
      </c>
      <c r="B8" s="156">
        <f>YEAR(Table13[[#This Row],[Date]])+IF(MONTH(Table13[[#This Row],[Date]])&gt;=4,1,0)</f>
        <v>2026</v>
      </c>
      <c r="C8" s="129">
        <f>YEAR(Table13[[#This Row],[Date]])</f>
        <v>2025</v>
      </c>
      <c r="D8" s="157">
        <f>Table13[[#This Row],[Date]]-DAY(Table13[[#This Row],[Date]])+1</f>
        <v>45748</v>
      </c>
      <c r="E8" s="129">
        <f t="shared" si="0"/>
        <v>30</v>
      </c>
      <c r="F8" s="130">
        <f>IFERROR(_xlfn.XLOOKUP($A8,'Raw Data'!$G:$G,'Raw Data'!$AH:$AH),"")</f>
        <v>11.866666666666665</v>
      </c>
      <c r="G8" s="131">
        <f>IFERROR(_xlfn.XLOOKUP($A8,'Raw Data'!$G:$G,'Raw Data'!$S:$S)/1000,"")</f>
        <v>0</v>
      </c>
      <c r="H8" s="131"/>
      <c r="I8" s="131">
        <f>IFERROR(_xlfn.XLOOKUP($A8,'Raw Data'!$G:$G,'Raw Data'!$AF:$AF)/1000,"")</f>
        <v>7.9649999999999999</v>
      </c>
      <c r="J8" s="131"/>
      <c r="K8" s="131">
        <f>IFERROR(_xlfn.XLOOKUP($A8,'Raw Data'!$G:$G,'Raw Data'!W:W),"")</f>
        <v>23</v>
      </c>
      <c r="L8" s="131">
        <f>IFERROR(_xlfn.XLOOKUP($A8,'Raw Data'!$G:$G,'Raw Data'!X:X),"")</f>
        <v>47</v>
      </c>
      <c r="M8" s="131">
        <f>IFERROR(_xlfn.XLOOKUP($A8,'Raw Data'!$G:$G,'Raw Data'!Y:Y),"")</f>
        <v>8</v>
      </c>
      <c r="N8" s="131">
        <f>IFERROR(_xlfn.XLOOKUP($A8,'Raw Data'!$G:$G,'Raw Data'!Z:Z),"")</f>
        <v>15</v>
      </c>
      <c r="O8" s="158">
        <f>IFERROR(1-SUMIF('Plant BD'!$H:$H,$A8,'Plant BD'!AC:AC)/$F8,"")</f>
        <v>1</v>
      </c>
      <c r="P8" s="158"/>
      <c r="Q8" s="159"/>
      <c r="R8" s="158">
        <f>IFERROR(1-SUMIF('Grid BD'!$H:$H,$A8,'Grid BD'!AB:AB)/$F8,"")</f>
        <v>1</v>
      </c>
      <c r="T8" s="159">
        <f>IFERROR(1-SUMIF(Tracker_BD!$H:$H,$A8,Tracker_BD!AI:AI)/$F8,"")</f>
        <v>0.95441043523182234</v>
      </c>
      <c r="U8" s="160">
        <f t="shared" si="1"/>
        <v>0.70214076516493273</v>
      </c>
      <c r="V8" s="160"/>
      <c r="W8" s="161">
        <f t="shared" si="2"/>
        <v>0.23302296643911199</v>
      </c>
      <c r="X8" s="156">
        <f>IFERROR(_xlfn.XLOOKUP($A8,'Raw Data'!$G:$G,'Raw Data'!$AB:$AB),"")</f>
        <v>65783</v>
      </c>
      <c r="Y8" s="156">
        <f>IFERROR(_xlfn.XLOOKUP($A8,'Raw Data'!$G:$G,'Raw Data'!AC:AC),"")</f>
        <v>65766.099999993457</v>
      </c>
      <c r="Z8" s="156">
        <f>IFERROR(_xlfn.XLOOKUP($A8,'Raw Data'!$G:$G,'Raw Data'!AD:AD),"")</f>
        <v>221.40000000001692</v>
      </c>
      <c r="AA8" s="156">
        <f>IFERROR(_xlfn.XLOOKUP($A8,'Raw Data'!$G:$G,'Raw Data'!AE:AE),"")</f>
        <v>65544.699999993434</v>
      </c>
      <c r="AB8" s="156">
        <f>IFERROR(_xlfn.XLOOKUP($A8,'Raw Data'!$G:$G,'Raw Data'!$H:$H),"")</f>
        <v>11.72</v>
      </c>
      <c r="AC8" s="162">
        <f>IFERROR(_xlfn.XLOOKUP($D8,'Modelling New'!$D:$D,'Modelling New'!$P:$P),"")</f>
        <v>7.6186700233333315</v>
      </c>
      <c r="AD8" s="156">
        <f>IFERROR(_xlfn.XLOOKUP($D8,'Modelling New'!$D:$D,'Modelling New'!$T:$T)*1000,"")</f>
        <v>63455.713653610728</v>
      </c>
      <c r="AE8" s="163">
        <f>IFERROR(_xlfn.XLOOKUP($D8,'Modelling New'!$D:$D,'Modelling New'!$O:$O),"")</f>
        <v>0.71066341265888178</v>
      </c>
      <c r="AF8" s="163">
        <f>IFERROR(_xlfn.XLOOKUP($D8,'Modelling New'!$D:$D,'Modelling New'!$W:$W),"")</f>
        <v>0.22559625161266611</v>
      </c>
      <c r="AG8" s="163">
        <f>IFERROR(_xlfn.XLOOKUP($D8,'Modelling New'!$D:$D,'Modelling New'!AE:AE),"")</f>
        <v>0.995</v>
      </c>
      <c r="AH8" s="163">
        <f>IFERROR(_xlfn.XLOOKUP($D8,'Modelling New'!$D:$D,'Modelling New'!AF:AF),"")</f>
        <v>0.98550000000000004</v>
      </c>
      <c r="AN8" s="164"/>
      <c r="AO8" s="161"/>
      <c r="AP8" s="161"/>
      <c r="AQ8" s="161"/>
      <c r="AR8" s="156">
        <f>IFERROR(_xlfn.XLOOKUP($D8,'Modelling New'!$D:$D,'Modelling New'!$N:$N),"")</f>
        <v>11.72</v>
      </c>
    </row>
    <row r="9" spans="1:45">
      <c r="A9" s="155">
        <f t="shared" si="3"/>
        <v>45752</v>
      </c>
      <c r="B9" s="156">
        <f>YEAR(Table13[[#This Row],[Date]])+IF(MONTH(Table13[[#This Row],[Date]])&gt;=4,1,0)</f>
        <v>2026</v>
      </c>
      <c r="C9" s="129">
        <f>YEAR(Table13[[#This Row],[Date]])</f>
        <v>2025</v>
      </c>
      <c r="D9" s="157">
        <f>Table13[[#This Row],[Date]]-DAY(Table13[[#This Row],[Date]])+1</f>
        <v>45748</v>
      </c>
      <c r="E9" s="129">
        <f t="shared" si="0"/>
        <v>30</v>
      </c>
      <c r="F9" s="130">
        <f>IFERROR(_xlfn.XLOOKUP($A9,'Raw Data'!$G:$G,'Raw Data'!$AH:$AH),"")</f>
        <v>11.899999999999999</v>
      </c>
      <c r="G9" s="131">
        <f>IFERROR(_xlfn.XLOOKUP($A9,'Raw Data'!$G:$G,'Raw Data'!$S:$S)/1000,"")</f>
        <v>0</v>
      </c>
      <c r="H9" s="131"/>
      <c r="I9" s="131">
        <f>IFERROR(_xlfn.XLOOKUP($A9,'Raw Data'!$G:$G,'Raw Data'!$AF:$AF)/1000,"")</f>
        <v>6.87</v>
      </c>
      <c r="J9" s="131"/>
      <c r="K9" s="131">
        <f>IFERROR(_xlfn.XLOOKUP($A9,'Raw Data'!$G:$G,'Raw Data'!W:W),"")</f>
        <v>23</v>
      </c>
      <c r="L9" s="131">
        <f>IFERROR(_xlfn.XLOOKUP($A9,'Raw Data'!$G:$G,'Raw Data'!X:X),"")</f>
        <v>47</v>
      </c>
      <c r="M9" s="131">
        <f>IFERROR(_xlfn.XLOOKUP($A9,'Raw Data'!$G:$G,'Raw Data'!Y:Y),"")</f>
        <v>8</v>
      </c>
      <c r="N9" s="131">
        <f>IFERROR(_xlfn.XLOOKUP($A9,'Raw Data'!$G:$G,'Raw Data'!Z:Z),"")</f>
        <v>15</v>
      </c>
      <c r="O9" s="158">
        <f>IFERROR(1-SUMIF('Plant BD'!$H:$H,$A9,'Plant BD'!AC:AC)/$F9,"")</f>
        <v>1</v>
      </c>
      <c r="P9" s="158"/>
      <c r="Q9" s="159"/>
      <c r="R9" s="158">
        <f>IFERROR(1-SUMIF('Grid BD'!$H:$H,$A9,'Grid BD'!AB:AB)/$F9,"")</f>
        <v>1</v>
      </c>
      <c r="T9" s="159">
        <f>IFERROR(1-SUMIF(Tracker_BD!$H:$H,$A9,Tracker_BD!AI:AI)/$F9,"")</f>
        <v>0.95415177565278986</v>
      </c>
      <c r="U9" s="160">
        <f t="shared" si="1"/>
        <v>0.70981191409458821</v>
      </c>
      <c r="V9" s="160"/>
      <c r="W9" s="161">
        <f t="shared" si="2"/>
        <v>0.20318366040957589</v>
      </c>
      <c r="X9" s="156">
        <f>IFERROR(_xlfn.XLOOKUP($A9,'Raw Data'!$G:$G,'Raw Data'!$AB:$AB),"")</f>
        <v>57610</v>
      </c>
      <c r="Y9" s="156">
        <f>IFERROR(_xlfn.XLOOKUP($A9,'Raw Data'!$G:$G,'Raw Data'!AC:AC),"")</f>
        <v>57350.300000005518</v>
      </c>
      <c r="Z9" s="156">
        <f>IFERROR(_xlfn.XLOOKUP($A9,'Raw Data'!$G:$G,'Raw Data'!AD:AD),"")</f>
        <v>198.80000000000564</v>
      </c>
      <c r="AA9" s="156">
        <f>IFERROR(_xlfn.XLOOKUP($A9,'Raw Data'!$G:$G,'Raw Data'!AE:AE),"")</f>
        <v>57151.500000005515</v>
      </c>
      <c r="AB9" s="156">
        <f>IFERROR(_xlfn.XLOOKUP($A9,'Raw Data'!$G:$G,'Raw Data'!$H:$H),"")</f>
        <v>11.72</v>
      </c>
      <c r="AC9" s="162">
        <f>IFERROR(_xlfn.XLOOKUP($D9,'Modelling New'!$D:$D,'Modelling New'!$P:$P),"")</f>
        <v>7.6186700233333315</v>
      </c>
      <c r="AD9" s="156">
        <f>IFERROR(_xlfn.XLOOKUP($D9,'Modelling New'!$D:$D,'Modelling New'!$T:$T)*1000,"")</f>
        <v>63455.713653610728</v>
      </c>
      <c r="AE9" s="163">
        <f>IFERROR(_xlfn.XLOOKUP($D9,'Modelling New'!$D:$D,'Modelling New'!$O:$O),"")</f>
        <v>0.71066341265888178</v>
      </c>
      <c r="AF9" s="163">
        <f>IFERROR(_xlfn.XLOOKUP($D9,'Modelling New'!$D:$D,'Modelling New'!$W:$W),"")</f>
        <v>0.22559625161266611</v>
      </c>
      <c r="AG9" s="163">
        <f>IFERROR(_xlfn.XLOOKUP($D9,'Modelling New'!$D:$D,'Modelling New'!AE:AE),"")</f>
        <v>0.995</v>
      </c>
      <c r="AH9" s="163">
        <f>IFERROR(_xlfn.XLOOKUP($D9,'Modelling New'!$D:$D,'Modelling New'!AF:AF),"")</f>
        <v>0.98550000000000004</v>
      </c>
      <c r="AN9" s="164"/>
      <c r="AO9" s="161"/>
      <c r="AP9" s="161"/>
      <c r="AQ9" s="161"/>
      <c r="AR9" s="156">
        <f>IFERROR(_xlfn.XLOOKUP($D9,'Modelling New'!$D:$D,'Modelling New'!$N:$N),"")</f>
        <v>11.72</v>
      </c>
    </row>
    <row r="10" spans="1:45">
      <c r="A10" s="155">
        <f t="shared" si="3"/>
        <v>45753</v>
      </c>
      <c r="B10" s="156">
        <f>YEAR(Table13[[#This Row],[Date]])+IF(MONTH(Table13[[#This Row],[Date]])&gt;=4,1,0)</f>
        <v>2026</v>
      </c>
      <c r="C10" s="129">
        <f>YEAR(Table13[[#This Row],[Date]])</f>
        <v>2025</v>
      </c>
      <c r="D10" s="157">
        <f>Table13[[#This Row],[Date]]-DAY(Table13[[#This Row],[Date]])+1</f>
        <v>45748</v>
      </c>
      <c r="E10" s="129">
        <f t="shared" si="0"/>
        <v>30</v>
      </c>
      <c r="F10" s="130">
        <f>IFERROR(_xlfn.XLOOKUP($A10,'Raw Data'!$G:$G,'Raw Data'!$AH:$AH),"")</f>
        <v>11.866666666666665</v>
      </c>
      <c r="G10" s="131">
        <f>IFERROR(_xlfn.XLOOKUP($A10,'Raw Data'!$G:$G,'Raw Data'!$S:$S)/1000,"")</f>
        <v>0</v>
      </c>
      <c r="H10" s="131"/>
      <c r="I10" s="131">
        <f>IFERROR(_xlfn.XLOOKUP($A10,'Raw Data'!$G:$G,'Raw Data'!$AF:$AF)/1000,"")</f>
        <v>7.45</v>
      </c>
      <c r="J10" s="131"/>
      <c r="K10" s="131">
        <f>IFERROR(_xlfn.XLOOKUP($A10,'Raw Data'!$G:$G,'Raw Data'!W:W),"")</f>
        <v>23</v>
      </c>
      <c r="L10" s="131">
        <f>IFERROR(_xlfn.XLOOKUP($A10,'Raw Data'!$G:$G,'Raw Data'!X:X),"")</f>
        <v>47</v>
      </c>
      <c r="M10" s="131">
        <f>IFERROR(_xlfn.XLOOKUP($A10,'Raw Data'!$G:$G,'Raw Data'!Y:Y),"")</f>
        <v>6</v>
      </c>
      <c r="N10" s="131">
        <f>IFERROR(_xlfn.XLOOKUP($A10,'Raw Data'!$G:$G,'Raw Data'!Z:Z),"")</f>
        <v>11</v>
      </c>
      <c r="O10" s="158">
        <f>IFERROR(1-SUMIF('Plant BD'!$H:$H,$A10,'Plant BD'!AC:AC)/$F10,"")</f>
        <v>1</v>
      </c>
      <c r="P10" s="158"/>
      <c r="Q10" s="159"/>
      <c r="R10" s="158">
        <f>IFERROR(1-SUMIF('Grid BD'!$H:$H,$A10,'Grid BD'!AB:AB)/$F10,"")</f>
        <v>1</v>
      </c>
      <c r="T10" s="159">
        <f>IFERROR(1-SUMIF(Tracker_BD!$H:$H,$A10,Tracker_BD!AI:AI)/$F10,"")</f>
        <v>0.95441043523182234</v>
      </c>
      <c r="U10" s="160">
        <f t="shared" si="1"/>
        <v>0.70412648601596206</v>
      </c>
      <c r="V10" s="160"/>
      <c r="W10" s="161">
        <f t="shared" si="2"/>
        <v>0.21857259670078821</v>
      </c>
      <c r="X10" s="156">
        <f>IFERROR(_xlfn.XLOOKUP($A10,'Raw Data'!$G:$G,'Raw Data'!$AB:$AB),"")</f>
        <v>61698</v>
      </c>
      <c r="Y10" s="156">
        <f>IFERROR(_xlfn.XLOOKUP($A10,'Raw Data'!$G:$G,'Raw Data'!AC:AC),"")</f>
        <v>61665.699999997742</v>
      </c>
      <c r="Z10" s="156">
        <f>IFERROR(_xlfn.XLOOKUP($A10,'Raw Data'!$G:$G,'Raw Data'!AD:AD),"")</f>
        <v>185.60000000002219</v>
      </c>
      <c r="AA10" s="156">
        <f>IFERROR(_xlfn.XLOOKUP($A10,'Raw Data'!$G:$G,'Raw Data'!AE:AE),"")</f>
        <v>61480.099999997721</v>
      </c>
      <c r="AB10" s="156">
        <f>IFERROR(_xlfn.XLOOKUP($A10,'Raw Data'!$G:$G,'Raw Data'!$H:$H),"")</f>
        <v>11.72</v>
      </c>
      <c r="AC10" s="162">
        <f>IFERROR(_xlfn.XLOOKUP($D10,'Modelling New'!$D:$D,'Modelling New'!$P:$P),"")</f>
        <v>7.6186700233333315</v>
      </c>
      <c r="AD10" s="156">
        <f>IFERROR(_xlfn.XLOOKUP($D10,'Modelling New'!$D:$D,'Modelling New'!$T:$T)*1000,"")</f>
        <v>63455.713653610728</v>
      </c>
      <c r="AE10" s="163">
        <f>IFERROR(_xlfn.XLOOKUP($D10,'Modelling New'!$D:$D,'Modelling New'!$O:$O),"")</f>
        <v>0.71066341265888178</v>
      </c>
      <c r="AF10" s="163">
        <f>IFERROR(_xlfn.XLOOKUP($D10,'Modelling New'!$D:$D,'Modelling New'!$W:$W),"")</f>
        <v>0.22559625161266611</v>
      </c>
      <c r="AG10" s="163">
        <f>IFERROR(_xlfn.XLOOKUP($D10,'Modelling New'!$D:$D,'Modelling New'!AE:AE),"")</f>
        <v>0.995</v>
      </c>
      <c r="AH10" s="163">
        <f>IFERROR(_xlfn.XLOOKUP($D10,'Modelling New'!$D:$D,'Modelling New'!AF:AF),"")</f>
        <v>0.98550000000000004</v>
      </c>
      <c r="AN10" s="164"/>
      <c r="AO10" s="161"/>
      <c r="AP10" s="161"/>
      <c r="AQ10" s="161"/>
      <c r="AR10" s="156">
        <f>IFERROR(_xlfn.XLOOKUP($D10,'Modelling New'!$D:$D,'Modelling New'!$N:$N),"")</f>
        <v>11.72</v>
      </c>
    </row>
    <row r="11" spans="1:45">
      <c r="A11" s="155">
        <f t="shared" si="3"/>
        <v>45754</v>
      </c>
      <c r="B11" s="156">
        <f>YEAR(Table13[[#This Row],[Date]])+IF(MONTH(Table13[[#This Row],[Date]])&gt;=4,1,0)</f>
        <v>2026</v>
      </c>
      <c r="C11" s="129">
        <f>YEAR(Table13[[#This Row],[Date]])</f>
        <v>2025</v>
      </c>
      <c r="D11" s="157">
        <f>Table13[[#This Row],[Date]]-DAY(Table13[[#This Row],[Date]])+1</f>
        <v>45748</v>
      </c>
      <c r="E11" s="129">
        <f t="shared" si="0"/>
        <v>30</v>
      </c>
      <c r="F11" s="130">
        <f>IFERROR(_xlfn.XLOOKUP($A11,'Raw Data'!$G:$G,'Raw Data'!$AH:$AH),"")</f>
        <v>11.983333333333333</v>
      </c>
      <c r="G11" s="131">
        <f>IFERROR(_xlfn.XLOOKUP($A11,'Raw Data'!$G:$G,'Raw Data'!$S:$S)/1000,"")</f>
        <v>0</v>
      </c>
      <c r="H11" s="131"/>
      <c r="I11" s="131">
        <f>IFERROR(_xlfn.XLOOKUP($A11,'Raw Data'!$G:$G,'Raw Data'!$AF:$AF)/1000,"")</f>
        <v>7.2690000000000001</v>
      </c>
      <c r="J11" s="131"/>
      <c r="K11" s="131">
        <f>IFERROR(_xlfn.XLOOKUP($A11,'Raw Data'!$G:$G,'Raw Data'!W:W),"")</f>
        <v>23</v>
      </c>
      <c r="L11" s="131">
        <f>IFERROR(_xlfn.XLOOKUP($A11,'Raw Data'!$G:$G,'Raw Data'!X:X),"")</f>
        <v>47</v>
      </c>
      <c r="M11" s="131">
        <f>IFERROR(_xlfn.XLOOKUP($A11,'Raw Data'!$G:$G,'Raw Data'!Y:Y),"")</f>
        <v>4.9000000000000004</v>
      </c>
      <c r="N11" s="131">
        <f>IFERROR(_xlfn.XLOOKUP($A11,'Raw Data'!$G:$G,'Raw Data'!Z:Z),"")</f>
        <v>16</v>
      </c>
      <c r="O11" s="158">
        <f>IFERROR(1-SUMIF('Plant BD'!$H:$H,$A11,'Plant BD'!AC:AC)/$F11,"")</f>
        <v>1</v>
      </c>
      <c r="P11" s="158"/>
      <c r="Q11" s="159"/>
      <c r="R11" s="158">
        <f>IFERROR(1-SUMIF('Grid BD'!$H:$H,$A11,'Grid BD'!AB:AB)/$F11,"")</f>
        <v>1</v>
      </c>
      <c r="T11" s="159">
        <f>IFERROR(1-SUMIF(Tracker_BD!$H:$H,$A11,Tracker_BD!AI:AI)/$F11,"")</f>
        <v>0.95427877160168184</v>
      </c>
      <c r="U11" s="160">
        <f t="shared" si="1"/>
        <v>0.69619009520535058</v>
      </c>
      <c r="V11" s="160"/>
      <c r="W11" s="161">
        <f t="shared" si="2"/>
        <v>0.21085857508532049</v>
      </c>
      <c r="X11" s="156">
        <f>IFERROR(_xlfn.XLOOKUP($A11,'Raw Data'!$G:$G,'Raw Data'!$AB:$AB),"")</f>
        <v>59545</v>
      </c>
      <c r="Y11" s="156">
        <f>IFERROR(_xlfn.XLOOKUP($A11,'Raw Data'!$G:$G,'Raw Data'!AC:AC),"")</f>
        <v>59510.699999998906</v>
      </c>
      <c r="Z11" s="156">
        <f>IFERROR(_xlfn.XLOOKUP($A11,'Raw Data'!$G:$G,'Raw Data'!AD:AD),"")</f>
        <v>200.39999999994507</v>
      </c>
      <c r="AA11" s="156">
        <f>IFERROR(_xlfn.XLOOKUP($A11,'Raw Data'!$G:$G,'Raw Data'!AE:AE),"")</f>
        <v>59310.299999998962</v>
      </c>
      <c r="AB11" s="156">
        <f>IFERROR(_xlfn.XLOOKUP($A11,'Raw Data'!$G:$G,'Raw Data'!$H:$H),"")</f>
        <v>11.72</v>
      </c>
      <c r="AC11" s="162">
        <f>IFERROR(_xlfn.XLOOKUP($D11,'Modelling New'!$D:$D,'Modelling New'!$P:$P),"")</f>
        <v>7.6186700233333315</v>
      </c>
      <c r="AD11" s="156">
        <f>IFERROR(_xlfn.XLOOKUP($D11,'Modelling New'!$D:$D,'Modelling New'!$T:$T)*1000,"")</f>
        <v>63455.713653610728</v>
      </c>
      <c r="AE11" s="163">
        <f>IFERROR(_xlfn.XLOOKUP($D11,'Modelling New'!$D:$D,'Modelling New'!$O:$O),"")</f>
        <v>0.71066341265888178</v>
      </c>
      <c r="AF11" s="163">
        <f>IFERROR(_xlfn.XLOOKUP($D11,'Modelling New'!$D:$D,'Modelling New'!$W:$W),"")</f>
        <v>0.22559625161266611</v>
      </c>
      <c r="AG11" s="163">
        <f>IFERROR(_xlfn.XLOOKUP($D11,'Modelling New'!$D:$D,'Modelling New'!AE:AE),"")</f>
        <v>0.995</v>
      </c>
      <c r="AH11" s="163">
        <f>IFERROR(_xlfn.XLOOKUP($D11,'Modelling New'!$D:$D,'Modelling New'!AF:AF),"")</f>
        <v>0.98550000000000004</v>
      </c>
      <c r="AN11" s="164"/>
      <c r="AO11" s="161"/>
      <c r="AP11" s="161"/>
      <c r="AQ11" s="161"/>
      <c r="AR11" s="156">
        <f>IFERROR(_xlfn.XLOOKUP($D11,'Modelling New'!$D:$D,'Modelling New'!$N:$N),"")</f>
        <v>11.72</v>
      </c>
    </row>
    <row r="12" spans="1:45">
      <c r="A12" s="155">
        <f t="shared" si="3"/>
        <v>45755</v>
      </c>
      <c r="B12" s="156">
        <f>YEAR(Table13[[#This Row],[Date]])+IF(MONTH(Table13[[#This Row],[Date]])&gt;=4,1,0)</f>
        <v>2026</v>
      </c>
      <c r="C12" s="129">
        <f>YEAR(Table13[[#This Row],[Date]])</f>
        <v>2025</v>
      </c>
      <c r="D12" s="157">
        <f>Table13[[#This Row],[Date]]-DAY(Table13[[#This Row],[Date]])+1</f>
        <v>45748</v>
      </c>
      <c r="E12" s="129">
        <f t="shared" si="0"/>
        <v>30</v>
      </c>
      <c r="F12" s="130">
        <f>IFERROR(_xlfn.XLOOKUP($A12,'Raw Data'!$G:$G,'Raw Data'!$AH:$AH),"")</f>
        <v>11.933333333333332</v>
      </c>
      <c r="G12" s="131">
        <f>IFERROR(_xlfn.XLOOKUP($A12,'Raw Data'!$G:$G,'Raw Data'!$S:$S)/1000,"")</f>
        <v>0</v>
      </c>
      <c r="H12" s="131"/>
      <c r="I12" s="131">
        <f>IFERROR(_xlfn.XLOOKUP($A12,'Raw Data'!$G:$G,'Raw Data'!$AF:$AF)/1000,"")</f>
        <v>6.2969999999999997</v>
      </c>
      <c r="J12" s="131"/>
      <c r="K12" s="131">
        <f>IFERROR(_xlfn.XLOOKUP($A12,'Raw Data'!$G:$G,'Raw Data'!W:W),"")</f>
        <v>23</v>
      </c>
      <c r="L12" s="131">
        <f>IFERROR(_xlfn.XLOOKUP($A12,'Raw Data'!$G:$G,'Raw Data'!X:X),"")</f>
        <v>44</v>
      </c>
      <c r="M12" s="131">
        <f>IFERROR(_xlfn.XLOOKUP($A12,'Raw Data'!$G:$G,'Raw Data'!Y:Y),"")</f>
        <v>6</v>
      </c>
      <c r="N12" s="131">
        <f>IFERROR(_xlfn.XLOOKUP($A12,'Raw Data'!$G:$G,'Raw Data'!Z:Z),"")</f>
        <v>9</v>
      </c>
      <c r="O12" s="158">
        <f>IFERROR(1-SUMIF('Plant BD'!$H:$H,$A12,'Plant BD'!AC:AC)/$F12,"")</f>
        <v>1</v>
      </c>
      <c r="P12" s="158"/>
      <c r="Q12" s="159"/>
      <c r="R12" s="158">
        <f>IFERROR(1-SUMIF('Grid BD'!$H:$H,$A12,'Grid BD'!AB:AB)/$F12,"")</f>
        <v>1</v>
      </c>
      <c r="T12" s="159">
        <f>IFERROR(1-SUMIF(Tracker_BD!$H:$H,$A12,Tracker_BD!AI:AI)/$F12,"")</f>
        <v>0.95408720220895138</v>
      </c>
      <c r="U12" s="160">
        <f t="shared" si="1"/>
        <v>0.71293497472395517</v>
      </c>
      <c r="V12" s="160"/>
      <c r="W12" s="161">
        <f t="shared" si="2"/>
        <v>0.18705631399319772</v>
      </c>
      <c r="X12" s="156">
        <f>IFERROR(_xlfn.XLOOKUP($A12,'Raw Data'!$G:$G,'Raw Data'!$AB:$AB),"")</f>
        <v>52822</v>
      </c>
      <c r="Y12" s="156">
        <f>IFERROR(_xlfn.XLOOKUP($A12,'Raw Data'!$G:$G,'Raw Data'!AC:AC),"")</f>
        <v>52786.600000006729</v>
      </c>
      <c r="Z12" s="156">
        <f>IFERROR(_xlfn.XLOOKUP($A12,'Raw Data'!$G:$G,'Raw Data'!AD:AD),"")</f>
        <v>171.40000000006239</v>
      </c>
      <c r="AA12" s="156">
        <f>IFERROR(_xlfn.XLOOKUP($A12,'Raw Data'!$G:$G,'Raw Data'!AE:AE),"")</f>
        <v>52615.200000006669</v>
      </c>
      <c r="AB12" s="156">
        <f>IFERROR(_xlfn.XLOOKUP($A12,'Raw Data'!$G:$G,'Raw Data'!$H:$H),"")</f>
        <v>11.72</v>
      </c>
      <c r="AC12" s="162">
        <f>IFERROR(_xlfn.XLOOKUP($D12,'Modelling New'!$D:$D,'Modelling New'!$P:$P),"")</f>
        <v>7.6186700233333315</v>
      </c>
      <c r="AD12" s="156">
        <f>IFERROR(_xlfn.XLOOKUP($D12,'Modelling New'!$D:$D,'Modelling New'!$T:$T)*1000,"")</f>
        <v>63455.713653610728</v>
      </c>
      <c r="AE12" s="163">
        <f>IFERROR(_xlfn.XLOOKUP($D12,'Modelling New'!$D:$D,'Modelling New'!$O:$O),"")</f>
        <v>0.71066341265888178</v>
      </c>
      <c r="AF12" s="163">
        <f>IFERROR(_xlfn.XLOOKUP($D12,'Modelling New'!$D:$D,'Modelling New'!$W:$W),"")</f>
        <v>0.22559625161266611</v>
      </c>
      <c r="AG12" s="163">
        <f>IFERROR(_xlfn.XLOOKUP($D12,'Modelling New'!$D:$D,'Modelling New'!AE:AE),"")</f>
        <v>0.995</v>
      </c>
      <c r="AH12" s="163">
        <f>IFERROR(_xlfn.XLOOKUP($D12,'Modelling New'!$D:$D,'Modelling New'!AF:AF),"")</f>
        <v>0.98550000000000004</v>
      </c>
      <c r="AN12" s="164"/>
      <c r="AO12" s="161"/>
      <c r="AP12" s="161"/>
      <c r="AQ12" s="161"/>
      <c r="AR12" s="156">
        <f>IFERROR(_xlfn.XLOOKUP($D12,'Modelling New'!$D:$D,'Modelling New'!$N:$N),"")</f>
        <v>11.72</v>
      </c>
    </row>
    <row r="13" spans="1:45">
      <c r="A13" s="155">
        <f t="shared" si="3"/>
        <v>45756</v>
      </c>
      <c r="B13" s="156">
        <f>YEAR(Table13[[#This Row],[Date]])+IF(MONTH(Table13[[#This Row],[Date]])&gt;=4,1,0)</f>
        <v>2026</v>
      </c>
      <c r="C13" s="129">
        <f>YEAR(Table13[[#This Row],[Date]])</f>
        <v>2025</v>
      </c>
      <c r="D13" s="157">
        <f>Table13[[#This Row],[Date]]-DAY(Table13[[#This Row],[Date]])+1</f>
        <v>45748</v>
      </c>
      <c r="E13" s="129">
        <f t="shared" si="0"/>
        <v>30</v>
      </c>
      <c r="F13" s="130">
        <f>IFERROR(_xlfn.XLOOKUP($A13,'Raw Data'!$G:$G,'Raw Data'!$AH:$AH),"")</f>
        <v>12.066666666666666</v>
      </c>
      <c r="G13" s="131">
        <f>IFERROR(_xlfn.XLOOKUP($A13,'Raw Data'!$G:$G,'Raw Data'!$S:$S)/1000,"")</f>
        <v>0</v>
      </c>
      <c r="H13" s="131"/>
      <c r="I13" s="131">
        <f>IFERROR(_xlfn.XLOOKUP($A13,'Raw Data'!$G:$G,'Raw Data'!$AF:$AF)/1000,"")</f>
        <v>6.4379999999999997</v>
      </c>
      <c r="J13" s="131"/>
      <c r="K13" s="131">
        <f>IFERROR(_xlfn.XLOOKUP($A13,'Raw Data'!$G:$G,'Raw Data'!W:W),"")</f>
        <v>23</v>
      </c>
      <c r="L13" s="131">
        <f>IFERROR(_xlfn.XLOOKUP($A13,'Raw Data'!$G:$G,'Raw Data'!X:X),"")</f>
        <v>44</v>
      </c>
      <c r="M13" s="131">
        <f>IFERROR(_xlfn.XLOOKUP($A13,'Raw Data'!$G:$G,'Raw Data'!Y:Y),"")</f>
        <v>5</v>
      </c>
      <c r="N13" s="131">
        <f>IFERROR(_xlfn.XLOOKUP($A13,'Raw Data'!$G:$G,'Raw Data'!Z:Z),"")</f>
        <v>9</v>
      </c>
      <c r="O13" s="158">
        <f>IFERROR(1-SUMIF('Plant BD'!$H:$H,$A13,'Plant BD'!AC:AC)/$F13,"")</f>
        <v>1</v>
      </c>
      <c r="P13" s="158"/>
      <c r="Q13" s="159"/>
      <c r="R13" s="158">
        <f>IFERROR(1-SUMIF('Grid BD'!$H:$H,$A13,'Grid BD'!AB:AB)/$F13,"")</f>
        <v>0.98618784530386749</v>
      </c>
      <c r="T13" s="159">
        <f>IFERROR(1-SUMIF(Tracker_BD!$H:$H,$A13,Tracker_BD!AI:AI)/$F13,"")</f>
        <v>0.95472153426049411</v>
      </c>
      <c r="U13" s="160">
        <f t="shared" si="1"/>
        <v>0.69636925380126624</v>
      </c>
      <c r="V13" s="160"/>
      <c r="W13" s="161">
        <f t="shared" si="2"/>
        <v>0.18680105233218963</v>
      </c>
      <c r="X13" s="156">
        <f>IFERROR(_xlfn.XLOOKUP($A13,'Raw Data'!$G:$G,'Raw Data'!$AB:$AB),"")</f>
        <v>52783</v>
      </c>
      <c r="Y13" s="156">
        <f>IFERROR(_xlfn.XLOOKUP($A13,'Raw Data'!$G:$G,'Raw Data'!AC:AC),"")</f>
        <v>52809.399999998277</v>
      </c>
      <c r="Z13" s="156">
        <f>IFERROR(_xlfn.XLOOKUP($A13,'Raw Data'!$G:$G,'Raw Data'!AD:AD),"")</f>
        <v>265.99999999996271</v>
      </c>
      <c r="AA13" s="156">
        <f>IFERROR(_xlfn.XLOOKUP($A13,'Raw Data'!$G:$G,'Raw Data'!AE:AE),"")</f>
        <v>52543.399999998313</v>
      </c>
      <c r="AB13" s="156">
        <f>IFERROR(_xlfn.XLOOKUP($A13,'Raw Data'!$G:$G,'Raw Data'!$H:$H),"")</f>
        <v>11.72</v>
      </c>
      <c r="AC13" s="162">
        <f>IFERROR(_xlfn.XLOOKUP($D13,'Modelling New'!$D:$D,'Modelling New'!$P:$P),"")</f>
        <v>7.6186700233333315</v>
      </c>
      <c r="AD13" s="156">
        <f>IFERROR(_xlfn.XLOOKUP($D13,'Modelling New'!$D:$D,'Modelling New'!$T:$T)*1000,"")</f>
        <v>63455.713653610728</v>
      </c>
      <c r="AE13" s="163">
        <f>IFERROR(_xlfn.XLOOKUP($D13,'Modelling New'!$D:$D,'Modelling New'!$O:$O),"")</f>
        <v>0.71066341265888178</v>
      </c>
      <c r="AF13" s="163">
        <f>IFERROR(_xlfn.XLOOKUP($D13,'Modelling New'!$D:$D,'Modelling New'!$W:$W),"")</f>
        <v>0.22559625161266611</v>
      </c>
      <c r="AG13" s="163">
        <f>IFERROR(_xlfn.XLOOKUP($D13,'Modelling New'!$D:$D,'Modelling New'!AE:AE),"")</f>
        <v>0.995</v>
      </c>
      <c r="AH13" s="163">
        <f>IFERROR(_xlfn.XLOOKUP($D13,'Modelling New'!$D:$D,'Modelling New'!AF:AF),"")</f>
        <v>0.98550000000000004</v>
      </c>
      <c r="AN13" s="164"/>
      <c r="AO13" s="161"/>
      <c r="AP13" s="161"/>
      <c r="AQ13" s="161"/>
      <c r="AR13" s="156">
        <f>IFERROR(_xlfn.XLOOKUP($D13,'Modelling New'!$D:$D,'Modelling New'!$N:$N),"")</f>
        <v>11.72</v>
      </c>
    </row>
    <row r="14" spans="1:45">
      <c r="A14" s="155">
        <f t="shared" si="3"/>
        <v>45757</v>
      </c>
      <c r="B14" s="156">
        <f>YEAR(Table13[[#This Row],[Date]])+IF(MONTH(Table13[[#This Row],[Date]])&gt;=4,1,0)</f>
        <v>2026</v>
      </c>
      <c r="C14" s="129">
        <f>YEAR(Table13[[#This Row],[Date]])</f>
        <v>2025</v>
      </c>
      <c r="D14" s="157">
        <f>Table13[[#This Row],[Date]]-DAY(Table13[[#This Row],[Date]])+1</f>
        <v>45748</v>
      </c>
      <c r="E14" s="129">
        <f t="shared" si="0"/>
        <v>30</v>
      </c>
      <c r="F14" s="130">
        <f>IFERROR(_xlfn.XLOOKUP($A14,'Raw Data'!$G:$G,'Raw Data'!$AH:$AH),"")</f>
        <v>11.916666666666666</v>
      </c>
      <c r="G14" s="131">
        <f>IFERROR(_xlfn.XLOOKUP($A14,'Raw Data'!$G:$G,'Raw Data'!$S:$S)/1000,"")</f>
        <v>0</v>
      </c>
      <c r="H14" s="131"/>
      <c r="I14" s="131">
        <f>IFERROR(_xlfn.XLOOKUP($A14,'Raw Data'!$G:$G,'Raw Data'!$AF:$AF)/1000,"")</f>
        <v>6.28</v>
      </c>
      <c r="J14" s="131"/>
      <c r="K14" s="131">
        <f>IFERROR(_xlfn.XLOOKUP($A14,'Raw Data'!$G:$G,'Raw Data'!W:W),"")</f>
        <v>23</v>
      </c>
      <c r="L14" s="131">
        <f>IFERROR(_xlfn.XLOOKUP($A14,'Raw Data'!$G:$G,'Raw Data'!X:X),"")</f>
        <v>44</v>
      </c>
      <c r="M14" s="131">
        <f>IFERROR(_xlfn.XLOOKUP($A14,'Raw Data'!$G:$G,'Raw Data'!Y:Y),"")</f>
        <v>5</v>
      </c>
      <c r="N14" s="131">
        <f>IFERROR(_xlfn.XLOOKUP($A14,'Raw Data'!$G:$G,'Raw Data'!Z:Z),"")</f>
        <v>9</v>
      </c>
      <c r="O14" s="158">
        <f>IFERROR(1-SUMIF('Plant BD'!$H:$H,$A14,'Plant BD'!AC:AC)/$F14,"")</f>
        <v>1</v>
      </c>
      <c r="P14" s="158"/>
      <c r="Q14" s="159"/>
      <c r="R14" s="158">
        <f>IFERROR(1-SUMIF('Grid BD'!$H:$H,$A14,'Grid BD'!AB:AB)/$F14,"")</f>
        <v>0.81958041958041949</v>
      </c>
      <c r="T14" s="159">
        <f>IFERROR(1-SUMIF(Tracker_BD!$H:$H,$A14,Tracker_BD!AI:AI)/$F14,"")</f>
        <v>0.95402298850574718</v>
      </c>
      <c r="U14" s="160">
        <f t="shared" si="1"/>
        <v>0.70009075889644168</v>
      </c>
      <c r="V14" s="160"/>
      <c r="W14" s="161">
        <f t="shared" si="2"/>
        <v>0.18319041524456886</v>
      </c>
      <c r="X14" s="156">
        <f>IFERROR(_xlfn.XLOOKUP($A14,'Raw Data'!$G:$G,'Raw Data'!$AB:$AB),"")</f>
        <v>51777</v>
      </c>
      <c r="Y14" s="156">
        <f>IFERROR(_xlfn.XLOOKUP($A14,'Raw Data'!$G:$G,'Raw Data'!AC:AC),"")</f>
        <v>51671.099999992293</v>
      </c>
      <c r="Z14" s="156">
        <f>IFERROR(_xlfn.XLOOKUP($A14,'Raw Data'!$G:$G,'Raw Data'!AD:AD),"")</f>
        <v>143.2999999999538</v>
      </c>
      <c r="AA14" s="156">
        <f>IFERROR(_xlfn.XLOOKUP($A14,'Raw Data'!$G:$G,'Raw Data'!AE:AE),"")</f>
        <v>51527.799999992341</v>
      </c>
      <c r="AB14" s="156">
        <f>IFERROR(_xlfn.XLOOKUP($A14,'Raw Data'!$G:$G,'Raw Data'!$H:$H),"")</f>
        <v>11.72</v>
      </c>
      <c r="AC14" s="162">
        <f>IFERROR(_xlfn.XLOOKUP($D14,'Modelling New'!$D:$D,'Modelling New'!$P:$P),"")</f>
        <v>7.6186700233333315</v>
      </c>
      <c r="AD14" s="156">
        <f>IFERROR(_xlfn.XLOOKUP($D14,'Modelling New'!$D:$D,'Modelling New'!$T:$T)*1000,"")</f>
        <v>63455.713653610728</v>
      </c>
      <c r="AE14" s="163">
        <f>IFERROR(_xlfn.XLOOKUP($D14,'Modelling New'!$D:$D,'Modelling New'!$O:$O),"")</f>
        <v>0.71066341265888178</v>
      </c>
      <c r="AF14" s="163">
        <f>IFERROR(_xlfn.XLOOKUP($D14,'Modelling New'!$D:$D,'Modelling New'!$W:$W),"")</f>
        <v>0.22559625161266611</v>
      </c>
      <c r="AG14" s="163">
        <f>IFERROR(_xlfn.XLOOKUP($D14,'Modelling New'!$D:$D,'Modelling New'!AE:AE),"")</f>
        <v>0.995</v>
      </c>
      <c r="AH14" s="163">
        <f>IFERROR(_xlfn.XLOOKUP($D14,'Modelling New'!$D:$D,'Modelling New'!AF:AF),"")</f>
        <v>0.98550000000000004</v>
      </c>
      <c r="AN14" s="164"/>
      <c r="AO14" s="161"/>
      <c r="AP14" s="161"/>
      <c r="AQ14" s="161"/>
      <c r="AR14" s="156">
        <f>IFERROR(_xlfn.XLOOKUP($D14,'Modelling New'!$D:$D,'Modelling New'!$N:$N),"")</f>
        <v>11.72</v>
      </c>
    </row>
    <row r="15" spans="1:45">
      <c r="A15" s="155">
        <f t="shared" si="3"/>
        <v>45758</v>
      </c>
      <c r="B15" s="156">
        <f>YEAR(Table13[[#This Row],[Date]])+IF(MONTH(Table13[[#This Row],[Date]])&gt;=4,1,0)</f>
        <v>2026</v>
      </c>
      <c r="C15" s="129">
        <f>YEAR(Table13[[#This Row],[Date]])</f>
        <v>2025</v>
      </c>
      <c r="D15" s="157">
        <f>Table13[[#This Row],[Date]]-DAY(Table13[[#This Row],[Date]])+1</f>
        <v>45748</v>
      </c>
      <c r="E15" s="129">
        <f t="shared" si="0"/>
        <v>30</v>
      </c>
      <c r="F15" s="130">
        <f>IFERROR(_xlfn.XLOOKUP($A15,'Raw Data'!$G:$G,'Raw Data'!$AH:$AH),"")</f>
        <v>11.833333333333332</v>
      </c>
      <c r="G15" s="131">
        <f>IFERROR(_xlfn.XLOOKUP($A15,'Raw Data'!$G:$G,'Raw Data'!$S:$S)/1000,"")</f>
        <v>0</v>
      </c>
      <c r="H15" s="131"/>
      <c r="I15" s="131">
        <f>IFERROR(_xlfn.XLOOKUP($A15,'Raw Data'!$G:$G,'Raw Data'!$AF:$AF)/1000,"")</f>
        <v>7.4885000000000002</v>
      </c>
      <c r="J15" s="131"/>
      <c r="K15" s="131">
        <f>IFERROR(_xlfn.XLOOKUP($A15,'Raw Data'!$G:$G,'Raw Data'!W:W),"")</f>
        <v>23</v>
      </c>
      <c r="L15" s="131">
        <f>IFERROR(_xlfn.XLOOKUP($A15,'Raw Data'!$G:$G,'Raw Data'!X:X),"")</f>
        <v>44</v>
      </c>
      <c r="M15" s="131">
        <f>IFERROR(_xlfn.XLOOKUP($A15,'Raw Data'!$G:$G,'Raw Data'!Y:Y),"")</f>
        <v>5</v>
      </c>
      <c r="N15" s="131">
        <f>IFERROR(_xlfn.XLOOKUP($A15,'Raw Data'!$G:$G,'Raw Data'!Z:Z),"")</f>
        <v>9</v>
      </c>
      <c r="O15" s="158">
        <f>IFERROR(1-SUMIF('Plant BD'!$H:$H,$A15,'Plant BD'!AC:AC)/$F15,"")</f>
        <v>1</v>
      </c>
      <c r="P15" s="158"/>
      <c r="Q15" s="159"/>
      <c r="R15" s="158">
        <f>IFERROR(1-SUMIF('Grid BD'!$H:$H,$A15,'Grid BD'!AB:AB)/$F15,"")</f>
        <v>0.9859154929577465</v>
      </c>
      <c r="T15" s="159">
        <f>IFERROR(1-SUMIF(Tracker_BD!$H:$H,$A15,Tracker_BD!AI:AI)/$F15,"")</f>
        <v>0.95356969402622638</v>
      </c>
      <c r="U15" s="160">
        <f t="shared" si="1"/>
        <v>0.69747674534414605</v>
      </c>
      <c r="V15" s="160"/>
      <c r="W15" s="161">
        <f t="shared" si="2"/>
        <v>0.21762727531290155</v>
      </c>
      <c r="X15" s="156">
        <f>IFERROR(_xlfn.XLOOKUP($A15,'Raw Data'!$G:$G,'Raw Data'!$AB:$AB),"")</f>
        <v>61509</v>
      </c>
      <c r="Y15" s="156">
        <f>IFERROR(_xlfn.XLOOKUP($A15,'Raw Data'!$G:$G,'Raw Data'!AC:AC),"")</f>
        <v>61487.100000013015</v>
      </c>
      <c r="Z15" s="156">
        <f>IFERROR(_xlfn.XLOOKUP($A15,'Raw Data'!$G:$G,'Raw Data'!AD:AD),"")</f>
        <v>272.90000000004966</v>
      </c>
      <c r="AA15" s="156">
        <f>IFERROR(_xlfn.XLOOKUP($A15,'Raw Data'!$G:$G,'Raw Data'!AE:AE),"")</f>
        <v>61214.200000012963</v>
      </c>
      <c r="AB15" s="156">
        <f>IFERROR(_xlfn.XLOOKUP($A15,'Raw Data'!$G:$G,'Raw Data'!$H:$H),"")</f>
        <v>11.72</v>
      </c>
      <c r="AC15" s="162">
        <f>IFERROR(_xlfn.XLOOKUP($D15,'Modelling New'!$D:$D,'Modelling New'!$P:$P),"")</f>
        <v>7.6186700233333315</v>
      </c>
      <c r="AD15" s="156">
        <f>IFERROR(_xlfn.XLOOKUP($D15,'Modelling New'!$D:$D,'Modelling New'!$T:$T)*1000,"")</f>
        <v>63455.713653610728</v>
      </c>
      <c r="AE15" s="163">
        <f>IFERROR(_xlfn.XLOOKUP($D15,'Modelling New'!$D:$D,'Modelling New'!$O:$O),"")</f>
        <v>0.71066341265888178</v>
      </c>
      <c r="AF15" s="163">
        <f>IFERROR(_xlfn.XLOOKUP($D15,'Modelling New'!$D:$D,'Modelling New'!$W:$W),"")</f>
        <v>0.22559625161266611</v>
      </c>
      <c r="AG15" s="163">
        <f>IFERROR(_xlfn.XLOOKUP($D15,'Modelling New'!$D:$D,'Modelling New'!AE:AE),"")</f>
        <v>0.995</v>
      </c>
      <c r="AH15" s="163">
        <f>IFERROR(_xlfn.XLOOKUP($D15,'Modelling New'!$D:$D,'Modelling New'!AF:AF),"")</f>
        <v>0.98550000000000004</v>
      </c>
      <c r="AN15" s="164"/>
      <c r="AO15" s="161"/>
      <c r="AP15" s="161"/>
      <c r="AQ15" s="161"/>
      <c r="AR15" s="156">
        <f>IFERROR(_xlfn.XLOOKUP($D15,'Modelling New'!$D:$D,'Modelling New'!$N:$N),"")</f>
        <v>11.72</v>
      </c>
    </row>
    <row r="16" spans="1:45">
      <c r="A16" s="155">
        <f t="shared" si="3"/>
        <v>45759</v>
      </c>
      <c r="B16" s="156">
        <f>YEAR(Table13[[#This Row],[Date]])+IF(MONTH(Table13[[#This Row],[Date]])&gt;=4,1,0)</f>
        <v>2026</v>
      </c>
      <c r="C16" s="129">
        <f>YEAR(Table13[[#This Row],[Date]])</f>
        <v>2025</v>
      </c>
      <c r="D16" s="157">
        <f>Table13[[#This Row],[Date]]-DAY(Table13[[#This Row],[Date]])+1</f>
        <v>45748</v>
      </c>
      <c r="E16" s="129">
        <f t="shared" si="0"/>
        <v>30</v>
      </c>
      <c r="F16" s="130">
        <f>IFERROR(_xlfn.XLOOKUP($A16,'Raw Data'!$G:$G,'Raw Data'!$AH:$AH),"")</f>
        <v>11.95</v>
      </c>
      <c r="G16" s="131">
        <f>IFERROR(_xlfn.XLOOKUP($A16,'Raw Data'!$G:$G,'Raw Data'!$S:$S)/1000,"")</f>
        <v>0</v>
      </c>
      <c r="H16" s="131"/>
      <c r="I16" s="131">
        <f>IFERROR(_xlfn.XLOOKUP($A16,'Raw Data'!$G:$G,'Raw Data'!$AF:$AF)/1000,"")</f>
        <v>7.4275000000000002</v>
      </c>
      <c r="J16" s="131"/>
      <c r="K16" s="131">
        <f>IFERROR(_xlfn.XLOOKUP($A16,'Raw Data'!$G:$G,'Raw Data'!W:W),"")</f>
        <v>23</v>
      </c>
      <c r="L16" s="131">
        <f>IFERROR(_xlfn.XLOOKUP($A16,'Raw Data'!$G:$G,'Raw Data'!X:X),"")</f>
        <v>44</v>
      </c>
      <c r="M16" s="131">
        <f>IFERROR(_xlfn.XLOOKUP($A16,'Raw Data'!$G:$G,'Raw Data'!Y:Y),"")</f>
        <v>8</v>
      </c>
      <c r="N16" s="131">
        <f>IFERROR(_xlfn.XLOOKUP($A16,'Raw Data'!$G:$G,'Raw Data'!Z:Z),"")</f>
        <v>11</v>
      </c>
      <c r="O16" s="158">
        <f>IFERROR(1-SUMIF('Plant BD'!$H:$H,$A16,'Plant BD'!AC:AC)/$F16,"")</f>
        <v>1</v>
      </c>
      <c r="P16" s="158"/>
      <c r="Q16" s="159"/>
      <c r="R16" s="158">
        <f>IFERROR(1-SUMIF('Grid BD'!$H:$H,$A16,'Grid BD'!AB:AB)/$F16,"")</f>
        <v>1</v>
      </c>
      <c r="T16" s="159">
        <f>IFERROR(1-SUMIF(Tracker_BD!$H:$H,$A16,Tracker_BD!AI:AI)/$F16,"")</f>
        <v>0.95427948508312088</v>
      </c>
      <c r="U16" s="160">
        <f t="shared" si="1"/>
        <v>0.70806648569845865</v>
      </c>
      <c r="V16" s="160"/>
      <c r="W16" s="161">
        <f t="shared" si="2"/>
        <v>0.21913182593855424</v>
      </c>
      <c r="X16" s="156">
        <f>IFERROR(_xlfn.XLOOKUP($A16,'Raw Data'!$G:$G,'Raw Data'!$AB:$AB),"")</f>
        <v>61789</v>
      </c>
      <c r="Y16" s="156">
        <f>IFERROR(_xlfn.XLOOKUP($A16,'Raw Data'!$G:$G,'Raw Data'!AC:AC),"")</f>
        <v>61777.499999996508</v>
      </c>
      <c r="Z16" s="156">
        <f>IFERROR(_xlfn.XLOOKUP($A16,'Raw Data'!$G:$G,'Raw Data'!AD:AD),"")</f>
        <v>140.09999999996126</v>
      </c>
      <c r="AA16" s="156">
        <f>IFERROR(_xlfn.XLOOKUP($A16,'Raw Data'!$G:$G,'Raw Data'!AE:AE),"")</f>
        <v>61637.399999996545</v>
      </c>
      <c r="AB16" s="156">
        <f>IFERROR(_xlfn.XLOOKUP($A16,'Raw Data'!$G:$G,'Raw Data'!$H:$H),"")</f>
        <v>11.72</v>
      </c>
      <c r="AC16" s="162">
        <f>IFERROR(_xlfn.XLOOKUP($D16,'Modelling New'!$D:$D,'Modelling New'!$P:$P),"")</f>
        <v>7.6186700233333315</v>
      </c>
      <c r="AD16" s="156">
        <f>IFERROR(_xlfn.XLOOKUP($D16,'Modelling New'!$D:$D,'Modelling New'!$T:$T)*1000,"")</f>
        <v>63455.713653610728</v>
      </c>
      <c r="AE16" s="163">
        <f>IFERROR(_xlfn.XLOOKUP($D16,'Modelling New'!$D:$D,'Modelling New'!$O:$O),"")</f>
        <v>0.71066341265888178</v>
      </c>
      <c r="AF16" s="163">
        <f>IFERROR(_xlfn.XLOOKUP($D16,'Modelling New'!$D:$D,'Modelling New'!$W:$W),"")</f>
        <v>0.22559625161266611</v>
      </c>
      <c r="AG16" s="163">
        <f>IFERROR(_xlfn.XLOOKUP($D16,'Modelling New'!$D:$D,'Modelling New'!AE:AE),"")</f>
        <v>0.995</v>
      </c>
      <c r="AH16" s="163">
        <f>IFERROR(_xlfn.XLOOKUP($D16,'Modelling New'!$D:$D,'Modelling New'!AF:AF),"")</f>
        <v>0.98550000000000004</v>
      </c>
      <c r="AN16" s="164"/>
      <c r="AO16" s="161"/>
      <c r="AP16" s="161"/>
      <c r="AQ16" s="161"/>
      <c r="AR16" s="156">
        <f>IFERROR(_xlfn.XLOOKUP($D16,'Modelling New'!$D:$D,'Modelling New'!$N:$N),"")</f>
        <v>11.72</v>
      </c>
    </row>
    <row r="17" spans="1:44">
      <c r="A17" s="155">
        <f t="shared" si="3"/>
        <v>45760</v>
      </c>
      <c r="B17" s="156">
        <f>YEAR(Table13[[#This Row],[Date]])+IF(MONTH(Table13[[#This Row],[Date]])&gt;=4,1,0)</f>
        <v>2026</v>
      </c>
      <c r="C17" s="129">
        <f>YEAR(Table13[[#This Row],[Date]])</f>
        <v>2025</v>
      </c>
      <c r="D17" s="157">
        <f>Table13[[#This Row],[Date]]-DAY(Table13[[#This Row],[Date]])+1</f>
        <v>45748</v>
      </c>
      <c r="E17" s="129">
        <f t="shared" si="0"/>
        <v>30</v>
      </c>
      <c r="F17" s="130">
        <f>IFERROR(_xlfn.XLOOKUP($A17,'Raw Data'!$G:$G,'Raw Data'!$AH:$AH),"")</f>
        <v>12.066666666666666</v>
      </c>
      <c r="G17" s="131">
        <f>IFERROR(_xlfn.XLOOKUP($A17,'Raw Data'!$G:$G,'Raw Data'!$S:$S)/1000,"")</f>
        <v>0</v>
      </c>
      <c r="H17" s="131"/>
      <c r="I17" s="131">
        <f>IFERROR(_xlfn.XLOOKUP($A17,'Raw Data'!$G:$G,'Raw Data'!$AF:$AF)/1000,"")</f>
        <v>7.1675000000000004</v>
      </c>
      <c r="J17" s="131"/>
      <c r="K17" s="131">
        <f>IFERROR(_xlfn.XLOOKUP($A17,'Raw Data'!$G:$G,'Raw Data'!W:W),"")</f>
        <v>23</v>
      </c>
      <c r="L17" s="131">
        <f>IFERROR(_xlfn.XLOOKUP($A17,'Raw Data'!$G:$G,'Raw Data'!X:X),"")</f>
        <v>44</v>
      </c>
      <c r="M17" s="131">
        <f>IFERROR(_xlfn.XLOOKUP($A17,'Raw Data'!$G:$G,'Raw Data'!Y:Y),"")</f>
        <v>8</v>
      </c>
      <c r="N17" s="131">
        <f>IFERROR(_xlfn.XLOOKUP($A17,'Raw Data'!$G:$G,'Raw Data'!Z:Z),"")</f>
        <v>11</v>
      </c>
      <c r="O17" s="158">
        <f>IFERROR(1-SUMIF('Plant BD'!$H:$H,$A17,'Plant BD'!AC:AC)/$F17,"")</f>
        <v>1</v>
      </c>
      <c r="P17" s="158"/>
      <c r="Q17" s="159"/>
      <c r="R17" s="158">
        <f>IFERROR(1-SUMIF('Grid BD'!$H:$H,$A17,'Grid BD'!AB:AB)/$F17,"")</f>
        <v>1</v>
      </c>
      <c r="T17" s="159">
        <f>IFERROR(1-SUMIF(Tracker_BD!$H:$H,$A17,Tracker_BD!AI:AI)/$F17,"")</f>
        <v>0.95434050930335934</v>
      </c>
      <c r="U17" s="160">
        <f t="shared" si="1"/>
        <v>0.69957299194914324</v>
      </c>
      <c r="V17" s="160"/>
      <c r="W17" s="161">
        <f t="shared" si="2"/>
        <v>0.20892455915814512</v>
      </c>
      <c r="X17" s="156">
        <f>IFERROR(_xlfn.XLOOKUP($A17,'Raw Data'!$G:$G,'Raw Data'!$AB:$AB),"")</f>
        <v>58986</v>
      </c>
      <c r="Y17" s="156">
        <f>IFERROR(_xlfn.XLOOKUP($A17,'Raw Data'!$G:$G,'Raw Data'!AC:AC),"")</f>
        <v>58958.400000003166</v>
      </c>
      <c r="Z17" s="156">
        <f>IFERROR(_xlfn.XLOOKUP($A17,'Raw Data'!$G:$G,'Raw Data'!AD:AD),"")</f>
        <v>192.10000000009586</v>
      </c>
      <c r="AA17" s="156">
        <f>IFERROR(_xlfn.XLOOKUP($A17,'Raw Data'!$G:$G,'Raw Data'!AE:AE),"")</f>
        <v>58766.300000003073</v>
      </c>
      <c r="AB17" s="156">
        <f>IFERROR(_xlfn.XLOOKUP($A17,'Raw Data'!$G:$G,'Raw Data'!$H:$H),"")</f>
        <v>11.72</v>
      </c>
      <c r="AC17" s="162">
        <f>IFERROR(_xlfn.XLOOKUP($D17,'Modelling New'!$D:$D,'Modelling New'!$P:$P),"")</f>
        <v>7.6186700233333315</v>
      </c>
      <c r="AD17" s="156">
        <f>IFERROR(_xlfn.XLOOKUP($D17,'Modelling New'!$D:$D,'Modelling New'!$T:$T)*1000,"")</f>
        <v>63455.713653610728</v>
      </c>
      <c r="AE17" s="163">
        <f>IFERROR(_xlfn.XLOOKUP($D17,'Modelling New'!$D:$D,'Modelling New'!$O:$O),"")</f>
        <v>0.71066341265888178</v>
      </c>
      <c r="AF17" s="163">
        <f>IFERROR(_xlfn.XLOOKUP($D17,'Modelling New'!$D:$D,'Modelling New'!$W:$W),"")</f>
        <v>0.22559625161266611</v>
      </c>
      <c r="AG17" s="163">
        <f>IFERROR(_xlfn.XLOOKUP($D17,'Modelling New'!$D:$D,'Modelling New'!AE:AE),"")</f>
        <v>0.995</v>
      </c>
      <c r="AH17" s="163">
        <f>IFERROR(_xlfn.XLOOKUP($D17,'Modelling New'!$D:$D,'Modelling New'!AF:AF),"")</f>
        <v>0.98550000000000004</v>
      </c>
      <c r="AN17" s="164"/>
      <c r="AO17" s="161"/>
      <c r="AP17" s="161"/>
      <c r="AQ17" s="161"/>
      <c r="AR17" s="156">
        <f>IFERROR(_xlfn.XLOOKUP($D17,'Modelling New'!$D:$D,'Modelling New'!$N:$N),"")</f>
        <v>11.72</v>
      </c>
    </row>
    <row r="18" spans="1:44">
      <c r="A18" s="155">
        <f t="shared" si="3"/>
        <v>45761</v>
      </c>
      <c r="B18" s="156">
        <f>YEAR(Table13[[#This Row],[Date]])+IF(MONTH(Table13[[#This Row],[Date]])&gt;=4,1,0)</f>
        <v>2026</v>
      </c>
      <c r="C18" s="129">
        <f>YEAR(Table13[[#This Row],[Date]])</f>
        <v>2025</v>
      </c>
      <c r="D18" s="157">
        <f>Table13[[#This Row],[Date]]-DAY(Table13[[#This Row],[Date]])+1</f>
        <v>45748</v>
      </c>
      <c r="E18" s="129">
        <f t="shared" si="0"/>
        <v>30</v>
      </c>
      <c r="F18" s="130">
        <f>IFERROR(_xlfn.XLOOKUP($A18,'Raw Data'!$G:$G,'Raw Data'!$AH:$AH),"")</f>
        <v>12.08333333333333</v>
      </c>
      <c r="G18" s="131">
        <f>IFERROR(_xlfn.XLOOKUP($A18,'Raw Data'!$G:$G,'Raw Data'!$S:$S)/1000,"")</f>
        <v>0</v>
      </c>
      <c r="H18" s="131"/>
      <c r="I18" s="131">
        <f>IFERROR(_xlfn.XLOOKUP($A18,'Raw Data'!$G:$G,'Raw Data'!$AF:$AF)/1000,"")</f>
        <v>7.6219999999999999</v>
      </c>
      <c r="J18" s="131"/>
      <c r="K18" s="131">
        <f>IFERROR(_xlfn.XLOOKUP($A18,'Raw Data'!$G:$G,'Raw Data'!W:W),"")</f>
        <v>23</v>
      </c>
      <c r="L18" s="131">
        <f>IFERROR(_xlfn.XLOOKUP($A18,'Raw Data'!$G:$G,'Raw Data'!X:X),"")</f>
        <v>48.8</v>
      </c>
      <c r="M18" s="131">
        <f>IFERROR(_xlfn.XLOOKUP($A18,'Raw Data'!$G:$G,'Raw Data'!Y:Y),"")</f>
        <v>4.7</v>
      </c>
      <c r="N18" s="131">
        <f>IFERROR(_xlfn.XLOOKUP($A18,'Raw Data'!$G:$G,'Raw Data'!Z:Z),"")</f>
        <v>11</v>
      </c>
      <c r="O18" s="158">
        <f>IFERROR(1-SUMIF('Plant BD'!$H:$H,$A18,'Plant BD'!AC:AC)/$F18,"")</f>
        <v>1</v>
      </c>
      <c r="P18" s="158"/>
      <c r="Q18" s="159"/>
      <c r="R18" s="158">
        <f>IFERROR(1-SUMIF('Grid BD'!$H:$H,$A18,'Grid BD'!AB:AB)/$F18,"")</f>
        <v>1</v>
      </c>
      <c r="T18" s="159">
        <f>IFERROR(1-SUMIF(Tracker_BD!$H:$H,$A18,Tracker_BD!AI:AI)/$F18,"")</f>
        <v>0.95434007134363852</v>
      </c>
      <c r="U18" s="160">
        <f t="shared" si="1"/>
        <v>0.70076471647093341</v>
      </c>
      <c r="V18" s="160"/>
      <c r="W18" s="161">
        <f t="shared" si="2"/>
        <v>0.22255119453922725</v>
      </c>
      <c r="X18" s="156">
        <f>IFERROR(_xlfn.XLOOKUP($A18,'Raw Data'!$G:$G,'Raw Data'!$AB:$AB),"")</f>
        <v>62850</v>
      </c>
      <c r="Y18" s="156">
        <f>IFERROR(_xlfn.XLOOKUP($A18,'Raw Data'!$G:$G,'Raw Data'!AC:AC),"")</f>
        <v>62808.99999999383</v>
      </c>
      <c r="Z18" s="156">
        <f>IFERROR(_xlfn.XLOOKUP($A18,'Raw Data'!$G:$G,'Raw Data'!AD:AD),"")</f>
        <v>209.7999999999729</v>
      </c>
      <c r="AA18" s="156">
        <f>IFERROR(_xlfn.XLOOKUP($A18,'Raw Data'!$G:$G,'Raw Data'!AE:AE),"")</f>
        <v>62599.199999993856</v>
      </c>
      <c r="AB18" s="156">
        <f>IFERROR(_xlfn.XLOOKUP($A18,'Raw Data'!$G:$G,'Raw Data'!$H:$H),"")</f>
        <v>11.72</v>
      </c>
      <c r="AC18" s="162">
        <f>IFERROR(_xlfn.XLOOKUP($D18,'Modelling New'!$D:$D,'Modelling New'!$P:$P),"")</f>
        <v>7.6186700233333315</v>
      </c>
      <c r="AD18" s="156">
        <f>IFERROR(_xlfn.XLOOKUP($D18,'Modelling New'!$D:$D,'Modelling New'!$T:$T)*1000,"")</f>
        <v>63455.713653610728</v>
      </c>
      <c r="AE18" s="163">
        <f>IFERROR(_xlfn.XLOOKUP($D18,'Modelling New'!$D:$D,'Modelling New'!$O:$O),"")</f>
        <v>0.71066341265888178</v>
      </c>
      <c r="AF18" s="163">
        <f>IFERROR(_xlfn.XLOOKUP($D18,'Modelling New'!$D:$D,'Modelling New'!$W:$W),"")</f>
        <v>0.22559625161266611</v>
      </c>
      <c r="AG18" s="163">
        <f>IFERROR(_xlfn.XLOOKUP($D18,'Modelling New'!$D:$D,'Modelling New'!AE:AE),"")</f>
        <v>0.995</v>
      </c>
      <c r="AH18" s="163">
        <f>IFERROR(_xlfn.XLOOKUP($D18,'Modelling New'!$D:$D,'Modelling New'!AF:AF),"")</f>
        <v>0.98550000000000004</v>
      </c>
      <c r="AN18" s="164"/>
      <c r="AO18" s="161"/>
      <c r="AP18" s="161"/>
      <c r="AQ18" s="161"/>
      <c r="AR18" s="156">
        <f>IFERROR(_xlfn.XLOOKUP($D18,'Modelling New'!$D:$D,'Modelling New'!$N:$N),"")</f>
        <v>11.72</v>
      </c>
    </row>
    <row r="19" spans="1:44">
      <c r="A19" s="155">
        <f t="shared" si="3"/>
        <v>45762</v>
      </c>
      <c r="B19" s="156">
        <f>YEAR(Table13[[#This Row],[Date]])+IF(MONTH(Table13[[#This Row],[Date]])&gt;=4,1,0)</f>
        <v>2026</v>
      </c>
      <c r="C19" s="129">
        <f>YEAR(Table13[[#This Row],[Date]])</f>
        <v>2025</v>
      </c>
      <c r="D19" s="157">
        <f>Table13[[#This Row],[Date]]-DAY(Table13[[#This Row],[Date]])+1</f>
        <v>45748</v>
      </c>
      <c r="E19" s="129">
        <f t="shared" si="0"/>
        <v>30</v>
      </c>
      <c r="F19" s="130">
        <f>IFERROR(_xlfn.XLOOKUP($A19,'Raw Data'!$G:$G,'Raw Data'!$AH:$AH),"")</f>
        <v>12.216666666666669</v>
      </c>
      <c r="G19" s="131">
        <f>IFERROR(_xlfn.XLOOKUP($A19,'Raw Data'!$G:$G,'Raw Data'!$S:$S)/1000,"")</f>
        <v>0</v>
      </c>
      <c r="H19" s="131"/>
      <c r="I19" s="131">
        <f>IFERROR(_xlfn.XLOOKUP($A19,'Raw Data'!$G:$G,'Raw Data'!$AF:$AF)/1000,"")</f>
        <v>7.5395000000000003</v>
      </c>
      <c r="J19" s="131"/>
      <c r="K19" s="131">
        <f>IFERROR(_xlfn.XLOOKUP($A19,'Raw Data'!$G:$G,'Raw Data'!W:W),"")</f>
        <v>23</v>
      </c>
      <c r="L19" s="131">
        <f>IFERROR(_xlfn.XLOOKUP($A19,'Raw Data'!$G:$G,'Raw Data'!X:X),"")</f>
        <v>49.6</v>
      </c>
      <c r="M19" s="131">
        <f>IFERROR(_xlfn.XLOOKUP($A19,'Raw Data'!$G:$G,'Raw Data'!Y:Y),"")</f>
        <v>4.7</v>
      </c>
      <c r="N19" s="131">
        <f>IFERROR(_xlfn.XLOOKUP($A19,'Raw Data'!$G:$G,'Raw Data'!Z:Z),"")</f>
        <v>11</v>
      </c>
      <c r="O19" s="158">
        <f>IFERROR(1-SUMIF('Plant BD'!$H:$H,$A19,'Plant BD'!AC:AC)/$F19,"")</f>
        <v>1</v>
      </c>
      <c r="P19" s="158"/>
      <c r="Q19" s="159"/>
      <c r="R19" s="158">
        <f>IFERROR(1-SUMIF('Grid BD'!$H:$H,$A19,'Grid BD'!AB:AB)/$F19,"")</f>
        <v>1</v>
      </c>
      <c r="T19" s="159">
        <f>IFERROR(1-SUMIF(Tracker_BD!$H:$H,$A19,Tracker_BD!AI:AI)/$F19,"")</f>
        <v>0.95471295730034034</v>
      </c>
      <c r="U19" s="160">
        <f t="shared" si="1"/>
        <v>0.68813124597259656</v>
      </c>
      <c r="V19" s="160"/>
      <c r="W19" s="161">
        <f t="shared" si="2"/>
        <v>0.21617356370876634</v>
      </c>
      <c r="X19" s="156">
        <f>IFERROR(_xlfn.XLOOKUP($A19,'Raw Data'!$G:$G,'Raw Data'!$AB:$AB),"")</f>
        <v>61059</v>
      </c>
      <c r="Y19" s="156">
        <f>IFERROR(_xlfn.XLOOKUP($A19,'Raw Data'!$G:$G,'Raw Data'!AC:AC),"")</f>
        <v>60998.200000001816</v>
      </c>
      <c r="Z19" s="156">
        <f>IFERROR(_xlfn.XLOOKUP($A19,'Raw Data'!$G:$G,'Raw Data'!AD:AD),"")</f>
        <v>192.90000000000873</v>
      </c>
      <c r="AA19" s="156">
        <f>IFERROR(_xlfn.XLOOKUP($A19,'Raw Data'!$G:$G,'Raw Data'!AE:AE),"")</f>
        <v>60805.300000001807</v>
      </c>
      <c r="AB19" s="156">
        <f>IFERROR(_xlfn.XLOOKUP($A19,'Raw Data'!$G:$G,'Raw Data'!$H:$H),"")</f>
        <v>11.72</v>
      </c>
      <c r="AC19" s="162">
        <f>IFERROR(_xlfn.XLOOKUP($D19,'Modelling New'!$D:$D,'Modelling New'!$P:$P),"")</f>
        <v>7.6186700233333315</v>
      </c>
      <c r="AD19" s="156">
        <f>IFERROR(_xlfn.XLOOKUP($D19,'Modelling New'!$D:$D,'Modelling New'!$T:$T)*1000,"")</f>
        <v>63455.713653610728</v>
      </c>
      <c r="AE19" s="163">
        <f>IFERROR(_xlfn.XLOOKUP($D19,'Modelling New'!$D:$D,'Modelling New'!$O:$O),"")</f>
        <v>0.71066341265888178</v>
      </c>
      <c r="AF19" s="163">
        <f>IFERROR(_xlfn.XLOOKUP($D19,'Modelling New'!$D:$D,'Modelling New'!$W:$W),"")</f>
        <v>0.22559625161266611</v>
      </c>
      <c r="AG19" s="163">
        <f>IFERROR(_xlfn.XLOOKUP($D19,'Modelling New'!$D:$D,'Modelling New'!AE:AE),"")</f>
        <v>0.995</v>
      </c>
      <c r="AH19" s="163">
        <f>IFERROR(_xlfn.XLOOKUP($D19,'Modelling New'!$D:$D,'Modelling New'!AF:AF),"")</f>
        <v>0.98550000000000004</v>
      </c>
      <c r="AN19" s="164"/>
      <c r="AO19" s="161"/>
      <c r="AP19" s="161"/>
      <c r="AQ19" s="161"/>
      <c r="AR19" s="156">
        <f>IFERROR(_xlfn.XLOOKUP($D19,'Modelling New'!$D:$D,'Modelling New'!$N:$N),"")</f>
        <v>11.72</v>
      </c>
    </row>
    <row r="20" spans="1:44">
      <c r="A20" s="155">
        <f t="shared" si="3"/>
        <v>45763</v>
      </c>
      <c r="B20" s="156">
        <f>YEAR(Table13[[#This Row],[Date]])+IF(MONTH(Table13[[#This Row],[Date]])&gt;=4,1,0)</f>
        <v>2026</v>
      </c>
      <c r="C20" s="129">
        <f>YEAR(Table13[[#This Row],[Date]])</f>
        <v>2025</v>
      </c>
      <c r="D20" s="157">
        <f>Table13[[#This Row],[Date]]-DAY(Table13[[#This Row],[Date]])+1</f>
        <v>45748</v>
      </c>
      <c r="E20" s="129">
        <f t="shared" si="0"/>
        <v>30</v>
      </c>
      <c r="F20" s="130">
        <f>IFERROR(_xlfn.XLOOKUP($A20,'Raw Data'!$G:$G,'Raw Data'!$AH:$AH),"")</f>
        <v>12.1</v>
      </c>
      <c r="G20" s="131">
        <f>IFERROR(_xlfn.XLOOKUP($A20,'Raw Data'!$G:$G,'Raw Data'!$S:$S)/1000,"")</f>
        <v>0</v>
      </c>
      <c r="H20" s="131"/>
      <c r="I20" s="131">
        <f>IFERROR(_xlfn.XLOOKUP($A20,'Raw Data'!$G:$G,'Raw Data'!$AF:$AF)/1000,"")</f>
        <v>6.3754999999999997</v>
      </c>
      <c r="J20" s="131"/>
      <c r="K20" s="131">
        <f>IFERROR(_xlfn.XLOOKUP($A20,'Raw Data'!$G:$G,'Raw Data'!W:W),"")</f>
        <v>23</v>
      </c>
      <c r="L20" s="131">
        <f>IFERROR(_xlfn.XLOOKUP($A20,'Raw Data'!$G:$G,'Raw Data'!X:X),"")</f>
        <v>48</v>
      </c>
      <c r="M20" s="131">
        <f>IFERROR(_xlfn.XLOOKUP($A20,'Raw Data'!$G:$G,'Raw Data'!Y:Y),"")</f>
        <v>4.7</v>
      </c>
      <c r="N20" s="131">
        <f>IFERROR(_xlfn.XLOOKUP($A20,'Raw Data'!$G:$G,'Raw Data'!Z:Z),"")</f>
        <v>11</v>
      </c>
      <c r="O20" s="158">
        <f>IFERROR(1-SUMIF('Plant BD'!$H:$H,$A20,'Plant BD'!AC:AC)/$F20,"")</f>
        <v>1</v>
      </c>
      <c r="P20" s="158"/>
      <c r="Q20" s="159"/>
      <c r="R20" s="158">
        <f>IFERROR(1-SUMIF('Grid BD'!$H:$H,$A20,'Grid BD'!AB:AB)/$F20,"")</f>
        <v>1</v>
      </c>
      <c r="T20" s="159">
        <f>IFERROR(1-SUMIF(Tracker_BD!$H:$H,$A20,Tracker_BD!AI:AI)/$F20,"")</f>
        <v>0.95440296380735257</v>
      </c>
      <c r="U20" s="160">
        <f t="shared" si="1"/>
        <v>0.71552174319191819</v>
      </c>
      <c r="V20" s="160"/>
      <c r="W20" s="161">
        <f t="shared" si="2"/>
        <v>0.19007536973833641</v>
      </c>
      <c r="X20" s="156">
        <f>IFERROR(_xlfn.XLOOKUP($A20,'Raw Data'!$G:$G,'Raw Data'!$AB:$AB),"")</f>
        <v>53729</v>
      </c>
      <c r="Y20" s="156">
        <f>IFERROR(_xlfn.XLOOKUP($A20,'Raw Data'!$G:$G,'Raw Data'!AC:AC),"")</f>
        <v>53649.799999999232</v>
      </c>
      <c r="Z20" s="156">
        <f>IFERROR(_xlfn.XLOOKUP($A20,'Raw Data'!$G:$G,'Raw Data'!AD:AD),"")</f>
        <v>185.39999999995871</v>
      </c>
      <c r="AA20" s="156">
        <f>IFERROR(_xlfn.XLOOKUP($A20,'Raw Data'!$G:$G,'Raw Data'!AE:AE),"")</f>
        <v>53464.399999999274</v>
      </c>
      <c r="AB20" s="156">
        <f>IFERROR(_xlfn.XLOOKUP($A20,'Raw Data'!$G:$G,'Raw Data'!$H:$H),"")</f>
        <v>11.72</v>
      </c>
      <c r="AC20" s="162">
        <f>IFERROR(_xlfn.XLOOKUP($D20,'Modelling New'!$D:$D,'Modelling New'!$P:$P),"")</f>
        <v>7.6186700233333315</v>
      </c>
      <c r="AD20" s="156">
        <f>IFERROR(_xlfn.XLOOKUP($D20,'Modelling New'!$D:$D,'Modelling New'!$T:$T)*1000,"")</f>
        <v>63455.713653610728</v>
      </c>
      <c r="AE20" s="163">
        <f>IFERROR(_xlfn.XLOOKUP($D20,'Modelling New'!$D:$D,'Modelling New'!$O:$O),"")</f>
        <v>0.71066341265888178</v>
      </c>
      <c r="AF20" s="163">
        <f>IFERROR(_xlfn.XLOOKUP($D20,'Modelling New'!$D:$D,'Modelling New'!$W:$W),"")</f>
        <v>0.22559625161266611</v>
      </c>
      <c r="AG20" s="163">
        <f>IFERROR(_xlfn.XLOOKUP($D20,'Modelling New'!$D:$D,'Modelling New'!AE:AE),"")</f>
        <v>0.995</v>
      </c>
      <c r="AH20" s="163">
        <f>IFERROR(_xlfn.XLOOKUP($D20,'Modelling New'!$D:$D,'Modelling New'!AF:AF),"")</f>
        <v>0.98550000000000004</v>
      </c>
      <c r="AN20" s="164"/>
      <c r="AO20" s="161"/>
      <c r="AP20" s="161"/>
      <c r="AQ20" s="161"/>
      <c r="AR20" s="156">
        <f>IFERROR(_xlfn.XLOOKUP($D20,'Modelling New'!$D:$D,'Modelling New'!$N:$N),"")</f>
        <v>11.72</v>
      </c>
    </row>
    <row r="21" spans="1:44">
      <c r="A21" s="155">
        <f t="shared" si="3"/>
        <v>45764</v>
      </c>
      <c r="B21" s="156">
        <f>YEAR(Table13[[#This Row],[Date]])+IF(MONTH(Table13[[#This Row],[Date]])&gt;=4,1,0)</f>
        <v>2026</v>
      </c>
      <c r="C21" s="129">
        <f>YEAR(Table13[[#This Row],[Date]])</f>
        <v>2025</v>
      </c>
      <c r="D21" s="157">
        <f>Table13[[#This Row],[Date]]-DAY(Table13[[#This Row],[Date]])+1</f>
        <v>45748</v>
      </c>
      <c r="E21" s="129">
        <f t="shared" si="0"/>
        <v>30</v>
      </c>
      <c r="F21" s="130">
        <f>IFERROR(_xlfn.XLOOKUP($A21,'Raw Data'!$G:$G,'Raw Data'!$AH:$AH),"")</f>
        <v>12.166666666666666</v>
      </c>
      <c r="G21" s="131">
        <f>IFERROR(_xlfn.XLOOKUP($A21,'Raw Data'!$G:$G,'Raw Data'!$S:$S)/1000,"")</f>
        <v>0</v>
      </c>
      <c r="H21" s="131"/>
      <c r="I21" s="131">
        <f>IFERROR(_xlfn.XLOOKUP($A21,'Raw Data'!$G:$G,'Raw Data'!$AF:$AF)/1000,"")</f>
        <v>6.9729999999999999</v>
      </c>
      <c r="J21" s="131"/>
      <c r="K21" s="131">
        <f>IFERROR(_xlfn.XLOOKUP($A21,'Raw Data'!$G:$G,'Raw Data'!W:W),"")</f>
        <v>23</v>
      </c>
      <c r="L21" s="131">
        <f>IFERROR(_xlfn.XLOOKUP($A21,'Raw Data'!$G:$G,'Raw Data'!X:X),"")</f>
        <v>48</v>
      </c>
      <c r="M21" s="131">
        <f>IFERROR(_xlfn.XLOOKUP($A21,'Raw Data'!$G:$G,'Raw Data'!Y:Y),"")</f>
        <v>4.7</v>
      </c>
      <c r="N21" s="131">
        <f>IFERROR(_xlfn.XLOOKUP($A21,'Raw Data'!$G:$G,'Raw Data'!Z:Z),"")</f>
        <v>11</v>
      </c>
      <c r="O21" s="158">
        <f>IFERROR(1-SUMIF('Plant BD'!$H:$H,$A21,'Plant BD'!AC:AC)/$F21,"")</f>
        <v>1</v>
      </c>
      <c r="P21" s="158"/>
      <c r="Q21" s="159"/>
      <c r="R21" s="158">
        <f>IFERROR(1-SUMIF('Grid BD'!$H:$H,$A21,'Grid BD'!AB:AB)/$F21,"")</f>
        <v>1</v>
      </c>
      <c r="T21" s="159">
        <f>IFERROR(1-SUMIF(Tracker_BD!$H:$H,$A21,Tracker_BD!AI:AI)/$F21,"")</f>
        <v>0.95446386395843175</v>
      </c>
      <c r="U21" s="160">
        <f t="shared" si="1"/>
        <v>0.71912922050882611</v>
      </c>
      <c r="V21" s="160"/>
      <c r="W21" s="161">
        <f t="shared" si="2"/>
        <v>0.20893700227533515</v>
      </c>
      <c r="X21" s="156">
        <f>IFERROR(_xlfn.XLOOKUP($A21,'Raw Data'!$G:$G,'Raw Data'!$AB:$AB),"")</f>
        <v>59011</v>
      </c>
      <c r="Y21" s="156">
        <f>IFERROR(_xlfn.XLOOKUP($A21,'Raw Data'!$G:$G,'Raw Data'!AC:AC),"")</f>
        <v>58950.500000006286</v>
      </c>
      <c r="Z21" s="156">
        <f>IFERROR(_xlfn.XLOOKUP($A21,'Raw Data'!$G:$G,'Raw Data'!AD:AD),"")</f>
        <v>180.70000000000164</v>
      </c>
      <c r="AA21" s="156">
        <f>IFERROR(_xlfn.XLOOKUP($A21,'Raw Data'!$G:$G,'Raw Data'!AE:AE),"")</f>
        <v>58769.800000006282</v>
      </c>
      <c r="AB21" s="156">
        <f>IFERROR(_xlfn.XLOOKUP($A21,'Raw Data'!$G:$G,'Raw Data'!$H:$H),"")</f>
        <v>11.72</v>
      </c>
      <c r="AC21" s="162">
        <f>IFERROR(_xlfn.XLOOKUP($D21,'Modelling New'!$D:$D,'Modelling New'!$P:$P),"")</f>
        <v>7.6186700233333315</v>
      </c>
      <c r="AD21" s="156">
        <f>IFERROR(_xlfn.XLOOKUP($D21,'Modelling New'!$D:$D,'Modelling New'!$T:$T)*1000,"")</f>
        <v>63455.713653610728</v>
      </c>
      <c r="AE21" s="163">
        <f>IFERROR(_xlfn.XLOOKUP($D21,'Modelling New'!$D:$D,'Modelling New'!$O:$O),"")</f>
        <v>0.71066341265888178</v>
      </c>
      <c r="AF21" s="163">
        <f>IFERROR(_xlfn.XLOOKUP($D21,'Modelling New'!$D:$D,'Modelling New'!$W:$W),"")</f>
        <v>0.22559625161266611</v>
      </c>
      <c r="AG21" s="163">
        <f>IFERROR(_xlfn.XLOOKUP($D21,'Modelling New'!$D:$D,'Modelling New'!AE:AE),"")</f>
        <v>0.995</v>
      </c>
      <c r="AH21" s="163">
        <f>IFERROR(_xlfn.XLOOKUP($D21,'Modelling New'!$D:$D,'Modelling New'!AF:AF),"")</f>
        <v>0.98550000000000004</v>
      </c>
      <c r="AN21" s="164"/>
      <c r="AO21" s="161"/>
      <c r="AP21" s="161"/>
      <c r="AQ21" s="161"/>
      <c r="AR21" s="156">
        <f>IFERROR(_xlfn.XLOOKUP($D21,'Modelling New'!$D:$D,'Modelling New'!$N:$N),"")</f>
        <v>11.72</v>
      </c>
    </row>
    <row r="22" spans="1:44">
      <c r="A22" s="155">
        <f t="shared" si="3"/>
        <v>45765</v>
      </c>
      <c r="B22" s="156">
        <f>YEAR(Table13[[#This Row],[Date]])+IF(MONTH(Table13[[#This Row],[Date]])&gt;=4,1,0)</f>
        <v>2026</v>
      </c>
      <c r="C22" s="129">
        <f>YEAR(Table13[[#This Row],[Date]])</f>
        <v>2025</v>
      </c>
      <c r="D22" s="157">
        <f>Table13[[#This Row],[Date]]-DAY(Table13[[#This Row],[Date]])+1</f>
        <v>45748</v>
      </c>
      <c r="E22" s="129">
        <f t="shared" si="0"/>
        <v>30</v>
      </c>
      <c r="F22" s="130">
        <f>IFERROR(_xlfn.XLOOKUP($A22,'Raw Data'!$G:$G,'Raw Data'!$AH:$AH),"")</f>
        <v>10.700000000000001</v>
      </c>
      <c r="G22" s="131">
        <f>IFERROR(_xlfn.XLOOKUP($A22,'Raw Data'!$G:$G,'Raw Data'!$S:$S)/1000,"")</f>
        <v>0</v>
      </c>
      <c r="H22" s="131"/>
      <c r="I22" s="131">
        <f>IFERROR(_xlfn.XLOOKUP($A22,'Raw Data'!$G:$G,'Raw Data'!$AF:$AF)/1000,"")</f>
        <v>4.6044999999999998</v>
      </c>
      <c r="J22" s="131"/>
      <c r="K22" s="131">
        <f>IFERROR(_xlfn.XLOOKUP($A22,'Raw Data'!$G:$G,'Raw Data'!W:W),"")</f>
        <v>23</v>
      </c>
      <c r="L22" s="131">
        <f>IFERROR(_xlfn.XLOOKUP($A22,'Raw Data'!$G:$G,'Raw Data'!X:X),"")</f>
        <v>39</v>
      </c>
      <c r="M22" s="131">
        <f>IFERROR(_xlfn.XLOOKUP($A22,'Raw Data'!$G:$G,'Raw Data'!Y:Y),"")</f>
        <v>6</v>
      </c>
      <c r="N22" s="131">
        <f>IFERROR(_xlfn.XLOOKUP($A22,'Raw Data'!$G:$G,'Raw Data'!Z:Z),"")</f>
        <v>16</v>
      </c>
      <c r="O22" s="158">
        <f>IFERROR(1-SUMIF('Plant BD'!$H:$H,$A22,'Plant BD'!AC:AC)/$F22,"")</f>
        <v>1</v>
      </c>
      <c r="P22" s="158"/>
      <c r="Q22" s="159"/>
      <c r="R22" s="158">
        <f>IFERROR(1-SUMIF('Grid BD'!$H:$H,$A22,'Grid BD'!AB:AB)/$F22,"")</f>
        <v>1</v>
      </c>
      <c r="T22" s="159">
        <f>IFERROR(1-SUMIF(Tracker_BD!$H:$H,$A22,Tracker_BD!AI:AI)/$F22,"")</f>
        <v>0.94865184230314747</v>
      </c>
      <c r="U22" s="160">
        <f t="shared" si="1"/>
        <v>0.71009700037466583</v>
      </c>
      <c r="V22" s="160"/>
      <c r="W22" s="161">
        <f t="shared" si="2"/>
        <v>0.13623506825938117</v>
      </c>
      <c r="X22" s="156">
        <f>IFERROR(_xlfn.XLOOKUP($A22,'Raw Data'!$G:$G,'Raw Data'!$AB:$AB),"")</f>
        <v>38584</v>
      </c>
      <c r="Y22" s="156">
        <f>IFERROR(_xlfn.XLOOKUP($A22,'Raw Data'!$G:$G,'Raw Data'!AC:AC),"")</f>
        <v>38520.499999998719</v>
      </c>
      <c r="Z22" s="156">
        <f>IFERROR(_xlfn.XLOOKUP($A22,'Raw Data'!$G:$G,'Raw Data'!AD:AD),"")</f>
        <v>200.29999999997017</v>
      </c>
      <c r="AA22" s="156">
        <f>IFERROR(_xlfn.XLOOKUP($A22,'Raw Data'!$G:$G,'Raw Data'!AE:AE),"")</f>
        <v>38320.199999998746</v>
      </c>
      <c r="AB22" s="156">
        <f>IFERROR(_xlfn.XLOOKUP($A22,'Raw Data'!$G:$G,'Raw Data'!$H:$H),"")</f>
        <v>11.72</v>
      </c>
      <c r="AC22" s="162">
        <f>IFERROR(_xlfn.XLOOKUP($D22,'Modelling New'!$D:$D,'Modelling New'!$P:$P),"")</f>
        <v>7.6186700233333315</v>
      </c>
      <c r="AD22" s="156">
        <f>IFERROR(_xlfn.XLOOKUP($D22,'Modelling New'!$D:$D,'Modelling New'!$T:$T)*1000,"")</f>
        <v>63455.713653610728</v>
      </c>
      <c r="AE22" s="163">
        <f>IFERROR(_xlfn.XLOOKUP($D22,'Modelling New'!$D:$D,'Modelling New'!$O:$O),"")</f>
        <v>0.71066341265888178</v>
      </c>
      <c r="AF22" s="163">
        <f>IFERROR(_xlfn.XLOOKUP($D22,'Modelling New'!$D:$D,'Modelling New'!$W:$W),"")</f>
        <v>0.22559625161266611</v>
      </c>
      <c r="AG22" s="163">
        <f>IFERROR(_xlfn.XLOOKUP($D22,'Modelling New'!$D:$D,'Modelling New'!AE:AE),"")</f>
        <v>0.995</v>
      </c>
      <c r="AH22" s="163">
        <f>IFERROR(_xlfn.XLOOKUP($D22,'Modelling New'!$D:$D,'Modelling New'!AF:AF),"")</f>
        <v>0.98550000000000004</v>
      </c>
      <c r="AN22" s="164"/>
      <c r="AO22" s="161"/>
      <c r="AP22" s="161"/>
      <c r="AQ22" s="161"/>
      <c r="AR22" s="156">
        <f>IFERROR(_xlfn.XLOOKUP($D22,'Modelling New'!$D:$D,'Modelling New'!$N:$N),"")</f>
        <v>11.72</v>
      </c>
    </row>
    <row r="23" spans="1:44">
      <c r="A23" s="155">
        <f t="shared" si="3"/>
        <v>45766</v>
      </c>
      <c r="B23" s="156">
        <f>YEAR(Table13[[#This Row],[Date]])+IF(MONTH(Table13[[#This Row],[Date]])&gt;=4,1,0)</f>
        <v>2026</v>
      </c>
      <c r="C23" s="129">
        <f>YEAR(Table13[[#This Row],[Date]])</f>
        <v>2025</v>
      </c>
      <c r="D23" s="157">
        <f>Table13[[#This Row],[Date]]-DAY(Table13[[#This Row],[Date]])+1</f>
        <v>45748</v>
      </c>
      <c r="E23" s="129">
        <f t="shared" si="0"/>
        <v>30</v>
      </c>
      <c r="F23" s="130">
        <f>IFERROR(_xlfn.XLOOKUP($A23,'Raw Data'!$G:$G,'Raw Data'!$AH:$AH),"")</f>
        <v>12.116666666666669</v>
      </c>
      <c r="G23" s="131">
        <f>IFERROR(_xlfn.XLOOKUP($A23,'Raw Data'!$G:$G,'Raw Data'!$S:$S)/1000,"")</f>
        <v>0</v>
      </c>
      <c r="H23" s="131"/>
      <c r="I23" s="131">
        <f>IFERROR(_xlfn.XLOOKUP($A23,'Raw Data'!$G:$G,'Raw Data'!$AF:$AF)/1000,"")</f>
        <v>6.5659999999999998</v>
      </c>
      <c r="J23" s="131"/>
      <c r="K23" s="131">
        <f>IFERROR(_xlfn.XLOOKUP($A23,'Raw Data'!$G:$G,'Raw Data'!W:W),"")</f>
        <v>23</v>
      </c>
      <c r="L23" s="131">
        <f>IFERROR(_xlfn.XLOOKUP($A23,'Raw Data'!$G:$G,'Raw Data'!X:X),"")</f>
        <v>47</v>
      </c>
      <c r="M23" s="131">
        <f>IFERROR(_xlfn.XLOOKUP($A23,'Raw Data'!$G:$G,'Raw Data'!Y:Y),"")</f>
        <v>7</v>
      </c>
      <c r="N23" s="131">
        <f>IFERROR(_xlfn.XLOOKUP($A23,'Raw Data'!$G:$G,'Raw Data'!Z:Z),"")</f>
        <v>21</v>
      </c>
      <c r="O23" s="158">
        <f>IFERROR(1-SUMIF('Plant BD'!$H:$H,$A23,'Plant BD'!AC:AC)/$F23,"")</f>
        <v>1</v>
      </c>
      <c r="P23" s="158"/>
      <c r="Q23" s="159"/>
      <c r="R23" s="158">
        <f>IFERROR(1-SUMIF('Grid BD'!$H:$H,$A23,'Grid BD'!AB:AB)/$F23,"")</f>
        <v>1</v>
      </c>
      <c r="T23" s="159">
        <f>IFERROR(1-SUMIF(Tracker_BD!$H:$H,$A23,Tracker_BD!AI:AI)/$F23,"")</f>
        <v>0.95516134642444939</v>
      </c>
      <c r="U23" s="160">
        <f t="shared" si="1"/>
        <v>0.70023957318648455</v>
      </c>
      <c r="V23" s="160"/>
      <c r="W23" s="161">
        <f t="shared" si="2"/>
        <v>0.19157387656426905</v>
      </c>
      <c r="X23" s="156">
        <f>IFERROR(_xlfn.XLOOKUP($A23,'Raw Data'!$G:$G,'Raw Data'!$AB:$AB),"")</f>
        <v>54154</v>
      </c>
      <c r="Y23" s="156">
        <f>IFERROR(_xlfn.XLOOKUP($A23,'Raw Data'!$G:$G,'Raw Data'!AC:AC),"")</f>
        <v>54079.299999997602</v>
      </c>
      <c r="Z23" s="156">
        <f>IFERROR(_xlfn.XLOOKUP($A23,'Raw Data'!$G:$G,'Raw Data'!AD:AD),"")</f>
        <v>193.39999999999691</v>
      </c>
      <c r="AA23" s="156">
        <f>IFERROR(_xlfn.XLOOKUP($A23,'Raw Data'!$G:$G,'Raw Data'!AE:AE),"")</f>
        <v>53885.899999997608</v>
      </c>
      <c r="AB23" s="156">
        <f>IFERROR(_xlfn.XLOOKUP($A23,'Raw Data'!$G:$G,'Raw Data'!$H:$H),"")</f>
        <v>11.72</v>
      </c>
      <c r="AC23" s="162">
        <f>IFERROR(_xlfn.XLOOKUP($D23,'Modelling New'!$D:$D,'Modelling New'!$P:$P),"")</f>
        <v>7.6186700233333315</v>
      </c>
      <c r="AD23" s="156">
        <f>IFERROR(_xlfn.XLOOKUP($D23,'Modelling New'!$D:$D,'Modelling New'!$T:$T)*1000,"")</f>
        <v>63455.713653610728</v>
      </c>
      <c r="AE23" s="163">
        <f>IFERROR(_xlfn.XLOOKUP($D23,'Modelling New'!$D:$D,'Modelling New'!$O:$O),"")</f>
        <v>0.71066341265888178</v>
      </c>
      <c r="AF23" s="163">
        <f>IFERROR(_xlfn.XLOOKUP($D23,'Modelling New'!$D:$D,'Modelling New'!$W:$W),"")</f>
        <v>0.22559625161266611</v>
      </c>
      <c r="AG23" s="163">
        <f>IFERROR(_xlfn.XLOOKUP($D23,'Modelling New'!$D:$D,'Modelling New'!AE:AE),"")</f>
        <v>0.995</v>
      </c>
      <c r="AH23" s="163">
        <f>IFERROR(_xlfn.XLOOKUP($D23,'Modelling New'!$D:$D,'Modelling New'!AF:AF),"")</f>
        <v>0.98550000000000004</v>
      </c>
      <c r="AN23" s="164"/>
      <c r="AO23" s="161"/>
      <c r="AP23" s="161"/>
      <c r="AQ23" s="161"/>
      <c r="AR23" s="156">
        <f>IFERROR(_xlfn.XLOOKUP($D23,'Modelling New'!$D:$D,'Modelling New'!$N:$N),"")</f>
        <v>11.72</v>
      </c>
    </row>
    <row r="24" spans="1:44">
      <c r="A24" s="155">
        <f t="shared" si="3"/>
        <v>45767</v>
      </c>
      <c r="B24" s="156">
        <f>YEAR(Table13[[#This Row],[Date]])+IF(MONTH(Table13[[#This Row],[Date]])&gt;=4,1,0)</f>
        <v>2026</v>
      </c>
      <c r="C24" s="129">
        <f>YEAR(Table13[[#This Row],[Date]])</f>
        <v>2025</v>
      </c>
      <c r="D24" s="157">
        <f>Table13[[#This Row],[Date]]-DAY(Table13[[#This Row],[Date]])+1</f>
        <v>45748</v>
      </c>
      <c r="E24" s="129">
        <f t="shared" si="0"/>
        <v>30</v>
      </c>
      <c r="F24" s="130">
        <f>IFERROR(_xlfn.XLOOKUP($A24,'Raw Data'!$G:$G,'Raw Data'!$AH:$AH),"")</f>
        <v>12.250000000000002</v>
      </c>
      <c r="G24" s="131">
        <f>IFERROR(_xlfn.XLOOKUP($A24,'Raw Data'!$G:$G,'Raw Data'!$S:$S)/1000,"")</f>
        <v>0</v>
      </c>
      <c r="H24" s="131"/>
      <c r="I24" s="131">
        <f>IFERROR(_xlfn.XLOOKUP($A24,'Raw Data'!$G:$G,'Raw Data'!$AF:$AF)/1000,"")</f>
        <v>7.7329999999999997</v>
      </c>
      <c r="J24" s="131"/>
      <c r="K24" s="131">
        <f>IFERROR(_xlfn.XLOOKUP($A24,'Raw Data'!$G:$G,'Raw Data'!W:W),"")</f>
        <v>23</v>
      </c>
      <c r="L24" s="131">
        <f>IFERROR(_xlfn.XLOOKUP($A24,'Raw Data'!$G:$G,'Raw Data'!X:X),"")</f>
        <v>47.8</v>
      </c>
      <c r="M24" s="131">
        <f>IFERROR(_xlfn.XLOOKUP($A24,'Raw Data'!$G:$G,'Raw Data'!Y:Y),"")</f>
        <v>6</v>
      </c>
      <c r="N24" s="131">
        <f>IFERROR(_xlfn.XLOOKUP($A24,'Raw Data'!$G:$G,'Raw Data'!Z:Z),"")</f>
        <v>10</v>
      </c>
      <c r="O24" s="158">
        <f>IFERROR(1-SUMIF('Plant BD'!$H:$H,$A24,'Plant BD'!AC:AC)/$F24,"")</f>
        <v>1</v>
      </c>
      <c r="P24" s="158"/>
      <c r="Q24" s="159"/>
      <c r="R24" s="158">
        <f>IFERROR(1-SUMIF('Grid BD'!$H:$H,$A24,'Grid BD'!AB:AB)/$F24,"")</f>
        <v>1</v>
      </c>
      <c r="T24" s="159">
        <f>IFERROR(1-SUMIF(Tracker_BD!$H:$H,$A24,Tracker_BD!AI:AI)/$F24,"")</f>
        <v>0.95477363359136758</v>
      </c>
      <c r="U24" s="160">
        <f t="shared" si="1"/>
        <v>0.6971926529138458</v>
      </c>
      <c r="V24" s="160"/>
      <c r="W24" s="161">
        <f t="shared" si="2"/>
        <v>0.22464128270761535</v>
      </c>
      <c r="X24" s="156">
        <f>IFERROR(_xlfn.XLOOKUP($A24,'Raw Data'!$G:$G,'Raw Data'!$AB:$AB),"")</f>
        <v>63391</v>
      </c>
      <c r="Y24" s="156">
        <f>IFERROR(_xlfn.XLOOKUP($A24,'Raw Data'!$G:$G,'Raw Data'!AC:AC),"")</f>
        <v>63367.299999998068</v>
      </c>
      <c r="Z24" s="156">
        <f>IFERROR(_xlfn.XLOOKUP($A24,'Raw Data'!$G:$G,'Raw Data'!AD:AD),"")</f>
        <v>180.20000000001346</v>
      </c>
      <c r="AA24" s="156">
        <f>IFERROR(_xlfn.XLOOKUP($A24,'Raw Data'!$G:$G,'Raw Data'!AE:AE),"")</f>
        <v>63187.099999998056</v>
      </c>
      <c r="AB24" s="156">
        <f>IFERROR(_xlfn.XLOOKUP($A24,'Raw Data'!$G:$G,'Raw Data'!$H:$H),"")</f>
        <v>11.72</v>
      </c>
      <c r="AC24" s="162">
        <f>IFERROR(_xlfn.XLOOKUP($D24,'Modelling New'!$D:$D,'Modelling New'!$P:$P),"")</f>
        <v>7.6186700233333315</v>
      </c>
      <c r="AD24" s="156">
        <f>IFERROR(_xlfn.XLOOKUP($D24,'Modelling New'!$D:$D,'Modelling New'!$T:$T)*1000,"")</f>
        <v>63455.713653610728</v>
      </c>
      <c r="AE24" s="163">
        <f>IFERROR(_xlfn.XLOOKUP($D24,'Modelling New'!$D:$D,'Modelling New'!$O:$O),"")</f>
        <v>0.71066341265888178</v>
      </c>
      <c r="AF24" s="163">
        <f>IFERROR(_xlfn.XLOOKUP($D24,'Modelling New'!$D:$D,'Modelling New'!$W:$W),"")</f>
        <v>0.22559625161266611</v>
      </c>
      <c r="AG24" s="163">
        <f>IFERROR(_xlfn.XLOOKUP($D24,'Modelling New'!$D:$D,'Modelling New'!AE:AE),"")</f>
        <v>0.995</v>
      </c>
      <c r="AH24" s="163">
        <f>IFERROR(_xlfn.XLOOKUP($D24,'Modelling New'!$D:$D,'Modelling New'!AF:AF),"")</f>
        <v>0.98550000000000004</v>
      </c>
      <c r="AN24" s="164"/>
      <c r="AO24" s="161"/>
      <c r="AP24" s="161"/>
      <c r="AQ24" s="161"/>
      <c r="AR24" s="156">
        <f>IFERROR(_xlfn.XLOOKUP($D24,'Modelling New'!$D:$D,'Modelling New'!$N:$N),"")</f>
        <v>11.72</v>
      </c>
    </row>
    <row r="25" spans="1:44">
      <c r="A25" s="155">
        <f t="shared" si="3"/>
        <v>45768</v>
      </c>
      <c r="B25" s="156">
        <f>YEAR(Table13[[#This Row],[Date]])+IF(MONTH(Table13[[#This Row],[Date]])&gt;=4,1,0)</f>
        <v>2026</v>
      </c>
      <c r="C25" s="129">
        <f>YEAR(Table13[[#This Row],[Date]])</f>
        <v>2025</v>
      </c>
      <c r="D25" s="157">
        <f>Table13[[#This Row],[Date]]-DAY(Table13[[#This Row],[Date]])+1</f>
        <v>45748</v>
      </c>
      <c r="E25" s="129">
        <f t="shared" si="0"/>
        <v>30</v>
      </c>
      <c r="F25" s="130">
        <f>IFERROR(_xlfn.XLOOKUP($A25,'Raw Data'!$G:$G,'Raw Data'!$AH:$AH),"")</f>
        <v>12.033333333333333</v>
      </c>
      <c r="G25" s="131">
        <f>IFERROR(_xlfn.XLOOKUP($A25,'Raw Data'!$G:$G,'Raw Data'!$S:$S)/1000,"")</f>
        <v>0</v>
      </c>
      <c r="H25" s="131"/>
      <c r="I25" s="131">
        <f>IFERROR(_xlfn.XLOOKUP($A25,'Raw Data'!$G:$G,'Raw Data'!$AF:$AF)/1000,"")</f>
        <v>7.39</v>
      </c>
      <c r="J25" s="131"/>
      <c r="K25" s="131">
        <f>IFERROR(_xlfn.XLOOKUP($A25,'Raw Data'!$G:$G,'Raw Data'!W:W),"")</f>
        <v>23</v>
      </c>
      <c r="L25" s="131">
        <f>IFERROR(_xlfn.XLOOKUP($A25,'Raw Data'!$G:$G,'Raw Data'!X:X),"")</f>
        <v>47.8</v>
      </c>
      <c r="M25" s="131">
        <f>IFERROR(_xlfn.XLOOKUP($A25,'Raw Data'!$G:$G,'Raw Data'!Y:Y),"")</f>
        <v>6</v>
      </c>
      <c r="N25" s="131">
        <f>IFERROR(_xlfn.XLOOKUP($A25,'Raw Data'!$G:$G,'Raw Data'!Z:Z),"")</f>
        <v>10</v>
      </c>
      <c r="O25" s="158">
        <f>IFERROR(1-SUMIF('Plant BD'!$H:$H,$A25,'Plant BD'!AC:AC)/$F25,"")</f>
        <v>1</v>
      </c>
      <c r="P25" s="158"/>
      <c r="Q25" s="159"/>
      <c r="R25" s="158">
        <f>IFERROR(1-SUMIF('Grid BD'!$H:$H,$A25,'Grid BD'!AB:AB)/$F25,"")</f>
        <v>1</v>
      </c>
      <c r="T25" s="159">
        <f>IFERROR(1-SUMIF(Tracker_BD!$H:$H,$A25,Tracker_BD!AI:AI)/$F25,"")</f>
        <v>0.98553268379660586</v>
      </c>
      <c r="U25" s="160">
        <f t="shared" si="1"/>
        <v>0.7050044567189937</v>
      </c>
      <c r="V25" s="160"/>
      <c r="W25" s="161">
        <f t="shared" si="2"/>
        <v>0.21708262229805678</v>
      </c>
      <c r="X25" s="156">
        <f>IFERROR(_xlfn.XLOOKUP($A25,'Raw Data'!$G:$G,'Raw Data'!$AB:$AB),"")</f>
        <v>61251</v>
      </c>
      <c r="Y25" s="156">
        <f>IFERROR(_xlfn.XLOOKUP($A25,'Raw Data'!$G:$G,'Raw Data'!AC:AC),"")</f>
        <v>61242.899999997462</v>
      </c>
      <c r="Z25" s="156">
        <f>IFERROR(_xlfn.XLOOKUP($A25,'Raw Data'!$G:$G,'Raw Data'!AD:AD),"")</f>
        <v>181.90000000004147</v>
      </c>
      <c r="AA25" s="156">
        <f>IFERROR(_xlfn.XLOOKUP($A25,'Raw Data'!$G:$G,'Raw Data'!AE:AE),"")</f>
        <v>61060.999999997424</v>
      </c>
      <c r="AB25" s="156">
        <f>IFERROR(_xlfn.XLOOKUP($A25,'Raw Data'!$G:$G,'Raw Data'!$H:$H),"")</f>
        <v>11.72</v>
      </c>
      <c r="AC25" s="162">
        <f>IFERROR(_xlfn.XLOOKUP($D25,'Modelling New'!$D:$D,'Modelling New'!$P:$P),"")</f>
        <v>7.6186700233333315</v>
      </c>
      <c r="AD25" s="156">
        <f>IFERROR(_xlfn.XLOOKUP($D25,'Modelling New'!$D:$D,'Modelling New'!$T:$T)*1000,"")</f>
        <v>63455.713653610728</v>
      </c>
      <c r="AE25" s="163">
        <f>IFERROR(_xlfn.XLOOKUP($D25,'Modelling New'!$D:$D,'Modelling New'!$O:$O),"")</f>
        <v>0.71066341265888178</v>
      </c>
      <c r="AF25" s="163">
        <f>IFERROR(_xlfn.XLOOKUP($D25,'Modelling New'!$D:$D,'Modelling New'!$W:$W),"")</f>
        <v>0.22559625161266611</v>
      </c>
      <c r="AG25" s="163">
        <f>IFERROR(_xlfn.XLOOKUP($D25,'Modelling New'!$D:$D,'Modelling New'!AE:AE),"")</f>
        <v>0.995</v>
      </c>
      <c r="AH25" s="163">
        <f>IFERROR(_xlfn.XLOOKUP($D25,'Modelling New'!$D:$D,'Modelling New'!AF:AF),"")</f>
        <v>0.98550000000000004</v>
      </c>
      <c r="AN25" s="164"/>
      <c r="AO25" s="161"/>
      <c r="AP25" s="161"/>
      <c r="AQ25" s="161"/>
      <c r="AR25" s="156">
        <f>IFERROR(_xlfn.XLOOKUP($D25,'Modelling New'!$D:$D,'Modelling New'!$N:$N),"")</f>
        <v>11.72</v>
      </c>
    </row>
    <row r="26" spans="1:44">
      <c r="A26" s="155">
        <f t="shared" si="3"/>
        <v>45769</v>
      </c>
      <c r="B26" s="156">
        <f>YEAR(Table13[[#This Row],[Date]])+IF(MONTH(Table13[[#This Row],[Date]])&gt;=4,1,0)</f>
        <v>2026</v>
      </c>
      <c r="C26" s="129">
        <f>YEAR(Table13[[#This Row],[Date]])</f>
        <v>2025</v>
      </c>
      <c r="D26" s="157">
        <f>Table13[[#This Row],[Date]]-DAY(Table13[[#This Row],[Date]])+1</f>
        <v>45748</v>
      </c>
      <c r="E26" s="129">
        <f t="shared" si="0"/>
        <v>30</v>
      </c>
      <c r="F26" s="130">
        <f>IFERROR(_xlfn.XLOOKUP($A26,'Raw Data'!$G:$G,'Raw Data'!$AH:$AH),"")</f>
        <v>12.1</v>
      </c>
      <c r="G26" s="131">
        <f>IFERROR(_xlfn.XLOOKUP($A26,'Raw Data'!$G:$G,'Raw Data'!$S:$S)/1000,"")</f>
        <v>0</v>
      </c>
      <c r="H26" s="131"/>
      <c r="I26" s="131">
        <f>IFERROR(_xlfn.XLOOKUP($A26,'Raw Data'!$G:$G,'Raw Data'!$AF:$AF)/1000,"")</f>
        <v>6.9349999999999996</v>
      </c>
      <c r="J26" s="131"/>
      <c r="K26" s="131">
        <f>IFERROR(_xlfn.XLOOKUP($A26,'Raw Data'!$G:$G,'Raw Data'!W:W),"")</f>
        <v>23</v>
      </c>
      <c r="L26" s="131">
        <f>IFERROR(_xlfn.XLOOKUP($A26,'Raw Data'!$G:$G,'Raw Data'!X:X),"")</f>
        <v>46</v>
      </c>
      <c r="M26" s="131">
        <f>IFERROR(_xlfn.XLOOKUP($A26,'Raw Data'!$G:$G,'Raw Data'!Y:Y),"")</f>
        <v>5</v>
      </c>
      <c r="N26" s="131">
        <f>IFERROR(_xlfn.XLOOKUP($A26,'Raw Data'!$G:$G,'Raw Data'!Z:Z),"")</f>
        <v>11</v>
      </c>
      <c r="O26" s="158">
        <f>IFERROR(1-SUMIF('Plant BD'!$H:$H,$A26,'Plant BD'!AC:AC)/$F26,"")</f>
        <v>1</v>
      </c>
      <c r="P26" s="158"/>
      <c r="Q26" s="159"/>
      <c r="R26" s="158">
        <f>IFERROR(1-SUMIF('Grid BD'!$H:$H,$A26,'Grid BD'!AB:AB)/$F26,"")</f>
        <v>0.92011019283746553</v>
      </c>
      <c r="T26" s="159">
        <f>IFERROR(1-SUMIF(Tracker_BD!$H:$H,$A26,Tracker_BD!AI:AI)/$F26,"")</f>
        <v>0.98584987809125746</v>
      </c>
      <c r="U26" s="160">
        <f t="shared" si="1"/>
        <v>0.60571592382700412</v>
      </c>
      <c r="V26" s="160"/>
      <c r="W26" s="161">
        <f t="shared" si="2"/>
        <v>0.17502666382251136</v>
      </c>
      <c r="X26" s="156">
        <f>IFERROR(_xlfn.XLOOKUP($A26,'Raw Data'!$G:$G,'Raw Data'!$AB:$AB),"")</f>
        <v>49439</v>
      </c>
      <c r="Y26" s="156">
        <f>IFERROR(_xlfn.XLOOKUP($A26,'Raw Data'!$G:$G,'Raw Data'!AC:AC),"")</f>
        <v>49426.999999996042</v>
      </c>
      <c r="Z26" s="156">
        <f>IFERROR(_xlfn.XLOOKUP($A26,'Raw Data'!$G:$G,'Raw Data'!AD:AD),"")</f>
        <v>195.5000000000382</v>
      </c>
      <c r="AA26" s="156">
        <f>IFERROR(_xlfn.XLOOKUP($A26,'Raw Data'!$G:$G,'Raw Data'!AE:AE),"")</f>
        <v>49231.499999996005</v>
      </c>
      <c r="AB26" s="156">
        <f>IFERROR(_xlfn.XLOOKUP($A26,'Raw Data'!$G:$G,'Raw Data'!$H:$H),"")</f>
        <v>11.72</v>
      </c>
      <c r="AC26" s="162">
        <f>IFERROR(_xlfn.XLOOKUP($D26,'Modelling New'!$D:$D,'Modelling New'!$P:$P),"")</f>
        <v>7.6186700233333315</v>
      </c>
      <c r="AD26" s="156">
        <f>IFERROR(_xlfn.XLOOKUP($D26,'Modelling New'!$D:$D,'Modelling New'!$T:$T)*1000,"")</f>
        <v>63455.713653610728</v>
      </c>
      <c r="AE26" s="163">
        <f>IFERROR(_xlfn.XLOOKUP($D26,'Modelling New'!$D:$D,'Modelling New'!$O:$O),"")</f>
        <v>0.71066341265888178</v>
      </c>
      <c r="AF26" s="163">
        <f>IFERROR(_xlfn.XLOOKUP($D26,'Modelling New'!$D:$D,'Modelling New'!$W:$W),"")</f>
        <v>0.22559625161266611</v>
      </c>
      <c r="AG26" s="163">
        <f>IFERROR(_xlfn.XLOOKUP($D26,'Modelling New'!$D:$D,'Modelling New'!AE:AE),"")</f>
        <v>0.995</v>
      </c>
      <c r="AH26" s="163">
        <f>IFERROR(_xlfn.XLOOKUP($D26,'Modelling New'!$D:$D,'Modelling New'!AF:AF),"")</f>
        <v>0.98550000000000004</v>
      </c>
      <c r="AN26" s="164"/>
      <c r="AO26" s="161"/>
      <c r="AP26" s="161"/>
      <c r="AQ26" s="161"/>
      <c r="AR26" s="156">
        <f>IFERROR(_xlfn.XLOOKUP($D26,'Modelling New'!$D:$D,'Modelling New'!$N:$N),"")</f>
        <v>11.72</v>
      </c>
    </row>
    <row r="27" spans="1:44">
      <c r="A27" s="155">
        <f t="shared" si="3"/>
        <v>45770</v>
      </c>
      <c r="B27" s="156">
        <f>YEAR(Table13[[#This Row],[Date]])+IF(MONTH(Table13[[#This Row],[Date]])&gt;=4,1,0)</f>
        <v>2026</v>
      </c>
      <c r="C27" s="129">
        <f>YEAR(Table13[[#This Row],[Date]])</f>
        <v>2025</v>
      </c>
      <c r="D27" s="157">
        <f>Table13[[#This Row],[Date]]-DAY(Table13[[#This Row],[Date]])+1</f>
        <v>45748</v>
      </c>
      <c r="E27" s="129">
        <f t="shared" si="0"/>
        <v>30</v>
      </c>
      <c r="F27" s="130">
        <f>IFERROR(_xlfn.XLOOKUP($A27,'Raw Data'!$G:$G,'Raw Data'!$AH:$AH),"")</f>
        <v>12.066666666666666</v>
      </c>
      <c r="G27" s="131">
        <f>IFERROR(_xlfn.XLOOKUP($A27,'Raw Data'!$G:$G,'Raw Data'!$S:$S)/1000,"")</f>
        <v>0</v>
      </c>
      <c r="H27" s="131"/>
      <c r="I27" s="131">
        <f>IFERROR(_xlfn.XLOOKUP($A27,'Raw Data'!$G:$G,'Raw Data'!$AF:$AF)/1000,"")</f>
        <v>6.7004999999999999</v>
      </c>
      <c r="J27" s="131"/>
      <c r="K27" s="131">
        <f>IFERROR(_xlfn.XLOOKUP($A27,'Raw Data'!$G:$G,'Raw Data'!W:W),"")</f>
        <v>23</v>
      </c>
      <c r="L27" s="131">
        <f>IFERROR(_xlfn.XLOOKUP($A27,'Raw Data'!$G:$G,'Raw Data'!X:X),"")</f>
        <v>50</v>
      </c>
      <c r="M27" s="131">
        <f>IFERROR(_xlfn.XLOOKUP($A27,'Raw Data'!$G:$G,'Raw Data'!Y:Y),"")</f>
        <v>6</v>
      </c>
      <c r="N27" s="131">
        <f>IFERROR(_xlfn.XLOOKUP($A27,'Raw Data'!$G:$G,'Raw Data'!Z:Z),"")</f>
        <v>14</v>
      </c>
      <c r="O27" s="158">
        <f>IFERROR(1-SUMIF('Plant BD'!$H:$H,$A27,'Plant BD'!AC:AC)/$F27,"")</f>
        <v>1</v>
      </c>
      <c r="P27" s="158"/>
      <c r="Q27" s="159"/>
      <c r="R27" s="158">
        <f>IFERROR(1-SUMIF('Grid BD'!$H:$H,$A27,'Grid BD'!AB:AB)/$F27,"")</f>
        <v>1</v>
      </c>
      <c r="T27" s="159">
        <f>IFERROR(1-SUMIF(Tracker_BD!$H:$H,$A27,Tracker_BD!AI:AI)/$F27,"")</f>
        <v>0.98571156410744909</v>
      </c>
      <c r="U27" s="160">
        <f t="shared" si="1"/>
        <v>0.69447850792054355</v>
      </c>
      <c r="V27" s="160"/>
      <c r="W27" s="161">
        <f t="shared" si="2"/>
        <v>0.19388971843006669</v>
      </c>
      <c r="X27" s="156">
        <f>IFERROR(_xlfn.XLOOKUP($A27,'Raw Data'!$G:$G,'Raw Data'!$AB:$AB),"")</f>
        <v>54702</v>
      </c>
      <c r="Y27" s="156">
        <f>IFERROR(_xlfn.XLOOKUP($A27,'Raw Data'!$G:$G,'Raw Data'!AC:AC),"")</f>
        <v>54630.400000009104</v>
      </c>
      <c r="Z27" s="156">
        <f>IFERROR(_xlfn.XLOOKUP($A27,'Raw Data'!$G:$G,'Raw Data'!AD:AD),"")</f>
        <v>93.09999999993579</v>
      </c>
      <c r="AA27" s="156">
        <f>IFERROR(_xlfn.XLOOKUP($A27,'Raw Data'!$G:$G,'Raw Data'!AE:AE),"")</f>
        <v>54537.300000009171</v>
      </c>
      <c r="AB27" s="156">
        <f>IFERROR(_xlfn.XLOOKUP($A27,'Raw Data'!$G:$G,'Raw Data'!$H:$H),"")</f>
        <v>11.72</v>
      </c>
      <c r="AC27" s="162">
        <f>IFERROR(_xlfn.XLOOKUP($D27,'Modelling New'!$D:$D,'Modelling New'!$P:$P),"")</f>
        <v>7.6186700233333315</v>
      </c>
      <c r="AD27" s="156">
        <f>IFERROR(_xlfn.XLOOKUP($D27,'Modelling New'!$D:$D,'Modelling New'!$T:$T)*1000,"")</f>
        <v>63455.713653610728</v>
      </c>
      <c r="AE27" s="163">
        <f>IFERROR(_xlfn.XLOOKUP($D27,'Modelling New'!$D:$D,'Modelling New'!$O:$O),"")</f>
        <v>0.71066341265888178</v>
      </c>
      <c r="AF27" s="163">
        <f>IFERROR(_xlfn.XLOOKUP($D27,'Modelling New'!$D:$D,'Modelling New'!$W:$W),"")</f>
        <v>0.22559625161266611</v>
      </c>
      <c r="AG27" s="163">
        <f>IFERROR(_xlfn.XLOOKUP($D27,'Modelling New'!$D:$D,'Modelling New'!AE:AE),"")</f>
        <v>0.995</v>
      </c>
      <c r="AH27" s="163">
        <f>IFERROR(_xlfn.XLOOKUP($D27,'Modelling New'!$D:$D,'Modelling New'!AF:AF),"")</f>
        <v>0.98550000000000004</v>
      </c>
      <c r="AN27" s="164"/>
      <c r="AO27" s="161"/>
      <c r="AP27" s="161"/>
      <c r="AQ27" s="161"/>
      <c r="AR27" s="156">
        <f>IFERROR(_xlfn.XLOOKUP($D27,'Modelling New'!$D:$D,'Modelling New'!$N:$N),"")</f>
        <v>11.72</v>
      </c>
    </row>
    <row r="28" spans="1:44">
      <c r="A28" s="155">
        <f t="shared" si="3"/>
        <v>45771</v>
      </c>
      <c r="B28" s="156">
        <f>YEAR(Table13[[#This Row],[Date]])+IF(MONTH(Table13[[#This Row],[Date]])&gt;=4,1,0)</f>
        <v>2026</v>
      </c>
      <c r="C28" s="129">
        <f>YEAR(Table13[[#This Row],[Date]])</f>
        <v>2025</v>
      </c>
      <c r="D28" s="157">
        <f>Table13[[#This Row],[Date]]-DAY(Table13[[#This Row],[Date]])+1</f>
        <v>45748</v>
      </c>
      <c r="E28" s="129">
        <f t="shared" si="0"/>
        <v>30</v>
      </c>
      <c r="F28" s="130">
        <f>IFERROR(_xlfn.XLOOKUP($A28,'Raw Data'!$G:$G,'Raw Data'!$AH:$AH),"")</f>
        <v>11.983333333333333</v>
      </c>
      <c r="G28" s="131">
        <f>IFERROR(_xlfn.XLOOKUP($A28,'Raw Data'!$G:$G,'Raw Data'!$S:$S)/1000,"")</f>
        <v>0</v>
      </c>
      <c r="H28" s="131"/>
      <c r="I28" s="131">
        <f>IFERROR(_xlfn.XLOOKUP($A28,'Raw Data'!$G:$G,'Raw Data'!$AF:$AF)/1000,"")</f>
        <v>6.5220000000000002</v>
      </c>
      <c r="J28" s="131"/>
      <c r="K28" s="131">
        <f>IFERROR(_xlfn.XLOOKUP($A28,'Raw Data'!$G:$G,'Raw Data'!W:W),"")</f>
        <v>23</v>
      </c>
      <c r="L28" s="131">
        <f>IFERROR(_xlfn.XLOOKUP($A28,'Raw Data'!$G:$G,'Raw Data'!X:X),"")</f>
        <v>48</v>
      </c>
      <c r="M28" s="131">
        <f>IFERROR(_xlfn.XLOOKUP($A28,'Raw Data'!$G:$G,'Raw Data'!Y:Y),"")</f>
        <v>6</v>
      </c>
      <c r="N28" s="131">
        <f>IFERROR(_xlfn.XLOOKUP($A28,'Raw Data'!$G:$G,'Raw Data'!Z:Z),"")</f>
        <v>14</v>
      </c>
      <c r="O28" s="158">
        <f>IFERROR(1-SUMIF('Plant BD'!$H:$H,$A28,'Plant BD'!AC:AC)/$F28,"")</f>
        <v>1</v>
      </c>
      <c r="P28" s="158"/>
      <c r="Q28" s="159"/>
      <c r="R28" s="158">
        <f>IFERROR(1-SUMIF('Grid BD'!$H:$H,$A28,'Grid BD'!AB:AB)/$F28,"")</f>
        <v>0.97218358831710705</v>
      </c>
      <c r="T28" s="159">
        <f>IFERROR(1-SUMIF(Tracker_BD!$H:$H,$A28,Tracker_BD!AI:AI)/$F28,"")</f>
        <v>0.98563218390804597</v>
      </c>
      <c r="U28" s="160">
        <f t="shared" si="1"/>
        <v>0.70832587629371235</v>
      </c>
      <c r="V28" s="160"/>
      <c r="W28" s="161">
        <f t="shared" si="2"/>
        <v>0.1924875568828163</v>
      </c>
      <c r="X28" s="156">
        <f>IFERROR(_xlfn.XLOOKUP($A28,'Raw Data'!$G:$G,'Raw Data'!$AB:$AB),"")</f>
        <v>54437</v>
      </c>
      <c r="Y28" s="156">
        <f>IFERROR(_xlfn.XLOOKUP($A28,'Raw Data'!$G:$G,'Raw Data'!AC:AC),"")</f>
        <v>54419.699999998556</v>
      </c>
      <c r="Z28" s="156">
        <f>IFERROR(_xlfn.XLOOKUP($A28,'Raw Data'!$G:$G,'Raw Data'!AD:AD),"")</f>
        <v>276.79999999998017</v>
      </c>
      <c r="AA28" s="156">
        <f>IFERROR(_xlfn.XLOOKUP($A28,'Raw Data'!$G:$G,'Raw Data'!AE:AE),"")</f>
        <v>54142.899999998575</v>
      </c>
      <c r="AB28" s="156">
        <f>IFERROR(_xlfn.XLOOKUP($A28,'Raw Data'!$G:$G,'Raw Data'!$H:$H),"")</f>
        <v>11.72</v>
      </c>
      <c r="AC28" s="162">
        <f>IFERROR(_xlfn.XLOOKUP($D28,'Modelling New'!$D:$D,'Modelling New'!$P:$P),"")</f>
        <v>7.6186700233333315</v>
      </c>
      <c r="AD28" s="156">
        <f>IFERROR(_xlfn.XLOOKUP($D28,'Modelling New'!$D:$D,'Modelling New'!$T:$T)*1000,"")</f>
        <v>63455.713653610728</v>
      </c>
      <c r="AE28" s="163">
        <f>IFERROR(_xlfn.XLOOKUP($D28,'Modelling New'!$D:$D,'Modelling New'!$O:$O),"")</f>
        <v>0.71066341265888178</v>
      </c>
      <c r="AF28" s="163">
        <f>IFERROR(_xlfn.XLOOKUP($D28,'Modelling New'!$D:$D,'Modelling New'!$W:$W),"")</f>
        <v>0.22559625161266611</v>
      </c>
      <c r="AG28" s="163">
        <f>IFERROR(_xlfn.XLOOKUP($D28,'Modelling New'!$D:$D,'Modelling New'!AE:AE),"")</f>
        <v>0.995</v>
      </c>
      <c r="AH28" s="163">
        <f>IFERROR(_xlfn.XLOOKUP($D28,'Modelling New'!$D:$D,'Modelling New'!AF:AF),"")</f>
        <v>0.98550000000000004</v>
      </c>
      <c r="AN28" s="164"/>
      <c r="AO28" s="161"/>
      <c r="AP28" s="161"/>
      <c r="AQ28" s="161"/>
      <c r="AR28" s="156">
        <f>IFERROR(_xlfn.XLOOKUP($D28,'Modelling New'!$D:$D,'Modelling New'!$N:$N),"")</f>
        <v>11.72</v>
      </c>
    </row>
    <row r="29" spans="1:44">
      <c r="A29" s="155">
        <f t="shared" si="3"/>
        <v>45772</v>
      </c>
      <c r="B29" s="156">
        <f>YEAR(Table13[[#This Row],[Date]])+IF(MONTH(Table13[[#This Row],[Date]])&gt;=4,1,0)</f>
        <v>2026</v>
      </c>
      <c r="C29" s="129">
        <f>YEAR(Table13[[#This Row],[Date]])</f>
        <v>2025</v>
      </c>
      <c r="D29" s="157">
        <f>Table13[[#This Row],[Date]]-DAY(Table13[[#This Row],[Date]])+1</f>
        <v>45748</v>
      </c>
      <c r="E29" s="129">
        <f t="shared" si="0"/>
        <v>30</v>
      </c>
      <c r="F29" s="130">
        <f>IFERROR(_xlfn.XLOOKUP($A29,'Raw Data'!$G:$G,'Raw Data'!$AH:$AH),"")</f>
        <v>11.166666666666668</v>
      </c>
      <c r="G29" s="131">
        <f>IFERROR(_xlfn.XLOOKUP($A29,'Raw Data'!$G:$G,'Raw Data'!$S:$S)/1000,"")</f>
        <v>0</v>
      </c>
      <c r="H29" s="131"/>
      <c r="I29" s="131">
        <f>IFERROR(_xlfn.XLOOKUP($A29,'Raw Data'!$G:$G,'Raw Data'!$AF:$AF)/1000,"")</f>
        <v>5.7539999999999996</v>
      </c>
      <c r="J29" s="131"/>
      <c r="K29" s="131">
        <f>IFERROR(_xlfn.XLOOKUP($A29,'Raw Data'!$G:$G,'Raw Data'!W:W),"")</f>
        <v>23</v>
      </c>
      <c r="L29" s="131">
        <f>IFERROR(_xlfn.XLOOKUP($A29,'Raw Data'!$G:$G,'Raw Data'!X:X),"")</f>
        <v>51</v>
      </c>
      <c r="M29" s="131">
        <f>IFERROR(_xlfn.XLOOKUP($A29,'Raw Data'!$G:$G,'Raw Data'!Y:Y),"")</f>
        <v>7.9</v>
      </c>
      <c r="N29" s="131">
        <f>IFERROR(_xlfn.XLOOKUP($A29,'Raw Data'!$G:$G,'Raw Data'!Z:Z),"")</f>
        <v>22</v>
      </c>
      <c r="O29" s="158">
        <f>IFERROR(1-SUMIF('Plant BD'!$H:$H,$A29,'Plant BD'!AC:AC)/$F29,"")</f>
        <v>1</v>
      </c>
      <c r="P29" s="158"/>
      <c r="Q29" s="159"/>
      <c r="R29" s="158">
        <f>IFERROR(1-SUMIF('Grid BD'!$H:$H,$A29,'Grid BD'!AB:AB)/$F29,"")</f>
        <v>0.87014925373134333</v>
      </c>
      <c r="T29" s="159">
        <f>IFERROR(1-SUMIF(Tracker_BD!$H:$H,$A29,Tracker_BD!AI:AI)/$F29,"")</f>
        <v>0.98440984731514836</v>
      </c>
      <c r="U29" s="160">
        <f t="shared" si="1"/>
        <v>0.69614727134470256</v>
      </c>
      <c r="V29" s="160"/>
      <c r="W29" s="161">
        <f t="shared" si="2"/>
        <v>0.16690130830489239</v>
      </c>
      <c r="X29" s="156">
        <f>IFERROR(_xlfn.XLOOKUP($A29,'Raw Data'!$G:$G,'Raw Data'!$AB:$AB),"")</f>
        <v>47182</v>
      </c>
      <c r="Y29" s="156">
        <f>IFERROR(_xlfn.XLOOKUP($A29,'Raw Data'!$G:$G,'Raw Data'!AC:AC),"")</f>
        <v>47129.60000000021</v>
      </c>
      <c r="Z29" s="156">
        <f>IFERROR(_xlfn.XLOOKUP($A29,'Raw Data'!$G:$G,'Raw Data'!AD:AD),"")</f>
        <v>183.60000000006949</v>
      </c>
      <c r="AA29" s="156">
        <f>IFERROR(_xlfn.XLOOKUP($A29,'Raw Data'!$G:$G,'Raw Data'!AE:AE),"")</f>
        <v>46946.000000000138</v>
      </c>
      <c r="AB29" s="156">
        <f>IFERROR(_xlfn.XLOOKUP($A29,'Raw Data'!$G:$G,'Raw Data'!$H:$H),"")</f>
        <v>11.72</v>
      </c>
      <c r="AC29" s="162">
        <f>IFERROR(_xlfn.XLOOKUP($D29,'Modelling New'!$D:$D,'Modelling New'!$P:$P),"")</f>
        <v>7.6186700233333315</v>
      </c>
      <c r="AD29" s="156">
        <f>IFERROR(_xlfn.XLOOKUP($D29,'Modelling New'!$D:$D,'Modelling New'!$T:$T)*1000,"")</f>
        <v>63455.713653610728</v>
      </c>
      <c r="AE29" s="163">
        <f>IFERROR(_xlfn.XLOOKUP($D29,'Modelling New'!$D:$D,'Modelling New'!$O:$O),"")</f>
        <v>0.71066341265888178</v>
      </c>
      <c r="AF29" s="163">
        <f>IFERROR(_xlfn.XLOOKUP($D29,'Modelling New'!$D:$D,'Modelling New'!$W:$W),"")</f>
        <v>0.22559625161266611</v>
      </c>
      <c r="AG29" s="163">
        <f>IFERROR(_xlfn.XLOOKUP($D29,'Modelling New'!$D:$D,'Modelling New'!AE:AE),"")</f>
        <v>0.995</v>
      </c>
      <c r="AH29" s="163">
        <f>IFERROR(_xlfn.XLOOKUP($D29,'Modelling New'!$D:$D,'Modelling New'!AF:AF),"")</f>
        <v>0.98550000000000004</v>
      </c>
      <c r="AN29" s="164"/>
      <c r="AO29" s="161"/>
      <c r="AP29" s="161"/>
      <c r="AQ29" s="161"/>
      <c r="AR29" s="156">
        <f>IFERROR(_xlfn.XLOOKUP($D29,'Modelling New'!$D:$D,'Modelling New'!$N:$N),"")</f>
        <v>11.72</v>
      </c>
    </row>
    <row r="30" spans="1:44">
      <c r="A30" s="155">
        <f t="shared" si="3"/>
        <v>45773</v>
      </c>
      <c r="B30" s="156">
        <f>YEAR(Table13[[#This Row],[Date]])+IF(MONTH(Table13[[#This Row],[Date]])&gt;=4,1,0)</f>
        <v>2026</v>
      </c>
      <c r="C30" s="129">
        <f>YEAR(Table13[[#This Row],[Date]])</f>
        <v>2025</v>
      </c>
      <c r="D30" s="157">
        <f>Table13[[#This Row],[Date]]-DAY(Table13[[#This Row],[Date]])+1</f>
        <v>45748</v>
      </c>
      <c r="E30" s="129">
        <f t="shared" si="0"/>
        <v>30</v>
      </c>
      <c r="F30" s="130">
        <f>IFERROR(_xlfn.XLOOKUP($A30,'Raw Data'!$G:$G,'Raw Data'!$AH:$AH),"")</f>
        <v>12.333333333333336</v>
      </c>
      <c r="G30" s="131">
        <f>IFERROR(_xlfn.XLOOKUP($A30,'Raw Data'!$G:$G,'Raw Data'!$S:$S)/1000,"")</f>
        <v>0</v>
      </c>
      <c r="H30" s="131"/>
      <c r="I30" s="131">
        <f>IFERROR(_xlfn.XLOOKUP($A30,'Raw Data'!$G:$G,'Raw Data'!$AF:$AF)/1000,"")</f>
        <v>7.1929999999999996</v>
      </c>
      <c r="J30" s="131"/>
      <c r="K30" s="131">
        <f>IFERROR(_xlfn.XLOOKUP($A30,'Raw Data'!$G:$G,'Raw Data'!W:W),"")</f>
        <v>24</v>
      </c>
      <c r="L30" s="131">
        <f>IFERROR(_xlfn.XLOOKUP($A30,'Raw Data'!$G:$G,'Raw Data'!X:X),"")</f>
        <v>47</v>
      </c>
      <c r="M30" s="131">
        <f>IFERROR(_xlfn.XLOOKUP($A30,'Raw Data'!$G:$G,'Raw Data'!Y:Y),"")</f>
        <v>1.7</v>
      </c>
      <c r="N30" s="131">
        <f>IFERROR(_xlfn.XLOOKUP($A30,'Raw Data'!$G:$G,'Raw Data'!Z:Z),"")</f>
        <v>7</v>
      </c>
      <c r="O30" s="158">
        <f>IFERROR(1-SUMIF('Plant BD'!$H:$H,$A30,'Plant BD'!AC:AC)/$F30,"")</f>
        <v>1</v>
      </c>
      <c r="P30" s="158"/>
      <c r="Q30" s="159"/>
      <c r="R30" s="158">
        <f>IFERROR(1-SUMIF('Grid BD'!$H:$H,$A30,'Grid BD'!AB:AB)/$F30,"")</f>
        <v>1</v>
      </c>
      <c r="T30" s="159">
        <f>IFERROR(1-SUMIF(Tracker_BD!$H:$H,$A30,Tracker_BD!AI:AI)/$F30,"")</f>
        <v>0.98582634358496424</v>
      </c>
      <c r="U30" s="160">
        <f t="shared" si="1"/>
        <v>0.68568987008134008</v>
      </c>
      <c r="V30" s="160"/>
      <c r="W30" s="161">
        <f t="shared" si="2"/>
        <v>0.20550696814562827</v>
      </c>
      <c r="X30" s="156">
        <f>IFERROR(_xlfn.XLOOKUP($A30,'Raw Data'!$G:$G,'Raw Data'!$AB:$AB),"")</f>
        <v>58030</v>
      </c>
      <c r="Y30" s="156">
        <f>IFERROR(_xlfn.XLOOKUP($A30,'Raw Data'!$G:$G,'Raw Data'!AC:AC),"")</f>
        <v>58002.500000002328</v>
      </c>
      <c r="Z30" s="156">
        <f>IFERROR(_xlfn.XLOOKUP($A30,'Raw Data'!$G:$G,'Raw Data'!AD:AD),"")</f>
        <v>197.49999999999091</v>
      </c>
      <c r="AA30" s="156">
        <f>IFERROR(_xlfn.XLOOKUP($A30,'Raw Data'!$G:$G,'Raw Data'!AE:AE),"")</f>
        <v>57805.000000002336</v>
      </c>
      <c r="AB30" s="156">
        <f>IFERROR(_xlfn.XLOOKUP($A30,'Raw Data'!$G:$G,'Raw Data'!$H:$H),"")</f>
        <v>11.72</v>
      </c>
      <c r="AC30" s="162">
        <f>IFERROR(_xlfn.XLOOKUP($D30,'Modelling New'!$D:$D,'Modelling New'!$P:$P),"")</f>
        <v>7.6186700233333315</v>
      </c>
      <c r="AD30" s="156">
        <f>IFERROR(_xlfn.XLOOKUP($D30,'Modelling New'!$D:$D,'Modelling New'!$T:$T)*1000,"")</f>
        <v>63455.713653610728</v>
      </c>
      <c r="AE30" s="163">
        <f>IFERROR(_xlfn.XLOOKUP($D30,'Modelling New'!$D:$D,'Modelling New'!$O:$O),"")</f>
        <v>0.71066341265888178</v>
      </c>
      <c r="AF30" s="163">
        <f>IFERROR(_xlfn.XLOOKUP($D30,'Modelling New'!$D:$D,'Modelling New'!$W:$W),"")</f>
        <v>0.22559625161266611</v>
      </c>
      <c r="AG30" s="163">
        <f>IFERROR(_xlfn.XLOOKUP($D30,'Modelling New'!$D:$D,'Modelling New'!AE:AE),"")</f>
        <v>0.995</v>
      </c>
      <c r="AH30" s="163">
        <f>IFERROR(_xlfn.XLOOKUP($D30,'Modelling New'!$D:$D,'Modelling New'!AF:AF),"")</f>
        <v>0.98550000000000004</v>
      </c>
      <c r="AN30" s="164"/>
      <c r="AO30" s="161"/>
      <c r="AP30" s="161"/>
      <c r="AQ30" s="161"/>
      <c r="AR30" s="156">
        <f>IFERROR(_xlfn.XLOOKUP($D30,'Modelling New'!$D:$D,'Modelling New'!$N:$N),"")</f>
        <v>11.72</v>
      </c>
    </row>
    <row r="31" spans="1:44">
      <c r="A31" s="155">
        <f t="shared" si="3"/>
        <v>45774</v>
      </c>
      <c r="B31" s="156">
        <f>YEAR(Table13[[#This Row],[Date]])+IF(MONTH(Table13[[#This Row],[Date]])&gt;=4,1,0)</f>
        <v>2026</v>
      </c>
      <c r="C31" s="129">
        <f>YEAR(Table13[[#This Row],[Date]])</f>
        <v>2025</v>
      </c>
      <c r="D31" s="157">
        <f>Table13[[#This Row],[Date]]-DAY(Table13[[#This Row],[Date]])+1</f>
        <v>45748</v>
      </c>
      <c r="E31" s="129">
        <f t="shared" si="0"/>
        <v>30</v>
      </c>
      <c r="F31" s="130">
        <f>IFERROR(_xlfn.XLOOKUP($A31,'Raw Data'!$G:$G,'Raw Data'!$AH:$AH),"")</f>
        <v>11</v>
      </c>
      <c r="G31" s="131">
        <f>IFERROR(_xlfn.XLOOKUP($A31,'Raw Data'!$G:$G,'Raw Data'!$S:$S)/1000,"")</f>
        <v>0</v>
      </c>
      <c r="H31" s="131"/>
      <c r="I31" s="131">
        <f>IFERROR(_xlfn.XLOOKUP($A31,'Raw Data'!$G:$G,'Raw Data'!$AF:$AF)/1000,"")</f>
        <v>4.7859999999999996</v>
      </c>
      <c r="J31" s="131"/>
      <c r="K31" s="131">
        <f>IFERROR(_xlfn.XLOOKUP($A31,'Raw Data'!$G:$G,'Raw Data'!W:W),"")</f>
        <v>23</v>
      </c>
      <c r="L31" s="131">
        <f>IFERROR(_xlfn.XLOOKUP($A31,'Raw Data'!$G:$G,'Raw Data'!X:X),"")</f>
        <v>42</v>
      </c>
      <c r="M31" s="131">
        <f>IFERROR(_xlfn.XLOOKUP($A31,'Raw Data'!$G:$G,'Raw Data'!Y:Y),"")</f>
        <v>1.7</v>
      </c>
      <c r="N31" s="131">
        <f>IFERROR(_xlfn.XLOOKUP($A31,'Raw Data'!$G:$G,'Raw Data'!Z:Z),"")</f>
        <v>7</v>
      </c>
      <c r="O31" s="158">
        <f>IFERROR(1-SUMIF('Plant BD'!$H:$H,$A31,'Plant BD'!AC:AC)/$F31,"")</f>
        <v>1</v>
      </c>
      <c r="P31" s="158"/>
      <c r="Q31" s="159"/>
      <c r="R31" s="158">
        <f>IFERROR(1-SUMIF('Grid BD'!$H:$H,$A31,'Grid BD'!AB:AB)/$F31,"")</f>
        <v>0.9545454545454547</v>
      </c>
      <c r="T31" s="159">
        <f>IFERROR(1-SUMIF(Tracker_BD!$H:$H,$A31,Tracker_BD!AI:AI)/$F31,"")</f>
        <v>0.98465256008359459</v>
      </c>
      <c r="U31" s="160">
        <f t="shared" si="1"/>
        <v>0.73165261592025899</v>
      </c>
      <c r="V31" s="160"/>
      <c r="W31" s="161">
        <f t="shared" si="2"/>
        <v>0.14590372582476496</v>
      </c>
      <c r="X31" s="156">
        <f>IFERROR(_xlfn.XLOOKUP($A31,'Raw Data'!$G:$G,'Raw Data'!$AB:$AB),"")</f>
        <v>41311</v>
      </c>
      <c r="Y31" s="156">
        <f>IFERROR(_xlfn.XLOOKUP($A31,'Raw Data'!$G:$G,'Raw Data'!AC:AC),"")</f>
        <v>41235.999999989872</v>
      </c>
      <c r="Z31" s="156">
        <f>IFERROR(_xlfn.XLOOKUP($A31,'Raw Data'!$G:$G,'Raw Data'!AD:AD),"")</f>
        <v>196.19999999997617</v>
      </c>
      <c r="AA31" s="156">
        <f>IFERROR(_xlfn.XLOOKUP($A31,'Raw Data'!$G:$G,'Raw Data'!AE:AE),"")</f>
        <v>41039.799999989897</v>
      </c>
      <c r="AB31" s="156">
        <f>IFERROR(_xlfn.XLOOKUP($A31,'Raw Data'!$G:$G,'Raw Data'!$H:$H),"")</f>
        <v>11.72</v>
      </c>
      <c r="AC31" s="162">
        <f>IFERROR(_xlfn.XLOOKUP($D31,'Modelling New'!$D:$D,'Modelling New'!$P:$P),"")</f>
        <v>7.6186700233333315</v>
      </c>
      <c r="AD31" s="156">
        <f>IFERROR(_xlfn.XLOOKUP($D31,'Modelling New'!$D:$D,'Modelling New'!$T:$T)*1000,"")</f>
        <v>63455.713653610728</v>
      </c>
      <c r="AE31" s="163">
        <f>IFERROR(_xlfn.XLOOKUP($D31,'Modelling New'!$D:$D,'Modelling New'!$O:$O),"")</f>
        <v>0.71066341265888178</v>
      </c>
      <c r="AF31" s="163">
        <f>IFERROR(_xlfn.XLOOKUP($D31,'Modelling New'!$D:$D,'Modelling New'!$W:$W),"")</f>
        <v>0.22559625161266611</v>
      </c>
      <c r="AG31" s="163">
        <f>IFERROR(_xlfn.XLOOKUP($D31,'Modelling New'!$D:$D,'Modelling New'!AE:AE),"")</f>
        <v>0.995</v>
      </c>
      <c r="AH31" s="163">
        <f>IFERROR(_xlfn.XLOOKUP($D31,'Modelling New'!$D:$D,'Modelling New'!AF:AF),"")</f>
        <v>0.98550000000000004</v>
      </c>
      <c r="AN31" s="164"/>
      <c r="AO31" s="161"/>
      <c r="AP31" s="161"/>
      <c r="AQ31" s="161"/>
      <c r="AR31" s="156">
        <f>IFERROR(_xlfn.XLOOKUP($D31,'Modelling New'!$D:$D,'Modelling New'!$N:$N),"")</f>
        <v>11.72</v>
      </c>
    </row>
    <row r="32" spans="1:44">
      <c r="A32" s="155">
        <f t="shared" si="3"/>
        <v>45775</v>
      </c>
      <c r="B32" s="156">
        <f>YEAR(Table13[[#This Row],[Date]])+IF(MONTH(Table13[[#This Row],[Date]])&gt;=4,1,0)</f>
        <v>2026</v>
      </c>
      <c r="C32" s="129">
        <f>YEAR(Table13[[#This Row],[Date]])</f>
        <v>2025</v>
      </c>
      <c r="D32" s="157">
        <f>Table13[[#This Row],[Date]]-DAY(Table13[[#This Row],[Date]])+1</f>
        <v>45748</v>
      </c>
      <c r="E32" s="129">
        <f t="shared" si="0"/>
        <v>30</v>
      </c>
      <c r="F32" s="130">
        <f>IFERROR(_xlfn.XLOOKUP($A32,'Raw Data'!$G:$G,'Raw Data'!$AH:$AH),"")</f>
        <v>12.316666666666666</v>
      </c>
      <c r="G32" s="131">
        <f>IFERROR(_xlfn.XLOOKUP($A32,'Raw Data'!$G:$G,'Raw Data'!$S:$S)/1000,"")</f>
        <v>0</v>
      </c>
      <c r="H32" s="131"/>
      <c r="I32" s="131">
        <f>IFERROR(_xlfn.XLOOKUP($A32,'Raw Data'!$G:$G,'Raw Data'!$AF:$AF)/1000,"")</f>
        <v>7.4604999999999997</v>
      </c>
      <c r="J32" s="131"/>
      <c r="K32" s="131">
        <f>IFERROR(_xlfn.XLOOKUP($A32,'Raw Data'!$G:$G,'Raw Data'!W:W),"")</f>
        <v>24</v>
      </c>
      <c r="L32" s="131">
        <f>IFERROR(_xlfn.XLOOKUP($A32,'Raw Data'!$G:$G,'Raw Data'!X:X),"")</f>
        <v>48</v>
      </c>
      <c r="M32" s="131">
        <f>IFERROR(_xlfn.XLOOKUP($A32,'Raw Data'!$G:$G,'Raw Data'!Y:Y),"")</f>
        <v>1.7</v>
      </c>
      <c r="N32" s="131">
        <f>IFERROR(_xlfn.XLOOKUP($A32,'Raw Data'!$G:$G,'Raw Data'!Z:Z),"")</f>
        <v>7</v>
      </c>
      <c r="O32" s="158">
        <f>IFERROR(1-SUMIF('Plant BD'!$H:$H,$A32,'Plant BD'!AC:AC)/$F32,"")</f>
        <v>1</v>
      </c>
      <c r="P32" s="158"/>
      <c r="Q32" s="159"/>
      <c r="R32" s="158">
        <f>IFERROR(1-SUMIF('Grid BD'!$H:$H,$A32,'Grid BD'!AB:AB)/$F32,"")</f>
        <v>0.98646820027063609</v>
      </c>
      <c r="T32" s="159">
        <f>IFERROR(1-SUMIF(Tracker_BD!$H:$H,$A32,Tracker_BD!AI:AI)/$F32,"")</f>
        <v>0.98007559143297096</v>
      </c>
      <c r="U32" s="160">
        <f t="shared" si="1"/>
        <v>0.69187824933731068</v>
      </c>
      <c r="V32" s="160"/>
      <c r="W32" s="161">
        <f t="shared" si="2"/>
        <v>0.21507323663254188</v>
      </c>
      <c r="X32" s="156">
        <f>IFERROR(_xlfn.XLOOKUP($A32,'Raw Data'!$G:$G,'Raw Data'!$AB:$AB),"")</f>
        <v>60717</v>
      </c>
      <c r="Y32" s="156">
        <f>IFERROR(_xlfn.XLOOKUP($A32,'Raw Data'!$G:$G,'Raw Data'!AC:AC),"")</f>
        <v>60690.90000000142</v>
      </c>
      <c r="Z32" s="156">
        <f>IFERROR(_xlfn.XLOOKUP($A32,'Raw Data'!$G:$G,'Raw Data'!AD:AD),"")</f>
        <v>195.10000000002492</v>
      </c>
      <c r="AA32" s="156">
        <f>IFERROR(_xlfn.XLOOKUP($A32,'Raw Data'!$G:$G,'Raw Data'!AE:AE),"")</f>
        <v>60495.800000001393</v>
      </c>
      <c r="AB32" s="156">
        <f>IFERROR(_xlfn.XLOOKUP($A32,'Raw Data'!$G:$G,'Raw Data'!$H:$H),"")</f>
        <v>11.72</v>
      </c>
      <c r="AC32" s="162">
        <f>IFERROR(_xlfn.XLOOKUP($D32,'Modelling New'!$D:$D,'Modelling New'!$P:$P),"")</f>
        <v>7.6186700233333315</v>
      </c>
      <c r="AD32" s="156">
        <f>IFERROR(_xlfn.XLOOKUP($D32,'Modelling New'!$D:$D,'Modelling New'!$T:$T)*1000,"")</f>
        <v>63455.713653610728</v>
      </c>
      <c r="AE32" s="163">
        <f>IFERROR(_xlfn.XLOOKUP($D32,'Modelling New'!$D:$D,'Modelling New'!$O:$O),"")</f>
        <v>0.71066341265888178</v>
      </c>
      <c r="AF32" s="163">
        <f>IFERROR(_xlfn.XLOOKUP($D32,'Modelling New'!$D:$D,'Modelling New'!$W:$W),"")</f>
        <v>0.22559625161266611</v>
      </c>
      <c r="AG32" s="163">
        <f>IFERROR(_xlfn.XLOOKUP($D32,'Modelling New'!$D:$D,'Modelling New'!AE:AE),"")</f>
        <v>0.995</v>
      </c>
      <c r="AH32" s="163">
        <f>IFERROR(_xlfn.XLOOKUP($D32,'Modelling New'!$D:$D,'Modelling New'!AF:AF),"")</f>
        <v>0.98550000000000004</v>
      </c>
      <c r="AN32" s="164"/>
      <c r="AO32" s="161"/>
      <c r="AP32" s="161"/>
      <c r="AQ32" s="161"/>
      <c r="AR32" s="156">
        <f>IFERROR(_xlfn.XLOOKUP($D32,'Modelling New'!$D:$D,'Modelling New'!$N:$N),"")</f>
        <v>11.72</v>
      </c>
    </row>
    <row r="33" spans="1:44">
      <c r="A33" s="155">
        <f t="shared" si="3"/>
        <v>45776</v>
      </c>
      <c r="B33" s="156">
        <f>YEAR(Table13[[#This Row],[Date]])+IF(MONTH(Table13[[#This Row],[Date]])&gt;=4,1,0)</f>
        <v>2026</v>
      </c>
      <c r="C33" s="129">
        <f>YEAR(Table13[[#This Row],[Date]])</f>
        <v>2025</v>
      </c>
      <c r="D33" s="157">
        <f>Table13[[#This Row],[Date]]-DAY(Table13[[#This Row],[Date]])+1</f>
        <v>45748</v>
      </c>
      <c r="E33" s="129">
        <f t="shared" si="0"/>
        <v>30</v>
      </c>
      <c r="F33" s="130">
        <f>IFERROR(_xlfn.XLOOKUP($A33,'Raw Data'!$G:$G,'Raw Data'!$AH:$AH),"")</f>
        <v>12.233333333333333</v>
      </c>
      <c r="G33" s="131">
        <f>IFERROR(_xlfn.XLOOKUP($A33,'Raw Data'!$G:$G,'Raw Data'!$S:$S)/1000,"")</f>
        <v>0</v>
      </c>
      <c r="H33" s="131"/>
      <c r="I33" s="131">
        <f>IFERROR(_xlfn.XLOOKUP($A33,'Raw Data'!$G:$G,'Raw Data'!$AF:$AF)/1000,"")</f>
        <v>6.3639999999999999</v>
      </c>
      <c r="J33" s="131"/>
      <c r="K33" s="131">
        <f>IFERROR(_xlfn.XLOOKUP($A33,'Raw Data'!$G:$G,'Raw Data'!W:W),"")</f>
        <v>23</v>
      </c>
      <c r="L33" s="131">
        <f>IFERROR(_xlfn.XLOOKUP($A33,'Raw Data'!$G:$G,'Raw Data'!X:X),"")</f>
        <v>44</v>
      </c>
      <c r="M33" s="131">
        <f>IFERROR(_xlfn.XLOOKUP($A33,'Raw Data'!$G:$G,'Raw Data'!Y:Y),"")</f>
        <v>1.7</v>
      </c>
      <c r="N33" s="131">
        <f>IFERROR(_xlfn.XLOOKUP($A33,'Raw Data'!$G:$G,'Raw Data'!Z:Z),"")</f>
        <v>13</v>
      </c>
      <c r="O33" s="158">
        <f>IFERROR(1-SUMIF('Plant BD'!$H:$H,$A33,'Plant BD'!AC:AC)/$F33,"")</f>
        <v>1</v>
      </c>
      <c r="P33" s="158"/>
      <c r="Q33" s="159"/>
      <c r="R33" s="158">
        <f>IFERROR(1-SUMIF('Grid BD'!$H:$H,$A33,'Grid BD'!AB:AB)/$F33,"")</f>
        <v>1</v>
      </c>
      <c r="T33" s="159">
        <f>IFERROR(1-SUMIF(Tracker_BD!$H:$H,$A33,Tracker_BD!AI:AI)/$F33,"")</f>
        <v>0.98007688934824144</v>
      </c>
      <c r="U33" s="160">
        <f t="shared" si="1"/>
        <v>0.69671043175891456</v>
      </c>
      <c r="V33" s="160"/>
      <c r="W33" s="161">
        <f t="shared" si="2"/>
        <v>0.18474438282140548</v>
      </c>
      <c r="X33" s="156">
        <f>IFERROR(_xlfn.XLOOKUP($A33,'Raw Data'!$G:$G,'Raw Data'!$AB:$AB),"")</f>
        <v>52297</v>
      </c>
      <c r="Y33" s="156">
        <f>IFERROR(_xlfn.XLOOKUP($A33,'Raw Data'!$G:$G,'Raw Data'!AC:AC),"")</f>
        <v>52134.600000004866</v>
      </c>
      <c r="Z33" s="156">
        <f>IFERROR(_xlfn.XLOOKUP($A33,'Raw Data'!$G:$G,'Raw Data'!AD:AD),"")</f>
        <v>169.69999999992069</v>
      </c>
      <c r="AA33" s="156">
        <f>IFERROR(_xlfn.XLOOKUP($A33,'Raw Data'!$G:$G,'Raw Data'!AE:AE),"")</f>
        <v>51964.900000004942</v>
      </c>
      <c r="AB33" s="156">
        <f>IFERROR(_xlfn.XLOOKUP($A33,'Raw Data'!$G:$G,'Raw Data'!$H:$H),"")</f>
        <v>11.72</v>
      </c>
      <c r="AC33" s="162">
        <f>IFERROR(_xlfn.XLOOKUP($D33,'Modelling New'!$D:$D,'Modelling New'!$P:$P),"")</f>
        <v>7.6186700233333315</v>
      </c>
      <c r="AD33" s="156">
        <f>IFERROR(_xlfn.XLOOKUP($D33,'Modelling New'!$D:$D,'Modelling New'!$T:$T)*1000,"")</f>
        <v>63455.713653610728</v>
      </c>
      <c r="AE33" s="163">
        <f>IFERROR(_xlfn.XLOOKUP($D33,'Modelling New'!$D:$D,'Modelling New'!$O:$O),"")</f>
        <v>0.71066341265888178</v>
      </c>
      <c r="AF33" s="163">
        <f>IFERROR(_xlfn.XLOOKUP($D33,'Modelling New'!$D:$D,'Modelling New'!$W:$W),"")</f>
        <v>0.22559625161266611</v>
      </c>
      <c r="AG33" s="163">
        <f>IFERROR(_xlfn.XLOOKUP($D33,'Modelling New'!$D:$D,'Modelling New'!AE:AE),"")</f>
        <v>0.995</v>
      </c>
      <c r="AH33" s="163">
        <f>IFERROR(_xlfn.XLOOKUP($D33,'Modelling New'!$D:$D,'Modelling New'!AF:AF),"")</f>
        <v>0.98550000000000004</v>
      </c>
      <c r="AN33" s="164"/>
      <c r="AO33" s="161"/>
      <c r="AP33" s="161"/>
      <c r="AQ33" s="161"/>
      <c r="AR33" s="156">
        <f>IFERROR(_xlfn.XLOOKUP($D33,'Modelling New'!$D:$D,'Modelling New'!$N:$N),"")</f>
        <v>11.72</v>
      </c>
    </row>
    <row r="34" spans="1:44">
      <c r="A34" s="155">
        <f t="shared" si="3"/>
        <v>45777</v>
      </c>
      <c r="B34" s="156">
        <f>YEAR(Table13[[#This Row],[Date]])+IF(MONTH(Table13[[#This Row],[Date]])&gt;=4,1,0)</f>
        <v>2026</v>
      </c>
      <c r="C34" s="129">
        <f>YEAR(Table13[[#This Row],[Date]])</f>
        <v>2025</v>
      </c>
      <c r="D34" s="157">
        <f>Table13[[#This Row],[Date]]-DAY(Table13[[#This Row],[Date]])+1</f>
        <v>45748</v>
      </c>
      <c r="E34" s="129">
        <f t="shared" si="0"/>
        <v>30</v>
      </c>
      <c r="F34" s="130">
        <f>IFERROR(_xlfn.XLOOKUP($A34,'Raw Data'!$G:$G,'Raw Data'!$AH:$AH),"")</f>
        <v>12.400000000000002</v>
      </c>
      <c r="G34" s="131">
        <f>IFERROR(_xlfn.XLOOKUP($A34,'Raw Data'!$G:$G,'Raw Data'!$S:$S)/1000,"")</f>
        <v>0</v>
      </c>
      <c r="H34" s="131"/>
      <c r="I34" s="131">
        <f>IFERROR(_xlfn.XLOOKUP($A34,'Raw Data'!$G:$G,'Raw Data'!$AF:$AF)/1000,"")</f>
        <v>7.9364999999999997</v>
      </c>
      <c r="J34" s="131"/>
      <c r="K34" s="131">
        <f>IFERROR(_xlfn.XLOOKUP($A34,'Raw Data'!$G:$G,'Raw Data'!W:W),"")</f>
        <v>24</v>
      </c>
      <c r="L34" s="131">
        <f>IFERROR(_xlfn.XLOOKUP($A34,'Raw Data'!$G:$G,'Raw Data'!X:X),"")</f>
        <v>48</v>
      </c>
      <c r="M34" s="131">
        <f>IFERROR(_xlfn.XLOOKUP($A34,'Raw Data'!$G:$G,'Raw Data'!Y:Y),"")</f>
        <v>1.7</v>
      </c>
      <c r="N34" s="131">
        <f>IFERROR(_xlfn.XLOOKUP($A34,'Raw Data'!$G:$G,'Raw Data'!Z:Z),"")</f>
        <v>13</v>
      </c>
      <c r="O34" s="158">
        <f>IFERROR(1-SUMIF('Plant BD'!$H:$H,$A34,'Plant BD'!AC:AC)/$F34,"")</f>
        <v>1</v>
      </c>
      <c r="P34" s="158"/>
      <c r="Q34" s="159"/>
      <c r="R34" s="158">
        <f>IFERROR(1-SUMIF('Grid BD'!$H:$H,$A34,'Grid BD'!AB:AB)/$F34,"")</f>
        <v>0.95833333333333348</v>
      </c>
      <c r="T34" s="159">
        <f>IFERROR(1-SUMIF(Tracker_BD!$H:$H,$A34,Tracker_BD!AI:AI)/$F34,"")</f>
        <v>0.98023652824125573</v>
      </c>
      <c r="U34" s="160">
        <f t="shared" si="1"/>
        <v>0.68095542498274242</v>
      </c>
      <c r="V34" s="160"/>
      <c r="W34" s="161">
        <f t="shared" si="2"/>
        <v>0.22518344709898058</v>
      </c>
      <c r="X34" s="156">
        <f>IFERROR(_xlfn.XLOOKUP($A34,'Raw Data'!$G:$G,'Raw Data'!$AB:$AB),"")</f>
        <v>63373</v>
      </c>
      <c r="Y34" s="156">
        <f>IFERROR(_xlfn.XLOOKUP($A34,'Raw Data'!$G:$G,'Raw Data'!AC:AC),"")</f>
        <v>63522.70000000135</v>
      </c>
      <c r="Z34" s="156">
        <f>IFERROR(_xlfn.XLOOKUP($A34,'Raw Data'!$G:$G,'Raw Data'!AD:AD),"")</f>
        <v>183.10000000008131</v>
      </c>
      <c r="AA34" s="156">
        <f>IFERROR(_xlfn.XLOOKUP($A34,'Raw Data'!$G:$G,'Raw Data'!AE:AE),"")</f>
        <v>63339.600000001272</v>
      </c>
      <c r="AB34" s="156">
        <f>IFERROR(_xlfn.XLOOKUP($A34,'Raw Data'!$G:$G,'Raw Data'!$H:$H),"")</f>
        <v>11.72</v>
      </c>
      <c r="AC34" s="162">
        <f>IFERROR(_xlfn.XLOOKUP($D34,'Modelling New'!$D:$D,'Modelling New'!$P:$P),"")</f>
        <v>7.6186700233333315</v>
      </c>
      <c r="AD34" s="156">
        <f>IFERROR(_xlfn.XLOOKUP($D34,'Modelling New'!$D:$D,'Modelling New'!$T:$T)*1000,"")</f>
        <v>63455.713653610728</v>
      </c>
      <c r="AE34" s="163">
        <f>IFERROR(_xlfn.XLOOKUP($D34,'Modelling New'!$D:$D,'Modelling New'!$O:$O),"")</f>
        <v>0.71066341265888178</v>
      </c>
      <c r="AF34" s="163">
        <f>IFERROR(_xlfn.XLOOKUP($D34,'Modelling New'!$D:$D,'Modelling New'!$W:$W),"")</f>
        <v>0.22559625161266611</v>
      </c>
      <c r="AG34" s="163">
        <f>IFERROR(_xlfn.XLOOKUP($D34,'Modelling New'!$D:$D,'Modelling New'!AE:AE),"")</f>
        <v>0.995</v>
      </c>
      <c r="AH34" s="163">
        <f>IFERROR(_xlfn.XLOOKUP($D34,'Modelling New'!$D:$D,'Modelling New'!AF:AF),"")</f>
        <v>0.98550000000000004</v>
      </c>
      <c r="AN34" s="164"/>
      <c r="AO34" s="161"/>
      <c r="AP34" s="161"/>
      <c r="AQ34" s="161"/>
      <c r="AR34" s="156">
        <f>IFERROR(_xlfn.XLOOKUP($D34,'Modelling New'!$D:$D,'Modelling New'!$N:$N),"")</f>
        <v>11.72</v>
      </c>
    </row>
    <row r="35" spans="1:44">
      <c r="A35" s="155">
        <f t="shared" si="3"/>
        <v>45778</v>
      </c>
      <c r="B35" s="156">
        <f>YEAR(Table13[[#This Row],[Date]])+IF(MONTH(Table13[[#This Row],[Date]])&gt;=4,1,0)</f>
        <v>2026</v>
      </c>
      <c r="C35" s="129">
        <f>YEAR(Table13[[#This Row],[Date]])</f>
        <v>2025</v>
      </c>
      <c r="D35" s="157">
        <f>Table13[[#This Row],[Date]]-DAY(Table13[[#This Row],[Date]])+1</f>
        <v>45778</v>
      </c>
      <c r="E35" s="129">
        <f t="shared" si="0"/>
        <v>31</v>
      </c>
      <c r="F35" s="130">
        <f>IFERROR(_xlfn.XLOOKUP($A35,'Raw Data'!$G:$G,'Raw Data'!$AH:$AH),"")</f>
        <v>12.350000000000001</v>
      </c>
      <c r="G35" s="131">
        <f>IFERROR(_xlfn.XLOOKUP($A35,'Raw Data'!$G:$G,'Raw Data'!$S:$S)/1000,"")</f>
        <v>0</v>
      </c>
      <c r="H35" s="131"/>
      <c r="I35" s="131">
        <f>IFERROR(_xlfn.XLOOKUP($A35,'Raw Data'!$G:$G,'Raw Data'!$AF:$AF)/1000,"")</f>
        <v>7.3975</v>
      </c>
      <c r="J35" s="131"/>
      <c r="K35" s="131">
        <f>IFERROR(_xlfn.XLOOKUP($A35,'Raw Data'!$G:$G,'Raw Data'!W:W),"")</f>
        <v>24</v>
      </c>
      <c r="L35" s="131">
        <f>IFERROR(_xlfn.XLOOKUP($A35,'Raw Data'!$G:$G,'Raw Data'!X:X),"")</f>
        <v>48</v>
      </c>
      <c r="M35" s="131">
        <f>IFERROR(_xlfn.XLOOKUP($A35,'Raw Data'!$G:$G,'Raw Data'!Y:Y),"")</f>
        <v>5</v>
      </c>
      <c r="N35" s="131">
        <f>IFERROR(_xlfn.XLOOKUP($A35,'Raw Data'!$G:$G,'Raw Data'!Z:Z),"")</f>
        <v>8</v>
      </c>
      <c r="O35" s="158">
        <f>IFERROR(1-SUMIF('Plant BD'!$H:$H,$A35,'Plant BD'!AC:AC)/$F35,"")</f>
        <v>1</v>
      </c>
      <c r="P35" s="158"/>
      <c r="Q35" s="159"/>
      <c r="R35" s="158">
        <f>IFERROR(1-SUMIF('Grid BD'!$H:$H,$A35,'Grid BD'!AB:AB)/$F35,"")</f>
        <v>1</v>
      </c>
      <c r="T35" s="159">
        <f>IFERROR(1-SUMIF(Tracker_BD!$H:$H,$A35,Tracker_BD!AI:AI)/$F35,"")</f>
        <v>0.9802379511998387</v>
      </c>
      <c r="U35" s="160">
        <f t="shared" si="1"/>
        <v>0.69094922991920715</v>
      </c>
      <c r="V35" s="160"/>
      <c r="W35" s="161">
        <f t="shared" si="2"/>
        <v>0.21297070534697227</v>
      </c>
      <c r="X35" s="156">
        <f>IFERROR(_xlfn.XLOOKUP($A35,'Raw Data'!$G:$G,'Raw Data'!$AB:$AB),"")</f>
        <v>60169</v>
      </c>
      <c r="Y35" s="156">
        <f>IFERROR(_xlfn.XLOOKUP($A35,'Raw Data'!$G:$G,'Raw Data'!AC:AC),"")</f>
        <v>60099.799999996321</v>
      </c>
      <c r="Z35" s="156">
        <f>IFERROR(_xlfn.XLOOKUP($A35,'Raw Data'!$G:$G,'Raw Data'!AD:AD),"")</f>
        <v>195.39999999994961</v>
      </c>
      <c r="AA35" s="156">
        <f>IFERROR(_xlfn.XLOOKUP($A35,'Raw Data'!$G:$G,'Raw Data'!AE:AE),"")</f>
        <v>59904.399999996371</v>
      </c>
      <c r="AB35" s="156">
        <f>IFERROR(_xlfn.XLOOKUP($A35,'Raw Data'!$G:$G,'Raw Data'!$H:$H),"")</f>
        <v>11.72</v>
      </c>
      <c r="AC35" s="162">
        <f>IFERROR(_xlfn.XLOOKUP($D35,'Modelling New'!$D:$D,'Modelling New'!$P:$P),"")</f>
        <v>7.6437019903225805</v>
      </c>
      <c r="AD35" s="156">
        <f>IFERROR(_xlfn.XLOOKUP($D35,'Modelling New'!$D:$D,'Modelling New'!$T:$T)*1000,"")</f>
        <v>65538.17192485639</v>
      </c>
      <c r="AE35" s="163">
        <f>IFERROR(_xlfn.XLOOKUP($D35,'Modelling New'!$D:$D,'Modelling New'!$O:$O),"")</f>
        <v>0.73158192177304548</v>
      </c>
      <c r="AF35" s="163">
        <f>IFERROR(_xlfn.XLOOKUP($D35,'Modelling New'!$D:$D,'Modelling New'!$W:$W),"")</f>
        <v>0.23299975798086028</v>
      </c>
      <c r="AG35" s="163">
        <f>IFERROR(_xlfn.XLOOKUP($D35,'Modelling New'!$D:$D,'Modelling New'!AE:AE),"")</f>
        <v>0.995</v>
      </c>
      <c r="AH35" s="163">
        <f>IFERROR(_xlfn.XLOOKUP($D35,'Modelling New'!$D:$D,'Modelling New'!AF:AF),"")</f>
        <v>0.98550000000000004</v>
      </c>
      <c r="AN35" s="164"/>
      <c r="AO35" s="161"/>
      <c r="AP35" s="161"/>
      <c r="AQ35" s="161"/>
      <c r="AR35" s="156">
        <f>IFERROR(_xlfn.XLOOKUP($D35,'Modelling New'!$D:$D,'Modelling New'!$N:$N),"")</f>
        <v>11.72</v>
      </c>
    </row>
    <row r="36" spans="1:44">
      <c r="A36" s="155">
        <f t="shared" si="3"/>
        <v>45779</v>
      </c>
      <c r="B36" s="156">
        <f>YEAR(Table13[[#This Row],[Date]])+IF(MONTH(Table13[[#This Row],[Date]])&gt;=4,1,0)</f>
        <v>2026</v>
      </c>
      <c r="C36" s="129">
        <f>YEAR(Table13[[#This Row],[Date]])</f>
        <v>2025</v>
      </c>
      <c r="D36" s="157">
        <f>Table13[[#This Row],[Date]]-DAY(Table13[[#This Row],[Date]])+1</f>
        <v>45778</v>
      </c>
      <c r="E36" s="129">
        <f t="shared" si="0"/>
        <v>31</v>
      </c>
      <c r="F36" s="130">
        <f>IFERROR(_xlfn.XLOOKUP($A36,'Raw Data'!$G:$G,'Raw Data'!$AH:$AH),"")</f>
        <v>12.133333333333333</v>
      </c>
      <c r="G36" s="131">
        <f>IFERROR(_xlfn.XLOOKUP($A36,'Raw Data'!$G:$G,'Raw Data'!$S:$S)/1000,"")</f>
        <v>0</v>
      </c>
      <c r="H36" s="131"/>
      <c r="I36" s="131">
        <f>IFERROR(_xlfn.XLOOKUP($A36,'Raw Data'!$G:$G,'Raw Data'!$AF:$AF)/1000,"")</f>
        <v>7.258</v>
      </c>
      <c r="J36" s="131"/>
      <c r="K36" s="131">
        <f>IFERROR(_xlfn.XLOOKUP($A36,'Raw Data'!$G:$G,'Raw Data'!W:W),"")</f>
        <v>24</v>
      </c>
      <c r="L36" s="131">
        <f>IFERROR(_xlfn.XLOOKUP($A36,'Raw Data'!$G:$G,'Raw Data'!X:X),"")</f>
        <v>48</v>
      </c>
      <c r="M36" s="131">
        <f>IFERROR(_xlfn.XLOOKUP($A36,'Raw Data'!$G:$G,'Raw Data'!Y:Y),"")</f>
        <v>4</v>
      </c>
      <c r="N36" s="131">
        <f>IFERROR(_xlfn.XLOOKUP($A36,'Raw Data'!$G:$G,'Raw Data'!Z:Z),"")</f>
        <v>7</v>
      </c>
      <c r="O36" s="158">
        <f>IFERROR(1-SUMIF('Plant BD'!$H:$H,$A36,'Plant BD'!AC:AC)/$F36,"")</f>
        <v>1</v>
      </c>
      <c r="P36" s="158"/>
      <c r="Q36" s="159"/>
      <c r="R36" s="158">
        <f>IFERROR(1-SUMIF('Grid BD'!$H:$H,$A36,'Grid BD'!AB:AB)/$F36,"")</f>
        <v>1</v>
      </c>
      <c r="T36" s="159">
        <f>IFERROR(1-SUMIF(Tracker_BD!$H:$H,$A36,Tracker_BD!AI:AI)/$F36,"")</f>
        <v>0.98586901604142985</v>
      </c>
      <c r="U36" s="160">
        <f t="shared" si="1"/>
        <v>0.69621540359851197</v>
      </c>
      <c r="V36" s="160"/>
      <c r="W36" s="161">
        <f t="shared" si="2"/>
        <v>0.21054714163824997</v>
      </c>
      <c r="X36" s="156">
        <f>IFERROR(_xlfn.XLOOKUP($A36,'Raw Data'!$G:$G,'Raw Data'!$AB:$AB),"")</f>
        <v>59459</v>
      </c>
      <c r="Y36" s="156">
        <f>IFERROR(_xlfn.XLOOKUP($A36,'Raw Data'!$G:$G,'Raw Data'!AC:AC),"")</f>
        <v>59411.300000007031</v>
      </c>
      <c r="Z36" s="156">
        <f>IFERROR(_xlfn.XLOOKUP($A36,'Raw Data'!$G:$G,'Raw Data'!AD:AD),"")</f>
        <v>188.60000000006494</v>
      </c>
      <c r="AA36" s="156">
        <f>IFERROR(_xlfn.XLOOKUP($A36,'Raw Data'!$G:$G,'Raw Data'!AE:AE),"")</f>
        <v>59222.700000006967</v>
      </c>
      <c r="AB36" s="156">
        <f>IFERROR(_xlfn.XLOOKUP($A36,'Raw Data'!$G:$G,'Raw Data'!$H:$H),"")</f>
        <v>11.72</v>
      </c>
      <c r="AC36" s="162">
        <f>IFERROR(_xlfn.XLOOKUP($D36,'Modelling New'!$D:$D,'Modelling New'!$P:$P),"")</f>
        <v>7.6437019903225805</v>
      </c>
      <c r="AD36" s="156">
        <f>IFERROR(_xlfn.XLOOKUP($D36,'Modelling New'!$D:$D,'Modelling New'!$T:$T)*1000,"")</f>
        <v>65538.17192485639</v>
      </c>
      <c r="AE36" s="163">
        <f>IFERROR(_xlfn.XLOOKUP($D36,'Modelling New'!$D:$D,'Modelling New'!$O:$O),"")</f>
        <v>0.73158192177304548</v>
      </c>
      <c r="AF36" s="163">
        <f>IFERROR(_xlfn.XLOOKUP($D36,'Modelling New'!$D:$D,'Modelling New'!$W:$W),"")</f>
        <v>0.23299975798086028</v>
      </c>
      <c r="AG36" s="163">
        <f>IFERROR(_xlfn.XLOOKUP($D36,'Modelling New'!$D:$D,'Modelling New'!AE:AE),"")</f>
        <v>0.995</v>
      </c>
      <c r="AH36" s="163">
        <f>IFERROR(_xlfn.XLOOKUP($D36,'Modelling New'!$D:$D,'Modelling New'!AF:AF),"")</f>
        <v>0.98550000000000004</v>
      </c>
      <c r="AN36" s="164"/>
      <c r="AO36" s="161"/>
      <c r="AP36" s="161"/>
      <c r="AQ36" s="161"/>
      <c r="AR36" s="156">
        <f>IFERROR(_xlfn.XLOOKUP($D36,'Modelling New'!$D:$D,'Modelling New'!$N:$N),"")</f>
        <v>11.72</v>
      </c>
    </row>
    <row r="37" spans="1:44">
      <c r="A37" s="155">
        <f t="shared" si="3"/>
        <v>45780</v>
      </c>
      <c r="B37" s="156">
        <f>YEAR(Table13[[#This Row],[Date]])+IF(MONTH(Table13[[#This Row],[Date]])&gt;=4,1,0)</f>
        <v>2026</v>
      </c>
      <c r="C37" s="129">
        <f>YEAR(Table13[[#This Row],[Date]])</f>
        <v>2025</v>
      </c>
      <c r="D37" s="157">
        <f>Table13[[#This Row],[Date]]-DAY(Table13[[#This Row],[Date]])+1</f>
        <v>45778</v>
      </c>
      <c r="E37" s="129">
        <f t="shared" si="0"/>
        <v>31</v>
      </c>
      <c r="F37" s="130">
        <f>IFERROR(_xlfn.XLOOKUP($A37,'Raw Data'!$G:$G,'Raw Data'!$AH:$AH),"")</f>
        <v>12.366666666666667</v>
      </c>
      <c r="G37" s="131">
        <f>IFERROR(_xlfn.XLOOKUP($A37,'Raw Data'!$G:$G,'Raw Data'!$S:$S)/1000,"")</f>
        <v>0</v>
      </c>
      <c r="H37" s="131"/>
      <c r="I37" s="131">
        <f>IFERROR(_xlfn.XLOOKUP($A37,'Raw Data'!$G:$G,'Raw Data'!$AF:$AF)/1000,"")</f>
        <v>7.8479999999999999</v>
      </c>
      <c r="J37" s="131"/>
      <c r="K37" s="131">
        <f>IFERROR(_xlfn.XLOOKUP($A37,'Raw Data'!$G:$G,'Raw Data'!W:W),"")</f>
        <v>24</v>
      </c>
      <c r="L37" s="131">
        <f>IFERROR(_xlfn.XLOOKUP($A37,'Raw Data'!$G:$G,'Raw Data'!X:X),"")</f>
        <v>48.7</v>
      </c>
      <c r="M37" s="131">
        <f>IFERROR(_xlfn.XLOOKUP($A37,'Raw Data'!$G:$G,'Raw Data'!Y:Y),"")</f>
        <v>4.7</v>
      </c>
      <c r="N37" s="131">
        <f>IFERROR(_xlfn.XLOOKUP($A37,'Raw Data'!$G:$G,'Raw Data'!Z:Z),"")</f>
        <v>7</v>
      </c>
      <c r="O37" s="158">
        <f>IFERROR(1-SUMIF('Plant BD'!$H:$H,$A37,'Plant BD'!AC:AC)/$F37,"")</f>
        <v>1</v>
      </c>
      <c r="P37" s="158"/>
      <c r="Q37" s="159"/>
      <c r="R37" s="158">
        <f>IFERROR(1-SUMIF('Grid BD'!$H:$H,$A37,'Grid BD'!AB:AB)/$F37,"")</f>
        <v>1</v>
      </c>
      <c r="T37" s="159">
        <f>IFERROR(1-SUMIF(Tracker_BD!$H:$H,$A37,Tracker_BD!AI:AI)/$F37,"")</f>
        <v>0.98588391114415841</v>
      </c>
      <c r="U37" s="160">
        <f t="shared" si="1"/>
        <v>0.69607199764807914</v>
      </c>
      <c r="V37" s="160"/>
      <c r="W37" s="161">
        <f t="shared" si="2"/>
        <v>0.22761554323092184</v>
      </c>
      <c r="X37" s="156">
        <f>IFERROR(_xlfn.XLOOKUP($A37,'Raw Data'!$G:$G,'Raw Data'!$AB:$AB),"")</f>
        <v>64273</v>
      </c>
      <c r="Y37" s="156">
        <f>IFERROR(_xlfn.XLOOKUP($A37,'Raw Data'!$G:$G,'Raw Data'!AC:AC),"")</f>
        <v>64193.799999993644</v>
      </c>
      <c r="Z37" s="156">
        <f>IFERROR(_xlfn.XLOOKUP($A37,'Raw Data'!$G:$G,'Raw Data'!AD:AD),"")</f>
        <v>170.09999999993397</v>
      </c>
      <c r="AA37" s="156">
        <f>IFERROR(_xlfn.XLOOKUP($A37,'Raw Data'!$G:$G,'Raw Data'!AE:AE),"")</f>
        <v>64023.699999993711</v>
      </c>
      <c r="AB37" s="156">
        <f>IFERROR(_xlfn.XLOOKUP($A37,'Raw Data'!$G:$G,'Raw Data'!$H:$H),"")</f>
        <v>11.72</v>
      </c>
      <c r="AC37" s="162">
        <f>IFERROR(_xlfn.XLOOKUP($D37,'Modelling New'!$D:$D,'Modelling New'!$P:$P),"")</f>
        <v>7.6437019903225805</v>
      </c>
      <c r="AD37" s="156">
        <f>IFERROR(_xlfn.XLOOKUP($D37,'Modelling New'!$D:$D,'Modelling New'!$T:$T)*1000,"")</f>
        <v>65538.17192485639</v>
      </c>
      <c r="AE37" s="163">
        <f>IFERROR(_xlfn.XLOOKUP($D37,'Modelling New'!$D:$D,'Modelling New'!$O:$O),"")</f>
        <v>0.73158192177304548</v>
      </c>
      <c r="AF37" s="163">
        <f>IFERROR(_xlfn.XLOOKUP($D37,'Modelling New'!$D:$D,'Modelling New'!$W:$W),"")</f>
        <v>0.23299975798086028</v>
      </c>
      <c r="AG37" s="163">
        <f>IFERROR(_xlfn.XLOOKUP($D37,'Modelling New'!$D:$D,'Modelling New'!AE:AE),"")</f>
        <v>0.995</v>
      </c>
      <c r="AH37" s="163">
        <f>IFERROR(_xlfn.XLOOKUP($D37,'Modelling New'!$D:$D,'Modelling New'!AF:AF),"")</f>
        <v>0.98550000000000004</v>
      </c>
      <c r="AN37" s="164"/>
      <c r="AO37" s="161"/>
      <c r="AP37" s="161"/>
      <c r="AQ37" s="161"/>
      <c r="AR37" s="156">
        <f>IFERROR(_xlfn.XLOOKUP($D37,'Modelling New'!$D:$D,'Modelling New'!$N:$N),"")</f>
        <v>11.72</v>
      </c>
    </row>
    <row r="38" spans="1:44">
      <c r="A38" s="155">
        <f t="shared" si="3"/>
        <v>45781</v>
      </c>
      <c r="B38" s="156">
        <f>YEAR(Table13[[#This Row],[Date]])+IF(MONTH(Table13[[#This Row],[Date]])&gt;=4,1,0)</f>
        <v>2026</v>
      </c>
      <c r="C38" s="129">
        <f>YEAR(Table13[[#This Row],[Date]])</f>
        <v>2025</v>
      </c>
      <c r="D38" s="157">
        <f>Table13[[#This Row],[Date]]-DAY(Table13[[#This Row],[Date]])+1</f>
        <v>45778</v>
      </c>
      <c r="E38" s="129">
        <f t="shared" si="0"/>
        <v>31</v>
      </c>
      <c r="F38" s="130">
        <f>IFERROR(_xlfn.XLOOKUP($A38,'Raw Data'!$G:$G,'Raw Data'!$AH:$AH),"")</f>
        <v>12.433333333333334</v>
      </c>
      <c r="G38" s="131">
        <f>IFERROR(_xlfn.XLOOKUP($A38,'Raw Data'!$G:$G,'Raw Data'!$S:$S)/1000,"")</f>
        <v>0</v>
      </c>
      <c r="H38" s="131"/>
      <c r="I38" s="131">
        <f>IFERROR(_xlfn.XLOOKUP($A38,'Raw Data'!$G:$G,'Raw Data'!$AF:$AF)/1000,"")</f>
        <v>8.3239999999999998</v>
      </c>
      <c r="J38" s="131"/>
      <c r="K38" s="131">
        <f>IFERROR(_xlfn.XLOOKUP($A38,'Raw Data'!$G:$G,'Raw Data'!W:W),"")</f>
        <v>24</v>
      </c>
      <c r="L38" s="131">
        <f>IFERROR(_xlfn.XLOOKUP($A38,'Raw Data'!$G:$G,'Raw Data'!X:X),"")</f>
        <v>49</v>
      </c>
      <c r="M38" s="131">
        <f>IFERROR(_xlfn.XLOOKUP($A38,'Raw Data'!$G:$G,'Raw Data'!Y:Y),"")</f>
        <v>2</v>
      </c>
      <c r="N38" s="131">
        <f>IFERROR(_xlfn.XLOOKUP($A38,'Raw Data'!$G:$G,'Raw Data'!Z:Z),"")</f>
        <v>4</v>
      </c>
      <c r="O38" s="158">
        <f>IFERROR(1-SUMIF('Plant BD'!$H:$H,$A38,'Plant BD'!AC:AC)/$F38,"")</f>
        <v>1</v>
      </c>
      <c r="P38" s="158"/>
      <c r="Q38" s="159"/>
      <c r="R38" s="158">
        <f>IFERROR(1-SUMIF('Grid BD'!$H:$H,$A38,'Grid BD'!AB:AB)/$F38,"")</f>
        <v>1</v>
      </c>
      <c r="T38" s="159">
        <f>IFERROR(1-SUMIF(Tracker_BD!$H:$H,$A38,Tracker_BD!AI:AI)/$F38,"")</f>
        <v>0.98595960062864008</v>
      </c>
      <c r="U38" s="160">
        <f t="shared" si="1"/>
        <v>0.6824708519958973</v>
      </c>
      <c r="V38" s="160"/>
      <c r="W38" s="161">
        <f t="shared" si="2"/>
        <v>0.23670364050057702</v>
      </c>
      <c r="X38" s="156">
        <f>IFERROR(_xlfn.XLOOKUP($A38,'Raw Data'!$G:$G,'Raw Data'!$AB:$AB),"")</f>
        <v>66804</v>
      </c>
      <c r="Y38" s="156">
        <f>IFERROR(_xlfn.XLOOKUP($A38,'Raw Data'!$G:$G,'Raw Data'!AC:AC),"")</f>
        <v>66766.900000002352</v>
      </c>
      <c r="Z38" s="156">
        <f>IFERROR(_xlfn.XLOOKUP($A38,'Raw Data'!$G:$G,'Raw Data'!AD:AD),"")</f>
        <v>186.90000000003693</v>
      </c>
      <c r="AA38" s="156">
        <f>IFERROR(_xlfn.XLOOKUP($A38,'Raw Data'!$G:$G,'Raw Data'!AE:AE),"")</f>
        <v>66580.000000002314</v>
      </c>
      <c r="AB38" s="156">
        <f>IFERROR(_xlfn.XLOOKUP($A38,'Raw Data'!$G:$G,'Raw Data'!$H:$H),"")</f>
        <v>11.72</v>
      </c>
      <c r="AC38" s="162">
        <f>IFERROR(_xlfn.XLOOKUP($D38,'Modelling New'!$D:$D,'Modelling New'!$P:$P),"")</f>
        <v>7.6437019903225805</v>
      </c>
      <c r="AD38" s="156">
        <f>IFERROR(_xlfn.XLOOKUP($D38,'Modelling New'!$D:$D,'Modelling New'!$T:$T)*1000,"")</f>
        <v>65538.17192485639</v>
      </c>
      <c r="AE38" s="163">
        <f>IFERROR(_xlfn.XLOOKUP($D38,'Modelling New'!$D:$D,'Modelling New'!$O:$O),"")</f>
        <v>0.73158192177304548</v>
      </c>
      <c r="AF38" s="163">
        <f>IFERROR(_xlfn.XLOOKUP($D38,'Modelling New'!$D:$D,'Modelling New'!$W:$W),"")</f>
        <v>0.23299975798086028</v>
      </c>
      <c r="AG38" s="163">
        <f>IFERROR(_xlfn.XLOOKUP($D38,'Modelling New'!$D:$D,'Modelling New'!AE:AE),"")</f>
        <v>0.995</v>
      </c>
      <c r="AH38" s="163">
        <f>IFERROR(_xlfn.XLOOKUP($D38,'Modelling New'!$D:$D,'Modelling New'!AF:AF),"")</f>
        <v>0.98550000000000004</v>
      </c>
      <c r="AN38" s="164"/>
      <c r="AO38" s="161"/>
      <c r="AP38" s="161"/>
      <c r="AQ38" s="161"/>
      <c r="AR38" s="156">
        <f>IFERROR(_xlfn.XLOOKUP($D38,'Modelling New'!$D:$D,'Modelling New'!$N:$N),"")</f>
        <v>11.72</v>
      </c>
    </row>
    <row r="39" spans="1:44">
      <c r="A39" s="155">
        <f t="shared" si="3"/>
        <v>45782</v>
      </c>
      <c r="B39" s="156">
        <f>YEAR(Table13[[#This Row],[Date]])+IF(MONTH(Table13[[#This Row],[Date]])&gt;=4,1,0)</f>
        <v>2026</v>
      </c>
      <c r="C39" s="129">
        <f>YEAR(Table13[[#This Row],[Date]])</f>
        <v>2025</v>
      </c>
      <c r="D39" s="157">
        <f>Table13[[#This Row],[Date]]-DAY(Table13[[#This Row],[Date]])+1</f>
        <v>45778</v>
      </c>
      <c r="E39" s="129">
        <f t="shared" si="0"/>
        <v>31</v>
      </c>
      <c r="F39" s="130">
        <f>IFERROR(_xlfn.XLOOKUP($A39,'Raw Data'!$G:$G,'Raw Data'!$AH:$AH),"")</f>
        <v>12.466666666666669</v>
      </c>
      <c r="G39" s="131">
        <f>IFERROR(_xlfn.XLOOKUP($A39,'Raw Data'!$G:$G,'Raw Data'!$S:$S)/1000,"")</f>
        <v>0</v>
      </c>
      <c r="H39" s="131"/>
      <c r="I39" s="131">
        <f>IFERROR(_xlfn.XLOOKUP($A39,'Raw Data'!$G:$G,'Raw Data'!$AF:$AF)/1000,"")</f>
        <v>8.1690000000000005</v>
      </c>
      <c r="J39" s="131"/>
      <c r="K39" s="131">
        <f>IFERROR(_xlfn.XLOOKUP($A39,'Raw Data'!$G:$G,'Raw Data'!W:W),"")</f>
        <v>24</v>
      </c>
      <c r="L39" s="131">
        <f>IFERROR(_xlfn.XLOOKUP($A39,'Raw Data'!$G:$G,'Raw Data'!X:X),"")</f>
        <v>53</v>
      </c>
      <c r="M39" s="131">
        <f>IFERROR(_xlfn.XLOOKUP($A39,'Raw Data'!$G:$G,'Raw Data'!Y:Y),"")</f>
        <v>2</v>
      </c>
      <c r="N39" s="131">
        <f>IFERROR(_xlfn.XLOOKUP($A39,'Raw Data'!$G:$G,'Raw Data'!Z:Z),"")</f>
        <v>7</v>
      </c>
      <c r="O39" s="158">
        <f>IFERROR(1-SUMIF('Plant BD'!$H:$H,$A39,'Plant BD'!AC:AC)/$F39,"")</f>
        <v>1</v>
      </c>
      <c r="P39" s="158"/>
      <c r="Q39" s="159"/>
      <c r="R39" s="158">
        <f>IFERROR(1-SUMIF('Grid BD'!$H:$H,$A39,'Grid BD'!AB:AB)/$F39,"")</f>
        <v>0.98930481283422467</v>
      </c>
      <c r="T39" s="159">
        <f>IFERROR(1-SUMIF(Tracker_BD!$H:$H,$A39,Tracker_BD!AI:AI)/$F39,"")</f>
        <v>0.96783145860224962</v>
      </c>
      <c r="U39" s="160">
        <f t="shared" si="1"/>
        <v>0.67296576544055831</v>
      </c>
      <c r="V39" s="160"/>
      <c r="W39" s="161">
        <f t="shared" si="2"/>
        <v>0.22906072241183001</v>
      </c>
      <c r="X39" s="156">
        <f>IFERROR(_xlfn.XLOOKUP($A39,'Raw Data'!$G:$G,'Raw Data'!$AB:$AB),"")</f>
        <v>64581</v>
      </c>
      <c r="Y39" s="156">
        <f>IFERROR(_xlfn.XLOOKUP($A39,'Raw Data'!$G:$G,'Raw Data'!AC:AC),"")</f>
        <v>64601.399999999558</v>
      </c>
      <c r="Z39" s="156">
        <f>IFERROR(_xlfn.XLOOKUP($A39,'Raw Data'!$G:$G,'Raw Data'!AD:AD),"")</f>
        <v>171.19999999999891</v>
      </c>
      <c r="AA39" s="156">
        <f>IFERROR(_xlfn.XLOOKUP($A39,'Raw Data'!$G:$G,'Raw Data'!AE:AE),"")</f>
        <v>64430.199999999561</v>
      </c>
      <c r="AB39" s="156">
        <f>IFERROR(_xlfn.XLOOKUP($A39,'Raw Data'!$G:$G,'Raw Data'!$H:$H),"")</f>
        <v>11.72</v>
      </c>
      <c r="AC39" s="162">
        <f>IFERROR(_xlfn.XLOOKUP($D39,'Modelling New'!$D:$D,'Modelling New'!$P:$P),"")</f>
        <v>7.6437019903225805</v>
      </c>
      <c r="AD39" s="156">
        <f>IFERROR(_xlfn.XLOOKUP($D39,'Modelling New'!$D:$D,'Modelling New'!$T:$T)*1000,"")</f>
        <v>65538.17192485639</v>
      </c>
      <c r="AE39" s="163">
        <f>IFERROR(_xlfn.XLOOKUP($D39,'Modelling New'!$D:$D,'Modelling New'!$O:$O),"")</f>
        <v>0.73158192177304548</v>
      </c>
      <c r="AF39" s="163">
        <f>IFERROR(_xlfn.XLOOKUP($D39,'Modelling New'!$D:$D,'Modelling New'!$W:$W),"")</f>
        <v>0.23299975798086028</v>
      </c>
      <c r="AG39" s="163">
        <f>IFERROR(_xlfn.XLOOKUP($D39,'Modelling New'!$D:$D,'Modelling New'!AE:AE),"")</f>
        <v>0.995</v>
      </c>
      <c r="AH39" s="163">
        <f>IFERROR(_xlfn.XLOOKUP($D39,'Modelling New'!$D:$D,'Modelling New'!AF:AF),"")</f>
        <v>0.98550000000000004</v>
      </c>
      <c r="AN39" s="164"/>
      <c r="AO39" s="161"/>
      <c r="AP39" s="161"/>
      <c r="AQ39" s="161"/>
      <c r="AR39" s="156">
        <f>IFERROR(_xlfn.XLOOKUP($D39,'Modelling New'!$D:$D,'Modelling New'!$N:$N),"")</f>
        <v>11.72</v>
      </c>
    </row>
    <row r="40" spans="1:44">
      <c r="A40" s="155">
        <f t="shared" si="3"/>
        <v>45783</v>
      </c>
      <c r="B40" s="156">
        <f>YEAR(Table13[[#This Row],[Date]])+IF(MONTH(Table13[[#This Row],[Date]])&gt;=4,1,0)</f>
        <v>2026</v>
      </c>
      <c r="C40" s="129">
        <f>YEAR(Table13[[#This Row],[Date]])</f>
        <v>2025</v>
      </c>
      <c r="D40" s="157">
        <f>Table13[[#This Row],[Date]]-DAY(Table13[[#This Row],[Date]])+1</f>
        <v>45778</v>
      </c>
      <c r="E40" s="129">
        <f t="shared" si="0"/>
        <v>31</v>
      </c>
      <c r="F40" s="130">
        <f>IFERROR(_xlfn.XLOOKUP($A40,'Raw Data'!$G:$G,'Raw Data'!$AH:$AH),"")</f>
        <v>12.133333333333333</v>
      </c>
      <c r="G40" s="131">
        <f>IFERROR(_xlfn.XLOOKUP($A40,'Raw Data'!$G:$G,'Raw Data'!$S:$S)/1000,"")</f>
        <v>0</v>
      </c>
      <c r="H40" s="131"/>
      <c r="I40" s="131">
        <f>IFERROR(_xlfn.XLOOKUP($A40,'Raw Data'!$G:$G,'Raw Data'!$AF:$AF)/1000,"")</f>
        <v>7.4390000000000001</v>
      </c>
      <c r="J40" s="131"/>
      <c r="K40" s="131">
        <f>IFERROR(_xlfn.XLOOKUP($A40,'Raw Data'!$G:$G,'Raw Data'!W:W),"")</f>
        <v>24</v>
      </c>
      <c r="L40" s="131">
        <f>IFERROR(_xlfn.XLOOKUP($A40,'Raw Data'!$G:$G,'Raw Data'!X:X),"")</f>
        <v>48</v>
      </c>
      <c r="M40" s="131">
        <f>IFERROR(_xlfn.XLOOKUP($A40,'Raw Data'!$G:$G,'Raw Data'!Y:Y),"")</f>
        <v>3</v>
      </c>
      <c r="N40" s="131">
        <f>IFERROR(_xlfn.XLOOKUP($A40,'Raw Data'!$G:$G,'Raw Data'!Z:Z),"")</f>
        <v>5</v>
      </c>
      <c r="O40" s="158">
        <f>IFERROR(1-SUMIF('Plant BD'!$H:$H,$A40,'Plant BD'!AC:AC)/$F40,"")</f>
        <v>0.98981138310659655</v>
      </c>
      <c r="P40" s="158"/>
      <c r="Q40" s="159"/>
      <c r="R40" s="158">
        <f>IFERROR(1-SUMIF('Grid BD'!$H:$H,$A40,'Grid BD'!AB:AB)/$F40,"")</f>
        <v>1</v>
      </c>
      <c r="T40" s="159">
        <f>IFERROR(1-SUMIF(Tracker_BD!$H:$H,$A40,Tracker_BD!AI:AI)/$F40,"")</f>
        <v>0.98588875205254511</v>
      </c>
      <c r="U40" s="160">
        <f t="shared" si="1"/>
        <v>0.70116125373741756</v>
      </c>
      <c r="V40" s="160"/>
      <c r="W40" s="161">
        <f t="shared" si="2"/>
        <v>0.21733077360636038</v>
      </c>
      <c r="X40" s="156">
        <f>IFERROR(_xlfn.XLOOKUP($A40,'Raw Data'!$G:$G,'Raw Data'!$AB:$AB),"")</f>
        <v>61433</v>
      </c>
      <c r="Y40" s="156">
        <f>IFERROR(_xlfn.XLOOKUP($A40,'Raw Data'!$G:$G,'Raw Data'!AC:AC),"")</f>
        <v>61329.899999996996</v>
      </c>
      <c r="Z40" s="156">
        <f>IFERROR(_xlfn.XLOOKUP($A40,'Raw Data'!$G:$G,'Raw Data'!AD:AD),"")</f>
        <v>199.09999999993033</v>
      </c>
      <c r="AA40" s="156">
        <f>IFERROR(_xlfn.XLOOKUP($A40,'Raw Data'!$G:$G,'Raw Data'!AE:AE),"")</f>
        <v>61130.799999997063</v>
      </c>
      <c r="AB40" s="156">
        <f>IFERROR(_xlfn.XLOOKUP($A40,'Raw Data'!$G:$G,'Raw Data'!$H:$H),"")</f>
        <v>11.72</v>
      </c>
      <c r="AC40" s="162">
        <f>IFERROR(_xlfn.XLOOKUP($D40,'Modelling New'!$D:$D,'Modelling New'!$P:$P),"")</f>
        <v>7.6437019903225805</v>
      </c>
      <c r="AD40" s="156">
        <f>IFERROR(_xlfn.XLOOKUP($D40,'Modelling New'!$D:$D,'Modelling New'!$T:$T)*1000,"")</f>
        <v>65538.17192485639</v>
      </c>
      <c r="AE40" s="163">
        <f>IFERROR(_xlfn.XLOOKUP($D40,'Modelling New'!$D:$D,'Modelling New'!$O:$O),"")</f>
        <v>0.73158192177304548</v>
      </c>
      <c r="AF40" s="163">
        <f>IFERROR(_xlfn.XLOOKUP($D40,'Modelling New'!$D:$D,'Modelling New'!$W:$W),"")</f>
        <v>0.23299975798086028</v>
      </c>
      <c r="AG40" s="163">
        <f>IFERROR(_xlfn.XLOOKUP($D40,'Modelling New'!$D:$D,'Modelling New'!AE:AE),"")</f>
        <v>0.995</v>
      </c>
      <c r="AH40" s="163">
        <f>IFERROR(_xlfn.XLOOKUP($D40,'Modelling New'!$D:$D,'Modelling New'!AF:AF),"")</f>
        <v>0.98550000000000004</v>
      </c>
      <c r="AN40" s="164"/>
      <c r="AO40" s="161"/>
      <c r="AP40" s="161"/>
      <c r="AQ40" s="161"/>
      <c r="AR40" s="156">
        <f>IFERROR(_xlfn.XLOOKUP($D40,'Modelling New'!$D:$D,'Modelling New'!$N:$N),"")</f>
        <v>11.72</v>
      </c>
    </row>
    <row r="41" spans="1:44">
      <c r="A41" s="155">
        <f t="shared" si="3"/>
        <v>45784</v>
      </c>
      <c r="B41" s="156">
        <f>YEAR(Table13[[#This Row],[Date]])+IF(MONTH(Table13[[#This Row],[Date]])&gt;=4,1,0)</f>
        <v>2026</v>
      </c>
      <c r="C41" s="129">
        <f>YEAR(Table13[[#This Row],[Date]])</f>
        <v>2025</v>
      </c>
      <c r="D41" s="157">
        <f>Table13[[#This Row],[Date]]-DAY(Table13[[#This Row],[Date]])+1</f>
        <v>45778</v>
      </c>
      <c r="E41" s="129">
        <f t="shared" si="0"/>
        <v>31</v>
      </c>
      <c r="F41" s="130">
        <f>IFERROR(_xlfn.XLOOKUP($A41,'Raw Data'!$G:$G,'Raw Data'!$AH:$AH),"")</f>
        <v>12.416666666666668</v>
      </c>
      <c r="G41" s="131">
        <f>IFERROR(_xlfn.XLOOKUP($A41,'Raw Data'!$G:$G,'Raw Data'!$S:$S)/1000,"")</f>
        <v>0</v>
      </c>
      <c r="H41" s="131"/>
      <c r="I41" s="131">
        <f>IFERROR(_xlfn.XLOOKUP($A41,'Raw Data'!$G:$G,'Raw Data'!$AF:$AF)/1000,"")</f>
        <v>8.61</v>
      </c>
      <c r="J41" s="131"/>
      <c r="K41" s="131">
        <f>IFERROR(_xlfn.XLOOKUP($A41,'Raw Data'!$G:$G,'Raw Data'!W:W),"")</f>
        <v>24</v>
      </c>
      <c r="L41" s="131">
        <f>IFERROR(_xlfn.XLOOKUP($A41,'Raw Data'!$G:$G,'Raw Data'!X:X),"")</f>
        <v>50</v>
      </c>
      <c r="M41" s="131">
        <f>IFERROR(_xlfn.XLOOKUP($A41,'Raw Data'!$G:$G,'Raw Data'!Y:Y),"")</f>
        <v>5</v>
      </c>
      <c r="N41" s="131">
        <f>IFERROR(_xlfn.XLOOKUP($A41,'Raw Data'!$G:$G,'Raw Data'!Z:Z),"")</f>
        <v>7</v>
      </c>
      <c r="O41" s="158">
        <f>IFERROR(1-SUMIF('Plant BD'!$H:$H,$A41,'Plant BD'!AC:AC)/$F41,"")</f>
        <v>1</v>
      </c>
      <c r="P41" s="158"/>
      <c r="Q41" s="159"/>
      <c r="R41" s="158">
        <f>IFERROR(1-SUMIF('Grid BD'!$H:$H,$A41,'Grid BD'!AB:AB)/$F41,"")</f>
        <v>1</v>
      </c>
      <c r="T41" s="159">
        <f>IFERROR(1-SUMIF(Tracker_BD!$H:$H,$A41,Tracker_BD!AI:AI)/$F41,"")</f>
        <v>0.98588289747743574</v>
      </c>
      <c r="U41" s="160">
        <f t="shared" si="1"/>
        <v>0.68374935090166189</v>
      </c>
      <c r="V41" s="160"/>
      <c r="W41" s="161">
        <f t="shared" si="2"/>
        <v>0.24529507963597114</v>
      </c>
      <c r="X41" s="156">
        <f>IFERROR(_xlfn.XLOOKUP($A41,'Raw Data'!$G:$G,'Raw Data'!$AB:$AB),"")</f>
        <v>69499</v>
      </c>
      <c r="Y41" s="156">
        <f>IFERROR(_xlfn.XLOOKUP($A41,'Raw Data'!$G:$G,'Raw Data'!AC:AC),"")</f>
        <v>69167.10000000603</v>
      </c>
      <c r="Z41" s="156">
        <f>IFERROR(_xlfn.XLOOKUP($A41,'Raw Data'!$G:$G,'Raw Data'!AD:AD),"")</f>
        <v>170.50000000006094</v>
      </c>
      <c r="AA41" s="156">
        <f>IFERROR(_xlfn.XLOOKUP($A41,'Raw Data'!$G:$G,'Raw Data'!AE:AE),"")</f>
        <v>68996.600000005972</v>
      </c>
      <c r="AB41" s="156">
        <f>IFERROR(_xlfn.XLOOKUP($A41,'Raw Data'!$G:$G,'Raw Data'!$H:$H),"")</f>
        <v>11.72</v>
      </c>
      <c r="AC41" s="162">
        <f>IFERROR(_xlfn.XLOOKUP($D41,'Modelling New'!$D:$D,'Modelling New'!$P:$P),"")</f>
        <v>7.6437019903225805</v>
      </c>
      <c r="AD41" s="156">
        <f>IFERROR(_xlfn.XLOOKUP($D41,'Modelling New'!$D:$D,'Modelling New'!$T:$T)*1000,"")</f>
        <v>65538.17192485639</v>
      </c>
      <c r="AE41" s="163">
        <f>IFERROR(_xlfn.XLOOKUP($D41,'Modelling New'!$D:$D,'Modelling New'!$O:$O),"")</f>
        <v>0.73158192177304548</v>
      </c>
      <c r="AF41" s="163">
        <f>IFERROR(_xlfn.XLOOKUP($D41,'Modelling New'!$D:$D,'Modelling New'!$W:$W),"")</f>
        <v>0.23299975798086028</v>
      </c>
      <c r="AG41" s="163">
        <f>IFERROR(_xlfn.XLOOKUP($D41,'Modelling New'!$D:$D,'Modelling New'!AE:AE),"")</f>
        <v>0.995</v>
      </c>
      <c r="AH41" s="163">
        <f>IFERROR(_xlfn.XLOOKUP($D41,'Modelling New'!$D:$D,'Modelling New'!AF:AF),"")</f>
        <v>0.98550000000000004</v>
      </c>
      <c r="AN41" s="164"/>
      <c r="AO41" s="161"/>
      <c r="AP41" s="161"/>
      <c r="AQ41" s="161"/>
      <c r="AR41" s="156">
        <f>IFERROR(_xlfn.XLOOKUP($D41,'Modelling New'!$D:$D,'Modelling New'!$N:$N),"")</f>
        <v>11.72</v>
      </c>
    </row>
    <row r="42" spans="1:44">
      <c r="A42" s="155">
        <f t="shared" si="3"/>
        <v>45785</v>
      </c>
      <c r="B42" s="156">
        <f>YEAR(Table13[[#This Row],[Date]])+IF(MONTH(Table13[[#This Row],[Date]])&gt;=4,1,0)</f>
        <v>2026</v>
      </c>
      <c r="C42" s="129">
        <f>YEAR(Table13[[#This Row],[Date]])</f>
        <v>2025</v>
      </c>
      <c r="D42" s="157">
        <f>Table13[[#This Row],[Date]]-DAY(Table13[[#This Row],[Date]])+1</f>
        <v>45778</v>
      </c>
      <c r="E42" s="129">
        <f t="shared" si="0"/>
        <v>31</v>
      </c>
      <c r="F42" s="130">
        <f>IFERROR(_xlfn.XLOOKUP($A42,'Raw Data'!$G:$G,'Raw Data'!$AH:$AH),"")</f>
        <v>12.483333333333334</v>
      </c>
      <c r="G42" s="131">
        <f>IFERROR(_xlfn.XLOOKUP($A42,'Raw Data'!$G:$G,'Raw Data'!$S:$S)/1000,"")</f>
        <v>0</v>
      </c>
      <c r="H42" s="131"/>
      <c r="I42" s="131">
        <f>IFERROR(_xlfn.XLOOKUP($A42,'Raw Data'!$G:$G,'Raw Data'!$AF:$AF)/1000,"")</f>
        <v>7.9480000000000004</v>
      </c>
      <c r="J42" s="131"/>
      <c r="K42" s="131">
        <f>IFERROR(_xlfn.XLOOKUP($A42,'Raw Data'!$G:$G,'Raw Data'!W:W),"")</f>
        <v>24</v>
      </c>
      <c r="L42" s="131">
        <f>IFERROR(_xlfn.XLOOKUP($A42,'Raw Data'!$G:$G,'Raw Data'!X:X),"")</f>
        <v>49</v>
      </c>
      <c r="M42" s="131">
        <f>IFERROR(_xlfn.XLOOKUP($A42,'Raw Data'!$G:$G,'Raw Data'!Y:Y),"")</f>
        <v>5</v>
      </c>
      <c r="N42" s="131">
        <f>IFERROR(_xlfn.XLOOKUP($A42,'Raw Data'!$G:$G,'Raw Data'!Z:Z),"")</f>
        <v>9</v>
      </c>
      <c r="O42" s="158">
        <f>IFERROR(1-SUMIF('Plant BD'!$H:$H,$A42,'Plant BD'!AC:AC)/$F42,"")</f>
        <v>1</v>
      </c>
      <c r="P42" s="158"/>
      <c r="Q42" s="159"/>
      <c r="R42" s="158">
        <f>IFERROR(1-SUMIF('Grid BD'!$H:$H,$A42,'Grid BD'!AB:AB)/$F42,"")</f>
        <v>1</v>
      </c>
      <c r="T42" s="159">
        <f>IFERROR(1-SUMIF(Tracker_BD!$H:$H,$A42,Tracker_BD!AI:AI)/$F42,"")</f>
        <v>0.98595828921320383</v>
      </c>
      <c r="U42" s="160">
        <f t="shared" si="1"/>
        <v>0.69118747112196877</v>
      </c>
      <c r="V42" s="160"/>
      <c r="W42" s="161">
        <f t="shared" si="2"/>
        <v>0.22889825085322529</v>
      </c>
      <c r="X42" s="156">
        <f>IFERROR(_xlfn.XLOOKUP($A42,'Raw Data'!$G:$G,'Raw Data'!$AB:$AB),"")</f>
        <v>64558</v>
      </c>
      <c r="Y42" s="156">
        <f>IFERROR(_xlfn.XLOOKUP($A42,'Raw Data'!$G:$G,'Raw Data'!AC:AC),"")</f>
        <v>64581.69999999518</v>
      </c>
      <c r="Z42" s="156">
        <f>IFERROR(_xlfn.XLOOKUP($A42,'Raw Data'!$G:$G,'Raw Data'!AD:AD),"")</f>
        <v>197.19999999995252</v>
      </c>
      <c r="AA42" s="156">
        <f>IFERROR(_xlfn.XLOOKUP($A42,'Raw Data'!$G:$G,'Raw Data'!AE:AE),"")</f>
        <v>64384.499999995227</v>
      </c>
      <c r="AB42" s="156">
        <f>IFERROR(_xlfn.XLOOKUP($A42,'Raw Data'!$G:$G,'Raw Data'!$H:$H),"")</f>
        <v>11.72</v>
      </c>
      <c r="AC42" s="162">
        <f>IFERROR(_xlfn.XLOOKUP($D42,'Modelling New'!$D:$D,'Modelling New'!$P:$P),"")</f>
        <v>7.6437019903225805</v>
      </c>
      <c r="AD42" s="156">
        <f>IFERROR(_xlfn.XLOOKUP($D42,'Modelling New'!$D:$D,'Modelling New'!$T:$T)*1000,"")</f>
        <v>65538.17192485639</v>
      </c>
      <c r="AE42" s="163">
        <f>IFERROR(_xlfn.XLOOKUP($D42,'Modelling New'!$D:$D,'Modelling New'!$O:$O),"")</f>
        <v>0.73158192177304548</v>
      </c>
      <c r="AF42" s="163">
        <f>IFERROR(_xlfn.XLOOKUP($D42,'Modelling New'!$D:$D,'Modelling New'!$W:$W),"")</f>
        <v>0.23299975798086028</v>
      </c>
      <c r="AG42" s="163">
        <f>IFERROR(_xlfn.XLOOKUP($D42,'Modelling New'!$D:$D,'Modelling New'!AE:AE),"")</f>
        <v>0.995</v>
      </c>
      <c r="AH42" s="163">
        <f>IFERROR(_xlfn.XLOOKUP($D42,'Modelling New'!$D:$D,'Modelling New'!AF:AF),"")</f>
        <v>0.98550000000000004</v>
      </c>
      <c r="AN42" s="164"/>
      <c r="AO42" s="161"/>
      <c r="AP42" s="161"/>
      <c r="AQ42" s="161"/>
      <c r="AR42" s="156">
        <f>IFERROR(_xlfn.XLOOKUP($D42,'Modelling New'!$D:$D,'Modelling New'!$N:$N),"")</f>
        <v>11.72</v>
      </c>
    </row>
    <row r="43" spans="1:44">
      <c r="A43" s="155">
        <f t="shared" si="3"/>
        <v>45786</v>
      </c>
      <c r="B43" s="156">
        <f>YEAR(Table13[[#This Row],[Date]])+IF(MONTH(Table13[[#This Row],[Date]])&gt;=4,1,0)</f>
        <v>2026</v>
      </c>
      <c r="C43" s="129">
        <f>YEAR(Table13[[#This Row],[Date]])</f>
        <v>2025</v>
      </c>
      <c r="D43" s="157">
        <f>Table13[[#This Row],[Date]]-DAY(Table13[[#This Row],[Date]])+1</f>
        <v>45778</v>
      </c>
      <c r="E43" s="129">
        <f t="shared" si="0"/>
        <v>31</v>
      </c>
      <c r="F43" s="130">
        <f>IFERROR(_xlfn.XLOOKUP($A43,'Raw Data'!$G:$G,'Raw Data'!$AH:$AH),"")</f>
        <v>12.483333333333334</v>
      </c>
      <c r="G43" s="131">
        <f>IFERROR(_xlfn.XLOOKUP($A43,'Raw Data'!$G:$G,'Raw Data'!$S:$S)/1000,"")</f>
        <v>0</v>
      </c>
      <c r="H43" s="131"/>
      <c r="I43" s="131">
        <f>IFERROR(_xlfn.XLOOKUP($A43,'Raw Data'!$G:$G,'Raw Data'!$AF:$AF)/1000,"")</f>
        <v>7.5359999999999996</v>
      </c>
      <c r="J43" s="131"/>
      <c r="K43" s="131">
        <f>IFERROR(_xlfn.XLOOKUP($A43,'Raw Data'!$G:$G,'Raw Data'!W:W),"")</f>
        <v>24</v>
      </c>
      <c r="L43" s="131">
        <f>IFERROR(_xlfn.XLOOKUP($A43,'Raw Data'!$G:$G,'Raw Data'!X:X),"")</f>
        <v>48</v>
      </c>
      <c r="M43" s="131">
        <f>IFERROR(_xlfn.XLOOKUP($A43,'Raw Data'!$G:$G,'Raw Data'!Y:Y),"")</f>
        <v>5</v>
      </c>
      <c r="N43" s="131">
        <f>IFERROR(_xlfn.XLOOKUP($A43,'Raw Data'!$G:$G,'Raw Data'!Z:Z),"")</f>
        <v>7</v>
      </c>
      <c r="O43" s="158">
        <f>IFERROR(1-SUMIF('Plant BD'!$H:$H,$A43,'Plant BD'!AC:AC)/$F43,"")</f>
        <v>1</v>
      </c>
      <c r="P43" s="158"/>
      <c r="Q43" s="159"/>
      <c r="R43" s="158">
        <f>IFERROR(1-SUMIF('Grid BD'!$H:$H,$A43,'Grid BD'!AB:AB)/$F43,"")</f>
        <v>0.98130841121495338</v>
      </c>
      <c r="T43" s="159">
        <f>IFERROR(1-SUMIF(Tracker_BD!$H:$H,$A43,Tracker_BD!AI:AI)/$F43,"")</f>
        <v>0.98590074121817595</v>
      </c>
      <c r="U43" s="160">
        <f t="shared" si="1"/>
        <v>0.69311559350155361</v>
      </c>
      <c r="V43" s="160"/>
      <c r="W43" s="161">
        <f t="shared" si="2"/>
        <v>0.21763829635948775</v>
      </c>
      <c r="X43" s="156">
        <f>IFERROR(_xlfn.XLOOKUP($A43,'Raw Data'!$G:$G,'Raw Data'!$AB:$AB),"")</f>
        <v>61406</v>
      </c>
      <c r="Y43" s="156">
        <f>IFERROR(_xlfn.XLOOKUP($A43,'Raw Data'!$G:$G,'Raw Data'!AC:AC),"")</f>
        <v>61387.799999996787</v>
      </c>
      <c r="Z43" s="156">
        <f>IFERROR(_xlfn.XLOOKUP($A43,'Raw Data'!$G:$G,'Raw Data'!AD:AD),"")</f>
        <v>170.50000000006094</v>
      </c>
      <c r="AA43" s="156">
        <f>IFERROR(_xlfn.XLOOKUP($A43,'Raw Data'!$G:$G,'Raw Data'!AE:AE),"")</f>
        <v>61217.299999996729</v>
      </c>
      <c r="AB43" s="156">
        <f>IFERROR(_xlfn.XLOOKUP($A43,'Raw Data'!$G:$G,'Raw Data'!$H:$H),"")</f>
        <v>11.72</v>
      </c>
      <c r="AC43" s="162">
        <f>IFERROR(_xlfn.XLOOKUP($D43,'Modelling New'!$D:$D,'Modelling New'!$P:$P),"")</f>
        <v>7.6437019903225805</v>
      </c>
      <c r="AD43" s="156">
        <f>IFERROR(_xlfn.XLOOKUP($D43,'Modelling New'!$D:$D,'Modelling New'!$T:$T)*1000,"")</f>
        <v>65538.17192485639</v>
      </c>
      <c r="AE43" s="163">
        <f>IFERROR(_xlfn.XLOOKUP($D43,'Modelling New'!$D:$D,'Modelling New'!$O:$O),"")</f>
        <v>0.73158192177304548</v>
      </c>
      <c r="AF43" s="163">
        <f>IFERROR(_xlfn.XLOOKUP($D43,'Modelling New'!$D:$D,'Modelling New'!$W:$W),"")</f>
        <v>0.23299975798086028</v>
      </c>
      <c r="AG43" s="163">
        <f>IFERROR(_xlfn.XLOOKUP($D43,'Modelling New'!$D:$D,'Modelling New'!AE:AE),"")</f>
        <v>0.995</v>
      </c>
      <c r="AH43" s="163">
        <f>IFERROR(_xlfn.XLOOKUP($D43,'Modelling New'!$D:$D,'Modelling New'!AF:AF),"")</f>
        <v>0.98550000000000004</v>
      </c>
      <c r="AN43" s="164"/>
      <c r="AO43" s="161"/>
      <c r="AP43" s="161"/>
      <c r="AQ43" s="161"/>
      <c r="AR43" s="156">
        <f>IFERROR(_xlfn.XLOOKUP($D43,'Modelling New'!$D:$D,'Modelling New'!$N:$N),"")</f>
        <v>11.72</v>
      </c>
    </row>
    <row r="44" spans="1:44">
      <c r="A44" s="155">
        <f t="shared" si="3"/>
        <v>45787</v>
      </c>
      <c r="B44" s="156">
        <f>YEAR(Table13[[#This Row],[Date]])+IF(MONTH(Table13[[#This Row],[Date]])&gt;=4,1,0)</f>
        <v>2026</v>
      </c>
      <c r="C44" s="129">
        <f>YEAR(Table13[[#This Row],[Date]])</f>
        <v>2025</v>
      </c>
      <c r="D44" s="157">
        <f>Table13[[#This Row],[Date]]-DAY(Table13[[#This Row],[Date]])+1</f>
        <v>45778</v>
      </c>
      <c r="E44" s="129">
        <f t="shared" si="0"/>
        <v>31</v>
      </c>
      <c r="F44" s="130">
        <f>IFERROR(_xlfn.XLOOKUP($A44,'Raw Data'!$G:$G,'Raw Data'!$AH:$AH),"")</f>
        <v>12.366666666666667</v>
      </c>
      <c r="G44" s="131">
        <f>IFERROR(_xlfn.XLOOKUP($A44,'Raw Data'!$G:$G,'Raw Data'!$S:$S)/1000,"")</f>
        <v>0</v>
      </c>
      <c r="H44" s="131"/>
      <c r="I44" s="131">
        <f>IFERROR(_xlfn.XLOOKUP($A44,'Raw Data'!$G:$G,'Raw Data'!$AF:$AF)/1000,"")</f>
        <v>6.4630000000000001</v>
      </c>
      <c r="J44" s="131"/>
      <c r="K44" s="131">
        <f>IFERROR(_xlfn.XLOOKUP($A44,'Raw Data'!$G:$G,'Raw Data'!W:W),"")</f>
        <v>24</v>
      </c>
      <c r="L44" s="131">
        <f>IFERROR(_xlfn.XLOOKUP($A44,'Raw Data'!$G:$G,'Raw Data'!X:X),"")</f>
        <v>46</v>
      </c>
      <c r="M44" s="131">
        <f>IFERROR(_xlfn.XLOOKUP($A44,'Raw Data'!$G:$G,'Raw Data'!Y:Y),"")</f>
        <v>5</v>
      </c>
      <c r="N44" s="131">
        <f>IFERROR(_xlfn.XLOOKUP($A44,'Raw Data'!$G:$G,'Raw Data'!Z:Z),"")</f>
        <v>7</v>
      </c>
      <c r="O44" s="158">
        <f>IFERROR(1-SUMIF('Plant BD'!$H:$H,$A44,'Plant BD'!AC:AC)/$F44,"")</f>
        <v>1</v>
      </c>
      <c r="P44" s="158"/>
      <c r="Q44" s="159"/>
      <c r="R44" s="158">
        <f>IFERROR(1-SUMIF('Grid BD'!$H:$H,$A44,'Grid BD'!AB:AB)/$F44,"")</f>
        <v>1</v>
      </c>
      <c r="T44" s="159">
        <f>IFERROR(1-SUMIF(Tracker_BD!$H:$H,$A44,Tracker_BD!AI:AI)/$F44,"")</f>
        <v>0.98582582024351706</v>
      </c>
      <c r="U44" s="160">
        <f t="shared" si="1"/>
        <v>0.70775282138967677</v>
      </c>
      <c r="V44" s="160"/>
      <c r="W44" s="161">
        <f t="shared" si="2"/>
        <v>0.19059193686006168</v>
      </c>
      <c r="X44" s="156">
        <f>IFERROR(_xlfn.XLOOKUP($A44,'Raw Data'!$G:$G,'Raw Data'!$AB:$AB),"")</f>
        <v>53872</v>
      </c>
      <c r="Y44" s="156">
        <f>IFERROR(_xlfn.XLOOKUP($A44,'Raw Data'!$G:$G,'Raw Data'!AC:AC),"")</f>
        <v>53814.299999998184</v>
      </c>
      <c r="Z44" s="156">
        <f>IFERROR(_xlfn.XLOOKUP($A44,'Raw Data'!$G:$G,'Raw Data'!AD:AD),"")</f>
        <v>204.60000000002765</v>
      </c>
      <c r="AA44" s="156">
        <f>IFERROR(_xlfn.XLOOKUP($A44,'Raw Data'!$G:$G,'Raw Data'!AE:AE),"")</f>
        <v>53609.699999998156</v>
      </c>
      <c r="AB44" s="156">
        <f>IFERROR(_xlfn.XLOOKUP($A44,'Raw Data'!$G:$G,'Raw Data'!$H:$H),"")</f>
        <v>11.72</v>
      </c>
      <c r="AC44" s="162">
        <f>IFERROR(_xlfn.XLOOKUP($D44,'Modelling New'!$D:$D,'Modelling New'!$P:$P),"")</f>
        <v>7.6437019903225805</v>
      </c>
      <c r="AD44" s="156">
        <f>IFERROR(_xlfn.XLOOKUP($D44,'Modelling New'!$D:$D,'Modelling New'!$T:$T)*1000,"")</f>
        <v>65538.17192485639</v>
      </c>
      <c r="AE44" s="163">
        <f>IFERROR(_xlfn.XLOOKUP($D44,'Modelling New'!$D:$D,'Modelling New'!$O:$O),"")</f>
        <v>0.73158192177304548</v>
      </c>
      <c r="AF44" s="163">
        <f>IFERROR(_xlfn.XLOOKUP($D44,'Modelling New'!$D:$D,'Modelling New'!$W:$W),"")</f>
        <v>0.23299975798086028</v>
      </c>
      <c r="AG44" s="163">
        <f>IFERROR(_xlfn.XLOOKUP($D44,'Modelling New'!$D:$D,'Modelling New'!AE:AE),"")</f>
        <v>0.995</v>
      </c>
      <c r="AH44" s="163">
        <f>IFERROR(_xlfn.XLOOKUP($D44,'Modelling New'!$D:$D,'Modelling New'!AF:AF),"")</f>
        <v>0.98550000000000004</v>
      </c>
      <c r="AN44" s="164"/>
      <c r="AO44" s="161"/>
      <c r="AP44" s="161"/>
      <c r="AQ44" s="161"/>
      <c r="AR44" s="156">
        <f>IFERROR(_xlfn.XLOOKUP($D44,'Modelling New'!$D:$D,'Modelling New'!$N:$N),"")</f>
        <v>11.72</v>
      </c>
    </row>
    <row r="45" spans="1:44">
      <c r="A45" s="155">
        <f t="shared" si="3"/>
        <v>45788</v>
      </c>
      <c r="B45" s="156">
        <f>YEAR(Table13[[#This Row],[Date]])+IF(MONTH(Table13[[#This Row],[Date]])&gt;=4,1,0)</f>
        <v>2026</v>
      </c>
      <c r="C45" s="129">
        <f>YEAR(Table13[[#This Row],[Date]])</f>
        <v>2025</v>
      </c>
      <c r="D45" s="157">
        <f>Table13[[#This Row],[Date]]-DAY(Table13[[#This Row],[Date]])+1</f>
        <v>45778</v>
      </c>
      <c r="E45" s="129">
        <f t="shared" si="0"/>
        <v>31</v>
      </c>
      <c r="F45" s="130">
        <f>IFERROR(_xlfn.XLOOKUP($A45,'Raw Data'!$G:$G,'Raw Data'!$AH:$AH),"")</f>
        <v>12.116666666666667</v>
      </c>
      <c r="G45" s="131">
        <f>IFERROR(_xlfn.XLOOKUP($A45,'Raw Data'!$G:$G,'Raw Data'!$S:$S)/1000,"")</f>
        <v>0</v>
      </c>
      <c r="H45" s="131"/>
      <c r="I45" s="131">
        <f>IFERROR(_xlfn.XLOOKUP($A45,'Raw Data'!$G:$G,'Raw Data'!$AF:$AF)/1000,"")</f>
        <v>6.0730000000000004</v>
      </c>
      <c r="J45" s="131"/>
      <c r="K45" s="131">
        <f>IFERROR(_xlfn.XLOOKUP($A45,'Raw Data'!$G:$G,'Raw Data'!W:W),"")</f>
        <v>23</v>
      </c>
      <c r="L45" s="131">
        <f>IFERROR(_xlfn.XLOOKUP($A45,'Raw Data'!$G:$G,'Raw Data'!X:X),"")</f>
        <v>46</v>
      </c>
      <c r="M45" s="131">
        <f>IFERROR(_xlfn.XLOOKUP($A45,'Raw Data'!$G:$G,'Raw Data'!Y:Y),"")</f>
        <v>5</v>
      </c>
      <c r="N45" s="131">
        <f>IFERROR(_xlfn.XLOOKUP($A45,'Raw Data'!$G:$G,'Raw Data'!Z:Z),"")</f>
        <v>8</v>
      </c>
      <c r="O45" s="158">
        <f>IFERROR(1-SUMIF('Plant BD'!$H:$H,$A45,'Plant BD'!AC:AC)/$F45,"")</f>
        <v>1</v>
      </c>
      <c r="P45" s="158"/>
      <c r="Q45" s="159"/>
      <c r="R45" s="158">
        <f>IFERROR(1-SUMIF('Grid BD'!$H:$H,$A45,'Grid BD'!AB:AB)/$F45,"")</f>
        <v>1</v>
      </c>
      <c r="T45" s="159">
        <f>IFERROR(1-SUMIF(Tracker_BD!$H:$H,$A45,Tracker_BD!AI:AI)/$F45,"")</f>
        <v>0.98553336811649195</v>
      </c>
      <c r="U45" s="160">
        <f t="shared" si="1"/>
        <v>0.71384756228127355</v>
      </c>
      <c r="V45" s="160"/>
      <c r="W45" s="161">
        <f t="shared" si="2"/>
        <v>0.18063317690559058</v>
      </c>
      <c r="X45" s="156">
        <f>IFERROR(_xlfn.XLOOKUP($A45,'Raw Data'!$G:$G,'Raw Data'!$AB:$AB),"")</f>
        <v>51067</v>
      </c>
      <c r="Y45" s="156">
        <f>IFERROR(_xlfn.XLOOKUP($A45,'Raw Data'!$G:$G,'Raw Data'!AC:AC),"")</f>
        <v>50952.30000000447</v>
      </c>
      <c r="Z45" s="156">
        <f>IFERROR(_xlfn.XLOOKUP($A45,'Raw Data'!$G:$G,'Raw Data'!AD:AD),"")</f>
        <v>143.79999999994197</v>
      </c>
      <c r="AA45" s="156">
        <f>IFERROR(_xlfn.XLOOKUP($A45,'Raw Data'!$G:$G,'Raw Data'!AE:AE),"")</f>
        <v>50808.500000004526</v>
      </c>
      <c r="AB45" s="156">
        <f>IFERROR(_xlfn.XLOOKUP($A45,'Raw Data'!$G:$G,'Raw Data'!$H:$H),"")</f>
        <v>11.72</v>
      </c>
      <c r="AC45" s="162">
        <f>IFERROR(_xlfn.XLOOKUP($D45,'Modelling New'!$D:$D,'Modelling New'!$P:$P),"")</f>
        <v>7.6437019903225805</v>
      </c>
      <c r="AD45" s="156">
        <f>IFERROR(_xlfn.XLOOKUP($D45,'Modelling New'!$D:$D,'Modelling New'!$T:$T)*1000,"")</f>
        <v>65538.17192485639</v>
      </c>
      <c r="AE45" s="163">
        <f>IFERROR(_xlfn.XLOOKUP($D45,'Modelling New'!$D:$D,'Modelling New'!$O:$O),"")</f>
        <v>0.73158192177304548</v>
      </c>
      <c r="AF45" s="163">
        <f>IFERROR(_xlfn.XLOOKUP($D45,'Modelling New'!$D:$D,'Modelling New'!$W:$W),"")</f>
        <v>0.23299975798086028</v>
      </c>
      <c r="AG45" s="163">
        <f>IFERROR(_xlfn.XLOOKUP($D45,'Modelling New'!$D:$D,'Modelling New'!AE:AE),"")</f>
        <v>0.995</v>
      </c>
      <c r="AH45" s="163">
        <f>IFERROR(_xlfn.XLOOKUP($D45,'Modelling New'!$D:$D,'Modelling New'!AF:AF),"")</f>
        <v>0.98550000000000004</v>
      </c>
      <c r="AN45" s="164"/>
      <c r="AO45" s="161"/>
      <c r="AP45" s="161"/>
      <c r="AQ45" s="161"/>
      <c r="AR45" s="156">
        <f>IFERROR(_xlfn.XLOOKUP($D45,'Modelling New'!$D:$D,'Modelling New'!$N:$N),"")</f>
        <v>11.72</v>
      </c>
    </row>
    <row r="46" spans="1:44">
      <c r="A46" s="155">
        <f t="shared" si="3"/>
        <v>45789</v>
      </c>
      <c r="B46" s="156">
        <f>YEAR(Table13[[#This Row],[Date]])+IF(MONTH(Table13[[#This Row],[Date]])&gt;=4,1,0)</f>
        <v>2026</v>
      </c>
      <c r="C46" s="129">
        <f>YEAR(Table13[[#This Row],[Date]])</f>
        <v>2025</v>
      </c>
      <c r="D46" s="157">
        <f>Table13[[#This Row],[Date]]-DAY(Table13[[#This Row],[Date]])+1</f>
        <v>45778</v>
      </c>
      <c r="E46" s="129">
        <f t="shared" ref="E46:E109" si="4">DAY(EOMONTH(A46,0))</f>
        <v>31</v>
      </c>
      <c r="F46" s="130">
        <f>IFERROR(_xlfn.XLOOKUP($A46,'Raw Data'!$G:$G,'Raw Data'!$AH:$AH),"")</f>
        <v>11.9</v>
      </c>
      <c r="G46" s="131">
        <f>IFERROR(_xlfn.XLOOKUP($A46,'Raw Data'!$G:$G,'Raw Data'!$S:$S)/1000,"")</f>
        <v>0</v>
      </c>
      <c r="H46" s="131"/>
      <c r="I46" s="131">
        <f>IFERROR(_xlfn.XLOOKUP($A46,'Raw Data'!$G:$G,'Raw Data'!$AF:$AF)/1000,"")</f>
        <v>5.75</v>
      </c>
      <c r="J46" s="131"/>
      <c r="K46" s="131">
        <f>IFERROR(_xlfn.XLOOKUP($A46,'Raw Data'!$G:$G,'Raw Data'!W:W),"")</f>
        <v>23</v>
      </c>
      <c r="L46" s="131">
        <f>IFERROR(_xlfn.XLOOKUP($A46,'Raw Data'!$G:$G,'Raw Data'!X:X),"")</f>
        <v>44</v>
      </c>
      <c r="M46" s="131">
        <f>IFERROR(_xlfn.XLOOKUP($A46,'Raw Data'!$G:$G,'Raw Data'!Y:Y),"")</f>
        <v>6</v>
      </c>
      <c r="N46" s="131">
        <f>IFERROR(_xlfn.XLOOKUP($A46,'Raw Data'!$G:$G,'Raw Data'!Z:Z),"")</f>
        <v>9</v>
      </c>
      <c r="O46" s="158">
        <f>IFERROR(1-SUMIF('Plant BD'!$H:$H,$A46,'Plant BD'!AC:AC)/$F46,"")</f>
        <v>1</v>
      </c>
      <c r="P46" s="158"/>
      <c r="Q46" s="159"/>
      <c r="R46" s="158">
        <f>IFERROR(1-SUMIF('Grid BD'!$H:$H,$A46,'Grid BD'!AB:AB)/$F46,"")</f>
        <v>1</v>
      </c>
      <c r="T46" s="159">
        <f>IFERROR(1-SUMIF(Tracker_BD!$H:$H,$A46,Tracker_BD!AI:AI)/$F46,"")</f>
        <v>0.9853303390321646</v>
      </c>
      <c r="U46" s="160">
        <f t="shared" si="1"/>
        <v>0.71523964979958643</v>
      </c>
      <c r="V46" s="160"/>
      <c r="W46" s="161">
        <f t="shared" si="2"/>
        <v>0.17135949943115089</v>
      </c>
      <c r="X46" s="156">
        <f>IFERROR(_xlfn.XLOOKUP($A46,'Raw Data'!$G:$G,'Raw Data'!$AB:$AB),"")</f>
        <v>48796</v>
      </c>
      <c r="Y46" s="156">
        <f>IFERROR(_xlfn.XLOOKUP($A46,'Raw Data'!$G:$G,'Raw Data'!AC:AC),"")</f>
        <v>48399.999999994179</v>
      </c>
      <c r="Z46" s="156">
        <f>IFERROR(_xlfn.XLOOKUP($A46,'Raw Data'!$G:$G,'Raw Data'!AD:AD),"")</f>
        <v>200.00000000004547</v>
      </c>
      <c r="AA46" s="156">
        <f>IFERROR(_xlfn.XLOOKUP($A46,'Raw Data'!$G:$G,'Raw Data'!AE:AE),"")</f>
        <v>48199.999999994136</v>
      </c>
      <c r="AB46" s="156">
        <f>IFERROR(_xlfn.XLOOKUP($A46,'Raw Data'!$G:$G,'Raw Data'!$H:$H),"")</f>
        <v>11.72</v>
      </c>
      <c r="AC46" s="162">
        <f>IFERROR(_xlfn.XLOOKUP($D46,'Modelling New'!$D:$D,'Modelling New'!$P:$P),"")</f>
        <v>7.6437019903225805</v>
      </c>
      <c r="AD46" s="156">
        <f>IFERROR(_xlfn.XLOOKUP($D46,'Modelling New'!$D:$D,'Modelling New'!$T:$T)*1000,"")</f>
        <v>65538.17192485639</v>
      </c>
      <c r="AE46" s="163">
        <f>IFERROR(_xlfn.XLOOKUP($D46,'Modelling New'!$D:$D,'Modelling New'!$O:$O),"")</f>
        <v>0.73158192177304548</v>
      </c>
      <c r="AF46" s="163">
        <f>IFERROR(_xlfn.XLOOKUP($D46,'Modelling New'!$D:$D,'Modelling New'!$W:$W),"")</f>
        <v>0.23299975798086028</v>
      </c>
      <c r="AG46" s="163">
        <f>IFERROR(_xlfn.XLOOKUP($D46,'Modelling New'!$D:$D,'Modelling New'!AE:AE),"")</f>
        <v>0.995</v>
      </c>
      <c r="AH46" s="163">
        <f>IFERROR(_xlfn.XLOOKUP($D46,'Modelling New'!$D:$D,'Modelling New'!AF:AF),"")</f>
        <v>0.98550000000000004</v>
      </c>
      <c r="AN46" s="164"/>
      <c r="AO46" s="161"/>
      <c r="AP46" s="161"/>
      <c r="AQ46" s="161"/>
      <c r="AR46" s="156">
        <f>IFERROR(_xlfn.XLOOKUP($D46,'Modelling New'!$D:$D,'Modelling New'!$N:$N),"")</f>
        <v>11.72</v>
      </c>
    </row>
    <row r="47" spans="1:44">
      <c r="A47" s="155">
        <f t="shared" si="3"/>
        <v>45790</v>
      </c>
      <c r="B47" s="156">
        <f>YEAR(Table13[[#This Row],[Date]])+IF(MONTH(Table13[[#This Row],[Date]])&gt;=4,1,0)</f>
        <v>2026</v>
      </c>
      <c r="C47" s="129">
        <f>YEAR(Table13[[#This Row],[Date]])</f>
        <v>2025</v>
      </c>
      <c r="D47" s="157">
        <f>Table13[[#This Row],[Date]]-DAY(Table13[[#This Row],[Date]])+1</f>
        <v>45778</v>
      </c>
      <c r="E47" s="129">
        <f t="shared" si="4"/>
        <v>31</v>
      </c>
      <c r="F47" s="130">
        <f>IFERROR(_xlfn.XLOOKUP($A47,'Raw Data'!$G:$G,'Raw Data'!$AH:$AH),"")</f>
        <v>11.866666666666665</v>
      </c>
      <c r="G47" s="131">
        <f>IFERROR(_xlfn.XLOOKUP($A47,'Raw Data'!$G:$G,'Raw Data'!$S:$S)/1000,"")</f>
        <v>0</v>
      </c>
      <c r="H47" s="131"/>
      <c r="I47" s="131">
        <f>IFERROR(_xlfn.XLOOKUP($A47,'Raw Data'!$G:$G,'Raw Data'!$AF:$AF)/1000,"")</f>
        <v>6.2619999999999996</v>
      </c>
      <c r="J47" s="131"/>
      <c r="K47" s="131">
        <f>IFERROR(_xlfn.XLOOKUP($A47,'Raw Data'!$G:$G,'Raw Data'!W:W),"")</f>
        <v>23</v>
      </c>
      <c r="L47" s="131">
        <f>IFERROR(_xlfn.XLOOKUP($A47,'Raw Data'!$G:$G,'Raw Data'!X:X),"")</f>
        <v>44</v>
      </c>
      <c r="M47" s="131">
        <f>IFERROR(_xlfn.XLOOKUP($A47,'Raw Data'!$G:$G,'Raw Data'!Y:Y),"")</f>
        <v>6</v>
      </c>
      <c r="N47" s="131">
        <f>IFERROR(_xlfn.XLOOKUP($A47,'Raw Data'!$G:$G,'Raw Data'!Z:Z),"")</f>
        <v>9</v>
      </c>
      <c r="O47" s="158">
        <f>IFERROR(1-SUMIF('Plant BD'!$H:$H,$A47,'Plant BD'!AC:AC)/$F47,"")</f>
        <v>1</v>
      </c>
      <c r="P47" s="158"/>
      <c r="Q47" s="159"/>
      <c r="R47" s="158">
        <f>IFERROR(1-SUMIF('Grid BD'!$H:$H,$A47,'Grid BD'!AB:AB)/$F47,"")</f>
        <v>0.5786516853932584</v>
      </c>
      <c r="T47" s="159">
        <f>IFERROR(1-SUMIF(Tracker_BD!$H:$H,$A47,Tracker_BD!AI:AI)/$F47,"")</f>
        <v>0.98547074777218135</v>
      </c>
      <c r="U47" s="160">
        <f t="shared" si="1"/>
        <v>0.54347257361434187</v>
      </c>
      <c r="V47" s="160"/>
      <c r="W47" s="161">
        <f t="shared" si="2"/>
        <v>0.14180105233220863</v>
      </c>
      <c r="X47" s="156">
        <f>IFERROR(_xlfn.XLOOKUP($A47,'Raw Data'!$G:$G,'Raw Data'!$AB:$AB),"")</f>
        <v>39449</v>
      </c>
      <c r="Y47" s="156">
        <f>IFERROR(_xlfn.XLOOKUP($A47,'Raw Data'!$G:$G,'Raw Data'!AC:AC),"")</f>
        <v>39885.800000003655</v>
      </c>
      <c r="Z47" s="156">
        <f>IFERROR(_xlfn.XLOOKUP($A47,'Raw Data'!$G:$G,'Raw Data'!AD:AD),"")</f>
        <v>0</v>
      </c>
      <c r="AA47" s="156">
        <f>IFERROR(_xlfn.XLOOKUP($A47,'Raw Data'!$G:$G,'Raw Data'!AE:AE),"")</f>
        <v>39885.800000003655</v>
      </c>
      <c r="AB47" s="156">
        <f>IFERROR(_xlfn.XLOOKUP($A47,'Raw Data'!$G:$G,'Raw Data'!$H:$H),"")</f>
        <v>11.72</v>
      </c>
      <c r="AC47" s="162">
        <f>IFERROR(_xlfn.XLOOKUP($D47,'Modelling New'!$D:$D,'Modelling New'!$P:$P),"")</f>
        <v>7.6437019903225805</v>
      </c>
      <c r="AD47" s="156">
        <f>IFERROR(_xlfn.XLOOKUP($D47,'Modelling New'!$D:$D,'Modelling New'!$T:$T)*1000,"")</f>
        <v>65538.17192485639</v>
      </c>
      <c r="AE47" s="163">
        <f>IFERROR(_xlfn.XLOOKUP($D47,'Modelling New'!$D:$D,'Modelling New'!$O:$O),"")</f>
        <v>0.73158192177304548</v>
      </c>
      <c r="AF47" s="163">
        <f>IFERROR(_xlfn.XLOOKUP($D47,'Modelling New'!$D:$D,'Modelling New'!$W:$W),"")</f>
        <v>0.23299975798086028</v>
      </c>
      <c r="AG47" s="163">
        <f>IFERROR(_xlfn.XLOOKUP($D47,'Modelling New'!$D:$D,'Modelling New'!AE:AE),"")</f>
        <v>0.995</v>
      </c>
      <c r="AH47" s="163">
        <f>IFERROR(_xlfn.XLOOKUP($D47,'Modelling New'!$D:$D,'Modelling New'!AF:AF),"")</f>
        <v>0.98550000000000004</v>
      </c>
      <c r="AN47" s="164"/>
      <c r="AO47" s="161"/>
      <c r="AP47" s="161"/>
      <c r="AQ47" s="161"/>
      <c r="AR47" s="156">
        <f>IFERROR(_xlfn.XLOOKUP($D47,'Modelling New'!$D:$D,'Modelling New'!$N:$N),"")</f>
        <v>11.72</v>
      </c>
    </row>
    <row r="48" spans="1:44">
      <c r="A48" s="155">
        <f t="shared" si="3"/>
        <v>45791</v>
      </c>
      <c r="B48" s="156">
        <f>YEAR(Table13[[#This Row],[Date]])+IF(MONTH(Table13[[#This Row],[Date]])&gt;=4,1,0)</f>
        <v>2026</v>
      </c>
      <c r="C48" s="129">
        <f>YEAR(Table13[[#This Row],[Date]])</f>
        <v>2025</v>
      </c>
      <c r="D48" s="157">
        <f>Table13[[#This Row],[Date]]-DAY(Table13[[#This Row],[Date]])+1</f>
        <v>45778</v>
      </c>
      <c r="E48" s="129">
        <f t="shared" si="4"/>
        <v>31</v>
      </c>
      <c r="F48" s="130">
        <f>IFERROR(_xlfn.XLOOKUP($A48,'Raw Data'!$G:$G,'Raw Data'!$AH:$AH),"")</f>
        <v>11.516666666666669</v>
      </c>
      <c r="G48" s="131">
        <f>IFERROR(_xlfn.XLOOKUP($A48,'Raw Data'!$G:$G,'Raw Data'!$S:$S)/1000,"")</f>
        <v>0</v>
      </c>
      <c r="H48" s="131"/>
      <c r="I48" s="131">
        <f>IFERROR(_xlfn.XLOOKUP($A48,'Raw Data'!$G:$G,'Raw Data'!$AF:$AF)/1000,"")</f>
        <v>6.5490000000000004</v>
      </c>
      <c r="J48" s="131"/>
      <c r="K48" s="131">
        <f>IFERROR(_xlfn.XLOOKUP($A48,'Raw Data'!$G:$G,'Raw Data'!W:W),"")</f>
        <v>23</v>
      </c>
      <c r="L48" s="131">
        <f>IFERROR(_xlfn.XLOOKUP($A48,'Raw Data'!$G:$G,'Raw Data'!X:X),"")</f>
        <v>43</v>
      </c>
      <c r="M48" s="131">
        <f>IFERROR(_xlfn.XLOOKUP($A48,'Raw Data'!$G:$G,'Raw Data'!Y:Y),"")</f>
        <v>5</v>
      </c>
      <c r="N48" s="131">
        <f>IFERROR(_xlfn.XLOOKUP($A48,'Raw Data'!$G:$G,'Raw Data'!Z:Z),"")</f>
        <v>11</v>
      </c>
      <c r="O48" s="158">
        <f>IFERROR(1-SUMIF('Plant BD'!$H:$H,$A48,'Plant BD'!AC:AC)/$F48,"")</f>
        <v>1</v>
      </c>
      <c r="P48" s="158"/>
      <c r="Q48" s="159"/>
      <c r="R48" s="158">
        <f>IFERROR(1-SUMIF('Grid BD'!$H:$H,$A48,'Grid BD'!AB:AB)/$F48,"")</f>
        <v>1</v>
      </c>
      <c r="T48" s="159">
        <f>IFERROR(1-SUMIF(Tracker_BD!$H:$H,$A48,Tracker_BD!AI:AI)/$F48,"")</f>
        <v>0.98486285077432345</v>
      </c>
      <c r="U48" s="160">
        <f t="shared" si="1"/>
        <v>0.70660294123017187</v>
      </c>
      <c r="V48" s="160"/>
      <c r="W48" s="161">
        <f t="shared" si="2"/>
        <v>0.19281427758818312</v>
      </c>
      <c r="X48" s="156">
        <f>IFERROR(_xlfn.XLOOKUP($A48,'Raw Data'!$G:$G,'Raw Data'!$AB:$AB),"")</f>
        <v>54465</v>
      </c>
      <c r="Y48" s="156">
        <f>IFERROR(_xlfn.XLOOKUP($A48,'Raw Data'!$G:$G,'Raw Data'!AC:AC),"")</f>
        <v>54423.800000004121</v>
      </c>
      <c r="Z48" s="156">
        <f>IFERROR(_xlfn.XLOOKUP($A48,'Raw Data'!$G:$G,'Raw Data'!AD:AD),"")</f>
        <v>188.99999999996453</v>
      </c>
      <c r="AA48" s="156">
        <f>IFERROR(_xlfn.XLOOKUP($A48,'Raw Data'!$G:$G,'Raw Data'!AE:AE),"")</f>
        <v>54234.800000004157</v>
      </c>
      <c r="AB48" s="156">
        <f>IFERROR(_xlfn.XLOOKUP($A48,'Raw Data'!$G:$G,'Raw Data'!$H:$H),"")</f>
        <v>11.72</v>
      </c>
      <c r="AC48" s="162">
        <f>IFERROR(_xlfn.XLOOKUP($D48,'Modelling New'!$D:$D,'Modelling New'!$P:$P),"")</f>
        <v>7.6437019903225805</v>
      </c>
      <c r="AD48" s="156">
        <f>IFERROR(_xlfn.XLOOKUP($D48,'Modelling New'!$D:$D,'Modelling New'!$T:$T)*1000,"")</f>
        <v>65538.17192485639</v>
      </c>
      <c r="AE48" s="163">
        <f>IFERROR(_xlfn.XLOOKUP($D48,'Modelling New'!$D:$D,'Modelling New'!$O:$O),"")</f>
        <v>0.73158192177304548</v>
      </c>
      <c r="AF48" s="163">
        <f>IFERROR(_xlfn.XLOOKUP($D48,'Modelling New'!$D:$D,'Modelling New'!$W:$W),"")</f>
        <v>0.23299975798086028</v>
      </c>
      <c r="AG48" s="163">
        <f>IFERROR(_xlfn.XLOOKUP($D48,'Modelling New'!$D:$D,'Modelling New'!AE:AE),"")</f>
        <v>0.995</v>
      </c>
      <c r="AH48" s="163">
        <f>IFERROR(_xlfn.XLOOKUP($D48,'Modelling New'!$D:$D,'Modelling New'!AF:AF),"")</f>
        <v>0.98550000000000004</v>
      </c>
      <c r="AN48" s="164"/>
      <c r="AO48" s="161"/>
      <c r="AP48" s="161"/>
      <c r="AQ48" s="161"/>
      <c r="AR48" s="156">
        <f>IFERROR(_xlfn.XLOOKUP($D48,'Modelling New'!$D:$D,'Modelling New'!$N:$N),"")</f>
        <v>11.72</v>
      </c>
    </row>
    <row r="49" spans="1:44">
      <c r="A49" s="155">
        <f t="shared" si="3"/>
        <v>45792</v>
      </c>
      <c r="B49" s="156">
        <f>YEAR(Table13[[#This Row],[Date]])+IF(MONTH(Table13[[#This Row],[Date]])&gt;=4,1,0)</f>
        <v>2026</v>
      </c>
      <c r="C49" s="129">
        <f>YEAR(Table13[[#This Row],[Date]])</f>
        <v>2025</v>
      </c>
      <c r="D49" s="157">
        <f>Table13[[#This Row],[Date]]-DAY(Table13[[#This Row],[Date]])+1</f>
        <v>45778</v>
      </c>
      <c r="E49" s="129">
        <f t="shared" si="4"/>
        <v>31</v>
      </c>
      <c r="F49" s="130">
        <f>IFERROR(_xlfn.XLOOKUP($A49,'Raw Data'!$G:$G,'Raw Data'!$AH:$AH),"")</f>
        <v>11.116666666666667</v>
      </c>
      <c r="G49" s="131">
        <f>IFERROR(_xlfn.XLOOKUP($A49,'Raw Data'!$G:$G,'Raw Data'!$S:$S)/1000,"")</f>
        <v>0</v>
      </c>
      <c r="H49" s="131"/>
      <c r="I49" s="131">
        <f>IFERROR(_xlfn.XLOOKUP($A49,'Raw Data'!$G:$G,'Raw Data'!$AF:$AF)/1000,"")</f>
        <v>4.4690000000000003</v>
      </c>
      <c r="J49" s="131"/>
      <c r="K49" s="131">
        <f>IFERROR(_xlfn.XLOOKUP($A49,'Raw Data'!$G:$G,'Raw Data'!W:W),"")</f>
        <v>23</v>
      </c>
      <c r="L49" s="131">
        <f>IFERROR(_xlfn.XLOOKUP($A49,'Raw Data'!$G:$G,'Raw Data'!X:X),"")</f>
        <v>43</v>
      </c>
      <c r="M49" s="131">
        <f>IFERROR(_xlfn.XLOOKUP($A49,'Raw Data'!$G:$G,'Raw Data'!Y:Y),"")</f>
        <v>7</v>
      </c>
      <c r="N49" s="131">
        <f>IFERROR(_xlfn.XLOOKUP($A49,'Raw Data'!$G:$G,'Raw Data'!Z:Z),"")</f>
        <v>11</v>
      </c>
      <c r="O49" s="158">
        <f>IFERROR(1-SUMIF('Plant BD'!$H:$H,$A49,'Plant BD'!AC:AC)/$F49,"")</f>
        <v>1</v>
      </c>
      <c r="P49" s="158"/>
      <c r="Q49" s="159"/>
      <c r="R49" s="158">
        <f>IFERROR(1-SUMIF('Grid BD'!$H:$H,$A49,'Grid BD'!AB:AB)/$F49,"")</f>
        <v>1</v>
      </c>
      <c r="T49" s="159">
        <f>IFERROR(1-SUMIF(Tracker_BD!$H:$H,$A49,Tracker_BD!AI:AI)/$F49,"")</f>
        <v>0.9859122163056403</v>
      </c>
      <c r="U49" s="160">
        <f t="shared" si="1"/>
        <v>0.747846178871859</v>
      </c>
      <c r="V49" s="160"/>
      <c r="W49" s="161">
        <f t="shared" si="2"/>
        <v>0.13925519055743074</v>
      </c>
      <c r="X49" s="156">
        <f>IFERROR(_xlfn.XLOOKUP($A49,'Raw Data'!$G:$G,'Raw Data'!$AB:$AB),"")</f>
        <v>39471</v>
      </c>
      <c r="Y49" s="156">
        <f>IFERROR(_xlfn.XLOOKUP($A49,'Raw Data'!$G:$G,'Raw Data'!AC:AC),"")</f>
        <v>39404.899999994086</v>
      </c>
      <c r="Z49" s="156">
        <f>IFERROR(_xlfn.XLOOKUP($A49,'Raw Data'!$G:$G,'Raw Data'!AD:AD),"")</f>
        <v>235.19999999996344</v>
      </c>
      <c r="AA49" s="156">
        <f>IFERROR(_xlfn.XLOOKUP($A49,'Raw Data'!$G:$G,'Raw Data'!AE:AE),"")</f>
        <v>39169.699999994125</v>
      </c>
      <c r="AB49" s="156">
        <f>IFERROR(_xlfn.XLOOKUP($A49,'Raw Data'!$G:$G,'Raw Data'!$H:$H),"")</f>
        <v>11.72</v>
      </c>
      <c r="AC49" s="162">
        <f>IFERROR(_xlfn.XLOOKUP($D49,'Modelling New'!$D:$D,'Modelling New'!$P:$P),"")</f>
        <v>7.6437019903225805</v>
      </c>
      <c r="AD49" s="156">
        <f>IFERROR(_xlfn.XLOOKUP($D49,'Modelling New'!$D:$D,'Modelling New'!$T:$T)*1000,"")</f>
        <v>65538.17192485639</v>
      </c>
      <c r="AE49" s="163">
        <f>IFERROR(_xlfn.XLOOKUP($D49,'Modelling New'!$D:$D,'Modelling New'!$O:$O),"")</f>
        <v>0.73158192177304548</v>
      </c>
      <c r="AF49" s="163">
        <f>IFERROR(_xlfn.XLOOKUP($D49,'Modelling New'!$D:$D,'Modelling New'!$W:$W),"")</f>
        <v>0.23299975798086028</v>
      </c>
      <c r="AG49" s="163">
        <f>IFERROR(_xlfn.XLOOKUP($D49,'Modelling New'!$D:$D,'Modelling New'!AE:AE),"")</f>
        <v>0.995</v>
      </c>
      <c r="AH49" s="163">
        <f>IFERROR(_xlfn.XLOOKUP($D49,'Modelling New'!$D:$D,'Modelling New'!AF:AF),"")</f>
        <v>0.98550000000000004</v>
      </c>
      <c r="AN49" s="164"/>
      <c r="AO49" s="161"/>
      <c r="AP49" s="161"/>
      <c r="AQ49" s="161"/>
      <c r="AR49" s="156">
        <f>IFERROR(_xlfn.XLOOKUP($D49,'Modelling New'!$D:$D,'Modelling New'!$N:$N),"")</f>
        <v>11.72</v>
      </c>
    </row>
    <row r="50" spans="1:44">
      <c r="A50" s="155">
        <f t="shared" si="3"/>
        <v>45793</v>
      </c>
      <c r="B50" s="156">
        <f>YEAR(Table13[[#This Row],[Date]])+IF(MONTH(Table13[[#This Row],[Date]])&gt;=4,1,0)</f>
        <v>2026</v>
      </c>
      <c r="C50" s="129">
        <f>YEAR(Table13[[#This Row],[Date]])</f>
        <v>2025</v>
      </c>
      <c r="D50" s="157">
        <f>Table13[[#This Row],[Date]]-DAY(Table13[[#This Row],[Date]])+1</f>
        <v>45778</v>
      </c>
      <c r="E50" s="129">
        <f t="shared" si="4"/>
        <v>31</v>
      </c>
      <c r="F50" s="130">
        <f>IFERROR(_xlfn.XLOOKUP($A50,'Raw Data'!$G:$G,'Raw Data'!$AH:$AH),"")</f>
        <v>12.5</v>
      </c>
      <c r="G50" s="131">
        <f>IFERROR(_xlfn.XLOOKUP($A50,'Raw Data'!$G:$G,'Raw Data'!$S:$S)/1000,"")</f>
        <v>0</v>
      </c>
      <c r="H50" s="131"/>
      <c r="I50" s="131">
        <f>IFERROR(_xlfn.XLOOKUP($A50,'Raw Data'!$G:$G,'Raw Data'!$AF:$AF)/1000,"")</f>
        <v>6.6369999999999996</v>
      </c>
      <c r="J50" s="131"/>
      <c r="K50" s="131">
        <f>IFERROR(_xlfn.XLOOKUP($A50,'Raw Data'!$G:$G,'Raw Data'!W:W),"")</f>
        <v>23</v>
      </c>
      <c r="L50" s="131">
        <f>IFERROR(_xlfn.XLOOKUP($A50,'Raw Data'!$G:$G,'Raw Data'!X:X),"")</f>
        <v>45</v>
      </c>
      <c r="M50" s="131">
        <f>IFERROR(_xlfn.XLOOKUP($A50,'Raw Data'!$G:$G,'Raw Data'!Y:Y),"")</f>
        <v>5</v>
      </c>
      <c r="N50" s="131">
        <f>IFERROR(_xlfn.XLOOKUP($A50,'Raw Data'!$G:$G,'Raw Data'!Z:Z),"")</f>
        <v>7</v>
      </c>
      <c r="O50" s="158">
        <f>IFERROR(1-SUMIF('Plant BD'!$H:$H,$A50,'Plant BD'!AC:AC)/$F50,"")</f>
        <v>1</v>
      </c>
      <c r="P50" s="158"/>
      <c r="Q50" s="159"/>
      <c r="R50" s="158">
        <f>IFERROR(1-SUMIF('Grid BD'!$H:$H,$A50,'Grid BD'!AB:AB)/$F50,"")</f>
        <v>0.97599999999999998</v>
      </c>
      <c r="T50" s="159">
        <f>IFERROR(1-SUMIF(Tracker_BD!$H:$H,$A50,Tracker_BD!AI:AI)/$F50,"")</f>
        <v>0.98595785440613026</v>
      </c>
      <c r="U50" s="160">
        <f t="shared" si="1"/>
        <v>0.69403298603705876</v>
      </c>
      <c r="V50" s="160"/>
      <c r="W50" s="161">
        <f t="shared" si="2"/>
        <v>0.19192903868033157</v>
      </c>
      <c r="X50" s="156">
        <f>IFERROR(_xlfn.XLOOKUP($A50,'Raw Data'!$G:$G,'Raw Data'!$AB:$AB),"")</f>
        <v>54066</v>
      </c>
      <c r="Y50" s="156">
        <f>IFERROR(_xlfn.XLOOKUP($A50,'Raw Data'!$G:$G,'Raw Data'!AC:AC),"")</f>
        <v>54164.600000003702</v>
      </c>
      <c r="Z50" s="156">
        <f>IFERROR(_xlfn.XLOOKUP($A50,'Raw Data'!$G:$G,'Raw Data'!AD:AD),"")</f>
        <v>178.80000000002383</v>
      </c>
      <c r="AA50" s="156">
        <f>IFERROR(_xlfn.XLOOKUP($A50,'Raw Data'!$G:$G,'Raw Data'!AE:AE),"")</f>
        <v>53985.800000003677</v>
      </c>
      <c r="AB50" s="156">
        <f>IFERROR(_xlfn.XLOOKUP($A50,'Raw Data'!$G:$G,'Raw Data'!$H:$H),"")</f>
        <v>11.72</v>
      </c>
      <c r="AC50" s="162">
        <f>IFERROR(_xlfn.XLOOKUP($D50,'Modelling New'!$D:$D,'Modelling New'!$P:$P),"")</f>
        <v>7.6437019903225805</v>
      </c>
      <c r="AD50" s="156">
        <f>IFERROR(_xlfn.XLOOKUP($D50,'Modelling New'!$D:$D,'Modelling New'!$T:$T)*1000,"")</f>
        <v>65538.17192485639</v>
      </c>
      <c r="AE50" s="163">
        <f>IFERROR(_xlfn.XLOOKUP($D50,'Modelling New'!$D:$D,'Modelling New'!$O:$O),"")</f>
        <v>0.73158192177304548</v>
      </c>
      <c r="AF50" s="163">
        <f>IFERROR(_xlfn.XLOOKUP($D50,'Modelling New'!$D:$D,'Modelling New'!$W:$W),"")</f>
        <v>0.23299975798086028</v>
      </c>
      <c r="AG50" s="163">
        <f>IFERROR(_xlfn.XLOOKUP($D50,'Modelling New'!$D:$D,'Modelling New'!AE:AE),"")</f>
        <v>0.995</v>
      </c>
      <c r="AH50" s="163">
        <f>IFERROR(_xlfn.XLOOKUP($D50,'Modelling New'!$D:$D,'Modelling New'!AF:AF),"")</f>
        <v>0.98550000000000004</v>
      </c>
      <c r="AN50" s="164"/>
      <c r="AO50" s="161"/>
      <c r="AP50" s="161"/>
      <c r="AQ50" s="161"/>
      <c r="AR50" s="156">
        <f>IFERROR(_xlfn.XLOOKUP($D50,'Modelling New'!$D:$D,'Modelling New'!$N:$N),"")</f>
        <v>11.72</v>
      </c>
    </row>
    <row r="51" spans="1:44">
      <c r="A51" s="155">
        <f t="shared" si="3"/>
        <v>45794</v>
      </c>
      <c r="B51" s="156">
        <f>YEAR(Table13[[#This Row],[Date]])+IF(MONTH(Table13[[#This Row],[Date]])&gt;=4,1,0)</f>
        <v>2026</v>
      </c>
      <c r="C51" s="129">
        <f>YEAR(Table13[[#This Row],[Date]])</f>
        <v>2025</v>
      </c>
      <c r="D51" s="157">
        <f>Table13[[#This Row],[Date]]-DAY(Table13[[#This Row],[Date]])+1</f>
        <v>45778</v>
      </c>
      <c r="E51" s="129">
        <f t="shared" si="4"/>
        <v>31</v>
      </c>
      <c r="F51" s="130">
        <f>IFERROR(_xlfn.XLOOKUP($A51,'Raw Data'!$G:$G,'Raw Data'!$AH:$AH),"")</f>
        <v>12.216666666666665</v>
      </c>
      <c r="G51" s="131">
        <f>IFERROR(_xlfn.XLOOKUP($A51,'Raw Data'!$G:$G,'Raw Data'!$S:$S)/1000,"")</f>
        <v>0</v>
      </c>
      <c r="H51" s="131"/>
      <c r="I51" s="131">
        <f>IFERROR(_xlfn.XLOOKUP($A51,'Raw Data'!$G:$G,'Raw Data'!$AF:$AF)/1000,"")</f>
        <v>6.8869999999999996</v>
      </c>
      <c r="J51" s="131"/>
      <c r="K51" s="131">
        <f>IFERROR(_xlfn.XLOOKUP($A51,'Raw Data'!$G:$G,'Raw Data'!W:W),"")</f>
        <v>23</v>
      </c>
      <c r="L51" s="131">
        <f>IFERROR(_xlfn.XLOOKUP($A51,'Raw Data'!$G:$G,'Raw Data'!X:X),"")</f>
        <v>46.6</v>
      </c>
      <c r="M51" s="131">
        <f>IFERROR(_xlfn.XLOOKUP($A51,'Raw Data'!$G:$G,'Raw Data'!Y:Y),"")</f>
        <v>2.4</v>
      </c>
      <c r="N51" s="131">
        <f>IFERROR(_xlfn.XLOOKUP($A51,'Raw Data'!$G:$G,'Raw Data'!Z:Z),"")</f>
        <v>6</v>
      </c>
      <c r="O51" s="158">
        <f>IFERROR(1-SUMIF('Plant BD'!$H:$H,$A51,'Plant BD'!AC:AC)/$F51,"")</f>
        <v>1</v>
      </c>
      <c r="P51" s="158"/>
      <c r="Q51" s="159"/>
      <c r="R51" s="158">
        <f>IFERROR(1-SUMIF('Grid BD'!$H:$H,$A51,'Grid BD'!AB:AB)/$F51,"")</f>
        <v>0.93315143246930421</v>
      </c>
      <c r="T51" s="159">
        <f>IFERROR(1-SUMIF(Tracker_BD!$H:$H,$A51,Tracker_BD!AI:AI)/$F51,"")</f>
        <v>0.98563218390804597</v>
      </c>
      <c r="U51" s="160">
        <f t="shared" si="1"/>
        <v>0.66476707612064401</v>
      </c>
      <c r="V51" s="160"/>
      <c r="W51" s="161">
        <f t="shared" si="2"/>
        <v>0.19076045221845309</v>
      </c>
      <c r="X51" s="156">
        <f>IFERROR(_xlfn.XLOOKUP($A51,'Raw Data'!$G:$G,'Raw Data'!$AB:$AB),"")</f>
        <v>53945</v>
      </c>
      <c r="Y51" s="156">
        <f>IFERROR(_xlfn.XLOOKUP($A51,'Raw Data'!$G:$G,'Raw Data'!AC:AC),"")</f>
        <v>53878.200000006473</v>
      </c>
      <c r="Z51" s="156">
        <f>IFERROR(_xlfn.XLOOKUP($A51,'Raw Data'!$G:$G,'Raw Data'!AD:AD),"")</f>
        <v>221.09999999997854</v>
      </c>
      <c r="AA51" s="156">
        <f>IFERROR(_xlfn.XLOOKUP($A51,'Raw Data'!$G:$G,'Raw Data'!AE:AE),"")</f>
        <v>53657.100000006496</v>
      </c>
      <c r="AB51" s="156">
        <f>IFERROR(_xlfn.XLOOKUP($A51,'Raw Data'!$G:$G,'Raw Data'!$H:$H),"")</f>
        <v>11.72</v>
      </c>
      <c r="AC51" s="162">
        <f>IFERROR(_xlfn.XLOOKUP($D51,'Modelling New'!$D:$D,'Modelling New'!$P:$P),"")</f>
        <v>7.6437019903225805</v>
      </c>
      <c r="AD51" s="156">
        <f>IFERROR(_xlfn.XLOOKUP($D51,'Modelling New'!$D:$D,'Modelling New'!$T:$T)*1000,"")</f>
        <v>65538.17192485639</v>
      </c>
      <c r="AE51" s="163">
        <f>IFERROR(_xlfn.XLOOKUP($D51,'Modelling New'!$D:$D,'Modelling New'!$O:$O),"")</f>
        <v>0.73158192177304548</v>
      </c>
      <c r="AF51" s="163">
        <f>IFERROR(_xlfn.XLOOKUP($D51,'Modelling New'!$D:$D,'Modelling New'!$W:$W),"")</f>
        <v>0.23299975798086028</v>
      </c>
      <c r="AG51" s="163">
        <f>IFERROR(_xlfn.XLOOKUP($D51,'Modelling New'!$D:$D,'Modelling New'!AE:AE),"")</f>
        <v>0.995</v>
      </c>
      <c r="AH51" s="163">
        <f>IFERROR(_xlfn.XLOOKUP($D51,'Modelling New'!$D:$D,'Modelling New'!AF:AF),"")</f>
        <v>0.98550000000000004</v>
      </c>
      <c r="AN51" s="164"/>
      <c r="AO51" s="161"/>
      <c r="AP51" s="161"/>
      <c r="AQ51" s="161"/>
      <c r="AR51" s="156">
        <f>IFERROR(_xlfn.XLOOKUP($D51,'Modelling New'!$D:$D,'Modelling New'!$N:$N),"")</f>
        <v>11.72</v>
      </c>
    </row>
    <row r="52" spans="1:44">
      <c r="A52" s="155">
        <f t="shared" si="3"/>
        <v>45795</v>
      </c>
      <c r="B52" s="156">
        <f>YEAR(Table13[[#This Row],[Date]])+IF(MONTH(Table13[[#This Row],[Date]])&gt;=4,1,0)</f>
        <v>2026</v>
      </c>
      <c r="C52" s="129">
        <f>YEAR(Table13[[#This Row],[Date]])</f>
        <v>2025</v>
      </c>
      <c r="D52" s="157">
        <f>Table13[[#This Row],[Date]]-DAY(Table13[[#This Row],[Date]])+1</f>
        <v>45778</v>
      </c>
      <c r="E52" s="129">
        <f t="shared" si="4"/>
        <v>31</v>
      </c>
      <c r="F52" s="130">
        <f>IFERROR(_xlfn.XLOOKUP($A52,'Raw Data'!$G:$G,'Raw Data'!$AH:$AH),"")</f>
        <v>12.5</v>
      </c>
      <c r="G52" s="131">
        <f>IFERROR(_xlfn.XLOOKUP($A52,'Raw Data'!$G:$G,'Raw Data'!$S:$S)/1000,"")</f>
        <v>0</v>
      </c>
      <c r="H52" s="131"/>
      <c r="I52" s="131">
        <f>IFERROR(_xlfn.XLOOKUP($A52,'Raw Data'!$G:$G,'Raw Data'!$AF:$AF)/1000,"")</f>
        <v>5.1920000000000002</v>
      </c>
      <c r="J52" s="131"/>
      <c r="K52" s="131">
        <f>IFERROR(_xlfn.XLOOKUP($A52,'Raw Data'!$G:$G,'Raw Data'!W:W),"")</f>
        <v>23</v>
      </c>
      <c r="L52" s="131">
        <f>IFERROR(_xlfn.XLOOKUP($A52,'Raw Data'!$G:$G,'Raw Data'!X:X),"")</f>
        <v>40</v>
      </c>
      <c r="M52" s="131">
        <f>IFERROR(_xlfn.XLOOKUP($A52,'Raw Data'!$G:$G,'Raw Data'!Y:Y),"")</f>
        <v>5</v>
      </c>
      <c r="N52" s="131">
        <f>IFERROR(_xlfn.XLOOKUP($A52,'Raw Data'!$G:$G,'Raw Data'!Z:Z),"")</f>
        <v>10</v>
      </c>
      <c r="O52" s="158">
        <f>IFERROR(1-SUMIF('Plant BD'!$H:$H,$A52,'Plant BD'!AC:AC)/$F52,"")</f>
        <v>1</v>
      </c>
      <c r="P52" s="158"/>
      <c r="Q52" s="159"/>
      <c r="R52" s="158">
        <f>IFERROR(1-SUMIF('Grid BD'!$H:$H,$A52,'Grid BD'!AB:AB)/$F52,"")</f>
        <v>1</v>
      </c>
      <c r="T52" s="159">
        <f>IFERROR(1-SUMIF(Tracker_BD!$H:$H,$A52,Tracker_BD!AI:AI)/$F52,"")</f>
        <v>0.98597701149425288</v>
      </c>
      <c r="U52" s="160">
        <f t="shared" si="1"/>
        <v>0.73463802279155865</v>
      </c>
      <c r="V52" s="160"/>
      <c r="W52" s="161">
        <f t="shared" si="2"/>
        <v>0.15892669226390715</v>
      </c>
      <c r="X52" s="156">
        <f>IFERROR(_xlfn.XLOOKUP($A52,'Raw Data'!$G:$G,'Raw Data'!$AB:$AB),"")</f>
        <v>44734</v>
      </c>
      <c r="Y52" s="156">
        <f>IFERROR(_xlfn.XLOOKUP($A52,'Raw Data'!$G:$G,'Raw Data'!AC:AC),"")</f>
        <v>44791.799999991781</v>
      </c>
      <c r="Z52" s="156">
        <f>IFERROR(_xlfn.XLOOKUP($A52,'Raw Data'!$G:$G,'Raw Data'!AD:AD),"")</f>
        <v>88.899999999966894</v>
      </c>
      <c r="AA52" s="156">
        <f>IFERROR(_xlfn.XLOOKUP($A52,'Raw Data'!$G:$G,'Raw Data'!AE:AE),"")</f>
        <v>44702.899999991816</v>
      </c>
      <c r="AB52" s="156">
        <f>IFERROR(_xlfn.XLOOKUP($A52,'Raw Data'!$G:$G,'Raw Data'!$H:$H),"")</f>
        <v>11.72</v>
      </c>
      <c r="AC52" s="162">
        <f>IFERROR(_xlfn.XLOOKUP($D52,'Modelling New'!$D:$D,'Modelling New'!$P:$P),"")</f>
        <v>7.6437019903225805</v>
      </c>
      <c r="AD52" s="156">
        <f>IFERROR(_xlfn.XLOOKUP($D52,'Modelling New'!$D:$D,'Modelling New'!$T:$T)*1000,"")</f>
        <v>65538.17192485639</v>
      </c>
      <c r="AE52" s="163">
        <f>IFERROR(_xlfn.XLOOKUP($D52,'Modelling New'!$D:$D,'Modelling New'!$O:$O),"")</f>
        <v>0.73158192177304548</v>
      </c>
      <c r="AF52" s="163">
        <f>IFERROR(_xlfn.XLOOKUP($D52,'Modelling New'!$D:$D,'Modelling New'!$W:$W),"")</f>
        <v>0.23299975798086028</v>
      </c>
      <c r="AG52" s="163">
        <f>IFERROR(_xlfn.XLOOKUP($D52,'Modelling New'!$D:$D,'Modelling New'!AE:AE),"")</f>
        <v>0.995</v>
      </c>
      <c r="AH52" s="163">
        <f>IFERROR(_xlfn.XLOOKUP($D52,'Modelling New'!$D:$D,'Modelling New'!AF:AF),"")</f>
        <v>0.98550000000000004</v>
      </c>
      <c r="AN52" s="164"/>
      <c r="AO52" s="161"/>
      <c r="AP52" s="161"/>
      <c r="AQ52" s="161"/>
      <c r="AR52" s="156">
        <f>IFERROR(_xlfn.XLOOKUP($D52,'Modelling New'!$D:$D,'Modelling New'!$N:$N),"")</f>
        <v>11.72</v>
      </c>
    </row>
    <row r="53" spans="1:44">
      <c r="A53" s="155">
        <f t="shared" si="3"/>
        <v>45796</v>
      </c>
      <c r="B53" s="156">
        <f>YEAR(Table13[[#This Row],[Date]])+IF(MONTH(Table13[[#This Row],[Date]])&gt;=4,1,0)</f>
        <v>2026</v>
      </c>
      <c r="C53" s="129">
        <f>YEAR(Table13[[#This Row],[Date]])</f>
        <v>2025</v>
      </c>
      <c r="D53" s="157">
        <f>Table13[[#This Row],[Date]]-DAY(Table13[[#This Row],[Date]])+1</f>
        <v>45778</v>
      </c>
      <c r="E53" s="129">
        <f t="shared" si="4"/>
        <v>31</v>
      </c>
      <c r="F53" s="130">
        <f>IFERROR(_xlfn.XLOOKUP($A53,'Raw Data'!$G:$G,'Raw Data'!$AH:$AH),"")</f>
        <v>12.450000000000001</v>
      </c>
      <c r="G53" s="131">
        <f>IFERROR(_xlfn.XLOOKUP($A53,'Raw Data'!$G:$G,'Raw Data'!$S:$S)/1000,"")</f>
        <v>0</v>
      </c>
      <c r="H53" s="131"/>
      <c r="I53" s="131">
        <f>IFERROR(_xlfn.XLOOKUP($A53,'Raw Data'!$G:$G,'Raw Data'!$AF:$AF)/1000,"")</f>
        <v>4.7190000000000003</v>
      </c>
      <c r="J53" s="131"/>
      <c r="K53" s="131">
        <f>IFERROR(_xlfn.XLOOKUP($A53,'Raw Data'!$G:$G,'Raw Data'!W:W),"")</f>
        <v>23</v>
      </c>
      <c r="L53" s="131">
        <f>IFERROR(_xlfn.XLOOKUP($A53,'Raw Data'!$G:$G,'Raw Data'!X:X),"")</f>
        <v>42</v>
      </c>
      <c r="M53" s="131">
        <f>IFERROR(_xlfn.XLOOKUP($A53,'Raw Data'!$G:$G,'Raw Data'!Y:Y),"")</f>
        <v>5</v>
      </c>
      <c r="N53" s="131">
        <f>IFERROR(_xlfn.XLOOKUP($A53,'Raw Data'!$G:$G,'Raw Data'!Z:Z),"")</f>
        <v>7</v>
      </c>
      <c r="O53" s="158">
        <f>IFERROR(1-SUMIF('Plant BD'!$H:$H,$A53,'Plant BD'!AC:AC)/$F53,"")</f>
        <v>1</v>
      </c>
      <c r="P53" s="158"/>
      <c r="Q53" s="159"/>
      <c r="R53" s="158">
        <f>IFERROR(1-SUMIF('Grid BD'!$H:$H,$A53,'Grid BD'!AB:AB)/$F53,"")</f>
        <v>0.68005354752342706</v>
      </c>
      <c r="T53" s="159">
        <f>IFERROR(1-SUMIF(Tracker_BD!$H:$H,$A53,Tracker_BD!AI:AI)/$F53,"")</f>
        <v>0.98165997322623832</v>
      </c>
      <c r="U53" s="160">
        <f t="shared" si="1"/>
        <v>0.48821769811534443</v>
      </c>
      <c r="V53" s="160"/>
      <c r="W53" s="161">
        <f t="shared" si="2"/>
        <v>9.599580489192959E-2</v>
      </c>
      <c r="X53" s="156">
        <f>IFERROR(_xlfn.XLOOKUP($A53,'Raw Data'!$G:$G,'Raw Data'!$AB:$AB),"")</f>
        <v>27131</v>
      </c>
      <c r="Y53" s="156">
        <f>IFERROR(_xlfn.XLOOKUP($A53,'Raw Data'!$G:$G,'Raw Data'!AC:AC),"")</f>
        <v>27050.900000002002</v>
      </c>
      <c r="Z53" s="156">
        <f>IFERROR(_xlfn.XLOOKUP($A53,'Raw Data'!$G:$G,'Raw Data'!AD:AD),"")</f>
        <v>49.200000000041655</v>
      </c>
      <c r="AA53" s="156">
        <f>IFERROR(_xlfn.XLOOKUP($A53,'Raw Data'!$G:$G,'Raw Data'!AE:AE),"")</f>
        <v>27001.700000001962</v>
      </c>
      <c r="AB53" s="156">
        <f>IFERROR(_xlfn.XLOOKUP($A53,'Raw Data'!$G:$G,'Raw Data'!$H:$H),"")</f>
        <v>11.72</v>
      </c>
      <c r="AC53" s="162">
        <f>IFERROR(_xlfn.XLOOKUP($D53,'Modelling New'!$D:$D,'Modelling New'!$P:$P),"")</f>
        <v>7.6437019903225805</v>
      </c>
      <c r="AD53" s="156">
        <f>IFERROR(_xlfn.XLOOKUP($D53,'Modelling New'!$D:$D,'Modelling New'!$T:$T)*1000,"")</f>
        <v>65538.17192485639</v>
      </c>
      <c r="AE53" s="163">
        <f>IFERROR(_xlfn.XLOOKUP($D53,'Modelling New'!$D:$D,'Modelling New'!$O:$O),"")</f>
        <v>0.73158192177304548</v>
      </c>
      <c r="AF53" s="163">
        <f>IFERROR(_xlfn.XLOOKUP($D53,'Modelling New'!$D:$D,'Modelling New'!$W:$W),"")</f>
        <v>0.23299975798086028</v>
      </c>
      <c r="AG53" s="163">
        <f>IFERROR(_xlfn.XLOOKUP($D53,'Modelling New'!$D:$D,'Modelling New'!AE:AE),"")</f>
        <v>0.995</v>
      </c>
      <c r="AH53" s="163">
        <f>IFERROR(_xlfn.XLOOKUP($D53,'Modelling New'!$D:$D,'Modelling New'!AF:AF),"")</f>
        <v>0.98550000000000004</v>
      </c>
      <c r="AN53" s="164"/>
      <c r="AO53" s="161"/>
      <c r="AP53" s="161"/>
      <c r="AQ53" s="161"/>
      <c r="AR53" s="156">
        <f>IFERROR(_xlfn.XLOOKUP($D53,'Modelling New'!$D:$D,'Modelling New'!$N:$N),"")</f>
        <v>11.72</v>
      </c>
    </row>
    <row r="54" spans="1:44">
      <c r="A54" s="155">
        <f t="shared" si="3"/>
        <v>45797</v>
      </c>
      <c r="B54" s="156">
        <f>YEAR(Table13[[#This Row],[Date]])+IF(MONTH(Table13[[#This Row],[Date]])&gt;=4,1,0)</f>
        <v>2026</v>
      </c>
      <c r="C54" s="129">
        <f>YEAR(Table13[[#This Row],[Date]])</f>
        <v>2025</v>
      </c>
      <c r="D54" s="157">
        <f>Table13[[#This Row],[Date]]-DAY(Table13[[#This Row],[Date]])+1</f>
        <v>45778</v>
      </c>
      <c r="E54" s="129">
        <f t="shared" si="4"/>
        <v>31</v>
      </c>
      <c r="F54" s="130">
        <f>IFERROR(_xlfn.XLOOKUP($A54,'Raw Data'!$G:$G,'Raw Data'!$AH:$AH),"")</f>
        <v>12.416666666666664</v>
      </c>
      <c r="G54" s="131">
        <f>IFERROR(_xlfn.XLOOKUP($A54,'Raw Data'!$G:$G,'Raw Data'!$S:$S)/1000,"")</f>
        <v>0</v>
      </c>
      <c r="H54" s="131"/>
      <c r="I54" s="131">
        <f>IFERROR(_xlfn.XLOOKUP($A54,'Raw Data'!$G:$G,'Raw Data'!$AF:$AF)/1000,"")</f>
        <v>4.5289999999999999</v>
      </c>
      <c r="J54" s="131"/>
      <c r="K54" s="131">
        <f>IFERROR(_xlfn.XLOOKUP($A54,'Raw Data'!$G:$G,'Raw Data'!W:W),"")</f>
        <v>23</v>
      </c>
      <c r="L54" s="131">
        <f>IFERROR(_xlfn.XLOOKUP($A54,'Raw Data'!$G:$G,'Raw Data'!X:X),"")</f>
        <v>38</v>
      </c>
      <c r="M54" s="131">
        <f>IFERROR(_xlfn.XLOOKUP($A54,'Raw Data'!$G:$G,'Raw Data'!Y:Y),"")</f>
        <v>5</v>
      </c>
      <c r="N54" s="131">
        <f>IFERROR(_xlfn.XLOOKUP($A54,'Raw Data'!$G:$G,'Raw Data'!Z:Z),"")</f>
        <v>10</v>
      </c>
      <c r="O54" s="158">
        <f>IFERROR(1-SUMIF('Plant BD'!$H:$H,$A54,'Plant BD'!AC:AC)/$F54,"")</f>
        <v>1</v>
      </c>
      <c r="P54" s="158"/>
      <c r="Q54" s="159"/>
      <c r="R54" s="158">
        <f>IFERROR(1-SUMIF('Grid BD'!$H:$H,$A54,'Grid BD'!AB:AB)/$F54,"")</f>
        <v>1</v>
      </c>
      <c r="T54" s="159">
        <f>IFERROR(1-SUMIF(Tracker_BD!$H:$H,$A54,Tracker_BD!AI:AI)/$F54,"")</f>
        <v>0.98295302013422825</v>
      </c>
      <c r="U54" s="160">
        <f t="shared" si="1"/>
        <v>0.73530309412911177</v>
      </c>
      <c r="V54" s="160"/>
      <c r="W54" s="161">
        <f t="shared" si="2"/>
        <v>0.13875782138794776</v>
      </c>
      <c r="X54" s="156">
        <f>IFERROR(_xlfn.XLOOKUP($A54,'Raw Data'!$G:$G,'Raw Data'!$AB:$AB),"")</f>
        <v>39277</v>
      </c>
      <c r="Y54" s="156">
        <f>IFERROR(_xlfn.XLOOKUP($A54,'Raw Data'!$G:$G,'Raw Data'!AC:AC),"")</f>
        <v>39209.600000001956</v>
      </c>
      <c r="Z54" s="156">
        <f>IFERROR(_xlfn.XLOOKUP($A54,'Raw Data'!$G:$G,'Raw Data'!AD:AD),"")</f>
        <v>179.80000000000018</v>
      </c>
      <c r="AA54" s="156">
        <f>IFERROR(_xlfn.XLOOKUP($A54,'Raw Data'!$G:$G,'Raw Data'!AE:AE),"")</f>
        <v>39029.800000001953</v>
      </c>
      <c r="AB54" s="156">
        <f>IFERROR(_xlfn.XLOOKUP($A54,'Raw Data'!$G:$G,'Raw Data'!$H:$H),"")</f>
        <v>11.72</v>
      </c>
      <c r="AC54" s="162">
        <f>IFERROR(_xlfn.XLOOKUP($D54,'Modelling New'!$D:$D,'Modelling New'!$P:$P),"")</f>
        <v>7.6437019903225805</v>
      </c>
      <c r="AD54" s="156">
        <f>IFERROR(_xlfn.XLOOKUP($D54,'Modelling New'!$D:$D,'Modelling New'!$T:$T)*1000,"")</f>
        <v>65538.17192485639</v>
      </c>
      <c r="AE54" s="163">
        <f>IFERROR(_xlfn.XLOOKUP($D54,'Modelling New'!$D:$D,'Modelling New'!$O:$O),"")</f>
        <v>0.73158192177304548</v>
      </c>
      <c r="AF54" s="163">
        <f>IFERROR(_xlfn.XLOOKUP($D54,'Modelling New'!$D:$D,'Modelling New'!$W:$W),"")</f>
        <v>0.23299975798086028</v>
      </c>
      <c r="AG54" s="163">
        <f>IFERROR(_xlfn.XLOOKUP($D54,'Modelling New'!$D:$D,'Modelling New'!AE:AE),"")</f>
        <v>0.995</v>
      </c>
      <c r="AH54" s="163">
        <f>IFERROR(_xlfn.XLOOKUP($D54,'Modelling New'!$D:$D,'Modelling New'!AF:AF),"")</f>
        <v>0.98550000000000004</v>
      </c>
      <c r="AN54" s="164"/>
      <c r="AO54" s="161"/>
      <c r="AP54" s="161"/>
      <c r="AQ54" s="161"/>
      <c r="AR54" s="156">
        <f>IFERROR(_xlfn.XLOOKUP($D54,'Modelling New'!$D:$D,'Modelling New'!$N:$N),"")</f>
        <v>11.72</v>
      </c>
    </row>
    <row r="55" spans="1:44">
      <c r="A55" s="155">
        <f t="shared" si="3"/>
        <v>45798</v>
      </c>
      <c r="B55" s="156">
        <f>YEAR(Table13[[#This Row],[Date]])+IF(MONTH(Table13[[#This Row],[Date]])&gt;=4,1,0)</f>
        <v>2026</v>
      </c>
      <c r="C55" s="129">
        <f>YEAR(Table13[[#This Row],[Date]])</f>
        <v>2025</v>
      </c>
      <c r="D55" s="157">
        <f>Table13[[#This Row],[Date]]-DAY(Table13[[#This Row],[Date]])+1</f>
        <v>45778</v>
      </c>
      <c r="E55" s="129">
        <f t="shared" si="4"/>
        <v>31</v>
      </c>
      <c r="F55" s="130">
        <f>IFERROR(_xlfn.XLOOKUP($A55,'Raw Data'!$G:$G,'Raw Data'!$AH:$AH),"")</f>
        <v>9.5666666666666664</v>
      </c>
      <c r="G55" s="131">
        <f>IFERROR(_xlfn.XLOOKUP($A55,'Raw Data'!$G:$G,'Raw Data'!$S:$S)/1000,"")</f>
        <v>0</v>
      </c>
      <c r="H55" s="131"/>
      <c r="I55" s="131">
        <f>IFERROR(_xlfn.XLOOKUP($A55,'Raw Data'!$G:$G,'Raw Data'!$AF:$AF)/1000,"")</f>
        <v>3.194</v>
      </c>
      <c r="J55" s="131"/>
      <c r="K55" s="131">
        <f>IFERROR(_xlfn.XLOOKUP($A55,'Raw Data'!$G:$G,'Raw Data'!W:W),"")</f>
        <v>23</v>
      </c>
      <c r="L55" s="131">
        <f>IFERROR(_xlfn.XLOOKUP($A55,'Raw Data'!$G:$G,'Raw Data'!X:X),"")</f>
        <v>36</v>
      </c>
      <c r="M55" s="131">
        <f>IFERROR(_xlfn.XLOOKUP($A55,'Raw Data'!$G:$G,'Raw Data'!Y:Y),"")</f>
        <v>2</v>
      </c>
      <c r="N55" s="131">
        <f>IFERROR(_xlfn.XLOOKUP($A55,'Raw Data'!$G:$G,'Raw Data'!Z:Z),"")</f>
        <v>6</v>
      </c>
      <c r="O55" s="158">
        <f>IFERROR(1-SUMIF('Plant BD'!$H:$H,$A55,'Plant BD'!AC:AC)/$F55,"")</f>
        <v>1</v>
      </c>
      <c r="P55" s="158"/>
      <c r="Q55" s="159"/>
      <c r="R55" s="158">
        <f>IFERROR(1-SUMIF('Grid BD'!$H:$H,$A55,'Grid BD'!AB:AB)/$F55,"")</f>
        <v>0.8797909407665504</v>
      </c>
      <c r="T55" s="159">
        <f>IFERROR(1-SUMIF(Tracker_BD!$H:$H,$A55,Tracker_BD!AI:AI)/$F55,"")</f>
        <v>0.97570887900997239</v>
      </c>
      <c r="U55" s="160">
        <f t="shared" si="1"/>
        <v>0.66587629108339064</v>
      </c>
      <c r="V55" s="160"/>
      <c r="W55" s="161">
        <f t="shared" si="2"/>
        <v>8.8617036405014546E-2</v>
      </c>
      <c r="X55" s="156">
        <f>IFERROR(_xlfn.XLOOKUP($A55,'Raw Data'!$G:$G,'Raw Data'!$AB:$AB),"")</f>
        <v>25034</v>
      </c>
      <c r="Y55" s="156">
        <f>IFERROR(_xlfn.XLOOKUP($A55,'Raw Data'!$G:$G,'Raw Data'!AC:AC),"")</f>
        <v>25007.100000002538</v>
      </c>
      <c r="Z55" s="156">
        <f>IFERROR(_xlfn.XLOOKUP($A55,'Raw Data'!$G:$G,'Raw Data'!AD:AD),"")</f>
        <v>80.900000000042382</v>
      </c>
      <c r="AA55" s="156">
        <f>IFERROR(_xlfn.XLOOKUP($A55,'Raw Data'!$G:$G,'Raw Data'!AE:AE),"")</f>
        <v>24926.200000002496</v>
      </c>
      <c r="AB55" s="156">
        <f>IFERROR(_xlfn.XLOOKUP($A55,'Raw Data'!$G:$G,'Raw Data'!$H:$H),"")</f>
        <v>11.72</v>
      </c>
      <c r="AC55" s="162">
        <f>IFERROR(_xlfn.XLOOKUP($D55,'Modelling New'!$D:$D,'Modelling New'!$P:$P),"")</f>
        <v>7.6437019903225805</v>
      </c>
      <c r="AD55" s="156">
        <f>IFERROR(_xlfn.XLOOKUP($D55,'Modelling New'!$D:$D,'Modelling New'!$T:$T)*1000,"")</f>
        <v>65538.17192485639</v>
      </c>
      <c r="AE55" s="163">
        <f>IFERROR(_xlfn.XLOOKUP($D55,'Modelling New'!$D:$D,'Modelling New'!$O:$O),"")</f>
        <v>0.73158192177304548</v>
      </c>
      <c r="AF55" s="163">
        <f>IFERROR(_xlfn.XLOOKUP($D55,'Modelling New'!$D:$D,'Modelling New'!$W:$W),"")</f>
        <v>0.23299975798086028</v>
      </c>
      <c r="AG55" s="163">
        <f>IFERROR(_xlfn.XLOOKUP($D55,'Modelling New'!$D:$D,'Modelling New'!AE:AE),"")</f>
        <v>0.995</v>
      </c>
      <c r="AH55" s="163">
        <f>IFERROR(_xlfn.XLOOKUP($D55,'Modelling New'!$D:$D,'Modelling New'!AF:AF),"")</f>
        <v>0.98550000000000004</v>
      </c>
      <c r="AN55" s="164"/>
      <c r="AO55" s="161"/>
      <c r="AP55" s="161"/>
      <c r="AQ55" s="161"/>
      <c r="AR55" s="156">
        <f>IFERROR(_xlfn.XLOOKUP($D55,'Modelling New'!$D:$D,'Modelling New'!$N:$N),"")</f>
        <v>11.72</v>
      </c>
    </row>
    <row r="56" spans="1:44">
      <c r="A56" s="155">
        <f t="shared" si="3"/>
        <v>45799</v>
      </c>
      <c r="B56" s="156">
        <f>YEAR(Table13[[#This Row],[Date]])+IF(MONTH(Table13[[#This Row],[Date]])&gt;=4,1,0)</f>
        <v>2026</v>
      </c>
      <c r="C56" s="129">
        <f>YEAR(Table13[[#This Row],[Date]])</f>
        <v>2025</v>
      </c>
      <c r="D56" s="157">
        <f>Table13[[#This Row],[Date]]-DAY(Table13[[#This Row],[Date]])+1</f>
        <v>45778</v>
      </c>
      <c r="E56" s="129">
        <f t="shared" si="4"/>
        <v>31</v>
      </c>
      <c r="F56" s="130">
        <f>IFERROR(_xlfn.XLOOKUP($A56,'Raw Data'!$G:$G,'Raw Data'!$AH:$AH),"")</f>
        <v>10.7</v>
      </c>
      <c r="G56" s="131">
        <f>IFERROR(_xlfn.XLOOKUP($A56,'Raw Data'!$G:$G,'Raw Data'!$S:$S)/1000,"")</f>
        <v>0</v>
      </c>
      <c r="H56" s="131"/>
      <c r="I56" s="131">
        <f>IFERROR(_xlfn.XLOOKUP($A56,'Raw Data'!$G:$G,'Raw Data'!$AF:$AF)/1000,"")</f>
        <v>5.7850000000000001</v>
      </c>
      <c r="J56" s="131"/>
      <c r="K56" s="131">
        <f>IFERROR(_xlfn.XLOOKUP($A56,'Raw Data'!$G:$G,'Raw Data'!W:W),"")</f>
        <v>23</v>
      </c>
      <c r="L56" s="131">
        <f>IFERROR(_xlfn.XLOOKUP($A56,'Raw Data'!$G:$G,'Raw Data'!X:X),"")</f>
        <v>44</v>
      </c>
      <c r="M56" s="131">
        <f>IFERROR(_xlfn.XLOOKUP($A56,'Raw Data'!$G:$G,'Raw Data'!Y:Y),"")</f>
        <v>2</v>
      </c>
      <c r="N56" s="131">
        <f>IFERROR(_xlfn.XLOOKUP($A56,'Raw Data'!$G:$G,'Raw Data'!Z:Z),"")</f>
        <v>7</v>
      </c>
      <c r="O56" s="158">
        <f>IFERROR(1-SUMIF('Plant BD'!$H:$H,$A56,'Plant BD'!AC:AC)/$F56,"")</f>
        <v>0.96618794227981841</v>
      </c>
      <c r="P56" s="158"/>
      <c r="Q56" s="159"/>
      <c r="R56" s="158">
        <f>IFERROR(1-SUMIF('Grid BD'!$H:$H,$A56,'Grid BD'!AB:AB)/$F56,"")</f>
        <v>0.96573208722741422</v>
      </c>
      <c r="T56" s="159">
        <f>IFERROR(1-SUMIF(Tracker_BD!$H:$H,$A56,Tracker_BD!AI:AI)/$F56,"")</f>
        <v>0.98303075876392021</v>
      </c>
      <c r="U56" s="160">
        <f t="shared" si="1"/>
        <v>0.67696555467374642</v>
      </c>
      <c r="V56" s="160"/>
      <c r="W56" s="161">
        <f t="shared" si="2"/>
        <v>0.16317690557448425</v>
      </c>
      <c r="X56" s="156">
        <f>IFERROR(_xlfn.XLOOKUP($A56,'Raw Data'!$G:$G,'Raw Data'!$AB:$AB),"")</f>
        <v>46154</v>
      </c>
      <c r="Y56" s="156">
        <f>IFERROR(_xlfn.XLOOKUP($A56,'Raw Data'!$G:$G,'Raw Data'!AC:AC),"")</f>
        <v>46085.899999990943</v>
      </c>
      <c r="Z56" s="156">
        <f>IFERROR(_xlfn.XLOOKUP($A56,'Raw Data'!$G:$G,'Raw Data'!AD:AD),"")</f>
        <v>187.5</v>
      </c>
      <c r="AA56" s="156">
        <f>IFERROR(_xlfn.XLOOKUP($A56,'Raw Data'!$G:$G,'Raw Data'!AE:AE),"")</f>
        <v>45898.399999990943</v>
      </c>
      <c r="AB56" s="156">
        <f>IFERROR(_xlfn.XLOOKUP($A56,'Raw Data'!$G:$G,'Raw Data'!$H:$H),"")</f>
        <v>11.72</v>
      </c>
      <c r="AC56" s="162">
        <f>IFERROR(_xlfn.XLOOKUP($D56,'Modelling New'!$D:$D,'Modelling New'!$P:$P),"")</f>
        <v>7.6437019903225805</v>
      </c>
      <c r="AD56" s="156">
        <f>IFERROR(_xlfn.XLOOKUP($D56,'Modelling New'!$D:$D,'Modelling New'!$T:$T)*1000,"")</f>
        <v>65538.17192485639</v>
      </c>
      <c r="AE56" s="163">
        <f>IFERROR(_xlfn.XLOOKUP($D56,'Modelling New'!$D:$D,'Modelling New'!$O:$O),"")</f>
        <v>0.73158192177304548</v>
      </c>
      <c r="AF56" s="163">
        <f>IFERROR(_xlfn.XLOOKUP($D56,'Modelling New'!$D:$D,'Modelling New'!$W:$W),"")</f>
        <v>0.23299975798086028</v>
      </c>
      <c r="AG56" s="163">
        <f>IFERROR(_xlfn.XLOOKUP($D56,'Modelling New'!$D:$D,'Modelling New'!AE:AE),"")</f>
        <v>0.995</v>
      </c>
      <c r="AH56" s="163">
        <f>IFERROR(_xlfn.XLOOKUP($D56,'Modelling New'!$D:$D,'Modelling New'!AF:AF),"")</f>
        <v>0.98550000000000004</v>
      </c>
      <c r="AN56" s="164"/>
      <c r="AO56" s="161"/>
      <c r="AP56" s="161"/>
      <c r="AQ56" s="161"/>
      <c r="AR56" s="156">
        <f>IFERROR(_xlfn.XLOOKUP($D56,'Modelling New'!$D:$D,'Modelling New'!$N:$N),"")</f>
        <v>11.72</v>
      </c>
    </row>
    <row r="57" spans="1:44">
      <c r="A57" s="155">
        <f t="shared" si="3"/>
        <v>45800</v>
      </c>
      <c r="B57" s="156">
        <f>YEAR(Table13[[#This Row],[Date]])+IF(MONTH(Table13[[#This Row],[Date]])&gt;=4,1,0)</f>
        <v>2026</v>
      </c>
      <c r="C57" s="129">
        <f>YEAR(Table13[[#This Row],[Date]])</f>
        <v>2025</v>
      </c>
      <c r="D57" s="157">
        <f>Table13[[#This Row],[Date]]-DAY(Table13[[#This Row],[Date]])+1</f>
        <v>45778</v>
      </c>
      <c r="E57" s="129">
        <f t="shared" si="4"/>
        <v>31</v>
      </c>
      <c r="F57" s="130">
        <f>IFERROR(_xlfn.XLOOKUP($A57,'Raw Data'!$G:$G,'Raw Data'!$AH:$AH),"")</f>
        <v>12.616666666666667</v>
      </c>
      <c r="G57" s="131">
        <f>IFERROR(_xlfn.XLOOKUP($A57,'Raw Data'!$G:$G,'Raw Data'!$S:$S)/1000,"")</f>
        <v>0</v>
      </c>
      <c r="H57" s="131"/>
      <c r="I57" s="131">
        <f>IFERROR(_xlfn.XLOOKUP($A57,'Raw Data'!$G:$G,'Raw Data'!$AF:$AF)/1000,"")</f>
        <v>5.835</v>
      </c>
      <c r="J57" s="131"/>
      <c r="K57" s="131">
        <f>IFERROR(_xlfn.XLOOKUP($A57,'Raw Data'!$G:$G,'Raw Data'!W:W),"")</f>
        <v>23</v>
      </c>
      <c r="L57" s="131">
        <f>IFERROR(_xlfn.XLOOKUP($A57,'Raw Data'!$G:$G,'Raw Data'!X:X),"")</f>
        <v>44</v>
      </c>
      <c r="M57" s="131">
        <f>IFERROR(_xlfn.XLOOKUP($A57,'Raw Data'!$G:$G,'Raw Data'!Y:Y),"")</f>
        <v>2</v>
      </c>
      <c r="N57" s="131">
        <f>IFERROR(_xlfn.XLOOKUP($A57,'Raw Data'!$G:$G,'Raw Data'!Z:Z),"")</f>
        <v>7</v>
      </c>
      <c r="O57" s="158">
        <f>IFERROR(1-SUMIF('Plant BD'!$H:$H,$A57,'Plant BD'!AC:AC)/$F57,"")</f>
        <v>0.99592392524978679</v>
      </c>
      <c r="P57" s="158"/>
      <c r="Q57" s="159"/>
      <c r="R57" s="158">
        <f>IFERROR(1-SUMIF('Grid BD'!$H:$H,$A57,'Grid BD'!AB:AB)/$F57,"")</f>
        <v>1</v>
      </c>
      <c r="T57" s="159">
        <f>IFERROR(1-SUMIF(Tracker_BD!$H:$H,$A57,Tracker_BD!AI:AI)/$F57,"")</f>
        <v>0.98475834737849044</v>
      </c>
      <c r="U57" s="160">
        <f t="shared" si="1"/>
        <v>0.72861337521320046</v>
      </c>
      <c r="V57" s="160"/>
      <c r="W57" s="161">
        <f t="shared" si="2"/>
        <v>0.17714412684870934</v>
      </c>
      <c r="X57" s="156">
        <f>IFERROR(_xlfn.XLOOKUP($A57,'Raw Data'!$G:$G,'Raw Data'!$AB:$AB),"")</f>
        <v>50090</v>
      </c>
      <c r="Y57" s="156">
        <f>IFERROR(_xlfn.XLOOKUP($A57,'Raw Data'!$G:$G,'Raw Data'!AC:AC),"")</f>
        <v>50024.000000004889</v>
      </c>
      <c r="Z57" s="156">
        <f>IFERROR(_xlfn.XLOOKUP($A57,'Raw Data'!$G:$G,'Raw Data'!AD:AD),"")</f>
        <v>196.89999999991414</v>
      </c>
      <c r="AA57" s="156">
        <f>IFERROR(_xlfn.XLOOKUP($A57,'Raw Data'!$G:$G,'Raw Data'!AE:AE),"")</f>
        <v>49827.100000004975</v>
      </c>
      <c r="AB57" s="156">
        <f>IFERROR(_xlfn.XLOOKUP($A57,'Raw Data'!$G:$G,'Raw Data'!$H:$H),"")</f>
        <v>11.72</v>
      </c>
      <c r="AC57" s="162">
        <f>IFERROR(_xlfn.XLOOKUP($D57,'Modelling New'!$D:$D,'Modelling New'!$P:$P),"")</f>
        <v>7.6437019903225805</v>
      </c>
      <c r="AD57" s="156">
        <f>IFERROR(_xlfn.XLOOKUP($D57,'Modelling New'!$D:$D,'Modelling New'!$T:$T)*1000,"")</f>
        <v>65538.17192485639</v>
      </c>
      <c r="AE57" s="163">
        <f>IFERROR(_xlfn.XLOOKUP($D57,'Modelling New'!$D:$D,'Modelling New'!$O:$O),"")</f>
        <v>0.73158192177304548</v>
      </c>
      <c r="AF57" s="163">
        <f>IFERROR(_xlfn.XLOOKUP($D57,'Modelling New'!$D:$D,'Modelling New'!$W:$W),"")</f>
        <v>0.23299975798086028</v>
      </c>
      <c r="AG57" s="163">
        <f>IFERROR(_xlfn.XLOOKUP($D57,'Modelling New'!$D:$D,'Modelling New'!AE:AE),"")</f>
        <v>0.995</v>
      </c>
      <c r="AH57" s="163">
        <f>IFERROR(_xlfn.XLOOKUP($D57,'Modelling New'!$D:$D,'Modelling New'!AF:AF),"")</f>
        <v>0.98550000000000004</v>
      </c>
      <c r="AN57" s="164"/>
      <c r="AO57" s="161"/>
      <c r="AP57" s="161"/>
      <c r="AQ57" s="161"/>
      <c r="AR57" s="156">
        <f>IFERROR(_xlfn.XLOOKUP($D57,'Modelling New'!$D:$D,'Modelling New'!$N:$N),"")</f>
        <v>11.72</v>
      </c>
    </row>
    <row r="58" spans="1:44">
      <c r="A58" s="155">
        <f t="shared" si="3"/>
        <v>45801</v>
      </c>
      <c r="B58" s="156">
        <f>YEAR(Table13[[#This Row],[Date]])+IF(MONTH(Table13[[#This Row],[Date]])&gt;=4,1,0)</f>
        <v>2026</v>
      </c>
      <c r="C58" s="129">
        <f>YEAR(Table13[[#This Row],[Date]])</f>
        <v>2025</v>
      </c>
      <c r="D58" s="157">
        <f>Table13[[#This Row],[Date]]-DAY(Table13[[#This Row],[Date]])+1</f>
        <v>45778</v>
      </c>
      <c r="E58" s="129">
        <f t="shared" si="4"/>
        <v>31</v>
      </c>
      <c r="F58" s="130">
        <f>IFERROR(_xlfn.XLOOKUP($A58,'Raw Data'!$G:$G,'Raw Data'!$AH:$AH),"")</f>
        <v>12.616666666666667</v>
      </c>
      <c r="G58" s="131">
        <f>IFERROR(_xlfn.XLOOKUP($A58,'Raw Data'!$G:$G,'Raw Data'!$S:$S)/1000,"")</f>
        <v>0</v>
      </c>
      <c r="H58" s="131"/>
      <c r="I58" s="131">
        <f>IFERROR(_xlfn.XLOOKUP($A58,'Raw Data'!$G:$G,'Raw Data'!$AF:$AF)/1000,"")</f>
        <v>3.2450000000000001</v>
      </c>
      <c r="J58" s="131"/>
      <c r="K58" s="131">
        <f>IFERROR(_xlfn.XLOOKUP($A58,'Raw Data'!$G:$G,'Raw Data'!W:W),"")</f>
        <v>23</v>
      </c>
      <c r="L58" s="131">
        <f>IFERROR(_xlfn.XLOOKUP($A58,'Raw Data'!$G:$G,'Raw Data'!X:X),"")</f>
        <v>31</v>
      </c>
      <c r="M58" s="131">
        <f>IFERROR(_xlfn.XLOOKUP($A58,'Raw Data'!$G:$G,'Raw Data'!Y:Y),"")</f>
        <v>2</v>
      </c>
      <c r="N58" s="131">
        <f>IFERROR(_xlfn.XLOOKUP($A58,'Raw Data'!$G:$G,'Raw Data'!Z:Z),"")</f>
        <v>8</v>
      </c>
      <c r="O58" s="158">
        <f>IFERROR(1-SUMIF('Plant BD'!$H:$H,$A58,'Plant BD'!AC:AC)/$F58,"")</f>
        <v>1</v>
      </c>
      <c r="P58" s="158"/>
      <c r="Q58" s="159"/>
      <c r="R58" s="158">
        <f>IFERROR(1-SUMIF('Grid BD'!$H:$H,$A58,'Grid BD'!AB:AB)/$F58,"")</f>
        <v>1</v>
      </c>
      <c r="T58" s="159">
        <f>IFERROR(1-SUMIF(Tracker_BD!$H:$H,$A58,Tracker_BD!AI:AI)/$F58,"")</f>
        <v>0.98610668245797839</v>
      </c>
      <c r="U58" s="160">
        <f t="shared" si="1"/>
        <v>0.78819081075116981</v>
      </c>
      <c r="V58" s="160"/>
      <c r="W58" s="161">
        <f t="shared" si="2"/>
        <v>0.10656996587031442</v>
      </c>
      <c r="X58" s="156">
        <f>IFERROR(_xlfn.XLOOKUP($A58,'Raw Data'!$G:$G,'Raw Data'!$AB:$AB),"")</f>
        <v>30174</v>
      </c>
      <c r="Y58" s="156">
        <f>IFERROR(_xlfn.XLOOKUP($A58,'Raw Data'!$G:$G,'Raw Data'!AC:AC),"")</f>
        <v>30122.900000002119</v>
      </c>
      <c r="Z58" s="156">
        <f>IFERROR(_xlfn.XLOOKUP($A58,'Raw Data'!$G:$G,'Raw Data'!AD:AD),"")</f>
        <v>146.90000000007331</v>
      </c>
      <c r="AA58" s="156">
        <f>IFERROR(_xlfn.XLOOKUP($A58,'Raw Data'!$G:$G,'Raw Data'!AE:AE),"")</f>
        <v>29976.000000002045</v>
      </c>
      <c r="AB58" s="156">
        <f>IFERROR(_xlfn.XLOOKUP($A58,'Raw Data'!$G:$G,'Raw Data'!$H:$H),"")</f>
        <v>11.72</v>
      </c>
      <c r="AC58" s="162">
        <f>IFERROR(_xlfn.XLOOKUP($D58,'Modelling New'!$D:$D,'Modelling New'!$P:$P),"")</f>
        <v>7.6437019903225805</v>
      </c>
      <c r="AD58" s="156">
        <f>IFERROR(_xlfn.XLOOKUP($D58,'Modelling New'!$D:$D,'Modelling New'!$T:$T)*1000,"")</f>
        <v>65538.17192485639</v>
      </c>
      <c r="AE58" s="163">
        <f>IFERROR(_xlfn.XLOOKUP($D58,'Modelling New'!$D:$D,'Modelling New'!$O:$O),"")</f>
        <v>0.73158192177304548</v>
      </c>
      <c r="AF58" s="163">
        <f>IFERROR(_xlfn.XLOOKUP($D58,'Modelling New'!$D:$D,'Modelling New'!$W:$W),"")</f>
        <v>0.23299975798086028</v>
      </c>
      <c r="AG58" s="163">
        <f>IFERROR(_xlfn.XLOOKUP($D58,'Modelling New'!$D:$D,'Modelling New'!AE:AE),"")</f>
        <v>0.995</v>
      </c>
      <c r="AH58" s="163">
        <f>IFERROR(_xlfn.XLOOKUP($D58,'Modelling New'!$D:$D,'Modelling New'!AF:AF),"")</f>
        <v>0.98550000000000004</v>
      </c>
      <c r="AN58" s="164"/>
      <c r="AO58" s="161"/>
      <c r="AP58" s="161"/>
      <c r="AQ58" s="161"/>
      <c r="AR58" s="156">
        <f>IFERROR(_xlfn.XLOOKUP($D58,'Modelling New'!$D:$D,'Modelling New'!$N:$N),"")</f>
        <v>11.72</v>
      </c>
    </row>
    <row r="59" spans="1:44">
      <c r="A59" s="155">
        <f t="shared" si="3"/>
        <v>45802</v>
      </c>
      <c r="B59" s="156">
        <f>YEAR(Table13[[#This Row],[Date]])+IF(MONTH(Table13[[#This Row],[Date]])&gt;=4,1,0)</f>
        <v>2026</v>
      </c>
      <c r="C59" s="129">
        <f>YEAR(Table13[[#This Row],[Date]])</f>
        <v>2025</v>
      </c>
      <c r="D59" s="157">
        <f>Table13[[#This Row],[Date]]-DAY(Table13[[#This Row],[Date]])+1</f>
        <v>45778</v>
      </c>
      <c r="E59" s="129">
        <f t="shared" si="4"/>
        <v>31</v>
      </c>
      <c r="F59" s="130">
        <f>IFERROR(_xlfn.XLOOKUP($A59,'Raw Data'!$G:$G,'Raw Data'!$AH:$AH),"")</f>
        <v>12.683333333333334</v>
      </c>
      <c r="G59" s="131">
        <f>IFERROR(_xlfn.XLOOKUP($A59,'Raw Data'!$G:$G,'Raw Data'!$S:$S)/1000,"")</f>
        <v>0</v>
      </c>
      <c r="H59" s="131"/>
      <c r="I59" s="131">
        <f>IFERROR(_xlfn.XLOOKUP($A59,'Raw Data'!$G:$G,'Raw Data'!$AF:$AF)/1000,"")</f>
        <v>4.46</v>
      </c>
      <c r="J59" s="131"/>
      <c r="K59" s="131">
        <f>IFERROR(_xlfn.XLOOKUP($A59,'Raw Data'!$G:$G,'Raw Data'!W:W),"")</f>
        <v>23</v>
      </c>
      <c r="L59" s="131">
        <f>IFERROR(_xlfn.XLOOKUP($A59,'Raw Data'!$G:$G,'Raw Data'!X:X),"")</f>
        <v>36</v>
      </c>
      <c r="M59" s="131">
        <f>IFERROR(_xlfn.XLOOKUP($A59,'Raw Data'!$G:$G,'Raw Data'!Y:Y),"")</f>
        <v>2</v>
      </c>
      <c r="N59" s="131">
        <f>IFERROR(_xlfn.XLOOKUP($A59,'Raw Data'!$G:$G,'Raw Data'!Z:Z),"")</f>
        <v>8</v>
      </c>
      <c r="O59" s="158">
        <f>IFERROR(1-SUMIF('Plant BD'!$H:$H,$A59,'Plant BD'!AC:AC)/$F59,"")</f>
        <v>1</v>
      </c>
      <c r="P59" s="158"/>
      <c r="Q59" s="159"/>
      <c r="R59" s="158">
        <f>IFERROR(1-SUMIF('Grid BD'!$H:$H,$A59,'Grid BD'!AB:AB)/$F59,"")</f>
        <v>1</v>
      </c>
      <c r="T59" s="159">
        <f>IFERROR(1-SUMIF(Tracker_BD!$H:$H,$A59,Tracker_BD!AI:AI)/$F59,"")</f>
        <v>0.98608530820003926</v>
      </c>
      <c r="U59" s="160">
        <f t="shared" si="1"/>
        <v>0.73125927853202033</v>
      </c>
      <c r="V59" s="160"/>
      <c r="W59" s="161">
        <f t="shared" si="2"/>
        <v>0.13589234926053376</v>
      </c>
      <c r="X59" s="156">
        <f>IFERROR(_xlfn.XLOOKUP($A59,'Raw Data'!$G:$G,'Raw Data'!$AB:$AB),"")</f>
        <v>38413</v>
      </c>
      <c r="Y59" s="156">
        <f>IFERROR(_xlfn.XLOOKUP($A59,'Raw Data'!$G:$G,'Raw Data'!AC:AC),"")</f>
        <v>38410.600000002887</v>
      </c>
      <c r="Z59" s="156">
        <f>IFERROR(_xlfn.XLOOKUP($A59,'Raw Data'!$G:$G,'Raw Data'!AD:AD),"")</f>
        <v>186.79999999994834</v>
      </c>
      <c r="AA59" s="156">
        <f>IFERROR(_xlfn.XLOOKUP($A59,'Raw Data'!$G:$G,'Raw Data'!AE:AE),"")</f>
        <v>38223.800000002942</v>
      </c>
      <c r="AB59" s="156">
        <f>IFERROR(_xlfn.XLOOKUP($A59,'Raw Data'!$G:$G,'Raw Data'!$H:$H),"")</f>
        <v>11.72</v>
      </c>
      <c r="AC59" s="162">
        <f>IFERROR(_xlfn.XLOOKUP($D59,'Modelling New'!$D:$D,'Modelling New'!$P:$P),"")</f>
        <v>7.6437019903225805</v>
      </c>
      <c r="AD59" s="156">
        <f>IFERROR(_xlfn.XLOOKUP($D59,'Modelling New'!$D:$D,'Modelling New'!$T:$T)*1000,"")</f>
        <v>65538.17192485639</v>
      </c>
      <c r="AE59" s="163">
        <f>IFERROR(_xlfn.XLOOKUP($D59,'Modelling New'!$D:$D,'Modelling New'!$O:$O),"")</f>
        <v>0.73158192177304548</v>
      </c>
      <c r="AF59" s="163">
        <f>IFERROR(_xlfn.XLOOKUP($D59,'Modelling New'!$D:$D,'Modelling New'!$W:$W),"")</f>
        <v>0.23299975798086028</v>
      </c>
      <c r="AG59" s="163">
        <f>IFERROR(_xlfn.XLOOKUP($D59,'Modelling New'!$D:$D,'Modelling New'!AE:AE),"")</f>
        <v>0.995</v>
      </c>
      <c r="AH59" s="163">
        <f>IFERROR(_xlfn.XLOOKUP($D59,'Modelling New'!$D:$D,'Modelling New'!AF:AF),"")</f>
        <v>0.98550000000000004</v>
      </c>
      <c r="AN59" s="164"/>
      <c r="AO59" s="161"/>
      <c r="AP59" s="161"/>
      <c r="AQ59" s="161"/>
      <c r="AR59" s="156">
        <f>IFERROR(_xlfn.XLOOKUP($D59,'Modelling New'!$D:$D,'Modelling New'!$N:$N),"")</f>
        <v>11.72</v>
      </c>
    </row>
    <row r="60" spans="1:44">
      <c r="A60" s="155">
        <f t="shared" si="3"/>
        <v>45803</v>
      </c>
      <c r="B60" s="156">
        <f>YEAR(Table13[[#This Row],[Date]])+IF(MONTH(Table13[[#This Row],[Date]])&gt;=4,1,0)</f>
        <v>2026</v>
      </c>
      <c r="C60" s="129">
        <f>YEAR(Table13[[#This Row],[Date]])</f>
        <v>2025</v>
      </c>
      <c r="D60" s="157">
        <f>Table13[[#This Row],[Date]]-DAY(Table13[[#This Row],[Date]])+1</f>
        <v>45778</v>
      </c>
      <c r="E60" s="129">
        <f t="shared" si="4"/>
        <v>31</v>
      </c>
      <c r="F60" s="130">
        <f>IFERROR(_xlfn.XLOOKUP($A60,'Raw Data'!$G:$G,'Raw Data'!$AH:$AH),"")</f>
        <v>12.416666666666668</v>
      </c>
      <c r="G60" s="131">
        <f>IFERROR(_xlfn.XLOOKUP($A60,'Raw Data'!$G:$G,'Raw Data'!$S:$S)/1000,"")</f>
        <v>0</v>
      </c>
      <c r="H60" s="131"/>
      <c r="I60" s="131">
        <f>IFERROR(_xlfn.XLOOKUP($A60,'Raw Data'!$G:$G,'Raw Data'!$AF:$AF)/1000,"")</f>
        <v>3.0379999999999998</v>
      </c>
      <c r="J60" s="131"/>
      <c r="K60" s="131">
        <f>IFERROR(_xlfn.XLOOKUP($A60,'Raw Data'!$G:$G,'Raw Data'!W:W),"")</f>
        <v>23</v>
      </c>
      <c r="L60" s="131">
        <f>IFERROR(_xlfn.XLOOKUP($A60,'Raw Data'!$G:$G,'Raw Data'!X:X),"")</f>
        <v>33</v>
      </c>
      <c r="M60" s="131">
        <f>IFERROR(_xlfn.XLOOKUP($A60,'Raw Data'!$G:$G,'Raw Data'!Y:Y),"")</f>
        <v>2</v>
      </c>
      <c r="N60" s="131">
        <f>IFERROR(_xlfn.XLOOKUP($A60,'Raw Data'!$G:$G,'Raw Data'!Z:Z),"")</f>
        <v>6</v>
      </c>
      <c r="O60" s="158">
        <f>IFERROR(1-SUMIF('Plant BD'!$H:$H,$A60,'Plant BD'!AC:AC)/$F60,"")</f>
        <v>1</v>
      </c>
      <c r="P60" s="158"/>
      <c r="Q60" s="159"/>
      <c r="R60" s="158">
        <f>IFERROR(1-SUMIF('Grid BD'!$H:$H,$A60,'Grid BD'!AB:AB)/$F60,"")</f>
        <v>0.93154362416107384</v>
      </c>
      <c r="T60" s="159">
        <f>IFERROR(1-SUMIF(Tracker_BD!$H:$H,$A60,Tracker_BD!AI:AI)/$F60,"")</f>
        <v>0.98582504049988429</v>
      </c>
      <c r="U60" s="160">
        <f t="shared" si="1"/>
        <v>0.7235202789692059</v>
      </c>
      <c r="V60" s="160"/>
      <c r="W60" s="161">
        <f t="shared" si="2"/>
        <v>9.1585608646185299E-2</v>
      </c>
      <c r="X60" s="156">
        <f>IFERROR(_xlfn.XLOOKUP($A60,'Raw Data'!$G:$G,'Raw Data'!$AB:$AB),"")</f>
        <v>26020</v>
      </c>
      <c r="Y60" s="156">
        <f>IFERROR(_xlfn.XLOOKUP($A60,'Raw Data'!$G:$G,'Raw Data'!AC:AC),"")</f>
        <v>25957.699999999022</v>
      </c>
      <c r="Z60" s="156">
        <f>IFERROR(_xlfn.XLOOKUP($A60,'Raw Data'!$G:$G,'Raw Data'!AD:AD),"")</f>
        <v>196.50000000001455</v>
      </c>
      <c r="AA60" s="156">
        <f>IFERROR(_xlfn.XLOOKUP($A60,'Raw Data'!$G:$G,'Raw Data'!AE:AE),"")</f>
        <v>25761.199999999008</v>
      </c>
      <c r="AB60" s="156">
        <f>IFERROR(_xlfn.XLOOKUP($A60,'Raw Data'!$G:$G,'Raw Data'!$H:$H),"")</f>
        <v>11.72</v>
      </c>
      <c r="AC60" s="162">
        <f>IFERROR(_xlfn.XLOOKUP($D60,'Modelling New'!$D:$D,'Modelling New'!$P:$P),"")</f>
        <v>7.6437019903225805</v>
      </c>
      <c r="AD60" s="156">
        <f>IFERROR(_xlfn.XLOOKUP($D60,'Modelling New'!$D:$D,'Modelling New'!$T:$T)*1000,"")</f>
        <v>65538.17192485639</v>
      </c>
      <c r="AE60" s="163">
        <f>IFERROR(_xlfn.XLOOKUP($D60,'Modelling New'!$D:$D,'Modelling New'!$O:$O),"")</f>
        <v>0.73158192177304548</v>
      </c>
      <c r="AF60" s="163">
        <f>IFERROR(_xlfn.XLOOKUP($D60,'Modelling New'!$D:$D,'Modelling New'!$W:$W),"")</f>
        <v>0.23299975798086028</v>
      </c>
      <c r="AG60" s="163">
        <f>IFERROR(_xlfn.XLOOKUP($D60,'Modelling New'!$D:$D,'Modelling New'!AE:AE),"")</f>
        <v>0.995</v>
      </c>
      <c r="AH60" s="163">
        <f>IFERROR(_xlfn.XLOOKUP($D60,'Modelling New'!$D:$D,'Modelling New'!AF:AF),"")</f>
        <v>0.98550000000000004</v>
      </c>
      <c r="AN60" s="164"/>
      <c r="AO60" s="161"/>
      <c r="AP60" s="161"/>
      <c r="AQ60" s="161"/>
      <c r="AR60" s="156">
        <f>IFERROR(_xlfn.XLOOKUP($D60,'Modelling New'!$D:$D,'Modelling New'!$N:$N),"")</f>
        <v>11.72</v>
      </c>
    </row>
    <row r="61" spans="1:44">
      <c r="A61" s="155">
        <f t="shared" si="3"/>
        <v>45804</v>
      </c>
      <c r="B61" s="156">
        <f>YEAR(Table13[[#This Row],[Date]])+IF(MONTH(Table13[[#This Row],[Date]])&gt;=4,1,0)</f>
        <v>2026</v>
      </c>
      <c r="C61" s="129">
        <f>YEAR(Table13[[#This Row],[Date]])</f>
        <v>2025</v>
      </c>
      <c r="D61" s="157">
        <f>Table13[[#This Row],[Date]]-DAY(Table13[[#This Row],[Date]])+1</f>
        <v>45778</v>
      </c>
      <c r="E61" s="129">
        <f t="shared" si="4"/>
        <v>31</v>
      </c>
      <c r="F61" s="130">
        <f>IFERROR(_xlfn.XLOOKUP($A61,'Raw Data'!$G:$G,'Raw Data'!$AH:$AH),"")</f>
        <v>11.633333333333333</v>
      </c>
      <c r="G61" s="131">
        <f>IFERROR(_xlfn.XLOOKUP($A61,'Raw Data'!$G:$G,'Raw Data'!$S:$S)/1000,"")</f>
        <v>0</v>
      </c>
      <c r="H61" s="131"/>
      <c r="I61" s="131">
        <f>IFERROR(_xlfn.XLOOKUP($A61,'Raw Data'!$G:$G,'Raw Data'!$AF:$AF)/1000,"")</f>
        <v>2.875</v>
      </c>
      <c r="J61" s="131"/>
      <c r="K61" s="131">
        <f>IFERROR(_xlfn.XLOOKUP($A61,'Raw Data'!$G:$G,'Raw Data'!W:W),"")</f>
        <v>23</v>
      </c>
      <c r="L61" s="131">
        <f>IFERROR(_xlfn.XLOOKUP($A61,'Raw Data'!$G:$G,'Raw Data'!X:X),"")</f>
        <v>33</v>
      </c>
      <c r="M61" s="131">
        <f>IFERROR(_xlfn.XLOOKUP($A61,'Raw Data'!$G:$G,'Raw Data'!Y:Y),"")</f>
        <v>2</v>
      </c>
      <c r="N61" s="131">
        <f>IFERROR(_xlfn.XLOOKUP($A61,'Raw Data'!$G:$G,'Raw Data'!Z:Z),"")</f>
        <v>6</v>
      </c>
      <c r="O61" s="158">
        <f>IFERROR(1-SUMIF('Plant BD'!$H:$H,$A61,'Plant BD'!AC:AC)/$F61,"")</f>
        <v>1</v>
      </c>
      <c r="P61" s="158"/>
      <c r="Q61" s="159"/>
      <c r="R61" s="158">
        <f>IFERROR(1-SUMIF('Grid BD'!$H:$H,$A61,'Grid BD'!AB:AB)/$F61,"")</f>
        <v>0.94699140401146131</v>
      </c>
      <c r="T61" s="159">
        <f>IFERROR(1-SUMIF(Tracker_BD!$H:$H,$A61,Tracker_BD!AI:AI)/$F61,"")</f>
        <v>0.9847264763033956</v>
      </c>
      <c r="U61" s="160">
        <f t="shared" ref="U61:U124" si="5">IFERROR(AA61/I61/AB61/1000,"")</f>
        <v>0.76377504080713088</v>
      </c>
      <c r="V61" s="160"/>
      <c r="W61" s="161">
        <f t="shared" ref="W61:W124" si="6">IFERROR(AA61/(24*AR61*1000),"")</f>
        <v>9.1493885096687544E-2</v>
      </c>
      <c r="X61" s="156">
        <f>IFERROR(_xlfn.XLOOKUP($A61,'Raw Data'!$G:$G,'Raw Data'!$AB:$AB),"")</f>
        <v>25975</v>
      </c>
      <c r="Y61" s="156">
        <f>IFERROR(_xlfn.XLOOKUP($A61,'Raw Data'!$G:$G,'Raw Data'!AC:AC),"")</f>
        <v>25931.599999996251</v>
      </c>
      <c r="Z61" s="156">
        <f>IFERROR(_xlfn.XLOOKUP($A61,'Raw Data'!$G:$G,'Raw Data'!AD:AD),"")</f>
        <v>196.19999999997617</v>
      </c>
      <c r="AA61" s="156">
        <f>IFERROR(_xlfn.XLOOKUP($A61,'Raw Data'!$G:$G,'Raw Data'!AE:AE),"")</f>
        <v>25735.399999996276</v>
      </c>
      <c r="AB61" s="156">
        <f>IFERROR(_xlfn.XLOOKUP($A61,'Raw Data'!$G:$G,'Raw Data'!$H:$H),"")</f>
        <v>11.72</v>
      </c>
      <c r="AC61" s="162">
        <f>IFERROR(_xlfn.XLOOKUP($D61,'Modelling New'!$D:$D,'Modelling New'!$P:$P),"")</f>
        <v>7.6437019903225805</v>
      </c>
      <c r="AD61" s="156">
        <f>IFERROR(_xlfn.XLOOKUP($D61,'Modelling New'!$D:$D,'Modelling New'!$T:$T)*1000,"")</f>
        <v>65538.17192485639</v>
      </c>
      <c r="AE61" s="163">
        <f>IFERROR(_xlfn.XLOOKUP($D61,'Modelling New'!$D:$D,'Modelling New'!$O:$O),"")</f>
        <v>0.73158192177304548</v>
      </c>
      <c r="AF61" s="163">
        <f>IFERROR(_xlfn.XLOOKUP($D61,'Modelling New'!$D:$D,'Modelling New'!$W:$W),"")</f>
        <v>0.23299975798086028</v>
      </c>
      <c r="AG61" s="163">
        <f>IFERROR(_xlfn.XLOOKUP($D61,'Modelling New'!$D:$D,'Modelling New'!AE:AE),"")</f>
        <v>0.995</v>
      </c>
      <c r="AH61" s="163">
        <f>IFERROR(_xlfn.XLOOKUP($D61,'Modelling New'!$D:$D,'Modelling New'!AF:AF),"")</f>
        <v>0.98550000000000004</v>
      </c>
      <c r="AN61" s="164"/>
      <c r="AO61" s="161"/>
      <c r="AP61" s="161"/>
      <c r="AQ61" s="161"/>
      <c r="AR61" s="156">
        <f>IFERROR(_xlfn.XLOOKUP($D61,'Modelling New'!$D:$D,'Modelling New'!$N:$N),"")</f>
        <v>11.72</v>
      </c>
    </row>
    <row r="62" spans="1:44">
      <c r="A62" s="155">
        <f t="shared" si="3"/>
        <v>45805</v>
      </c>
      <c r="B62" s="156">
        <f>YEAR(Table13[[#This Row],[Date]])+IF(MONTH(Table13[[#This Row],[Date]])&gt;=4,1,0)</f>
        <v>2026</v>
      </c>
      <c r="C62" s="129">
        <f>YEAR(Table13[[#This Row],[Date]])</f>
        <v>2025</v>
      </c>
      <c r="D62" s="157">
        <f>Table13[[#This Row],[Date]]-DAY(Table13[[#This Row],[Date]])+1</f>
        <v>45778</v>
      </c>
      <c r="E62" s="129">
        <f t="shared" si="4"/>
        <v>31</v>
      </c>
      <c r="F62" s="130">
        <f>IFERROR(_xlfn.XLOOKUP($A62,'Raw Data'!$G:$G,'Raw Data'!$AH:$AH),"")</f>
        <v>12.483333333333334</v>
      </c>
      <c r="G62" s="131">
        <f>IFERROR(_xlfn.XLOOKUP($A62,'Raw Data'!$G:$G,'Raw Data'!$S:$S)/1000,"")</f>
        <v>0</v>
      </c>
      <c r="H62" s="131"/>
      <c r="I62" s="131">
        <f>IFERROR(_xlfn.XLOOKUP($A62,'Raw Data'!$G:$G,'Raw Data'!$AF:$AF)/1000,"")</f>
        <v>4.76</v>
      </c>
      <c r="J62" s="131"/>
      <c r="K62" s="131">
        <f>IFERROR(_xlfn.XLOOKUP($A62,'Raw Data'!$G:$G,'Raw Data'!W:W),"")</f>
        <v>23</v>
      </c>
      <c r="L62" s="131">
        <f>IFERROR(_xlfn.XLOOKUP($A62,'Raw Data'!$G:$G,'Raw Data'!X:X),"")</f>
        <v>32</v>
      </c>
      <c r="M62" s="131">
        <f>IFERROR(_xlfn.XLOOKUP($A62,'Raw Data'!$G:$G,'Raw Data'!Y:Y),"")</f>
        <v>2.5</v>
      </c>
      <c r="N62" s="131">
        <f>IFERROR(_xlfn.XLOOKUP($A62,'Raw Data'!$G:$G,'Raw Data'!Z:Z),"")</f>
        <v>5</v>
      </c>
      <c r="O62" s="158">
        <f>IFERROR(1-SUMIF('Plant BD'!$H:$H,$A62,'Plant BD'!AC:AC)/$F62,"")</f>
        <v>1</v>
      </c>
      <c r="P62" s="158"/>
      <c r="Q62" s="159"/>
      <c r="R62" s="158">
        <f>IFERROR(1-SUMIF('Grid BD'!$H:$H,$A62,'Grid BD'!AB:AB)/$F62,"")</f>
        <v>0.35113484646194915</v>
      </c>
      <c r="T62" s="159">
        <f>IFERROR(1-SUMIF(Tracker_BD!$H:$H,$A62,Tracker_BD!AI:AI)/$F62,"")</f>
        <v>0.98590074121817595</v>
      </c>
      <c r="U62" s="160">
        <f t="shared" si="5"/>
        <v>0.29102016233115358</v>
      </c>
      <c r="V62" s="160"/>
      <c r="W62" s="161">
        <f t="shared" si="6"/>
        <v>5.7718998862345453E-2</v>
      </c>
      <c r="X62" s="156">
        <f>IFERROR(_xlfn.XLOOKUP($A62,'Raw Data'!$G:$G,'Raw Data'!$AB:$AB),"")</f>
        <v>16427</v>
      </c>
      <c r="Y62" s="156">
        <f>IFERROR(_xlfn.XLOOKUP($A62,'Raw Data'!$G:$G,'Raw Data'!AC:AC),"")</f>
        <v>16436.900000000605</v>
      </c>
      <c r="Z62" s="156">
        <f>IFERROR(_xlfn.XLOOKUP($A62,'Raw Data'!$G:$G,'Raw Data'!AD:AD),"")</f>
        <v>201.70000000007349</v>
      </c>
      <c r="AA62" s="156">
        <f>IFERROR(_xlfn.XLOOKUP($A62,'Raw Data'!$G:$G,'Raw Data'!AE:AE),"")</f>
        <v>16235.200000000532</v>
      </c>
      <c r="AB62" s="156">
        <f>IFERROR(_xlfn.XLOOKUP($A62,'Raw Data'!$G:$G,'Raw Data'!$H:$H),"")</f>
        <v>11.72</v>
      </c>
      <c r="AC62" s="162">
        <f>IFERROR(_xlfn.XLOOKUP($D62,'Modelling New'!$D:$D,'Modelling New'!$P:$P),"")</f>
        <v>7.6437019903225805</v>
      </c>
      <c r="AD62" s="156">
        <f>IFERROR(_xlfn.XLOOKUP($D62,'Modelling New'!$D:$D,'Modelling New'!$T:$T)*1000,"")</f>
        <v>65538.17192485639</v>
      </c>
      <c r="AE62" s="163">
        <f>IFERROR(_xlfn.XLOOKUP($D62,'Modelling New'!$D:$D,'Modelling New'!$O:$O),"")</f>
        <v>0.73158192177304548</v>
      </c>
      <c r="AF62" s="163">
        <f>IFERROR(_xlfn.XLOOKUP($D62,'Modelling New'!$D:$D,'Modelling New'!$W:$W),"")</f>
        <v>0.23299975798086028</v>
      </c>
      <c r="AG62" s="163">
        <f>IFERROR(_xlfn.XLOOKUP($D62,'Modelling New'!$D:$D,'Modelling New'!AE:AE),"")</f>
        <v>0.995</v>
      </c>
      <c r="AH62" s="163">
        <f>IFERROR(_xlfn.XLOOKUP($D62,'Modelling New'!$D:$D,'Modelling New'!AF:AF),"")</f>
        <v>0.98550000000000004</v>
      </c>
      <c r="AN62" s="164"/>
      <c r="AO62" s="161"/>
      <c r="AP62" s="161"/>
      <c r="AQ62" s="161"/>
      <c r="AR62" s="156">
        <f>IFERROR(_xlfn.XLOOKUP($D62,'Modelling New'!$D:$D,'Modelling New'!$N:$N),"")</f>
        <v>11.72</v>
      </c>
    </row>
    <row r="63" spans="1:44">
      <c r="A63" s="155">
        <f t="shared" ref="A63:A126" si="7">A62+1</f>
        <v>45806</v>
      </c>
      <c r="B63" s="156">
        <f>YEAR(Table13[[#This Row],[Date]])+IF(MONTH(Table13[[#This Row],[Date]])&gt;=4,1,0)</f>
        <v>2026</v>
      </c>
      <c r="C63" s="129">
        <f>YEAR(Table13[[#This Row],[Date]])</f>
        <v>2025</v>
      </c>
      <c r="D63" s="157">
        <f>Table13[[#This Row],[Date]]-DAY(Table13[[#This Row],[Date]])+1</f>
        <v>45778</v>
      </c>
      <c r="E63" s="129">
        <f t="shared" si="4"/>
        <v>31</v>
      </c>
      <c r="F63" s="130">
        <f>IFERROR(_xlfn.XLOOKUP($A63,'Raw Data'!$G:$G,'Raw Data'!$AH:$AH),"")</f>
        <v>12.250000000000002</v>
      </c>
      <c r="G63" s="131">
        <f>IFERROR(_xlfn.XLOOKUP($A63,'Raw Data'!$G:$G,'Raw Data'!$S:$S)/1000,"")</f>
        <v>0</v>
      </c>
      <c r="H63" s="131"/>
      <c r="I63" s="131">
        <f>IFERROR(_xlfn.XLOOKUP($A63,'Raw Data'!$G:$G,'Raw Data'!$AF:$AF)/1000,"")</f>
        <v>3.23</v>
      </c>
      <c r="J63" s="131"/>
      <c r="K63" s="131">
        <f>IFERROR(_xlfn.XLOOKUP($A63,'Raw Data'!$G:$G,'Raw Data'!W:W),"")</f>
        <v>23</v>
      </c>
      <c r="L63" s="131">
        <f>IFERROR(_xlfn.XLOOKUP($A63,'Raw Data'!$G:$G,'Raw Data'!X:X),"")</f>
        <v>32</v>
      </c>
      <c r="M63" s="131">
        <f>IFERROR(_xlfn.XLOOKUP($A63,'Raw Data'!$G:$G,'Raw Data'!Y:Y),"")</f>
        <v>2.5</v>
      </c>
      <c r="N63" s="131">
        <f>IFERROR(_xlfn.XLOOKUP($A63,'Raw Data'!$G:$G,'Raw Data'!Z:Z),"")</f>
        <v>5</v>
      </c>
      <c r="O63" s="158">
        <f>IFERROR(1-SUMIF('Plant BD'!$H:$H,$A63,'Plant BD'!AC:AC)/$F63,"")</f>
        <v>0.56422467159776279</v>
      </c>
      <c r="P63" s="158"/>
      <c r="Q63" s="159"/>
      <c r="R63" s="158">
        <f>IFERROR(1-SUMIF('Grid BD'!$H:$H,$A63,'Grid BD'!AB:AB)/$F63,"")</f>
        <v>1</v>
      </c>
      <c r="T63" s="159">
        <f>IFERROR(1-SUMIF(Tracker_BD!$H:$H,$A63,Tracker_BD!AI:AI)/$F63,"")</f>
        <v>0.98602314489013998</v>
      </c>
      <c r="U63" s="160">
        <f t="shared" si="5"/>
        <v>0.26927852153984877</v>
      </c>
      <c r="V63" s="160"/>
      <c r="W63" s="161">
        <f t="shared" si="6"/>
        <v>3.6240401023904648E-2</v>
      </c>
      <c r="X63" s="156">
        <f>IFERROR(_xlfn.XLOOKUP($A63,'Raw Data'!$G:$G,'Raw Data'!$AB:$AB),"")</f>
        <v>10359</v>
      </c>
      <c r="Y63" s="156">
        <f>IFERROR(_xlfn.XLOOKUP($A63,'Raw Data'!$G:$G,'Raw Data'!AC:AC),"")</f>
        <v>10299.100000003818</v>
      </c>
      <c r="Z63" s="156">
        <f>IFERROR(_xlfn.XLOOKUP($A63,'Raw Data'!$G:$G,'Raw Data'!AD:AD),"")</f>
        <v>105.39999999991778</v>
      </c>
      <c r="AA63" s="156">
        <f>IFERROR(_xlfn.XLOOKUP($A63,'Raw Data'!$G:$G,'Raw Data'!AE:AE),"")</f>
        <v>10193.700000003901</v>
      </c>
      <c r="AB63" s="156">
        <f>IFERROR(_xlfn.XLOOKUP($A63,'Raw Data'!$G:$G,'Raw Data'!$H:$H),"")</f>
        <v>11.72</v>
      </c>
      <c r="AC63" s="162">
        <f>IFERROR(_xlfn.XLOOKUP($D63,'Modelling New'!$D:$D,'Modelling New'!$P:$P),"")</f>
        <v>7.6437019903225805</v>
      </c>
      <c r="AD63" s="156">
        <f>IFERROR(_xlfn.XLOOKUP($D63,'Modelling New'!$D:$D,'Modelling New'!$T:$T)*1000,"")</f>
        <v>65538.17192485639</v>
      </c>
      <c r="AE63" s="163">
        <f>IFERROR(_xlfn.XLOOKUP($D63,'Modelling New'!$D:$D,'Modelling New'!$O:$O),"")</f>
        <v>0.73158192177304548</v>
      </c>
      <c r="AF63" s="163">
        <f>IFERROR(_xlfn.XLOOKUP($D63,'Modelling New'!$D:$D,'Modelling New'!$W:$W),"")</f>
        <v>0.23299975798086028</v>
      </c>
      <c r="AG63" s="163">
        <f>IFERROR(_xlfn.XLOOKUP($D63,'Modelling New'!$D:$D,'Modelling New'!AE:AE),"")</f>
        <v>0.995</v>
      </c>
      <c r="AH63" s="163">
        <f>IFERROR(_xlfn.XLOOKUP($D63,'Modelling New'!$D:$D,'Modelling New'!AF:AF),"")</f>
        <v>0.98550000000000004</v>
      </c>
      <c r="AN63" s="164"/>
      <c r="AO63" s="161"/>
      <c r="AP63" s="161"/>
      <c r="AQ63" s="161"/>
      <c r="AR63" s="156">
        <f>IFERROR(_xlfn.XLOOKUP($D63,'Modelling New'!$D:$D,'Modelling New'!$N:$N),"")</f>
        <v>11.72</v>
      </c>
    </row>
    <row r="64" spans="1:44">
      <c r="A64" s="155">
        <f t="shared" si="7"/>
        <v>45807</v>
      </c>
      <c r="B64" s="156">
        <f>YEAR(Table13[[#This Row],[Date]])+IF(MONTH(Table13[[#This Row],[Date]])&gt;=4,1,0)</f>
        <v>2026</v>
      </c>
      <c r="C64" s="129">
        <f>YEAR(Table13[[#This Row],[Date]])</f>
        <v>2025</v>
      </c>
      <c r="D64" s="157">
        <f>Table13[[#This Row],[Date]]-DAY(Table13[[#This Row],[Date]])+1</f>
        <v>45778</v>
      </c>
      <c r="E64" s="129">
        <f t="shared" si="4"/>
        <v>31</v>
      </c>
      <c r="F64" s="130">
        <f>IFERROR(_xlfn.XLOOKUP($A64,'Raw Data'!$G:$G,'Raw Data'!$AH:$AH),"")</f>
        <v>12.433333333333332</v>
      </c>
      <c r="G64" s="131">
        <f>IFERROR(_xlfn.XLOOKUP($A64,'Raw Data'!$G:$G,'Raw Data'!$S:$S)/1000,"")</f>
        <v>0</v>
      </c>
      <c r="H64" s="131"/>
      <c r="I64" s="131">
        <f>IFERROR(_xlfn.XLOOKUP($A64,'Raw Data'!$G:$G,'Raw Data'!$AF:$AF)/1000,"")</f>
        <v>6.5010000000000003</v>
      </c>
      <c r="J64" s="131"/>
      <c r="K64" s="131">
        <f>IFERROR(_xlfn.XLOOKUP($A64,'Raw Data'!$G:$G,'Raw Data'!W:W),"")</f>
        <v>23</v>
      </c>
      <c r="L64" s="131">
        <f>IFERROR(_xlfn.XLOOKUP($A64,'Raw Data'!$G:$G,'Raw Data'!X:X),"")</f>
        <v>37</v>
      </c>
      <c r="M64" s="131">
        <f>IFERROR(_xlfn.XLOOKUP($A64,'Raw Data'!$G:$G,'Raw Data'!Y:Y),"")</f>
        <v>2</v>
      </c>
      <c r="N64" s="131">
        <f>IFERROR(_xlfn.XLOOKUP($A64,'Raw Data'!$G:$G,'Raw Data'!Z:Z),"")</f>
        <v>6</v>
      </c>
      <c r="O64" s="158">
        <f>IFERROR(1-SUMIF('Plant BD'!$H:$H,$A64,'Plant BD'!AC:AC)/$F64,"")</f>
        <v>0.34500027326044092</v>
      </c>
      <c r="P64" s="158"/>
      <c r="Q64" s="159"/>
      <c r="R64" s="158">
        <f>IFERROR(1-SUMIF('Grid BD'!$H:$H,$A64,'Grid BD'!AB:AB)/$F64,"")</f>
        <v>1</v>
      </c>
      <c r="T64" s="159">
        <f>IFERROR(1-SUMIF(Tracker_BD!$H:$H,$A64,Tracker_BD!AI:AI)/$F64,"")</f>
        <v>0.98607515947120272</v>
      </c>
      <c r="U64" s="160">
        <f t="shared" si="5"/>
        <v>0.25622469213187704</v>
      </c>
      <c r="V64" s="160"/>
      <c r="W64" s="161">
        <f t="shared" si="6"/>
        <v>6.9404863481222184E-2</v>
      </c>
      <c r="X64" s="156">
        <f>IFERROR(_xlfn.XLOOKUP($A64,'Raw Data'!$G:$G,'Raw Data'!$AB:$AB),"")</f>
        <v>19773</v>
      </c>
      <c r="Y64" s="156">
        <f>IFERROR(_xlfn.XLOOKUP($A64,'Raw Data'!$G:$G,'Raw Data'!AC:AC),"")</f>
        <v>19626.799999998184</v>
      </c>
      <c r="Z64" s="156">
        <f>IFERROR(_xlfn.XLOOKUP($A64,'Raw Data'!$G:$G,'Raw Data'!AD:AD),"")</f>
        <v>104.60000000000491</v>
      </c>
      <c r="AA64" s="156">
        <f>IFERROR(_xlfn.XLOOKUP($A64,'Raw Data'!$G:$G,'Raw Data'!AE:AE),"")</f>
        <v>19522.199999998178</v>
      </c>
      <c r="AB64" s="156">
        <f>IFERROR(_xlfn.XLOOKUP($A64,'Raw Data'!$G:$G,'Raw Data'!$H:$H),"")</f>
        <v>11.72</v>
      </c>
      <c r="AC64" s="162">
        <f>IFERROR(_xlfn.XLOOKUP($D64,'Modelling New'!$D:$D,'Modelling New'!$P:$P),"")</f>
        <v>7.6437019903225805</v>
      </c>
      <c r="AD64" s="156">
        <f>IFERROR(_xlfn.XLOOKUP($D64,'Modelling New'!$D:$D,'Modelling New'!$T:$T)*1000,"")</f>
        <v>65538.17192485639</v>
      </c>
      <c r="AE64" s="163">
        <f>IFERROR(_xlfn.XLOOKUP($D64,'Modelling New'!$D:$D,'Modelling New'!$O:$O),"")</f>
        <v>0.73158192177304548</v>
      </c>
      <c r="AF64" s="163">
        <f>IFERROR(_xlfn.XLOOKUP($D64,'Modelling New'!$D:$D,'Modelling New'!$W:$W),"")</f>
        <v>0.23299975798086028</v>
      </c>
      <c r="AG64" s="163">
        <f>IFERROR(_xlfn.XLOOKUP($D64,'Modelling New'!$D:$D,'Modelling New'!AE:AE),"")</f>
        <v>0.995</v>
      </c>
      <c r="AH64" s="163">
        <f>IFERROR(_xlfn.XLOOKUP($D64,'Modelling New'!$D:$D,'Modelling New'!AF:AF),"")</f>
        <v>0.98550000000000004</v>
      </c>
      <c r="AN64" s="164"/>
      <c r="AO64" s="161"/>
      <c r="AP64" s="161"/>
      <c r="AQ64" s="161"/>
      <c r="AR64" s="156">
        <f>IFERROR(_xlfn.XLOOKUP($D64,'Modelling New'!$D:$D,'Modelling New'!$N:$N),"")</f>
        <v>11.72</v>
      </c>
    </row>
    <row r="65" spans="1:44">
      <c r="A65" s="155">
        <f t="shared" si="7"/>
        <v>45808</v>
      </c>
      <c r="B65" s="156">
        <f>YEAR(Table13[[#This Row],[Date]])+IF(MONTH(Table13[[#This Row],[Date]])&gt;=4,1,0)</f>
        <v>2026</v>
      </c>
      <c r="C65" s="129">
        <f>YEAR(Table13[[#This Row],[Date]])</f>
        <v>2025</v>
      </c>
      <c r="D65" s="157">
        <f>Table13[[#This Row],[Date]]-DAY(Table13[[#This Row],[Date]])+1</f>
        <v>45778</v>
      </c>
      <c r="E65" s="129">
        <f t="shared" si="4"/>
        <v>31</v>
      </c>
      <c r="F65" s="130">
        <f>IFERROR(_xlfn.XLOOKUP($A65,'Raw Data'!$G:$G,'Raw Data'!$AH:$AH),"")</f>
        <v>12.75</v>
      </c>
      <c r="G65" s="131">
        <f>IFERROR(_xlfn.XLOOKUP($A65,'Raw Data'!$G:$G,'Raw Data'!$S:$S)/1000,"")</f>
        <v>0</v>
      </c>
      <c r="H65" s="131"/>
      <c r="I65" s="131">
        <f>IFERROR(_xlfn.XLOOKUP($A65,'Raw Data'!$G:$G,'Raw Data'!$AF:$AF)/1000,"")</f>
        <v>8.3030000000000008</v>
      </c>
      <c r="J65" s="131"/>
      <c r="K65" s="131">
        <f>IFERROR(_xlfn.XLOOKUP($A65,'Raw Data'!$G:$G,'Raw Data'!W:W),"")</f>
        <v>23</v>
      </c>
      <c r="L65" s="131">
        <f>IFERROR(_xlfn.XLOOKUP($A65,'Raw Data'!$G:$G,'Raw Data'!X:X),"")</f>
        <v>44</v>
      </c>
      <c r="M65" s="131">
        <f>IFERROR(_xlfn.XLOOKUP($A65,'Raw Data'!$G:$G,'Raw Data'!Y:Y),"")</f>
        <v>3</v>
      </c>
      <c r="N65" s="131">
        <f>IFERROR(_xlfn.XLOOKUP($A65,'Raw Data'!$G:$G,'Raw Data'!Z:Z),"")</f>
        <v>7</v>
      </c>
      <c r="O65" s="158">
        <f>IFERROR(1-SUMIF('Plant BD'!$H:$H,$A65,'Plant BD'!AC:AC)/$F65,"")</f>
        <v>0.91609153827388656</v>
      </c>
      <c r="P65" s="158"/>
      <c r="Q65" s="159"/>
      <c r="R65" s="158">
        <f>IFERROR(1-SUMIF('Grid BD'!$H:$H,$A65,'Grid BD'!AB:AB)/$F65,"")</f>
        <v>0.9228758169934641</v>
      </c>
      <c r="T65" s="159">
        <f>IFERROR(1-SUMIF(Tracker_BD!$H:$H,$A65,Tracker_BD!AI:AI)/$F65,"")</f>
        <v>0.98604537600480802</v>
      </c>
      <c r="U65" s="160">
        <f t="shared" si="5"/>
        <v>0.60312506808059141</v>
      </c>
      <c r="V65" s="160"/>
      <c r="W65" s="161">
        <f t="shared" si="6"/>
        <v>0.20865614334471461</v>
      </c>
      <c r="X65" s="156">
        <f>IFERROR(_xlfn.XLOOKUP($A65,'Raw Data'!$G:$G,'Raw Data'!$AB:$AB),"")</f>
        <v>58786</v>
      </c>
      <c r="Y65" s="156">
        <f>IFERROR(_xlfn.XLOOKUP($A65,'Raw Data'!$G:$G,'Raw Data'!AC:AC),"")</f>
        <v>58820.800000001327</v>
      </c>
      <c r="Z65" s="156">
        <f>IFERROR(_xlfn.XLOOKUP($A65,'Raw Data'!$G:$G,'Raw Data'!AD:AD),"")</f>
        <v>129.99999999999545</v>
      </c>
      <c r="AA65" s="156">
        <f>IFERROR(_xlfn.XLOOKUP($A65,'Raw Data'!$G:$G,'Raw Data'!AE:AE),"")</f>
        <v>58690.800000001334</v>
      </c>
      <c r="AB65" s="156">
        <f>IFERROR(_xlfn.XLOOKUP($A65,'Raw Data'!$G:$G,'Raw Data'!$H:$H),"")</f>
        <v>11.72</v>
      </c>
      <c r="AC65" s="162">
        <f>IFERROR(_xlfn.XLOOKUP($D65,'Modelling New'!$D:$D,'Modelling New'!$P:$P),"")</f>
        <v>7.6437019903225805</v>
      </c>
      <c r="AD65" s="156">
        <f>IFERROR(_xlfn.XLOOKUP($D65,'Modelling New'!$D:$D,'Modelling New'!$T:$T)*1000,"")</f>
        <v>65538.17192485639</v>
      </c>
      <c r="AE65" s="163">
        <f>IFERROR(_xlfn.XLOOKUP($D65,'Modelling New'!$D:$D,'Modelling New'!$O:$O),"")</f>
        <v>0.73158192177304548</v>
      </c>
      <c r="AF65" s="163">
        <f>IFERROR(_xlfn.XLOOKUP($D65,'Modelling New'!$D:$D,'Modelling New'!$W:$W),"")</f>
        <v>0.23299975798086028</v>
      </c>
      <c r="AG65" s="163">
        <f>IFERROR(_xlfn.XLOOKUP($D65,'Modelling New'!$D:$D,'Modelling New'!AE:AE),"")</f>
        <v>0.995</v>
      </c>
      <c r="AH65" s="163">
        <f>IFERROR(_xlfn.XLOOKUP($D65,'Modelling New'!$D:$D,'Modelling New'!AF:AF),"")</f>
        <v>0.98550000000000004</v>
      </c>
      <c r="AN65" s="164"/>
      <c r="AO65" s="161"/>
      <c r="AP65" s="161"/>
      <c r="AQ65" s="161"/>
      <c r="AR65" s="156">
        <f>IFERROR(_xlfn.XLOOKUP($D65,'Modelling New'!$D:$D,'Modelling New'!$N:$N),"")</f>
        <v>11.72</v>
      </c>
    </row>
    <row r="66" spans="1:44">
      <c r="A66" s="155">
        <f t="shared" si="7"/>
        <v>45809</v>
      </c>
      <c r="B66" s="156">
        <f>YEAR(Table13[[#This Row],[Date]])+IF(MONTH(Table13[[#This Row],[Date]])&gt;=4,1,0)</f>
        <v>2026</v>
      </c>
      <c r="C66" s="129">
        <f>YEAR(Table13[[#This Row],[Date]])</f>
        <v>2025</v>
      </c>
      <c r="D66" s="157">
        <f>Table13[[#This Row],[Date]]-DAY(Table13[[#This Row],[Date]])+1</f>
        <v>45809</v>
      </c>
      <c r="E66" s="129">
        <f t="shared" si="4"/>
        <v>30</v>
      </c>
      <c r="F66" s="130">
        <f>IFERROR(_xlfn.XLOOKUP($A66,'Raw Data'!$G:$G,'Raw Data'!$AH:$AH),"")</f>
        <v>12.75</v>
      </c>
      <c r="G66" s="131">
        <f>IFERROR(_xlfn.XLOOKUP($A66,'Raw Data'!$G:$G,'Raw Data'!$S:$S)/1000,"")</f>
        <v>0</v>
      </c>
      <c r="H66" s="131"/>
      <c r="I66" s="131">
        <f>IFERROR(_xlfn.XLOOKUP($A66,'Raw Data'!$G:$G,'Raw Data'!$AF:$AF)/1000,"")</f>
        <v>7.6749999999999998</v>
      </c>
      <c r="J66" s="131"/>
      <c r="K66" s="131">
        <f>IFERROR(_xlfn.XLOOKUP($A66,'Raw Data'!$G:$G,'Raw Data'!W:W),"")</f>
        <v>24</v>
      </c>
      <c r="L66" s="131">
        <f>IFERROR(_xlfn.XLOOKUP($A66,'Raw Data'!$G:$G,'Raw Data'!X:X),"")</f>
        <v>41</v>
      </c>
      <c r="M66" s="131">
        <f>IFERROR(_xlfn.XLOOKUP($A66,'Raw Data'!$G:$G,'Raw Data'!Y:Y),"")</f>
        <v>3</v>
      </c>
      <c r="N66" s="131">
        <f>IFERROR(_xlfn.XLOOKUP($A66,'Raw Data'!$G:$G,'Raw Data'!Z:Z),"")</f>
        <v>7</v>
      </c>
      <c r="O66" s="158">
        <f>IFERROR(1-SUMIF('Plant BD'!$H:$H,$A66,'Plant BD'!AC:AC)/$F66,"")</f>
        <v>1</v>
      </c>
      <c r="P66" s="158"/>
      <c r="Q66" s="159"/>
      <c r="R66" s="158">
        <f>IFERROR(1-SUMIF('Grid BD'!$H:$H,$A66,'Grid BD'!AB:AB)/$F66,"")</f>
        <v>1</v>
      </c>
      <c r="T66" s="159">
        <f>IFERROR(1-SUMIF(Tracker_BD!$H:$H,$A66,Tracker_BD!AI:AI)/$F66,"")</f>
        <v>0.98598903162797691</v>
      </c>
      <c r="U66" s="160">
        <f t="shared" si="5"/>
        <v>0.71329612789179409</v>
      </c>
      <c r="V66" s="160"/>
      <c r="W66" s="161">
        <f t="shared" si="6"/>
        <v>0.22810615756539659</v>
      </c>
      <c r="X66" s="156">
        <f>IFERROR(_xlfn.XLOOKUP($A66,'Raw Data'!$G:$G,'Raw Data'!$AB:$AB),"")</f>
        <v>64395</v>
      </c>
      <c r="Y66" s="156">
        <f>IFERROR(_xlfn.XLOOKUP($A66,'Raw Data'!$G:$G,'Raw Data'!AC:AC),"")</f>
        <v>64322.499999994761</v>
      </c>
      <c r="Z66" s="156">
        <f>IFERROR(_xlfn.XLOOKUP($A66,'Raw Data'!$G:$G,'Raw Data'!AD:AD),"")</f>
        <v>160.79999999999472</v>
      </c>
      <c r="AA66" s="156">
        <f>IFERROR(_xlfn.XLOOKUP($A66,'Raw Data'!$G:$G,'Raw Data'!AE:AE),"")</f>
        <v>64161.699999994766</v>
      </c>
      <c r="AB66" s="156">
        <f>IFERROR(_xlfn.XLOOKUP($A66,'Raw Data'!$G:$G,'Raw Data'!$H:$H),"")</f>
        <v>11.72</v>
      </c>
      <c r="AC66" s="162">
        <f>IFERROR(_xlfn.XLOOKUP($D66,'Modelling New'!$D:$D,'Modelling New'!$P:$P),"")</f>
        <v>5.617271453333335</v>
      </c>
      <c r="AD66" s="156">
        <f>IFERROR(_xlfn.XLOOKUP($D66,'Modelling New'!$D:$D,'Modelling New'!$T:$T)*1000,"")</f>
        <v>47413.538853540602</v>
      </c>
      <c r="AE66" s="163">
        <f>IFERROR(_xlfn.XLOOKUP($D66,'Modelling New'!$D:$D,'Modelling New'!$O:$O),"")</f>
        <v>0.72019375003918806</v>
      </c>
      <c r="AF66" s="163">
        <f>IFERROR(_xlfn.XLOOKUP($D66,'Modelling New'!$D:$D,'Modelling New'!$W:$W),"")</f>
        <v>0.16856349137350896</v>
      </c>
      <c r="AG66" s="163">
        <f>IFERROR(_xlfn.XLOOKUP($D66,'Modelling New'!$D:$D,'Modelling New'!AE:AE),"")</f>
        <v>0.995</v>
      </c>
      <c r="AH66" s="163">
        <f>IFERROR(_xlfn.XLOOKUP($D66,'Modelling New'!$D:$D,'Modelling New'!AF:AF),"")</f>
        <v>0.98550000000000004</v>
      </c>
      <c r="AN66" s="164"/>
      <c r="AO66" s="161"/>
      <c r="AP66" s="161"/>
      <c r="AQ66" s="161"/>
      <c r="AR66" s="156">
        <f>IFERROR(_xlfn.XLOOKUP($D66,'Modelling New'!$D:$D,'Modelling New'!$N:$N),"")</f>
        <v>11.72</v>
      </c>
    </row>
    <row r="67" spans="1:44">
      <c r="A67" s="155">
        <f t="shared" si="7"/>
        <v>45810</v>
      </c>
      <c r="B67" s="156">
        <f>YEAR(Table13[[#This Row],[Date]])+IF(MONTH(Table13[[#This Row],[Date]])&gt;=4,1,0)</f>
        <v>2026</v>
      </c>
      <c r="C67" s="129">
        <f>YEAR(Table13[[#This Row],[Date]])</f>
        <v>2025</v>
      </c>
      <c r="D67" s="157">
        <f>Table13[[#This Row],[Date]]-DAY(Table13[[#This Row],[Date]])+1</f>
        <v>45809</v>
      </c>
      <c r="E67" s="129">
        <f t="shared" si="4"/>
        <v>30</v>
      </c>
      <c r="F67" s="130">
        <f>IFERROR(_xlfn.XLOOKUP($A67,'Raw Data'!$G:$G,'Raw Data'!$AH:$AH),"")</f>
        <v>12.7</v>
      </c>
      <c r="G67" s="131">
        <f>IFERROR(_xlfn.XLOOKUP($A67,'Raw Data'!$G:$G,'Raw Data'!$S:$S)/1000,"")</f>
        <v>0</v>
      </c>
      <c r="H67" s="131"/>
      <c r="I67" s="131">
        <f>IFERROR(_xlfn.XLOOKUP($A67,'Raw Data'!$G:$G,'Raw Data'!$AF:$AF)/1000,"")</f>
        <v>6.4039999999999999</v>
      </c>
      <c r="J67" s="131"/>
      <c r="K67" s="131">
        <f>IFERROR(_xlfn.XLOOKUP($A67,'Raw Data'!$G:$G,'Raw Data'!W:W),"")</f>
        <v>23</v>
      </c>
      <c r="L67" s="131">
        <f>IFERROR(_xlfn.XLOOKUP($A67,'Raw Data'!$G:$G,'Raw Data'!X:X),"")</f>
        <v>41</v>
      </c>
      <c r="M67" s="131">
        <f>IFERROR(_xlfn.XLOOKUP($A67,'Raw Data'!$G:$G,'Raw Data'!Y:Y),"")</f>
        <v>3</v>
      </c>
      <c r="N67" s="131">
        <f>IFERROR(_xlfn.XLOOKUP($A67,'Raw Data'!$G:$G,'Raw Data'!Z:Z),"")</f>
        <v>8</v>
      </c>
      <c r="O67" s="158">
        <f>IFERROR(1-SUMIF('Plant BD'!$H:$H,$A67,'Plant BD'!AC:AC)/$F67,"")</f>
        <v>0.99586540053126738</v>
      </c>
      <c r="P67" s="158"/>
      <c r="Q67" s="159"/>
      <c r="R67" s="158">
        <f>IFERROR(1-SUMIF('Grid BD'!$H:$H,$A67,'Grid BD'!AB:AB)/$F67,"")</f>
        <v>0.94225721784776906</v>
      </c>
      <c r="T67" s="159">
        <f>IFERROR(1-SUMIF(Tracker_BD!$H:$H,$A67,Tracker_BD!AI:AI)/$F67,"")</f>
        <v>0.98591501493347811</v>
      </c>
      <c r="U67" s="160">
        <f t="shared" si="5"/>
        <v>0.68994181324381176</v>
      </c>
      <c r="V67" s="160"/>
      <c r="W67" s="161">
        <f t="shared" si="6"/>
        <v>0.18409947383389041</v>
      </c>
      <c r="X67" s="156">
        <f>IFERROR(_xlfn.XLOOKUP($A67,'Raw Data'!$G:$G,'Raw Data'!$AB:$AB),"")</f>
        <v>51969</v>
      </c>
      <c r="Y67" s="156">
        <f>IFERROR(_xlfn.XLOOKUP($A67,'Raw Data'!$G:$G,'Raw Data'!AC:AC),"")</f>
        <v>51964.69999999681</v>
      </c>
      <c r="Z67" s="156">
        <f>IFERROR(_xlfn.XLOOKUP($A67,'Raw Data'!$G:$G,'Raw Data'!AD:AD),"")</f>
        <v>181.2000000001035</v>
      </c>
      <c r="AA67" s="156">
        <f>IFERROR(_xlfn.XLOOKUP($A67,'Raw Data'!$G:$G,'Raw Data'!AE:AE),"")</f>
        <v>51783.499999996704</v>
      </c>
      <c r="AB67" s="156">
        <f>IFERROR(_xlfn.XLOOKUP($A67,'Raw Data'!$G:$G,'Raw Data'!$H:$H),"")</f>
        <v>11.72</v>
      </c>
      <c r="AC67" s="162">
        <f>IFERROR(_xlfn.XLOOKUP($D67,'Modelling New'!$D:$D,'Modelling New'!$P:$P),"")</f>
        <v>5.617271453333335</v>
      </c>
      <c r="AD67" s="156">
        <f>IFERROR(_xlfn.XLOOKUP($D67,'Modelling New'!$D:$D,'Modelling New'!$T:$T)*1000,"")</f>
        <v>47413.538853540602</v>
      </c>
      <c r="AE67" s="163">
        <f>IFERROR(_xlfn.XLOOKUP($D67,'Modelling New'!$D:$D,'Modelling New'!$O:$O),"")</f>
        <v>0.72019375003918806</v>
      </c>
      <c r="AF67" s="163">
        <f>IFERROR(_xlfn.XLOOKUP($D67,'Modelling New'!$D:$D,'Modelling New'!$W:$W),"")</f>
        <v>0.16856349137350896</v>
      </c>
      <c r="AG67" s="163">
        <f>IFERROR(_xlfn.XLOOKUP($D67,'Modelling New'!$D:$D,'Modelling New'!AE:AE),"")</f>
        <v>0.995</v>
      </c>
      <c r="AH67" s="163">
        <f>IFERROR(_xlfn.XLOOKUP($D67,'Modelling New'!$D:$D,'Modelling New'!AF:AF),"")</f>
        <v>0.98550000000000004</v>
      </c>
      <c r="AN67" s="164"/>
      <c r="AO67" s="161"/>
      <c r="AP67" s="161"/>
      <c r="AQ67" s="161"/>
      <c r="AR67" s="156">
        <f>IFERROR(_xlfn.XLOOKUP($D67,'Modelling New'!$D:$D,'Modelling New'!$N:$N),"")</f>
        <v>11.72</v>
      </c>
    </row>
    <row r="68" spans="1:44">
      <c r="A68" s="155">
        <f t="shared" si="7"/>
        <v>45811</v>
      </c>
      <c r="B68" s="156">
        <f>YEAR(Table13[[#This Row],[Date]])+IF(MONTH(Table13[[#This Row],[Date]])&gt;=4,1,0)</f>
        <v>2026</v>
      </c>
      <c r="C68" s="129">
        <f>YEAR(Table13[[#This Row],[Date]])</f>
        <v>2025</v>
      </c>
      <c r="D68" s="157">
        <f>Table13[[#This Row],[Date]]-DAY(Table13[[#This Row],[Date]])+1</f>
        <v>45809</v>
      </c>
      <c r="E68" s="129">
        <f t="shared" si="4"/>
        <v>30</v>
      </c>
      <c r="F68" s="130">
        <f>IFERROR(_xlfn.XLOOKUP($A68,'Raw Data'!$G:$G,'Raw Data'!$AH:$AH),"")</f>
        <v>12.716666666666667</v>
      </c>
      <c r="G68" s="131">
        <f>IFERROR(_xlfn.XLOOKUP($A68,'Raw Data'!$G:$G,'Raw Data'!$S:$S)/1000,"")</f>
        <v>0</v>
      </c>
      <c r="H68" s="131"/>
      <c r="I68" s="131">
        <f>IFERROR(_xlfn.XLOOKUP($A68,'Raw Data'!$G:$G,'Raw Data'!$AF:$AF)/1000,"")</f>
        <v>7.0525000000000002</v>
      </c>
      <c r="J68" s="131"/>
      <c r="K68" s="131">
        <f>IFERROR(_xlfn.XLOOKUP($A68,'Raw Data'!$G:$G,'Raw Data'!W:W),"")</f>
        <v>24</v>
      </c>
      <c r="L68" s="131">
        <f>IFERROR(_xlfn.XLOOKUP($A68,'Raw Data'!$G:$G,'Raw Data'!X:X),"")</f>
        <v>42</v>
      </c>
      <c r="M68" s="131">
        <f>IFERROR(_xlfn.XLOOKUP($A68,'Raw Data'!$G:$G,'Raw Data'!Y:Y),"")</f>
        <v>2</v>
      </c>
      <c r="N68" s="131">
        <f>IFERROR(_xlfn.XLOOKUP($A68,'Raw Data'!$G:$G,'Raw Data'!Z:Z),"")</f>
        <v>7</v>
      </c>
      <c r="O68" s="158">
        <f>IFERROR(1-SUMIF('Plant BD'!$H:$H,$A68,'Plant BD'!AC:AC)/$F68,"")</f>
        <v>1</v>
      </c>
      <c r="P68" s="158"/>
      <c r="Q68" s="159"/>
      <c r="R68" s="158">
        <f>IFERROR(1-SUMIF('Grid BD'!$H:$H,$A68,'Grid BD'!AB:AB)/$F68,"")</f>
        <v>0.94233289646133678</v>
      </c>
      <c r="T68" s="159">
        <f>IFERROR(1-SUMIF(Tracker_BD!$H:$H,$A68,Tracker_BD!AI:AI)/$F68,"")</f>
        <v>0.98598996700863195</v>
      </c>
      <c r="U68" s="160">
        <f t="shared" si="5"/>
        <v>0.64016342569698181</v>
      </c>
      <c r="V68" s="160"/>
      <c r="W68" s="161">
        <f t="shared" si="6"/>
        <v>0.18811468998866515</v>
      </c>
      <c r="X68" s="156">
        <f>IFERROR(_xlfn.XLOOKUP($A68,'Raw Data'!$G:$G,'Raw Data'!$AB:$AB),"")</f>
        <v>53096</v>
      </c>
      <c r="Y68" s="156">
        <f>IFERROR(_xlfn.XLOOKUP($A68,'Raw Data'!$G:$G,'Raw Data'!AC:AC),"")</f>
        <v>53089.400000011665</v>
      </c>
      <c r="Z68" s="156">
        <f>IFERROR(_xlfn.XLOOKUP($A68,'Raw Data'!$G:$G,'Raw Data'!AD:AD),"")</f>
        <v>176.49999999991905</v>
      </c>
      <c r="AA68" s="156">
        <f>IFERROR(_xlfn.XLOOKUP($A68,'Raw Data'!$G:$G,'Raw Data'!AE:AE),"")</f>
        <v>52912.900000011745</v>
      </c>
      <c r="AB68" s="156">
        <f>IFERROR(_xlfn.XLOOKUP($A68,'Raw Data'!$G:$G,'Raw Data'!$H:$H),"")</f>
        <v>11.72</v>
      </c>
      <c r="AC68" s="162">
        <f>IFERROR(_xlfn.XLOOKUP($D68,'Modelling New'!$D:$D,'Modelling New'!$P:$P),"")</f>
        <v>5.617271453333335</v>
      </c>
      <c r="AD68" s="156">
        <f>IFERROR(_xlfn.XLOOKUP($D68,'Modelling New'!$D:$D,'Modelling New'!$T:$T)*1000,"")</f>
        <v>47413.538853540602</v>
      </c>
      <c r="AE68" s="163">
        <f>IFERROR(_xlfn.XLOOKUP($D68,'Modelling New'!$D:$D,'Modelling New'!$O:$O),"")</f>
        <v>0.72019375003918806</v>
      </c>
      <c r="AF68" s="163">
        <f>IFERROR(_xlfn.XLOOKUP($D68,'Modelling New'!$D:$D,'Modelling New'!$W:$W),"")</f>
        <v>0.16856349137350896</v>
      </c>
      <c r="AG68" s="163">
        <f>IFERROR(_xlfn.XLOOKUP($D68,'Modelling New'!$D:$D,'Modelling New'!AE:AE),"")</f>
        <v>0.995</v>
      </c>
      <c r="AH68" s="163">
        <f>IFERROR(_xlfn.XLOOKUP($D68,'Modelling New'!$D:$D,'Modelling New'!AF:AF),"")</f>
        <v>0.98550000000000004</v>
      </c>
      <c r="AN68" s="164"/>
      <c r="AO68" s="161"/>
      <c r="AP68" s="161"/>
      <c r="AQ68" s="161"/>
      <c r="AR68" s="156">
        <f>IFERROR(_xlfn.XLOOKUP($D68,'Modelling New'!$D:$D,'Modelling New'!$N:$N),"")</f>
        <v>11.72</v>
      </c>
    </row>
    <row r="69" spans="1:44">
      <c r="A69" s="155">
        <f t="shared" si="7"/>
        <v>45812</v>
      </c>
      <c r="B69" s="156">
        <f>YEAR(Table13[[#This Row],[Date]])+IF(MONTH(Table13[[#This Row],[Date]])&gt;=4,1,0)</f>
        <v>2026</v>
      </c>
      <c r="C69" s="129">
        <f>YEAR(Table13[[#This Row],[Date]])</f>
        <v>2025</v>
      </c>
      <c r="D69" s="157">
        <f>Table13[[#This Row],[Date]]-DAY(Table13[[#This Row],[Date]])+1</f>
        <v>45809</v>
      </c>
      <c r="E69" s="129">
        <f t="shared" si="4"/>
        <v>30</v>
      </c>
      <c r="F69" s="130">
        <f>IFERROR(_xlfn.XLOOKUP($A69,'Raw Data'!$G:$G,'Raw Data'!$AH:$AH),"")</f>
        <v>12.55</v>
      </c>
      <c r="G69" s="131">
        <f>IFERROR(_xlfn.XLOOKUP($A69,'Raw Data'!$G:$G,'Raw Data'!$S:$S)/1000,"")</f>
        <v>0</v>
      </c>
      <c r="H69" s="131"/>
      <c r="I69" s="131">
        <f>IFERROR(_xlfn.XLOOKUP($A69,'Raw Data'!$G:$G,'Raw Data'!$AF:$AF)/1000,"")</f>
        <v>7.8514999999999997</v>
      </c>
      <c r="J69" s="131"/>
      <c r="K69" s="131">
        <f>IFERROR(_xlfn.XLOOKUP($A69,'Raw Data'!$G:$G,'Raw Data'!W:W),"")</f>
        <v>23</v>
      </c>
      <c r="L69" s="131">
        <f>IFERROR(_xlfn.XLOOKUP($A69,'Raw Data'!$G:$G,'Raw Data'!X:X),"")</f>
        <v>39</v>
      </c>
      <c r="M69" s="131">
        <f>IFERROR(_xlfn.XLOOKUP($A69,'Raw Data'!$G:$G,'Raw Data'!Y:Y),"")</f>
        <v>2</v>
      </c>
      <c r="N69" s="131">
        <f>IFERROR(_xlfn.XLOOKUP($A69,'Raw Data'!$G:$G,'Raw Data'!Z:Z),"")</f>
        <v>7</v>
      </c>
      <c r="O69" s="158">
        <f>IFERROR(1-SUMIF('Plant BD'!$H:$H,$A69,'Plant BD'!AC:AC)/$F69,"")</f>
        <v>1</v>
      </c>
      <c r="P69" s="158"/>
      <c r="Q69" s="159"/>
      <c r="R69" s="158">
        <f>IFERROR(1-SUMIF('Grid BD'!$H:$H,$A69,'Grid BD'!AB:AB)/$F69,"")</f>
        <v>1</v>
      </c>
      <c r="T69" s="159">
        <f>IFERROR(1-SUMIF(Tracker_BD!$H:$H,$A69,Tracker_BD!AI:AI)/$F69,"")</f>
        <v>0.98584207232373189</v>
      </c>
      <c r="U69" s="160">
        <f t="shared" si="5"/>
        <v>0.67889899084518313</v>
      </c>
      <c r="V69" s="160"/>
      <c r="W69" s="161">
        <f t="shared" si="6"/>
        <v>0.2220989761092064</v>
      </c>
      <c r="X69" s="156">
        <f>IFERROR(_xlfn.XLOOKUP($A69,'Raw Data'!$G:$G,'Raw Data'!$AB:$AB),"")</f>
        <v>62632</v>
      </c>
      <c r="Y69" s="156">
        <f>IFERROR(_xlfn.XLOOKUP($A69,'Raw Data'!$G:$G,'Raw Data'!AC:AC),"")</f>
        <v>62627.399999997579</v>
      </c>
      <c r="Z69" s="156">
        <f>IFERROR(_xlfn.XLOOKUP($A69,'Raw Data'!$G:$G,'Raw Data'!AD:AD),"")</f>
        <v>155.39999999998599</v>
      </c>
      <c r="AA69" s="156">
        <f>IFERROR(_xlfn.XLOOKUP($A69,'Raw Data'!$G:$G,'Raw Data'!AE:AE),"")</f>
        <v>62471.999999997592</v>
      </c>
      <c r="AB69" s="156">
        <f>IFERROR(_xlfn.XLOOKUP($A69,'Raw Data'!$G:$G,'Raw Data'!$H:$H),"")</f>
        <v>11.72</v>
      </c>
      <c r="AC69" s="162">
        <f>IFERROR(_xlfn.XLOOKUP($D69,'Modelling New'!$D:$D,'Modelling New'!$P:$P),"")</f>
        <v>5.617271453333335</v>
      </c>
      <c r="AD69" s="156">
        <f>IFERROR(_xlfn.XLOOKUP($D69,'Modelling New'!$D:$D,'Modelling New'!$T:$T)*1000,"")</f>
        <v>47413.538853540602</v>
      </c>
      <c r="AE69" s="163">
        <f>IFERROR(_xlfn.XLOOKUP($D69,'Modelling New'!$D:$D,'Modelling New'!$O:$O),"")</f>
        <v>0.72019375003918806</v>
      </c>
      <c r="AF69" s="163">
        <f>IFERROR(_xlfn.XLOOKUP($D69,'Modelling New'!$D:$D,'Modelling New'!$W:$W),"")</f>
        <v>0.16856349137350896</v>
      </c>
      <c r="AG69" s="163">
        <f>IFERROR(_xlfn.XLOOKUP($D69,'Modelling New'!$D:$D,'Modelling New'!AE:AE),"")</f>
        <v>0.995</v>
      </c>
      <c r="AH69" s="163">
        <f>IFERROR(_xlfn.XLOOKUP($D69,'Modelling New'!$D:$D,'Modelling New'!AF:AF),"")</f>
        <v>0.98550000000000004</v>
      </c>
      <c r="AN69" s="164"/>
      <c r="AO69" s="161"/>
      <c r="AP69" s="161"/>
      <c r="AQ69" s="161"/>
      <c r="AR69" s="156">
        <f>IFERROR(_xlfn.XLOOKUP($D69,'Modelling New'!$D:$D,'Modelling New'!$N:$N),"")</f>
        <v>11.72</v>
      </c>
    </row>
    <row r="70" spans="1:44">
      <c r="A70" s="155">
        <f t="shared" si="7"/>
        <v>45813</v>
      </c>
      <c r="B70" s="156">
        <f>YEAR(Table13[[#This Row],[Date]])+IF(MONTH(Table13[[#This Row],[Date]])&gt;=4,1,0)</f>
        <v>2026</v>
      </c>
      <c r="C70" s="129">
        <f>YEAR(Table13[[#This Row],[Date]])</f>
        <v>2025</v>
      </c>
      <c r="D70" s="157">
        <f>Table13[[#This Row],[Date]]-DAY(Table13[[#This Row],[Date]])+1</f>
        <v>45809</v>
      </c>
      <c r="E70" s="129">
        <f t="shared" si="4"/>
        <v>30</v>
      </c>
      <c r="F70" s="130">
        <f>IFERROR(_xlfn.XLOOKUP($A70,'Raw Data'!$G:$G,'Raw Data'!$AH:$AH),"")</f>
        <v>12.566666666666666</v>
      </c>
      <c r="G70" s="131">
        <f>IFERROR(_xlfn.XLOOKUP($A70,'Raw Data'!$G:$G,'Raw Data'!$S:$S)/1000,"")</f>
        <v>0</v>
      </c>
      <c r="H70" s="131"/>
      <c r="I70" s="131">
        <f>IFERROR(_xlfn.XLOOKUP($A70,'Raw Data'!$G:$G,'Raw Data'!$AF:$AF)/1000,"")</f>
        <v>3.3620000000000001</v>
      </c>
      <c r="J70" s="131"/>
      <c r="K70" s="131">
        <f>IFERROR(_xlfn.XLOOKUP($A70,'Raw Data'!$G:$G,'Raw Data'!W:W),"")</f>
        <v>22</v>
      </c>
      <c r="L70" s="131">
        <f>IFERROR(_xlfn.XLOOKUP($A70,'Raw Data'!$G:$G,'Raw Data'!X:X),"")</f>
        <v>36</v>
      </c>
      <c r="M70" s="131">
        <f>IFERROR(_xlfn.XLOOKUP($A70,'Raw Data'!$G:$G,'Raw Data'!Y:Y),"")</f>
        <v>3</v>
      </c>
      <c r="N70" s="131">
        <f>IFERROR(_xlfn.XLOOKUP($A70,'Raw Data'!$G:$G,'Raw Data'!Z:Z),"")</f>
        <v>6</v>
      </c>
      <c r="O70" s="158">
        <f>IFERROR(1-SUMIF('Plant BD'!$H:$H,$A70,'Plant BD'!AC:AC)/$F70,"")</f>
        <v>1</v>
      </c>
      <c r="P70" s="158"/>
      <c r="Q70" s="159"/>
      <c r="R70" s="158">
        <f>IFERROR(1-SUMIF('Grid BD'!$H:$H,$A70,'Grid BD'!AB:AB)/$F70,"")</f>
        <v>1</v>
      </c>
      <c r="T70" s="159">
        <f>IFERROR(1-SUMIF(Tracker_BD!$H:$H,$A70,Tracker_BD!AI:AI)/$F70,"")</f>
        <v>0.98593707125217234</v>
      </c>
      <c r="U70" s="160">
        <f t="shared" si="5"/>
        <v>0.77158789360313185</v>
      </c>
      <c r="V70" s="160"/>
      <c r="W70" s="161">
        <f t="shared" si="6"/>
        <v>0.10808660409557204</v>
      </c>
      <c r="X70" s="156">
        <f>IFERROR(_xlfn.XLOOKUP($A70,'Raw Data'!$G:$G,'Raw Data'!$AB:$AB),"")</f>
        <v>30612</v>
      </c>
      <c r="Y70" s="156">
        <f>IFERROR(_xlfn.XLOOKUP($A70,'Raw Data'!$G:$G,'Raw Data'!AC:AC),"")</f>
        <v>30584.000000002561</v>
      </c>
      <c r="Z70" s="156">
        <f>IFERROR(_xlfn.XLOOKUP($A70,'Raw Data'!$G:$G,'Raw Data'!AD:AD),"")</f>
        <v>181.4000000000533</v>
      </c>
      <c r="AA70" s="156">
        <f>IFERROR(_xlfn.XLOOKUP($A70,'Raw Data'!$G:$G,'Raw Data'!AE:AE),"")</f>
        <v>30402.600000002509</v>
      </c>
      <c r="AB70" s="156">
        <f>IFERROR(_xlfn.XLOOKUP($A70,'Raw Data'!$G:$G,'Raw Data'!$H:$H),"")</f>
        <v>11.72</v>
      </c>
      <c r="AC70" s="162">
        <f>IFERROR(_xlfn.XLOOKUP($D70,'Modelling New'!$D:$D,'Modelling New'!$P:$P),"")</f>
        <v>5.617271453333335</v>
      </c>
      <c r="AD70" s="156">
        <f>IFERROR(_xlfn.XLOOKUP($D70,'Modelling New'!$D:$D,'Modelling New'!$T:$T)*1000,"")</f>
        <v>47413.538853540602</v>
      </c>
      <c r="AE70" s="163">
        <f>IFERROR(_xlfn.XLOOKUP($D70,'Modelling New'!$D:$D,'Modelling New'!$O:$O),"")</f>
        <v>0.72019375003918806</v>
      </c>
      <c r="AF70" s="163">
        <f>IFERROR(_xlfn.XLOOKUP($D70,'Modelling New'!$D:$D,'Modelling New'!$W:$W),"")</f>
        <v>0.16856349137350896</v>
      </c>
      <c r="AG70" s="163">
        <f>IFERROR(_xlfn.XLOOKUP($D70,'Modelling New'!$D:$D,'Modelling New'!AE:AE),"")</f>
        <v>0.995</v>
      </c>
      <c r="AH70" s="163">
        <f>IFERROR(_xlfn.XLOOKUP($D70,'Modelling New'!$D:$D,'Modelling New'!AF:AF),"")</f>
        <v>0.98550000000000004</v>
      </c>
      <c r="AN70" s="164"/>
      <c r="AO70" s="161"/>
      <c r="AP70" s="161"/>
      <c r="AQ70" s="161"/>
      <c r="AR70" s="156">
        <f>IFERROR(_xlfn.XLOOKUP($D70,'Modelling New'!$D:$D,'Modelling New'!$N:$N),"")</f>
        <v>11.72</v>
      </c>
    </row>
    <row r="71" spans="1:44">
      <c r="A71" s="155">
        <f t="shared" si="7"/>
        <v>45814</v>
      </c>
      <c r="B71" s="156">
        <f>YEAR(Table13[[#This Row],[Date]])+IF(MONTH(Table13[[#This Row],[Date]])&gt;=4,1,0)</f>
        <v>2026</v>
      </c>
      <c r="C71" s="129">
        <f>YEAR(Table13[[#This Row],[Date]])</f>
        <v>2025</v>
      </c>
      <c r="D71" s="157">
        <f>Table13[[#This Row],[Date]]-DAY(Table13[[#This Row],[Date]])+1</f>
        <v>45809</v>
      </c>
      <c r="E71" s="129">
        <f t="shared" si="4"/>
        <v>30</v>
      </c>
      <c r="F71" s="130">
        <f>IFERROR(_xlfn.XLOOKUP($A71,'Raw Data'!$G:$G,'Raw Data'!$AH:$AH),"")</f>
        <v>12.55</v>
      </c>
      <c r="G71" s="131">
        <f>IFERROR(_xlfn.XLOOKUP($A71,'Raw Data'!$G:$G,'Raw Data'!$S:$S)/1000,"")</f>
        <v>0</v>
      </c>
      <c r="H71" s="131"/>
      <c r="I71" s="131">
        <f>IFERROR(_xlfn.XLOOKUP($A71,'Raw Data'!$G:$G,'Raw Data'!$AF:$AF)/1000,"")</f>
        <v>6.9024999999999999</v>
      </c>
      <c r="J71" s="131"/>
      <c r="K71" s="131">
        <f>IFERROR(_xlfn.XLOOKUP($A71,'Raw Data'!$G:$G,'Raw Data'!W:W),"")</f>
        <v>23</v>
      </c>
      <c r="L71" s="131">
        <f>IFERROR(_xlfn.XLOOKUP($A71,'Raw Data'!$G:$G,'Raw Data'!X:X),"")</f>
        <v>39</v>
      </c>
      <c r="M71" s="131">
        <f>IFERROR(_xlfn.XLOOKUP($A71,'Raw Data'!$G:$G,'Raw Data'!Y:Y),"")</f>
        <v>2</v>
      </c>
      <c r="N71" s="131">
        <f>IFERROR(_xlfn.XLOOKUP($A71,'Raw Data'!$G:$G,'Raw Data'!Z:Z),"")</f>
        <v>5</v>
      </c>
      <c r="O71" s="158">
        <f>IFERROR(1-SUMIF('Plant BD'!$H:$H,$A71,'Plant BD'!AC:AC)/$F71,"")</f>
        <v>1</v>
      </c>
      <c r="P71" s="158"/>
      <c r="Q71" s="159"/>
      <c r="R71" s="158">
        <f>IFERROR(1-SUMIF('Grid BD'!$H:$H,$A71,'Grid BD'!AB:AB)/$F71,"")</f>
        <v>0.74634794156706508</v>
      </c>
      <c r="T71" s="159">
        <f>IFERROR(1-SUMIF(Tracker_BD!$H:$H,$A71,Tracker_BD!AI:AI)/$F71,"")</f>
        <v>0.9859947184442307</v>
      </c>
      <c r="U71" s="160">
        <f t="shared" si="5"/>
        <v>0.49108066647452514</v>
      </c>
      <c r="V71" s="160"/>
      <c r="W71" s="161">
        <f t="shared" si="6"/>
        <v>0.14123684584751703</v>
      </c>
      <c r="X71" s="156">
        <f>IFERROR(_xlfn.XLOOKUP($A71,'Raw Data'!$G:$G,'Raw Data'!$AB:$AB),"")</f>
        <v>39908</v>
      </c>
      <c r="Y71" s="156">
        <f>IFERROR(_xlfn.XLOOKUP($A71,'Raw Data'!$G:$G,'Raw Data'!AC:AC),"")</f>
        <v>39909.399999989546</v>
      </c>
      <c r="Z71" s="156">
        <f>IFERROR(_xlfn.XLOOKUP($A71,'Raw Data'!$G:$G,'Raw Data'!AD:AD),"")</f>
        <v>182.29999999994106</v>
      </c>
      <c r="AA71" s="156">
        <f>IFERROR(_xlfn.XLOOKUP($A71,'Raw Data'!$G:$G,'Raw Data'!AE:AE),"")</f>
        <v>39727.099999989601</v>
      </c>
      <c r="AB71" s="156">
        <f>IFERROR(_xlfn.XLOOKUP($A71,'Raw Data'!$G:$G,'Raw Data'!$H:$H),"")</f>
        <v>11.72</v>
      </c>
      <c r="AC71" s="162">
        <f>IFERROR(_xlfn.XLOOKUP($D71,'Modelling New'!$D:$D,'Modelling New'!$P:$P),"")</f>
        <v>5.617271453333335</v>
      </c>
      <c r="AD71" s="156">
        <f>IFERROR(_xlfn.XLOOKUP($D71,'Modelling New'!$D:$D,'Modelling New'!$T:$T)*1000,"")</f>
        <v>47413.538853540602</v>
      </c>
      <c r="AE71" s="163">
        <f>IFERROR(_xlfn.XLOOKUP($D71,'Modelling New'!$D:$D,'Modelling New'!$O:$O),"")</f>
        <v>0.72019375003918806</v>
      </c>
      <c r="AF71" s="163">
        <f>IFERROR(_xlfn.XLOOKUP($D71,'Modelling New'!$D:$D,'Modelling New'!$W:$W),"")</f>
        <v>0.16856349137350896</v>
      </c>
      <c r="AG71" s="163">
        <f>IFERROR(_xlfn.XLOOKUP($D71,'Modelling New'!$D:$D,'Modelling New'!AE:AE),"")</f>
        <v>0.995</v>
      </c>
      <c r="AH71" s="163">
        <f>IFERROR(_xlfn.XLOOKUP($D71,'Modelling New'!$D:$D,'Modelling New'!AF:AF),"")</f>
        <v>0.98550000000000004</v>
      </c>
      <c r="AN71" s="164"/>
      <c r="AO71" s="161"/>
      <c r="AP71" s="161"/>
      <c r="AQ71" s="161"/>
      <c r="AR71" s="156">
        <f>IFERROR(_xlfn.XLOOKUP($D71,'Modelling New'!$D:$D,'Modelling New'!$N:$N),"")</f>
        <v>11.72</v>
      </c>
    </row>
    <row r="72" spans="1:44">
      <c r="A72" s="155">
        <f t="shared" si="7"/>
        <v>45815</v>
      </c>
      <c r="B72" s="156">
        <f>YEAR(Table13[[#This Row],[Date]])+IF(MONTH(Table13[[#This Row],[Date]])&gt;=4,1,0)</f>
        <v>2026</v>
      </c>
      <c r="C72" s="129">
        <f>YEAR(Table13[[#This Row],[Date]])</f>
        <v>2025</v>
      </c>
      <c r="D72" s="157">
        <f>Table13[[#This Row],[Date]]-DAY(Table13[[#This Row],[Date]])+1</f>
        <v>45809</v>
      </c>
      <c r="E72" s="129">
        <f t="shared" si="4"/>
        <v>30</v>
      </c>
      <c r="F72" s="130">
        <f>IFERROR(_xlfn.XLOOKUP($A72,'Raw Data'!$G:$G,'Raw Data'!$AH:$AH),"")</f>
        <v>12.716666666666667</v>
      </c>
      <c r="G72" s="131">
        <f>IFERROR(_xlfn.XLOOKUP($A72,'Raw Data'!$G:$G,'Raw Data'!$S:$S)/1000,"")</f>
        <v>0</v>
      </c>
      <c r="H72" s="131"/>
      <c r="I72" s="131">
        <f>IFERROR(_xlfn.XLOOKUP($A72,'Raw Data'!$G:$G,'Raw Data'!$AF:$AF)/1000,"")</f>
        <v>5.718</v>
      </c>
      <c r="J72" s="131"/>
      <c r="K72" s="131">
        <f>IFERROR(_xlfn.XLOOKUP($A72,'Raw Data'!$G:$G,'Raw Data'!W:W),"")</f>
        <v>22</v>
      </c>
      <c r="L72" s="131">
        <f>IFERROR(_xlfn.XLOOKUP($A72,'Raw Data'!$G:$G,'Raw Data'!X:X),"")</f>
        <v>40</v>
      </c>
      <c r="M72" s="131">
        <f>IFERROR(_xlfn.XLOOKUP($A72,'Raw Data'!$G:$G,'Raw Data'!Y:Y),"")</f>
        <v>3</v>
      </c>
      <c r="N72" s="131">
        <f>IFERROR(_xlfn.XLOOKUP($A72,'Raw Data'!$G:$G,'Raw Data'!Z:Z),"")</f>
        <v>6</v>
      </c>
      <c r="O72" s="158">
        <f>IFERROR(1-SUMIF('Plant BD'!$H:$H,$A72,'Plant BD'!AC:AC)/$F72,"")</f>
        <v>1</v>
      </c>
      <c r="P72" s="158"/>
      <c r="Q72" s="159"/>
      <c r="R72" s="158">
        <f>IFERROR(1-SUMIF('Grid BD'!$H:$H,$A72,'Grid BD'!AB:AB)/$F72,"")</f>
        <v>0.98689384010484937</v>
      </c>
      <c r="T72" s="159">
        <f>IFERROR(1-SUMIF(Tracker_BD!$H:$H,$A72,Tracker_BD!AI:AI)/$F72,"")</f>
        <v>0.98604645907714561</v>
      </c>
      <c r="U72" s="160">
        <f t="shared" si="5"/>
        <v>0.7072241780045061</v>
      </c>
      <c r="V72" s="160"/>
      <c r="W72" s="161">
        <f t="shared" si="6"/>
        <v>0.16849616040957355</v>
      </c>
      <c r="X72" s="156">
        <f>IFERROR(_xlfn.XLOOKUP($A72,'Raw Data'!$G:$G,'Raw Data'!$AB:$AB),"")</f>
        <v>47632</v>
      </c>
      <c r="Y72" s="156">
        <f>IFERROR(_xlfn.XLOOKUP($A72,'Raw Data'!$G:$G,'Raw Data'!AC:AC),"")</f>
        <v>47586.500000004889</v>
      </c>
      <c r="Z72" s="156">
        <f>IFERROR(_xlfn.XLOOKUP($A72,'Raw Data'!$G:$G,'Raw Data'!AD:AD),"")</f>
        <v>191.90000000003238</v>
      </c>
      <c r="AA72" s="156">
        <f>IFERROR(_xlfn.XLOOKUP($A72,'Raw Data'!$G:$G,'Raw Data'!AE:AE),"")</f>
        <v>47394.600000004859</v>
      </c>
      <c r="AB72" s="156">
        <f>IFERROR(_xlfn.XLOOKUP($A72,'Raw Data'!$G:$G,'Raw Data'!$H:$H),"")</f>
        <v>11.72</v>
      </c>
      <c r="AC72" s="162">
        <f>IFERROR(_xlfn.XLOOKUP($D72,'Modelling New'!$D:$D,'Modelling New'!$P:$P),"")</f>
        <v>5.617271453333335</v>
      </c>
      <c r="AD72" s="156">
        <f>IFERROR(_xlfn.XLOOKUP($D72,'Modelling New'!$D:$D,'Modelling New'!$T:$T)*1000,"")</f>
        <v>47413.538853540602</v>
      </c>
      <c r="AE72" s="163">
        <f>IFERROR(_xlfn.XLOOKUP($D72,'Modelling New'!$D:$D,'Modelling New'!$O:$O),"")</f>
        <v>0.72019375003918806</v>
      </c>
      <c r="AF72" s="163">
        <f>IFERROR(_xlfn.XLOOKUP($D72,'Modelling New'!$D:$D,'Modelling New'!$W:$W),"")</f>
        <v>0.16856349137350896</v>
      </c>
      <c r="AG72" s="163">
        <f>IFERROR(_xlfn.XLOOKUP($D72,'Modelling New'!$D:$D,'Modelling New'!AE:AE),"")</f>
        <v>0.995</v>
      </c>
      <c r="AH72" s="163">
        <f>IFERROR(_xlfn.XLOOKUP($D72,'Modelling New'!$D:$D,'Modelling New'!AF:AF),"")</f>
        <v>0.98550000000000004</v>
      </c>
      <c r="AN72" s="164"/>
      <c r="AO72" s="161"/>
      <c r="AP72" s="161"/>
      <c r="AQ72" s="161"/>
      <c r="AR72" s="156">
        <f>IFERROR(_xlfn.XLOOKUP($D72,'Modelling New'!$D:$D,'Modelling New'!$N:$N),"")</f>
        <v>11.72</v>
      </c>
    </row>
    <row r="73" spans="1:44">
      <c r="A73" s="155">
        <f t="shared" si="7"/>
        <v>45816</v>
      </c>
      <c r="B73" s="156">
        <f>YEAR(Table13[[#This Row],[Date]])+IF(MONTH(Table13[[#This Row],[Date]])&gt;=4,1,0)</f>
        <v>2026</v>
      </c>
      <c r="C73" s="129">
        <f>YEAR(Table13[[#This Row],[Date]])</f>
        <v>2025</v>
      </c>
      <c r="D73" s="157">
        <f>Table13[[#This Row],[Date]]-DAY(Table13[[#This Row],[Date]])+1</f>
        <v>45809</v>
      </c>
      <c r="E73" s="129">
        <f t="shared" si="4"/>
        <v>30</v>
      </c>
      <c r="F73" s="130">
        <f>IFERROR(_xlfn.XLOOKUP($A73,'Raw Data'!$G:$G,'Raw Data'!$AH:$AH),"")</f>
        <v>12.65</v>
      </c>
      <c r="G73" s="131">
        <f>IFERROR(_xlfn.XLOOKUP($A73,'Raw Data'!$G:$G,'Raw Data'!$S:$S)/1000,"")</f>
        <v>0</v>
      </c>
      <c r="H73" s="131"/>
      <c r="I73" s="131">
        <f>IFERROR(_xlfn.XLOOKUP($A73,'Raw Data'!$G:$G,'Raw Data'!$AF:$AF)/1000,"")</f>
        <v>6.0380000000000003</v>
      </c>
      <c r="J73" s="131"/>
      <c r="K73" s="131">
        <f>IFERROR(_xlfn.XLOOKUP($A73,'Raw Data'!$G:$G,'Raw Data'!W:W),"")</f>
        <v>24</v>
      </c>
      <c r="L73" s="131">
        <f>IFERROR(_xlfn.XLOOKUP($A73,'Raw Data'!$G:$G,'Raw Data'!X:X),"")</f>
        <v>39</v>
      </c>
      <c r="M73" s="131">
        <f>IFERROR(_xlfn.XLOOKUP($A73,'Raw Data'!$G:$G,'Raw Data'!Y:Y),"")</f>
        <v>2</v>
      </c>
      <c r="N73" s="131">
        <f>IFERROR(_xlfn.XLOOKUP($A73,'Raw Data'!$G:$G,'Raw Data'!Z:Z),"")</f>
        <v>5</v>
      </c>
      <c r="O73" s="158">
        <f>IFERROR(1-SUMIF('Plant BD'!$H:$H,$A73,'Plant BD'!AC:AC)/$F73,"")</f>
        <v>1</v>
      </c>
      <c r="P73" s="158"/>
      <c r="Q73" s="159"/>
      <c r="R73" s="158">
        <f>IFERROR(1-SUMIF('Grid BD'!$H:$H,$A73,'Grid BD'!AB:AB)/$F73,"")</f>
        <v>1</v>
      </c>
      <c r="T73" s="159">
        <f>IFERROR(1-SUMIF(Tracker_BD!$H:$H,$A73,Tracker_BD!AI:AI)/$F73,"")</f>
        <v>0.98601078248754415</v>
      </c>
      <c r="U73" s="160">
        <f t="shared" si="5"/>
        <v>0.72043723087112632</v>
      </c>
      <c r="V73" s="160"/>
      <c r="W73" s="161">
        <f t="shared" si="6"/>
        <v>0.18124999999999419</v>
      </c>
      <c r="X73" s="156">
        <f>IFERROR(_xlfn.XLOOKUP($A73,'Raw Data'!$G:$G,'Raw Data'!$AB:$AB),"")</f>
        <v>51189</v>
      </c>
      <c r="Y73" s="156">
        <f>IFERROR(_xlfn.XLOOKUP($A73,'Raw Data'!$G:$G,'Raw Data'!AC:AC),"")</f>
        <v>51165.099999998347</v>
      </c>
      <c r="Z73" s="156">
        <f>IFERROR(_xlfn.XLOOKUP($A73,'Raw Data'!$G:$G,'Raw Data'!AD:AD),"")</f>
        <v>183.09999999996762</v>
      </c>
      <c r="AA73" s="156">
        <f>IFERROR(_xlfn.XLOOKUP($A73,'Raw Data'!$G:$G,'Raw Data'!AE:AE),"")</f>
        <v>50981.999999998377</v>
      </c>
      <c r="AB73" s="156">
        <f>IFERROR(_xlfn.XLOOKUP($A73,'Raw Data'!$G:$G,'Raw Data'!$H:$H),"")</f>
        <v>11.72</v>
      </c>
      <c r="AC73" s="162">
        <f>IFERROR(_xlfn.XLOOKUP($D73,'Modelling New'!$D:$D,'Modelling New'!$P:$P),"")</f>
        <v>5.617271453333335</v>
      </c>
      <c r="AD73" s="156">
        <f>IFERROR(_xlfn.XLOOKUP($D73,'Modelling New'!$D:$D,'Modelling New'!$T:$T)*1000,"")</f>
        <v>47413.538853540602</v>
      </c>
      <c r="AE73" s="163">
        <f>IFERROR(_xlfn.XLOOKUP($D73,'Modelling New'!$D:$D,'Modelling New'!$O:$O),"")</f>
        <v>0.72019375003918806</v>
      </c>
      <c r="AF73" s="163">
        <f>IFERROR(_xlfn.XLOOKUP($D73,'Modelling New'!$D:$D,'Modelling New'!$W:$W),"")</f>
        <v>0.16856349137350896</v>
      </c>
      <c r="AG73" s="163">
        <f>IFERROR(_xlfn.XLOOKUP($D73,'Modelling New'!$D:$D,'Modelling New'!AE:AE),"")</f>
        <v>0.995</v>
      </c>
      <c r="AH73" s="163">
        <f>IFERROR(_xlfn.XLOOKUP($D73,'Modelling New'!$D:$D,'Modelling New'!AF:AF),"")</f>
        <v>0.98550000000000004</v>
      </c>
      <c r="AN73" s="164"/>
      <c r="AO73" s="161"/>
      <c r="AP73" s="161"/>
      <c r="AQ73" s="161"/>
      <c r="AR73" s="156">
        <f>IFERROR(_xlfn.XLOOKUP($D73,'Modelling New'!$D:$D,'Modelling New'!$N:$N),"")</f>
        <v>11.72</v>
      </c>
    </row>
    <row r="74" spans="1:44">
      <c r="A74" s="155">
        <f t="shared" si="7"/>
        <v>45817</v>
      </c>
      <c r="B74" s="156">
        <f>YEAR(Table13[[#This Row],[Date]])+IF(MONTH(Table13[[#This Row],[Date]])&gt;=4,1,0)</f>
        <v>2026</v>
      </c>
      <c r="C74" s="129">
        <f>YEAR(Table13[[#This Row],[Date]])</f>
        <v>2025</v>
      </c>
      <c r="D74" s="157">
        <f>Table13[[#This Row],[Date]]-DAY(Table13[[#This Row],[Date]])+1</f>
        <v>45809</v>
      </c>
      <c r="E74" s="129">
        <f t="shared" si="4"/>
        <v>30</v>
      </c>
      <c r="F74" s="130">
        <f>IFERROR(_xlfn.XLOOKUP($A74,'Raw Data'!$G:$G,'Raw Data'!$AH:$AH),"")</f>
        <v>12.016666666666666</v>
      </c>
      <c r="G74" s="131">
        <f>IFERROR(_xlfn.XLOOKUP($A74,'Raw Data'!$G:$G,'Raw Data'!$S:$S)/1000,"")</f>
        <v>0</v>
      </c>
      <c r="H74" s="131"/>
      <c r="I74" s="131">
        <f>IFERROR(_xlfn.XLOOKUP($A74,'Raw Data'!$G:$G,'Raw Data'!$AF:$AF)/1000,"")</f>
        <v>2.1930000000000001</v>
      </c>
      <c r="J74" s="131"/>
      <c r="K74" s="131">
        <f>IFERROR(_xlfn.XLOOKUP($A74,'Raw Data'!$G:$G,'Raw Data'!W:W),"")</f>
        <v>23</v>
      </c>
      <c r="L74" s="131">
        <f>IFERROR(_xlfn.XLOOKUP($A74,'Raw Data'!$G:$G,'Raw Data'!X:X),"")</f>
        <v>29</v>
      </c>
      <c r="M74" s="131">
        <f>IFERROR(_xlfn.XLOOKUP($A74,'Raw Data'!$G:$G,'Raw Data'!Y:Y),"")</f>
        <v>8</v>
      </c>
      <c r="N74" s="131">
        <f>IFERROR(_xlfn.XLOOKUP($A74,'Raw Data'!$G:$G,'Raw Data'!Z:Z),"")</f>
        <v>11</v>
      </c>
      <c r="O74" s="158">
        <f>IFERROR(1-SUMIF('Plant BD'!$H:$H,$A74,'Plant BD'!AC:AC)/$F74,"")</f>
        <v>1</v>
      </c>
      <c r="P74" s="158"/>
      <c r="Q74" s="159"/>
      <c r="R74" s="158">
        <f>IFERROR(1-SUMIF('Grid BD'!$H:$H,$A74,'Grid BD'!AB:AB)/$F74,"")</f>
        <v>1</v>
      </c>
      <c r="T74" s="159">
        <f>IFERROR(1-SUMIF(Tracker_BD!$H:$H,$A74,Tracker_BD!AI:AI)/$F74,"")</f>
        <v>0.9861702297256365</v>
      </c>
      <c r="U74" s="160">
        <f t="shared" si="5"/>
        <v>0.7814073323592885</v>
      </c>
      <c r="V74" s="160"/>
      <c r="W74" s="161">
        <f t="shared" si="6"/>
        <v>7.1401094994329964E-2</v>
      </c>
      <c r="X74" s="156">
        <f>IFERROR(_xlfn.XLOOKUP($A74,'Raw Data'!$G:$G,'Raw Data'!$AB:$AB),"")</f>
        <v>20411</v>
      </c>
      <c r="Y74" s="156">
        <f>IFERROR(_xlfn.XLOOKUP($A74,'Raw Data'!$G:$G,'Raw Data'!AC:AC),"")</f>
        <v>20307.400000005146</v>
      </c>
      <c r="Z74" s="156">
        <f>IFERROR(_xlfn.XLOOKUP($A74,'Raw Data'!$G:$G,'Raw Data'!AD:AD),"")</f>
        <v>223.700000000008</v>
      </c>
      <c r="AA74" s="156">
        <f>IFERROR(_xlfn.XLOOKUP($A74,'Raw Data'!$G:$G,'Raw Data'!AE:AE),"")</f>
        <v>20083.700000005138</v>
      </c>
      <c r="AB74" s="156">
        <f>IFERROR(_xlfn.XLOOKUP($A74,'Raw Data'!$G:$G,'Raw Data'!$H:$H),"")</f>
        <v>11.72</v>
      </c>
      <c r="AC74" s="162">
        <f>IFERROR(_xlfn.XLOOKUP($D74,'Modelling New'!$D:$D,'Modelling New'!$P:$P),"")</f>
        <v>5.617271453333335</v>
      </c>
      <c r="AD74" s="156">
        <f>IFERROR(_xlfn.XLOOKUP($D74,'Modelling New'!$D:$D,'Modelling New'!$T:$T)*1000,"")</f>
        <v>47413.538853540602</v>
      </c>
      <c r="AE74" s="163">
        <f>IFERROR(_xlfn.XLOOKUP($D74,'Modelling New'!$D:$D,'Modelling New'!$O:$O),"")</f>
        <v>0.72019375003918806</v>
      </c>
      <c r="AF74" s="163">
        <f>IFERROR(_xlfn.XLOOKUP($D74,'Modelling New'!$D:$D,'Modelling New'!$W:$W),"")</f>
        <v>0.16856349137350896</v>
      </c>
      <c r="AG74" s="163">
        <f>IFERROR(_xlfn.XLOOKUP($D74,'Modelling New'!$D:$D,'Modelling New'!AE:AE),"")</f>
        <v>0.995</v>
      </c>
      <c r="AH74" s="163">
        <f>IFERROR(_xlfn.XLOOKUP($D74,'Modelling New'!$D:$D,'Modelling New'!AF:AF),"")</f>
        <v>0.98550000000000004</v>
      </c>
      <c r="AN74" s="164"/>
      <c r="AO74" s="161"/>
      <c r="AP74" s="161"/>
      <c r="AQ74" s="161"/>
      <c r="AR74" s="156">
        <f>IFERROR(_xlfn.XLOOKUP($D74,'Modelling New'!$D:$D,'Modelling New'!$N:$N),"")</f>
        <v>11.72</v>
      </c>
    </row>
    <row r="75" spans="1:44">
      <c r="A75" s="155">
        <f t="shared" si="7"/>
        <v>45818</v>
      </c>
      <c r="B75" s="156">
        <f>YEAR(Table13[[#This Row],[Date]])+IF(MONTH(Table13[[#This Row],[Date]])&gt;=4,1,0)</f>
        <v>2026</v>
      </c>
      <c r="C75" s="129">
        <f>YEAR(Table13[[#This Row],[Date]])</f>
        <v>2025</v>
      </c>
      <c r="D75" s="157">
        <f>Table13[[#This Row],[Date]]-DAY(Table13[[#This Row],[Date]])+1</f>
        <v>45809</v>
      </c>
      <c r="E75" s="129">
        <f t="shared" si="4"/>
        <v>30</v>
      </c>
      <c r="F75" s="130">
        <f>IFERROR(_xlfn.XLOOKUP($A75,'Raw Data'!$G:$G,'Raw Data'!$AH:$AH),"")</f>
        <v>12.633333333333333</v>
      </c>
      <c r="G75" s="131">
        <f>IFERROR(_xlfn.XLOOKUP($A75,'Raw Data'!$G:$G,'Raw Data'!$S:$S)/1000,"")</f>
        <v>0</v>
      </c>
      <c r="H75" s="131"/>
      <c r="I75" s="131">
        <f>IFERROR(_xlfn.XLOOKUP($A75,'Raw Data'!$G:$G,'Raw Data'!$AF:$AF)/1000,"")</f>
        <v>1.3805000000000001</v>
      </c>
      <c r="J75" s="131"/>
      <c r="K75" s="131">
        <f>IFERROR(_xlfn.XLOOKUP($A75,'Raw Data'!$G:$G,'Raw Data'!W:W),"")</f>
        <v>23</v>
      </c>
      <c r="L75" s="131">
        <f>IFERROR(_xlfn.XLOOKUP($A75,'Raw Data'!$G:$G,'Raw Data'!X:X),"")</f>
        <v>26</v>
      </c>
      <c r="M75" s="131">
        <f>IFERROR(_xlfn.XLOOKUP($A75,'Raw Data'!$G:$G,'Raw Data'!Y:Y),"")</f>
        <v>9</v>
      </c>
      <c r="N75" s="131">
        <f>IFERROR(_xlfn.XLOOKUP($A75,'Raw Data'!$G:$G,'Raw Data'!Z:Z),"")</f>
        <v>13</v>
      </c>
      <c r="O75" s="158">
        <f>IFERROR(1-SUMIF('Plant BD'!$H:$H,$A75,'Plant BD'!AC:AC)/$F75,"")</f>
        <v>1</v>
      </c>
      <c r="P75" s="158"/>
      <c r="Q75" s="159"/>
      <c r="R75" s="158">
        <f>IFERROR(1-SUMIF('Grid BD'!$H:$H,$A75,'Grid BD'!AB:AB)/$F75,"")</f>
        <v>1</v>
      </c>
      <c r="T75" s="159">
        <f>IFERROR(1-SUMIF(Tracker_BD!$H:$H,$A75,Tracker_BD!AI:AI)/$F75,"")</f>
        <v>0.98610605647044547</v>
      </c>
      <c r="U75" s="160">
        <f t="shared" si="5"/>
        <v>0.8291809491781631</v>
      </c>
      <c r="V75" s="160"/>
      <c r="W75" s="161">
        <f t="shared" si="6"/>
        <v>4.7695179180852247E-2</v>
      </c>
      <c r="X75" s="156">
        <f>IFERROR(_xlfn.XLOOKUP($A75,'Raw Data'!$G:$G,'Raw Data'!$AB:$AB),"")</f>
        <v>13737</v>
      </c>
      <c r="Y75" s="156">
        <f>IFERROR(_xlfn.XLOOKUP($A75,'Raw Data'!$G:$G,'Raw Data'!AC:AC),"")</f>
        <v>13610.699999990175</v>
      </c>
      <c r="Z75" s="156">
        <f>IFERROR(_xlfn.XLOOKUP($A75,'Raw Data'!$G:$G,'Raw Data'!AD:AD),"")</f>
        <v>195.00000000005002</v>
      </c>
      <c r="AA75" s="156">
        <f>IFERROR(_xlfn.XLOOKUP($A75,'Raw Data'!$G:$G,'Raw Data'!AE:AE),"")</f>
        <v>13415.699999990124</v>
      </c>
      <c r="AB75" s="156">
        <f>IFERROR(_xlfn.XLOOKUP($A75,'Raw Data'!$G:$G,'Raw Data'!$H:$H),"")</f>
        <v>11.72</v>
      </c>
      <c r="AC75" s="162">
        <f>IFERROR(_xlfn.XLOOKUP($D75,'Modelling New'!$D:$D,'Modelling New'!$P:$P),"")</f>
        <v>5.617271453333335</v>
      </c>
      <c r="AD75" s="156">
        <f>IFERROR(_xlfn.XLOOKUP($D75,'Modelling New'!$D:$D,'Modelling New'!$T:$T)*1000,"")</f>
        <v>47413.538853540602</v>
      </c>
      <c r="AE75" s="163">
        <f>IFERROR(_xlfn.XLOOKUP($D75,'Modelling New'!$D:$D,'Modelling New'!$O:$O),"")</f>
        <v>0.72019375003918806</v>
      </c>
      <c r="AF75" s="163">
        <f>IFERROR(_xlfn.XLOOKUP($D75,'Modelling New'!$D:$D,'Modelling New'!$W:$W),"")</f>
        <v>0.16856349137350896</v>
      </c>
      <c r="AG75" s="163">
        <f>IFERROR(_xlfn.XLOOKUP($D75,'Modelling New'!$D:$D,'Modelling New'!AE:AE),"")</f>
        <v>0.995</v>
      </c>
      <c r="AH75" s="163">
        <f>IFERROR(_xlfn.XLOOKUP($D75,'Modelling New'!$D:$D,'Modelling New'!AF:AF),"")</f>
        <v>0.98550000000000004</v>
      </c>
      <c r="AN75" s="164"/>
      <c r="AO75" s="161"/>
      <c r="AP75" s="161"/>
      <c r="AQ75" s="161"/>
      <c r="AR75" s="156">
        <f>IFERROR(_xlfn.XLOOKUP($D75,'Modelling New'!$D:$D,'Modelling New'!$N:$N),"")</f>
        <v>11.72</v>
      </c>
    </row>
    <row r="76" spans="1:44">
      <c r="A76" s="155">
        <f t="shared" si="7"/>
        <v>45819</v>
      </c>
      <c r="B76" s="156">
        <f>YEAR(Table13[[#This Row],[Date]])+IF(MONTH(Table13[[#This Row],[Date]])&gt;=4,1,0)</f>
        <v>2026</v>
      </c>
      <c r="C76" s="129">
        <f>YEAR(Table13[[#This Row],[Date]])</f>
        <v>2025</v>
      </c>
      <c r="D76" s="157">
        <f>Table13[[#This Row],[Date]]-DAY(Table13[[#This Row],[Date]])+1</f>
        <v>45809</v>
      </c>
      <c r="E76" s="129">
        <f t="shared" si="4"/>
        <v>30</v>
      </c>
      <c r="F76" s="130">
        <f>IFERROR(_xlfn.XLOOKUP($A76,'Raw Data'!$G:$G,'Raw Data'!$AH:$AH),"")</f>
        <v>11.65</v>
      </c>
      <c r="G76" s="131">
        <f>IFERROR(_xlfn.XLOOKUP($A76,'Raw Data'!$G:$G,'Raw Data'!$S:$S)/1000,"")</f>
        <v>0</v>
      </c>
      <c r="H76" s="131"/>
      <c r="I76" s="131">
        <f>IFERROR(_xlfn.XLOOKUP($A76,'Raw Data'!$G:$G,'Raw Data'!$AF:$AF)/1000,"")</f>
        <v>3.0550000000000002</v>
      </c>
      <c r="J76" s="131"/>
      <c r="K76" s="131">
        <f>IFERROR(_xlfn.XLOOKUP($A76,'Raw Data'!$G:$G,'Raw Data'!W:W),"")</f>
        <v>23</v>
      </c>
      <c r="L76" s="131">
        <f>IFERROR(_xlfn.XLOOKUP($A76,'Raw Data'!$G:$G,'Raw Data'!X:X),"")</f>
        <v>31</v>
      </c>
      <c r="M76" s="131">
        <f>IFERROR(_xlfn.XLOOKUP($A76,'Raw Data'!$G:$G,'Raw Data'!Y:Y),"")</f>
        <v>8</v>
      </c>
      <c r="N76" s="131">
        <f>IFERROR(_xlfn.XLOOKUP($A76,'Raw Data'!$G:$G,'Raw Data'!Z:Z),"")</f>
        <v>11</v>
      </c>
      <c r="O76" s="158">
        <f>IFERROR(1-SUMIF('Plant BD'!$H:$H,$A76,'Plant BD'!AC:AC)/$F76,"")</f>
        <v>1</v>
      </c>
      <c r="P76" s="158"/>
      <c r="Q76" s="159"/>
      <c r="R76" s="158">
        <f>IFERROR(1-SUMIF('Grid BD'!$H:$H,$A76,'Grid BD'!AB:AB)/$F76,"")</f>
        <v>0.97854077253218885</v>
      </c>
      <c r="T76" s="159">
        <f>IFERROR(1-SUMIF(Tracker_BD!$H:$H,$A76,Tracker_BD!AI:AI)/$F76,"")</f>
        <v>0.98612549948201866</v>
      </c>
      <c r="U76" s="160">
        <f t="shared" si="5"/>
        <v>0.77213263100299601</v>
      </c>
      <c r="V76" s="160"/>
      <c r="W76" s="161">
        <f t="shared" si="6"/>
        <v>9.8286049488089694E-2</v>
      </c>
      <c r="X76" s="156">
        <f>IFERROR(_xlfn.XLOOKUP($A76,'Raw Data'!$G:$G,'Raw Data'!$AB:$AB),"")</f>
        <v>27888</v>
      </c>
      <c r="Y76" s="156">
        <f>IFERROR(_xlfn.XLOOKUP($A76,'Raw Data'!$G:$G,'Raw Data'!AC:AC),"")</f>
        <v>27841.200000009849</v>
      </c>
      <c r="Z76" s="156">
        <f>IFERROR(_xlfn.XLOOKUP($A76,'Raw Data'!$G:$G,'Raw Data'!AD:AD),"")</f>
        <v>195.29999999997472</v>
      </c>
      <c r="AA76" s="156">
        <f>IFERROR(_xlfn.XLOOKUP($A76,'Raw Data'!$G:$G,'Raw Data'!AE:AE),"")</f>
        <v>27645.900000009875</v>
      </c>
      <c r="AB76" s="156">
        <f>IFERROR(_xlfn.XLOOKUP($A76,'Raw Data'!$G:$G,'Raw Data'!$H:$H),"")</f>
        <v>11.72</v>
      </c>
      <c r="AC76" s="162">
        <f>IFERROR(_xlfn.XLOOKUP($D76,'Modelling New'!$D:$D,'Modelling New'!$P:$P),"")</f>
        <v>5.617271453333335</v>
      </c>
      <c r="AD76" s="156">
        <f>IFERROR(_xlfn.XLOOKUP($D76,'Modelling New'!$D:$D,'Modelling New'!$T:$T)*1000,"")</f>
        <v>47413.538853540602</v>
      </c>
      <c r="AE76" s="163">
        <f>IFERROR(_xlfn.XLOOKUP($D76,'Modelling New'!$D:$D,'Modelling New'!$O:$O),"")</f>
        <v>0.72019375003918806</v>
      </c>
      <c r="AF76" s="163">
        <f>IFERROR(_xlfn.XLOOKUP($D76,'Modelling New'!$D:$D,'Modelling New'!$W:$W),"")</f>
        <v>0.16856349137350896</v>
      </c>
      <c r="AG76" s="163">
        <f>IFERROR(_xlfn.XLOOKUP($D76,'Modelling New'!$D:$D,'Modelling New'!AE:AE),"")</f>
        <v>0.995</v>
      </c>
      <c r="AH76" s="163">
        <f>IFERROR(_xlfn.XLOOKUP($D76,'Modelling New'!$D:$D,'Modelling New'!AF:AF),"")</f>
        <v>0.98550000000000004</v>
      </c>
      <c r="AN76" s="164"/>
      <c r="AO76" s="161"/>
      <c r="AP76" s="161"/>
      <c r="AQ76" s="161"/>
      <c r="AR76" s="156">
        <f>IFERROR(_xlfn.XLOOKUP($D76,'Modelling New'!$D:$D,'Modelling New'!$N:$N),"")</f>
        <v>11.72</v>
      </c>
    </row>
    <row r="77" spans="1:44">
      <c r="A77" s="155">
        <f t="shared" si="7"/>
        <v>45820</v>
      </c>
      <c r="B77" s="156">
        <f>YEAR(Table13[[#This Row],[Date]])+IF(MONTH(Table13[[#This Row],[Date]])&gt;=4,1,0)</f>
        <v>2026</v>
      </c>
      <c r="C77" s="129">
        <f>YEAR(Table13[[#This Row],[Date]])</f>
        <v>2025</v>
      </c>
      <c r="D77" s="157">
        <f>Table13[[#This Row],[Date]]-DAY(Table13[[#This Row],[Date]])+1</f>
        <v>45809</v>
      </c>
      <c r="E77" s="129">
        <f t="shared" si="4"/>
        <v>30</v>
      </c>
      <c r="F77" s="130">
        <f>IFERROR(_xlfn.XLOOKUP($A77,'Raw Data'!$G:$G,'Raw Data'!$AH:$AH),"")</f>
        <v>11.833333333333334</v>
      </c>
      <c r="G77" s="131">
        <f>IFERROR(_xlfn.XLOOKUP($A77,'Raw Data'!$G:$G,'Raw Data'!$S:$S)/1000,"")</f>
        <v>0</v>
      </c>
      <c r="H77" s="131"/>
      <c r="I77" s="131">
        <f>IFERROR(_xlfn.XLOOKUP($A77,'Raw Data'!$G:$G,'Raw Data'!$AF:$AF)/1000,"")</f>
        <v>4.7089999999999996</v>
      </c>
      <c r="J77" s="131"/>
      <c r="K77" s="131">
        <f>IFERROR(_xlfn.XLOOKUP($A77,'Raw Data'!$G:$G,'Raw Data'!W:W),"")</f>
        <v>23</v>
      </c>
      <c r="L77" s="131">
        <f>IFERROR(_xlfn.XLOOKUP($A77,'Raw Data'!$G:$G,'Raw Data'!X:X),"")</f>
        <v>42</v>
      </c>
      <c r="M77" s="131">
        <f>IFERROR(_xlfn.XLOOKUP($A77,'Raw Data'!$G:$G,'Raw Data'!Y:Y),"")</f>
        <v>6</v>
      </c>
      <c r="N77" s="131">
        <f>IFERROR(_xlfn.XLOOKUP($A77,'Raw Data'!$G:$G,'Raw Data'!Z:Z),"")</f>
        <v>11</v>
      </c>
      <c r="O77" s="158">
        <f>IFERROR(1-SUMIF('Plant BD'!$H:$H,$A77,'Plant BD'!AC:AC)/$F77,"")</f>
        <v>1</v>
      </c>
      <c r="P77" s="158"/>
      <c r="Q77" s="159"/>
      <c r="R77" s="158">
        <f>IFERROR(1-SUMIF('Grid BD'!$H:$H,$A77,'Grid BD'!AB:AB)/$F77,"")</f>
        <v>0.98732394366197163</v>
      </c>
      <c r="T77" s="159">
        <f>IFERROR(1-SUMIF(Tracker_BD!$H:$H,$A77,Tracker_BD!AI:AI)/$F77,"")</f>
        <v>0.98603691112190384</v>
      </c>
      <c r="U77" s="160">
        <f t="shared" si="5"/>
        <v>0.75740159175263377</v>
      </c>
      <c r="V77" s="160"/>
      <c r="W77" s="161">
        <f t="shared" si="6"/>
        <v>0.14860850398179798</v>
      </c>
      <c r="X77" s="156">
        <f>IFERROR(_xlfn.XLOOKUP($A77,'Raw Data'!$G:$G,'Raw Data'!$AB:$AB),"")</f>
        <v>42025</v>
      </c>
      <c r="Y77" s="156">
        <f>IFERROR(_xlfn.XLOOKUP($A77,'Raw Data'!$G:$G,'Raw Data'!AC:AC),"")</f>
        <v>41990.200000000186</v>
      </c>
      <c r="Z77" s="156">
        <f>IFERROR(_xlfn.XLOOKUP($A77,'Raw Data'!$G:$G,'Raw Data'!AD:AD),"")</f>
        <v>189.60000000004129</v>
      </c>
      <c r="AA77" s="156">
        <f>IFERROR(_xlfn.XLOOKUP($A77,'Raw Data'!$G:$G,'Raw Data'!AE:AE),"")</f>
        <v>41800.600000000144</v>
      </c>
      <c r="AB77" s="156">
        <f>IFERROR(_xlfn.XLOOKUP($A77,'Raw Data'!$G:$G,'Raw Data'!$H:$H),"")</f>
        <v>11.72</v>
      </c>
      <c r="AC77" s="162">
        <f>IFERROR(_xlfn.XLOOKUP($D77,'Modelling New'!$D:$D,'Modelling New'!$P:$P),"")</f>
        <v>5.617271453333335</v>
      </c>
      <c r="AD77" s="156">
        <f>IFERROR(_xlfn.XLOOKUP($D77,'Modelling New'!$D:$D,'Modelling New'!$T:$T)*1000,"")</f>
        <v>47413.538853540602</v>
      </c>
      <c r="AE77" s="163">
        <f>IFERROR(_xlfn.XLOOKUP($D77,'Modelling New'!$D:$D,'Modelling New'!$O:$O),"")</f>
        <v>0.72019375003918806</v>
      </c>
      <c r="AF77" s="163">
        <f>IFERROR(_xlfn.XLOOKUP($D77,'Modelling New'!$D:$D,'Modelling New'!$W:$W),"")</f>
        <v>0.16856349137350896</v>
      </c>
      <c r="AG77" s="163">
        <f>IFERROR(_xlfn.XLOOKUP($D77,'Modelling New'!$D:$D,'Modelling New'!AE:AE),"")</f>
        <v>0.995</v>
      </c>
      <c r="AH77" s="163">
        <f>IFERROR(_xlfn.XLOOKUP($D77,'Modelling New'!$D:$D,'Modelling New'!AF:AF),"")</f>
        <v>0.98550000000000004</v>
      </c>
      <c r="AN77" s="164"/>
      <c r="AO77" s="161"/>
      <c r="AP77" s="161"/>
      <c r="AQ77" s="161"/>
      <c r="AR77" s="156">
        <f>IFERROR(_xlfn.XLOOKUP($D77,'Modelling New'!$D:$D,'Modelling New'!$N:$N),"")</f>
        <v>11.72</v>
      </c>
    </row>
    <row r="78" spans="1:44">
      <c r="A78" s="155">
        <f t="shared" si="7"/>
        <v>45821</v>
      </c>
      <c r="B78" s="156">
        <f>YEAR(Table13[[#This Row],[Date]])+IF(MONTH(Table13[[#This Row],[Date]])&gt;=4,1,0)</f>
        <v>2026</v>
      </c>
      <c r="C78" s="129">
        <f>YEAR(Table13[[#This Row],[Date]])</f>
        <v>2025</v>
      </c>
      <c r="D78" s="157">
        <f>Table13[[#This Row],[Date]]-DAY(Table13[[#This Row],[Date]])+1</f>
        <v>45809</v>
      </c>
      <c r="E78" s="129">
        <f t="shared" si="4"/>
        <v>30</v>
      </c>
      <c r="F78" s="130">
        <f>IFERROR(_xlfn.XLOOKUP($A78,'Raw Data'!$G:$G,'Raw Data'!$AH:$AH),"")</f>
        <v>12.65</v>
      </c>
      <c r="G78" s="131">
        <f>IFERROR(_xlfn.XLOOKUP($A78,'Raw Data'!$G:$G,'Raw Data'!$S:$S)/1000,"")</f>
        <v>0</v>
      </c>
      <c r="H78" s="131"/>
      <c r="I78" s="131">
        <f>IFERROR(_xlfn.XLOOKUP($A78,'Raw Data'!$G:$G,'Raw Data'!$AF:$AF)/1000,"")</f>
        <v>3.98</v>
      </c>
      <c r="J78" s="131"/>
      <c r="K78" s="131">
        <f>IFERROR(_xlfn.XLOOKUP($A78,'Raw Data'!$G:$G,'Raw Data'!W:W),"")</f>
        <v>23</v>
      </c>
      <c r="L78" s="131">
        <f>IFERROR(_xlfn.XLOOKUP($A78,'Raw Data'!$G:$G,'Raw Data'!X:X),"")</f>
        <v>41</v>
      </c>
      <c r="M78" s="131">
        <f>IFERROR(_xlfn.XLOOKUP($A78,'Raw Data'!$G:$G,'Raw Data'!Y:Y),"")</f>
        <v>3</v>
      </c>
      <c r="N78" s="131">
        <f>IFERROR(_xlfn.XLOOKUP($A78,'Raw Data'!$G:$G,'Raw Data'!Z:Z),"")</f>
        <v>5</v>
      </c>
      <c r="O78" s="158">
        <f>IFERROR(1-SUMIF('Plant BD'!$H:$H,$A78,'Plant BD'!AC:AC)/$F78,"")</f>
        <v>1</v>
      </c>
      <c r="P78" s="158"/>
      <c r="Q78" s="159"/>
      <c r="R78" s="158">
        <f>IFERROR(1-SUMIF('Grid BD'!$H:$H,$A78,'Grid BD'!AB:AB)/$F78,"")</f>
        <v>0.76284584980237158</v>
      </c>
      <c r="T78" s="159">
        <f>IFERROR(1-SUMIF(Tracker_BD!$H:$H,$A78,Tracker_BD!AI:AI)/$F78,"")</f>
        <v>0.98604864234549394</v>
      </c>
      <c r="U78" s="160">
        <f t="shared" si="5"/>
        <v>0.57478304491730303</v>
      </c>
      <c r="V78" s="160"/>
      <c r="W78" s="161">
        <f t="shared" si="6"/>
        <v>9.5318188282119409E-2</v>
      </c>
      <c r="X78" s="156">
        <f>IFERROR(_xlfn.XLOOKUP($A78,'Raw Data'!$G:$G,'Raw Data'!$AB:$AB),"")</f>
        <v>27064</v>
      </c>
      <c r="Y78" s="156">
        <f>IFERROR(_xlfn.XLOOKUP($A78,'Raw Data'!$G:$G,'Raw Data'!AC:AC),"")</f>
        <v>27067.899999994552</v>
      </c>
      <c r="Z78" s="156">
        <f>IFERROR(_xlfn.XLOOKUP($A78,'Raw Data'!$G:$G,'Raw Data'!AD:AD),"")</f>
        <v>256.79999999999836</v>
      </c>
      <c r="AA78" s="156">
        <f>IFERROR(_xlfn.XLOOKUP($A78,'Raw Data'!$G:$G,'Raw Data'!AE:AE),"")</f>
        <v>26811.099999994552</v>
      </c>
      <c r="AB78" s="156">
        <f>IFERROR(_xlfn.XLOOKUP($A78,'Raw Data'!$G:$G,'Raw Data'!$H:$H),"")</f>
        <v>11.72</v>
      </c>
      <c r="AC78" s="162">
        <f>IFERROR(_xlfn.XLOOKUP($D78,'Modelling New'!$D:$D,'Modelling New'!$P:$P),"")</f>
        <v>5.617271453333335</v>
      </c>
      <c r="AD78" s="156">
        <f>IFERROR(_xlfn.XLOOKUP($D78,'Modelling New'!$D:$D,'Modelling New'!$T:$T)*1000,"")</f>
        <v>47413.538853540602</v>
      </c>
      <c r="AE78" s="163">
        <f>IFERROR(_xlfn.XLOOKUP($D78,'Modelling New'!$D:$D,'Modelling New'!$O:$O),"")</f>
        <v>0.72019375003918806</v>
      </c>
      <c r="AF78" s="163">
        <f>IFERROR(_xlfn.XLOOKUP($D78,'Modelling New'!$D:$D,'Modelling New'!$W:$W),"")</f>
        <v>0.16856349137350896</v>
      </c>
      <c r="AG78" s="163">
        <f>IFERROR(_xlfn.XLOOKUP($D78,'Modelling New'!$D:$D,'Modelling New'!AE:AE),"")</f>
        <v>0.995</v>
      </c>
      <c r="AH78" s="163">
        <f>IFERROR(_xlfn.XLOOKUP($D78,'Modelling New'!$D:$D,'Modelling New'!AF:AF),"")</f>
        <v>0.98550000000000004</v>
      </c>
      <c r="AN78" s="164"/>
      <c r="AO78" s="161"/>
      <c r="AP78" s="161"/>
      <c r="AQ78" s="161"/>
      <c r="AR78" s="156">
        <f>IFERROR(_xlfn.XLOOKUP($D78,'Modelling New'!$D:$D,'Modelling New'!$N:$N),"")</f>
        <v>11.72</v>
      </c>
    </row>
    <row r="79" spans="1:44">
      <c r="A79" s="155">
        <f t="shared" si="7"/>
        <v>45822</v>
      </c>
      <c r="B79" s="156">
        <f>YEAR(Table13[[#This Row],[Date]])+IF(MONTH(Table13[[#This Row],[Date]])&gt;=4,1,0)</f>
        <v>2026</v>
      </c>
      <c r="C79" s="129">
        <f>YEAR(Table13[[#This Row],[Date]])</f>
        <v>2025</v>
      </c>
      <c r="D79" s="157">
        <f>Table13[[#This Row],[Date]]-DAY(Table13[[#This Row],[Date]])+1</f>
        <v>45809</v>
      </c>
      <c r="E79" s="129">
        <f t="shared" si="4"/>
        <v>30</v>
      </c>
      <c r="F79" s="130">
        <f>IFERROR(_xlfn.XLOOKUP($A79,'Raw Data'!$G:$G,'Raw Data'!$AH:$AH),"")</f>
        <v>12.733333333333334</v>
      </c>
      <c r="G79" s="131">
        <f>IFERROR(_xlfn.XLOOKUP($A79,'Raw Data'!$G:$G,'Raw Data'!$S:$S)/1000,"")</f>
        <v>0</v>
      </c>
      <c r="H79" s="131"/>
      <c r="I79" s="131">
        <f>IFERROR(_xlfn.XLOOKUP($A79,'Raw Data'!$G:$G,'Raw Data'!$AF:$AF)/1000,"")</f>
        <v>4.6150000000000002</v>
      </c>
      <c r="J79" s="131"/>
      <c r="K79" s="131">
        <f>IFERROR(_xlfn.XLOOKUP($A79,'Raw Data'!$G:$G,'Raw Data'!W:W),"")</f>
        <v>23</v>
      </c>
      <c r="L79" s="131">
        <f>IFERROR(_xlfn.XLOOKUP($A79,'Raw Data'!$G:$G,'Raw Data'!X:X),"")</f>
        <v>41</v>
      </c>
      <c r="M79" s="131">
        <f>IFERROR(_xlfn.XLOOKUP($A79,'Raw Data'!$G:$G,'Raw Data'!Y:Y),"")</f>
        <v>3</v>
      </c>
      <c r="N79" s="131">
        <f>IFERROR(_xlfn.XLOOKUP($A79,'Raw Data'!$G:$G,'Raw Data'!Z:Z),"")</f>
        <v>6</v>
      </c>
      <c r="O79" s="158">
        <f>IFERROR(1-SUMIF('Plant BD'!$H:$H,$A79,'Plant BD'!AC:AC)/$F79,"")</f>
        <v>1</v>
      </c>
      <c r="P79" s="158"/>
      <c r="Q79" s="159"/>
      <c r="R79" s="158">
        <f>IFERROR(1-SUMIF('Grid BD'!$H:$H,$A79,'Grid BD'!AB:AB)/$F79,"")</f>
        <v>1</v>
      </c>
      <c r="T79" s="159">
        <f>IFERROR(1-SUMIF(Tracker_BD!$H:$H,$A79,Tracker_BD!AI:AI)/$F79,"")</f>
        <v>0.98623397725221162</v>
      </c>
      <c r="U79" s="160">
        <f t="shared" si="5"/>
        <v>0.72795158982252994</v>
      </c>
      <c r="V79" s="160"/>
      <c r="W79" s="161">
        <f t="shared" si="6"/>
        <v>0.13997902445962399</v>
      </c>
      <c r="X79" s="156">
        <f>IFERROR(_xlfn.XLOOKUP($A79,'Raw Data'!$G:$G,'Raw Data'!$AB:$AB),"")</f>
        <v>39588</v>
      </c>
      <c r="Y79" s="156">
        <f>IFERROR(_xlfn.XLOOKUP($A79,'Raw Data'!$G:$G,'Raw Data'!AC:AC),"")</f>
        <v>39511.40000000305</v>
      </c>
      <c r="Z79" s="156">
        <f>IFERROR(_xlfn.XLOOKUP($A79,'Raw Data'!$G:$G,'Raw Data'!AD:AD),"")</f>
        <v>138.10000000000855</v>
      </c>
      <c r="AA79" s="156">
        <f>IFERROR(_xlfn.XLOOKUP($A79,'Raw Data'!$G:$G,'Raw Data'!AE:AE),"")</f>
        <v>39373.300000003044</v>
      </c>
      <c r="AB79" s="156">
        <f>IFERROR(_xlfn.XLOOKUP($A79,'Raw Data'!$G:$G,'Raw Data'!$H:$H),"")</f>
        <v>11.72</v>
      </c>
      <c r="AC79" s="162">
        <f>IFERROR(_xlfn.XLOOKUP($D79,'Modelling New'!$D:$D,'Modelling New'!$P:$P),"")</f>
        <v>5.617271453333335</v>
      </c>
      <c r="AD79" s="156">
        <f>IFERROR(_xlfn.XLOOKUP($D79,'Modelling New'!$D:$D,'Modelling New'!$T:$T)*1000,"")</f>
        <v>47413.538853540602</v>
      </c>
      <c r="AE79" s="163">
        <f>IFERROR(_xlfn.XLOOKUP($D79,'Modelling New'!$D:$D,'Modelling New'!$O:$O),"")</f>
        <v>0.72019375003918806</v>
      </c>
      <c r="AF79" s="163">
        <f>IFERROR(_xlfn.XLOOKUP($D79,'Modelling New'!$D:$D,'Modelling New'!$W:$W),"")</f>
        <v>0.16856349137350896</v>
      </c>
      <c r="AG79" s="163">
        <f>IFERROR(_xlfn.XLOOKUP($D79,'Modelling New'!$D:$D,'Modelling New'!AE:AE),"")</f>
        <v>0.995</v>
      </c>
      <c r="AH79" s="163">
        <f>IFERROR(_xlfn.XLOOKUP($D79,'Modelling New'!$D:$D,'Modelling New'!AF:AF),"")</f>
        <v>0.98550000000000004</v>
      </c>
      <c r="AN79" s="164"/>
      <c r="AO79" s="161"/>
      <c r="AP79" s="161"/>
      <c r="AQ79" s="161"/>
      <c r="AR79" s="156">
        <f>IFERROR(_xlfn.XLOOKUP($D79,'Modelling New'!$D:$D,'Modelling New'!$N:$N),"")</f>
        <v>11.72</v>
      </c>
    </row>
    <row r="80" spans="1:44">
      <c r="A80" s="155">
        <f t="shared" si="7"/>
        <v>45823</v>
      </c>
      <c r="B80" s="156">
        <f>YEAR(Table13[[#This Row],[Date]])+IF(MONTH(Table13[[#This Row],[Date]])&gt;=4,1,0)</f>
        <v>2026</v>
      </c>
      <c r="C80" s="129">
        <f>YEAR(Table13[[#This Row],[Date]])</f>
        <v>2025</v>
      </c>
      <c r="D80" s="157">
        <f>Table13[[#This Row],[Date]]-DAY(Table13[[#This Row],[Date]])+1</f>
        <v>45809</v>
      </c>
      <c r="E80" s="129">
        <f t="shared" si="4"/>
        <v>30</v>
      </c>
      <c r="F80" s="130">
        <f>IFERROR(_xlfn.XLOOKUP($A80,'Raw Data'!$G:$G,'Raw Data'!$AH:$AH),"")</f>
        <v>12.299999999999999</v>
      </c>
      <c r="G80" s="131">
        <f>IFERROR(_xlfn.XLOOKUP($A80,'Raw Data'!$G:$G,'Raw Data'!$S:$S)/1000,"")</f>
        <v>0</v>
      </c>
      <c r="H80" s="131"/>
      <c r="I80" s="131">
        <f>IFERROR(_xlfn.XLOOKUP($A80,'Raw Data'!$G:$G,'Raw Data'!$AF:$AF)/1000,"")</f>
        <v>3.3050000000000002</v>
      </c>
      <c r="J80" s="131"/>
      <c r="K80" s="131">
        <f>IFERROR(_xlfn.XLOOKUP($A80,'Raw Data'!$G:$G,'Raw Data'!W:W),"")</f>
        <v>23</v>
      </c>
      <c r="L80" s="131">
        <f>IFERROR(_xlfn.XLOOKUP($A80,'Raw Data'!$G:$G,'Raw Data'!X:X),"")</f>
        <v>32</v>
      </c>
      <c r="M80" s="131">
        <f>IFERROR(_xlfn.XLOOKUP($A80,'Raw Data'!$G:$G,'Raw Data'!Y:Y),"")</f>
        <v>3</v>
      </c>
      <c r="N80" s="131">
        <f>IFERROR(_xlfn.XLOOKUP($A80,'Raw Data'!$G:$G,'Raw Data'!Z:Z),"")</f>
        <v>7</v>
      </c>
      <c r="O80" s="158">
        <f>IFERROR(1-SUMIF('Plant BD'!$H:$H,$A80,'Plant BD'!AC:AC)/$F80,"")</f>
        <v>1</v>
      </c>
      <c r="P80" s="158"/>
      <c r="Q80" s="159"/>
      <c r="R80" s="158">
        <f>IFERROR(1-SUMIF('Grid BD'!$H:$H,$A80,'Grid BD'!AB:AB)/$F80,"")</f>
        <v>0.79539295392953935</v>
      </c>
      <c r="T80" s="159">
        <f>IFERROR(1-SUMIF(Tracker_BD!$H:$H,$A80,Tracker_BD!AI:AI)/$F80,"")</f>
        <v>0.98569058966451739</v>
      </c>
      <c r="U80" s="160">
        <f t="shared" si="5"/>
        <v>0.45788003490428325</v>
      </c>
      <c r="V80" s="160"/>
      <c r="W80" s="161">
        <f t="shared" si="6"/>
        <v>6.3053896473277332E-2</v>
      </c>
      <c r="X80" s="156">
        <f>IFERROR(_xlfn.XLOOKUP($A80,'Raw Data'!$G:$G,'Raw Data'!$AB:$AB),"")</f>
        <v>17934</v>
      </c>
      <c r="Y80" s="156">
        <f>IFERROR(_xlfn.XLOOKUP($A80,'Raw Data'!$G:$G,'Raw Data'!AC:AC),"")</f>
        <v>17929.300000003423</v>
      </c>
      <c r="Z80" s="156">
        <f>IFERROR(_xlfn.XLOOKUP($A80,'Raw Data'!$G:$G,'Raw Data'!AD:AD),"")</f>
        <v>193.49999999997181</v>
      </c>
      <c r="AA80" s="156">
        <f>IFERROR(_xlfn.XLOOKUP($A80,'Raw Data'!$G:$G,'Raw Data'!AE:AE),"")</f>
        <v>17735.800000003452</v>
      </c>
      <c r="AB80" s="156">
        <f>IFERROR(_xlfn.XLOOKUP($A80,'Raw Data'!$G:$G,'Raw Data'!$H:$H),"")</f>
        <v>11.72</v>
      </c>
      <c r="AC80" s="162">
        <f>IFERROR(_xlfn.XLOOKUP($D80,'Modelling New'!$D:$D,'Modelling New'!$P:$P),"")</f>
        <v>5.617271453333335</v>
      </c>
      <c r="AD80" s="156">
        <f>IFERROR(_xlfn.XLOOKUP($D80,'Modelling New'!$D:$D,'Modelling New'!$T:$T)*1000,"")</f>
        <v>47413.538853540602</v>
      </c>
      <c r="AE80" s="163">
        <f>IFERROR(_xlfn.XLOOKUP($D80,'Modelling New'!$D:$D,'Modelling New'!$O:$O),"")</f>
        <v>0.72019375003918806</v>
      </c>
      <c r="AF80" s="163">
        <f>IFERROR(_xlfn.XLOOKUP($D80,'Modelling New'!$D:$D,'Modelling New'!$W:$W),"")</f>
        <v>0.16856349137350896</v>
      </c>
      <c r="AG80" s="163">
        <f>IFERROR(_xlfn.XLOOKUP($D80,'Modelling New'!$D:$D,'Modelling New'!AE:AE),"")</f>
        <v>0.995</v>
      </c>
      <c r="AH80" s="163">
        <f>IFERROR(_xlfn.XLOOKUP($D80,'Modelling New'!$D:$D,'Modelling New'!AF:AF),"")</f>
        <v>0.98550000000000004</v>
      </c>
      <c r="AN80" s="164"/>
      <c r="AO80" s="161"/>
      <c r="AP80" s="161"/>
      <c r="AQ80" s="161"/>
      <c r="AR80" s="156">
        <f>IFERROR(_xlfn.XLOOKUP($D80,'Modelling New'!$D:$D,'Modelling New'!$N:$N),"")</f>
        <v>11.72</v>
      </c>
    </row>
    <row r="81" spans="1:44">
      <c r="A81" s="155">
        <f t="shared" si="7"/>
        <v>45824</v>
      </c>
      <c r="B81" s="156">
        <f>YEAR(Table13[[#This Row],[Date]])+IF(MONTH(Table13[[#This Row],[Date]])&gt;=4,1,0)</f>
        <v>2026</v>
      </c>
      <c r="C81" s="129">
        <f>YEAR(Table13[[#This Row],[Date]])</f>
        <v>2025</v>
      </c>
      <c r="D81" s="157">
        <f>Table13[[#This Row],[Date]]-DAY(Table13[[#This Row],[Date]])+1</f>
        <v>45809</v>
      </c>
      <c r="E81" s="129">
        <f t="shared" si="4"/>
        <v>30</v>
      </c>
      <c r="F81" s="130">
        <f>IFERROR(_xlfn.XLOOKUP($A81,'Raw Data'!$G:$G,'Raw Data'!$AH:$AH),"")</f>
        <v>11.916666666666668</v>
      </c>
      <c r="G81" s="131">
        <f>IFERROR(_xlfn.XLOOKUP($A81,'Raw Data'!$G:$G,'Raw Data'!$S:$S)/1000,"")</f>
        <v>0</v>
      </c>
      <c r="H81" s="131"/>
      <c r="I81" s="131">
        <f>IFERROR(_xlfn.XLOOKUP($A81,'Raw Data'!$G:$G,'Raw Data'!$AF:$AF)/1000,"")</f>
        <v>3.6589999999999998</v>
      </c>
      <c r="J81" s="131"/>
      <c r="K81" s="131">
        <f>IFERROR(_xlfn.XLOOKUP($A81,'Raw Data'!$G:$G,'Raw Data'!W:W),"")</f>
        <v>23</v>
      </c>
      <c r="L81" s="131">
        <f>IFERROR(_xlfn.XLOOKUP($A81,'Raw Data'!$G:$G,'Raw Data'!X:X),"")</f>
        <v>33</v>
      </c>
      <c r="M81" s="131">
        <f>IFERROR(_xlfn.XLOOKUP($A81,'Raw Data'!$G:$G,'Raw Data'!Y:Y),"")</f>
        <v>4</v>
      </c>
      <c r="N81" s="131">
        <f>IFERROR(_xlfn.XLOOKUP($A81,'Raw Data'!$G:$G,'Raw Data'!Z:Z),"")</f>
        <v>9</v>
      </c>
      <c r="O81" s="158">
        <f>IFERROR(1-SUMIF('Plant BD'!$H:$H,$A81,'Plant BD'!AC:AC)/$F81,"")</f>
        <v>1</v>
      </c>
      <c r="P81" s="158"/>
      <c r="Q81" s="159"/>
      <c r="R81" s="158">
        <f>IFERROR(1-SUMIF('Grid BD'!$H:$H,$A81,'Grid BD'!AB:AB)/$F81,"")</f>
        <v>0.88531468531468527</v>
      </c>
      <c r="T81" s="159">
        <f>IFERROR(1-SUMIF(Tracker_BD!$H:$H,$A81,Tracker_BD!AI:AI)/$F81,"")</f>
        <v>0.98545133027891652</v>
      </c>
      <c r="U81" s="160">
        <f t="shared" si="5"/>
        <v>0.63458002941880276</v>
      </c>
      <c r="V81" s="160"/>
      <c r="W81" s="161">
        <f t="shared" si="6"/>
        <v>9.6747013651808281E-2</v>
      </c>
      <c r="X81" s="156">
        <f>IFERROR(_xlfn.XLOOKUP($A81,'Raw Data'!$G:$G,'Raw Data'!$AB:$AB),"")</f>
        <v>27484</v>
      </c>
      <c r="Y81" s="156">
        <f>IFERROR(_xlfn.XLOOKUP($A81,'Raw Data'!$G:$G,'Raw Data'!AC:AC),"")</f>
        <v>27394.199999980628</v>
      </c>
      <c r="Z81" s="156">
        <f>IFERROR(_xlfn.XLOOKUP($A81,'Raw Data'!$G:$G,'Raw Data'!AD:AD),"")</f>
        <v>181.19999999998981</v>
      </c>
      <c r="AA81" s="156">
        <f>IFERROR(_xlfn.XLOOKUP($A81,'Raw Data'!$G:$G,'Raw Data'!AE:AE),"")</f>
        <v>27212.999999980639</v>
      </c>
      <c r="AB81" s="156">
        <f>IFERROR(_xlfn.XLOOKUP($A81,'Raw Data'!$G:$G,'Raw Data'!$H:$H),"")</f>
        <v>11.72</v>
      </c>
      <c r="AC81" s="162">
        <f>IFERROR(_xlfn.XLOOKUP($D81,'Modelling New'!$D:$D,'Modelling New'!$P:$P),"")</f>
        <v>5.617271453333335</v>
      </c>
      <c r="AD81" s="156">
        <f>IFERROR(_xlfn.XLOOKUP($D81,'Modelling New'!$D:$D,'Modelling New'!$T:$T)*1000,"")</f>
        <v>47413.538853540602</v>
      </c>
      <c r="AE81" s="163">
        <f>IFERROR(_xlfn.XLOOKUP($D81,'Modelling New'!$D:$D,'Modelling New'!$O:$O),"")</f>
        <v>0.72019375003918806</v>
      </c>
      <c r="AF81" s="163">
        <f>IFERROR(_xlfn.XLOOKUP($D81,'Modelling New'!$D:$D,'Modelling New'!$W:$W),"")</f>
        <v>0.16856349137350896</v>
      </c>
      <c r="AG81" s="163">
        <f>IFERROR(_xlfn.XLOOKUP($D81,'Modelling New'!$D:$D,'Modelling New'!AE:AE),"")</f>
        <v>0.995</v>
      </c>
      <c r="AH81" s="163">
        <f>IFERROR(_xlfn.XLOOKUP($D81,'Modelling New'!$D:$D,'Modelling New'!AF:AF),"")</f>
        <v>0.98550000000000004</v>
      </c>
      <c r="AN81" s="164"/>
      <c r="AO81" s="161"/>
      <c r="AP81" s="161"/>
      <c r="AQ81" s="161"/>
      <c r="AR81" s="156">
        <f>IFERROR(_xlfn.XLOOKUP($D81,'Modelling New'!$D:$D,'Modelling New'!$N:$N),"")</f>
        <v>11.72</v>
      </c>
    </row>
    <row r="82" spans="1:44">
      <c r="A82" s="155">
        <f t="shared" si="7"/>
        <v>45825</v>
      </c>
      <c r="B82" s="156">
        <f>YEAR(Table13[[#This Row],[Date]])+IF(MONTH(Table13[[#This Row],[Date]])&gt;=4,1,0)</f>
        <v>2026</v>
      </c>
      <c r="C82" s="129">
        <f>YEAR(Table13[[#This Row],[Date]])</f>
        <v>2025</v>
      </c>
      <c r="D82" s="157">
        <f>Table13[[#This Row],[Date]]-DAY(Table13[[#This Row],[Date]])+1</f>
        <v>45809</v>
      </c>
      <c r="E82" s="129">
        <f t="shared" si="4"/>
        <v>30</v>
      </c>
      <c r="F82" s="130">
        <f>IFERROR(_xlfn.XLOOKUP($A82,'Raw Data'!$G:$G,'Raw Data'!$AH:$AH),"")</f>
        <v>12.833333333333332</v>
      </c>
      <c r="G82" s="131">
        <f>IFERROR(_xlfn.XLOOKUP($A82,'Raw Data'!$G:$G,'Raw Data'!$S:$S)/1000,"")</f>
        <v>0</v>
      </c>
      <c r="H82" s="131"/>
      <c r="I82" s="131">
        <f>IFERROR(_xlfn.XLOOKUP($A82,'Raw Data'!$G:$G,'Raw Data'!$AF:$AF)/1000,"")</f>
        <v>7.0994999999999999</v>
      </c>
      <c r="J82" s="131"/>
      <c r="K82" s="131">
        <f>IFERROR(_xlfn.XLOOKUP($A82,'Raw Data'!$G:$G,'Raw Data'!W:W),"")</f>
        <v>23</v>
      </c>
      <c r="L82" s="131">
        <f>IFERROR(_xlfn.XLOOKUP($A82,'Raw Data'!$G:$G,'Raw Data'!X:X),"")</f>
        <v>40</v>
      </c>
      <c r="M82" s="131">
        <f>IFERROR(_xlfn.XLOOKUP($A82,'Raw Data'!$G:$G,'Raw Data'!Y:Y),"")</f>
        <v>5</v>
      </c>
      <c r="N82" s="131">
        <f>IFERROR(_xlfn.XLOOKUP($A82,'Raw Data'!$G:$G,'Raw Data'!Z:Z),"")</f>
        <v>10</v>
      </c>
      <c r="O82" s="158">
        <f>IFERROR(1-SUMIF('Plant BD'!$H:$H,$A82,'Plant BD'!AC:AC)/$F82,"")</f>
        <v>1</v>
      </c>
      <c r="P82" s="158"/>
      <c r="Q82" s="159"/>
      <c r="R82" s="158">
        <f>IFERROR(1-SUMIF('Grid BD'!$H:$H,$A82,'Grid BD'!AB:AB)/$F82,"")</f>
        <v>1</v>
      </c>
      <c r="T82" s="159">
        <f>IFERROR(1-SUMIF(Tracker_BD!$H:$H,$A82,Tracker_BD!AI:AI)/$F82,"")</f>
        <v>0.98624794745484401</v>
      </c>
      <c r="U82" s="160">
        <f t="shared" si="5"/>
        <v>0.72415569331800622</v>
      </c>
      <c r="V82" s="160"/>
      <c r="W82" s="161">
        <f t="shared" si="6"/>
        <v>0.21421430602963265</v>
      </c>
      <c r="X82" s="156">
        <f>IFERROR(_xlfn.XLOOKUP($A82,'Raw Data'!$G:$G,'Raw Data'!$AB:$AB),"")</f>
        <v>60514</v>
      </c>
      <c r="Y82" s="156">
        <f>IFERROR(_xlfn.XLOOKUP($A82,'Raw Data'!$G:$G,'Raw Data'!AC:AC),"")</f>
        <v>60456.200000015087</v>
      </c>
      <c r="Z82" s="156">
        <f>IFERROR(_xlfn.XLOOKUP($A82,'Raw Data'!$G:$G,'Raw Data'!AD:AD),"")</f>
        <v>201.99999999999818</v>
      </c>
      <c r="AA82" s="156">
        <f>IFERROR(_xlfn.XLOOKUP($A82,'Raw Data'!$G:$G,'Raw Data'!AE:AE),"")</f>
        <v>60254.200000015087</v>
      </c>
      <c r="AB82" s="156">
        <f>IFERROR(_xlfn.XLOOKUP($A82,'Raw Data'!$G:$G,'Raw Data'!$H:$H),"")</f>
        <v>11.72</v>
      </c>
      <c r="AC82" s="162">
        <f>IFERROR(_xlfn.XLOOKUP($D82,'Modelling New'!$D:$D,'Modelling New'!$P:$P),"")</f>
        <v>5.617271453333335</v>
      </c>
      <c r="AD82" s="156">
        <f>IFERROR(_xlfn.XLOOKUP($D82,'Modelling New'!$D:$D,'Modelling New'!$T:$T)*1000,"")</f>
        <v>47413.538853540602</v>
      </c>
      <c r="AE82" s="163">
        <f>IFERROR(_xlfn.XLOOKUP($D82,'Modelling New'!$D:$D,'Modelling New'!$O:$O),"")</f>
        <v>0.72019375003918806</v>
      </c>
      <c r="AF82" s="163">
        <f>IFERROR(_xlfn.XLOOKUP($D82,'Modelling New'!$D:$D,'Modelling New'!$W:$W),"")</f>
        <v>0.16856349137350896</v>
      </c>
      <c r="AG82" s="163">
        <f>IFERROR(_xlfn.XLOOKUP($D82,'Modelling New'!$D:$D,'Modelling New'!AE:AE),"")</f>
        <v>0.995</v>
      </c>
      <c r="AH82" s="163">
        <f>IFERROR(_xlfn.XLOOKUP($D82,'Modelling New'!$D:$D,'Modelling New'!AF:AF),"")</f>
        <v>0.98550000000000004</v>
      </c>
      <c r="AN82" s="164"/>
      <c r="AO82" s="161"/>
      <c r="AP82" s="161"/>
      <c r="AQ82" s="161"/>
      <c r="AR82" s="156">
        <f>IFERROR(_xlfn.XLOOKUP($D82,'Modelling New'!$D:$D,'Modelling New'!$N:$N),"")</f>
        <v>11.72</v>
      </c>
    </row>
    <row r="83" spans="1:44">
      <c r="A83" s="155">
        <f t="shared" si="7"/>
        <v>45826</v>
      </c>
      <c r="B83" s="156">
        <f>YEAR(Table13[[#This Row],[Date]])+IF(MONTH(Table13[[#This Row],[Date]])&gt;=4,1,0)</f>
        <v>2026</v>
      </c>
      <c r="C83" s="129">
        <f>YEAR(Table13[[#This Row],[Date]])</f>
        <v>2025</v>
      </c>
      <c r="D83" s="157">
        <f>Table13[[#This Row],[Date]]-DAY(Table13[[#This Row],[Date]])+1</f>
        <v>45809</v>
      </c>
      <c r="E83" s="129">
        <f t="shared" si="4"/>
        <v>30</v>
      </c>
      <c r="F83" s="130">
        <f>IFERROR(_xlfn.XLOOKUP($A83,'Raw Data'!$G:$G,'Raw Data'!$AH:$AH),"")</f>
        <v>12.716666666666667</v>
      </c>
      <c r="G83" s="131">
        <f>IFERROR(_xlfn.XLOOKUP($A83,'Raw Data'!$G:$G,'Raw Data'!$S:$S)/1000,"")</f>
        <v>0</v>
      </c>
      <c r="H83" s="131"/>
      <c r="I83" s="131">
        <f>IFERROR(_xlfn.XLOOKUP($A83,'Raw Data'!$G:$G,'Raw Data'!$AF:$AF)/1000,"")</f>
        <v>5.8425000000000002</v>
      </c>
      <c r="J83" s="131"/>
      <c r="K83" s="131">
        <f>IFERROR(_xlfn.XLOOKUP($A83,'Raw Data'!$G:$G,'Raw Data'!W:W),"")</f>
        <v>23</v>
      </c>
      <c r="L83" s="131">
        <f>IFERROR(_xlfn.XLOOKUP($A83,'Raw Data'!$G:$G,'Raw Data'!X:X),"")</f>
        <v>38</v>
      </c>
      <c r="M83" s="131">
        <f>IFERROR(_xlfn.XLOOKUP($A83,'Raw Data'!$G:$G,'Raw Data'!Y:Y),"")</f>
        <v>5</v>
      </c>
      <c r="N83" s="131">
        <f>IFERROR(_xlfn.XLOOKUP($A83,'Raw Data'!$G:$G,'Raw Data'!Z:Z),"")</f>
        <v>10</v>
      </c>
      <c r="O83" s="158">
        <f>IFERROR(1-SUMIF('Plant BD'!$H:$H,$A83,'Plant BD'!AC:AC)/$F83,"")</f>
        <v>0.99773924438465122</v>
      </c>
      <c r="P83" s="158"/>
      <c r="Q83" s="159"/>
      <c r="R83" s="158">
        <f>IFERROR(1-SUMIF('Grid BD'!$H:$H,$A83,'Grid BD'!AB:AB)/$F83,"")</f>
        <v>0.7798165137614681</v>
      </c>
      <c r="T83" s="159">
        <f>IFERROR(1-SUMIF(Tracker_BD!$H:$H,$A83,Tracker_BD!AI:AI)/$F83,"")</f>
        <v>0.98600879769813654</v>
      </c>
      <c r="U83" s="160">
        <f t="shared" si="5"/>
        <v>0.59247949224574348</v>
      </c>
      <c r="V83" s="160"/>
      <c r="W83" s="161">
        <f t="shared" si="6"/>
        <v>0.14423172639357315</v>
      </c>
      <c r="X83" s="156">
        <f>IFERROR(_xlfn.XLOOKUP($A83,'Raw Data'!$G:$G,'Raw Data'!$AB:$AB),"")</f>
        <v>40682</v>
      </c>
      <c r="Y83" s="156">
        <f>IFERROR(_xlfn.XLOOKUP($A83,'Raw Data'!$G:$G,'Raw Data'!AC:AC),"")</f>
        <v>40765.599999984261</v>
      </c>
      <c r="Z83" s="156">
        <f>IFERROR(_xlfn.XLOOKUP($A83,'Raw Data'!$G:$G,'Raw Data'!AD:AD),"")</f>
        <v>196.10000000000127</v>
      </c>
      <c r="AA83" s="156">
        <f>IFERROR(_xlfn.XLOOKUP($A83,'Raw Data'!$G:$G,'Raw Data'!AE:AE),"")</f>
        <v>40569.499999984262</v>
      </c>
      <c r="AB83" s="156">
        <f>IFERROR(_xlfn.XLOOKUP($A83,'Raw Data'!$G:$G,'Raw Data'!$H:$H),"")</f>
        <v>11.72</v>
      </c>
      <c r="AC83" s="162">
        <f>IFERROR(_xlfn.XLOOKUP($D83,'Modelling New'!$D:$D,'Modelling New'!$P:$P),"")</f>
        <v>5.617271453333335</v>
      </c>
      <c r="AD83" s="156">
        <f>IFERROR(_xlfn.XLOOKUP($D83,'Modelling New'!$D:$D,'Modelling New'!$T:$T)*1000,"")</f>
        <v>47413.538853540602</v>
      </c>
      <c r="AE83" s="163">
        <f>IFERROR(_xlfn.XLOOKUP($D83,'Modelling New'!$D:$D,'Modelling New'!$O:$O),"")</f>
        <v>0.72019375003918806</v>
      </c>
      <c r="AF83" s="163">
        <f>IFERROR(_xlfn.XLOOKUP($D83,'Modelling New'!$D:$D,'Modelling New'!$W:$W),"")</f>
        <v>0.16856349137350896</v>
      </c>
      <c r="AG83" s="163">
        <f>IFERROR(_xlfn.XLOOKUP($D83,'Modelling New'!$D:$D,'Modelling New'!AE:AE),"")</f>
        <v>0.995</v>
      </c>
      <c r="AH83" s="163">
        <f>IFERROR(_xlfn.XLOOKUP($D83,'Modelling New'!$D:$D,'Modelling New'!AF:AF),"")</f>
        <v>0.98550000000000004</v>
      </c>
      <c r="AN83" s="164"/>
      <c r="AO83" s="161"/>
      <c r="AP83" s="161"/>
      <c r="AQ83" s="161"/>
      <c r="AR83" s="156">
        <f>IFERROR(_xlfn.XLOOKUP($D83,'Modelling New'!$D:$D,'Modelling New'!$N:$N),"")</f>
        <v>11.72</v>
      </c>
    </row>
    <row r="84" spans="1:44">
      <c r="A84" s="155">
        <f t="shared" si="7"/>
        <v>45827</v>
      </c>
      <c r="B84" s="156">
        <f>YEAR(Table13[[#This Row],[Date]])+IF(MONTH(Table13[[#This Row],[Date]])&gt;=4,1,0)</f>
        <v>2026</v>
      </c>
      <c r="C84" s="129">
        <f>YEAR(Table13[[#This Row],[Date]])</f>
        <v>2025</v>
      </c>
      <c r="D84" s="157">
        <f>Table13[[#This Row],[Date]]-DAY(Table13[[#This Row],[Date]])+1</f>
        <v>45809</v>
      </c>
      <c r="E84" s="129">
        <f t="shared" si="4"/>
        <v>30</v>
      </c>
      <c r="F84" s="130">
        <f>IFERROR(_xlfn.XLOOKUP($A84,'Raw Data'!$G:$G,'Raw Data'!$AH:$AH),"")</f>
        <v>12.533333333333335</v>
      </c>
      <c r="G84" s="131">
        <f>IFERROR(_xlfn.XLOOKUP($A84,'Raw Data'!$G:$G,'Raw Data'!$S:$S)/1000,"")</f>
        <v>0</v>
      </c>
      <c r="H84" s="131"/>
      <c r="I84" s="131">
        <f>IFERROR(_xlfn.XLOOKUP($A84,'Raw Data'!$G:$G,'Raw Data'!$AF:$AF)/1000,"")</f>
        <v>5.3230000000000004</v>
      </c>
      <c r="J84" s="131"/>
      <c r="K84" s="131">
        <f>IFERROR(_xlfn.XLOOKUP($A84,'Raw Data'!$G:$G,'Raw Data'!W:W),"")</f>
        <v>23</v>
      </c>
      <c r="L84" s="131">
        <f>IFERROR(_xlfn.XLOOKUP($A84,'Raw Data'!$G:$G,'Raw Data'!X:X),"")</f>
        <v>40</v>
      </c>
      <c r="M84" s="131">
        <f>IFERROR(_xlfn.XLOOKUP($A84,'Raw Data'!$G:$G,'Raw Data'!Y:Y),"")</f>
        <v>5</v>
      </c>
      <c r="N84" s="131">
        <f>IFERROR(_xlfn.XLOOKUP($A84,'Raw Data'!$G:$G,'Raw Data'!Z:Z),"")</f>
        <v>9</v>
      </c>
      <c r="O84" s="158">
        <f>IFERROR(1-SUMIF('Plant BD'!$H:$H,$A84,'Plant BD'!AC:AC)/$F84,"")</f>
        <v>1</v>
      </c>
      <c r="P84" s="158"/>
      <c r="Q84" s="159"/>
      <c r="R84" s="158">
        <f>IFERROR(1-SUMIF('Grid BD'!$H:$H,$A84,'Grid BD'!AB:AB)/$F84,"")</f>
        <v>0.17553191489361708</v>
      </c>
      <c r="T84" s="159">
        <f>IFERROR(1-SUMIF(Tracker_BD!$H:$H,$A84,Tracker_BD!AI:AI)/$F84,"")</f>
        <v>0.98591877598434829</v>
      </c>
      <c r="U84" s="160">
        <f t="shared" si="5"/>
        <v>6.3663770911228421E-2</v>
      </c>
      <c r="V84" s="160"/>
      <c r="W84" s="161">
        <f t="shared" si="6"/>
        <v>1.4120093856686201E-2</v>
      </c>
      <c r="X84" s="156">
        <f>IFERROR(_xlfn.XLOOKUP($A84,'Raw Data'!$G:$G,'Raw Data'!$AB:$AB),"")</f>
        <v>4149</v>
      </c>
      <c r="Y84" s="156">
        <f>IFERROR(_xlfn.XLOOKUP($A84,'Raw Data'!$G:$G,'Raw Data'!AC:AC),"")</f>
        <v>4164.4000000087544</v>
      </c>
      <c r="Z84" s="156">
        <f>IFERROR(_xlfn.XLOOKUP($A84,'Raw Data'!$G:$G,'Raw Data'!AD:AD),"")</f>
        <v>192.70000000005894</v>
      </c>
      <c r="AA84" s="156">
        <f>IFERROR(_xlfn.XLOOKUP($A84,'Raw Data'!$G:$G,'Raw Data'!AE:AE),"")</f>
        <v>3971.7000000086955</v>
      </c>
      <c r="AB84" s="156">
        <f>IFERROR(_xlfn.XLOOKUP($A84,'Raw Data'!$G:$G,'Raw Data'!$H:$H),"")</f>
        <v>11.72</v>
      </c>
      <c r="AC84" s="162">
        <f>IFERROR(_xlfn.XLOOKUP($D84,'Modelling New'!$D:$D,'Modelling New'!$P:$P),"")</f>
        <v>5.617271453333335</v>
      </c>
      <c r="AD84" s="156">
        <f>IFERROR(_xlfn.XLOOKUP($D84,'Modelling New'!$D:$D,'Modelling New'!$T:$T)*1000,"")</f>
        <v>47413.538853540602</v>
      </c>
      <c r="AE84" s="163">
        <f>IFERROR(_xlfn.XLOOKUP($D84,'Modelling New'!$D:$D,'Modelling New'!$O:$O),"")</f>
        <v>0.72019375003918806</v>
      </c>
      <c r="AF84" s="163">
        <f>IFERROR(_xlfn.XLOOKUP($D84,'Modelling New'!$D:$D,'Modelling New'!$W:$W),"")</f>
        <v>0.16856349137350896</v>
      </c>
      <c r="AG84" s="163">
        <f>IFERROR(_xlfn.XLOOKUP($D84,'Modelling New'!$D:$D,'Modelling New'!AE:AE),"")</f>
        <v>0.995</v>
      </c>
      <c r="AH84" s="163">
        <f>IFERROR(_xlfn.XLOOKUP($D84,'Modelling New'!$D:$D,'Modelling New'!AF:AF),"")</f>
        <v>0.98550000000000004</v>
      </c>
      <c r="AN84" s="164"/>
      <c r="AO84" s="161"/>
      <c r="AP84" s="161"/>
      <c r="AQ84" s="161"/>
      <c r="AR84" s="156">
        <f>IFERROR(_xlfn.XLOOKUP($D84,'Modelling New'!$D:$D,'Modelling New'!$N:$N),"")</f>
        <v>11.72</v>
      </c>
    </row>
    <row r="85" spans="1:44">
      <c r="A85" s="155">
        <f t="shared" si="7"/>
        <v>45828</v>
      </c>
      <c r="B85" s="156">
        <f>YEAR(Table13[[#This Row],[Date]])+IF(MONTH(Table13[[#This Row],[Date]])&gt;=4,1,0)</f>
        <v>2026</v>
      </c>
      <c r="C85" s="129">
        <f>YEAR(Table13[[#This Row],[Date]])</f>
        <v>2025</v>
      </c>
      <c r="D85" s="157">
        <f>Table13[[#This Row],[Date]]-DAY(Table13[[#This Row],[Date]])+1</f>
        <v>45809</v>
      </c>
      <c r="E85" s="129">
        <f t="shared" si="4"/>
        <v>30</v>
      </c>
      <c r="F85" s="130">
        <f>IFERROR(_xlfn.XLOOKUP($A85,'Raw Data'!$G:$G,'Raw Data'!$AH:$AH),"")</f>
        <v>12.600000000000001</v>
      </c>
      <c r="G85" s="131">
        <f>IFERROR(_xlfn.XLOOKUP($A85,'Raw Data'!$G:$G,'Raw Data'!$S:$S)/1000,"")</f>
        <v>0</v>
      </c>
      <c r="H85" s="131"/>
      <c r="I85" s="131">
        <f>IFERROR(_xlfn.XLOOKUP($A85,'Raw Data'!$G:$G,'Raw Data'!$AF:$AF)/1000,"")</f>
        <v>5.6349999999999998</v>
      </c>
      <c r="J85" s="131"/>
      <c r="K85" s="131">
        <f>IFERROR(_xlfn.XLOOKUP($A85,'Raw Data'!$G:$G,'Raw Data'!W:W),"")</f>
        <v>23</v>
      </c>
      <c r="L85" s="131">
        <f>IFERROR(_xlfn.XLOOKUP($A85,'Raw Data'!$G:$G,'Raw Data'!X:X),"")</f>
        <v>40</v>
      </c>
      <c r="M85" s="131">
        <f>IFERROR(_xlfn.XLOOKUP($A85,'Raw Data'!$G:$G,'Raw Data'!Y:Y),"")</f>
        <v>5</v>
      </c>
      <c r="N85" s="131">
        <f>IFERROR(_xlfn.XLOOKUP($A85,'Raw Data'!$G:$G,'Raw Data'!Z:Z),"")</f>
        <v>9</v>
      </c>
      <c r="O85" s="158">
        <f>IFERROR(1-SUMIF('Plant BD'!$H:$H,$A85,'Plant BD'!AC:AC)/$F85,"")</f>
        <v>0.98950423272651977</v>
      </c>
      <c r="P85" s="158"/>
      <c r="Q85" s="159"/>
      <c r="R85" s="158">
        <f>IFERROR(1-SUMIF('Grid BD'!$H:$H,$A85,'Grid BD'!AB:AB)/$F85,"")</f>
        <v>1</v>
      </c>
      <c r="T85" s="159">
        <f>IFERROR(1-SUMIF(Tracker_BD!$H:$H,$A85,Tracker_BD!AI:AI)/$F85,"")</f>
        <v>0.98606930000608162</v>
      </c>
      <c r="U85" s="160">
        <f t="shared" si="5"/>
        <v>0.72922767563762125</v>
      </c>
      <c r="V85" s="160"/>
      <c r="W85" s="161">
        <f t="shared" si="6"/>
        <v>0.17121658134241644</v>
      </c>
      <c r="X85" s="156">
        <f>IFERROR(_xlfn.XLOOKUP($A85,'Raw Data'!$G:$G,'Raw Data'!$AB:$AB),"")</f>
        <v>48444</v>
      </c>
      <c r="Y85" s="156">
        <f>IFERROR(_xlfn.XLOOKUP($A85,'Raw Data'!$G:$G,'Raw Data'!AC:AC),"")</f>
        <v>48365.699999994831</v>
      </c>
      <c r="Z85" s="156">
        <f>IFERROR(_xlfn.XLOOKUP($A85,'Raw Data'!$G:$G,'Raw Data'!AD:AD),"")</f>
        <v>205.8999999999287</v>
      </c>
      <c r="AA85" s="156">
        <f>IFERROR(_xlfn.XLOOKUP($A85,'Raw Data'!$G:$G,'Raw Data'!AE:AE),"")</f>
        <v>48159.799999994902</v>
      </c>
      <c r="AB85" s="156">
        <f>IFERROR(_xlfn.XLOOKUP($A85,'Raw Data'!$G:$G,'Raw Data'!$H:$H),"")</f>
        <v>11.72</v>
      </c>
      <c r="AC85" s="162">
        <f>IFERROR(_xlfn.XLOOKUP($D85,'Modelling New'!$D:$D,'Modelling New'!$P:$P),"")</f>
        <v>5.617271453333335</v>
      </c>
      <c r="AD85" s="156">
        <f>IFERROR(_xlfn.XLOOKUP($D85,'Modelling New'!$D:$D,'Modelling New'!$T:$T)*1000,"")</f>
        <v>47413.538853540602</v>
      </c>
      <c r="AE85" s="163">
        <f>IFERROR(_xlfn.XLOOKUP($D85,'Modelling New'!$D:$D,'Modelling New'!$O:$O),"")</f>
        <v>0.72019375003918806</v>
      </c>
      <c r="AF85" s="163">
        <f>IFERROR(_xlfn.XLOOKUP($D85,'Modelling New'!$D:$D,'Modelling New'!$W:$W),"")</f>
        <v>0.16856349137350896</v>
      </c>
      <c r="AG85" s="163">
        <f>IFERROR(_xlfn.XLOOKUP($D85,'Modelling New'!$D:$D,'Modelling New'!AE:AE),"")</f>
        <v>0.995</v>
      </c>
      <c r="AH85" s="163">
        <f>IFERROR(_xlfn.XLOOKUP($D85,'Modelling New'!$D:$D,'Modelling New'!AF:AF),"")</f>
        <v>0.98550000000000004</v>
      </c>
      <c r="AN85" s="164"/>
      <c r="AO85" s="161"/>
      <c r="AP85" s="161"/>
      <c r="AQ85" s="161"/>
      <c r="AR85" s="156">
        <f>IFERROR(_xlfn.XLOOKUP($D85,'Modelling New'!$D:$D,'Modelling New'!$N:$N),"")</f>
        <v>11.72</v>
      </c>
    </row>
    <row r="86" spans="1:44">
      <c r="A86" s="155">
        <f t="shared" si="7"/>
        <v>45829</v>
      </c>
      <c r="B86" s="156">
        <f>YEAR(Table13[[#This Row],[Date]])+IF(MONTH(Table13[[#This Row],[Date]])&gt;=4,1,0)</f>
        <v>2026</v>
      </c>
      <c r="C86" s="129">
        <f>YEAR(Table13[[#This Row],[Date]])</f>
        <v>2025</v>
      </c>
      <c r="D86" s="157">
        <f>Table13[[#This Row],[Date]]-DAY(Table13[[#This Row],[Date]])+1</f>
        <v>45809</v>
      </c>
      <c r="E86" s="129">
        <f t="shared" si="4"/>
        <v>30</v>
      </c>
      <c r="F86" s="130">
        <f>IFERROR(_xlfn.XLOOKUP($A86,'Raw Data'!$G:$G,'Raw Data'!$AH:$AH),"")</f>
        <v>12.616666666666667</v>
      </c>
      <c r="G86" s="131">
        <f>IFERROR(_xlfn.XLOOKUP($A86,'Raw Data'!$G:$G,'Raw Data'!$S:$S)/1000,"")</f>
        <v>0</v>
      </c>
      <c r="H86" s="131"/>
      <c r="I86" s="131">
        <f>IFERROR(_xlfn.XLOOKUP($A86,'Raw Data'!$G:$G,'Raw Data'!$AF:$AF)/1000,"")</f>
        <v>7.4850000000000003</v>
      </c>
      <c r="J86" s="131"/>
      <c r="K86" s="131">
        <f>IFERROR(_xlfn.XLOOKUP($A86,'Raw Data'!$G:$G,'Raw Data'!W:W),"")</f>
        <v>23</v>
      </c>
      <c r="L86" s="131">
        <f>IFERROR(_xlfn.XLOOKUP($A86,'Raw Data'!$G:$G,'Raw Data'!X:X),"")</f>
        <v>40</v>
      </c>
      <c r="M86" s="131">
        <f>IFERROR(_xlfn.XLOOKUP($A86,'Raw Data'!$G:$G,'Raw Data'!Y:Y),"")</f>
        <v>5</v>
      </c>
      <c r="N86" s="131">
        <f>IFERROR(_xlfn.XLOOKUP($A86,'Raw Data'!$G:$G,'Raw Data'!Z:Z),"")</f>
        <v>9</v>
      </c>
      <c r="O86" s="158">
        <f>IFERROR(1-SUMIF('Plant BD'!$H:$H,$A86,'Plant BD'!AC:AC)/$F86,"")</f>
        <v>1</v>
      </c>
      <c r="P86" s="158"/>
      <c r="Q86" s="159"/>
      <c r="R86" s="158">
        <f>IFERROR(1-SUMIF('Grid BD'!$H:$H,$A86,'Grid BD'!AB:AB)/$F86,"")</f>
        <v>1</v>
      </c>
      <c r="T86" s="159">
        <f>IFERROR(1-SUMIF(Tracker_BD!$H:$H,$A86,Tracker_BD!AI:AI)/$F86,"")</f>
        <v>0.98606872257398381</v>
      </c>
      <c r="U86" s="160">
        <f t="shared" si="5"/>
        <v>0.72706391166859552</v>
      </c>
      <c r="V86" s="160"/>
      <c r="W86" s="161">
        <f t="shared" si="6"/>
        <v>0.2267530574516432</v>
      </c>
      <c r="X86" s="156">
        <f>IFERROR(_xlfn.XLOOKUP($A86,'Raw Data'!$G:$G,'Raw Data'!$AB:$AB),"")</f>
        <v>64022</v>
      </c>
      <c r="Y86" s="156">
        <f>IFERROR(_xlfn.XLOOKUP($A86,'Raw Data'!$G:$G,'Raw Data'!AC:AC),"")</f>
        <v>63968.09999999823</v>
      </c>
      <c r="Z86" s="156">
        <f>IFERROR(_xlfn.XLOOKUP($A86,'Raw Data'!$G:$G,'Raw Data'!AD:AD),"")</f>
        <v>187.00000000001182</v>
      </c>
      <c r="AA86" s="156">
        <f>IFERROR(_xlfn.XLOOKUP($A86,'Raw Data'!$G:$G,'Raw Data'!AE:AE),"")</f>
        <v>63781.099999998216</v>
      </c>
      <c r="AB86" s="156">
        <f>IFERROR(_xlfn.XLOOKUP($A86,'Raw Data'!$G:$G,'Raw Data'!$H:$H),"")</f>
        <v>11.72</v>
      </c>
      <c r="AC86" s="162">
        <f>IFERROR(_xlfn.XLOOKUP($D86,'Modelling New'!$D:$D,'Modelling New'!$P:$P),"")</f>
        <v>5.617271453333335</v>
      </c>
      <c r="AD86" s="156">
        <f>IFERROR(_xlfn.XLOOKUP($D86,'Modelling New'!$D:$D,'Modelling New'!$T:$T)*1000,"")</f>
        <v>47413.538853540602</v>
      </c>
      <c r="AE86" s="163">
        <f>IFERROR(_xlfn.XLOOKUP($D86,'Modelling New'!$D:$D,'Modelling New'!$O:$O),"")</f>
        <v>0.72019375003918806</v>
      </c>
      <c r="AF86" s="163">
        <f>IFERROR(_xlfn.XLOOKUP($D86,'Modelling New'!$D:$D,'Modelling New'!$W:$W),"")</f>
        <v>0.16856349137350896</v>
      </c>
      <c r="AG86" s="163">
        <f>IFERROR(_xlfn.XLOOKUP($D86,'Modelling New'!$D:$D,'Modelling New'!AE:AE),"")</f>
        <v>0.995</v>
      </c>
      <c r="AH86" s="163">
        <f>IFERROR(_xlfn.XLOOKUP($D86,'Modelling New'!$D:$D,'Modelling New'!AF:AF),"")</f>
        <v>0.98550000000000004</v>
      </c>
      <c r="AN86" s="164"/>
      <c r="AO86" s="161"/>
      <c r="AP86" s="161"/>
      <c r="AQ86" s="161"/>
      <c r="AR86" s="156">
        <f>IFERROR(_xlfn.XLOOKUP($D86,'Modelling New'!$D:$D,'Modelling New'!$N:$N),"")</f>
        <v>11.72</v>
      </c>
    </row>
    <row r="87" spans="1:44">
      <c r="A87" s="155">
        <f t="shared" si="7"/>
        <v>45830</v>
      </c>
      <c r="B87" s="156">
        <f>YEAR(Table13[[#This Row],[Date]])+IF(MONTH(Table13[[#This Row],[Date]])&gt;=4,1,0)</f>
        <v>2026</v>
      </c>
      <c r="C87" s="129">
        <f>YEAR(Table13[[#This Row],[Date]])</f>
        <v>2025</v>
      </c>
      <c r="D87" s="157">
        <f>Table13[[#This Row],[Date]]-DAY(Table13[[#This Row],[Date]])+1</f>
        <v>45809</v>
      </c>
      <c r="E87" s="129">
        <f t="shared" si="4"/>
        <v>30</v>
      </c>
      <c r="F87" s="130">
        <f>IFERROR(_xlfn.XLOOKUP($A87,'Raw Data'!$G:$G,'Raw Data'!$AH:$AH),"")</f>
        <v>12.666666666666668</v>
      </c>
      <c r="G87" s="131">
        <f>IFERROR(_xlfn.XLOOKUP($A87,'Raw Data'!$G:$G,'Raw Data'!$S:$S)/1000,"")</f>
        <v>0</v>
      </c>
      <c r="H87" s="131"/>
      <c r="I87" s="131">
        <f>IFERROR(_xlfn.XLOOKUP($A87,'Raw Data'!$G:$G,'Raw Data'!$AF:$AF)/1000,"")</f>
        <v>6.9329999999999998</v>
      </c>
      <c r="J87" s="131"/>
      <c r="K87" s="131">
        <f>IFERROR(_xlfn.XLOOKUP($A87,'Raw Data'!$G:$G,'Raw Data'!W:W),"")</f>
        <v>23</v>
      </c>
      <c r="L87" s="131">
        <f>IFERROR(_xlfn.XLOOKUP($A87,'Raw Data'!$G:$G,'Raw Data'!X:X),"")</f>
        <v>40</v>
      </c>
      <c r="M87" s="131">
        <f>IFERROR(_xlfn.XLOOKUP($A87,'Raw Data'!$G:$G,'Raw Data'!Y:Y),"")</f>
        <v>5</v>
      </c>
      <c r="N87" s="131">
        <f>IFERROR(_xlfn.XLOOKUP($A87,'Raw Data'!$G:$G,'Raw Data'!Z:Z),"")</f>
        <v>12</v>
      </c>
      <c r="O87" s="158">
        <f>IFERROR(1-SUMIF('Plant BD'!$H:$H,$A87,'Plant BD'!AC:AC)/$F87,"")</f>
        <v>0.99843660926309752</v>
      </c>
      <c r="P87" s="158"/>
      <c r="Q87" s="159"/>
      <c r="R87" s="158">
        <f>IFERROR(1-SUMIF('Grid BD'!$H:$H,$A87,'Grid BD'!AB:AB)/$F87,"")</f>
        <v>1</v>
      </c>
      <c r="T87" s="159">
        <f>IFERROR(1-SUMIF(Tracker_BD!$H:$H,$A87,Tracker_BD!AI:AI)/$F87,"")</f>
        <v>0.98601028433151849</v>
      </c>
      <c r="U87" s="160">
        <f t="shared" si="5"/>
        <v>0.72456555160610869</v>
      </c>
      <c r="V87" s="160"/>
      <c r="W87" s="161">
        <f t="shared" si="6"/>
        <v>0.20930887372021462</v>
      </c>
      <c r="X87" s="156">
        <f>IFERROR(_xlfn.XLOOKUP($A87,'Raw Data'!$G:$G,'Raw Data'!$AB:$AB),"")</f>
        <v>59104</v>
      </c>
      <c r="Y87" s="156">
        <f>IFERROR(_xlfn.XLOOKUP($A87,'Raw Data'!$G:$G,'Raw Data'!AC:AC),"")</f>
        <v>59059.900000022026</v>
      </c>
      <c r="Z87" s="156">
        <f>IFERROR(_xlfn.XLOOKUP($A87,'Raw Data'!$G:$G,'Raw Data'!AD:AD),"")</f>
        <v>185.50000000004729</v>
      </c>
      <c r="AA87" s="156">
        <f>IFERROR(_xlfn.XLOOKUP($A87,'Raw Data'!$G:$G,'Raw Data'!AE:AE),"")</f>
        <v>58874.400000021982</v>
      </c>
      <c r="AB87" s="156">
        <f>IFERROR(_xlfn.XLOOKUP($A87,'Raw Data'!$G:$G,'Raw Data'!$H:$H),"")</f>
        <v>11.72</v>
      </c>
      <c r="AC87" s="162">
        <f>IFERROR(_xlfn.XLOOKUP($D87,'Modelling New'!$D:$D,'Modelling New'!$P:$P),"")</f>
        <v>5.617271453333335</v>
      </c>
      <c r="AD87" s="156">
        <f>IFERROR(_xlfn.XLOOKUP($D87,'Modelling New'!$D:$D,'Modelling New'!$T:$T)*1000,"")</f>
        <v>47413.538853540602</v>
      </c>
      <c r="AE87" s="163">
        <f>IFERROR(_xlfn.XLOOKUP($D87,'Modelling New'!$D:$D,'Modelling New'!$O:$O),"")</f>
        <v>0.72019375003918806</v>
      </c>
      <c r="AF87" s="163">
        <f>IFERROR(_xlfn.XLOOKUP($D87,'Modelling New'!$D:$D,'Modelling New'!$W:$W),"")</f>
        <v>0.16856349137350896</v>
      </c>
      <c r="AG87" s="163">
        <f>IFERROR(_xlfn.XLOOKUP($D87,'Modelling New'!$D:$D,'Modelling New'!AE:AE),"")</f>
        <v>0.995</v>
      </c>
      <c r="AH87" s="163">
        <f>IFERROR(_xlfn.XLOOKUP($D87,'Modelling New'!$D:$D,'Modelling New'!AF:AF),"")</f>
        <v>0.98550000000000004</v>
      </c>
      <c r="AN87" s="164"/>
      <c r="AO87" s="161"/>
      <c r="AP87" s="161"/>
      <c r="AQ87" s="161"/>
      <c r="AR87" s="156">
        <f>IFERROR(_xlfn.XLOOKUP($D87,'Modelling New'!$D:$D,'Modelling New'!$N:$N),"")</f>
        <v>11.72</v>
      </c>
    </row>
    <row r="88" spans="1:44">
      <c r="A88" s="155">
        <f t="shared" si="7"/>
        <v>45831</v>
      </c>
      <c r="B88" s="156">
        <f>YEAR(Table13[[#This Row],[Date]])+IF(MONTH(Table13[[#This Row],[Date]])&gt;=4,1,0)</f>
        <v>2026</v>
      </c>
      <c r="C88" s="129">
        <f>YEAR(Table13[[#This Row],[Date]])</f>
        <v>2025</v>
      </c>
      <c r="D88" s="157">
        <f>Table13[[#This Row],[Date]]-DAY(Table13[[#This Row],[Date]])+1</f>
        <v>45809</v>
      </c>
      <c r="E88" s="129">
        <f t="shared" si="4"/>
        <v>30</v>
      </c>
      <c r="F88" s="130">
        <f>IFERROR(_xlfn.XLOOKUP($A88,'Raw Data'!$G:$G,'Raw Data'!$AH:$AH),"")</f>
        <v>12.55</v>
      </c>
      <c r="G88" s="131">
        <f>IFERROR(_xlfn.XLOOKUP($A88,'Raw Data'!$G:$G,'Raw Data'!$S:$S)/1000,"")</f>
        <v>0</v>
      </c>
      <c r="H88" s="131"/>
      <c r="I88" s="131">
        <f>IFERROR(_xlfn.XLOOKUP($A88,'Raw Data'!$G:$G,'Raw Data'!$AF:$AF)/1000,"")</f>
        <v>4.8875000000000002</v>
      </c>
      <c r="J88" s="131"/>
      <c r="K88" s="131">
        <f>IFERROR(_xlfn.XLOOKUP($A88,'Raw Data'!$G:$G,'Raw Data'!W:W),"")</f>
        <v>23</v>
      </c>
      <c r="L88" s="131">
        <f>IFERROR(_xlfn.XLOOKUP($A88,'Raw Data'!$G:$G,'Raw Data'!X:X),"")</f>
        <v>35.5</v>
      </c>
      <c r="M88" s="131">
        <f>IFERROR(_xlfn.XLOOKUP($A88,'Raw Data'!$G:$G,'Raw Data'!Y:Y),"")</f>
        <v>6</v>
      </c>
      <c r="N88" s="131">
        <f>IFERROR(_xlfn.XLOOKUP($A88,'Raw Data'!$G:$G,'Raw Data'!Z:Z),"")</f>
        <v>11</v>
      </c>
      <c r="O88" s="158">
        <f>IFERROR(1-SUMIF('Plant BD'!$H:$H,$A88,'Plant BD'!AC:AC)/$F88,"")</f>
        <v>1</v>
      </c>
      <c r="P88" s="158"/>
      <c r="Q88" s="159"/>
      <c r="R88" s="158">
        <f>IFERROR(1-SUMIF('Grid BD'!$H:$H,$A88,'Grid BD'!AB:AB)/$F88,"")</f>
        <v>1</v>
      </c>
      <c r="T88" s="159">
        <f>IFERROR(1-SUMIF(Tracker_BD!$H:$H,$A88,Tracker_BD!AI:AI)/$F88,"")</f>
        <v>0.98591839538398129</v>
      </c>
      <c r="U88" s="160">
        <f t="shared" si="5"/>
        <v>0.75673646814410334</v>
      </c>
      <c r="V88" s="160"/>
      <c r="W88" s="161">
        <f t="shared" si="6"/>
        <v>0.15410622866892934</v>
      </c>
      <c r="X88" s="156">
        <f>IFERROR(_xlfn.XLOOKUP($A88,'Raw Data'!$G:$G,'Raw Data'!$AB:$AB),"")</f>
        <v>43601</v>
      </c>
      <c r="Y88" s="156">
        <f>IFERROR(_xlfn.XLOOKUP($A88,'Raw Data'!$G:$G,'Raw Data'!AC:AC),"")</f>
        <v>43532.399999996414</v>
      </c>
      <c r="Z88" s="156">
        <f>IFERROR(_xlfn.XLOOKUP($A88,'Raw Data'!$G:$G,'Raw Data'!AD:AD),"")</f>
        <v>185.39999999995871</v>
      </c>
      <c r="AA88" s="156">
        <f>IFERROR(_xlfn.XLOOKUP($A88,'Raw Data'!$G:$G,'Raw Data'!AE:AE),"")</f>
        <v>43346.999999996457</v>
      </c>
      <c r="AB88" s="156">
        <f>IFERROR(_xlfn.XLOOKUP($A88,'Raw Data'!$G:$G,'Raw Data'!$H:$H),"")</f>
        <v>11.72</v>
      </c>
      <c r="AC88" s="162">
        <f>IFERROR(_xlfn.XLOOKUP($D88,'Modelling New'!$D:$D,'Modelling New'!$P:$P),"")</f>
        <v>5.617271453333335</v>
      </c>
      <c r="AD88" s="156">
        <f>IFERROR(_xlfn.XLOOKUP($D88,'Modelling New'!$D:$D,'Modelling New'!$T:$T)*1000,"")</f>
        <v>47413.538853540602</v>
      </c>
      <c r="AE88" s="163">
        <f>IFERROR(_xlfn.XLOOKUP($D88,'Modelling New'!$D:$D,'Modelling New'!$O:$O),"")</f>
        <v>0.72019375003918806</v>
      </c>
      <c r="AF88" s="163">
        <f>IFERROR(_xlfn.XLOOKUP($D88,'Modelling New'!$D:$D,'Modelling New'!$W:$W),"")</f>
        <v>0.16856349137350896</v>
      </c>
      <c r="AG88" s="163">
        <f>IFERROR(_xlfn.XLOOKUP($D88,'Modelling New'!$D:$D,'Modelling New'!AE:AE),"")</f>
        <v>0.995</v>
      </c>
      <c r="AH88" s="163">
        <f>IFERROR(_xlfn.XLOOKUP($D88,'Modelling New'!$D:$D,'Modelling New'!AF:AF),"")</f>
        <v>0.98550000000000004</v>
      </c>
      <c r="AN88" s="164"/>
      <c r="AO88" s="161"/>
      <c r="AP88" s="161"/>
      <c r="AQ88" s="161"/>
      <c r="AR88" s="156">
        <f>IFERROR(_xlfn.XLOOKUP($D88,'Modelling New'!$D:$D,'Modelling New'!$N:$N),"")</f>
        <v>11.72</v>
      </c>
    </row>
    <row r="89" spans="1:44">
      <c r="A89" s="155">
        <f t="shared" si="7"/>
        <v>45832</v>
      </c>
      <c r="B89" s="156">
        <f>YEAR(Table13[[#This Row],[Date]])+IF(MONTH(Table13[[#This Row],[Date]])&gt;=4,1,0)</f>
        <v>2026</v>
      </c>
      <c r="C89" s="129">
        <f>YEAR(Table13[[#This Row],[Date]])</f>
        <v>2025</v>
      </c>
      <c r="D89" s="157">
        <f>Table13[[#This Row],[Date]]-DAY(Table13[[#This Row],[Date]])+1</f>
        <v>45809</v>
      </c>
      <c r="E89" s="129">
        <f t="shared" si="4"/>
        <v>30</v>
      </c>
      <c r="F89" s="130">
        <f>IFERROR(_xlfn.XLOOKUP($A89,'Raw Data'!$G:$G,'Raw Data'!$AH:$AH),"")</f>
        <v>12.416666666666668</v>
      </c>
      <c r="G89" s="131">
        <f>IFERROR(_xlfn.XLOOKUP($A89,'Raw Data'!$G:$G,'Raw Data'!$S:$S)/1000,"")</f>
        <v>0</v>
      </c>
      <c r="H89" s="131"/>
      <c r="I89" s="131">
        <f>IFERROR(_xlfn.XLOOKUP($A89,'Raw Data'!$G:$G,'Raw Data'!$AF:$AF)/1000,"")</f>
        <v>4.1139999999999999</v>
      </c>
      <c r="J89" s="131"/>
      <c r="K89" s="131">
        <f>IFERROR(_xlfn.XLOOKUP($A89,'Raw Data'!$G:$G,'Raw Data'!W:W),"")</f>
        <v>23</v>
      </c>
      <c r="L89" s="131">
        <f>IFERROR(_xlfn.XLOOKUP($A89,'Raw Data'!$G:$G,'Raw Data'!X:X),"")</f>
        <v>35</v>
      </c>
      <c r="M89" s="131">
        <f>IFERROR(_xlfn.XLOOKUP($A89,'Raw Data'!$G:$G,'Raw Data'!Y:Y),"")</f>
        <v>6</v>
      </c>
      <c r="N89" s="131">
        <f>IFERROR(_xlfn.XLOOKUP($A89,'Raw Data'!$G:$G,'Raw Data'!Z:Z),"")</f>
        <v>11</v>
      </c>
      <c r="O89" s="158">
        <f>IFERROR(1-SUMIF('Plant BD'!$H:$H,$A89,'Plant BD'!AC:AC)/$F89,"")</f>
        <v>1</v>
      </c>
      <c r="P89" s="158"/>
      <c r="Q89" s="159"/>
      <c r="R89" s="158">
        <f>IFERROR(1-SUMIF('Grid BD'!$H:$H,$A89,'Grid BD'!AB:AB)/$F89,"")</f>
        <v>1</v>
      </c>
      <c r="T89" s="159">
        <f>IFERROR(1-SUMIF(Tracker_BD!$H:$H,$A89,Tracker_BD!AI:AI)/$F89,"")</f>
        <v>0.98592146879580345</v>
      </c>
      <c r="U89" s="160">
        <f t="shared" si="5"/>
        <v>0.79374142402268122</v>
      </c>
      <c r="V89" s="160"/>
      <c r="W89" s="161">
        <f t="shared" si="6"/>
        <v>0.13606050910122125</v>
      </c>
      <c r="X89" s="156">
        <f>IFERROR(_xlfn.XLOOKUP($A89,'Raw Data'!$G:$G,'Raw Data'!$AB:$AB),"")</f>
        <v>38480</v>
      </c>
      <c r="Y89" s="156">
        <f>IFERROR(_xlfn.XLOOKUP($A89,'Raw Data'!$G:$G,'Raw Data'!AC:AC),"")</f>
        <v>38474.699999991572</v>
      </c>
      <c r="Z89" s="156">
        <f>IFERROR(_xlfn.XLOOKUP($A89,'Raw Data'!$G:$G,'Raw Data'!AD:AD),"")</f>
        <v>203.6000000000513</v>
      </c>
      <c r="AA89" s="156">
        <f>IFERROR(_xlfn.XLOOKUP($A89,'Raw Data'!$G:$G,'Raw Data'!AE:AE),"")</f>
        <v>38271.099999991522</v>
      </c>
      <c r="AB89" s="156">
        <f>IFERROR(_xlfn.XLOOKUP($A89,'Raw Data'!$G:$G,'Raw Data'!$H:$H),"")</f>
        <v>11.72</v>
      </c>
      <c r="AC89" s="162">
        <f>IFERROR(_xlfn.XLOOKUP($D89,'Modelling New'!$D:$D,'Modelling New'!$P:$P),"")</f>
        <v>5.617271453333335</v>
      </c>
      <c r="AD89" s="156">
        <f>IFERROR(_xlfn.XLOOKUP($D89,'Modelling New'!$D:$D,'Modelling New'!$T:$T)*1000,"")</f>
        <v>47413.538853540602</v>
      </c>
      <c r="AE89" s="163">
        <f>IFERROR(_xlfn.XLOOKUP($D89,'Modelling New'!$D:$D,'Modelling New'!$O:$O),"")</f>
        <v>0.72019375003918806</v>
      </c>
      <c r="AF89" s="163">
        <f>IFERROR(_xlfn.XLOOKUP($D89,'Modelling New'!$D:$D,'Modelling New'!$W:$W),"")</f>
        <v>0.16856349137350896</v>
      </c>
      <c r="AG89" s="163">
        <f>IFERROR(_xlfn.XLOOKUP($D89,'Modelling New'!$D:$D,'Modelling New'!AE:AE),"")</f>
        <v>0.995</v>
      </c>
      <c r="AH89" s="163">
        <f>IFERROR(_xlfn.XLOOKUP($D89,'Modelling New'!$D:$D,'Modelling New'!AF:AF),"")</f>
        <v>0.98550000000000004</v>
      </c>
      <c r="AN89" s="164"/>
      <c r="AO89" s="161"/>
      <c r="AP89" s="161"/>
      <c r="AQ89" s="161"/>
      <c r="AR89" s="156">
        <f>IFERROR(_xlfn.XLOOKUP($D89,'Modelling New'!$D:$D,'Modelling New'!$N:$N),"")</f>
        <v>11.72</v>
      </c>
    </row>
    <row r="90" spans="1:44">
      <c r="A90" s="155">
        <f t="shared" si="7"/>
        <v>45833</v>
      </c>
      <c r="B90" s="156">
        <f>YEAR(Table13[[#This Row],[Date]])+IF(MONTH(Table13[[#This Row],[Date]])&gt;=4,1,0)</f>
        <v>2026</v>
      </c>
      <c r="C90" s="129">
        <f>YEAR(Table13[[#This Row],[Date]])</f>
        <v>2025</v>
      </c>
      <c r="D90" s="157">
        <f>Table13[[#This Row],[Date]]-DAY(Table13[[#This Row],[Date]])+1</f>
        <v>45809</v>
      </c>
      <c r="E90" s="129">
        <f t="shared" si="4"/>
        <v>30</v>
      </c>
      <c r="F90" s="130">
        <f>IFERROR(_xlfn.XLOOKUP($A90,'Raw Data'!$G:$G,'Raw Data'!$AH:$AH),"")</f>
        <v>12.566666666666666</v>
      </c>
      <c r="G90" s="131">
        <f>IFERROR(_xlfn.XLOOKUP($A90,'Raw Data'!$G:$G,'Raw Data'!$S:$S)/1000,"")</f>
        <v>0</v>
      </c>
      <c r="H90" s="131"/>
      <c r="I90" s="131">
        <f>IFERROR(_xlfn.XLOOKUP($A90,'Raw Data'!$G:$G,'Raw Data'!$AF:$AF)/1000,"")</f>
        <v>4.8259999999999996</v>
      </c>
      <c r="J90" s="131"/>
      <c r="K90" s="131">
        <f>IFERROR(_xlfn.XLOOKUP($A90,'Raw Data'!$G:$G,'Raw Data'!W:W),"")</f>
        <v>23</v>
      </c>
      <c r="L90" s="131">
        <f>IFERROR(_xlfn.XLOOKUP($A90,'Raw Data'!$G:$G,'Raw Data'!X:X),"")</f>
        <v>36</v>
      </c>
      <c r="M90" s="131">
        <f>IFERROR(_xlfn.XLOOKUP($A90,'Raw Data'!$G:$G,'Raw Data'!Y:Y),"")</f>
        <v>4</v>
      </c>
      <c r="N90" s="131">
        <f>IFERROR(_xlfn.XLOOKUP($A90,'Raw Data'!$G:$G,'Raw Data'!Z:Z),"")</f>
        <v>8</v>
      </c>
      <c r="O90" s="158">
        <f>IFERROR(1-SUMIF('Plant BD'!$H:$H,$A90,'Plant BD'!AC:AC)/$F90,"")</f>
        <v>1</v>
      </c>
      <c r="P90" s="158"/>
      <c r="Q90" s="159"/>
      <c r="R90" s="158">
        <f>IFERROR(1-SUMIF('Grid BD'!$H:$H,$A90,'Grid BD'!AB:AB)/$F90,"")</f>
        <v>0.98541114058355439</v>
      </c>
      <c r="T90" s="159">
        <f>IFERROR(1-SUMIF(Tracker_BD!$H:$H,$A90,Tracker_BD!AI:AI)/$F90,"")</f>
        <v>0.9861085703832434</v>
      </c>
      <c r="U90" s="160">
        <f t="shared" si="5"/>
        <v>0.74186820818403199</v>
      </c>
      <c r="V90" s="160"/>
      <c r="W90" s="161">
        <f t="shared" si="6"/>
        <v>0.14917733219567242</v>
      </c>
      <c r="X90" s="156">
        <f>IFERROR(_xlfn.XLOOKUP($A90,'Raw Data'!$G:$G,'Raw Data'!$AB:$AB),"")</f>
        <v>42248</v>
      </c>
      <c r="Y90" s="156">
        <f>IFERROR(_xlfn.XLOOKUP($A90,'Raw Data'!$G:$G,'Raw Data'!AC:AC),"")</f>
        <v>42164.79999999865</v>
      </c>
      <c r="Z90" s="156">
        <f>IFERROR(_xlfn.XLOOKUP($A90,'Raw Data'!$G:$G,'Raw Data'!AD:AD),"")</f>
        <v>204.19999999990068</v>
      </c>
      <c r="AA90" s="156">
        <f>IFERROR(_xlfn.XLOOKUP($A90,'Raw Data'!$G:$G,'Raw Data'!AE:AE),"")</f>
        <v>41960.599999998747</v>
      </c>
      <c r="AB90" s="156">
        <f>IFERROR(_xlfn.XLOOKUP($A90,'Raw Data'!$G:$G,'Raw Data'!$H:$H),"")</f>
        <v>11.72</v>
      </c>
      <c r="AC90" s="162">
        <f>IFERROR(_xlfn.XLOOKUP($D90,'Modelling New'!$D:$D,'Modelling New'!$P:$P),"")</f>
        <v>5.617271453333335</v>
      </c>
      <c r="AD90" s="156">
        <f>IFERROR(_xlfn.XLOOKUP($D90,'Modelling New'!$D:$D,'Modelling New'!$T:$T)*1000,"")</f>
        <v>47413.538853540602</v>
      </c>
      <c r="AE90" s="163">
        <f>IFERROR(_xlfn.XLOOKUP($D90,'Modelling New'!$D:$D,'Modelling New'!$O:$O),"")</f>
        <v>0.72019375003918806</v>
      </c>
      <c r="AF90" s="163">
        <f>IFERROR(_xlfn.XLOOKUP($D90,'Modelling New'!$D:$D,'Modelling New'!$W:$W),"")</f>
        <v>0.16856349137350896</v>
      </c>
      <c r="AG90" s="163">
        <f>IFERROR(_xlfn.XLOOKUP($D90,'Modelling New'!$D:$D,'Modelling New'!AE:AE),"")</f>
        <v>0.995</v>
      </c>
      <c r="AH90" s="163">
        <f>IFERROR(_xlfn.XLOOKUP($D90,'Modelling New'!$D:$D,'Modelling New'!AF:AF),"")</f>
        <v>0.98550000000000004</v>
      </c>
      <c r="AN90" s="164"/>
      <c r="AO90" s="161"/>
      <c r="AP90" s="161"/>
      <c r="AQ90" s="161"/>
      <c r="AR90" s="156">
        <f>IFERROR(_xlfn.XLOOKUP($D90,'Modelling New'!$D:$D,'Modelling New'!$N:$N),"")</f>
        <v>11.72</v>
      </c>
    </row>
    <row r="91" spans="1:44">
      <c r="A91" s="155">
        <f t="shared" si="7"/>
        <v>45834</v>
      </c>
      <c r="B91" s="156">
        <f>YEAR(Table13[[#This Row],[Date]])+IF(MONTH(Table13[[#This Row],[Date]])&gt;=4,1,0)</f>
        <v>2026</v>
      </c>
      <c r="C91" s="129">
        <f>YEAR(Table13[[#This Row],[Date]])</f>
        <v>2025</v>
      </c>
      <c r="D91" s="157">
        <f>Table13[[#This Row],[Date]]-DAY(Table13[[#This Row],[Date]])+1</f>
        <v>45809</v>
      </c>
      <c r="E91" s="129">
        <f t="shared" si="4"/>
        <v>30</v>
      </c>
      <c r="F91" s="130">
        <f>IFERROR(_xlfn.XLOOKUP($A91,'Raw Data'!$G:$G,'Raw Data'!$AH:$AH),"")</f>
        <v>12.583333333333334</v>
      </c>
      <c r="G91" s="131">
        <f>IFERROR(_xlfn.XLOOKUP($A91,'Raw Data'!$G:$G,'Raw Data'!$S:$S)/1000,"")</f>
        <v>0</v>
      </c>
      <c r="H91" s="131"/>
      <c r="I91" s="131">
        <f>IFERROR(_xlfn.XLOOKUP($A91,'Raw Data'!$G:$G,'Raw Data'!$AF:$AF)/1000,"")</f>
        <v>3.7280000000000002</v>
      </c>
      <c r="J91" s="131"/>
      <c r="K91" s="131">
        <f>IFERROR(_xlfn.XLOOKUP($A91,'Raw Data'!$G:$G,'Raw Data'!W:W),"")</f>
        <v>23</v>
      </c>
      <c r="L91" s="131">
        <f>IFERROR(_xlfn.XLOOKUP($A91,'Raw Data'!$G:$G,'Raw Data'!X:X),"")</f>
        <v>33.5</v>
      </c>
      <c r="M91" s="131">
        <f>IFERROR(_xlfn.XLOOKUP($A91,'Raw Data'!$G:$G,'Raw Data'!Y:Y),"")</f>
        <v>4</v>
      </c>
      <c r="N91" s="131">
        <f>IFERROR(_xlfn.XLOOKUP($A91,'Raw Data'!$G:$G,'Raw Data'!Z:Z),"")</f>
        <v>8</v>
      </c>
      <c r="O91" s="158">
        <f>IFERROR(1-SUMIF('Plant BD'!$H:$H,$A91,'Plant BD'!AC:AC)/$F91,"")</f>
        <v>1</v>
      </c>
      <c r="P91" s="158"/>
      <c r="Q91" s="159"/>
      <c r="R91" s="158">
        <f>IFERROR(1-SUMIF('Grid BD'!$H:$H,$A91,'Grid BD'!AB:AB)/$F91,"")</f>
        <v>1</v>
      </c>
      <c r="T91" s="159">
        <f>IFERROR(1-SUMIF(Tracker_BD!$H:$H,$A91,Tracker_BD!AI:AI)/$F91,"")</f>
        <v>0.98620309050772625</v>
      </c>
      <c r="U91" s="160">
        <f t="shared" si="5"/>
        <v>0.78960847895815445</v>
      </c>
      <c r="V91" s="160"/>
      <c r="W91" s="161">
        <f t="shared" si="6"/>
        <v>0.12265251706483332</v>
      </c>
      <c r="X91" s="156">
        <f>IFERROR(_xlfn.XLOOKUP($A91,'Raw Data'!$G:$G,'Raw Data'!$AB:$AB),"")</f>
        <v>34650</v>
      </c>
      <c r="Y91" s="156">
        <f>IFERROR(_xlfn.XLOOKUP($A91,'Raw Data'!$G:$G,'Raw Data'!AC:AC),"")</f>
        <v>34657.399999996414</v>
      </c>
      <c r="Z91" s="156">
        <f>IFERROR(_xlfn.XLOOKUP($A91,'Raw Data'!$G:$G,'Raw Data'!AD:AD),"")</f>
        <v>157.70000000009077</v>
      </c>
      <c r="AA91" s="156">
        <f>IFERROR(_xlfn.XLOOKUP($A91,'Raw Data'!$G:$G,'Raw Data'!AE:AE),"")</f>
        <v>34499.699999996323</v>
      </c>
      <c r="AB91" s="156">
        <f>IFERROR(_xlfn.XLOOKUP($A91,'Raw Data'!$G:$G,'Raw Data'!$H:$H),"")</f>
        <v>11.72</v>
      </c>
      <c r="AC91" s="162">
        <f>IFERROR(_xlfn.XLOOKUP($D91,'Modelling New'!$D:$D,'Modelling New'!$P:$P),"")</f>
        <v>5.617271453333335</v>
      </c>
      <c r="AD91" s="156">
        <f>IFERROR(_xlfn.XLOOKUP($D91,'Modelling New'!$D:$D,'Modelling New'!$T:$T)*1000,"")</f>
        <v>47413.538853540602</v>
      </c>
      <c r="AE91" s="163">
        <f>IFERROR(_xlfn.XLOOKUP($D91,'Modelling New'!$D:$D,'Modelling New'!$O:$O),"")</f>
        <v>0.72019375003918806</v>
      </c>
      <c r="AF91" s="163">
        <f>IFERROR(_xlfn.XLOOKUP($D91,'Modelling New'!$D:$D,'Modelling New'!$W:$W),"")</f>
        <v>0.16856349137350896</v>
      </c>
      <c r="AG91" s="163">
        <f>IFERROR(_xlfn.XLOOKUP($D91,'Modelling New'!$D:$D,'Modelling New'!AE:AE),"")</f>
        <v>0.995</v>
      </c>
      <c r="AH91" s="163">
        <f>IFERROR(_xlfn.XLOOKUP($D91,'Modelling New'!$D:$D,'Modelling New'!AF:AF),"")</f>
        <v>0.98550000000000004</v>
      </c>
      <c r="AN91" s="164"/>
      <c r="AO91" s="161"/>
      <c r="AP91" s="161"/>
      <c r="AQ91" s="161"/>
      <c r="AR91" s="156">
        <f>IFERROR(_xlfn.XLOOKUP($D91,'Modelling New'!$D:$D,'Modelling New'!$N:$N),"")</f>
        <v>11.72</v>
      </c>
    </row>
    <row r="92" spans="1:44">
      <c r="A92" s="155">
        <f t="shared" si="7"/>
        <v>45835</v>
      </c>
      <c r="B92" s="156">
        <f>YEAR(Table13[[#This Row],[Date]])+IF(MONTH(Table13[[#This Row],[Date]])&gt;=4,1,0)</f>
        <v>2026</v>
      </c>
      <c r="C92" s="129">
        <f>YEAR(Table13[[#This Row],[Date]])</f>
        <v>2025</v>
      </c>
      <c r="D92" s="157">
        <f>Table13[[#This Row],[Date]]-DAY(Table13[[#This Row],[Date]])+1</f>
        <v>45809</v>
      </c>
      <c r="E92" s="129">
        <f t="shared" si="4"/>
        <v>30</v>
      </c>
      <c r="F92" s="130">
        <f>IFERROR(_xlfn.XLOOKUP($A92,'Raw Data'!$G:$G,'Raw Data'!$AH:$AH),"")</f>
        <v>12.766666666666666</v>
      </c>
      <c r="G92" s="131">
        <f>IFERROR(_xlfn.XLOOKUP($A92,'Raw Data'!$G:$G,'Raw Data'!$S:$S)/1000,"")</f>
        <v>0</v>
      </c>
      <c r="H92" s="131"/>
      <c r="I92" s="131">
        <f>IFERROR(_xlfn.XLOOKUP($A92,'Raw Data'!$G:$G,'Raw Data'!$AF:$AF)/1000,"")</f>
        <v>6.3665000000000003</v>
      </c>
      <c r="J92" s="131"/>
      <c r="K92" s="131">
        <f>IFERROR(_xlfn.XLOOKUP($A92,'Raw Data'!$G:$G,'Raw Data'!W:W),"")</f>
        <v>24</v>
      </c>
      <c r="L92" s="131">
        <f>IFERROR(_xlfn.XLOOKUP($A92,'Raw Data'!$G:$G,'Raw Data'!X:X),"")</f>
        <v>39</v>
      </c>
      <c r="M92" s="131">
        <f>IFERROR(_xlfn.XLOOKUP($A92,'Raw Data'!$G:$G,'Raw Data'!Y:Y),"")</f>
        <v>4</v>
      </c>
      <c r="N92" s="131">
        <f>IFERROR(_xlfn.XLOOKUP($A92,'Raw Data'!$G:$G,'Raw Data'!Z:Z),"")</f>
        <v>8</v>
      </c>
      <c r="O92" s="158">
        <f>IFERROR(1-SUMIF('Plant BD'!$H:$H,$A92,'Plant BD'!AC:AC)/$F92,"")</f>
        <v>1</v>
      </c>
      <c r="P92" s="158"/>
      <c r="Q92" s="159"/>
      <c r="R92" s="158">
        <f>IFERROR(1-SUMIF('Grid BD'!$H:$H,$A92,'Grid BD'!AB:AB)/$F92,"")</f>
        <v>1</v>
      </c>
      <c r="T92" s="159">
        <f>IFERROR(1-SUMIF(Tracker_BD!$H:$H,$A92,Tracker_BD!AI:AI)/$F92,"")</f>
        <v>0.98625116293028425</v>
      </c>
      <c r="U92" s="160">
        <f t="shared" si="5"/>
        <v>0.7239539623067095</v>
      </c>
      <c r="V92" s="160"/>
      <c r="W92" s="161">
        <f t="shared" si="6"/>
        <v>0.19204387087606939</v>
      </c>
      <c r="X92" s="156">
        <f>IFERROR(_xlfn.XLOOKUP($A92,'Raw Data'!$G:$G,'Raw Data'!$AB:$AB),"")</f>
        <v>54258</v>
      </c>
      <c r="Y92" s="156">
        <f>IFERROR(_xlfn.XLOOKUP($A92,'Raw Data'!$G:$G,'Raw Data'!AC:AC),"")</f>
        <v>54219.800000020768</v>
      </c>
      <c r="Z92" s="156">
        <f>IFERROR(_xlfn.XLOOKUP($A92,'Raw Data'!$G:$G,'Raw Data'!AD:AD),"")</f>
        <v>201.6999999999598</v>
      </c>
      <c r="AA92" s="156">
        <f>IFERROR(_xlfn.XLOOKUP($A92,'Raw Data'!$G:$G,'Raw Data'!AE:AE),"")</f>
        <v>54018.100000020808</v>
      </c>
      <c r="AB92" s="156">
        <f>IFERROR(_xlfn.XLOOKUP($A92,'Raw Data'!$G:$G,'Raw Data'!$H:$H),"")</f>
        <v>11.72</v>
      </c>
      <c r="AC92" s="162">
        <f>IFERROR(_xlfn.XLOOKUP($D92,'Modelling New'!$D:$D,'Modelling New'!$P:$P),"")</f>
        <v>5.617271453333335</v>
      </c>
      <c r="AD92" s="156">
        <f>IFERROR(_xlfn.XLOOKUP($D92,'Modelling New'!$D:$D,'Modelling New'!$T:$T)*1000,"")</f>
        <v>47413.538853540602</v>
      </c>
      <c r="AE92" s="163">
        <f>IFERROR(_xlfn.XLOOKUP($D92,'Modelling New'!$D:$D,'Modelling New'!$O:$O),"")</f>
        <v>0.72019375003918806</v>
      </c>
      <c r="AF92" s="163">
        <f>IFERROR(_xlfn.XLOOKUP($D92,'Modelling New'!$D:$D,'Modelling New'!$W:$W),"")</f>
        <v>0.16856349137350896</v>
      </c>
      <c r="AG92" s="163">
        <f>IFERROR(_xlfn.XLOOKUP($D92,'Modelling New'!$D:$D,'Modelling New'!AE:AE),"")</f>
        <v>0.995</v>
      </c>
      <c r="AH92" s="163">
        <f>IFERROR(_xlfn.XLOOKUP($D92,'Modelling New'!$D:$D,'Modelling New'!AF:AF),"")</f>
        <v>0.98550000000000004</v>
      </c>
      <c r="AN92" s="164"/>
      <c r="AO92" s="161"/>
      <c r="AP92" s="161"/>
      <c r="AQ92" s="161"/>
      <c r="AR92" s="156">
        <f>IFERROR(_xlfn.XLOOKUP($D92,'Modelling New'!$D:$D,'Modelling New'!$N:$N),"")</f>
        <v>11.72</v>
      </c>
    </row>
    <row r="93" spans="1:44">
      <c r="A93" s="155">
        <f t="shared" si="7"/>
        <v>45836</v>
      </c>
      <c r="B93" s="156">
        <f>YEAR(Table13[[#This Row],[Date]])+IF(MONTH(Table13[[#This Row],[Date]])&gt;=4,1,0)</f>
        <v>2026</v>
      </c>
      <c r="C93" s="129">
        <f>YEAR(Table13[[#This Row],[Date]])</f>
        <v>2025</v>
      </c>
      <c r="D93" s="157">
        <f>Table13[[#This Row],[Date]]-DAY(Table13[[#This Row],[Date]])+1</f>
        <v>45809</v>
      </c>
      <c r="E93" s="129">
        <f t="shared" si="4"/>
        <v>30</v>
      </c>
      <c r="F93" s="130">
        <f>IFERROR(_xlfn.XLOOKUP($A93,'Raw Data'!$G:$G,'Raw Data'!$AH:$AH),"")</f>
        <v>12.8</v>
      </c>
      <c r="G93" s="131">
        <f>IFERROR(_xlfn.XLOOKUP($A93,'Raw Data'!$G:$G,'Raw Data'!$S:$S)/1000,"")</f>
        <v>0</v>
      </c>
      <c r="H93" s="131"/>
      <c r="I93" s="131">
        <f>IFERROR(_xlfn.XLOOKUP($A93,'Raw Data'!$G:$G,'Raw Data'!$AF:$AF)/1000,"")</f>
        <v>5.7450000000000001</v>
      </c>
      <c r="J93" s="131"/>
      <c r="K93" s="131">
        <f>IFERROR(_xlfn.XLOOKUP($A93,'Raw Data'!$G:$G,'Raw Data'!W:W),"")</f>
        <v>24</v>
      </c>
      <c r="L93" s="131">
        <f>IFERROR(_xlfn.XLOOKUP($A93,'Raw Data'!$G:$G,'Raw Data'!X:X),"")</f>
        <v>39</v>
      </c>
      <c r="M93" s="131">
        <f>IFERROR(_xlfn.XLOOKUP($A93,'Raw Data'!$G:$G,'Raw Data'!Y:Y),"")</f>
        <v>4</v>
      </c>
      <c r="N93" s="131">
        <f>IFERROR(_xlfn.XLOOKUP($A93,'Raw Data'!$G:$G,'Raw Data'!Z:Z),"")</f>
        <v>9</v>
      </c>
      <c r="O93" s="158">
        <f>IFERROR(1-SUMIF('Plant BD'!$H:$H,$A93,'Plant BD'!AC:AC)/$F93,"")</f>
        <v>1</v>
      </c>
      <c r="P93" s="158"/>
      <c r="Q93" s="159"/>
      <c r="R93" s="158">
        <f>IFERROR(1-SUMIF('Grid BD'!$H:$H,$A93,'Grid BD'!AB:AB)/$F93,"")</f>
        <v>1</v>
      </c>
      <c r="T93" s="159">
        <f>IFERROR(1-SUMIF(Tracker_BD!$H:$H,$A93,Tracker_BD!AI:AI)/$F93,"")</f>
        <v>0.98628696719348663</v>
      </c>
      <c r="U93" s="160">
        <f t="shared" si="5"/>
        <v>0.73524833881339546</v>
      </c>
      <c r="V93" s="160"/>
      <c r="W93" s="161">
        <f t="shared" si="6"/>
        <v>0.1760000711034565</v>
      </c>
      <c r="X93" s="156">
        <f>IFERROR(_xlfn.XLOOKUP($A93,'Raw Data'!$G:$G,'Raw Data'!$AB:$AB),"")</f>
        <v>49754</v>
      </c>
      <c r="Y93" s="156">
        <f>IFERROR(_xlfn.XLOOKUP($A93,'Raw Data'!$G:$G,'Raw Data'!AC:AC),"")</f>
        <v>49697.499999980209</v>
      </c>
      <c r="Z93" s="156">
        <f>IFERROR(_xlfn.XLOOKUP($A93,'Raw Data'!$G:$G,'Raw Data'!AD:AD),"")</f>
        <v>192.19999999995707</v>
      </c>
      <c r="AA93" s="156">
        <f>IFERROR(_xlfn.XLOOKUP($A93,'Raw Data'!$G:$G,'Raw Data'!AE:AE),"")</f>
        <v>49505.299999980256</v>
      </c>
      <c r="AB93" s="156">
        <f>IFERROR(_xlfn.XLOOKUP($A93,'Raw Data'!$G:$G,'Raw Data'!$H:$H),"")</f>
        <v>11.72</v>
      </c>
      <c r="AC93" s="162">
        <f>IFERROR(_xlfn.XLOOKUP($D93,'Modelling New'!$D:$D,'Modelling New'!$P:$P),"")</f>
        <v>5.617271453333335</v>
      </c>
      <c r="AD93" s="156">
        <f>IFERROR(_xlfn.XLOOKUP($D93,'Modelling New'!$D:$D,'Modelling New'!$T:$T)*1000,"")</f>
        <v>47413.538853540602</v>
      </c>
      <c r="AE93" s="163">
        <f>IFERROR(_xlfn.XLOOKUP($D93,'Modelling New'!$D:$D,'Modelling New'!$O:$O),"")</f>
        <v>0.72019375003918806</v>
      </c>
      <c r="AF93" s="163">
        <f>IFERROR(_xlfn.XLOOKUP($D93,'Modelling New'!$D:$D,'Modelling New'!$W:$W),"")</f>
        <v>0.16856349137350896</v>
      </c>
      <c r="AG93" s="163">
        <f>IFERROR(_xlfn.XLOOKUP($D93,'Modelling New'!$D:$D,'Modelling New'!AE:AE),"")</f>
        <v>0.995</v>
      </c>
      <c r="AH93" s="163">
        <f>IFERROR(_xlfn.XLOOKUP($D93,'Modelling New'!$D:$D,'Modelling New'!AF:AF),"")</f>
        <v>0.98550000000000004</v>
      </c>
      <c r="AN93" s="164"/>
      <c r="AO93" s="161"/>
      <c r="AP93" s="161"/>
      <c r="AQ93" s="161"/>
      <c r="AR93" s="156">
        <f>IFERROR(_xlfn.XLOOKUP($D93,'Modelling New'!$D:$D,'Modelling New'!$N:$N),"")</f>
        <v>11.72</v>
      </c>
    </row>
    <row r="94" spans="1:44">
      <c r="A94" s="155">
        <f t="shared" si="7"/>
        <v>45837</v>
      </c>
      <c r="B94" s="156">
        <f>YEAR(Table13[[#This Row],[Date]])+IF(MONTH(Table13[[#This Row],[Date]])&gt;=4,1,0)</f>
        <v>2026</v>
      </c>
      <c r="C94" s="129">
        <f>YEAR(Table13[[#This Row],[Date]])</f>
        <v>2025</v>
      </c>
      <c r="D94" s="157">
        <f>Table13[[#This Row],[Date]]-DAY(Table13[[#This Row],[Date]])+1</f>
        <v>45809</v>
      </c>
      <c r="E94" s="129">
        <f t="shared" si="4"/>
        <v>30</v>
      </c>
      <c r="F94" s="130">
        <f>IFERROR(_xlfn.XLOOKUP($A94,'Raw Data'!$G:$G,'Raw Data'!$AH:$AH),"")</f>
        <v>12.65</v>
      </c>
      <c r="G94" s="131">
        <f>IFERROR(_xlfn.XLOOKUP($A94,'Raw Data'!$G:$G,'Raw Data'!$S:$S)/1000,"")</f>
        <v>0</v>
      </c>
      <c r="H94" s="131"/>
      <c r="I94" s="131">
        <f>IFERROR(_xlfn.XLOOKUP($A94,'Raw Data'!$G:$G,'Raw Data'!$AF:$AF)/1000,"")</f>
        <v>4.0374999999999996</v>
      </c>
      <c r="J94" s="131"/>
      <c r="K94" s="131">
        <f>IFERROR(_xlfn.XLOOKUP($A94,'Raw Data'!$G:$G,'Raw Data'!W:W),"")</f>
        <v>23</v>
      </c>
      <c r="L94" s="131">
        <f>IFERROR(_xlfn.XLOOKUP($A94,'Raw Data'!$G:$G,'Raw Data'!X:X),"")</f>
        <v>32</v>
      </c>
      <c r="M94" s="131">
        <f>IFERROR(_xlfn.XLOOKUP($A94,'Raw Data'!$G:$G,'Raw Data'!Y:Y),"")</f>
        <v>5</v>
      </c>
      <c r="N94" s="131">
        <f>IFERROR(_xlfn.XLOOKUP($A94,'Raw Data'!$G:$G,'Raw Data'!Z:Z),"")</f>
        <v>9</v>
      </c>
      <c r="O94" s="158">
        <f>IFERROR(1-SUMIF('Plant BD'!$H:$H,$A94,'Plant BD'!AC:AC)/$F94,"")</f>
        <v>1</v>
      </c>
      <c r="P94" s="158"/>
      <c r="Q94" s="159"/>
      <c r="R94" s="158">
        <f>IFERROR(1-SUMIF('Grid BD'!$H:$H,$A94,'Grid BD'!AB:AB)/$F94,"")</f>
        <v>1</v>
      </c>
      <c r="T94" s="159">
        <f>IFERROR(1-SUMIF(Tracker_BD!$H:$H,$A94,Tracker_BD!AI:AI)/$F94,"")</f>
        <v>0.98606757227446884</v>
      </c>
      <c r="U94" s="160">
        <f t="shared" si="5"/>
        <v>0.76478830080646132</v>
      </c>
      <c r="V94" s="160"/>
      <c r="W94" s="161">
        <f t="shared" si="6"/>
        <v>0.12865969852108694</v>
      </c>
      <c r="X94" s="156">
        <f>IFERROR(_xlfn.XLOOKUP($A94,'Raw Data'!$G:$G,'Raw Data'!$AB:$AB),"")</f>
        <v>36426</v>
      </c>
      <c r="Y94" s="156">
        <f>IFERROR(_xlfn.XLOOKUP($A94,'Raw Data'!$G:$G,'Raw Data'!AC:AC),"")</f>
        <v>36402.200000011362</v>
      </c>
      <c r="Z94" s="156">
        <f>IFERROR(_xlfn.XLOOKUP($A94,'Raw Data'!$G:$G,'Raw Data'!AD:AD),"")</f>
        <v>212.80000000001564</v>
      </c>
      <c r="AA94" s="156">
        <f>IFERROR(_xlfn.XLOOKUP($A94,'Raw Data'!$G:$G,'Raw Data'!AE:AE),"")</f>
        <v>36189.400000011345</v>
      </c>
      <c r="AB94" s="156">
        <f>IFERROR(_xlfn.XLOOKUP($A94,'Raw Data'!$G:$G,'Raw Data'!$H:$H),"")</f>
        <v>11.72</v>
      </c>
      <c r="AC94" s="162">
        <f>IFERROR(_xlfn.XLOOKUP($D94,'Modelling New'!$D:$D,'Modelling New'!$P:$P),"")</f>
        <v>5.617271453333335</v>
      </c>
      <c r="AD94" s="156">
        <f>IFERROR(_xlfn.XLOOKUP($D94,'Modelling New'!$D:$D,'Modelling New'!$T:$T)*1000,"")</f>
        <v>47413.538853540602</v>
      </c>
      <c r="AE94" s="163">
        <f>IFERROR(_xlfn.XLOOKUP($D94,'Modelling New'!$D:$D,'Modelling New'!$O:$O),"")</f>
        <v>0.72019375003918806</v>
      </c>
      <c r="AF94" s="163">
        <f>IFERROR(_xlfn.XLOOKUP($D94,'Modelling New'!$D:$D,'Modelling New'!$W:$W),"")</f>
        <v>0.16856349137350896</v>
      </c>
      <c r="AG94" s="163">
        <f>IFERROR(_xlfn.XLOOKUP($D94,'Modelling New'!$D:$D,'Modelling New'!AE:AE),"")</f>
        <v>0.995</v>
      </c>
      <c r="AH94" s="163">
        <f>IFERROR(_xlfn.XLOOKUP($D94,'Modelling New'!$D:$D,'Modelling New'!AF:AF),"")</f>
        <v>0.98550000000000004</v>
      </c>
      <c r="AN94" s="164"/>
      <c r="AO94" s="161"/>
      <c r="AP94" s="161"/>
      <c r="AQ94" s="161"/>
      <c r="AR94" s="156">
        <f>IFERROR(_xlfn.XLOOKUP($D94,'Modelling New'!$D:$D,'Modelling New'!$N:$N),"")</f>
        <v>11.72</v>
      </c>
    </row>
    <row r="95" spans="1:44">
      <c r="A95" s="155">
        <f t="shared" si="7"/>
        <v>45838</v>
      </c>
      <c r="B95" s="156">
        <f>YEAR(Table13[[#This Row],[Date]])+IF(MONTH(Table13[[#This Row],[Date]])&gt;=4,1,0)</f>
        <v>2026</v>
      </c>
      <c r="C95" s="129">
        <f>YEAR(Table13[[#This Row],[Date]])</f>
        <v>2025</v>
      </c>
      <c r="D95" s="157">
        <f>Table13[[#This Row],[Date]]-DAY(Table13[[#This Row],[Date]])+1</f>
        <v>45809</v>
      </c>
      <c r="E95" s="129">
        <f t="shared" si="4"/>
        <v>30</v>
      </c>
      <c r="F95" s="130">
        <f>IFERROR(_xlfn.XLOOKUP($A95,'Raw Data'!$G:$G,'Raw Data'!$AH:$AH),"")</f>
        <v>11.6</v>
      </c>
      <c r="G95" s="131">
        <f>IFERROR(_xlfn.XLOOKUP($A95,'Raw Data'!$G:$G,'Raw Data'!$S:$S)/1000,"")</f>
        <v>0</v>
      </c>
      <c r="H95" s="131"/>
      <c r="I95" s="131">
        <f>IFERROR(_xlfn.XLOOKUP($A95,'Raw Data'!$G:$G,'Raw Data'!$AF:$AF)/1000,"")</f>
        <v>3.536</v>
      </c>
      <c r="J95" s="131"/>
      <c r="K95" s="131">
        <f>IFERROR(_xlfn.XLOOKUP($A95,'Raw Data'!$G:$G,'Raw Data'!W:W),"")</f>
        <v>23</v>
      </c>
      <c r="L95" s="131">
        <f>IFERROR(_xlfn.XLOOKUP($A95,'Raw Data'!$G:$G,'Raw Data'!X:X),"")</f>
        <v>33</v>
      </c>
      <c r="M95" s="131">
        <f>IFERROR(_xlfn.XLOOKUP($A95,'Raw Data'!$G:$G,'Raw Data'!Y:Y),"")</f>
        <v>4</v>
      </c>
      <c r="N95" s="131">
        <f>IFERROR(_xlfn.XLOOKUP($A95,'Raw Data'!$G:$G,'Raw Data'!Z:Z),"")</f>
        <v>9</v>
      </c>
      <c r="O95" s="158">
        <f>IFERROR(1-SUMIF('Plant BD'!$H:$H,$A95,'Plant BD'!AC:AC)/$F95,"")</f>
        <v>1</v>
      </c>
      <c r="P95" s="158"/>
      <c r="Q95" s="159"/>
      <c r="R95" s="158">
        <f>IFERROR(1-SUMIF('Grid BD'!$H:$H,$A95,'Grid BD'!AB:AB)/$F95,"")</f>
        <v>1</v>
      </c>
      <c r="T95" s="159">
        <f>IFERROR(1-SUMIF(Tracker_BD!$H:$H,$A95,Tracker_BD!AI:AI)/$F95,"")</f>
        <v>0.98515738538776587</v>
      </c>
      <c r="U95" s="160">
        <f t="shared" si="5"/>
        <v>0.79750166015429902</v>
      </c>
      <c r="V95" s="160"/>
      <c r="W95" s="161">
        <f t="shared" si="6"/>
        <v>0.11749857792940004</v>
      </c>
      <c r="X95" s="156">
        <f>IFERROR(_xlfn.XLOOKUP($A95,'Raw Data'!$G:$G,'Raw Data'!$AB:$AB),"")</f>
        <v>33217</v>
      </c>
      <c r="Y95" s="156">
        <f>IFERROR(_xlfn.XLOOKUP($A95,'Raw Data'!$G:$G,'Raw Data'!AC:AC),"")</f>
        <v>33181.5999999817</v>
      </c>
      <c r="Z95" s="156">
        <f>IFERROR(_xlfn.XLOOKUP($A95,'Raw Data'!$G:$G,'Raw Data'!AD:AD),"")</f>
        <v>131.60000000004857</v>
      </c>
      <c r="AA95" s="156">
        <f>IFERROR(_xlfn.XLOOKUP($A95,'Raw Data'!$G:$G,'Raw Data'!AE:AE),"")</f>
        <v>33049.99999998165</v>
      </c>
      <c r="AB95" s="156">
        <f>IFERROR(_xlfn.XLOOKUP($A95,'Raw Data'!$G:$G,'Raw Data'!$H:$H),"")</f>
        <v>11.72</v>
      </c>
      <c r="AC95" s="162">
        <f>IFERROR(_xlfn.XLOOKUP($D95,'Modelling New'!$D:$D,'Modelling New'!$P:$P),"")</f>
        <v>5.617271453333335</v>
      </c>
      <c r="AD95" s="156">
        <f>IFERROR(_xlfn.XLOOKUP($D95,'Modelling New'!$D:$D,'Modelling New'!$T:$T)*1000,"")</f>
        <v>47413.538853540602</v>
      </c>
      <c r="AE95" s="163">
        <f>IFERROR(_xlfn.XLOOKUP($D95,'Modelling New'!$D:$D,'Modelling New'!$O:$O),"")</f>
        <v>0.72019375003918806</v>
      </c>
      <c r="AF95" s="163">
        <f>IFERROR(_xlfn.XLOOKUP($D95,'Modelling New'!$D:$D,'Modelling New'!$W:$W),"")</f>
        <v>0.16856349137350896</v>
      </c>
      <c r="AG95" s="163">
        <f>IFERROR(_xlfn.XLOOKUP($D95,'Modelling New'!$D:$D,'Modelling New'!AE:AE),"")</f>
        <v>0.995</v>
      </c>
      <c r="AH95" s="163">
        <f>IFERROR(_xlfn.XLOOKUP($D95,'Modelling New'!$D:$D,'Modelling New'!AF:AF),"")</f>
        <v>0.98550000000000004</v>
      </c>
      <c r="AN95" s="164"/>
      <c r="AO95" s="161"/>
      <c r="AP95" s="161"/>
      <c r="AQ95" s="161"/>
      <c r="AR95" s="156">
        <f>IFERROR(_xlfn.XLOOKUP($D95,'Modelling New'!$D:$D,'Modelling New'!$N:$N),"")</f>
        <v>11.72</v>
      </c>
    </row>
    <row r="96" spans="1:44">
      <c r="A96" s="155">
        <f t="shared" si="7"/>
        <v>45839</v>
      </c>
      <c r="B96" s="156">
        <f>YEAR(Table13[[#This Row],[Date]])+IF(MONTH(Table13[[#This Row],[Date]])&gt;=4,1,0)</f>
        <v>2026</v>
      </c>
      <c r="C96" s="129">
        <f>YEAR(Table13[[#This Row],[Date]])</f>
        <v>2025</v>
      </c>
      <c r="D96" s="157">
        <f>Table13[[#This Row],[Date]]-DAY(Table13[[#This Row],[Date]])+1</f>
        <v>45839</v>
      </c>
      <c r="E96" s="129">
        <f t="shared" si="4"/>
        <v>31</v>
      </c>
      <c r="F96" s="130">
        <f>IFERROR(_xlfn.XLOOKUP($A96,'Raw Data'!$G:$G,'Raw Data'!$AH:$AH),"")</f>
        <v>12.299999999999999</v>
      </c>
      <c r="G96" s="131">
        <f>IFERROR(_xlfn.XLOOKUP($A96,'Raw Data'!$G:$G,'Raw Data'!$S:$S)/1000,"")</f>
        <v>0</v>
      </c>
      <c r="H96" s="131"/>
      <c r="I96" s="131">
        <f>IFERROR(_xlfn.XLOOKUP($A96,'Raw Data'!$G:$G,'Raw Data'!$AF:$AF)/1000,"")</f>
        <v>2.923</v>
      </c>
      <c r="J96" s="131"/>
      <c r="K96" s="131">
        <f>IFERROR(_xlfn.XLOOKUP($A96,'Raw Data'!$G:$G,'Raw Data'!W:W),"")</f>
        <v>23</v>
      </c>
      <c r="L96" s="131">
        <f>IFERROR(_xlfn.XLOOKUP($A96,'Raw Data'!$G:$G,'Raw Data'!X:X),"")</f>
        <v>30</v>
      </c>
      <c r="M96" s="131">
        <f>IFERROR(_xlfn.XLOOKUP($A96,'Raw Data'!$G:$G,'Raw Data'!Y:Y),"")</f>
        <v>4</v>
      </c>
      <c r="N96" s="131">
        <f>IFERROR(_xlfn.XLOOKUP($A96,'Raw Data'!$G:$G,'Raw Data'!Z:Z),"")</f>
        <v>10</v>
      </c>
      <c r="O96" s="158">
        <f>IFERROR(1-SUMIF('Plant BD'!$H:$H,$A96,'Plant BD'!AC:AC)/$F96,"")</f>
        <v>1</v>
      </c>
      <c r="P96" s="158"/>
      <c r="Q96" s="159"/>
      <c r="R96" s="158">
        <f>IFERROR(1-SUMIF('Grid BD'!$H:$H,$A96,'Grid BD'!AB:AB)/$F96,"")</f>
        <v>0.92682926829268297</v>
      </c>
      <c r="T96" s="159">
        <f>IFERROR(1-SUMIF(Tracker_BD!$H:$H,$A96,Tracker_BD!AI:AI)/$F96,"")</f>
        <v>0.98592421269040276</v>
      </c>
      <c r="U96" s="160">
        <f t="shared" si="5"/>
        <v>0.68071981775774781</v>
      </c>
      <c r="V96" s="160"/>
      <c r="W96" s="161">
        <f t="shared" si="6"/>
        <v>8.2906001137745683E-2</v>
      </c>
      <c r="X96" s="156">
        <f>IFERROR(_xlfn.XLOOKUP($A96,'Raw Data'!$G:$G,'Raw Data'!$AB:$AB),"")</f>
        <v>23498</v>
      </c>
      <c r="Y96" s="156">
        <f>IFERROR(_xlfn.XLOOKUP($A96,'Raw Data'!$G:$G,'Raw Data'!AC:AC),"")</f>
        <v>23489.500000025146</v>
      </c>
      <c r="Z96" s="156">
        <f>IFERROR(_xlfn.XLOOKUP($A96,'Raw Data'!$G:$G,'Raw Data'!AD:AD),"")</f>
        <v>169.70000000003438</v>
      </c>
      <c r="AA96" s="156">
        <f>IFERROR(_xlfn.XLOOKUP($A96,'Raw Data'!$G:$G,'Raw Data'!AE:AE),"")</f>
        <v>23319.800000025112</v>
      </c>
      <c r="AB96" s="156">
        <f>IFERROR(_xlfn.XLOOKUP($A96,'Raw Data'!$G:$G,'Raw Data'!$H:$H),"")</f>
        <v>11.72</v>
      </c>
      <c r="AC96" s="162">
        <f>IFERROR(_xlfn.XLOOKUP($D96,'Modelling New'!$D:$D,'Modelling New'!$P:$P),"")</f>
        <v>4.6269332580645148</v>
      </c>
      <c r="AD96" s="156">
        <f>IFERROR(_xlfn.XLOOKUP($D96,'Modelling New'!$D:$D,'Modelling New'!$T:$T)*1000,"")</f>
        <v>40702.654142805535</v>
      </c>
      <c r="AE96" s="163">
        <f>IFERROR(_xlfn.XLOOKUP($D96,'Modelling New'!$D:$D,'Modelling New'!$O:$O),"")</f>
        <v>0.75058845994317613</v>
      </c>
      <c r="AF96" s="163">
        <f>IFERROR(_xlfn.XLOOKUP($D96,'Modelling New'!$D:$D,'Modelling New'!$W:$W),"")</f>
        <v>0.14470511285127108</v>
      </c>
      <c r="AG96" s="163">
        <f>IFERROR(_xlfn.XLOOKUP($D96,'Modelling New'!$D:$D,'Modelling New'!AE:AE),"")</f>
        <v>0.995</v>
      </c>
      <c r="AH96" s="163">
        <f>IFERROR(_xlfn.XLOOKUP($D96,'Modelling New'!$D:$D,'Modelling New'!AF:AF),"")</f>
        <v>0.98550000000000004</v>
      </c>
      <c r="AN96" s="164"/>
      <c r="AO96" s="161"/>
      <c r="AP96" s="161"/>
      <c r="AQ96" s="161"/>
      <c r="AR96" s="156">
        <f>IFERROR(_xlfn.XLOOKUP($D96,'Modelling New'!$D:$D,'Modelling New'!$N:$N),"")</f>
        <v>11.72</v>
      </c>
    </row>
    <row r="97" spans="1:44">
      <c r="A97" s="155">
        <f t="shared" si="7"/>
        <v>45840</v>
      </c>
      <c r="B97" s="156">
        <f>YEAR(Table13[[#This Row],[Date]])+IF(MONTH(Table13[[#This Row],[Date]])&gt;=4,1,0)</f>
        <v>2026</v>
      </c>
      <c r="C97" s="129">
        <f>YEAR(Table13[[#This Row],[Date]])</f>
        <v>2025</v>
      </c>
      <c r="D97" s="157">
        <f>Table13[[#This Row],[Date]]-DAY(Table13[[#This Row],[Date]])+1</f>
        <v>45839</v>
      </c>
      <c r="E97" s="129">
        <f t="shared" si="4"/>
        <v>31</v>
      </c>
      <c r="F97" s="130">
        <f>IFERROR(_xlfn.XLOOKUP($A97,'Raw Data'!$G:$G,'Raw Data'!$AH:$AH),"")</f>
        <v>12.483333333333334</v>
      </c>
      <c r="G97" s="131">
        <f>IFERROR(_xlfn.XLOOKUP($A97,'Raw Data'!$G:$G,'Raw Data'!$S:$S)/1000,"")</f>
        <v>0</v>
      </c>
      <c r="H97" s="131"/>
      <c r="I97" s="131">
        <f>IFERROR(_xlfn.XLOOKUP($A97,'Raw Data'!$G:$G,'Raw Data'!$AF:$AF)/1000,"")</f>
        <v>1.8620000000000001</v>
      </c>
      <c r="J97" s="131"/>
      <c r="K97" s="131">
        <f>IFERROR(_xlfn.XLOOKUP($A97,'Raw Data'!$G:$G,'Raw Data'!W:W),"")</f>
        <v>23</v>
      </c>
      <c r="L97" s="131">
        <f>IFERROR(_xlfn.XLOOKUP($A97,'Raw Data'!$G:$G,'Raw Data'!X:X),"")</f>
        <v>27.8</v>
      </c>
      <c r="M97" s="131">
        <f>IFERROR(_xlfn.XLOOKUP($A97,'Raw Data'!$G:$G,'Raw Data'!Y:Y),"")</f>
        <v>4</v>
      </c>
      <c r="N97" s="131">
        <f>IFERROR(_xlfn.XLOOKUP($A97,'Raw Data'!$G:$G,'Raw Data'!Z:Z),"")</f>
        <v>7</v>
      </c>
      <c r="O97" s="158">
        <f>IFERROR(1-SUMIF('Plant BD'!$H:$H,$A97,'Plant BD'!AC:AC)/$F97,"")</f>
        <v>1</v>
      </c>
      <c r="P97" s="158"/>
      <c r="Q97" s="159"/>
      <c r="R97" s="158">
        <f>IFERROR(1-SUMIF('Grid BD'!$H:$H,$A97,'Grid BD'!AB:AB)/$F97,"")</f>
        <v>1</v>
      </c>
      <c r="T97" s="159">
        <f>IFERROR(1-SUMIF(Tracker_BD!$H:$H,$A97,Tracker_BD!AI:AI)/$F97,"")</f>
        <v>1.0118564215889385</v>
      </c>
      <c r="U97" s="160">
        <f t="shared" si="5"/>
        <v>0.84718897438570084</v>
      </c>
      <c r="V97" s="160"/>
      <c r="W97" s="161">
        <f t="shared" si="6"/>
        <v>6.5727744596090612E-2</v>
      </c>
      <c r="X97" s="156">
        <f>IFERROR(_xlfn.XLOOKUP($A97,'Raw Data'!$G:$G,'Raw Data'!$AB:$AB),"")</f>
        <v>18730</v>
      </c>
      <c r="Y97" s="156">
        <f>IFERROR(_xlfn.XLOOKUP($A97,'Raw Data'!$G:$G,'Raw Data'!AC:AC),"")</f>
        <v>18674.999999988358</v>
      </c>
      <c r="Z97" s="156">
        <f>IFERROR(_xlfn.XLOOKUP($A97,'Raw Data'!$G:$G,'Raw Data'!AD:AD),"")</f>
        <v>187.09999999998672</v>
      </c>
      <c r="AA97" s="156">
        <f>IFERROR(_xlfn.XLOOKUP($A97,'Raw Data'!$G:$G,'Raw Data'!AE:AE),"")</f>
        <v>18487.899999988371</v>
      </c>
      <c r="AB97" s="156">
        <f>IFERROR(_xlfn.XLOOKUP($A97,'Raw Data'!$G:$G,'Raw Data'!$H:$H),"")</f>
        <v>11.72</v>
      </c>
      <c r="AC97" s="162">
        <f>IFERROR(_xlfn.XLOOKUP($D97,'Modelling New'!$D:$D,'Modelling New'!$P:$P),"")</f>
        <v>4.6269332580645148</v>
      </c>
      <c r="AD97" s="156">
        <f>IFERROR(_xlfn.XLOOKUP($D97,'Modelling New'!$D:$D,'Modelling New'!$T:$T)*1000,"")</f>
        <v>40702.654142805535</v>
      </c>
      <c r="AE97" s="163">
        <f>IFERROR(_xlfn.XLOOKUP($D97,'Modelling New'!$D:$D,'Modelling New'!$O:$O),"")</f>
        <v>0.75058845994317613</v>
      </c>
      <c r="AF97" s="163">
        <f>IFERROR(_xlfn.XLOOKUP($D97,'Modelling New'!$D:$D,'Modelling New'!$W:$W),"")</f>
        <v>0.14470511285127108</v>
      </c>
      <c r="AG97" s="163">
        <f>IFERROR(_xlfn.XLOOKUP($D97,'Modelling New'!$D:$D,'Modelling New'!AE:AE),"")</f>
        <v>0.995</v>
      </c>
      <c r="AH97" s="163">
        <f>IFERROR(_xlfn.XLOOKUP($D97,'Modelling New'!$D:$D,'Modelling New'!AF:AF),"")</f>
        <v>0.98550000000000004</v>
      </c>
      <c r="AN97" s="164"/>
      <c r="AO97" s="161"/>
      <c r="AP97" s="161"/>
      <c r="AQ97" s="161"/>
      <c r="AR97" s="156">
        <f>IFERROR(_xlfn.XLOOKUP($D97,'Modelling New'!$D:$D,'Modelling New'!$N:$N),"")</f>
        <v>11.72</v>
      </c>
    </row>
    <row r="98" spans="1:44">
      <c r="A98" s="155">
        <f t="shared" si="7"/>
        <v>45841</v>
      </c>
      <c r="B98" s="156">
        <f>YEAR(Table13[[#This Row],[Date]])+IF(MONTH(Table13[[#This Row],[Date]])&gt;=4,1,0)</f>
        <v>2026</v>
      </c>
      <c r="C98" s="129">
        <f>YEAR(Table13[[#This Row],[Date]])</f>
        <v>2025</v>
      </c>
      <c r="D98" s="157">
        <f>Table13[[#This Row],[Date]]-DAY(Table13[[#This Row],[Date]])+1</f>
        <v>45839</v>
      </c>
      <c r="E98" s="129">
        <f t="shared" si="4"/>
        <v>31</v>
      </c>
      <c r="F98" s="130">
        <f>IFERROR(_xlfn.XLOOKUP($A98,'Raw Data'!$G:$G,'Raw Data'!$AH:$AH),"")</f>
        <v>12.400000000000002</v>
      </c>
      <c r="G98" s="131">
        <f>IFERROR(_xlfn.XLOOKUP($A98,'Raw Data'!$G:$G,'Raw Data'!$S:$S)/1000,"")</f>
        <v>0</v>
      </c>
      <c r="H98" s="131"/>
      <c r="I98" s="131">
        <f>IFERROR(_xlfn.XLOOKUP($A98,'Raw Data'!$G:$G,'Raw Data'!$AF:$AF)/1000,"")</f>
        <v>2.9409999999999998</v>
      </c>
      <c r="J98" s="131"/>
      <c r="K98" s="131">
        <f>IFERROR(_xlfn.XLOOKUP($A98,'Raw Data'!$G:$G,'Raw Data'!W:W),"")</f>
        <v>23</v>
      </c>
      <c r="L98" s="131">
        <f>IFERROR(_xlfn.XLOOKUP($A98,'Raw Data'!$G:$G,'Raw Data'!X:X),"")</f>
        <v>31</v>
      </c>
      <c r="M98" s="131">
        <f>IFERROR(_xlfn.XLOOKUP($A98,'Raw Data'!$G:$G,'Raw Data'!Y:Y),"")</f>
        <v>4</v>
      </c>
      <c r="N98" s="131">
        <f>IFERROR(_xlfn.XLOOKUP($A98,'Raw Data'!$G:$G,'Raw Data'!Z:Z),"")</f>
        <v>8</v>
      </c>
      <c r="O98" s="158">
        <f>IFERROR(1-SUMIF('Plant BD'!$H:$H,$A98,'Plant BD'!AC:AC)/$F98,"")</f>
        <v>1</v>
      </c>
      <c r="P98" s="158"/>
      <c r="Q98" s="159"/>
      <c r="R98" s="158">
        <f>IFERROR(1-SUMIF('Grid BD'!$H:$H,$A98,'Grid BD'!AB:AB)/$F98,"")</f>
        <v>1</v>
      </c>
      <c r="T98" s="159">
        <f>IFERROR(1-SUMIF(Tracker_BD!$H:$H,$A98,Tracker_BD!AI:AI)/$F98,"")</f>
        <v>0.98601841552342107</v>
      </c>
      <c r="U98" s="160">
        <f t="shared" si="5"/>
        <v>0.82226623017140699</v>
      </c>
      <c r="V98" s="160"/>
      <c r="W98" s="161">
        <f t="shared" si="6"/>
        <v>0.10076187428892114</v>
      </c>
      <c r="X98" s="156">
        <f>IFERROR(_xlfn.XLOOKUP($A98,'Raw Data'!$G:$G,'Raw Data'!$AB:$AB),"")</f>
        <v>28582</v>
      </c>
      <c r="Y98" s="156">
        <f>IFERROR(_xlfn.XLOOKUP($A98,'Raw Data'!$G:$G,'Raw Data'!AC:AC),"")</f>
        <v>28521.799999987707</v>
      </c>
      <c r="Z98" s="156">
        <f>IFERROR(_xlfn.XLOOKUP($A98,'Raw Data'!$G:$G,'Raw Data'!AD:AD),"")</f>
        <v>179.4999999999618</v>
      </c>
      <c r="AA98" s="156">
        <f>IFERROR(_xlfn.XLOOKUP($A98,'Raw Data'!$G:$G,'Raw Data'!AE:AE),"")</f>
        <v>28342.299999987743</v>
      </c>
      <c r="AB98" s="156">
        <f>IFERROR(_xlfn.XLOOKUP($A98,'Raw Data'!$G:$G,'Raw Data'!$H:$H),"")</f>
        <v>11.72</v>
      </c>
      <c r="AC98" s="162">
        <f>IFERROR(_xlfn.XLOOKUP($D98,'Modelling New'!$D:$D,'Modelling New'!$P:$P),"")</f>
        <v>4.6269332580645148</v>
      </c>
      <c r="AD98" s="156">
        <f>IFERROR(_xlfn.XLOOKUP($D98,'Modelling New'!$D:$D,'Modelling New'!$T:$T)*1000,"")</f>
        <v>40702.654142805535</v>
      </c>
      <c r="AE98" s="163">
        <f>IFERROR(_xlfn.XLOOKUP($D98,'Modelling New'!$D:$D,'Modelling New'!$O:$O),"")</f>
        <v>0.75058845994317613</v>
      </c>
      <c r="AF98" s="163">
        <f>IFERROR(_xlfn.XLOOKUP($D98,'Modelling New'!$D:$D,'Modelling New'!$W:$W),"")</f>
        <v>0.14470511285127108</v>
      </c>
      <c r="AG98" s="163">
        <f>IFERROR(_xlfn.XLOOKUP($D98,'Modelling New'!$D:$D,'Modelling New'!AE:AE),"")</f>
        <v>0.995</v>
      </c>
      <c r="AH98" s="163">
        <f>IFERROR(_xlfn.XLOOKUP($D98,'Modelling New'!$D:$D,'Modelling New'!AF:AF),"")</f>
        <v>0.98550000000000004</v>
      </c>
      <c r="AN98" s="164"/>
      <c r="AO98" s="161"/>
      <c r="AP98" s="161"/>
      <c r="AQ98" s="161"/>
      <c r="AR98" s="156">
        <f>IFERROR(_xlfn.XLOOKUP($D98,'Modelling New'!$D:$D,'Modelling New'!$N:$N),"")</f>
        <v>11.72</v>
      </c>
    </row>
    <row r="99" spans="1:44">
      <c r="A99" s="155">
        <f t="shared" si="7"/>
        <v>45842</v>
      </c>
      <c r="B99" s="156">
        <f>YEAR(Table13[[#This Row],[Date]])+IF(MONTH(Table13[[#This Row],[Date]])&gt;=4,1,0)</f>
        <v>2026</v>
      </c>
      <c r="C99" s="129">
        <f>YEAR(Table13[[#This Row],[Date]])</f>
        <v>2025</v>
      </c>
      <c r="D99" s="157">
        <f>Table13[[#This Row],[Date]]-DAY(Table13[[#This Row],[Date]])+1</f>
        <v>45839</v>
      </c>
      <c r="E99" s="129">
        <f t="shared" si="4"/>
        <v>31</v>
      </c>
      <c r="F99" s="130">
        <f>IFERROR(_xlfn.XLOOKUP($A99,'Raw Data'!$G:$G,'Raw Data'!$AH:$AH),"")</f>
        <v>12.466666666666669</v>
      </c>
      <c r="G99" s="131">
        <f>IFERROR(_xlfn.XLOOKUP($A99,'Raw Data'!$G:$G,'Raw Data'!$S:$S)/1000,"")</f>
        <v>0</v>
      </c>
      <c r="H99" s="131"/>
      <c r="I99" s="131">
        <f>IFERROR(_xlfn.XLOOKUP($A99,'Raw Data'!$G:$G,'Raw Data'!$AF:$AF)/1000,"")</f>
        <v>5.2539999999999996</v>
      </c>
      <c r="J99" s="131"/>
      <c r="K99" s="131">
        <f>IFERROR(_xlfn.XLOOKUP($A99,'Raw Data'!$G:$G,'Raw Data'!W:W),"")</f>
        <v>23</v>
      </c>
      <c r="L99" s="131">
        <f>IFERROR(_xlfn.XLOOKUP($A99,'Raw Data'!$G:$G,'Raw Data'!X:X),"")</f>
        <v>36</v>
      </c>
      <c r="M99" s="131">
        <f>IFERROR(_xlfn.XLOOKUP($A99,'Raw Data'!$G:$G,'Raw Data'!Y:Y),"")</f>
        <v>4.7</v>
      </c>
      <c r="N99" s="131">
        <f>IFERROR(_xlfn.XLOOKUP($A99,'Raw Data'!$G:$G,'Raw Data'!Z:Z),"")</f>
        <v>8</v>
      </c>
      <c r="O99" s="158">
        <f>IFERROR(1-SUMIF('Plant BD'!$H:$H,$A99,'Plant BD'!AC:AC)/$F99,"")</f>
        <v>1</v>
      </c>
      <c r="P99" s="158"/>
      <c r="Q99" s="159"/>
      <c r="R99" s="158">
        <f>IFERROR(1-SUMIF('Grid BD'!$H:$H,$A99,'Grid BD'!AB:AB)/$F99,"")</f>
        <v>1</v>
      </c>
      <c r="T99" s="159">
        <f>IFERROR(1-SUMIF(Tracker_BD!$H:$H,$A99,Tracker_BD!AI:AI)/$F99,"")</f>
        <v>0.98597793349314644</v>
      </c>
      <c r="U99" s="160">
        <f t="shared" si="5"/>
        <v>0.7486105174541946</v>
      </c>
      <c r="V99" s="160"/>
      <c r="W99" s="161">
        <f t="shared" si="6"/>
        <v>0.16388331911268075</v>
      </c>
      <c r="X99" s="156">
        <f>IFERROR(_xlfn.XLOOKUP($A99,'Raw Data'!$G:$G,'Raw Data'!$AB:$AB),"")</f>
        <v>46331</v>
      </c>
      <c r="Y99" s="156">
        <f>IFERROR(_xlfn.XLOOKUP($A99,'Raw Data'!$G:$G,'Raw Data'!AC:AC),"")</f>
        <v>46278.500000014901</v>
      </c>
      <c r="Z99" s="156">
        <f>IFERROR(_xlfn.XLOOKUP($A99,'Raw Data'!$G:$G,'Raw Data'!AD:AD),"")</f>
        <v>181.4000000000533</v>
      </c>
      <c r="AA99" s="156">
        <f>IFERROR(_xlfn.XLOOKUP($A99,'Raw Data'!$G:$G,'Raw Data'!AE:AE),"")</f>
        <v>46097.100000014849</v>
      </c>
      <c r="AB99" s="156">
        <f>IFERROR(_xlfn.XLOOKUP($A99,'Raw Data'!$G:$G,'Raw Data'!$H:$H),"")</f>
        <v>11.72</v>
      </c>
      <c r="AC99" s="162">
        <f>IFERROR(_xlfn.XLOOKUP($D99,'Modelling New'!$D:$D,'Modelling New'!$P:$P),"")</f>
        <v>4.6269332580645148</v>
      </c>
      <c r="AD99" s="156">
        <f>IFERROR(_xlfn.XLOOKUP($D99,'Modelling New'!$D:$D,'Modelling New'!$T:$T)*1000,"")</f>
        <v>40702.654142805535</v>
      </c>
      <c r="AE99" s="163">
        <f>IFERROR(_xlfn.XLOOKUP($D99,'Modelling New'!$D:$D,'Modelling New'!$O:$O),"")</f>
        <v>0.75058845994317613</v>
      </c>
      <c r="AF99" s="163">
        <f>IFERROR(_xlfn.XLOOKUP($D99,'Modelling New'!$D:$D,'Modelling New'!$W:$W),"")</f>
        <v>0.14470511285127108</v>
      </c>
      <c r="AG99" s="163">
        <f>IFERROR(_xlfn.XLOOKUP($D99,'Modelling New'!$D:$D,'Modelling New'!AE:AE),"")</f>
        <v>0.995</v>
      </c>
      <c r="AH99" s="163">
        <f>IFERROR(_xlfn.XLOOKUP($D99,'Modelling New'!$D:$D,'Modelling New'!AF:AF),"")</f>
        <v>0.98550000000000004</v>
      </c>
      <c r="AN99" s="164"/>
      <c r="AO99" s="161"/>
      <c r="AP99" s="161"/>
      <c r="AQ99" s="161"/>
      <c r="AR99" s="156">
        <f>IFERROR(_xlfn.XLOOKUP($D99,'Modelling New'!$D:$D,'Modelling New'!$N:$N),"")</f>
        <v>11.72</v>
      </c>
    </row>
    <row r="100" spans="1:44">
      <c r="A100" s="155">
        <f t="shared" si="7"/>
        <v>45843</v>
      </c>
      <c r="B100" s="156">
        <f>YEAR(Table13[[#This Row],[Date]])+IF(MONTH(Table13[[#This Row],[Date]])&gt;=4,1,0)</f>
        <v>2026</v>
      </c>
      <c r="C100" s="129">
        <f>YEAR(Table13[[#This Row],[Date]])</f>
        <v>2025</v>
      </c>
      <c r="D100" s="157">
        <f>Table13[[#This Row],[Date]]-DAY(Table13[[#This Row],[Date]])+1</f>
        <v>45839</v>
      </c>
      <c r="E100" s="129">
        <f t="shared" si="4"/>
        <v>31</v>
      </c>
      <c r="F100" s="130">
        <f>IFERROR(_xlfn.XLOOKUP($A100,'Raw Data'!$G:$G,'Raw Data'!$AH:$AH),"")</f>
        <v>12.683333333333334</v>
      </c>
      <c r="G100" s="131">
        <f>IFERROR(_xlfn.XLOOKUP($A100,'Raw Data'!$G:$G,'Raw Data'!$S:$S)/1000,"")</f>
        <v>0</v>
      </c>
      <c r="H100" s="131"/>
      <c r="I100" s="131">
        <f>IFERROR(_xlfn.XLOOKUP($A100,'Raw Data'!$G:$G,'Raw Data'!$AF:$AF)/1000,"")</f>
        <v>5.5359999999999996</v>
      </c>
      <c r="J100" s="131"/>
      <c r="K100" s="131">
        <f>IFERROR(_xlfn.XLOOKUP($A100,'Raw Data'!$G:$G,'Raw Data'!W:W),"")</f>
        <v>23</v>
      </c>
      <c r="L100" s="131">
        <f>IFERROR(_xlfn.XLOOKUP($A100,'Raw Data'!$G:$G,'Raw Data'!X:X),"")</f>
        <v>35</v>
      </c>
      <c r="M100" s="131">
        <f>IFERROR(_xlfn.XLOOKUP($A100,'Raw Data'!$G:$G,'Raw Data'!Y:Y),"")</f>
        <v>5</v>
      </c>
      <c r="N100" s="131">
        <f>IFERROR(_xlfn.XLOOKUP($A100,'Raw Data'!$G:$G,'Raw Data'!Z:Z),"")</f>
        <v>10</v>
      </c>
      <c r="O100" s="158">
        <f>IFERROR(1-SUMIF('Plant BD'!$H:$H,$A100,'Plant BD'!AC:AC)/$F100,"")</f>
        <v>1</v>
      </c>
      <c r="P100" s="158"/>
      <c r="Q100" s="159"/>
      <c r="R100" s="158">
        <f>IFERROR(1-SUMIF('Grid BD'!$H:$H,$A100,'Grid BD'!AB:AB)/$F100,"")</f>
        <v>1</v>
      </c>
      <c r="T100" s="159">
        <f>IFERROR(1-SUMIF(Tracker_BD!$H:$H,$A100,Tracker_BD!AI:AI)/$F100,"")</f>
        <v>0.98610418837887237</v>
      </c>
      <c r="U100" s="160">
        <f t="shared" si="5"/>
        <v>0.75399895687412299</v>
      </c>
      <c r="V100" s="160"/>
      <c r="W100" s="161">
        <f t="shared" si="6"/>
        <v>0.17392242605229766</v>
      </c>
      <c r="X100" s="156">
        <f>IFERROR(_xlfn.XLOOKUP($A100,'Raw Data'!$G:$G,'Raw Data'!$AB:$AB),"")</f>
        <v>49145</v>
      </c>
      <c r="Y100" s="156">
        <f>IFERROR(_xlfn.XLOOKUP($A100,'Raw Data'!$G:$G,'Raw Data'!AC:AC),"")</f>
        <v>49076.999999990221</v>
      </c>
      <c r="Z100" s="156">
        <f>IFERROR(_xlfn.XLOOKUP($A100,'Raw Data'!$G:$G,'Raw Data'!AD:AD),"")</f>
        <v>156.09999999992397</v>
      </c>
      <c r="AA100" s="156">
        <f>IFERROR(_xlfn.XLOOKUP($A100,'Raw Data'!$G:$G,'Raw Data'!AE:AE),"")</f>
        <v>48920.899999990295</v>
      </c>
      <c r="AB100" s="156">
        <f>IFERROR(_xlfn.XLOOKUP($A100,'Raw Data'!$G:$G,'Raw Data'!$H:$H),"")</f>
        <v>11.72</v>
      </c>
      <c r="AC100" s="162">
        <f>IFERROR(_xlfn.XLOOKUP($D100,'Modelling New'!$D:$D,'Modelling New'!$P:$P),"")</f>
        <v>4.6269332580645148</v>
      </c>
      <c r="AD100" s="156">
        <f>IFERROR(_xlfn.XLOOKUP($D100,'Modelling New'!$D:$D,'Modelling New'!$T:$T)*1000,"")</f>
        <v>40702.654142805535</v>
      </c>
      <c r="AE100" s="163">
        <f>IFERROR(_xlfn.XLOOKUP($D100,'Modelling New'!$D:$D,'Modelling New'!$O:$O),"")</f>
        <v>0.75058845994317613</v>
      </c>
      <c r="AF100" s="163">
        <f>IFERROR(_xlfn.XLOOKUP($D100,'Modelling New'!$D:$D,'Modelling New'!$W:$W),"")</f>
        <v>0.14470511285127108</v>
      </c>
      <c r="AG100" s="163">
        <f>IFERROR(_xlfn.XLOOKUP($D100,'Modelling New'!$D:$D,'Modelling New'!AE:AE),"")</f>
        <v>0.995</v>
      </c>
      <c r="AH100" s="163">
        <f>IFERROR(_xlfn.XLOOKUP($D100,'Modelling New'!$D:$D,'Modelling New'!AF:AF),"")</f>
        <v>0.98550000000000004</v>
      </c>
      <c r="AN100" s="164"/>
      <c r="AO100" s="161"/>
      <c r="AP100" s="161"/>
      <c r="AQ100" s="161"/>
      <c r="AR100" s="156">
        <f>IFERROR(_xlfn.XLOOKUP($D100,'Modelling New'!$D:$D,'Modelling New'!$N:$N),"")</f>
        <v>11.72</v>
      </c>
    </row>
    <row r="101" spans="1:44">
      <c r="A101" s="155">
        <f t="shared" si="7"/>
        <v>45844</v>
      </c>
      <c r="B101" s="156">
        <f>YEAR(Table13[[#This Row],[Date]])+IF(MONTH(Table13[[#This Row],[Date]])&gt;=4,1,0)</f>
        <v>2026</v>
      </c>
      <c r="C101" s="129">
        <f>YEAR(Table13[[#This Row],[Date]])</f>
        <v>2025</v>
      </c>
      <c r="D101" s="157">
        <f>Table13[[#This Row],[Date]]-DAY(Table13[[#This Row],[Date]])+1</f>
        <v>45839</v>
      </c>
      <c r="E101" s="129">
        <f t="shared" si="4"/>
        <v>31</v>
      </c>
      <c r="F101" s="130">
        <f>IFERROR(_xlfn.XLOOKUP($A101,'Raw Data'!$G:$G,'Raw Data'!$AH:$AH),"")</f>
        <v>12.416666666666668</v>
      </c>
      <c r="G101" s="131">
        <f>IFERROR(_xlfn.XLOOKUP($A101,'Raw Data'!$G:$G,'Raw Data'!$S:$S)/1000,"")</f>
        <v>0</v>
      </c>
      <c r="H101" s="131"/>
      <c r="I101" s="131">
        <f>IFERROR(_xlfn.XLOOKUP($A101,'Raw Data'!$G:$G,'Raw Data'!$AF:$AF)/1000,"")</f>
        <v>5.84</v>
      </c>
      <c r="J101" s="131"/>
      <c r="K101" s="131">
        <f>IFERROR(_xlfn.XLOOKUP($A101,'Raw Data'!$G:$G,'Raw Data'!W:W),"")</f>
        <v>23</v>
      </c>
      <c r="L101" s="131">
        <f>IFERROR(_xlfn.XLOOKUP($A101,'Raw Data'!$G:$G,'Raw Data'!X:X),"")</f>
        <v>36.5</v>
      </c>
      <c r="M101" s="131">
        <f>IFERROR(_xlfn.XLOOKUP($A101,'Raw Data'!$G:$G,'Raw Data'!Y:Y),"")</f>
        <v>5</v>
      </c>
      <c r="N101" s="131">
        <f>IFERROR(_xlfn.XLOOKUP($A101,'Raw Data'!$G:$G,'Raw Data'!Z:Z),"")</f>
        <v>10</v>
      </c>
      <c r="O101" s="158">
        <f>IFERROR(1-SUMIF('Plant BD'!$H:$H,$A101,'Plant BD'!AC:AC)/$F101,"")</f>
        <v>1</v>
      </c>
      <c r="P101" s="158"/>
      <c r="Q101" s="159"/>
      <c r="R101" s="158">
        <f>IFERROR(1-SUMIF('Grid BD'!$H:$H,$A101,'Grid BD'!AB:AB)/$F101,"")</f>
        <v>1</v>
      </c>
      <c r="T101" s="159">
        <f>IFERROR(1-SUMIF(Tracker_BD!$H:$H,$A101,Tracker_BD!AI:AI)/$F101,"")</f>
        <v>0.98611432538764177</v>
      </c>
      <c r="U101" s="160">
        <f t="shared" si="5"/>
        <v>0.74395425218572786</v>
      </c>
      <c r="V101" s="160"/>
      <c r="W101" s="161">
        <f t="shared" si="6"/>
        <v>0.18102886803186044</v>
      </c>
      <c r="X101" s="156">
        <f>IFERROR(_xlfn.XLOOKUP($A101,'Raw Data'!$G:$G,'Raw Data'!$AB:$AB),"")</f>
        <v>51112</v>
      </c>
      <c r="Y101" s="156">
        <f>IFERROR(_xlfn.XLOOKUP($A101,'Raw Data'!$G:$G,'Raw Data'!AC:AC),"")</f>
        <v>51094.40000000177</v>
      </c>
      <c r="Z101" s="156">
        <f>IFERROR(_xlfn.XLOOKUP($A101,'Raw Data'!$G:$G,'Raw Data'!AD:AD),"")</f>
        <v>174.60000000005493</v>
      </c>
      <c r="AA101" s="156">
        <f>IFERROR(_xlfn.XLOOKUP($A101,'Raw Data'!$G:$G,'Raw Data'!AE:AE),"")</f>
        <v>50919.800000001713</v>
      </c>
      <c r="AB101" s="156">
        <f>IFERROR(_xlfn.XLOOKUP($A101,'Raw Data'!$G:$G,'Raw Data'!$H:$H),"")</f>
        <v>11.72</v>
      </c>
      <c r="AC101" s="162">
        <f>IFERROR(_xlfn.XLOOKUP($D101,'Modelling New'!$D:$D,'Modelling New'!$P:$P),"")</f>
        <v>4.6269332580645148</v>
      </c>
      <c r="AD101" s="156">
        <f>IFERROR(_xlfn.XLOOKUP($D101,'Modelling New'!$D:$D,'Modelling New'!$T:$T)*1000,"")</f>
        <v>40702.654142805535</v>
      </c>
      <c r="AE101" s="163">
        <f>IFERROR(_xlfn.XLOOKUP($D101,'Modelling New'!$D:$D,'Modelling New'!$O:$O),"")</f>
        <v>0.75058845994317613</v>
      </c>
      <c r="AF101" s="163">
        <f>IFERROR(_xlfn.XLOOKUP($D101,'Modelling New'!$D:$D,'Modelling New'!$W:$W),"")</f>
        <v>0.14470511285127108</v>
      </c>
      <c r="AG101" s="163">
        <f>IFERROR(_xlfn.XLOOKUP($D101,'Modelling New'!$D:$D,'Modelling New'!AE:AE),"")</f>
        <v>0.995</v>
      </c>
      <c r="AH101" s="163">
        <f>IFERROR(_xlfn.XLOOKUP($D101,'Modelling New'!$D:$D,'Modelling New'!AF:AF),"")</f>
        <v>0.98550000000000004</v>
      </c>
      <c r="AN101" s="164"/>
      <c r="AO101" s="161"/>
      <c r="AP101" s="161"/>
      <c r="AQ101" s="161"/>
      <c r="AR101" s="156">
        <f>IFERROR(_xlfn.XLOOKUP($D101,'Modelling New'!$D:$D,'Modelling New'!$N:$N),"")</f>
        <v>11.72</v>
      </c>
    </row>
    <row r="102" spans="1:44">
      <c r="A102" s="155">
        <f t="shared" si="7"/>
        <v>45845</v>
      </c>
      <c r="B102" s="156">
        <f>YEAR(Table13[[#This Row],[Date]])+IF(MONTH(Table13[[#This Row],[Date]])&gt;=4,1,0)</f>
        <v>2026</v>
      </c>
      <c r="C102" s="129">
        <f>YEAR(Table13[[#This Row],[Date]])</f>
        <v>2025</v>
      </c>
      <c r="D102" s="157">
        <f>Table13[[#This Row],[Date]]-DAY(Table13[[#This Row],[Date]])+1</f>
        <v>45839</v>
      </c>
      <c r="E102" s="129">
        <f t="shared" si="4"/>
        <v>31</v>
      </c>
      <c r="F102" s="130">
        <f>IFERROR(_xlfn.XLOOKUP($A102,'Raw Data'!$G:$G,'Raw Data'!$AH:$AH),"")</f>
        <v>12.516666666666667</v>
      </c>
      <c r="G102" s="131">
        <f>IFERROR(_xlfn.XLOOKUP($A102,'Raw Data'!$G:$G,'Raw Data'!$S:$S)/1000,"")</f>
        <v>0</v>
      </c>
      <c r="H102" s="131"/>
      <c r="I102" s="131">
        <f>IFERROR(_xlfn.XLOOKUP($A102,'Raw Data'!$G:$G,'Raw Data'!$AF:$AF)/1000,"")</f>
        <v>2.2000000000000002</v>
      </c>
      <c r="J102" s="131"/>
      <c r="K102" s="131">
        <f>IFERROR(_xlfn.XLOOKUP($A102,'Raw Data'!$G:$G,'Raw Data'!W:W),"")</f>
        <v>23</v>
      </c>
      <c r="L102" s="131">
        <f>IFERROR(_xlfn.XLOOKUP($A102,'Raw Data'!$G:$G,'Raw Data'!X:X),"")</f>
        <v>29</v>
      </c>
      <c r="M102" s="131">
        <f>IFERROR(_xlfn.XLOOKUP($A102,'Raw Data'!$G:$G,'Raw Data'!Y:Y),"")</f>
        <v>4</v>
      </c>
      <c r="N102" s="131">
        <f>IFERROR(_xlfn.XLOOKUP($A102,'Raw Data'!$G:$G,'Raw Data'!Z:Z),"")</f>
        <v>6</v>
      </c>
      <c r="O102" s="158">
        <f>IFERROR(1-SUMIF('Plant BD'!$H:$H,$A102,'Plant BD'!AC:AC)/$F102,"")</f>
        <v>1</v>
      </c>
      <c r="P102" s="158"/>
      <c r="Q102" s="159"/>
      <c r="R102" s="158">
        <f>IFERROR(1-SUMIF('Grid BD'!$H:$H,$A102,'Grid BD'!AB:AB)/$F102,"")</f>
        <v>1</v>
      </c>
      <c r="T102" s="159">
        <f>IFERROR(1-SUMIF(Tracker_BD!$H:$H,$A102,Tracker_BD!AI:AI)/$F102,"")</f>
        <v>0.98620613128855017</v>
      </c>
      <c r="U102" s="160">
        <f t="shared" si="5"/>
        <v>0.84048634812281919</v>
      </c>
      <c r="V102" s="160"/>
      <c r="W102" s="161">
        <f t="shared" si="6"/>
        <v>7.7044581911258417E-2</v>
      </c>
      <c r="X102" s="156">
        <f>IFERROR(_xlfn.XLOOKUP($A102,'Raw Data'!$G:$G,'Raw Data'!$AB:$AB),"")</f>
        <v>21891</v>
      </c>
      <c r="Y102" s="156">
        <f>IFERROR(_xlfn.XLOOKUP($A102,'Raw Data'!$G:$G,'Raw Data'!AC:AC),"")</f>
        <v>21847.399999998743</v>
      </c>
      <c r="Z102" s="156">
        <f>IFERROR(_xlfn.XLOOKUP($A102,'Raw Data'!$G:$G,'Raw Data'!AD:AD),"")</f>
        <v>176.29999999996926</v>
      </c>
      <c r="AA102" s="156">
        <f>IFERROR(_xlfn.XLOOKUP($A102,'Raw Data'!$G:$G,'Raw Data'!AE:AE),"")</f>
        <v>21671.099999998773</v>
      </c>
      <c r="AB102" s="156">
        <f>IFERROR(_xlfn.XLOOKUP($A102,'Raw Data'!$G:$G,'Raw Data'!$H:$H),"")</f>
        <v>11.72</v>
      </c>
      <c r="AC102" s="162">
        <f>IFERROR(_xlfn.XLOOKUP($D102,'Modelling New'!$D:$D,'Modelling New'!$P:$P),"")</f>
        <v>4.6269332580645148</v>
      </c>
      <c r="AD102" s="156">
        <f>IFERROR(_xlfn.XLOOKUP($D102,'Modelling New'!$D:$D,'Modelling New'!$T:$T)*1000,"")</f>
        <v>40702.654142805535</v>
      </c>
      <c r="AE102" s="163">
        <f>IFERROR(_xlfn.XLOOKUP($D102,'Modelling New'!$D:$D,'Modelling New'!$O:$O),"")</f>
        <v>0.75058845994317613</v>
      </c>
      <c r="AF102" s="163">
        <f>IFERROR(_xlfn.XLOOKUP($D102,'Modelling New'!$D:$D,'Modelling New'!$W:$W),"")</f>
        <v>0.14470511285127108</v>
      </c>
      <c r="AG102" s="163">
        <f>IFERROR(_xlfn.XLOOKUP($D102,'Modelling New'!$D:$D,'Modelling New'!AE:AE),"")</f>
        <v>0.995</v>
      </c>
      <c r="AH102" s="163">
        <f>IFERROR(_xlfn.XLOOKUP($D102,'Modelling New'!$D:$D,'Modelling New'!AF:AF),"")</f>
        <v>0.98550000000000004</v>
      </c>
      <c r="AN102" s="164"/>
      <c r="AO102" s="161"/>
      <c r="AP102" s="161"/>
      <c r="AQ102" s="161"/>
      <c r="AR102" s="156">
        <f>IFERROR(_xlfn.XLOOKUP($D102,'Modelling New'!$D:$D,'Modelling New'!$N:$N),"")</f>
        <v>11.72</v>
      </c>
    </row>
    <row r="103" spans="1:44">
      <c r="A103" s="155">
        <f t="shared" si="7"/>
        <v>45846</v>
      </c>
      <c r="B103" s="156">
        <f>YEAR(Table13[[#This Row],[Date]])+IF(MONTH(Table13[[#This Row],[Date]])&gt;=4,1,0)</f>
        <v>2026</v>
      </c>
      <c r="C103" s="129">
        <f>YEAR(Table13[[#This Row],[Date]])</f>
        <v>2025</v>
      </c>
      <c r="D103" s="157">
        <f>Table13[[#This Row],[Date]]-DAY(Table13[[#This Row],[Date]])+1</f>
        <v>45839</v>
      </c>
      <c r="E103" s="129">
        <f t="shared" si="4"/>
        <v>31</v>
      </c>
      <c r="F103" s="130">
        <f>IFERROR(_xlfn.XLOOKUP($A103,'Raw Data'!$G:$G,'Raw Data'!$AH:$AH),"")</f>
        <v>12.499999999999998</v>
      </c>
      <c r="G103" s="131">
        <f>IFERROR(_xlfn.XLOOKUP($A103,'Raw Data'!$G:$G,'Raw Data'!$S:$S)/1000,"")</f>
        <v>0</v>
      </c>
      <c r="H103" s="131"/>
      <c r="I103" s="131">
        <f>IFERROR(_xlfn.XLOOKUP($A103,'Raw Data'!$G:$G,'Raw Data'!$AF:$AF)/1000,"")</f>
        <v>3.411</v>
      </c>
      <c r="J103" s="131"/>
      <c r="K103" s="131">
        <f>IFERROR(_xlfn.XLOOKUP($A103,'Raw Data'!$G:$G,'Raw Data'!W:W),"")</f>
        <v>23</v>
      </c>
      <c r="L103" s="131">
        <f>IFERROR(_xlfn.XLOOKUP($A103,'Raw Data'!$G:$G,'Raw Data'!X:X),"")</f>
        <v>31</v>
      </c>
      <c r="M103" s="131">
        <f>IFERROR(_xlfn.XLOOKUP($A103,'Raw Data'!$G:$G,'Raw Data'!Y:Y),"")</f>
        <v>4</v>
      </c>
      <c r="N103" s="131">
        <f>IFERROR(_xlfn.XLOOKUP($A103,'Raw Data'!$G:$G,'Raw Data'!Z:Z),"")</f>
        <v>8</v>
      </c>
      <c r="O103" s="158">
        <f>IFERROR(1-SUMIF('Plant BD'!$H:$H,$A103,'Plant BD'!AC:AC)/$F103,"")</f>
        <v>1</v>
      </c>
      <c r="P103" s="158"/>
      <c r="Q103" s="159"/>
      <c r="R103" s="158">
        <f>IFERROR(1-SUMIF('Grid BD'!$H:$H,$A103,'Grid BD'!AB:AB)/$F103,"")</f>
        <v>1</v>
      </c>
      <c r="T103" s="159">
        <f>IFERROR(1-SUMIF(Tracker_BD!$H:$H,$A103,Tracker_BD!AI:AI)/$F103,"")</f>
        <v>0.98614942528735627</v>
      </c>
      <c r="U103" s="160">
        <f t="shared" si="5"/>
        <v>0.79564658808153621</v>
      </c>
      <c r="V103" s="160"/>
      <c r="W103" s="161">
        <f t="shared" si="6"/>
        <v>0.11308127133108832</v>
      </c>
      <c r="X103" s="156">
        <f>IFERROR(_xlfn.XLOOKUP($A103,'Raw Data'!$G:$G,'Raw Data'!$AB:$AB),"")</f>
        <v>32028</v>
      </c>
      <c r="Y103" s="156">
        <f>IFERROR(_xlfn.XLOOKUP($A103,'Raw Data'!$G:$G,'Raw Data'!AC:AC),"")</f>
        <v>31986.700000008568</v>
      </c>
      <c r="Z103" s="156">
        <f>IFERROR(_xlfn.XLOOKUP($A103,'Raw Data'!$G:$G,'Raw Data'!AD:AD),"")</f>
        <v>179.20000000003711</v>
      </c>
      <c r="AA103" s="156">
        <f>IFERROR(_xlfn.XLOOKUP($A103,'Raw Data'!$G:$G,'Raw Data'!AE:AE),"")</f>
        <v>31807.500000008531</v>
      </c>
      <c r="AB103" s="156">
        <f>IFERROR(_xlfn.XLOOKUP($A103,'Raw Data'!$G:$G,'Raw Data'!$H:$H),"")</f>
        <v>11.72</v>
      </c>
      <c r="AC103" s="162">
        <f>IFERROR(_xlfn.XLOOKUP($D103,'Modelling New'!$D:$D,'Modelling New'!$P:$P),"")</f>
        <v>4.6269332580645148</v>
      </c>
      <c r="AD103" s="156">
        <f>IFERROR(_xlfn.XLOOKUP($D103,'Modelling New'!$D:$D,'Modelling New'!$T:$T)*1000,"")</f>
        <v>40702.654142805535</v>
      </c>
      <c r="AE103" s="163">
        <f>IFERROR(_xlfn.XLOOKUP($D103,'Modelling New'!$D:$D,'Modelling New'!$O:$O),"")</f>
        <v>0.75058845994317613</v>
      </c>
      <c r="AF103" s="163">
        <f>IFERROR(_xlfn.XLOOKUP($D103,'Modelling New'!$D:$D,'Modelling New'!$W:$W),"")</f>
        <v>0.14470511285127108</v>
      </c>
      <c r="AG103" s="163">
        <f>IFERROR(_xlfn.XLOOKUP($D103,'Modelling New'!$D:$D,'Modelling New'!AE:AE),"")</f>
        <v>0.995</v>
      </c>
      <c r="AH103" s="163">
        <f>IFERROR(_xlfn.XLOOKUP($D103,'Modelling New'!$D:$D,'Modelling New'!AF:AF),"")</f>
        <v>0.98550000000000004</v>
      </c>
      <c r="AN103" s="164"/>
      <c r="AO103" s="161"/>
      <c r="AP103" s="161"/>
      <c r="AQ103" s="161"/>
      <c r="AR103" s="156">
        <f>IFERROR(_xlfn.XLOOKUP($D103,'Modelling New'!$D:$D,'Modelling New'!$N:$N),"")</f>
        <v>11.72</v>
      </c>
    </row>
    <row r="104" spans="1:44">
      <c r="A104" s="155">
        <f t="shared" si="7"/>
        <v>45847</v>
      </c>
      <c r="B104" s="156">
        <f>YEAR(Table13[[#This Row],[Date]])+IF(MONTH(Table13[[#This Row],[Date]])&gt;=4,1,0)</f>
        <v>2026</v>
      </c>
      <c r="C104" s="129">
        <f>YEAR(Table13[[#This Row],[Date]])</f>
        <v>2025</v>
      </c>
      <c r="D104" s="157">
        <f>Table13[[#This Row],[Date]]-DAY(Table13[[#This Row],[Date]])+1</f>
        <v>45839</v>
      </c>
      <c r="E104" s="129">
        <f t="shared" si="4"/>
        <v>31</v>
      </c>
      <c r="F104" s="130">
        <f>IFERROR(_xlfn.XLOOKUP($A104,'Raw Data'!$G:$G,'Raw Data'!$AH:$AH),"")</f>
        <v>12.316666666666668</v>
      </c>
      <c r="G104" s="131">
        <f>IFERROR(_xlfn.XLOOKUP($A104,'Raw Data'!$G:$G,'Raw Data'!$S:$S)/1000,"")</f>
        <v>0</v>
      </c>
      <c r="H104" s="131"/>
      <c r="I104" s="131">
        <f>IFERROR(_xlfn.XLOOKUP($A104,'Raw Data'!$G:$G,'Raw Data'!$AF:$AF)/1000,"")</f>
        <v>3.7989999999999999</v>
      </c>
      <c r="J104" s="131"/>
      <c r="K104" s="131">
        <f>IFERROR(_xlfn.XLOOKUP($A104,'Raw Data'!$G:$G,'Raw Data'!W:W),"")</f>
        <v>23</v>
      </c>
      <c r="L104" s="131">
        <f>IFERROR(_xlfn.XLOOKUP($A104,'Raw Data'!$G:$G,'Raw Data'!X:X),"")</f>
        <v>32</v>
      </c>
      <c r="M104" s="131">
        <f>IFERROR(_xlfn.XLOOKUP($A104,'Raw Data'!$G:$G,'Raw Data'!Y:Y),"")</f>
        <v>3</v>
      </c>
      <c r="N104" s="131">
        <f>IFERROR(_xlfn.XLOOKUP($A104,'Raw Data'!$G:$G,'Raw Data'!Z:Z),"")</f>
        <v>7</v>
      </c>
      <c r="O104" s="158">
        <f>IFERROR(1-SUMIF('Plant BD'!$H:$H,$A104,'Plant BD'!AC:AC)/$F104,"")</f>
        <v>1</v>
      </c>
      <c r="P104" s="158"/>
      <c r="Q104" s="159"/>
      <c r="R104" s="158">
        <f>IFERROR(1-SUMIF('Grid BD'!$H:$H,$A104,'Grid BD'!AB:AB)/$F104,"")</f>
        <v>1</v>
      </c>
      <c r="T104" s="159">
        <f>IFERROR(1-SUMIF(Tracker_BD!$H:$H,$A104,Tracker_BD!AI:AI)/$F104,"")</f>
        <v>0.9859627020048839</v>
      </c>
      <c r="U104" s="160">
        <f t="shared" si="5"/>
        <v>0.78323108200707581</v>
      </c>
      <c r="V104" s="160"/>
      <c r="W104" s="161">
        <f t="shared" si="6"/>
        <v>0.12397895335603668</v>
      </c>
      <c r="X104" s="156">
        <f>IFERROR(_xlfn.XLOOKUP($A104,'Raw Data'!$G:$G,'Raw Data'!$AB:$AB),"")</f>
        <v>35111</v>
      </c>
      <c r="Y104" s="156">
        <f>IFERROR(_xlfn.XLOOKUP($A104,'Raw Data'!$G:$G,'Raw Data'!AC:AC),"")</f>
        <v>35052.399999985937</v>
      </c>
      <c r="Z104" s="156">
        <f>IFERROR(_xlfn.XLOOKUP($A104,'Raw Data'!$G:$G,'Raw Data'!AD:AD),"")</f>
        <v>179.5999999999367</v>
      </c>
      <c r="AA104" s="156">
        <f>IFERROR(_xlfn.XLOOKUP($A104,'Raw Data'!$G:$G,'Raw Data'!AE:AE),"")</f>
        <v>34872.799999986004</v>
      </c>
      <c r="AB104" s="156">
        <f>IFERROR(_xlfn.XLOOKUP($A104,'Raw Data'!$G:$G,'Raw Data'!$H:$H),"")</f>
        <v>11.72</v>
      </c>
      <c r="AC104" s="162">
        <f>IFERROR(_xlfn.XLOOKUP($D104,'Modelling New'!$D:$D,'Modelling New'!$P:$P),"")</f>
        <v>4.6269332580645148</v>
      </c>
      <c r="AD104" s="156">
        <f>IFERROR(_xlfn.XLOOKUP($D104,'Modelling New'!$D:$D,'Modelling New'!$T:$T)*1000,"")</f>
        <v>40702.654142805535</v>
      </c>
      <c r="AE104" s="163">
        <f>IFERROR(_xlfn.XLOOKUP($D104,'Modelling New'!$D:$D,'Modelling New'!$O:$O),"")</f>
        <v>0.75058845994317613</v>
      </c>
      <c r="AF104" s="163">
        <f>IFERROR(_xlfn.XLOOKUP($D104,'Modelling New'!$D:$D,'Modelling New'!$W:$W),"")</f>
        <v>0.14470511285127108</v>
      </c>
      <c r="AG104" s="163">
        <f>IFERROR(_xlfn.XLOOKUP($D104,'Modelling New'!$D:$D,'Modelling New'!AE:AE),"")</f>
        <v>0.995</v>
      </c>
      <c r="AH104" s="163">
        <f>IFERROR(_xlfn.XLOOKUP($D104,'Modelling New'!$D:$D,'Modelling New'!AF:AF),"")</f>
        <v>0.98550000000000004</v>
      </c>
      <c r="AN104" s="164"/>
      <c r="AO104" s="161"/>
      <c r="AP104" s="161"/>
      <c r="AQ104" s="161"/>
      <c r="AR104" s="156">
        <f>IFERROR(_xlfn.XLOOKUP($D104,'Modelling New'!$D:$D,'Modelling New'!$N:$N),"")</f>
        <v>11.72</v>
      </c>
    </row>
    <row r="105" spans="1:44">
      <c r="A105" s="155">
        <f t="shared" si="7"/>
        <v>45848</v>
      </c>
      <c r="B105" s="156">
        <f>YEAR(Table13[[#This Row],[Date]])+IF(MONTH(Table13[[#This Row],[Date]])&gt;=4,1,0)</f>
        <v>2026</v>
      </c>
      <c r="C105" s="129">
        <f>YEAR(Table13[[#This Row],[Date]])</f>
        <v>2025</v>
      </c>
      <c r="D105" s="157">
        <f>Table13[[#This Row],[Date]]-DAY(Table13[[#This Row],[Date]])+1</f>
        <v>45839</v>
      </c>
      <c r="E105" s="129">
        <f t="shared" si="4"/>
        <v>31</v>
      </c>
      <c r="F105" s="130">
        <f>IFERROR(_xlfn.XLOOKUP($A105,'Raw Data'!$G:$G,'Raw Data'!$AH:$AH),"")</f>
        <v>12.783333333333333</v>
      </c>
      <c r="G105" s="131">
        <f>IFERROR(_xlfn.XLOOKUP($A105,'Raw Data'!$G:$G,'Raw Data'!$S:$S)/1000,"")</f>
        <v>0</v>
      </c>
      <c r="H105" s="131"/>
      <c r="I105" s="131">
        <f>IFERROR(_xlfn.XLOOKUP($A105,'Raw Data'!$G:$G,'Raw Data'!$AF:$AF)/1000,"")</f>
        <v>5.343</v>
      </c>
      <c r="J105" s="131"/>
      <c r="K105" s="131">
        <f>IFERROR(_xlfn.XLOOKUP($A105,'Raw Data'!$G:$G,'Raw Data'!W:W),"")</f>
        <v>23</v>
      </c>
      <c r="L105" s="131">
        <f>IFERROR(_xlfn.XLOOKUP($A105,'Raw Data'!$G:$G,'Raw Data'!X:X),"")</f>
        <v>36</v>
      </c>
      <c r="M105" s="131">
        <f>IFERROR(_xlfn.XLOOKUP($A105,'Raw Data'!$G:$G,'Raw Data'!Y:Y),"")</f>
        <v>2</v>
      </c>
      <c r="N105" s="131">
        <f>IFERROR(_xlfn.XLOOKUP($A105,'Raw Data'!$G:$G,'Raw Data'!Z:Z),"")</f>
        <v>5</v>
      </c>
      <c r="O105" s="158">
        <f>IFERROR(1-SUMIF('Plant BD'!$H:$H,$A105,'Plant BD'!AC:AC)/$F105,"")</f>
        <v>1</v>
      </c>
      <c r="P105" s="158"/>
      <c r="Q105" s="159"/>
      <c r="R105" s="158">
        <f>IFERROR(1-SUMIF('Grid BD'!$H:$H,$A105,'Grid BD'!AB:AB)/$F105,"")</f>
        <v>1</v>
      </c>
      <c r="T105" s="159">
        <f>IFERROR(1-SUMIF(Tracker_BD!$H:$H,$A105,Tracker_BD!AI:AI)/$F105,"")</f>
        <v>0.98634401834284946</v>
      </c>
      <c r="U105" s="160">
        <f t="shared" si="5"/>
        <v>0.75226812664849363</v>
      </c>
      <c r="V105" s="160"/>
      <c r="W105" s="161">
        <f t="shared" si="6"/>
        <v>0.16747369169512089</v>
      </c>
      <c r="X105" s="156">
        <f>IFERROR(_xlfn.XLOOKUP($A105,'Raw Data'!$G:$G,'Raw Data'!$AB:$AB),"")</f>
        <v>47305</v>
      </c>
      <c r="Y105" s="156">
        <f>IFERROR(_xlfn.XLOOKUP($A105,'Raw Data'!$G:$G,'Raw Data'!AC:AC),"")</f>
        <v>47280.100000003586</v>
      </c>
      <c r="Z105" s="156">
        <f>IFERROR(_xlfn.XLOOKUP($A105,'Raw Data'!$G:$G,'Raw Data'!AD:AD),"")</f>
        <v>173.09999999997672</v>
      </c>
      <c r="AA105" s="156">
        <f>IFERROR(_xlfn.XLOOKUP($A105,'Raw Data'!$G:$G,'Raw Data'!AE:AE),"")</f>
        <v>47107.000000003609</v>
      </c>
      <c r="AB105" s="156">
        <f>IFERROR(_xlfn.XLOOKUP($A105,'Raw Data'!$G:$G,'Raw Data'!$H:$H),"")</f>
        <v>11.72</v>
      </c>
      <c r="AC105" s="162">
        <f>IFERROR(_xlfn.XLOOKUP($D105,'Modelling New'!$D:$D,'Modelling New'!$P:$P),"")</f>
        <v>4.6269332580645148</v>
      </c>
      <c r="AD105" s="156">
        <f>IFERROR(_xlfn.XLOOKUP($D105,'Modelling New'!$D:$D,'Modelling New'!$T:$T)*1000,"")</f>
        <v>40702.654142805535</v>
      </c>
      <c r="AE105" s="163">
        <f>IFERROR(_xlfn.XLOOKUP($D105,'Modelling New'!$D:$D,'Modelling New'!$O:$O),"")</f>
        <v>0.75058845994317613</v>
      </c>
      <c r="AF105" s="163">
        <f>IFERROR(_xlfn.XLOOKUP($D105,'Modelling New'!$D:$D,'Modelling New'!$W:$W),"")</f>
        <v>0.14470511285127108</v>
      </c>
      <c r="AG105" s="163">
        <f>IFERROR(_xlfn.XLOOKUP($D105,'Modelling New'!$D:$D,'Modelling New'!AE:AE),"")</f>
        <v>0.995</v>
      </c>
      <c r="AH105" s="163">
        <f>IFERROR(_xlfn.XLOOKUP($D105,'Modelling New'!$D:$D,'Modelling New'!AF:AF),"")</f>
        <v>0.98550000000000004</v>
      </c>
      <c r="AN105" s="164"/>
      <c r="AO105" s="161"/>
      <c r="AP105" s="161"/>
      <c r="AQ105" s="161"/>
      <c r="AR105" s="156">
        <f>IFERROR(_xlfn.XLOOKUP($D105,'Modelling New'!$D:$D,'Modelling New'!$N:$N),"")</f>
        <v>11.72</v>
      </c>
    </row>
    <row r="106" spans="1:44">
      <c r="A106" s="155">
        <f t="shared" si="7"/>
        <v>45849</v>
      </c>
      <c r="B106" s="156">
        <f>YEAR(Table13[[#This Row],[Date]])+IF(MONTH(Table13[[#This Row],[Date]])&gt;=4,1,0)</f>
        <v>2026</v>
      </c>
      <c r="C106" s="129">
        <f>YEAR(Table13[[#This Row],[Date]])</f>
        <v>2025</v>
      </c>
      <c r="D106" s="157">
        <f>Table13[[#This Row],[Date]]-DAY(Table13[[#This Row],[Date]])+1</f>
        <v>45839</v>
      </c>
      <c r="E106" s="129">
        <f t="shared" si="4"/>
        <v>31</v>
      </c>
      <c r="F106" s="130">
        <f>IFERROR(_xlfn.XLOOKUP($A106,'Raw Data'!$G:$G,'Raw Data'!$AH:$AH),"")</f>
        <v>12.55</v>
      </c>
      <c r="G106" s="131">
        <f>IFERROR(_xlfn.XLOOKUP($A106,'Raw Data'!$G:$G,'Raw Data'!$S:$S)/1000,"")</f>
        <v>0</v>
      </c>
      <c r="H106" s="131"/>
      <c r="I106" s="131">
        <f>IFERROR(_xlfn.XLOOKUP($A106,'Raw Data'!$G:$G,'Raw Data'!$AF:$AF)/1000,"")</f>
        <v>6.0750000000000002</v>
      </c>
      <c r="J106" s="131"/>
      <c r="K106" s="131">
        <f>IFERROR(_xlfn.XLOOKUP($A106,'Raw Data'!$G:$G,'Raw Data'!W:W),"")</f>
        <v>24</v>
      </c>
      <c r="L106" s="131">
        <f>IFERROR(_xlfn.XLOOKUP($A106,'Raw Data'!$G:$G,'Raw Data'!X:X),"")</f>
        <v>39</v>
      </c>
      <c r="M106" s="131">
        <f>IFERROR(_xlfn.XLOOKUP($A106,'Raw Data'!$G:$G,'Raw Data'!Y:Y),"")</f>
        <v>2</v>
      </c>
      <c r="N106" s="131">
        <f>IFERROR(_xlfn.XLOOKUP($A106,'Raw Data'!$G:$G,'Raw Data'!Z:Z),"")</f>
        <v>6</v>
      </c>
      <c r="O106" s="158">
        <f>IFERROR(1-SUMIF('Plant BD'!$H:$H,$A106,'Plant BD'!AC:AC)/$F106,"")</f>
        <v>1</v>
      </c>
      <c r="P106" s="158"/>
      <c r="Q106" s="159"/>
      <c r="R106" s="158">
        <f>IFERROR(1-SUMIF('Grid BD'!$H:$H,$A106,'Grid BD'!AB:AB)/$F106,"")</f>
        <v>1</v>
      </c>
      <c r="T106" s="159">
        <f>IFERROR(1-SUMIF(Tracker_BD!$H:$H,$A106,Tracker_BD!AI:AI)/$F106,"")</f>
        <v>0.98610920303460492</v>
      </c>
      <c r="U106" s="160">
        <f t="shared" si="5"/>
        <v>0.7391325720866545</v>
      </c>
      <c r="V106" s="160"/>
      <c r="W106" s="161">
        <f t="shared" si="6"/>
        <v>0.18709293230943438</v>
      </c>
      <c r="X106" s="156">
        <f>IFERROR(_xlfn.XLOOKUP($A106,'Raw Data'!$G:$G,'Raw Data'!$AB:$AB),"")</f>
        <v>52773</v>
      </c>
      <c r="Y106" s="156">
        <f>IFERROR(_xlfn.XLOOKUP($A106,'Raw Data'!$G:$G,'Raw Data'!AC:AC),"")</f>
        <v>52805.099999997765</v>
      </c>
      <c r="Z106" s="156">
        <f>IFERROR(_xlfn.XLOOKUP($A106,'Raw Data'!$G:$G,'Raw Data'!AD:AD),"")</f>
        <v>179.60000000005039</v>
      </c>
      <c r="AA106" s="156">
        <f>IFERROR(_xlfn.XLOOKUP($A106,'Raw Data'!$G:$G,'Raw Data'!AE:AE),"")</f>
        <v>52625.499999997715</v>
      </c>
      <c r="AB106" s="156">
        <f>IFERROR(_xlfn.XLOOKUP($A106,'Raw Data'!$G:$G,'Raw Data'!$H:$H),"")</f>
        <v>11.72</v>
      </c>
      <c r="AC106" s="162">
        <f>IFERROR(_xlfn.XLOOKUP($D106,'Modelling New'!$D:$D,'Modelling New'!$P:$P),"")</f>
        <v>4.6269332580645148</v>
      </c>
      <c r="AD106" s="156">
        <f>IFERROR(_xlfn.XLOOKUP($D106,'Modelling New'!$D:$D,'Modelling New'!$T:$T)*1000,"")</f>
        <v>40702.654142805535</v>
      </c>
      <c r="AE106" s="163">
        <f>IFERROR(_xlfn.XLOOKUP($D106,'Modelling New'!$D:$D,'Modelling New'!$O:$O),"")</f>
        <v>0.75058845994317613</v>
      </c>
      <c r="AF106" s="163">
        <f>IFERROR(_xlfn.XLOOKUP($D106,'Modelling New'!$D:$D,'Modelling New'!$W:$W),"")</f>
        <v>0.14470511285127108</v>
      </c>
      <c r="AG106" s="163">
        <f>IFERROR(_xlfn.XLOOKUP($D106,'Modelling New'!$D:$D,'Modelling New'!AE:AE),"")</f>
        <v>0.995</v>
      </c>
      <c r="AH106" s="163">
        <f>IFERROR(_xlfn.XLOOKUP($D106,'Modelling New'!$D:$D,'Modelling New'!AF:AF),"")</f>
        <v>0.98550000000000004</v>
      </c>
      <c r="AN106" s="164"/>
      <c r="AO106" s="161"/>
      <c r="AP106" s="161"/>
      <c r="AQ106" s="161"/>
      <c r="AR106" s="156">
        <f>IFERROR(_xlfn.XLOOKUP($D106,'Modelling New'!$D:$D,'Modelling New'!$N:$N),"")</f>
        <v>11.72</v>
      </c>
    </row>
    <row r="107" spans="1:44">
      <c r="A107" s="155">
        <f t="shared" si="7"/>
        <v>45850</v>
      </c>
      <c r="B107" s="156">
        <f>YEAR(Table13[[#This Row],[Date]])+IF(MONTH(Table13[[#This Row],[Date]])&gt;=4,1,0)</f>
        <v>2026</v>
      </c>
      <c r="C107" s="129">
        <f>YEAR(Table13[[#This Row],[Date]])</f>
        <v>2025</v>
      </c>
      <c r="D107" s="157">
        <f>Table13[[#This Row],[Date]]-DAY(Table13[[#This Row],[Date]])+1</f>
        <v>45839</v>
      </c>
      <c r="E107" s="129">
        <f t="shared" si="4"/>
        <v>31</v>
      </c>
      <c r="F107" s="130">
        <f>IFERROR(_xlfn.XLOOKUP($A107,'Raw Data'!$G:$G,'Raw Data'!$AH:$AH),"")</f>
        <v>12.733333333333334</v>
      </c>
      <c r="G107" s="131">
        <f>IFERROR(_xlfn.XLOOKUP($A107,'Raw Data'!$G:$G,'Raw Data'!$S:$S)/1000,"")</f>
        <v>0</v>
      </c>
      <c r="H107" s="131"/>
      <c r="I107" s="131">
        <f>IFERROR(_xlfn.XLOOKUP($A107,'Raw Data'!$G:$G,'Raw Data'!$AF:$AF)/1000,"")</f>
        <v>6.5265000000000004</v>
      </c>
      <c r="J107" s="131"/>
      <c r="K107" s="131">
        <f>IFERROR(_xlfn.XLOOKUP($A107,'Raw Data'!$G:$G,'Raw Data'!W:W),"")</f>
        <v>24</v>
      </c>
      <c r="L107" s="131">
        <f>IFERROR(_xlfn.XLOOKUP($A107,'Raw Data'!$G:$G,'Raw Data'!X:X),"")</f>
        <v>39</v>
      </c>
      <c r="M107" s="131">
        <f>IFERROR(_xlfn.XLOOKUP($A107,'Raw Data'!$G:$G,'Raw Data'!Y:Y),"")</f>
        <v>3</v>
      </c>
      <c r="N107" s="131">
        <f>IFERROR(_xlfn.XLOOKUP($A107,'Raw Data'!$G:$G,'Raw Data'!Z:Z),"")</f>
        <v>6</v>
      </c>
      <c r="O107" s="158">
        <f>IFERROR(1-SUMIF('Plant BD'!$H:$H,$A107,'Plant BD'!AC:AC)/$F107,"")</f>
        <v>1</v>
      </c>
      <c r="P107" s="158"/>
      <c r="Q107" s="159"/>
      <c r="R107" s="158">
        <f>IFERROR(1-SUMIF('Grid BD'!$H:$H,$A107,'Grid BD'!AB:AB)/$F107,"")</f>
        <v>1</v>
      </c>
      <c r="T107" s="159">
        <f>IFERROR(1-SUMIF(Tracker_BD!$H:$H,$A107,Tracker_BD!AI:AI)/$F107,"")</f>
        <v>0.98629039537822716</v>
      </c>
      <c r="U107" s="160">
        <f t="shared" si="5"/>
        <v>0.71935132404560753</v>
      </c>
      <c r="V107" s="160"/>
      <c r="W107" s="161">
        <f t="shared" si="6"/>
        <v>0.19561860068265238</v>
      </c>
      <c r="X107" s="156">
        <f>IFERROR(_xlfn.XLOOKUP($A107,'Raw Data'!$G:$G,'Raw Data'!$AB:$AB),"")</f>
        <v>55062</v>
      </c>
      <c r="Y107" s="156">
        <f>IFERROR(_xlfn.XLOOKUP($A107,'Raw Data'!$G:$G,'Raw Data'!AC:AC),"")</f>
        <v>55041.400000016438</v>
      </c>
      <c r="Z107" s="156">
        <f>IFERROR(_xlfn.XLOOKUP($A107,'Raw Data'!$G:$G,'Raw Data'!AD:AD),"")</f>
        <v>17.799999999965621</v>
      </c>
      <c r="AA107" s="156">
        <f>IFERROR(_xlfn.XLOOKUP($A107,'Raw Data'!$G:$G,'Raw Data'!AE:AE),"")</f>
        <v>55023.600000016471</v>
      </c>
      <c r="AB107" s="156">
        <f>IFERROR(_xlfn.XLOOKUP($A107,'Raw Data'!$G:$G,'Raw Data'!$H:$H),"")</f>
        <v>11.72</v>
      </c>
      <c r="AC107" s="162">
        <f>IFERROR(_xlfn.XLOOKUP($D107,'Modelling New'!$D:$D,'Modelling New'!$P:$P),"")</f>
        <v>4.6269332580645148</v>
      </c>
      <c r="AD107" s="156">
        <f>IFERROR(_xlfn.XLOOKUP($D107,'Modelling New'!$D:$D,'Modelling New'!$T:$T)*1000,"")</f>
        <v>40702.654142805535</v>
      </c>
      <c r="AE107" s="163">
        <f>IFERROR(_xlfn.XLOOKUP($D107,'Modelling New'!$D:$D,'Modelling New'!$O:$O),"")</f>
        <v>0.75058845994317613</v>
      </c>
      <c r="AF107" s="163">
        <f>IFERROR(_xlfn.XLOOKUP($D107,'Modelling New'!$D:$D,'Modelling New'!$W:$W),"")</f>
        <v>0.14470511285127108</v>
      </c>
      <c r="AG107" s="163">
        <f>IFERROR(_xlfn.XLOOKUP($D107,'Modelling New'!$D:$D,'Modelling New'!AE:AE),"")</f>
        <v>0.995</v>
      </c>
      <c r="AH107" s="163">
        <f>IFERROR(_xlfn.XLOOKUP($D107,'Modelling New'!$D:$D,'Modelling New'!AF:AF),"")</f>
        <v>0.98550000000000004</v>
      </c>
      <c r="AN107" s="164"/>
      <c r="AO107" s="161"/>
      <c r="AP107" s="161"/>
      <c r="AQ107" s="161"/>
      <c r="AR107" s="156">
        <f>IFERROR(_xlfn.XLOOKUP($D107,'Modelling New'!$D:$D,'Modelling New'!$N:$N),"")</f>
        <v>11.72</v>
      </c>
    </row>
    <row r="108" spans="1:44">
      <c r="A108" s="155">
        <f t="shared" si="7"/>
        <v>45851</v>
      </c>
      <c r="B108" s="156">
        <f>YEAR(Table13[[#This Row],[Date]])+IF(MONTH(Table13[[#This Row],[Date]])&gt;=4,1,0)</f>
        <v>2026</v>
      </c>
      <c r="C108" s="129">
        <f>YEAR(Table13[[#This Row],[Date]])</f>
        <v>2025</v>
      </c>
      <c r="D108" s="157">
        <f>Table13[[#This Row],[Date]]-DAY(Table13[[#This Row],[Date]])+1</f>
        <v>45839</v>
      </c>
      <c r="E108" s="129">
        <f t="shared" si="4"/>
        <v>31</v>
      </c>
      <c r="F108" s="130">
        <f>IFERROR(_xlfn.XLOOKUP($A108,'Raw Data'!$G:$G,'Raw Data'!$AH:$AH),"")</f>
        <v>12.716666666666667</v>
      </c>
      <c r="G108" s="131">
        <f>IFERROR(_xlfn.XLOOKUP($A108,'Raw Data'!$G:$G,'Raw Data'!$S:$S)/1000,"")</f>
        <v>0</v>
      </c>
      <c r="H108" s="131"/>
      <c r="I108" s="131">
        <f>IFERROR(_xlfn.XLOOKUP($A108,'Raw Data'!$G:$G,'Raw Data'!$AF:$AF)/1000,"")</f>
        <v>6.1420000000000003</v>
      </c>
      <c r="J108" s="131"/>
      <c r="K108" s="131">
        <f>IFERROR(_xlfn.XLOOKUP($A108,'Raw Data'!$G:$G,'Raw Data'!W:W),"")</f>
        <v>24</v>
      </c>
      <c r="L108" s="131">
        <f>IFERROR(_xlfn.XLOOKUP($A108,'Raw Data'!$G:$G,'Raw Data'!X:X),"")</f>
        <v>38</v>
      </c>
      <c r="M108" s="131">
        <f>IFERROR(_xlfn.XLOOKUP($A108,'Raw Data'!$G:$G,'Raw Data'!Y:Y),"")</f>
        <v>3</v>
      </c>
      <c r="N108" s="131">
        <f>IFERROR(_xlfn.XLOOKUP($A108,'Raw Data'!$G:$G,'Raw Data'!Z:Z),"")</f>
        <v>6</v>
      </c>
      <c r="O108" s="158">
        <f>IFERROR(1-SUMIF('Plant BD'!$H:$H,$A108,'Plant BD'!AC:AC)/$F108,"")</f>
        <v>1</v>
      </c>
      <c r="P108" s="158"/>
      <c r="Q108" s="159"/>
      <c r="R108" s="158">
        <f>IFERROR(1-SUMIF('Grid BD'!$H:$H,$A108,'Grid BD'!AB:AB)/$F108,"")</f>
        <v>1</v>
      </c>
      <c r="T108" s="159">
        <f>IFERROR(1-SUMIF(Tracker_BD!$H:$H,$A108,Tracker_BD!AI:AI)/$F108,"")</f>
        <v>0.98621593528268636</v>
      </c>
      <c r="U108" s="160">
        <f t="shared" si="5"/>
        <v>0.72644512187646249</v>
      </c>
      <c r="V108" s="160"/>
      <c r="W108" s="161">
        <f t="shared" si="6"/>
        <v>0.18590941410688466</v>
      </c>
      <c r="X108" s="156">
        <f>IFERROR(_xlfn.XLOOKUP($A108,'Raw Data'!$G:$G,'Raw Data'!$AB:$AB),"")</f>
        <v>52510</v>
      </c>
      <c r="Y108" s="156">
        <f>IFERROR(_xlfn.XLOOKUP($A108,'Raw Data'!$G:$G,'Raw Data'!AC:AC),"")</f>
        <v>52500.89999998454</v>
      </c>
      <c r="Z108" s="156">
        <f>IFERROR(_xlfn.XLOOKUP($A108,'Raw Data'!$G:$G,'Raw Data'!AD:AD),"")</f>
        <v>208.30000000000837</v>
      </c>
      <c r="AA108" s="156">
        <f>IFERROR(_xlfn.XLOOKUP($A108,'Raw Data'!$G:$G,'Raw Data'!AE:AE),"")</f>
        <v>52292.59999998453</v>
      </c>
      <c r="AB108" s="156">
        <f>IFERROR(_xlfn.XLOOKUP($A108,'Raw Data'!$G:$G,'Raw Data'!$H:$H),"")</f>
        <v>11.72</v>
      </c>
      <c r="AC108" s="162">
        <f>IFERROR(_xlfn.XLOOKUP($D108,'Modelling New'!$D:$D,'Modelling New'!$P:$P),"")</f>
        <v>4.6269332580645148</v>
      </c>
      <c r="AD108" s="156">
        <f>IFERROR(_xlfn.XLOOKUP($D108,'Modelling New'!$D:$D,'Modelling New'!$T:$T)*1000,"")</f>
        <v>40702.654142805535</v>
      </c>
      <c r="AE108" s="163">
        <f>IFERROR(_xlfn.XLOOKUP($D108,'Modelling New'!$D:$D,'Modelling New'!$O:$O),"")</f>
        <v>0.75058845994317613</v>
      </c>
      <c r="AF108" s="163">
        <f>IFERROR(_xlfn.XLOOKUP($D108,'Modelling New'!$D:$D,'Modelling New'!$W:$W),"")</f>
        <v>0.14470511285127108</v>
      </c>
      <c r="AG108" s="163">
        <f>IFERROR(_xlfn.XLOOKUP($D108,'Modelling New'!$D:$D,'Modelling New'!AE:AE),"")</f>
        <v>0.995</v>
      </c>
      <c r="AH108" s="163">
        <f>IFERROR(_xlfn.XLOOKUP($D108,'Modelling New'!$D:$D,'Modelling New'!AF:AF),"")</f>
        <v>0.98550000000000004</v>
      </c>
      <c r="AN108" s="164"/>
      <c r="AO108" s="161"/>
      <c r="AP108" s="161"/>
      <c r="AQ108" s="161"/>
      <c r="AR108" s="156">
        <f>IFERROR(_xlfn.XLOOKUP($D108,'Modelling New'!$D:$D,'Modelling New'!$N:$N),"")</f>
        <v>11.72</v>
      </c>
    </row>
    <row r="109" spans="1:44">
      <c r="A109" s="155">
        <f t="shared" si="7"/>
        <v>45852</v>
      </c>
      <c r="B109" s="156">
        <f>YEAR(Table13[[#This Row],[Date]])+IF(MONTH(Table13[[#This Row],[Date]])&gt;=4,1,0)</f>
        <v>2026</v>
      </c>
      <c r="C109" s="129">
        <f>YEAR(Table13[[#This Row],[Date]])</f>
        <v>2025</v>
      </c>
      <c r="D109" s="157">
        <f>Table13[[#This Row],[Date]]-DAY(Table13[[#This Row],[Date]])+1</f>
        <v>45839</v>
      </c>
      <c r="E109" s="129">
        <f t="shared" si="4"/>
        <v>31</v>
      </c>
      <c r="F109" s="130">
        <f>IFERROR(_xlfn.XLOOKUP($A109,'Raw Data'!$G:$G,'Raw Data'!$AH:$AH),"")</f>
        <v>12.75</v>
      </c>
      <c r="G109" s="131">
        <f>IFERROR(_xlfn.XLOOKUP($A109,'Raw Data'!$G:$G,'Raw Data'!$S:$S)/1000,"")</f>
        <v>0</v>
      </c>
      <c r="H109" s="131"/>
      <c r="I109" s="131">
        <f>IFERROR(_xlfn.XLOOKUP($A109,'Raw Data'!$G:$G,'Raw Data'!$AF:$AF)/1000,"")</f>
        <v>6.6725000000000003</v>
      </c>
      <c r="J109" s="131"/>
      <c r="K109" s="131">
        <f>IFERROR(_xlfn.XLOOKUP($A109,'Raw Data'!$G:$G,'Raw Data'!W:W),"")</f>
        <v>24</v>
      </c>
      <c r="L109" s="131">
        <f>IFERROR(_xlfn.XLOOKUP($A109,'Raw Data'!$G:$G,'Raw Data'!X:X),"")</f>
        <v>37</v>
      </c>
      <c r="M109" s="131">
        <f>IFERROR(_xlfn.XLOOKUP($A109,'Raw Data'!$G:$G,'Raw Data'!Y:Y),"")</f>
        <v>3</v>
      </c>
      <c r="N109" s="131">
        <f>IFERROR(_xlfn.XLOOKUP($A109,'Raw Data'!$G:$G,'Raw Data'!Z:Z),"")</f>
        <v>7</v>
      </c>
      <c r="O109" s="158">
        <f>IFERROR(1-SUMIF('Plant BD'!$H:$H,$A109,'Plant BD'!AC:AC)/$F109,"")</f>
        <v>1</v>
      </c>
      <c r="P109" s="158"/>
      <c r="Q109" s="159"/>
      <c r="R109" s="158">
        <f>IFERROR(1-SUMIF('Grid BD'!$H:$H,$A109,'Grid BD'!AB:AB)/$F109,"")</f>
        <v>1</v>
      </c>
      <c r="T109" s="159">
        <f>IFERROR(1-SUMIF(Tracker_BD!$H:$H,$A109,Tracker_BD!AI:AI)/$F109,"")</f>
        <v>0.98625197205318904</v>
      </c>
      <c r="U109" s="160">
        <f t="shared" si="5"/>
        <v>0.72003677669432153</v>
      </c>
      <c r="V109" s="160"/>
      <c r="W109" s="161">
        <f t="shared" si="6"/>
        <v>0.20018522468720254</v>
      </c>
      <c r="X109" s="156">
        <f>IFERROR(_xlfn.XLOOKUP($A109,'Raw Data'!$G:$G,'Raw Data'!$AB:$AB),"")</f>
        <v>56530</v>
      </c>
      <c r="Y109" s="156">
        <f>IFERROR(_xlfn.XLOOKUP($A109,'Raw Data'!$G:$G,'Raw Data'!AC:AC),"")</f>
        <v>56483.800000016345</v>
      </c>
      <c r="Z109" s="156">
        <f>IFERROR(_xlfn.XLOOKUP($A109,'Raw Data'!$G:$G,'Raw Data'!AD:AD),"")</f>
        <v>175.70000000000618</v>
      </c>
      <c r="AA109" s="156">
        <f>IFERROR(_xlfn.XLOOKUP($A109,'Raw Data'!$G:$G,'Raw Data'!AE:AE),"")</f>
        <v>56308.10000001634</v>
      </c>
      <c r="AB109" s="156">
        <f>IFERROR(_xlfn.XLOOKUP($A109,'Raw Data'!$G:$G,'Raw Data'!$H:$H),"")</f>
        <v>11.72</v>
      </c>
      <c r="AC109" s="162">
        <f>IFERROR(_xlfn.XLOOKUP($D109,'Modelling New'!$D:$D,'Modelling New'!$P:$P),"")</f>
        <v>4.6269332580645148</v>
      </c>
      <c r="AD109" s="156">
        <f>IFERROR(_xlfn.XLOOKUP($D109,'Modelling New'!$D:$D,'Modelling New'!$T:$T)*1000,"")</f>
        <v>40702.654142805535</v>
      </c>
      <c r="AE109" s="163">
        <f>IFERROR(_xlfn.XLOOKUP($D109,'Modelling New'!$D:$D,'Modelling New'!$O:$O),"")</f>
        <v>0.75058845994317613</v>
      </c>
      <c r="AF109" s="163">
        <f>IFERROR(_xlfn.XLOOKUP($D109,'Modelling New'!$D:$D,'Modelling New'!$W:$W),"")</f>
        <v>0.14470511285127108</v>
      </c>
      <c r="AG109" s="163">
        <f>IFERROR(_xlfn.XLOOKUP($D109,'Modelling New'!$D:$D,'Modelling New'!AE:AE),"")</f>
        <v>0.995</v>
      </c>
      <c r="AH109" s="163">
        <f>IFERROR(_xlfn.XLOOKUP($D109,'Modelling New'!$D:$D,'Modelling New'!AF:AF),"")</f>
        <v>0.98550000000000004</v>
      </c>
      <c r="AN109" s="164"/>
      <c r="AO109" s="161"/>
      <c r="AP109" s="161"/>
      <c r="AQ109" s="161"/>
      <c r="AR109" s="156">
        <f>IFERROR(_xlfn.XLOOKUP($D109,'Modelling New'!$D:$D,'Modelling New'!$N:$N),"")</f>
        <v>11.72</v>
      </c>
    </row>
    <row r="110" spans="1:44">
      <c r="A110" s="155">
        <f t="shared" si="7"/>
        <v>45853</v>
      </c>
      <c r="B110" s="156">
        <f>YEAR(Table13[[#This Row],[Date]])+IF(MONTH(Table13[[#This Row],[Date]])&gt;=4,1,0)</f>
        <v>2026</v>
      </c>
      <c r="C110" s="129">
        <f>YEAR(Table13[[#This Row],[Date]])</f>
        <v>2025</v>
      </c>
      <c r="D110" s="157">
        <f>Table13[[#This Row],[Date]]-DAY(Table13[[#This Row],[Date]])+1</f>
        <v>45839</v>
      </c>
      <c r="E110" s="129">
        <f t="shared" ref="E110:E173" si="8">DAY(EOMONTH(A110,0))</f>
        <v>31</v>
      </c>
      <c r="F110" s="130">
        <f>IFERROR(_xlfn.XLOOKUP($A110,'Raw Data'!$G:$G,'Raw Data'!$AH:$AH),"")</f>
        <v>12.7</v>
      </c>
      <c r="G110" s="131">
        <f>IFERROR(_xlfn.XLOOKUP($A110,'Raw Data'!$G:$G,'Raw Data'!$S:$S)/1000,"")</f>
        <v>0</v>
      </c>
      <c r="H110" s="131"/>
      <c r="I110" s="131">
        <f>IFERROR(_xlfn.XLOOKUP($A110,'Raw Data'!$G:$G,'Raw Data'!$AF:$AF)/1000,"")</f>
        <v>4.7569999999999997</v>
      </c>
      <c r="J110" s="131"/>
      <c r="K110" s="131">
        <f>IFERROR(_xlfn.XLOOKUP($A110,'Raw Data'!$G:$G,'Raw Data'!W:W),"")</f>
        <v>24</v>
      </c>
      <c r="L110" s="131">
        <f>IFERROR(_xlfn.XLOOKUP($A110,'Raw Data'!$G:$G,'Raw Data'!X:X),"")</f>
        <v>36</v>
      </c>
      <c r="M110" s="131">
        <f>IFERROR(_xlfn.XLOOKUP($A110,'Raw Data'!$G:$G,'Raw Data'!Y:Y),"")</f>
        <v>3</v>
      </c>
      <c r="N110" s="131">
        <f>IFERROR(_xlfn.XLOOKUP($A110,'Raw Data'!$G:$G,'Raw Data'!Z:Z),"")</f>
        <v>7</v>
      </c>
      <c r="O110" s="158">
        <f>IFERROR(1-SUMIF('Plant BD'!$H:$H,$A110,'Plant BD'!AC:AC)/$F110,"")</f>
        <v>0.9985827349014843</v>
      </c>
      <c r="P110" s="158"/>
      <c r="Q110" s="159"/>
      <c r="R110" s="158">
        <f>IFERROR(1-SUMIF('Grid BD'!$H:$H,$A110,'Grid BD'!AB:AB)/$F110,"")</f>
        <v>0.93963254593175849</v>
      </c>
      <c r="T110" s="159">
        <f>IFERROR(1-SUMIF(Tracker_BD!$H:$H,$A110,Tracker_BD!AI:AI)/$F110,"")</f>
        <v>0.98634868917247409</v>
      </c>
      <c r="U110" s="160">
        <f t="shared" si="5"/>
        <v>0.73052932233481416</v>
      </c>
      <c r="V110" s="160"/>
      <c r="W110" s="161">
        <f t="shared" si="6"/>
        <v>0.14479699943111293</v>
      </c>
      <c r="X110" s="156">
        <f>IFERROR(_xlfn.XLOOKUP($A110,'Raw Data'!$G:$G,'Raw Data'!$AB:$AB),"")</f>
        <v>40981</v>
      </c>
      <c r="Y110" s="156">
        <f>IFERROR(_xlfn.XLOOKUP($A110,'Raw Data'!$G:$G,'Raw Data'!AC:AC),"")</f>
        <v>40900.999999983469</v>
      </c>
      <c r="Z110" s="156">
        <f>IFERROR(_xlfn.XLOOKUP($A110,'Raw Data'!$G:$G,'Raw Data'!AD:AD),"")</f>
        <v>172.50000000001364</v>
      </c>
      <c r="AA110" s="156">
        <f>IFERROR(_xlfn.XLOOKUP($A110,'Raw Data'!$G:$G,'Raw Data'!AE:AE),"")</f>
        <v>40728.499999983454</v>
      </c>
      <c r="AB110" s="156">
        <f>IFERROR(_xlfn.XLOOKUP($A110,'Raw Data'!$G:$G,'Raw Data'!$H:$H),"")</f>
        <v>11.72</v>
      </c>
      <c r="AC110" s="162">
        <f>IFERROR(_xlfn.XLOOKUP($D110,'Modelling New'!$D:$D,'Modelling New'!$P:$P),"")</f>
        <v>4.6269332580645148</v>
      </c>
      <c r="AD110" s="156">
        <f>IFERROR(_xlfn.XLOOKUP($D110,'Modelling New'!$D:$D,'Modelling New'!$T:$T)*1000,"")</f>
        <v>40702.654142805535</v>
      </c>
      <c r="AE110" s="163">
        <f>IFERROR(_xlfn.XLOOKUP($D110,'Modelling New'!$D:$D,'Modelling New'!$O:$O),"")</f>
        <v>0.75058845994317613</v>
      </c>
      <c r="AF110" s="163">
        <f>IFERROR(_xlfn.XLOOKUP($D110,'Modelling New'!$D:$D,'Modelling New'!$W:$W),"")</f>
        <v>0.14470511285127108</v>
      </c>
      <c r="AG110" s="163">
        <f>IFERROR(_xlfn.XLOOKUP($D110,'Modelling New'!$D:$D,'Modelling New'!AE:AE),"")</f>
        <v>0.995</v>
      </c>
      <c r="AH110" s="163">
        <f>IFERROR(_xlfn.XLOOKUP($D110,'Modelling New'!$D:$D,'Modelling New'!AF:AF),"")</f>
        <v>0.98550000000000004</v>
      </c>
      <c r="AN110" s="164"/>
      <c r="AO110" s="161"/>
      <c r="AP110" s="161"/>
      <c r="AQ110" s="161"/>
      <c r="AR110" s="156">
        <f>IFERROR(_xlfn.XLOOKUP($D110,'Modelling New'!$D:$D,'Modelling New'!$N:$N),"")</f>
        <v>11.72</v>
      </c>
    </row>
    <row r="111" spans="1:44">
      <c r="A111" s="155">
        <f t="shared" si="7"/>
        <v>45854</v>
      </c>
      <c r="B111" s="156">
        <f>YEAR(Table13[[#This Row],[Date]])+IF(MONTH(Table13[[#This Row],[Date]])&gt;=4,1,0)</f>
        <v>2026</v>
      </c>
      <c r="C111" s="129">
        <f>YEAR(Table13[[#This Row],[Date]])</f>
        <v>2025</v>
      </c>
      <c r="D111" s="157">
        <f>Table13[[#This Row],[Date]]-DAY(Table13[[#This Row],[Date]])+1</f>
        <v>45839</v>
      </c>
      <c r="E111" s="129">
        <f t="shared" si="8"/>
        <v>31</v>
      </c>
      <c r="F111" s="130">
        <f>IFERROR(_xlfn.XLOOKUP($A111,'Raw Data'!$G:$G,'Raw Data'!$AH:$AH),"")</f>
        <v>12.316666666666668</v>
      </c>
      <c r="G111" s="131">
        <f>IFERROR(_xlfn.XLOOKUP($A111,'Raw Data'!$G:$G,'Raw Data'!$S:$S)/1000,"")</f>
        <v>0</v>
      </c>
      <c r="H111" s="131"/>
      <c r="I111" s="131">
        <f>IFERROR(_xlfn.XLOOKUP($A111,'Raw Data'!$G:$G,'Raw Data'!$AF:$AF)/1000,"")</f>
        <v>5.5460000000000003</v>
      </c>
      <c r="J111" s="131"/>
      <c r="K111" s="131">
        <f>IFERROR(_xlfn.XLOOKUP($A111,'Raw Data'!$G:$G,'Raw Data'!W:W),"")</f>
        <v>24</v>
      </c>
      <c r="L111" s="131">
        <f>IFERROR(_xlfn.XLOOKUP($A111,'Raw Data'!$G:$G,'Raw Data'!X:X),"")</f>
        <v>38</v>
      </c>
      <c r="M111" s="131">
        <f>IFERROR(_xlfn.XLOOKUP($A111,'Raw Data'!$G:$G,'Raw Data'!Y:Y),"")</f>
        <v>2</v>
      </c>
      <c r="N111" s="131">
        <f>IFERROR(_xlfn.XLOOKUP($A111,'Raw Data'!$G:$G,'Raw Data'!Z:Z),"")</f>
        <v>5</v>
      </c>
      <c r="O111" s="158">
        <f>IFERROR(1-SUMIF('Plant BD'!$H:$H,$A111,'Plant BD'!AC:AC)/$F111,"")</f>
        <v>1</v>
      </c>
      <c r="P111" s="158"/>
      <c r="Q111" s="159"/>
      <c r="R111" s="158">
        <f>IFERROR(1-SUMIF('Grid BD'!$H:$H,$A111,'Grid BD'!AB:AB)/$F111,"")</f>
        <v>1</v>
      </c>
      <c r="T111" s="159">
        <f>IFERROR(1-SUMIF(Tracker_BD!$H:$H,$A111,Tracker_BD!AI:AI)/$F111,"")</f>
        <v>0.98580716407696012</v>
      </c>
      <c r="U111" s="160">
        <f t="shared" si="5"/>
        <v>0.74178081180168298</v>
      </c>
      <c r="V111" s="160"/>
      <c r="W111" s="161">
        <f t="shared" si="6"/>
        <v>0.17141318259383886</v>
      </c>
      <c r="X111" s="156">
        <f>IFERROR(_xlfn.XLOOKUP($A111,'Raw Data'!$G:$G,'Raw Data'!$AB:$AB),"")</f>
        <v>48410</v>
      </c>
      <c r="Y111" s="156">
        <f>IFERROR(_xlfn.XLOOKUP($A111,'Raw Data'!$G:$G,'Raw Data'!AC:AC),"")</f>
        <v>48389.599999994971</v>
      </c>
      <c r="Z111" s="156">
        <f>IFERROR(_xlfn.XLOOKUP($A111,'Raw Data'!$G:$G,'Raw Data'!AD:AD),"")</f>
        <v>174.49999999996635</v>
      </c>
      <c r="AA111" s="156">
        <f>IFERROR(_xlfn.XLOOKUP($A111,'Raw Data'!$G:$G,'Raw Data'!AE:AE),"")</f>
        <v>48215.099999995007</v>
      </c>
      <c r="AB111" s="156">
        <f>IFERROR(_xlfn.XLOOKUP($A111,'Raw Data'!$G:$G,'Raw Data'!$H:$H),"")</f>
        <v>11.72</v>
      </c>
      <c r="AC111" s="162">
        <f>IFERROR(_xlfn.XLOOKUP($D111,'Modelling New'!$D:$D,'Modelling New'!$P:$P),"")</f>
        <v>4.6269332580645148</v>
      </c>
      <c r="AD111" s="156">
        <f>IFERROR(_xlfn.XLOOKUP($D111,'Modelling New'!$D:$D,'Modelling New'!$T:$T)*1000,"")</f>
        <v>40702.654142805535</v>
      </c>
      <c r="AE111" s="163">
        <f>IFERROR(_xlfn.XLOOKUP($D111,'Modelling New'!$D:$D,'Modelling New'!$O:$O),"")</f>
        <v>0.75058845994317613</v>
      </c>
      <c r="AF111" s="163">
        <f>IFERROR(_xlfn.XLOOKUP($D111,'Modelling New'!$D:$D,'Modelling New'!$W:$W),"")</f>
        <v>0.14470511285127108</v>
      </c>
      <c r="AG111" s="163">
        <f>IFERROR(_xlfn.XLOOKUP($D111,'Modelling New'!$D:$D,'Modelling New'!AE:AE),"")</f>
        <v>0.995</v>
      </c>
      <c r="AH111" s="163">
        <f>IFERROR(_xlfn.XLOOKUP($D111,'Modelling New'!$D:$D,'Modelling New'!AF:AF),"")</f>
        <v>0.98550000000000004</v>
      </c>
      <c r="AN111" s="164"/>
      <c r="AO111" s="161"/>
      <c r="AP111" s="161"/>
      <c r="AQ111" s="161"/>
      <c r="AR111" s="156">
        <f>IFERROR(_xlfn.XLOOKUP($D111,'Modelling New'!$D:$D,'Modelling New'!$N:$N),"")</f>
        <v>11.72</v>
      </c>
    </row>
    <row r="112" spans="1:44">
      <c r="A112" s="155">
        <f t="shared" si="7"/>
        <v>45855</v>
      </c>
      <c r="B112" s="156">
        <f>YEAR(Table13[[#This Row],[Date]])+IF(MONTH(Table13[[#This Row],[Date]])&gt;=4,1,0)</f>
        <v>2026</v>
      </c>
      <c r="C112" s="129">
        <f>YEAR(Table13[[#This Row],[Date]])</f>
        <v>2025</v>
      </c>
      <c r="D112" s="157">
        <f>Table13[[#This Row],[Date]]-DAY(Table13[[#This Row],[Date]])+1</f>
        <v>45839</v>
      </c>
      <c r="E112" s="129">
        <f t="shared" si="8"/>
        <v>31</v>
      </c>
      <c r="F112" s="130">
        <f>IFERROR(_xlfn.XLOOKUP($A112,'Raw Data'!$G:$G,'Raw Data'!$AH:$AH),"")</f>
        <v>12.499999999999998</v>
      </c>
      <c r="G112" s="131">
        <f>IFERROR(_xlfn.XLOOKUP($A112,'Raw Data'!$G:$G,'Raw Data'!$S:$S)/1000,"")</f>
        <v>0</v>
      </c>
      <c r="H112" s="131"/>
      <c r="I112" s="131">
        <f>IFERROR(_xlfn.XLOOKUP($A112,'Raw Data'!$G:$G,'Raw Data'!$AF:$AF)/1000,"")</f>
        <v>4.8929999999999998</v>
      </c>
      <c r="J112" s="131"/>
      <c r="K112" s="131">
        <f>IFERROR(_xlfn.XLOOKUP($A112,'Raw Data'!$G:$G,'Raw Data'!W:W),"")</f>
        <v>24</v>
      </c>
      <c r="L112" s="131">
        <f>IFERROR(_xlfn.XLOOKUP($A112,'Raw Data'!$G:$G,'Raw Data'!X:X),"")</f>
        <v>37</v>
      </c>
      <c r="M112" s="131">
        <f>IFERROR(_xlfn.XLOOKUP($A112,'Raw Data'!$G:$G,'Raw Data'!Y:Y),"")</f>
        <v>2</v>
      </c>
      <c r="N112" s="131">
        <f>IFERROR(_xlfn.XLOOKUP($A112,'Raw Data'!$G:$G,'Raw Data'!Z:Z),"")</f>
        <v>6</v>
      </c>
      <c r="O112" s="158">
        <f>IFERROR(1-SUMIF('Plant BD'!$H:$H,$A112,'Plant BD'!AC:AC)/$F112,"")</f>
        <v>1</v>
      </c>
      <c r="P112" s="158"/>
      <c r="Q112" s="159"/>
      <c r="R112" s="158">
        <f>IFERROR(1-SUMIF('Grid BD'!$H:$H,$A112,'Grid BD'!AB:AB)/$F112,"")</f>
        <v>1</v>
      </c>
      <c r="T112" s="159">
        <f>IFERROR(1-SUMIF(Tracker_BD!$H:$H,$A112,Tracker_BD!AI:AI)/$F112,"")</f>
        <v>0.98614942528735627</v>
      </c>
      <c r="U112" s="160">
        <f t="shared" si="5"/>
        <v>0.7655953444675061</v>
      </c>
      <c r="V112" s="160"/>
      <c r="W112" s="161">
        <f t="shared" si="6"/>
        <v>0.15608575085331278</v>
      </c>
      <c r="X112" s="156">
        <f>IFERROR(_xlfn.XLOOKUP($A112,'Raw Data'!$G:$G,'Raw Data'!$AB:$AB),"")</f>
        <v>44148</v>
      </c>
      <c r="Y112" s="156">
        <f>IFERROR(_xlfn.XLOOKUP($A112,'Raw Data'!$G:$G,'Raw Data'!AC:AC),"")</f>
        <v>44081.300000019837</v>
      </c>
      <c r="Z112" s="156">
        <f>IFERROR(_xlfn.XLOOKUP($A112,'Raw Data'!$G:$G,'Raw Data'!AD:AD),"")</f>
        <v>177.50000000000909</v>
      </c>
      <c r="AA112" s="156">
        <f>IFERROR(_xlfn.XLOOKUP($A112,'Raw Data'!$G:$G,'Raw Data'!AE:AE),"")</f>
        <v>43903.80000001983</v>
      </c>
      <c r="AB112" s="156">
        <f>IFERROR(_xlfn.XLOOKUP($A112,'Raw Data'!$G:$G,'Raw Data'!$H:$H),"")</f>
        <v>11.72</v>
      </c>
      <c r="AC112" s="162">
        <f>IFERROR(_xlfn.XLOOKUP($D112,'Modelling New'!$D:$D,'Modelling New'!$P:$P),"")</f>
        <v>4.6269332580645148</v>
      </c>
      <c r="AD112" s="156">
        <f>IFERROR(_xlfn.XLOOKUP($D112,'Modelling New'!$D:$D,'Modelling New'!$T:$T)*1000,"")</f>
        <v>40702.654142805535</v>
      </c>
      <c r="AE112" s="163">
        <f>IFERROR(_xlfn.XLOOKUP($D112,'Modelling New'!$D:$D,'Modelling New'!$O:$O),"")</f>
        <v>0.75058845994317613</v>
      </c>
      <c r="AF112" s="163">
        <f>IFERROR(_xlfn.XLOOKUP($D112,'Modelling New'!$D:$D,'Modelling New'!$W:$W),"")</f>
        <v>0.14470511285127108</v>
      </c>
      <c r="AG112" s="163">
        <f>IFERROR(_xlfn.XLOOKUP($D112,'Modelling New'!$D:$D,'Modelling New'!AE:AE),"")</f>
        <v>0.995</v>
      </c>
      <c r="AH112" s="163">
        <f>IFERROR(_xlfn.XLOOKUP($D112,'Modelling New'!$D:$D,'Modelling New'!AF:AF),"")</f>
        <v>0.98550000000000004</v>
      </c>
      <c r="AN112" s="164"/>
      <c r="AO112" s="161"/>
      <c r="AP112" s="161"/>
      <c r="AQ112" s="161"/>
      <c r="AR112" s="156">
        <f>IFERROR(_xlfn.XLOOKUP($D112,'Modelling New'!$D:$D,'Modelling New'!$N:$N),"")</f>
        <v>11.72</v>
      </c>
    </row>
    <row r="113" spans="1:44">
      <c r="A113" s="155">
        <f t="shared" si="7"/>
        <v>45856</v>
      </c>
      <c r="B113" s="156">
        <f>YEAR(Table13[[#This Row],[Date]])+IF(MONTH(Table13[[#This Row],[Date]])&gt;=4,1,0)</f>
        <v>2026</v>
      </c>
      <c r="C113" s="129">
        <f>YEAR(Table13[[#This Row],[Date]])</f>
        <v>2025</v>
      </c>
      <c r="D113" s="157">
        <f>Table13[[#This Row],[Date]]-DAY(Table13[[#This Row],[Date]])+1</f>
        <v>45839</v>
      </c>
      <c r="E113" s="129">
        <f t="shared" si="8"/>
        <v>31</v>
      </c>
      <c r="F113" s="130" t="str">
        <f>IFERROR(_xlfn.XLOOKUP($A113,'Raw Data'!$G:$G,'Raw Data'!$AH:$AH),"")</f>
        <v/>
      </c>
      <c r="G113" s="131" t="str">
        <f>IFERROR(_xlfn.XLOOKUP($A113,'Raw Data'!$G:$G,'Raw Data'!$S:$S)/1000,"")</f>
        <v/>
      </c>
      <c r="H113" s="131"/>
      <c r="I113" s="131" t="str">
        <f>IFERROR(_xlfn.XLOOKUP($A113,'Raw Data'!$G:$G,'Raw Data'!$AF:$AF)/1000,"")</f>
        <v/>
      </c>
      <c r="J113" s="131"/>
      <c r="K113" s="131" t="str">
        <f>IFERROR(_xlfn.XLOOKUP($A113,'Raw Data'!$G:$G,'Raw Data'!W:W),"")</f>
        <v/>
      </c>
      <c r="L113" s="131" t="str">
        <f>IFERROR(_xlfn.XLOOKUP($A113,'Raw Data'!$G:$G,'Raw Data'!X:X),"")</f>
        <v/>
      </c>
      <c r="M113" s="131" t="str">
        <f>IFERROR(_xlfn.XLOOKUP($A113,'Raw Data'!$G:$G,'Raw Data'!Y:Y),"")</f>
        <v/>
      </c>
      <c r="N113" s="131" t="str">
        <f>IFERROR(_xlfn.XLOOKUP($A113,'Raw Data'!$G:$G,'Raw Data'!Z:Z),"")</f>
        <v/>
      </c>
      <c r="O113" s="158" t="str">
        <f>IFERROR(1-SUMIF('Plant BD'!$H:$H,$A113,'Plant BD'!AC:AC)/$F113,"")</f>
        <v/>
      </c>
      <c r="P113" s="158"/>
      <c r="Q113" s="159"/>
      <c r="R113" s="158" t="str">
        <f>IFERROR(1-SUMIF('Grid BD'!$H:$H,$A113,'Grid BD'!AB:AB)/$F113,"")</f>
        <v/>
      </c>
      <c r="T113" s="159" t="str">
        <f>IFERROR(1-SUMIF(Tracker_BD!$H:$H,$A113,Tracker_BD!AI:AI)/$F113,"")</f>
        <v/>
      </c>
      <c r="U113" s="160" t="str">
        <f t="shared" si="5"/>
        <v/>
      </c>
      <c r="V113" s="160"/>
      <c r="W113" s="161" t="str">
        <f t="shared" si="6"/>
        <v/>
      </c>
      <c r="X113" s="156" t="str">
        <f>IFERROR(_xlfn.XLOOKUP($A113,'Raw Data'!$G:$G,'Raw Data'!$AB:$AB),"")</f>
        <v/>
      </c>
      <c r="Y113" s="156" t="str">
        <f>IFERROR(_xlfn.XLOOKUP($A113,'Raw Data'!$G:$G,'Raw Data'!AC:AC),"")</f>
        <v/>
      </c>
      <c r="Z113" s="156" t="str">
        <f>IFERROR(_xlfn.XLOOKUP($A113,'Raw Data'!$G:$G,'Raw Data'!AD:AD),"")</f>
        <v/>
      </c>
      <c r="AA113" s="156" t="str">
        <f>IFERROR(_xlfn.XLOOKUP($A113,'Raw Data'!$G:$G,'Raw Data'!AE:AE),"")</f>
        <v/>
      </c>
      <c r="AB113" s="156" t="str">
        <f>IFERROR(_xlfn.XLOOKUP($A113,'Raw Data'!$G:$G,'Raw Data'!$H:$H),"")</f>
        <v/>
      </c>
      <c r="AC113" s="162">
        <f>IFERROR(_xlfn.XLOOKUP($D113,'Modelling New'!$D:$D,'Modelling New'!$P:$P),"")</f>
        <v>4.6269332580645148</v>
      </c>
      <c r="AD113" s="156">
        <f>IFERROR(_xlfn.XLOOKUP($D113,'Modelling New'!$D:$D,'Modelling New'!$T:$T)*1000,"")</f>
        <v>40702.654142805535</v>
      </c>
      <c r="AE113" s="163">
        <f>IFERROR(_xlfn.XLOOKUP($D113,'Modelling New'!$D:$D,'Modelling New'!$O:$O),"")</f>
        <v>0.75058845994317613</v>
      </c>
      <c r="AF113" s="163">
        <f>IFERROR(_xlfn.XLOOKUP($D113,'Modelling New'!$D:$D,'Modelling New'!$W:$W),"")</f>
        <v>0.14470511285127108</v>
      </c>
      <c r="AG113" s="163">
        <f>IFERROR(_xlfn.XLOOKUP($D113,'Modelling New'!$D:$D,'Modelling New'!AE:AE),"")</f>
        <v>0.995</v>
      </c>
      <c r="AH113" s="163">
        <f>IFERROR(_xlfn.XLOOKUP($D113,'Modelling New'!$D:$D,'Modelling New'!AF:AF),"")</f>
        <v>0.98550000000000004</v>
      </c>
      <c r="AN113" s="164"/>
      <c r="AO113" s="161"/>
      <c r="AP113" s="161"/>
      <c r="AQ113" s="161"/>
      <c r="AR113" s="156">
        <f>IFERROR(_xlfn.XLOOKUP($D113,'Modelling New'!$D:$D,'Modelling New'!$N:$N),"")</f>
        <v>11.72</v>
      </c>
    </row>
    <row r="114" spans="1:44">
      <c r="A114" s="155">
        <f t="shared" si="7"/>
        <v>45857</v>
      </c>
      <c r="B114" s="156">
        <f>YEAR(Table13[[#This Row],[Date]])+IF(MONTH(Table13[[#This Row],[Date]])&gt;=4,1,0)</f>
        <v>2026</v>
      </c>
      <c r="C114" s="129">
        <f>YEAR(Table13[[#This Row],[Date]])</f>
        <v>2025</v>
      </c>
      <c r="D114" s="157">
        <f>Table13[[#This Row],[Date]]-DAY(Table13[[#This Row],[Date]])+1</f>
        <v>45839</v>
      </c>
      <c r="E114" s="129">
        <f t="shared" si="8"/>
        <v>31</v>
      </c>
      <c r="F114" s="130" t="str">
        <f>IFERROR(_xlfn.XLOOKUP($A114,'Raw Data'!$G:$G,'Raw Data'!$AH:$AH),"")</f>
        <v/>
      </c>
      <c r="G114" s="131" t="str">
        <f>IFERROR(_xlfn.XLOOKUP($A114,'Raw Data'!$G:$G,'Raw Data'!$S:$S)/1000,"")</f>
        <v/>
      </c>
      <c r="H114" s="131"/>
      <c r="I114" s="131" t="str">
        <f>IFERROR(_xlfn.XLOOKUP($A114,'Raw Data'!$G:$G,'Raw Data'!$AF:$AF)/1000,"")</f>
        <v/>
      </c>
      <c r="J114" s="131"/>
      <c r="K114" s="131" t="str">
        <f>IFERROR(_xlfn.XLOOKUP($A114,'Raw Data'!$G:$G,'Raw Data'!W:W),"")</f>
        <v/>
      </c>
      <c r="L114" s="131" t="str">
        <f>IFERROR(_xlfn.XLOOKUP($A114,'Raw Data'!$G:$G,'Raw Data'!X:X),"")</f>
        <v/>
      </c>
      <c r="M114" s="131" t="str">
        <f>IFERROR(_xlfn.XLOOKUP($A114,'Raw Data'!$G:$G,'Raw Data'!Y:Y),"")</f>
        <v/>
      </c>
      <c r="N114" s="131" t="str">
        <f>IFERROR(_xlfn.XLOOKUP($A114,'Raw Data'!$G:$G,'Raw Data'!Z:Z),"")</f>
        <v/>
      </c>
      <c r="O114" s="158" t="str">
        <f>IFERROR(1-SUMIF('Plant BD'!$H:$H,$A114,'Plant BD'!AC:AC)/$F114,"")</f>
        <v/>
      </c>
      <c r="P114" s="158"/>
      <c r="Q114" s="159"/>
      <c r="R114" s="158" t="str">
        <f>IFERROR(1-SUMIF('Grid BD'!$H:$H,$A114,'Grid BD'!AB:AB)/$F114,"")</f>
        <v/>
      </c>
      <c r="T114" s="159" t="str">
        <f>IFERROR(1-SUMIF(Tracker_BD!$H:$H,$A114,Tracker_BD!AI:AI)/$F114,"")</f>
        <v/>
      </c>
      <c r="U114" s="160" t="str">
        <f t="shared" si="5"/>
        <v/>
      </c>
      <c r="V114" s="160"/>
      <c r="W114" s="161" t="str">
        <f t="shared" si="6"/>
        <v/>
      </c>
      <c r="X114" s="156" t="str">
        <f>IFERROR(_xlfn.XLOOKUP($A114,'Raw Data'!$G:$G,'Raw Data'!$AB:$AB),"")</f>
        <v/>
      </c>
      <c r="Y114" s="156" t="str">
        <f>IFERROR(_xlfn.XLOOKUP($A114,'Raw Data'!$G:$G,'Raw Data'!AC:AC),"")</f>
        <v/>
      </c>
      <c r="Z114" s="156" t="str">
        <f>IFERROR(_xlfn.XLOOKUP($A114,'Raw Data'!$G:$G,'Raw Data'!AD:AD),"")</f>
        <v/>
      </c>
      <c r="AA114" s="156" t="str">
        <f>IFERROR(_xlfn.XLOOKUP($A114,'Raw Data'!$G:$G,'Raw Data'!AE:AE),"")</f>
        <v/>
      </c>
      <c r="AB114" s="156" t="str">
        <f>IFERROR(_xlfn.XLOOKUP($A114,'Raw Data'!$G:$G,'Raw Data'!$H:$H),"")</f>
        <v/>
      </c>
      <c r="AC114" s="162">
        <f>IFERROR(_xlfn.XLOOKUP($D114,'Modelling New'!$D:$D,'Modelling New'!$P:$P),"")</f>
        <v>4.6269332580645148</v>
      </c>
      <c r="AD114" s="156">
        <f>IFERROR(_xlfn.XLOOKUP($D114,'Modelling New'!$D:$D,'Modelling New'!$T:$T)*1000,"")</f>
        <v>40702.654142805535</v>
      </c>
      <c r="AE114" s="163">
        <f>IFERROR(_xlfn.XLOOKUP($D114,'Modelling New'!$D:$D,'Modelling New'!$O:$O),"")</f>
        <v>0.75058845994317613</v>
      </c>
      <c r="AF114" s="163">
        <f>IFERROR(_xlfn.XLOOKUP($D114,'Modelling New'!$D:$D,'Modelling New'!$W:$W),"")</f>
        <v>0.14470511285127108</v>
      </c>
      <c r="AG114" s="163">
        <f>IFERROR(_xlfn.XLOOKUP($D114,'Modelling New'!$D:$D,'Modelling New'!AE:AE),"")</f>
        <v>0.995</v>
      </c>
      <c r="AH114" s="163">
        <f>IFERROR(_xlfn.XLOOKUP($D114,'Modelling New'!$D:$D,'Modelling New'!AF:AF),"")</f>
        <v>0.98550000000000004</v>
      </c>
      <c r="AN114" s="164"/>
      <c r="AO114" s="161"/>
      <c r="AP114" s="161"/>
      <c r="AQ114" s="161"/>
      <c r="AR114" s="156">
        <f>IFERROR(_xlfn.XLOOKUP($D114,'Modelling New'!$D:$D,'Modelling New'!$N:$N),"")</f>
        <v>11.72</v>
      </c>
    </row>
    <row r="115" spans="1:44">
      <c r="A115" s="155">
        <f t="shared" si="7"/>
        <v>45858</v>
      </c>
      <c r="B115" s="156">
        <f>YEAR(Table13[[#This Row],[Date]])+IF(MONTH(Table13[[#This Row],[Date]])&gt;=4,1,0)</f>
        <v>2026</v>
      </c>
      <c r="C115" s="129">
        <f>YEAR(Table13[[#This Row],[Date]])</f>
        <v>2025</v>
      </c>
      <c r="D115" s="157">
        <f>Table13[[#This Row],[Date]]-DAY(Table13[[#This Row],[Date]])+1</f>
        <v>45839</v>
      </c>
      <c r="E115" s="129">
        <f t="shared" si="8"/>
        <v>31</v>
      </c>
      <c r="F115" s="130" t="str">
        <f>IFERROR(_xlfn.XLOOKUP($A115,'Raw Data'!$G:$G,'Raw Data'!$AH:$AH),"")</f>
        <v/>
      </c>
      <c r="G115" s="131" t="str">
        <f>IFERROR(_xlfn.XLOOKUP($A115,'Raw Data'!$G:$G,'Raw Data'!$S:$S)/1000,"")</f>
        <v/>
      </c>
      <c r="H115" s="131"/>
      <c r="I115" s="131" t="str">
        <f>IFERROR(_xlfn.XLOOKUP($A115,'Raw Data'!$G:$G,'Raw Data'!$AF:$AF)/1000,"")</f>
        <v/>
      </c>
      <c r="J115" s="131"/>
      <c r="K115" s="131" t="str">
        <f>IFERROR(_xlfn.XLOOKUP($A115,'Raw Data'!$G:$G,'Raw Data'!W:W),"")</f>
        <v/>
      </c>
      <c r="L115" s="131" t="str">
        <f>IFERROR(_xlfn.XLOOKUP($A115,'Raw Data'!$G:$G,'Raw Data'!X:X),"")</f>
        <v/>
      </c>
      <c r="M115" s="131" t="str">
        <f>IFERROR(_xlfn.XLOOKUP($A115,'Raw Data'!$G:$G,'Raw Data'!Y:Y),"")</f>
        <v/>
      </c>
      <c r="N115" s="131" t="str">
        <f>IFERROR(_xlfn.XLOOKUP($A115,'Raw Data'!$G:$G,'Raw Data'!Z:Z),"")</f>
        <v/>
      </c>
      <c r="O115" s="158" t="str">
        <f>IFERROR(1-SUMIF('Plant BD'!$H:$H,$A115,'Plant BD'!AC:AC)/$F115,"")</f>
        <v/>
      </c>
      <c r="P115" s="158"/>
      <c r="Q115" s="159"/>
      <c r="R115" s="158" t="str">
        <f>IFERROR(1-SUMIF('Grid BD'!$H:$H,$A115,'Grid BD'!AB:AB)/$F115,"")</f>
        <v/>
      </c>
      <c r="T115" s="159" t="str">
        <f>IFERROR(1-SUMIF(Tracker_BD!$H:$H,$A115,Tracker_BD!AI:AI)/$F115,"")</f>
        <v/>
      </c>
      <c r="U115" s="160" t="str">
        <f t="shared" si="5"/>
        <v/>
      </c>
      <c r="V115" s="160"/>
      <c r="W115" s="161" t="str">
        <f t="shared" si="6"/>
        <v/>
      </c>
      <c r="X115" s="156" t="str">
        <f>IFERROR(_xlfn.XLOOKUP($A115,'Raw Data'!$G:$G,'Raw Data'!$AB:$AB),"")</f>
        <v/>
      </c>
      <c r="Y115" s="156" t="str">
        <f>IFERROR(_xlfn.XLOOKUP($A115,'Raw Data'!$G:$G,'Raw Data'!AC:AC),"")</f>
        <v/>
      </c>
      <c r="Z115" s="156" t="str">
        <f>IFERROR(_xlfn.XLOOKUP($A115,'Raw Data'!$G:$G,'Raw Data'!AD:AD),"")</f>
        <v/>
      </c>
      <c r="AA115" s="156" t="str">
        <f>IFERROR(_xlfn.XLOOKUP($A115,'Raw Data'!$G:$G,'Raw Data'!AE:AE),"")</f>
        <v/>
      </c>
      <c r="AB115" s="156" t="str">
        <f>IFERROR(_xlfn.XLOOKUP($A115,'Raw Data'!$G:$G,'Raw Data'!$H:$H),"")</f>
        <v/>
      </c>
      <c r="AC115" s="162">
        <f>IFERROR(_xlfn.XLOOKUP($D115,'Modelling New'!$D:$D,'Modelling New'!$P:$P),"")</f>
        <v>4.6269332580645148</v>
      </c>
      <c r="AD115" s="156">
        <f>IFERROR(_xlfn.XLOOKUP($D115,'Modelling New'!$D:$D,'Modelling New'!$T:$T)*1000,"")</f>
        <v>40702.654142805535</v>
      </c>
      <c r="AE115" s="163">
        <f>IFERROR(_xlfn.XLOOKUP($D115,'Modelling New'!$D:$D,'Modelling New'!$O:$O),"")</f>
        <v>0.75058845994317613</v>
      </c>
      <c r="AF115" s="163">
        <f>IFERROR(_xlfn.XLOOKUP($D115,'Modelling New'!$D:$D,'Modelling New'!$W:$W),"")</f>
        <v>0.14470511285127108</v>
      </c>
      <c r="AG115" s="163">
        <f>IFERROR(_xlfn.XLOOKUP($D115,'Modelling New'!$D:$D,'Modelling New'!AE:AE),"")</f>
        <v>0.995</v>
      </c>
      <c r="AH115" s="163">
        <f>IFERROR(_xlfn.XLOOKUP($D115,'Modelling New'!$D:$D,'Modelling New'!AF:AF),"")</f>
        <v>0.98550000000000004</v>
      </c>
      <c r="AN115" s="164"/>
      <c r="AO115" s="161"/>
      <c r="AP115" s="161"/>
      <c r="AQ115" s="161"/>
      <c r="AR115" s="156">
        <f>IFERROR(_xlfn.XLOOKUP($D115,'Modelling New'!$D:$D,'Modelling New'!$N:$N),"")</f>
        <v>11.72</v>
      </c>
    </row>
    <row r="116" spans="1:44">
      <c r="A116" s="155">
        <f t="shared" si="7"/>
        <v>45859</v>
      </c>
      <c r="B116" s="156">
        <f>YEAR(Table13[[#This Row],[Date]])+IF(MONTH(Table13[[#This Row],[Date]])&gt;=4,1,0)</f>
        <v>2026</v>
      </c>
      <c r="C116" s="129">
        <f>YEAR(Table13[[#This Row],[Date]])</f>
        <v>2025</v>
      </c>
      <c r="D116" s="157">
        <f>Table13[[#This Row],[Date]]-DAY(Table13[[#This Row],[Date]])+1</f>
        <v>45839</v>
      </c>
      <c r="E116" s="129">
        <f t="shared" si="8"/>
        <v>31</v>
      </c>
      <c r="F116" s="130" t="str">
        <f>IFERROR(_xlfn.XLOOKUP($A116,'Raw Data'!$G:$G,'Raw Data'!$AH:$AH),"")</f>
        <v/>
      </c>
      <c r="G116" s="131" t="str">
        <f>IFERROR(_xlfn.XLOOKUP($A116,'Raw Data'!$G:$G,'Raw Data'!$S:$S)/1000,"")</f>
        <v/>
      </c>
      <c r="H116" s="131"/>
      <c r="I116" s="131" t="str">
        <f>IFERROR(_xlfn.XLOOKUP($A116,'Raw Data'!$G:$G,'Raw Data'!$AF:$AF)/1000,"")</f>
        <v/>
      </c>
      <c r="J116" s="131"/>
      <c r="K116" s="131" t="str">
        <f>IFERROR(_xlfn.XLOOKUP($A116,'Raw Data'!$G:$G,'Raw Data'!W:W),"")</f>
        <v/>
      </c>
      <c r="L116" s="131" t="str">
        <f>IFERROR(_xlfn.XLOOKUP($A116,'Raw Data'!$G:$G,'Raw Data'!X:X),"")</f>
        <v/>
      </c>
      <c r="M116" s="131" t="str">
        <f>IFERROR(_xlfn.XLOOKUP($A116,'Raw Data'!$G:$G,'Raw Data'!Y:Y),"")</f>
        <v/>
      </c>
      <c r="N116" s="131" t="str">
        <f>IFERROR(_xlfn.XLOOKUP($A116,'Raw Data'!$G:$G,'Raw Data'!Z:Z),"")</f>
        <v/>
      </c>
      <c r="O116" s="158" t="str">
        <f>IFERROR(1-SUMIF('Plant BD'!$H:$H,$A116,'Plant BD'!AC:AC)/$F116,"")</f>
        <v/>
      </c>
      <c r="P116" s="158"/>
      <c r="Q116" s="159"/>
      <c r="R116" s="158" t="str">
        <f>IFERROR(1-SUMIF('Grid BD'!$H:$H,$A116,'Grid BD'!AB:AB)/$F116,"")</f>
        <v/>
      </c>
      <c r="T116" s="159" t="str">
        <f>IFERROR(1-SUMIF(Tracker_BD!$H:$H,$A116,Tracker_BD!AI:AI)/$F116,"")</f>
        <v/>
      </c>
      <c r="U116" s="160" t="str">
        <f t="shared" si="5"/>
        <v/>
      </c>
      <c r="V116" s="160"/>
      <c r="W116" s="161" t="str">
        <f t="shared" si="6"/>
        <v/>
      </c>
      <c r="X116" s="156" t="str">
        <f>IFERROR(_xlfn.XLOOKUP($A116,'Raw Data'!$G:$G,'Raw Data'!$AB:$AB),"")</f>
        <v/>
      </c>
      <c r="Y116" s="156" t="str">
        <f>IFERROR(_xlfn.XLOOKUP($A116,'Raw Data'!$G:$G,'Raw Data'!AC:AC),"")</f>
        <v/>
      </c>
      <c r="Z116" s="156" t="str">
        <f>IFERROR(_xlfn.XLOOKUP($A116,'Raw Data'!$G:$G,'Raw Data'!AD:AD),"")</f>
        <v/>
      </c>
      <c r="AA116" s="156" t="str">
        <f>IFERROR(_xlfn.XLOOKUP($A116,'Raw Data'!$G:$G,'Raw Data'!AE:AE),"")</f>
        <v/>
      </c>
      <c r="AB116" s="156" t="str">
        <f>IFERROR(_xlfn.XLOOKUP($A116,'Raw Data'!$G:$G,'Raw Data'!$H:$H),"")</f>
        <v/>
      </c>
      <c r="AC116" s="162">
        <f>IFERROR(_xlfn.XLOOKUP($D116,'Modelling New'!$D:$D,'Modelling New'!$P:$P),"")</f>
        <v>4.6269332580645148</v>
      </c>
      <c r="AD116" s="156">
        <f>IFERROR(_xlfn.XLOOKUP($D116,'Modelling New'!$D:$D,'Modelling New'!$T:$T)*1000,"")</f>
        <v>40702.654142805535</v>
      </c>
      <c r="AE116" s="163">
        <f>IFERROR(_xlfn.XLOOKUP($D116,'Modelling New'!$D:$D,'Modelling New'!$O:$O),"")</f>
        <v>0.75058845994317613</v>
      </c>
      <c r="AF116" s="163">
        <f>IFERROR(_xlfn.XLOOKUP($D116,'Modelling New'!$D:$D,'Modelling New'!$W:$W),"")</f>
        <v>0.14470511285127108</v>
      </c>
      <c r="AG116" s="163">
        <f>IFERROR(_xlfn.XLOOKUP($D116,'Modelling New'!$D:$D,'Modelling New'!AE:AE),"")</f>
        <v>0.995</v>
      </c>
      <c r="AH116" s="163">
        <f>IFERROR(_xlfn.XLOOKUP($D116,'Modelling New'!$D:$D,'Modelling New'!AF:AF),"")</f>
        <v>0.98550000000000004</v>
      </c>
      <c r="AN116" s="164"/>
      <c r="AO116" s="161"/>
      <c r="AP116" s="161"/>
      <c r="AQ116" s="161"/>
      <c r="AR116" s="156">
        <f>IFERROR(_xlfn.XLOOKUP($D116,'Modelling New'!$D:$D,'Modelling New'!$N:$N),"")</f>
        <v>11.72</v>
      </c>
    </row>
    <row r="117" spans="1:44">
      <c r="A117" s="155">
        <f t="shared" si="7"/>
        <v>45860</v>
      </c>
      <c r="B117" s="156">
        <f>YEAR(Table13[[#This Row],[Date]])+IF(MONTH(Table13[[#This Row],[Date]])&gt;=4,1,0)</f>
        <v>2026</v>
      </c>
      <c r="C117" s="129">
        <f>YEAR(Table13[[#This Row],[Date]])</f>
        <v>2025</v>
      </c>
      <c r="D117" s="157">
        <f>Table13[[#This Row],[Date]]-DAY(Table13[[#This Row],[Date]])+1</f>
        <v>45839</v>
      </c>
      <c r="E117" s="129">
        <f t="shared" si="8"/>
        <v>31</v>
      </c>
      <c r="F117" s="130" t="str">
        <f>IFERROR(_xlfn.XLOOKUP($A117,'Raw Data'!$G:$G,'Raw Data'!$AH:$AH),"")</f>
        <v/>
      </c>
      <c r="G117" s="131" t="str">
        <f>IFERROR(_xlfn.XLOOKUP($A117,'Raw Data'!$G:$G,'Raw Data'!$S:$S)/1000,"")</f>
        <v/>
      </c>
      <c r="H117" s="131"/>
      <c r="I117" s="131" t="str">
        <f>IFERROR(_xlfn.XLOOKUP($A117,'Raw Data'!$G:$G,'Raw Data'!$AF:$AF)/1000,"")</f>
        <v/>
      </c>
      <c r="J117" s="131"/>
      <c r="K117" s="131" t="str">
        <f>IFERROR(_xlfn.XLOOKUP($A117,'Raw Data'!$G:$G,'Raw Data'!W:W),"")</f>
        <v/>
      </c>
      <c r="L117" s="131" t="str">
        <f>IFERROR(_xlfn.XLOOKUP($A117,'Raw Data'!$G:$G,'Raw Data'!X:X),"")</f>
        <v/>
      </c>
      <c r="M117" s="131" t="str">
        <f>IFERROR(_xlfn.XLOOKUP($A117,'Raw Data'!$G:$G,'Raw Data'!Y:Y),"")</f>
        <v/>
      </c>
      <c r="N117" s="131" t="str">
        <f>IFERROR(_xlfn.XLOOKUP($A117,'Raw Data'!$G:$G,'Raw Data'!Z:Z),"")</f>
        <v/>
      </c>
      <c r="O117" s="158" t="str">
        <f>IFERROR(1-SUMIF('Plant BD'!$H:$H,$A117,'Plant BD'!AC:AC)/$F117,"")</f>
        <v/>
      </c>
      <c r="P117" s="158"/>
      <c r="Q117" s="159"/>
      <c r="R117" s="158" t="str">
        <f>IFERROR(1-SUMIF('Grid BD'!$H:$H,$A117,'Grid BD'!AB:AB)/$F117,"")</f>
        <v/>
      </c>
      <c r="T117" s="159" t="str">
        <f>IFERROR(1-SUMIF(Tracker_BD!$H:$H,$A117,Tracker_BD!AI:AI)/$F117,"")</f>
        <v/>
      </c>
      <c r="U117" s="160" t="str">
        <f t="shared" si="5"/>
        <v/>
      </c>
      <c r="V117" s="160"/>
      <c r="W117" s="161" t="str">
        <f t="shared" si="6"/>
        <v/>
      </c>
      <c r="X117" s="156" t="str">
        <f>IFERROR(_xlfn.XLOOKUP($A117,'Raw Data'!$G:$G,'Raw Data'!$AB:$AB),"")</f>
        <v/>
      </c>
      <c r="Y117" s="156" t="str">
        <f>IFERROR(_xlfn.XLOOKUP($A117,'Raw Data'!$G:$G,'Raw Data'!AC:AC),"")</f>
        <v/>
      </c>
      <c r="Z117" s="156" t="str">
        <f>IFERROR(_xlfn.XLOOKUP($A117,'Raw Data'!$G:$G,'Raw Data'!AD:AD),"")</f>
        <v/>
      </c>
      <c r="AA117" s="156" t="str">
        <f>IFERROR(_xlfn.XLOOKUP($A117,'Raw Data'!$G:$G,'Raw Data'!AE:AE),"")</f>
        <v/>
      </c>
      <c r="AB117" s="156" t="str">
        <f>IFERROR(_xlfn.XLOOKUP($A117,'Raw Data'!$G:$G,'Raw Data'!$H:$H),"")</f>
        <v/>
      </c>
      <c r="AC117" s="162">
        <f>IFERROR(_xlfn.XLOOKUP($D117,'Modelling New'!$D:$D,'Modelling New'!$P:$P),"")</f>
        <v>4.6269332580645148</v>
      </c>
      <c r="AD117" s="156">
        <f>IFERROR(_xlfn.XLOOKUP($D117,'Modelling New'!$D:$D,'Modelling New'!$T:$T)*1000,"")</f>
        <v>40702.654142805535</v>
      </c>
      <c r="AE117" s="163">
        <f>IFERROR(_xlfn.XLOOKUP($D117,'Modelling New'!$D:$D,'Modelling New'!$O:$O),"")</f>
        <v>0.75058845994317613</v>
      </c>
      <c r="AF117" s="163">
        <f>IFERROR(_xlfn.XLOOKUP($D117,'Modelling New'!$D:$D,'Modelling New'!$W:$W),"")</f>
        <v>0.14470511285127108</v>
      </c>
      <c r="AG117" s="163">
        <f>IFERROR(_xlfn.XLOOKUP($D117,'Modelling New'!$D:$D,'Modelling New'!AE:AE),"")</f>
        <v>0.995</v>
      </c>
      <c r="AH117" s="163">
        <f>IFERROR(_xlfn.XLOOKUP($D117,'Modelling New'!$D:$D,'Modelling New'!AF:AF),"")</f>
        <v>0.98550000000000004</v>
      </c>
      <c r="AN117" s="164"/>
      <c r="AO117" s="161"/>
      <c r="AP117" s="161"/>
      <c r="AQ117" s="161"/>
      <c r="AR117" s="156">
        <f>IFERROR(_xlfn.XLOOKUP($D117,'Modelling New'!$D:$D,'Modelling New'!$N:$N),"")</f>
        <v>11.72</v>
      </c>
    </row>
    <row r="118" spans="1:44">
      <c r="A118" s="155">
        <f t="shared" si="7"/>
        <v>45861</v>
      </c>
      <c r="B118" s="156">
        <f>YEAR(Table13[[#This Row],[Date]])+IF(MONTH(Table13[[#This Row],[Date]])&gt;=4,1,0)</f>
        <v>2026</v>
      </c>
      <c r="C118" s="129">
        <f>YEAR(Table13[[#This Row],[Date]])</f>
        <v>2025</v>
      </c>
      <c r="D118" s="157">
        <f>Table13[[#This Row],[Date]]-DAY(Table13[[#This Row],[Date]])+1</f>
        <v>45839</v>
      </c>
      <c r="E118" s="129">
        <f t="shared" si="8"/>
        <v>31</v>
      </c>
      <c r="F118" s="130" t="str">
        <f>IFERROR(_xlfn.XLOOKUP($A118,'Raw Data'!$G:$G,'Raw Data'!$AH:$AH),"")</f>
        <v/>
      </c>
      <c r="G118" s="131" t="str">
        <f>IFERROR(_xlfn.XLOOKUP($A118,'Raw Data'!$G:$G,'Raw Data'!$S:$S)/1000,"")</f>
        <v/>
      </c>
      <c r="H118" s="131"/>
      <c r="I118" s="131" t="str">
        <f>IFERROR(_xlfn.XLOOKUP($A118,'Raw Data'!$G:$G,'Raw Data'!$AF:$AF)/1000,"")</f>
        <v/>
      </c>
      <c r="J118" s="131"/>
      <c r="K118" s="131" t="str">
        <f>IFERROR(_xlfn.XLOOKUP($A118,'Raw Data'!$G:$G,'Raw Data'!W:W),"")</f>
        <v/>
      </c>
      <c r="L118" s="131" t="str">
        <f>IFERROR(_xlfn.XLOOKUP($A118,'Raw Data'!$G:$G,'Raw Data'!X:X),"")</f>
        <v/>
      </c>
      <c r="M118" s="131" t="str">
        <f>IFERROR(_xlfn.XLOOKUP($A118,'Raw Data'!$G:$G,'Raw Data'!Y:Y),"")</f>
        <v/>
      </c>
      <c r="N118" s="131" t="str">
        <f>IFERROR(_xlfn.XLOOKUP($A118,'Raw Data'!$G:$G,'Raw Data'!Z:Z),"")</f>
        <v/>
      </c>
      <c r="O118" s="158" t="str">
        <f>IFERROR(1-SUMIF('Plant BD'!$H:$H,$A118,'Plant BD'!AC:AC)/$F118,"")</f>
        <v/>
      </c>
      <c r="P118" s="158"/>
      <c r="Q118" s="159"/>
      <c r="R118" s="158" t="str">
        <f>IFERROR(1-SUMIF('Grid BD'!$H:$H,$A118,'Grid BD'!AB:AB)/$F118,"")</f>
        <v/>
      </c>
      <c r="T118" s="159" t="str">
        <f>IFERROR(1-SUMIF(Tracker_BD!$H:$H,$A118,Tracker_BD!AI:AI)/$F118,"")</f>
        <v/>
      </c>
      <c r="U118" s="160" t="str">
        <f t="shared" si="5"/>
        <v/>
      </c>
      <c r="V118" s="160"/>
      <c r="W118" s="161" t="str">
        <f t="shared" si="6"/>
        <v/>
      </c>
      <c r="X118" s="156" t="str">
        <f>IFERROR(_xlfn.XLOOKUP($A118,'Raw Data'!$G:$G,'Raw Data'!$AB:$AB),"")</f>
        <v/>
      </c>
      <c r="Y118" s="156" t="str">
        <f>IFERROR(_xlfn.XLOOKUP($A118,'Raw Data'!$G:$G,'Raw Data'!AC:AC),"")</f>
        <v/>
      </c>
      <c r="Z118" s="156" t="str">
        <f>IFERROR(_xlfn.XLOOKUP($A118,'Raw Data'!$G:$G,'Raw Data'!AD:AD),"")</f>
        <v/>
      </c>
      <c r="AA118" s="156" t="str">
        <f>IFERROR(_xlfn.XLOOKUP($A118,'Raw Data'!$G:$G,'Raw Data'!AE:AE),"")</f>
        <v/>
      </c>
      <c r="AB118" s="156" t="str">
        <f>IFERROR(_xlfn.XLOOKUP($A118,'Raw Data'!$G:$G,'Raw Data'!$H:$H),"")</f>
        <v/>
      </c>
      <c r="AC118" s="162">
        <f>IFERROR(_xlfn.XLOOKUP($D118,'Modelling New'!$D:$D,'Modelling New'!$P:$P),"")</f>
        <v>4.6269332580645148</v>
      </c>
      <c r="AD118" s="156">
        <f>IFERROR(_xlfn.XLOOKUP($D118,'Modelling New'!$D:$D,'Modelling New'!$T:$T)*1000,"")</f>
        <v>40702.654142805535</v>
      </c>
      <c r="AE118" s="163">
        <f>IFERROR(_xlfn.XLOOKUP($D118,'Modelling New'!$D:$D,'Modelling New'!$O:$O),"")</f>
        <v>0.75058845994317613</v>
      </c>
      <c r="AF118" s="163">
        <f>IFERROR(_xlfn.XLOOKUP($D118,'Modelling New'!$D:$D,'Modelling New'!$W:$W),"")</f>
        <v>0.14470511285127108</v>
      </c>
      <c r="AG118" s="163">
        <f>IFERROR(_xlfn.XLOOKUP($D118,'Modelling New'!$D:$D,'Modelling New'!AE:AE),"")</f>
        <v>0.995</v>
      </c>
      <c r="AH118" s="163">
        <f>IFERROR(_xlfn.XLOOKUP($D118,'Modelling New'!$D:$D,'Modelling New'!AF:AF),"")</f>
        <v>0.98550000000000004</v>
      </c>
      <c r="AN118" s="164"/>
      <c r="AO118" s="161"/>
      <c r="AP118" s="161"/>
      <c r="AQ118" s="161"/>
      <c r="AR118" s="156">
        <f>IFERROR(_xlfn.XLOOKUP($D118,'Modelling New'!$D:$D,'Modelling New'!$N:$N),"")</f>
        <v>11.72</v>
      </c>
    </row>
    <row r="119" spans="1:44">
      <c r="A119" s="155">
        <f t="shared" si="7"/>
        <v>45862</v>
      </c>
      <c r="B119" s="156">
        <f>YEAR(Table13[[#This Row],[Date]])+IF(MONTH(Table13[[#This Row],[Date]])&gt;=4,1,0)</f>
        <v>2026</v>
      </c>
      <c r="C119" s="129">
        <f>YEAR(Table13[[#This Row],[Date]])</f>
        <v>2025</v>
      </c>
      <c r="D119" s="157">
        <f>Table13[[#This Row],[Date]]-DAY(Table13[[#This Row],[Date]])+1</f>
        <v>45839</v>
      </c>
      <c r="E119" s="129">
        <f t="shared" si="8"/>
        <v>31</v>
      </c>
      <c r="F119" s="130" t="str">
        <f>IFERROR(_xlfn.XLOOKUP($A119,'Raw Data'!$G:$G,'Raw Data'!$AH:$AH),"")</f>
        <v/>
      </c>
      <c r="G119" s="131" t="str">
        <f>IFERROR(_xlfn.XLOOKUP($A119,'Raw Data'!$G:$G,'Raw Data'!$S:$S)/1000,"")</f>
        <v/>
      </c>
      <c r="H119" s="131"/>
      <c r="I119" s="131" t="str">
        <f>IFERROR(_xlfn.XLOOKUP($A119,'Raw Data'!$G:$G,'Raw Data'!$AF:$AF)/1000,"")</f>
        <v/>
      </c>
      <c r="J119" s="131"/>
      <c r="K119" s="131" t="str">
        <f>IFERROR(_xlfn.XLOOKUP($A119,'Raw Data'!$G:$G,'Raw Data'!W:W),"")</f>
        <v/>
      </c>
      <c r="L119" s="131" t="str">
        <f>IFERROR(_xlfn.XLOOKUP($A119,'Raw Data'!$G:$G,'Raw Data'!X:X),"")</f>
        <v/>
      </c>
      <c r="M119" s="131" t="str">
        <f>IFERROR(_xlfn.XLOOKUP($A119,'Raw Data'!$G:$G,'Raw Data'!Y:Y),"")</f>
        <v/>
      </c>
      <c r="N119" s="131" t="str">
        <f>IFERROR(_xlfn.XLOOKUP($A119,'Raw Data'!$G:$G,'Raw Data'!Z:Z),"")</f>
        <v/>
      </c>
      <c r="O119" s="158" t="str">
        <f>IFERROR(1-SUMIF('Plant BD'!$H:$H,$A119,'Plant BD'!AC:AC)/$F119,"")</f>
        <v/>
      </c>
      <c r="P119" s="158"/>
      <c r="Q119" s="159"/>
      <c r="R119" s="158" t="str">
        <f>IFERROR(1-SUMIF('Grid BD'!$H:$H,$A119,'Grid BD'!AB:AB)/$F119,"")</f>
        <v/>
      </c>
      <c r="T119" s="159" t="str">
        <f>IFERROR(1-SUMIF(Tracker_BD!$H:$H,$A119,Tracker_BD!AI:AI)/$F119,"")</f>
        <v/>
      </c>
      <c r="U119" s="160" t="str">
        <f t="shared" si="5"/>
        <v/>
      </c>
      <c r="V119" s="160"/>
      <c r="W119" s="161" t="str">
        <f t="shared" si="6"/>
        <v/>
      </c>
      <c r="X119" s="156" t="str">
        <f>IFERROR(_xlfn.XLOOKUP($A119,'Raw Data'!$G:$G,'Raw Data'!$AB:$AB),"")</f>
        <v/>
      </c>
      <c r="Y119" s="156" t="str">
        <f>IFERROR(_xlfn.XLOOKUP($A119,'Raw Data'!$G:$G,'Raw Data'!AC:AC),"")</f>
        <v/>
      </c>
      <c r="Z119" s="156" t="str">
        <f>IFERROR(_xlfn.XLOOKUP($A119,'Raw Data'!$G:$G,'Raw Data'!AD:AD),"")</f>
        <v/>
      </c>
      <c r="AA119" s="156" t="str">
        <f>IFERROR(_xlfn.XLOOKUP($A119,'Raw Data'!$G:$G,'Raw Data'!AE:AE),"")</f>
        <v/>
      </c>
      <c r="AB119" s="156" t="str">
        <f>IFERROR(_xlfn.XLOOKUP($A119,'Raw Data'!$G:$G,'Raw Data'!$H:$H),"")</f>
        <v/>
      </c>
      <c r="AC119" s="162">
        <f>IFERROR(_xlfn.XLOOKUP($D119,'Modelling New'!$D:$D,'Modelling New'!$P:$P),"")</f>
        <v>4.6269332580645148</v>
      </c>
      <c r="AD119" s="156">
        <f>IFERROR(_xlfn.XLOOKUP($D119,'Modelling New'!$D:$D,'Modelling New'!$T:$T)*1000,"")</f>
        <v>40702.654142805535</v>
      </c>
      <c r="AE119" s="163">
        <f>IFERROR(_xlfn.XLOOKUP($D119,'Modelling New'!$D:$D,'Modelling New'!$O:$O),"")</f>
        <v>0.75058845994317613</v>
      </c>
      <c r="AF119" s="163">
        <f>IFERROR(_xlfn.XLOOKUP($D119,'Modelling New'!$D:$D,'Modelling New'!$W:$W),"")</f>
        <v>0.14470511285127108</v>
      </c>
      <c r="AG119" s="163">
        <f>IFERROR(_xlfn.XLOOKUP($D119,'Modelling New'!$D:$D,'Modelling New'!AE:AE),"")</f>
        <v>0.995</v>
      </c>
      <c r="AH119" s="163">
        <f>IFERROR(_xlfn.XLOOKUP($D119,'Modelling New'!$D:$D,'Modelling New'!AF:AF),"")</f>
        <v>0.98550000000000004</v>
      </c>
      <c r="AN119" s="164"/>
      <c r="AO119" s="161"/>
      <c r="AP119" s="161"/>
      <c r="AQ119" s="161"/>
      <c r="AR119" s="156">
        <f>IFERROR(_xlfn.XLOOKUP($D119,'Modelling New'!$D:$D,'Modelling New'!$N:$N),"")</f>
        <v>11.72</v>
      </c>
    </row>
    <row r="120" spans="1:44">
      <c r="A120" s="155">
        <f t="shared" si="7"/>
        <v>45863</v>
      </c>
      <c r="B120" s="156">
        <f>YEAR(Table13[[#This Row],[Date]])+IF(MONTH(Table13[[#This Row],[Date]])&gt;=4,1,0)</f>
        <v>2026</v>
      </c>
      <c r="C120" s="129">
        <f>YEAR(Table13[[#This Row],[Date]])</f>
        <v>2025</v>
      </c>
      <c r="D120" s="157">
        <f>Table13[[#This Row],[Date]]-DAY(Table13[[#This Row],[Date]])+1</f>
        <v>45839</v>
      </c>
      <c r="E120" s="129">
        <f t="shared" si="8"/>
        <v>31</v>
      </c>
      <c r="F120" s="130" t="str">
        <f>IFERROR(_xlfn.XLOOKUP($A120,'Raw Data'!$G:$G,'Raw Data'!$AH:$AH),"")</f>
        <v/>
      </c>
      <c r="G120" s="131" t="str">
        <f>IFERROR(_xlfn.XLOOKUP($A120,'Raw Data'!$G:$G,'Raw Data'!$S:$S)/1000,"")</f>
        <v/>
      </c>
      <c r="H120" s="131"/>
      <c r="I120" s="131" t="str">
        <f>IFERROR(_xlfn.XLOOKUP($A120,'Raw Data'!$G:$G,'Raw Data'!$AF:$AF)/1000,"")</f>
        <v/>
      </c>
      <c r="J120" s="131"/>
      <c r="K120" s="131" t="str">
        <f>IFERROR(_xlfn.XLOOKUP($A120,'Raw Data'!$G:$G,'Raw Data'!W:W),"")</f>
        <v/>
      </c>
      <c r="L120" s="131" t="str">
        <f>IFERROR(_xlfn.XLOOKUP($A120,'Raw Data'!$G:$G,'Raw Data'!X:X),"")</f>
        <v/>
      </c>
      <c r="M120" s="131" t="str">
        <f>IFERROR(_xlfn.XLOOKUP($A120,'Raw Data'!$G:$G,'Raw Data'!Y:Y),"")</f>
        <v/>
      </c>
      <c r="N120" s="131" t="str">
        <f>IFERROR(_xlfn.XLOOKUP($A120,'Raw Data'!$G:$G,'Raw Data'!Z:Z),"")</f>
        <v/>
      </c>
      <c r="O120" s="158" t="str">
        <f>IFERROR(1-SUMIF('Plant BD'!$H:$H,$A120,'Plant BD'!AC:AC)/$F120,"")</f>
        <v/>
      </c>
      <c r="P120" s="158"/>
      <c r="Q120" s="159"/>
      <c r="R120" s="158" t="str">
        <f>IFERROR(1-SUMIF('Grid BD'!$H:$H,$A120,'Grid BD'!AB:AB)/$F120,"")</f>
        <v/>
      </c>
      <c r="T120" s="159" t="str">
        <f>IFERROR(1-SUMIF(Tracker_BD!$H:$H,$A120,Tracker_BD!AI:AI)/$F120,"")</f>
        <v/>
      </c>
      <c r="U120" s="160" t="str">
        <f t="shared" si="5"/>
        <v/>
      </c>
      <c r="V120" s="160"/>
      <c r="W120" s="161" t="str">
        <f t="shared" si="6"/>
        <v/>
      </c>
      <c r="X120" s="156" t="str">
        <f>IFERROR(_xlfn.XLOOKUP($A120,'Raw Data'!$G:$G,'Raw Data'!$AB:$AB),"")</f>
        <v/>
      </c>
      <c r="Y120" s="156" t="str">
        <f>IFERROR(_xlfn.XLOOKUP($A120,'Raw Data'!$G:$G,'Raw Data'!AC:AC),"")</f>
        <v/>
      </c>
      <c r="Z120" s="156" t="str">
        <f>IFERROR(_xlfn.XLOOKUP($A120,'Raw Data'!$G:$G,'Raw Data'!AD:AD),"")</f>
        <v/>
      </c>
      <c r="AA120" s="156" t="str">
        <f>IFERROR(_xlfn.XLOOKUP($A120,'Raw Data'!$G:$G,'Raw Data'!AE:AE),"")</f>
        <v/>
      </c>
      <c r="AB120" s="156" t="str">
        <f>IFERROR(_xlfn.XLOOKUP($A120,'Raw Data'!$G:$G,'Raw Data'!$H:$H),"")</f>
        <v/>
      </c>
      <c r="AC120" s="162">
        <f>IFERROR(_xlfn.XLOOKUP($D120,'Modelling New'!$D:$D,'Modelling New'!$P:$P),"")</f>
        <v>4.6269332580645148</v>
      </c>
      <c r="AD120" s="156">
        <f>IFERROR(_xlfn.XLOOKUP($D120,'Modelling New'!$D:$D,'Modelling New'!$T:$T)*1000,"")</f>
        <v>40702.654142805535</v>
      </c>
      <c r="AE120" s="163">
        <f>IFERROR(_xlfn.XLOOKUP($D120,'Modelling New'!$D:$D,'Modelling New'!$O:$O),"")</f>
        <v>0.75058845994317613</v>
      </c>
      <c r="AF120" s="163">
        <f>IFERROR(_xlfn.XLOOKUP($D120,'Modelling New'!$D:$D,'Modelling New'!$W:$W),"")</f>
        <v>0.14470511285127108</v>
      </c>
      <c r="AG120" s="163">
        <f>IFERROR(_xlfn.XLOOKUP($D120,'Modelling New'!$D:$D,'Modelling New'!AE:AE),"")</f>
        <v>0.995</v>
      </c>
      <c r="AH120" s="163">
        <f>IFERROR(_xlfn.XLOOKUP($D120,'Modelling New'!$D:$D,'Modelling New'!AF:AF),"")</f>
        <v>0.98550000000000004</v>
      </c>
      <c r="AN120" s="164"/>
      <c r="AO120" s="161"/>
      <c r="AP120" s="161"/>
      <c r="AQ120" s="161"/>
      <c r="AR120" s="156">
        <f>IFERROR(_xlfn.XLOOKUP($D120,'Modelling New'!$D:$D,'Modelling New'!$N:$N),"")</f>
        <v>11.72</v>
      </c>
    </row>
    <row r="121" spans="1:44">
      <c r="A121" s="155">
        <f t="shared" si="7"/>
        <v>45864</v>
      </c>
      <c r="B121" s="156">
        <f>YEAR(Table13[[#This Row],[Date]])+IF(MONTH(Table13[[#This Row],[Date]])&gt;=4,1,0)</f>
        <v>2026</v>
      </c>
      <c r="C121" s="129">
        <f>YEAR(Table13[[#This Row],[Date]])</f>
        <v>2025</v>
      </c>
      <c r="D121" s="157">
        <f>Table13[[#This Row],[Date]]-DAY(Table13[[#This Row],[Date]])+1</f>
        <v>45839</v>
      </c>
      <c r="E121" s="129">
        <f t="shared" si="8"/>
        <v>31</v>
      </c>
      <c r="F121" s="130" t="str">
        <f>IFERROR(_xlfn.XLOOKUP($A121,'Raw Data'!$G:$G,'Raw Data'!$AH:$AH),"")</f>
        <v/>
      </c>
      <c r="G121" s="131" t="str">
        <f>IFERROR(_xlfn.XLOOKUP($A121,'Raw Data'!$G:$G,'Raw Data'!$S:$S)/1000,"")</f>
        <v/>
      </c>
      <c r="H121" s="131"/>
      <c r="I121" s="131" t="str">
        <f>IFERROR(_xlfn.XLOOKUP($A121,'Raw Data'!$G:$G,'Raw Data'!$AF:$AF)/1000,"")</f>
        <v/>
      </c>
      <c r="J121" s="131"/>
      <c r="K121" s="131" t="str">
        <f>IFERROR(_xlfn.XLOOKUP($A121,'Raw Data'!$G:$G,'Raw Data'!W:W),"")</f>
        <v/>
      </c>
      <c r="L121" s="131" t="str">
        <f>IFERROR(_xlfn.XLOOKUP($A121,'Raw Data'!$G:$G,'Raw Data'!X:X),"")</f>
        <v/>
      </c>
      <c r="M121" s="131" t="str">
        <f>IFERROR(_xlfn.XLOOKUP($A121,'Raw Data'!$G:$G,'Raw Data'!Y:Y),"")</f>
        <v/>
      </c>
      <c r="N121" s="131" t="str">
        <f>IFERROR(_xlfn.XLOOKUP($A121,'Raw Data'!$G:$G,'Raw Data'!Z:Z),"")</f>
        <v/>
      </c>
      <c r="O121" s="158" t="str">
        <f>IFERROR(1-SUMIF('Plant BD'!$H:$H,$A121,'Plant BD'!AC:AC)/$F121,"")</f>
        <v/>
      </c>
      <c r="P121" s="158"/>
      <c r="Q121" s="159"/>
      <c r="R121" s="158" t="str">
        <f>IFERROR(1-SUMIF('Grid BD'!$H:$H,$A121,'Grid BD'!AB:AB)/$F121,"")</f>
        <v/>
      </c>
      <c r="T121" s="159" t="str">
        <f>IFERROR(1-SUMIF(Tracker_BD!$H:$H,$A121,Tracker_BD!AI:AI)/$F121,"")</f>
        <v/>
      </c>
      <c r="U121" s="160" t="str">
        <f t="shared" si="5"/>
        <v/>
      </c>
      <c r="V121" s="160"/>
      <c r="W121" s="161" t="str">
        <f t="shared" si="6"/>
        <v/>
      </c>
      <c r="X121" s="156" t="str">
        <f>IFERROR(_xlfn.XLOOKUP($A121,'Raw Data'!$G:$G,'Raw Data'!$AB:$AB),"")</f>
        <v/>
      </c>
      <c r="Y121" s="156" t="str">
        <f>IFERROR(_xlfn.XLOOKUP($A121,'Raw Data'!$G:$G,'Raw Data'!AC:AC),"")</f>
        <v/>
      </c>
      <c r="Z121" s="156" t="str">
        <f>IFERROR(_xlfn.XLOOKUP($A121,'Raw Data'!$G:$G,'Raw Data'!AD:AD),"")</f>
        <v/>
      </c>
      <c r="AA121" s="156" t="str">
        <f>IFERROR(_xlfn.XLOOKUP($A121,'Raw Data'!$G:$G,'Raw Data'!AE:AE),"")</f>
        <v/>
      </c>
      <c r="AB121" s="156" t="str">
        <f>IFERROR(_xlfn.XLOOKUP($A121,'Raw Data'!$G:$G,'Raw Data'!$H:$H),"")</f>
        <v/>
      </c>
      <c r="AC121" s="162">
        <f>IFERROR(_xlfn.XLOOKUP($D121,'Modelling New'!$D:$D,'Modelling New'!$P:$P),"")</f>
        <v>4.6269332580645148</v>
      </c>
      <c r="AD121" s="156">
        <f>IFERROR(_xlfn.XLOOKUP($D121,'Modelling New'!$D:$D,'Modelling New'!$T:$T)*1000,"")</f>
        <v>40702.654142805535</v>
      </c>
      <c r="AE121" s="163">
        <f>IFERROR(_xlfn.XLOOKUP($D121,'Modelling New'!$D:$D,'Modelling New'!$O:$O),"")</f>
        <v>0.75058845994317613</v>
      </c>
      <c r="AF121" s="163">
        <f>IFERROR(_xlfn.XLOOKUP($D121,'Modelling New'!$D:$D,'Modelling New'!$W:$W),"")</f>
        <v>0.14470511285127108</v>
      </c>
      <c r="AG121" s="163">
        <f>IFERROR(_xlfn.XLOOKUP($D121,'Modelling New'!$D:$D,'Modelling New'!AE:AE),"")</f>
        <v>0.995</v>
      </c>
      <c r="AH121" s="163">
        <f>IFERROR(_xlfn.XLOOKUP($D121,'Modelling New'!$D:$D,'Modelling New'!AF:AF),"")</f>
        <v>0.98550000000000004</v>
      </c>
      <c r="AN121" s="164"/>
      <c r="AO121" s="161"/>
      <c r="AP121" s="161"/>
      <c r="AQ121" s="161"/>
      <c r="AR121" s="156">
        <f>IFERROR(_xlfn.XLOOKUP($D121,'Modelling New'!$D:$D,'Modelling New'!$N:$N),"")</f>
        <v>11.72</v>
      </c>
    </row>
    <row r="122" spans="1:44">
      <c r="A122" s="155">
        <f t="shared" si="7"/>
        <v>45865</v>
      </c>
      <c r="B122" s="156">
        <f>YEAR(Table13[[#This Row],[Date]])+IF(MONTH(Table13[[#This Row],[Date]])&gt;=4,1,0)</f>
        <v>2026</v>
      </c>
      <c r="C122" s="129">
        <f>YEAR(Table13[[#This Row],[Date]])</f>
        <v>2025</v>
      </c>
      <c r="D122" s="157">
        <f>Table13[[#This Row],[Date]]-DAY(Table13[[#This Row],[Date]])+1</f>
        <v>45839</v>
      </c>
      <c r="E122" s="129">
        <f t="shared" si="8"/>
        <v>31</v>
      </c>
      <c r="F122" s="130" t="str">
        <f>IFERROR(_xlfn.XLOOKUP($A122,'Raw Data'!$G:$G,'Raw Data'!$AH:$AH),"")</f>
        <v/>
      </c>
      <c r="G122" s="131" t="str">
        <f>IFERROR(_xlfn.XLOOKUP($A122,'Raw Data'!$G:$G,'Raw Data'!$S:$S)/1000,"")</f>
        <v/>
      </c>
      <c r="H122" s="131"/>
      <c r="I122" s="131" t="str">
        <f>IFERROR(_xlfn.XLOOKUP($A122,'Raw Data'!$G:$G,'Raw Data'!$AF:$AF)/1000,"")</f>
        <v/>
      </c>
      <c r="J122" s="131"/>
      <c r="K122" s="131" t="str">
        <f>IFERROR(_xlfn.XLOOKUP($A122,'Raw Data'!$G:$G,'Raw Data'!W:W),"")</f>
        <v/>
      </c>
      <c r="L122" s="131" t="str">
        <f>IFERROR(_xlfn.XLOOKUP($A122,'Raw Data'!$G:$G,'Raw Data'!X:X),"")</f>
        <v/>
      </c>
      <c r="M122" s="131" t="str">
        <f>IFERROR(_xlfn.XLOOKUP($A122,'Raw Data'!$G:$G,'Raw Data'!Y:Y),"")</f>
        <v/>
      </c>
      <c r="N122" s="131" t="str">
        <f>IFERROR(_xlfn.XLOOKUP($A122,'Raw Data'!$G:$G,'Raw Data'!Z:Z),"")</f>
        <v/>
      </c>
      <c r="O122" s="158" t="str">
        <f>IFERROR(1-SUMIF('Plant BD'!$H:$H,$A122,'Plant BD'!AC:AC)/$F122,"")</f>
        <v/>
      </c>
      <c r="P122" s="158"/>
      <c r="Q122" s="159"/>
      <c r="R122" s="158" t="str">
        <f>IFERROR(1-SUMIF('Grid BD'!$H:$H,$A122,'Grid BD'!AB:AB)/$F122,"")</f>
        <v/>
      </c>
      <c r="T122" s="159" t="str">
        <f>IFERROR(1-SUMIF(Tracker_BD!$H:$H,$A122,Tracker_BD!AI:AI)/$F122,"")</f>
        <v/>
      </c>
      <c r="U122" s="160" t="str">
        <f t="shared" si="5"/>
        <v/>
      </c>
      <c r="V122" s="160"/>
      <c r="W122" s="161" t="str">
        <f t="shared" si="6"/>
        <v/>
      </c>
      <c r="X122" s="156" t="str">
        <f>IFERROR(_xlfn.XLOOKUP($A122,'Raw Data'!$G:$G,'Raw Data'!$AB:$AB),"")</f>
        <v/>
      </c>
      <c r="Y122" s="156" t="str">
        <f>IFERROR(_xlfn.XLOOKUP($A122,'Raw Data'!$G:$G,'Raw Data'!AC:AC),"")</f>
        <v/>
      </c>
      <c r="Z122" s="156" t="str">
        <f>IFERROR(_xlfn.XLOOKUP($A122,'Raw Data'!$G:$G,'Raw Data'!AD:AD),"")</f>
        <v/>
      </c>
      <c r="AA122" s="156" t="str">
        <f>IFERROR(_xlfn.XLOOKUP($A122,'Raw Data'!$G:$G,'Raw Data'!AE:AE),"")</f>
        <v/>
      </c>
      <c r="AB122" s="156" t="str">
        <f>IFERROR(_xlfn.XLOOKUP($A122,'Raw Data'!$G:$G,'Raw Data'!$H:$H),"")</f>
        <v/>
      </c>
      <c r="AC122" s="162">
        <f>IFERROR(_xlfn.XLOOKUP($D122,'Modelling New'!$D:$D,'Modelling New'!$P:$P),"")</f>
        <v>4.6269332580645148</v>
      </c>
      <c r="AD122" s="156">
        <f>IFERROR(_xlfn.XLOOKUP($D122,'Modelling New'!$D:$D,'Modelling New'!$T:$T)*1000,"")</f>
        <v>40702.654142805535</v>
      </c>
      <c r="AE122" s="163">
        <f>IFERROR(_xlfn.XLOOKUP($D122,'Modelling New'!$D:$D,'Modelling New'!$O:$O),"")</f>
        <v>0.75058845994317613</v>
      </c>
      <c r="AF122" s="163">
        <f>IFERROR(_xlfn.XLOOKUP($D122,'Modelling New'!$D:$D,'Modelling New'!$W:$W),"")</f>
        <v>0.14470511285127108</v>
      </c>
      <c r="AG122" s="163">
        <f>IFERROR(_xlfn.XLOOKUP($D122,'Modelling New'!$D:$D,'Modelling New'!AE:AE),"")</f>
        <v>0.995</v>
      </c>
      <c r="AH122" s="163">
        <f>IFERROR(_xlfn.XLOOKUP($D122,'Modelling New'!$D:$D,'Modelling New'!AF:AF),"")</f>
        <v>0.98550000000000004</v>
      </c>
      <c r="AN122" s="164"/>
      <c r="AO122" s="161"/>
      <c r="AP122" s="161"/>
      <c r="AQ122" s="161"/>
      <c r="AR122" s="156">
        <f>IFERROR(_xlfn.XLOOKUP($D122,'Modelling New'!$D:$D,'Modelling New'!$N:$N),"")</f>
        <v>11.72</v>
      </c>
    </row>
    <row r="123" spans="1:44">
      <c r="A123" s="155">
        <f t="shared" si="7"/>
        <v>45866</v>
      </c>
      <c r="B123" s="156">
        <f>YEAR(Table13[[#This Row],[Date]])+IF(MONTH(Table13[[#This Row],[Date]])&gt;=4,1,0)</f>
        <v>2026</v>
      </c>
      <c r="C123" s="129">
        <f>YEAR(Table13[[#This Row],[Date]])</f>
        <v>2025</v>
      </c>
      <c r="D123" s="157">
        <f>Table13[[#This Row],[Date]]-DAY(Table13[[#This Row],[Date]])+1</f>
        <v>45839</v>
      </c>
      <c r="E123" s="129">
        <f t="shared" si="8"/>
        <v>31</v>
      </c>
      <c r="F123" s="130" t="str">
        <f>IFERROR(_xlfn.XLOOKUP($A123,'Raw Data'!$G:$G,'Raw Data'!$AH:$AH),"")</f>
        <v/>
      </c>
      <c r="G123" s="131" t="str">
        <f>IFERROR(_xlfn.XLOOKUP($A123,'Raw Data'!$G:$G,'Raw Data'!$S:$S)/1000,"")</f>
        <v/>
      </c>
      <c r="H123" s="131"/>
      <c r="I123" s="131" t="str">
        <f>IFERROR(_xlfn.XLOOKUP($A123,'Raw Data'!$G:$G,'Raw Data'!$AF:$AF)/1000,"")</f>
        <v/>
      </c>
      <c r="J123" s="131"/>
      <c r="K123" s="131" t="str">
        <f>IFERROR(_xlfn.XLOOKUP($A123,'Raw Data'!$G:$G,'Raw Data'!W:W),"")</f>
        <v/>
      </c>
      <c r="L123" s="131" t="str">
        <f>IFERROR(_xlfn.XLOOKUP($A123,'Raw Data'!$G:$G,'Raw Data'!X:X),"")</f>
        <v/>
      </c>
      <c r="M123" s="131" t="str">
        <f>IFERROR(_xlfn.XLOOKUP($A123,'Raw Data'!$G:$G,'Raw Data'!Y:Y),"")</f>
        <v/>
      </c>
      <c r="N123" s="131" t="str">
        <f>IFERROR(_xlfn.XLOOKUP($A123,'Raw Data'!$G:$G,'Raw Data'!Z:Z),"")</f>
        <v/>
      </c>
      <c r="O123" s="158" t="str">
        <f>IFERROR(1-SUMIF('Plant BD'!$H:$H,$A123,'Plant BD'!AC:AC)/$F123,"")</f>
        <v/>
      </c>
      <c r="P123" s="158"/>
      <c r="Q123" s="159"/>
      <c r="R123" s="158" t="str">
        <f>IFERROR(1-SUMIF('Grid BD'!$H:$H,$A123,'Grid BD'!AB:AB)/$F123,"")</f>
        <v/>
      </c>
      <c r="T123" s="159" t="str">
        <f>IFERROR(1-SUMIF(Tracker_BD!$H:$H,$A123,Tracker_BD!AI:AI)/$F123,"")</f>
        <v/>
      </c>
      <c r="U123" s="160" t="str">
        <f t="shared" si="5"/>
        <v/>
      </c>
      <c r="V123" s="160"/>
      <c r="W123" s="161" t="str">
        <f t="shared" si="6"/>
        <v/>
      </c>
      <c r="X123" s="156" t="str">
        <f>IFERROR(_xlfn.XLOOKUP($A123,'Raw Data'!$G:$G,'Raw Data'!$AB:$AB),"")</f>
        <v/>
      </c>
      <c r="Y123" s="156" t="str">
        <f>IFERROR(_xlfn.XLOOKUP($A123,'Raw Data'!$G:$G,'Raw Data'!AC:AC),"")</f>
        <v/>
      </c>
      <c r="Z123" s="156" t="str">
        <f>IFERROR(_xlfn.XLOOKUP($A123,'Raw Data'!$G:$G,'Raw Data'!AD:AD),"")</f>
        <v/>
      </c>
      <c r="AA123" s="156" t="str">
        <f>IFERROR(_xlfn.XLOOKUP($A123,'Raw Data'!$G:$G,'Raw Data'!AE:AE),"")</f>
        <v/>
      </c>
      <c r="AB123" s="156" t="str">
        <f>IFERROR(_xlfn.XLOOKUP($A123,'Raw Data'!$G:$G,'Raw Data'!$H:$H),"")</f>
        <v/>
      </c>
      <c r="AC123" s="162">
        <f>IFERROR(_xlfn.XLOOKUP($D123,'Modelling New'!$D:$D,'Modelling New'!$P:$P),"")</f>
        <v>4.6269332580645148</v>
      </c>
      <c r="AD123" s="156">
        <f>IFERROR(_xlfn.XLOOKUP($D123,'Modelling New'!$D:$D,'Modelling New'!$T:$T)*1000,"")</f>
        <v>40702.654142805535</v>
      </c>
      <c r="AE123" s="163">
        <f>IFERROR(_xlfn.XLOOKUP($D123,'Modelling New'!$D:$D,'Modelling New'!$O:$O),"")</f>
        <v>0.75058845994317613</v>
      </c>
      <c r="AF123" s="163">
        <f>IFERROR(_xlfn.XLOOKUP($D123,'Modelling New'!$D:$D,'Modelling New'!$W:$W),"")</f>
        <v>0.14470511285127108</v>
      </c>
      <c r="AG123" s="163">
        <f>IFERROR(_xlfn.XLOOKUP($D123,'Modelling New'!$D:$D,'Modelling New'!AE:AE),"")</f>
        <v>0.995</v>
      </c>
      <c r="AH123" s="163">
        <f>IFERROR(_xlfn.XLOOKUP($D123,'Modelling New'!$D:$D,'Modelling New'!AF:AF),"")</f>
        <v>0.98550000000000004</v>
      </c>
      <c r="AN123" s="164"/>
      <c r="AO123" s="161"/>
      <c r="AP123" s="161"/>
      <c r="AQ123" s="161"/>
      <c r="AR123" s="156">
        <f>IFERROR(_xlfn.XLOOKUP($D123,'Modelling New'!$D:$D,'Modelling New'!$N:$N),"")</f>
        <v>11.72</v>
      </c>
    </row>
    <row r="124" spans="1:44">
      <c r="A124" s="155">
        <f t="shared" si="7"/>
        <v>45867</v>
      </c>
      <c r="B124" s="156">
        <f>YEAR(Table13[[#This Row],[Date]])+IF(MONTH(Table13[[#This Row],[Date]])&gt;=4,1,0)</f>
        <v>2026</v>
      </c>
      <c r="C124" s="129">
        <f>YEAR(Table13[[#This Row],[Date]])</f>
        <v>2025</v>
      </c>
      <c r="D124" s="157">
        <f>Table13[[#This Row],[Date]]-DAY(Table13[[#This Row],[Date]])+1</f>
        <v>45839</v>
      </c>
      <c r="E124" s="129">
        <f t="shared" si="8"/>
        <v>31</v>
      </c>
      <c r="F124" s="130" t="str">
        <f>IFERROR(_xlfn.XLOOKUP($A124,'Raw Data'!$G:$G,'Raw Data'!$AH:$AH),"")</f>
        <v/>
      </c>
      <c r="G124" s="131" t="str">
        <f>IFERROR(_xlfn.XLOOKUP($A124,'Raw Data'!$G:$G,'Raw Data'!$S:$S)/1000,"")</f>
        <v/>
      </c>
      <c r="H124" s="131"/>
      <c r="I124" s="131" t="str">
        <f>IFERROR(_xlfn.XLOOKUP($A124,'Raw Data'!$G:$G,'Raw Data'!$AF:$AF)/1000,"")</f>
        <v/>
      </c>
      <c r="J124" s="131"/>
      <c r="K124" s="131" t="str">
        <f>IFERROR(_xlfn.XLOOKUP($A124,'Raw Data'!$G:$G,'Raw Data'!W:W),"")</f>
        <v/>
      </c>
      <c r="L124" s="131" t="str">
        <f>IFERROR(_xlfn.XLOOKUP($A124,'Raw Data'!$G:$G,'Raw Data'!X:X),"")</f>
        <v/>
      </c>
      <c r="M124" s="131" t="str">
        <f>IFERROR(_xlfn.XLOOKUP($A124,'Raw Data'!$G:$G,'Raw Data'!Y:Y),"")</f>
        <v/>
      </c>
      <c r="N124" s="131" t="str">
        <f>IFERROR(_xlfn.XLOOKUP($A124,'Raw Data'!$G:$G,'Raw Data'!Z:Z),"")</f>
        <v/>
      </c>
      <c r="O124" s="158" t="str">
        <f>IFERROR(1-SUMIF('Plant BD'!$H:$H,$A124,'Plant BD'!AC:AC)/$F124,"")</f>
        <v/>
      </c>
      <c r="P124" s="158"/>
      <c r="Q124" s="159"/>
      <c r="R124" s="158" t="str">
        <f>IFERROR(1-SUMIF('Grid BD'!$H:$H,$A124,'Grid BD'!AB:AB)/$F124,"")</f>
        <v/>
      </c>
      <c r="T124" s="159" t="str">
        <f>IFERROR(1-SUMIF(Tracker_BD!$H:$H,$A124,Tracker_BD!AI:AI)/$F124,"")</f>
        <v/>
      </c>
      <c r="U124" s="160" t="str">
        <f t="shared" si="5"/>
        <v/>
      </c>
      <c r="V124" s="160"/>
      <c r="W124" s="161" t="str">
        <f t="shared" si="6"/>
        <v/>
      </c>
      <c r="X124" s="156" t="str">
        <f>IFERROR(_xlfn.XLOOKUP($A124,'Raw Data'!$G:$G,'Raw Data'!$AB:$AB),"")</f>
        <v/>
      </c>
      <c r="Y124" s="156" t="str">
        <f>IFERROR(_xlfn.XLOOKUP($A124,'Raw Data'!$G:$G,'Raw Data'!AC:AC),"")</f>
        <v/>
      </c>
      <c r="Z124" s="156" t="str">
        <f>IFERROR(_xlfn.XLOOKUP($A124,'Raw Data'!$G:$G,'Raw Data'!AD:AD),"")</f>
        <v/>
      </c>
      <c r="AA124" s="156" t="str">
        <f>IFERROR(_xlfn.XLOOKUP($A124,'Raw Data'!$G:$G,'Raw Data'!AE:AE),"")</f>
        <v/>
      </c>
      <c r="AB124" s="156" t="str">
        <f>IFERROR(_xlfn.XLOOKUP($A124,'Raw Data'!$G:$G,'Raw Data'!$H:$H),"")</f>
        <v/>
      </c>
      <c r="AC124" s="162">
        <f>IFERROR(_xlfn.XLOOKUP($D124,'Modelling New'!$D:$D,'Modelling New'!$P:$P),"")</f>
        <v>4.6269332580645148</v>
      </c>
      <c r="AD124" s="156">
        <f>IFERROR(_xlfn.XLOOKUP($D124,'Modelling New'!$D:$D,'Modelling New'!$T:$T)*1000,"")</f>
        <v>40702.654142805535</v>
      </c>
      <c r="AE124" s="163">
        <f>IFERROR(_xlfn.XLOOKUP($D124,'Modelling New'!$D:$D,'Modelling New'!$O:$O),"")</f>
        <v>0.75058845994317613</v>
      </c>
      <c r="AF124" s="163">
        <f>IFERROR(_xlfn.XLOOKUP($D124,'Modelling New'!$D:$D,'Modelling New'!$W:$W),"")</f>
        <v>0.14470511285127108</v>
      </c>
      <c r="AG124" s="163">
        <f>IFERROR(_xlfn.XLOOKUP($D124,'Modelling New'!$D:$D,'Modelling New'!AE:AE),"")</f>
        <v>0.995</v>
      </c>
      <c r="AH124" s="163">
        <f>IFERROR(_xlfn.XLOOKUP($D124,'Modelling New'!$D:$D,'Modelling New'!AF:AF),"")</f>
        <v>0.98550000000000004</v>
      </c>
      <c r="AN124" s="164"/>
      <c r="AO124" s="161"/>
      <c r="AP124" s="161"/>
      <c r="AQ124" s="161"/>
      <c r="AR124" s="156">
        <f>IFERROR(_xlfn.XLOOKUP($D124,'Modelling New'!$D:$D,'Modelling New'!$N:$N),"")</f>
        <v>11.72</v>
      </c>
    </row>
    <row r="125" spans="1:44">
      <c r="A125" s="155">
        <f t="shared" si="7"/>
        <v>45868</v>
      </c>
      <c r="B125" s="156">
        <f>YEAR(Table13[[#This Row],[Date]])+IF(MONTH(Table13[[#This Row],[Date]])&gt;=4,1,0)</f>
        <v>2026</v>
      </c>
      <c r="C125" s="129">
        <f>YEAR(Table13[[#This Row],[Date]])</f>
        <v>2025</v>
      </c>
      <c r="D125" s="157">
        <f>Table13[[#This Row],[Date]]-DAY(Table13[[#This Row],[Date]])+1</f>
        <v>45839</v>
      </c>
      <c r="E125" s="129">
        <f t="shared" si="8"/>
        <v>31</v>
      </c>
      <c r="F125" s="130" t="str">
        <f>IFERROR(_xlfn.XLOOKUP($A125,'Raw Data'!$G:$G,'Raw Data'!$AH:$AH),"")</f>
        <v/>
      </c>
      <c r="G125" s="131" t="str">
        <f>IFERROR(_xlfn.XLOOKUP($A125,'Raw Data'!$G:$G,'Raw Data'!$S:$S)/1000,"")</f>
        <v/>
      </c>
      <c r="H125" s="131"/>
      <c r="I125" s="131" t="str">
        <f>IFERROR(_xlfn.XLOOKUP($A125,'Raw Data'!$G:$G,'Raw Data'!$AF:$AF)/1000,"")</f>
        <v/>
      </c>
      <c r="J125" s="131"/>
      <c r="K125" s="131" t="str">
        <f>IFERROR(_xlfn.XLOOKUP($A125,'Raw Data'!$G:$G,'Raw Data'!W:W),"")</f>
        <v/>
      </c>
      <c r="L125" s="131" t="str">
        <f>IFERROR(_xlfn.XLOOKUP($A125,'Raw Data'!$G:$G,'Raw Data'!X:X),"")</f>
        <v/>
      </c>
      <c r="M125" s="131" t="str">
        <f>IFERROR(_xlfn.XLOOKUP($A125,'Raw Data'!$G:$G,'Raw Data'!Y:Y),"")</f>
        <v/>
      </c>
      <c r="N125" s="131" t="str">
        <f>IFERROR(_xlfn.XLOOKUP($A125,'Raw Data'!$G:$G,'Raw Data'!Z:Z),"")</f>
        <v/>
      </c>
      <c r="O125" s="158" t="str">
        <f>IFERROR(1-SUMIF('Plant BD'!$H:$H,$A125,'Plant BD'!AC:AC)/$F125,"")</f>
        <v/>
      </c>
      <c r="P125" s="158"/>
      <c r="Q125" s="159"/>
      <c r="R125" s="158" t="str">
        <f>IFERROR(1-SUMIF('Grid BD'!$H:$H,$A125,'Grid BD'!AB:AB)/$F125,"")</f>
        <v/>
      </c>
      <c r="T125" s="159" t="str">
        <f>IFERROR(1-SUMIF(Tracker_BD!$H:$H,$A125,Tracker_BD!AI:AI)/$F125,"")</f>
        <v/>
      </c>
      <c r="U125" s="160" t="str">
        <f t="shared" ref="U125:U188" si="9">IFERROR(AA125/I125/AB125/1000,"")</f>
        <v/>
      </c>
      <c r="V125" s="160"/>
      <c r="W125" s="161" t="str">
        <f t="shared" ref="W125:W188" si="10">IFERROR(AA125/(24*AR125*1000),"")</f>
        <v/>
      </c>
      <c r="X125" s="156" t="str">
        <f>IFERROR(_xlfn.XLOOKUP($A125,'Raw Data'!$G:$G,'Raw Data'!$AB:$AB),"")</f>
        <v/>
      </c>
      <c r="Y125" s="156" t="str">
        <f>IFERROR(_xlfn.XLOOKUP($A125,'Raw Data'!$G:$G,'Raw Data'!AC:AC),"")</f>
        <v/>
      </c>
      <c r="Z125" s="156" t="str">
        <f>IFERROR(_xlfn.XLOOKUP($A125,'Raw Data'!$G:$G,'Raw Data'!AD:AD),"")</f>
        <v/>
      </c>
      <c r="AA125" s="156" t="str">
        <f>IFERROR(_xlfn.XLOOKUP($A125,'Raw Data'!$G:$G,'Raw Data'!AE:AE),"")</f>
        <v/>
      </c>
      <c r="AB125" s="156" t="str">
        <f>IFERROR(_xlfn.XLOOKUP($A125,'Raw Data'!$G:$G,'Raw Data'!$H:$H),"")</f>
        <v/>
      </c>
      <c r="AC125" s="162">
        <f>IFERROR(_xlfn.XLOOKUP($D125,'Modelling New'!$D:$D,'Modelling New'!$P:$P),"")</f>
        <v>4.6269332580645148</v>
      </c>
      <c r="AD125" s="156">
        <f>IFERROR(_xlfn.XLOOKUP($D125,'Modelling New'!$D:$D,'Modelling New'!$T:$T)*1000,"")</f>
        <v>40702.654142805535</v>
      </c>
      <c r="AE125" s="163">
        <f>IFERROR(_xlfn.XLOOKUP($D125,'Modelling New'!$D:$D,'Modelling New'!$O:$O),"")</f>
        <v>0.75058845994317613</v>
      </c>
      <c r="AF125" s="163">
        <f>IFERROR(_xlfn.XLOOKUP($D125,'Modelling New'!$D:$D,'Modelling New'!$W:$W),"")</f>
        <v>0.14470511285127108</v>
      </c>
      <c r="AG125" s="163">
        <f>IFERROR(_xlfn.XLOOKUP($D125,'Modelling New'!$D:$D,'Modelling New'!AE:AE),"")</f>
        <v>0.995</v>
      </c>
      <c r="AH125" s="163">
        <f>IFERROR(_xlfn.XLOOKUP($D125,'Modelling New'!$D:$D,'Modelling New'!AF:AF),"")</f>
        <v>0.98550000000000004</v>
      </c>
      <c r="AN125" s="164"/>
      <c r="AO125" s="161"/>
      <c r="AP125" s="161"/>
      <c r="AQ125" s="161"/>
      <c r="AR125" s="156">
        <f>IFERROR(_xlfn.XLOOKUP($D125,'Modelling New'!$D:$D,'Modelling New'!$N:$N),"")</f>
        <v>11.72</v>
      </c>
    </row>
    <row r="126" spans="1:44">
      <c r="A126" s="155">
        <f t="shared" si="7"/>
        <v>45869</v>
      </c>
      <c r="B126" s="156">
        <f>YEAR(Table13[[#This Row],[Date]])+IF(MONTH(Table13[[#This Row],[Date]])&gt;=4,1,0)</f>
        <v>2026</v>
      </c>
      <c r="C126" s="129">
        <f>YEAR(Table13[[#This Row],[Date]])</f>
        <v>2025</v>
      </c>
      <c r="D126" s="157">
        <f>Table13[[#This Row],[Date]]-DAY(Table13[[#This Row],[Date]])+1</f>
        <v>45839</v>
      </c>
      <c r="E126" s="129">
        <f t="shared" si="8"/>
        <v>31</v>
      </c>
      <c r="F126" s="130" t="str">
        <f>IFERROR(_xlfn.XLOOKUP($A126,'Raw Data'!$G:$G,'Raw Data'!$AH:$AH),"")</f>
        <v/>
      </c>
      <c r="G126" s="131" t="str">
        <f>IFERROR(_xlfn.XLOOKUP($A126,'Raw Data'!$G:$G,'Raw Data'!$S:$S)/1000,"")</f>
        <v/>
      </c>
      <c r="H126" s="131"/>
      <c r="I126" s="131" t="str">
        <f>IFERROR(_xlfn.XLOOKUP($A126,'Raw Data'!$G:$G,'Raw Data'!$AF:$AF)/1000,"")</f>
        <v/>
      </c>
      <c r="J126" s="131"/>
      <c r="K126" s="131" t="str">
        <f>IFERROR(_xlfn.XLOOKUP($A126,'Raw Data'!$G:$G,'Raw Data'!W:W),"")</f>
        <v/>
      </c>
      <c r="L126" s="131" t="str">
        <f>IFERROR(_xlfn.XLOOKUP($A126,'Raw Data'!$G:$G,'Raw Data'!X:X),"")</f>
        <v/>
      </c>
      <c r="M126" s="131" t="str">
        <f>IFERROR(_xlfn.XLOOKUP($A126,'Raw Data'!$G:$G,'Raw Data'!Y:Y),"")</f>
        <v/>
      </c>
      <c r="N126" s="131" t="str">
        <f>IFERROR(_xlfn.XLOOKUP($A126,'Raw Data'!$G:$G,'Raw Data'!Z:Z),"")</f>
        <v/>
      </c>
      <c r="O126" s="158" t="str">
        <f>IFERROR(1-SUMIF('Plant BD'!$H:$H,$A126,'Plant BD'!AC:AC)/$F126,"")</f>
        <v/>
      </c>
      <c r="P126" s="158"/>
      <c r="Q126" s="159"/>
      <c r="R126" s="158" t="str">
        <f>IFERROR(1-SUMIF('Grid BD'!$H:$H,$A126,'Grid BD'!AB:AB)/$F126,"")</f>
        <v/>
      </c>
      <c r="T126" s="159" t="str">
        <f>IFERROR(1-SUMIF(Tracker_BD!$H:$H,$A126,Tracker_BD!AI:AI)/$F126,"")</f>
        <v/>
      </c>
      <c r="U126" s="160" t="str">
        <f t="shared" si="9"/>
        <v/>
      </c>
      <c r="V126" s="160"/>
      <c r="W126" s="161" t="str">
        <f t="shared" si="10"/>
        <v/>
      </c>
      <c r="X126" s="156" t="str">
        <f>IFERROR(_xlfn.XLOOKUP($A126,'Raw Data'!$G:$G,'Raw Data'!$AB:$AB),"")</f>
        <v/>
      </c>
      <c r="Y126" s="156" t="str">
        <f>IFERROR(_xlfn.XLOOKUP($A126,'Raw Data'!$G:$G,'Raw Data'!AC:AC),"")</f>
        <v/>
      </c>
      <c r="Z126" s="156" t="str">
        <f>IFERROR(_xlfn.XLOOKUP($A126,'Raw Data'!$G:$G,'Raw Data'!AD:AD),"")</f>
        <v/>
      </c>
      <c r="AA126" s="156" t="str">
        <f>IFERROR(_xlfn.XLOOKUP($A126,'Raw Data'!$G:$G,'Raw Data'!AE:AE),"")</f>
        <v/>
      </c>
      <c r="AB126" s="156" t="str">
        <f>IFERROR(_xlfn.XLOOKUP($A126,'Raw Data'!$G:$G,'Raw Data'!$H:$H),"")</f>
        <v/>
      </c>
      <c r="AC126" s="162">
        <f>IFERROR(_xlfn.XLOOKUP($D126,'Modelling New'!$D:$D,'Modelling New'!$P:$P),"")</f>
        <v>4.6269332580645148</v>
      </c>
      <c r="AD126" s="156">
        <f>IFERROR(_xlfn.XLOOKUP($D126,'Modelling New'!$D:$D,'Modelling New'!$T:$T)*1000,"")</f>
        <v>40702.654142805535</v>
      </c>
      <c r="AE126" s="163">
        <f>IFERROR(_xlfn.XLOOKUP($D126,'Modelling New'!$D:$D,'Modelling New'!$O:$O),"")</f>
        <v>0.75058845994317613</v>
      </c>
      <c r="AF126" s="163">
        <f>IFERROR(_xlfn.XLOOKUP($D126,'Modelling New'!$D:$D,'Modelling New'!$W:$W),"")</f>
        <v>0.14470511285127108</v>
      </c>
      <c r="AG126" s="163">
        <f>IFERROR(_xlfn.XLOOKUP($D126,'Modelling New'!$D:$D,'Modelling New'!AE:AE),"")</f>
        <v>0.995</v>
      </c>
      <c r="AH126" s="163">
        <f>IFERROR(_xlfn.XLOOKUP($D126,'Modelling New'!$D:$D,'Modelling New'!AF:AF),"")</f>
        <v>0.98550000000000004</v>
      </c>
      <c r="AN126" s="164"/>
      <c r="AO126" s="161"/>
      <c r="AP126" s="161"/>
      <c r="AQ126" s="161"/>
      <c r="AR126" s="156">
        <f>IFERROR(_xlfn.XLOOKUP($D126,'Modelling New'!$D:$D,'Modelling New'!$N:$N),"")</f>
        <v>11.72</v>
      </c>
    </row>
    <row r="127" spans="1:44">
      <c r="A127" s="155">
        <f t="shared" ref="A127:A190" si="11">A126+1</f>
        <v>45870</v>
      </c>
      <c r="B127" s="156">
        <f>YEAR(Table13[[#This Row],[Date]])+IF(MONTH(Table13[[#This Row],[Date]])&gt;=4,1,0)</f>
        <v>2026</v>
      </c>
      <c r="C127" s="129">
        <f>YEAR(Table13[[#This Row],[Date]])</f>
        <v>2025</v>
      </c>
      <c r="D127" s="157">
        <f>Table13[[#This Row],[Date]]-DAY(Table13[[#This Row],[Date]])+1</f>
        <v>45870</v>
      </c>
      <c r="E127" s="129">
        <f t="shared" si="8"/>
        <v>31</v>
      </c>
      <c r="F127" s="130" t="str">
        <f>IFERROR(_xlfn.XLOOKUP($A127,'Raw Data'!$G:$G,'Raw Data'!$AH:$AH),"")</f>
        <v/>
      </c>
      <c r="G127" s="131" t="str">
        <f>IFERROR(_xlfn.XLOOKUP($A127,'Raw Data'!$G:$G,'Raw Data'!$S:$S)/1000,"")</f>
        <v/>
      </c>
      <c r="H127" s="131"/>
      <c r="I127" s="131" t="str">
        <f>IFERROR(_xlfn.XLOOKUP($A127,'Raw Data'!$G:$G,'Raw Data'!$AF:$AF)/1000,"")</f>
        <v/>
      </c>
      <c r="J127" s="131"/>
      <c r="K127" s="131" t="str">
        <f>IFERROR(_xlfn.XLOOKUP($A127,'Raw Data'!$G:$G,'Raw Data'!W:W),"")</f>
        <v/>
      </c>
      <c r="L127" s="131" t="str">
        <f>IFERROR(_xlfn.XLOOKUP($A127,'Raw Data'!$G:$G,'Raw Data'!X:X),"")</f>
        <v/>
      </c>
      <c r="M127" s="131" t="str">
        <f>IFERROR(_xlfn.XLOOKUP($A127,'Raw Data'!$G:$G,'Raw Data'!Y:Y),"")</f>
        <v/>
      </c>
      <c r="N127" s="131" t="str">
        <f>IFERROR(_xlfn.XLOOKUP($A127,'Raw Data'!$G:$G,'Raw Data'!Z:Z),"")</f>
        <v/>
      </c>
      <c r="O127" s="158" t="str">
        <f>IFERROR(1-SUMIF('Plant BD'!$H:$H,$A127,'Plant BD'!AC:AC)/$F127,"")</f>
        <v/>
      </c>
      <c r="P127" s="158"/>
      <c r="Q127" s="159"/>
      <c r="R127" s="158" t="str">
        <f>IFERROR(1-SUMIF('Grid BD'!$H:$H,$A127,'Grid BD'!AB:AB)/$F127,"")</f>
        <v/>
      </c>
      <c r="T127" s="159" t="str">
        <f>IFERROR(1-SUMIF(Tracker_BD!$H:$H,$A127,Tracker_BD!AI:AI)/$F127,"")</f>
        <v/>
      </c>
      <c r="U127" s="160" t="str">
        <f t="shared" si="9"/>
        <v/>
      </c>
      <c r="V127" s="160"/>
      <c r="W127" s="161" t="str">
        <f t="shared" si="10"/>
        <v/>
      </c>
      <c r="X127" s="156" t="str">
        <f>IFERROR(_xlfn.XLOOKUP($A127,'Raw Data'!$G:$G,'Raw Data'!$AB:$AB),"")</f>
        <v/>
      </c>
      <c r="Y127" s="156" t="str">
        <f>IFERROR(_xlfn.XLOOKUP($A127,'Raw Data'!$G:$G,'Raw Data'!AC:AC),"")</f>
        <v/>
      </c>
      <c r="Z127" s="156" t="str">
        <f>IFERROR(_xlfn.XLOOKUP($A127,'Raw Data'!$G:$G,'Raw Data'!AD:AD),"")</f>
        <v/>
      </c>
      <c r="AA127" s="156" t="str">
        <f>IFERROR(_xlfn.XLOOKUP($A127,'Raw Data'!$G:$G,'Raw Data'!AE:AE),"")</f>
        <v/>
      </c>
      <c r="AB127" s="156" t="str">
        <f>IFERROR(_xlfn.XLOOKUP($A127,'Raw Data'!$G:$G,'Raw Data'!$H:$H),"")</f>
        <v/>
      </c>
      <c r="AC127" s="162">
        <f>IFERROR(_xlfn.XLOOKUP($D127,'Modelling New'!$D:$D,'Modelling New'!$P:$P),"")</f>
        <v>4.7713784612903236</v>
      </c>
      <c r="AD127" s="156">
        <f>IFERROR(_xlfn.XLOOKUP($D127,'Modelling New'!$D:$D,'Modelling New'!$T:$T)*1000,"")</f>
        <v>42082.405130697269</v>
      </c>
      <c r="AE127" s="163">
        <f>IFERROR(_xlfn.XLOOKUP($D127,'Modelling New'!$D:$D,'Modelling New'!$O:$O),"")</f>
        <v>0.75253911025234577</v>
      </c>
      <c r="AF127" s="163">
        <f>IFERROR(_xlfn.XLOOKUP($D127,'Modelling New'!$D:$D,'Modelling New'!$W:$W),"")</f>
        <v>0.1496103709140261</v>
      </c>
      <c r="AG127" s="163">
        <f>IFERROR(_xlfn.XLOOKUP($D127,'Modelling New'!$D:$D,'Modelling New'!AE:AE),"")</f>
        <v>0.995</v>
      </c>
      <c r="AH127" s="163">
        <f>IFERROR(_xlfn.XLOOKUP($D127,'Modelling New'!$D:$D,'Modelling New'!AF:AF),"")</f>
        <v>0.98550000000000004</v>
      </c>
      <c r="AN127" s="164"/>
      <c r="AO127" s="161"/>
      <c r="AP127" s="161"/>
      <c r="AQ127" s="161"/>
      <c r="AR127" s="156">
        <f>IFERROR(_xlfn.XLOOKUP($D127,'Modelling New'!$D:$D,'Modelling New'!$N:$N),"")</f>
        <v>11.72</v>
      </c>
    </row>
    <row r="128" spans="1:44">
      <c r="A128" s="155">
        <f t="shared" si="11"/>
        <v>45871</v>
      </c>
      <c r="B128" s="156">
        <f>YEAR(Table13[[#This Row],[Date]])+IF(MONTH(Table13[[#This Row],[Date]])&gt;=4,1,0)</f>
        <v>2026</v>
      </c>
      <c r="C128" s="129">
        <f>YEAR(Table13[[#This Row],[Date]])</f>
        <v>2025</v>
      </c>
      <c r="D128" s="157">
        <f>Table13[[#This Row],[Date]]-DAY(Table13[[#This Row],[Date]])+1</f>
        <v>45870</v>
      </c>
      <c r="E128" s="129">
        <f t="shared" si="8"/>
        <v>31</v>
      </c>
      <c r="F128" s="130" t="str">
        <f>IFERROR(_xlfn.XLOOKUP($A128,'Raw Data'!$G:$G,'Raw Data'!$AH:$AH),"")</f>
        <v/>
      </c>
      <c r="G128" s="131" t="str">
        <f>IFERROR(_xlfn.XLOOKUP($A128,'Raw Data'!$G:$G,'Raw Data'!$S:$S)/1000,"")</f>
        <v/>
      </c>
      <c r="H128" s="131"/>
      <c r="I128" s="131" t="str">
        <f>IFERROR(_xlfn.XLOOKUP($A128,'Raw Data'!$G:$G,'Raw Data'!$AF:$AF)/1000,"")</f>
        <v/>
      </c>
      <c r="J128" s="131"/>
      <c r="K128" s="131" t="str">
        <f>IFERROR(_xlfn.XLOOKUP($A128,'Raw Data'!$G:$G,'Raw Data'!W:W),"")</f>
        <v/>
      </c>
      <c r="L128" s="131" t="str">
        <f>IFERROR(_xlfn.XLOOKUP($A128,'Raw Data'!$G:$G,'Raw Data'!X:X),"")</f>
        <v/>
      </c>
      <c r="M128" s="131" t="str">
        <f>IFERROR(_xlfn.XLOOKUP($A128,'Raw Data'!$G:$G,'Raw Data'!Y:Y),"")</f>
        <v/>
      </c>
      <c r="N128" s="131" t="str">
        <f>IFERROR(_xlfn.XLOOKUP($A128,'Raw Data'!$G:$G,'Raw Data'!Z:Z),"")</f>
        <v/>
      </c>
      <c r="O128" s="158" t="str">
        <f>IFERROR(1-SUMIF('Plant BD'!$H:$H,$A128,'Plant BD'!AC:AC)/$F128,"")</f>
        <v/>
      </c>
      <c r="P128" s="158"/>
      <c r="Q128" s="159"/>
      <c r="R128" s="158" t="str">
        <f>IFERROR(1-SUMIF('Grid BD'!$H:$H,$A128,'Grid BD'!AB:AB)/$F128,"")</f>
        <v/>
      </c>
      <c r="T128" s="159" t="str">
        <f>IFERROR(1-SUMIF(Tracker_BD!$H:$H,$A128,Tracker_BD!AI:AI)/$F128,"")</f>
        <v/>
      </c>
      <c r="U128" s="160" t="str">
        <f t="shared" si="9"/>
        <v/>
      </c>
      <c r="V128" s="160"/>
      <c r="W128" s="161" t="str">
        <f t="shared" si="10"/>
        <v/>
      </c>
      <c r="X128" s="156" t="str">
        <f>IFERROR(_xlfn.XLOOKUP($A128,'Raw Data'!$G:$G,'Raw Data'!$AB:$AB),"")</f>
        <v/>
      </c>
      <c r="Y128" s="156" t="str">
        <f>IFERROR(_xlfn.XLOOKUP($A128,'Raw Data'!$G:$G,'Raw Data'!AC:AC),"")</f>
        <v/>
      </c>
      <c r="Z128" s="156" t="str">
        <f>IFERROR(_xlfn.XLOOKUP($A128,'Raw Data'!$G:$G,'Raw Data'!AD:AD),"")</f>
        <v/>
      </c>
      <c r="AA128" s="156" t="str">
        <f>IFERROR(_xlfn.XLOOKUP($A128,'Raw Data'!$G:$G,'Raw Data'!AE:AE),"")</f>
        <v/>
      </c>
      <c r="AB128" s="156" t="str">
        <f>IFERROR(_xlfn.XLOOKUP($A128,'Raw Data'!$G:$G,'Raw Data'!$H:$H),"")</f>
        <v/>
      </c>
      <c r="AC128" s="162">
        <f>IFERROR(_xlfn.XLOOKUP($D128,'Modelling New'!$D:$D,'Modelling New'!$P:$P),"")</f>
        <v>4.7713784612903236</v>
      </c>
      <c r="AD128" s="156">
        <f>IFERROR(_xlfn.XLOOKUP($D128,'Modelling New'!$D:$D,'Modelling New'!$T:$T)*1000,"")</f>
        <v>42082.405130697269</v>
      </c>
      <c r="AE128" s="163">
        <f>IFERROR(_xlfn.XLOOKUP($D128,'Modelling New'!$D:$D,'Modelling New'!$O:$O),"")</f>
        <v>0.75253911025234577</v>
      </c>
      <c r="AF128" s="163">
        <f>IFERROR(_xlfn.XLOOKUP($D128,'Modelling New'!$D:$D,'Modelling New'!$W:$W),"")</f>
        <v>0.1496103709140261</v>
      </c>
      <c r="AG128" s="163">
        <f>IFERROR(_xlfn.XLOOKUP($D128,'Modelling New'!$D:$D,'Modelling New'!AE:AE),"")</f>
        <v>0.995</v>
      </c>
      <c r="AH128" s="163">
        <f>IFERROR(_xlfn.XLOOKUP($D128,'Modelling New'!$D:$D,'Modelling New'!AF:AF),"")</f>
        <v>0.98550000000000004</v>
      </c>
      <c r="AN128" s="164"/>
      <c r="AO128" s="161"/>
      <c r="AP128" s="161"/>
      <c r="AQ128" s="161"/>
      <c r="AR128" s="156">
        <f>IFERROR(_xlfn.XLOOKUP($D128,'Modelling New'!$D:$D,'Modelling New'!$N:$N),"")</f>
        <v>11.72</v>
      </c>
    </row>
    <row r="129" spans="1:44">
      <c r="A129" s="155">
        <f t="shared" si="11"/>
        <v>45872</v>
      </c>
      <c r="B129" s="156">
        <f>YEAR(Table13[[#This Row],[Date]])+IF(MONTH(Table13[[#This Row],[Date]])&gt;=4,1,0)</f>
        <v>2026</v>
      </c>
      <c r="C129" s="129">
        <f>YEAR(Table13[[#This Row],[Date]])</f>
        <v>2025</v>
      </c>
      <c r="D129" s="157">
        <f>Table13[[#This Row],[Date]]-DAY(Table13[[#This Row],[Date]])+1</f>
        <v>45870</v>
      </c>
      <c r="E129" s="129">
        <f t="shared" si="8"/>
        <v>31</v>
      </c>
      <c r="F129" s="130" t="str">
        <f>IFERROR(_xlfn.XLOOKUP($A129,'Raw Data'!$G:$G,'Raw Data'!$AH:$AH),"")</f>
        <v/>
      </c>
      <c r="G129" s="131" t="str">
        <f>IFERROR(_xlfn.XLOOKUP($A129,'Raw Data'!$G:$G,'Raw Data'!$S:$S)/1000,"")</f>
        <v/>
      </c>
      <c r="H129" s="131"/>
      <c r="I129" s="131" t="str">
        <f>IFERROR(_xlfn.XLOOKUP($A129,'Raw Data'!$G:$G,'Raw Data'!$AF:$AF)/1000,"")</f>
        <v/>
      </c>
      <c r="J129" s="131"/>
      <c r="K129" s="131" t="str">
        <f>IFERROR(_xlfn.XLOOKUP($A129,'Raw Data'!$G:$G,'Raw Data'!W:W),"")</f>
        <v/>
      </c>
      <c r="L129" s="131" t="str">
        <f>IFERROR(_xlfn.XLOOKUP($A129,'Raw Data'!$G:$G,'Raw Data'!X:X),"")</f>
        <v/>
      </c>
      <c r="M129" s="131" t="str">
        <f>IFERROR(_xlfn.XLOOKUP($A129,'Raw Data'!$G:$G,'Raw Data'!Y:Y),"")</f>
        <v/>
      </c>
      <c r="N129" s="131" t="str">
        <f>IFERROR(_xlfn.XLOOKUP($A129,'Raw Data'!$G:$G,'Raw Data'!Z:Z),"")</f>
        <v/>
      </c>
      <c r="O129" s="158" t="str">
        <f>IFERROR(1-SUMIF('Plant BD'!$H:$H,$A129,'Plant BD'!AC:AC)/$F129,"")</f>
        <v/>
      </c>
      <c r="P129" s="158"/>
      <c r="Q129" s="159"/>
      <c r="R129" s="158" t="str">
        <f>IFERROR(1-SUMIF('Grid BD'!$H:$H,$A129,'Grid BD'!AB:AB)/$F129,"")</f>
        <v/>
      </c>
      <c r="T129" s="159" t="str">
        <f>IFERROR(1-SUMIF(Tracker_BD!$H:$H,$A129,Tracker_BD!AI:AI)/$F129,"")</f>
        <v/>
      </c>
      <c r="U129" s="160" t="str">
        <f t="shared" si="9"/>
        <v/>
      </c>
      <c r="V129" s="160"/>
      <c r="W129" s="161" t="str">
        <f t="shared" si="10"/>
        <v/>
      </c>
      <c r="X129" s="156" t="str">
        <f>IFERROR(_xlfn.XLOOKUP($A129,'Raw Data'!$G:$G,'Raw Data'!$AB:$AB),"")</f>
        <v/>
      </c>
      <c r="Y129" s="156" t="str">
        <f>IFERROR(_xlfn.XLOOKUP($A129,'Raw Data'!$G:$G,'Raw Data'!AC:AC),"")</f>
        <v/>
      </c>
      <c r="Z129" s="156" t="str">
        <f>IFERROR(_xlfn.XLOOKUP($A129,'Raw Data'!$G:$G,'Raw Data'!AD:AD),"")</f>
        <v/>
      </c>
      <c r="AA129" s="156" t="str">
        <f>IFERROR(_xlfn.XLOOKUP($A129,'Raw Data'!$G:$G,'Raw Data'!AE:AE),"")</f>
        <v/>
      </c>
      <c r="AB129" s="156" t="str">
        <f>IFERROR(_xlfn.XLOOKUP($A129,'Raw Data'!$G:$G,'Raw Data'!$H:$H),"")</f>
        <v/>
      </c>
      <c r="AC129" s="162">
        <f>IFERROR(_xlfn.XLOOKUP($D129,'Modelling New'!$D:$D,'Modelling New'!$P:$P),"")</f>
        <v>4.7713784612903236</v>
      </c>
      <c r="AD129" s="156">
        <f>IFERROR(_xlfn.XLOOKUP($D129,'Modelling New'!$D:$D,'Modelling New'!$T:$T)*1000,"")</f>
        <v>42082.405130697269</v>
      </c>
      <c r="AE129" s="163">
        <f>IFERROR(_xlfn.XLOOKUP($D129,'Modelling New'!$D:$D,'Modelling New'!$O:$O),"")</f>
        <v>0.75253911025234577</v>
      </c>
      <c r="AF129" s="163">
        <f>IFERROR(_xlfn.XLOOKUP($D129,'Modelling New'!$D:$D,'Modelling New'!$W:$W),"")</f>
        <v>0.1496103709140261</v>
      </c>
      <c r="AG129" s="163">
        <f>IFERROR(_xlfn.XLOOKUP($D129,'Modelling New'!$D:$D,'Modelling New'!AE:AE),"")</f>
        <v>0.995</v>
      </c>
      <c r="AH129" s="163">
        <f>IFERROR(_xlfn.XLOOKUP($D129,'Modelling New'!$D:$D,'Modelling New'!AF:AF),"")</f>
        <v>0.98550000000000004</v>
      </c>
      <c r="AN129" s="164"/>
      <c r="AO129" s="161"/>
      <c r="AP129" s="161"/>
      <c r="AQ129" s="161"/>
      <c r="AR129" s="156">
        <f>IFERROR(_xlfn.XLOOKUP($D129,'Modelling New'!$D:$D,'Modelling New'!$N:$N),"")</f>
        <v>11.72</v>
      </c>
    </row>
    <row r="130" spans="1:44">
      <c r="A130" s="155">
        <f t="shared" si="11"/>
        <v>45873</v>
      </c>
      <c r="B130" s="156">
        <f>YEAR(Table13[[#This Row],[Date]])+IF(MONTH(Table13[[#This Row],[Date]])&gt;=4,1,0)</f>
        <v>2026</v>
      </c>
      <c r="C130" s="129">
        <f>YEAR(Table13[[#This Row],[Date]])</f>
        <v>2025</v>
      </c>
      <c r="D130" s="157">
        <f>Table13[[#This Row],[Date]]-DAY(Table13[[#This Row],[Date]])+1</f>
        <v>45870</v>
      </c>
      <c r="E130" s="129">
        <f t="shared" si="8"/>
        <v>31</v>
      </c>
      <c r="F130" s="130" t="str">
        <f>IFERROR(_xlfn.XLOOKUP($A130,'Raw Data'!$G:$G,'Raw Data'!$AH:$AH),"")</f>
        <v/>
      </c>
      <c r="G130" s="131" t="str">
        <f>IFERROR(_xlfn.XLOOKUP($A130,'Raw Data'!$G:$G,'Raw Data'!$S:$S)/1000,"")</f>
        <v/>
      </c>
      <c r="H130" s="131"/>
      <c r="I130" s="131" t="str">
        <f>IFERROR(_xlfn.XLOOKUP($A130,'Raw Data'!$G:$G,'Raw Data'!$AF:$AF)/1000,"")</f>
        <v/>
      </c>
      <c r="J130" s="131"/>
      <c r="K130" s="131" t="str">
        <f>IFERROR(_xlfn.XLOOKUP($A130,'Raw Data'!$G:$G,'Raw Data'!W:W),"")</f>
        <v/>
      </c>
      <c r="L130" s="131" t="str">
        <f>IFERROR(_xlfn.XLOOKUP($A130,'Raw Data'!$G:$G,'Raw Data'!X:X),"")</f>
        <v/>
      </c>
      <c r="M130" s="131" t="str">
        <f>IFERROR(_xlfn.XLOOKUP($A130,'Raw Data'!$G:$G,'Raw Data'!Y:Y),"")</f>
        <v/>
      </c>
      <c r="N130" s="131" t="str">
        <f>IFERROR(_xlfn.XLOOKUP($A130,'Raw Data'!$G:$G,'Raw Data'!Z:Z),"")</f>
        <v/>
      </c>
      <c r="O130" s="158" t="str">
        <f>IFERROR(1-SUMIF('Plant BD'!$H:$H,$A130,'Plant BD'!AC:AC)/$F130,"")</f>
        <v/>
      </c>
      <c r="P130" s="158"/>
      <c r="Q130" s="159"/>
      <c r="R130" s="158" t="str">
        <f>IFERROR(1-SUMIF('Grid BD'!$H:$H,$A130,'Grid BD'!AB:AB)/$F130,"")</f>
        <v/>
      </c>
      <c r="T130" s="159" t="str">
        <f>IFERROR(1-SUMIF(Tracker_BD!$H:$H,$A130,Tracker_BD!AI:AI)/$F130,"")</f>
        <v/>
      </c>
      <c r="U130" s="160" t="str">
        <f t="shared" si="9"/>
        <v/>
      </c>
      <c r="V130" s="160"/>
      <c r="W130" s="161" t="str">
        <f t="shared" si="10"/>
        <v/>
      </c>
      <c r="X130" s="156" t="str">
        <f>IFERROR(_xlfn.XLOOKUP($A130,'Raw Data'!$G:$G,'Raw Data'!$AB:$AB),"")</f>
        <v/>
      </c>
      <c r="Y130" s="156" t="str">
        <f>IFERROR(_xlfn.XLOOKUP($A130,'Raw Data'!$G:$G,'Raw Data'!AC:AC),"")</f>
        <v/>
      </c>
      <c r="Z130" s="156" t="str">
        <f>IFERROR(_xlfn.XLOOKUP($A130,'Raw Data'!$G:$G,'Raw Data'!AD:AD),"")</f>
        <v/>
      </c>
      <c r="AA130" s="156" t="str">
        <f>IFERROR(_xlfn.XLOOKUP($A130,'Raw Data'!$G:$G,'Raw Data'!AE:AE),"")</f>
        <v/>
      </c>
      <c r="AB130" s="156" t="str">
        <f>IFERROR(_xlfn.XLOOKUP($A130,'Raw Data'!$G:$G,'Raw Data'!$H:$H),"")</f>
        <v/>
      </c>
      <c r="AC130" s="162">
        <f>IFERROR(_xlfn.XLOOKUP($D130,'Modelling New'!$D:$D,'Modelling New'!$P:$P),"")</f>
        <v>4.7713784612903236</v>
      </c>
      <c r="AD130" s="156">
        <f>IFERROR(_xlfn.XLOOKUP($D130,'Modelling New'!$D:$D,'Modelling New'!$T:$T)*1000,"")</f>
        <v>42082.405130697269</v>
      </c>
      <c r="AE130" s="163">
        <f>IFERROR(_xlfn.XLOOKUP($D130,'Modelling New'!$D:$D,'Modelling New'!$O:$O),"")</f>
        <v>0.75253911025234577</v>
      </c>
      <c r="AF130" s="163">
        <f>IFERROR(_xlfn.XLOOKUP($D130,'Modelling New'!$D:$D,'Modelling New'!$W:$W),"")</f>
        <v>0.1496103709140261</v>
      </c>
      <c r="AG130" s="163">
        <f>IFERROR(_xlfn.XLOOKUP($D130,'Modelling New'!$D:$D,'Modelling New'!AE:AE),"")</f>
        <v>0.995</v>
      </c>
      <c r="AH130" s="163">
        <f>IFERROR(_xlfn.XLOOKUP($D130,'Modelling New'!$D:$D,'Modelling New'!AF:AF),"")</f>
        <v>0.98550000000000004</v>
      </c>
      <c r="AN130" s="164"/>
      <c r="AO130" s="161"/>
      <c r="AP130" s="161"/>
      <c r="AQ130" s="161"/>
      <c r="AR130" s="156">
        <f>IFERROR(_xlfn.XLOOKUP($D130,'Modelling New'!$D:$D,'Modelling New'!$N:$N),"")</f>
        <v>11.72</v>
      </c>
    </row>
    <row r="131" spans="1:44">
      <c r="A131" s="155">
        <f t="shared" si="11"/>
        <v>45874</v>
      </c>
      <c r="B131" s="156">
        <f>YEAR(Table13[[#This Row],[Date]])+IF(MONTH(Table13[[#This Row],[Date]])&gt;=4,1,0)</f>
        <v>2026</v>
      </c>
      <c r="C131" s="129">
        <f>YEAR(Table13[[#This Row],[Date]])</f>
        <v>2025</v>
      </c>
      <c r="D131" s="157">
        <f>Table13[[#This Row],[Date]]-DAY(Table13[[#This Row],[Date]])+1</f>
        <v>45870</v>
      </c>
      <c r="E131" s="129">
        <f t="shared" si="8"/>
        <v>31</v>
      </c>
      <c r="F131" s="130" t="str">
        <f>IFERROR(_xlfn.XLOOKUP($A131,'Raw Data'!$G:$G,'Raw Data'!$AH:$AH),"")</f>
        <v/>
      </c>
      <c r="G131" s="131" t="str">
        <f>IFERROR(_xlfn.XLOOKUP($A131,'Raw Data'!$G:$G,'Raw Data'!$S:$S)/1000,"")</f>
        <v/>
      </c>
      <c r="H131" s="131"/>
      <c r="I131" s="131" t="str">
        <f>IFERROR(_xlfn.XLOOKUP($A131,'Raw Data'!$G:$G,'Raw Data'!$AF:$AF)/1000,"")</f>
        <v/>
      </c>
      <c r="J131" s="131"/>
      <c r="K131" s="131" t="str">
        <f>IFERROR(_xlfn.XLOOKUP($A131,'Raw Data'!$G:$G,'Raw Data'!W:W),"")</f>
        <v/>
      </c>
      <c r="L131" s="131" t="str">
        <f>IFERROR(_xlfn.XLOOKUP($A131,'Raw Data'!$G:$G,'Raw Data'!X:X),"")</f>
        <v/>
      </c>
      <c r="M131" s="131" t="str">
        <f>IFERROR(_xlfn.XLOOKUP($A131,'Raw Data'!$G:$G,'Raw Data'!Y:Y),"")</f>
        <v/>
      </c>
      <c r="N131" s="131" t="str">
        <f>IFERROR(_xlfn.XLOOKUP($A131,'Raw Data'!$G:$G,'Raw Data'!Z:Z),"")</f>
        <v/>
      </c>
      <c r="O131" s="158" t="str">
        <f>IFERROR(1-SUMIF('Plant BD'!$H:$H,$A131,'Plant BD'!AC:AC)/$F131,"")</f>
        <v/>
      </c>
      <c r="P131" s="158"/>
      <c r="Q131" s="159"/>
      <c r="R131" s="158" t="str">
        <f>IFERROR(1-SUMIF('Grid BD'!$H:$H,$A131,'Grid BD'!AB:AB)/$F131,"")</f>
        <v/>
      </c>
      <c r="T131" s="159" t="str">
        <f>IFERROR(1-SUMIF(Tracker_BD!$H:$H,$A131,Tracker_BD!AI:AI)/$F131,"")</f>
        <v/>
      </c>
      <c r="U131" s="160" t="str">
        <f t="shared" si="9"/>
        <v/>
      </c>
      <c r="V131" s="160"/>
      <c r="W131" s="161" t="str">
        <f t="shared" si="10"/>
        <v/>
      </c>
      <c r="X131" s="156" t="str">
        <f>IFERROR(_xlfn.XLOOKUP($A131,'Raw Data'!$G:$G,'Raw Data'!$AB:$AB),"")</f>
        <v/>
      </c>
      <c r="Y131" s="156" t="str">
        <f>IFERROR(_xlfn.XLOOKUP($A131,'Raw Data'!$G:$G,'Raw Data'!AC:AC),"")</f>
        <v/>
      </c>
      <c r="Z131" s="156" t="str">
        <f>IFERROR(_xlfn.XLOOKUP($A131,'Raw Data'!$G:$G,'Raw Data'!AD:AD),"")</f>
        <v/>
      </c>
      <c r="AA131" s="156" t="str">
        <f>IFERROR(_xlfn.XLOOKUP($A131,'Raw Data'!$G:$G,'Raw Data'!AE:AE),"")</f>
        <v/>
      </c>
      <c r="AB131" s="156" t="str">
        <f>IFERROR(_xlfn.XLOOKUP($A131,'Raw Data'!$G:$G,'Raw Data'!$H:$H),"")</f>
        <v/>
      </c>
      <c r="AC131" s="162">
        <f>IFERROR(_xlfn.XLOOKUP($D131,'Modelling New'!$D:$D,'Modelling New'!$P:$P),"")</f>
        <v>4.7713784612903236</v>
      </c>
      <c r="AD131" s="156">
        <f>IFERROR(_xlfn.XLOOKUP($D131,'Modelling New'!$D:$D,'Modelling New'!$T:$T)*1000,"")</f>
        <v>42082.405130697269</v>
      </c>
      <c r="AE131" s="163">
        <f>IFERROR(_xlfn.XLOOKUP($D131,'Modelling New'!$D:$D,'Modelling New'!$O:$O),"")</f>
        <v>0.75253911025234577</v>
      </c>
      <c r="AF131" s="163">
        <f>IFERROR(_xlfn.XLOOKUP($D131,'Modelling New'!$D:$D,'Modelling New'!$W:$W),"")</f>
        <v>0.1496103709140261</v>
      </c>
      <c r="AG131" s="163">
        <f>IFERROR(_xlfn.XLOOKUP($D131,'Modelling New'!$D:$D,'Modelling New'!AE:AE),"")</f>
        <v>0.995</v>
      </c>
      <c r="AH131" s="163">
        <f>IFERROR(_xlfn.XLOOKUP($D131,'Modelling New'!$D:$D,'Modelling New'!AF:AF),"")</f>
        <v>0.98550000000000004</v>
      </c>
      <c r="AN131" s="164"/>
      <c r="AO131" s="161"/>
      <c r="AP131" s="161"/>
      <c r="AQ131" s="161"/>
      <c r="AR131" s="156">
        <f>IFERROR(_xlfn.XLOOKUP($D131,'Modelling New'!$D:$D,'Modelling New'!$N:$N),"")</f>
        <v>11.72</v>
      </c>
    </row>
    <row r="132" spans="1:44">
      <c r="A132" s="155">
        <f t="shared" si="11"/>
        <v>45875</v>
      </c>
      <c r="B132" s="156">
        <f>YEAR(Table13[[#This Row],[Date]])+IF(MONTH(Table13[[#This Row],[Date]])&gt;=4,1,0)</f>
        <v>2026</v>
      </c>
      <c r="C132" s="129">
        <f>YEAR(Table13[[#This Row],[Date]])</f>
        <v>2025</v>
      </c>
      <c r="D132" s="157">
        <f>Table13[[#This Row],[Date]]-DAY(Table13[[#This Row],[Date]])+1</f>
        <v>45870</v>
      </c>
      <c r="E132" s="129">
        <f t="shared" si="8"/>
        <v>31</v>
      </c>
      <c r="F132" s="130" t="str">
        <f>IFERROR(_xlfn.XLOOKUP($A132,'Raw Data'!$G:$G,'Raw Data'!$AH:$AH),"")</f>
        <v/>
      </c>
      <c r="G132" s="131" t="str">
        <f>IFERROR(_xlfn.XLOOKUP($A132,'Raw Data'!$G:$G,'Raw Data'!$S:$S)/1000,"")</f>
        <v/>
      </c>
      <c r="H132" s="131"/>
      <c r="I132" s="131" t="str">
        <f>IFERROR(_xlfn.XLOOKUP($A132,'Raw Data'!$G:$G,'Raw Data'!$AF:$AF)/1000,"")</f>
        <v/>
      </c>
      <c r="J132" s="131"/>
      <c r="K132" s="131" t="str">
        <f>IFERROR(_xlfn.XLOOKUP($A132,'Raw Data'!$G:$G,'Raw Data'!W:W),"")</f>
        <v/>
      </c>
      <c r="L132" s="131" t="str">
        <f>IFERROR(_xlfn.XLOOKUP($A132,'Raw Data'!$G:$G,'Raw Data'!X:X),"")</f>
        <v/>
      </c>
      <c r="M132" s="131" t="str">
        <f>IFERROR(_xlfn.XLOOKUP($A132,'Raw Data'!$G:$G,'Raw Data'!Y:Y),"")</f>
        <v/>
      </c>
      <c r="N132" s="131" t="str">
        <f>IFERROR(_xlfn.XLOOKUP($A132,'Raw Data'!$G:$G,'Raw Data'!Z:Z),"")</f>
        <v/>
      </c>
      <c r="O132" s="158" t="str">
        <f>IFERROR(1-SUMIF('Plant BD'!$H:$H,$A132,'Plant BD'!AC:AC)/$F132,"")</f>
        <v/>
      </c>
      <c r="P132" s="158"/>
      <c r="Q132" s="159"/>
      <c r="R132" s="158" t="str">
        <f>IFERROR(1-SUMIF('Grid BD'!$H:$H,$A132,'Grid BD'!AB:AB)/$F132,"")</f>
        <v/>
      </c>
      <c r="T132" s="159" t="str">
        <f>IFERROR(1-SUMIF(Tracker_BD!$H:$H,$A132,Tracker_BD!AI:AI)/$F132,"")</f>
        <v/>
      </c>
      <c r="U132" s="160" t="str">
        <f t="shared" si="9"/>
        <v/>
      </c>
      <c r="V132" s="160"/>
      <c r="W132" s="161" t="str">
        <f t="shared" si="10"/>
        <v/>
      </c>
      <c r="X132" s="156" t="str">
        <f>IFERROR(_xlfn.XLOOKUP($A132,'Raw Data'!$G:$G,'Raw Data'!$AB:$AB),"")</f>
        <v/>
      </c>
      <c r="Y132" s="156" t="str">
        <f>IFERROR(_xlfn.XLOOKUP($A132,'Raw Data'!$G:$G,'Raw Data'!AC:AC),"")</f>
        <v/>
      </c>
      <c r="Z132" s="156" t="str">
        <f>IFERROR(_xlfn.XLOOKUP($A132,'Raw Data'!$G:$G,'Raw Data'!AD:AD),"")</f>
        <v/>
      </c>
      <c r="AA132" s="156" t="str">
        <f>IFERROR(_xlfn.XLOOKUP($A132,'Raw Data'!$G:$G,'Raw Data'!AE:AE),"")</f>
        <v/>
      </c>
      <c r="AB132" s="156" t="str">
        <f>IFERROR(_xlfn.XLOOKUP($A132,'Raw Data'!$G:$G,'Raw Data'!$H:$H),"")</f>
        <v/>
      </c>
      <c r="AC132" s="162">
        <f>IFERROR(_xlfn.XLOOKUP($D132,'Modelling New'!$D:$D,'Modelling New'!$P:$P),"")</f>
        <v>4.7713784612903236</v>
      </c>
      <c r="AD132" s="156">
        <f>IFERROR(_xlfn.XLOOKUP($D132,'Modelling New'!$D:$D,'Modelling New'!$T:$T)*1000,"")</f>
        <v>42082.405130697269</v>
      </c>
      <c r="AE132" s="163">
        <f>IFERROR(_xlfn.XLOOKUP($D132,'Modelling New'!$D:$D,'Modelling New'!$O:$O),"")</f>
        <v>0.75253911025234577</v>
      </c>
      <c r="AF132" s="163">
        <f>IFERROR(_xlfn.XLOOKUP($D132,'Modelling New'!$D:$D,'Modelling New'!$W:$W),"")</f>
        <v>0.1496103709140261</v>
      </c>
      <c r="AG132" s="163">
        <f>IFERROR(_xlfn.XLOOKUP($D132,'Modelling New'!$D:$D,'Modelling New'!AE:AE),"")</f>
        <v>0.995</v>
      </c>
      <c r="AH132" s="163">
        <f>IFERROR(_xlfn.XLOOKUP($D132,'Modelling New'!$D:$D,'Modelling New'!AF:AF),"")</f>
        <v>0.98550000000000004</v>
      </c>
      <c r="AN132" s="164"/>
      <c r="AO132" s="161"/>
      <c r="AP132" s="161"/>
      <c r="AQ132" s="161"/>
      <c r="AR132" s="156">
        <f>IFERROR(_xlfn.XLOOKUP($D132,'Modelling New'!$D:$D,'Modelling New'!$N:$N),"")</f>
        <v>11.72</v>
      </c>
    </row>
    <row r="133" spans="1:44">
      <c r="A133" s="155">
        <f t="shared" si="11"/>
        <v>45876</v>
      </c>
      <c r="B133" s="156">
        <f>YEAR(Table13[[#This Row],[Date]])+IF(MONTH(Table13[[#This Row],[Date]])&gt;=4,1,0)</f>
        <v>2026</v>
      </c>
      <c r="C133" s="129">
        <f>YEAR(Table13[[#This Row],[Date]])</f>
        <v>2025</v>
      </c>
      <c r="D133" s="157">
        <f>Table13[[#This Row],[Date]]-DAY(Table13[[#This Row],[Date]])+1</f>
        <v>45870</v>
      </c>
      <c r="E133" s="129">
        <f t="shared" si="8"/>
        <v>31</v>
      </c>
      <c r="F133" s="130" t="str">
        <f>IFERROR(_xlfn.XLOOKUP($A133,'Raw Data'!$G:$G,'Raw Data'!$AH:$AH),"")</f>
        <v/>
      </c>
      <c r="G133" s="131" t="str">
        <f>IFERROR(_xlfn.XLOOKUP($A133,'Raw Data'!$G:$G,'Raw Data'!$S:$S)/1000,"")</f>
        <v/>
      </c>
      <c r="H133" s="131"/>
      <c r="I133" s="131" t="str">
        <f>IFERROR(_xlfn.XLOOKUP($A133,'Raw Data'!$G:$G,'Raw Data'!$AF:$AF)/1000,"")</f>
        <v/>
      </c>
      <c r="J133" s="131"/>
      <c r="K133" s="131" t="str">
        <f>IFERROR(_xlfn.XLOOKUP($A133,'Raw Data'!$G:$G,'Raw Data'!W:W),"")</f>
        <v/>
      </c>
      <c r="L133" s="131" t="str">
        <f>IFERROR(_xlfn.XLOOKUP($A133,'Raw Data'!$G:$G,'Raw Data'!X:X),"")</f>
        <v/>
      </c>
      <c r="M133" s="131" t="str">
        <f>IFERROR(_xlfn.XLOOKUP($A133,'Raw Data'!$G:$G,'Raw Data'!Y:Y),"")</f>
        <v/>
      </c>
      <c r="N133" s="131" t="str">
        <f>IFERROR(_xlfn.XLOOKUP($A133,'Raw Data'!$G:$G,'Raw Data'!Z:Z),"")</f>
        <v/>
      </c>
      <c r="O133" s="158" t="str">
        <f>IFERROR(1-SUMIF('Plant BD'!$H:$H,$A133,'Plant BD'!AC:AC)/$F133,"")</f>
        <v/>
      </c>
      <c r="P133" s="158"/>
      <c r="Q133" s="159"/>
      <c r="R133" s="158" t="str">
        <f>IFERROR(1-SUMIF('Grid BD'!$H:$H,$A133,'Grid BD'!AB:AB)/$F133,"")</f>
        <v/>
      </c>
      <c r="T133" s="159" t="str">
        <f>IFERROR(1-SUMIF(Tracker_BD!$H:$H,$A133,Tracker_BD!AI:AI)/$F133,"")</f>
        <v/>
      </c>
      <c r="U133" s="160" t="str">
        <f t="shared" si="9"/>
        <v/>
      </c>
      <c r="V133" s="160"/>
      <c r="W133" s="161" t="str">
        <f t="shared" si="10"/>
        <v/>
      </c>
      <c r="X133" s="156" t="str">
        <f>IFERROR(_xlfn.XLOOKUP($A133,'Raw Data'!$G:$G,'Raw Data'!$AB:$AB),"")</f>
        <v/>
      </c>
      <c r="Y133" s="156" t="str">
        <f>IFERROR(_xlfn.XLOOKUP($A133,'Raw Data'!$G:$G,'Raw Data'!AC:AC),"")</f>
        <v/>
      </c>
      <c r="Z133" s="156" t="str">
        <f>IFERROR(_xlfn.XLOOKUP($A133,'Raw Data'!$G:$G,'Raw Data'!AD:AD),"")</f>
        <v/>
      </c>
      <c r="AA133" s="156" t="str">
        <f>IFERROR(_xlfn.XLOOKUP($A133,'Raw Data'!$G:$G,'Raw Data'!AE:AE),"")</f>
        <v/>
      </c>
      <c r="AB133" s="156" t="str">
        <f>IFERROR(_xlfn.XLOOKUP($A133,'Raw Data'!$G:$G,'Raw Data'!$H:$H),"")</f>
        <v/>
      </c>
      <c r="AC133" s="162">
        <f>IFERROR(_xlfn.XLOOKUP($D133,'Modelling New'!$D:$D,'Modelling New'!$P:$P),"")</f>
        <v>4.7713784612903236</v>
      </c>
      <c r="AD133" s="156">
        <f>IFERROR(_xlfn.XLOOKUP($D133,'Modelling New'!$D:$D,'Modelling New'!$T:$T)*1000,"")</f>
        <v>42082.405130697269</v>
      </c>
      <c r="AE133" s="163">
        <f>IFERROR(_xlfn.XLOOKUP($D133,'Modelling New'!$D:$D,'Modelling New'!$O:$O),"")</f>
        <v>0.75253911025234577</v>
      </c>
      <c r="AF133" s="163">
        <f>IFERROR(_xlfn.XLOOKUP($D133,'Modelling New'!$D:$D,'Modelling New'!$W:$W),"")</f>
        <v>0.1496103709140261</v>
      </c>
      <c r="AG133" s="163">
        <f>IFERROR(_xlfn.XLOOKUP($D133,'Modelling New'!$D:$D,'Modelling New'!AE:AE),"")</f>
        <v>0.995</v>
      </c>
      <c r="AH133" s="163">
        <f>IFERROR(_xlfn.XLOOKUP($D133,'Modelling New'!$D:$D,'Modelling New'!AF:AF),"")</f>
        <v>0.98550000000000004</v>
      </c>
      <c r="AN133" s="164"/>
      <c r="AO133" s="161"/>
      <c r="AP133" s="161"/>
      <c r="AQ133" s="161"/>
      <c r="AR133" s="156">
        <f>IFERROR(_xlfn.XLOOKUP($D133,'Modelling New'!$D:$D,'Modelling New'!$N:$N),"")</f>
        <v>11.72</v>
      </c>
    </row>
    <row r="134" spans="1:44">
      <c r="A134" s="155">
        <f t="shared" si="11"/>
        <v>45877</v>
      </c>
      <c r="B134" s="156">
        <f>YEAR(Table13[[#This Row],[Date]])+IF(MONTH(Table13[[#This Row],[Date]])&gt;=4,1,0)</f>
        <v>2026</v>
      </c>
      <c r="C134" s="129">
        <f>YEAR(Table13[[#This Row],[Date]])</f>
        <v>2025</v>
      </c>
      <c r="D134" s="157">
        <f>Table13[[#This Row],[Date]]-DAY(Table13[[#This Row],[Date]])+1</f>
        <v>45870</v>
      </c>
      <c r="E134" s="129">
        <f t="shared" si="8"/>
        <v>31</v>
      </c>
      <c r="F134" s="130" t="str">
        <f>IFERROR(_xlfn.XLOOKUP($A134,'Raw Data'!$G:$G,'Raw Data'!$AH:$AH),"")</f>
        <v/>
      </c>
      <c r="G134" s="131" t="str">
        <f>IFERROR(_xlfn.XLOOKUP($A134,'Raw Data'!$G:$G,'Raw Data'!$S:$S)/1000,"")</f>
        <v/>
      </c>
      <c r="H134" s="131"/>
      <c r="I134" s="131" t="str">
        <f>IFERROR(_xlfn.XLOOKUP($A134,'Raw Data'!$G:$G,'Raw Data'!$AF:$AF)/1000,"")</f>
        <v/>
      </c>
      <c r="J134" s="131"/>
      <c r="K134" s="131" t="str">
        <f>IFERROR(_xlfn.XLOOKUP($A134,'Raw Data'!$G:$G,'Raw Data'!W:W),"")</f>
        <v/>
      </c>
      <c r="L134" s="131" t="str">
        <f>IFERROR(_xlfn.XLOOKUP($A134,'Raw Data'!$G:$G,'Raw Data'!X:X),"")</f>
        <v/>
      </c>
      <c r="M134" s="131" t="str">
        <f>IFERROR(_xlfn.XLOOKUP($A134,'Raw Data'!$G:$G,'Raw Data'!Y:Y),"")</f>
        <v/>
      </c>
      <c r="N134" s="131" t="str">
        <f>IFERROR(_xlfn.XLOOKUP($A134,'Raw Data'!$G:$G,'Raw Data'!Z:Z),"")</f>
        <v/>
      </c>
      <c r="O134" s="158" t="str">
        <f>IFERROR(1-SUMIF('Plant BD'!$H:$H,$A134,'Plant BD'!AC:AC)/$F134,"")</f>
        <v/>
      </c>
      <c r="P134" s="158"/>
      <c r="Q134" s="159"/>
      <c r="R134" s="158" t="str">
        <f>IFERROR(1-SUMIF('Grid BD'!$H:$H,$A134,'Grid BD'!AB:AB)/$F134,"")</f>
        <v/>
      </c>
      <c r="T134" s="159" t="str">
        <f>IFERROR(1-SUMIF(Tracker_BD!$H:$H,$A134,Tracker_BD!AI:AI)/$F134,"")</f>
        <v/>
      </c>
      <c r="U134" s="160" t="str">
        <f t="shared" si="9"/>
        <v/>
      </c>
      <c r="V134" s="160"/>
      <c r="W134" s="161" t="str">
        <f t="shared" si="10"/>
        <v/>
      </c>
      <c r="X134" s="156" t="str">
        <f>IFERROR(_xlfn.XLOOKUP($A134,'Raw Data'!$G:$G,'Raw Data'!$AB:$AB),"")</f>
        <v/>
      </c>
      <c r="Y134" s="156" t="str">
        <f>IFERROR(_xlfn.XLOOKUP($A134,'Raw Data'!$G:$G,'Raw Data'!AC:AC),"")</f>
        <v/>
      </c>
      <c r="Z134" s="156" t="str">
        <f>IFERROR(_xlfn.XLOOKUP($A134,'Raw Data'!$G:$G,'Raw Data'!AD:AD),"")</f>
        <v/>
      </c>
      <c r="AA134" s="156" t="str">
        <f>IFERROR(_xlfn.XLOOKUP($A134,'Raw Data'!$G:$G,'Raw Data'!AE:AE),"")</f>
        <v/>
      </c>
      <c r="AB134" s="156" t="str">
        <f>IFERROR(_xlfn.XLOOKUP($A134,'Raw Data'!$G:$G,'Raw Data'!$H:$H),"")</f>
        <v/>
      </c>
      <c r="AC134" s="162">
        <f>IFERROR(_xlfn.XLOOKUP($D134,'Modelling New'!$D:$D,'Modelling New'!$P:$P),"")</f>
        <v>4.7713784612903236</v>
      </c>
      <c r="AD134" s="156">
        <f>IFERROR(_xlfn.XLOOKUP($D134,'Modelling New'!$D:$D,'Modelling New'!$T:$T)*1000,"")</f>
        <v>42082.405130697269</v>
      </c>
      <c r="AE134" s="163">
        <f>IFERROR(_xlfn.XLOOKUP($D134,'Modelling New'!$D:$D,'Modelling New'!$O:$O),"")</f>
        <v>0.75253911025234577</v>
      </c>
      <c r="AF134" s="163">
        <f>IFERROR(_xlfn.XLOOKUP($D134,'Modelling New'!$D:$D,'Modelling New'!$W:$W),"")</f>
        <v>0.1496103709140261</v>
      </c>
      <c r="AG134" s="163">
        <f>IFERROR(_xlfn.XLOOKUP($D134,'Modelling New'!$D:$D,'Modelling New'!AE:AE),"")</f>
        <v>0.995</v>
      </c>
      <c r="AH134" s="163">
        <f>IFERROR(_xlfn.XLOOKUP($D134,'Modelling New'!$D:$D,'Modelling New'!AF:AF),"")</f>
        <v>0.98550000000000004</v>
      </c>
      <c r="AN134" s="164"/>
      <c r="AO134" s="161"/>
      <c r="AP134" s="161"/>
      <c r="AQ134" s="161"/>
      <c r="AR134" s="156">
        <f>IFERROR(_xlfn.XLOOKUP($D134,'Modelling New'!$D:$D,'Modelling New'!$N:$N),"")</f>
        <v>11.72</v>
      </c>
    </row>
    <row r="135" spans="1:44">
      <c r="A135" s="155">
        <f t="shared" si="11"/>
        <v>45878</v>
      </c>
      <c r="B135" s="156">
        <f>YEAR(Table13[[#This Row],[Date]])+IF(MONTH(Table13[[#This Row],[Date]])&gt;=4,1,0)</f>
        <v>2026</v>
      </c>
      <c r="C135" s="129">
        <f>YEAR(Table13[[#This Row],[Date]])</f>
        <v>2025</v>
      </c>
      <c r="D135" s="157">
        <f>Table13[[#This Row],[Date]]-DAY(Table13[[#This Row],[Date]])+1</f>
        <v>45870</v>
      </c>
      <c r="E135" s="129">
        <f t="shared" si="8"/>
        <v>31</v>
      </c>
      <c r="F135" s="130" t="str">
        <f>IFERROR(_xlfn.XLOOKUP($A135,'Raw Data'!$G:$G,'Raw Data'!$AH:$AH),"")</f>
        <v/>
      </c>
      <c r="G135" s="131" t="str">
        <f>IFERROR(_xlfn.XLOOKUP($A135,'Raw Data'!$G:$G,'Raw Data'!$S:$S)/1000,"")</f>
        <v/>
      </c>
      <c r="H135" s="131"/>
      <c r="I135" s="131" t="str">
        <f>IFERROR(_xlfn.XLOOKUP($A135,'Raw Data'!$G:$G,'Raw Data'!$AF:$AF)/1000,"")</f>
        <v/>
      </c>
      <c r="J135" s="131"/>
      <c r="K135" s="131" t="str">
        <f>IFERROR(_xlfn.XLOOKUP($A135,'Raw Data'!$G:$G,'Raw Data'!W:W),"")</f>
        <v/>
      </c>
      <c r="L135" s="131" t="str">
        <f>IFERROR(_xlfn.XLOOKUP($A135,'Raw Data'!$G:$G,'Raw Data'!X:X),"")</f>
        <v/>
      </c>
      <c r="M135" s="131" t="str">
        <f>IFERROR(_xlfn.XLOOKUP($A135,'Raw Data'!$G:$G,'Raw Data'!Y:Y),"")</f>
        <v/>
      </c>
      <c r="N135" s="131" t="str">
        <f>IFERROR(_xlfn.XLOOKUP($A135,'Raw Data'!$G:$G,'Raw Data'!Z:Z),"")</f>
        <v/>
      </c>
      <c r="O135" s="158" t="str">
        <f>IFERROR(1-SUMIF('Plant BD'!$H:$H,$A135,'Plant BD'!AC:AC)/$F135,"")</f>
        <v/>
      </c>
      <c r="P135" s="158"/>
      <c r="Q135" s="159"/>
      <c r="R135" s="158" t="str">
        <f>IFERROR(1-SUMIF('Grid BD'!$H:$H,$A135,'Grid BD'!AB:AB)/$F135,"")</f>
        <v/>
      </c>
      <c r="T135" s="159" t="str">
        <f>IFERROR(1-SUMIF(Tracker_BD!$H:$H,$A135,Tracker_BD!AI:AI)/$F135,"")</f>
        <v/>
      </c>
      <c r="U135" s="160" t="str">
        <f t="shared" si="9"/>
        <v/>
      </c>
      <c r="V135" s="160"/>
      <c r="W135" s="161" t="str">
        <f t="shared" si="10"/>
        <v/>
      </c>
      <c r="X135" s="156" t="str">
        <f>IFERROR(_xlfn.XLOOKUP($A135,'Raw Data'!$G:$G,'Raw Data'!$AB:$AB),"")</f>
        <v/>
      </c>
      <c r="Y135" s="156" t="str">
        <f>IFERROR(_xlfn.XLOOKUP($A135,'Raw Data'!$G:$G,'Raw Data'!AC:AC),"")</f>
        <v/>
      </c>
      <c r="Z135" s="156" t="str">
        <f>IFERROR(_xlfn.XLOOKUP($A135,'Raw Data'!$G:$G,'Raw Data'!AD:AD),"")</f>
        <v/>
      </c>
      <c r="AA135" s="156" t="str">
        <f>IFERROR(_xlfn.XLOOKUP($A135,'Raw Data'!$G:$G,'Raw Data'!AE:AE),"")</f>
        <v/>
      </c>
      <c r="AB135" s="156" t="str">
        <f>IFERROR(_xlfn.XLOOKUP($A135,'Raw Data'!$G:$G,'Raw Data'!$H:$H),"")</f>
        <v/>
      </c>
      <c r="AC135" s="162">
        <f>IFERROR(_xlfn.XLOOKUP($D135,'Modelling New'!$D:$D,'Modelling New'!$P:$P),"")</f>
        <v>4.7713784612903236</v>
      </c>
      <c r="AD135" s="156">
        <f>IFERROR(_xlfn.XLOOKUP($D135,'Modelling New'!$D:$D,'Modelling New'!$T:$T)*1000,"")</f>
        <v>42082.405130697269</v>
      </c>
      <c r="AE135" s="163">
        <f>IFERROR(_xlfn.XLOOKUP($D135,'Modelling New'!$D:$D,'Modelling New'!$O:$O),"")</f>
        <v>0.75253911025234577</v>
      </c>
      <c r="AF135" s="163">
        <f>IFERROR(_xlfn.XLOOKUP($D135,'Modelling New'!$D:$D,'Modelling New'!$W:$W),"")</f>
        <v>0.1496103709140261</v>
      </c>
      <c r="AG135" s="163">
        <f>IFERROR(_xlfn.XLOOKUP($D135,'Modelling New'!$D:$D,'Modelling New'!AE:AE),"")</f>
        <v>0.995</v>
      </c>
      <c r="AH135" s="163">
        <f>IFERROR(_xlfn.XLOOKUP($D135,'Modelling New'!$D:$D,'Modelling New'!AF:AF),"")</f>
        <v>0.98550000000000004</v>
      </c>
      <c r="AN135" s="164"/>
      <c r="AO135" s="161"/>
      <c r="AP135" s="161"/>
      <c r="AQ135" s="161"/>
      <c r="AR135" s="156">
        <f>IFERROR(_xlfn.XLOOKUP($D135,'Modelling New'!$D:$D,'Modelling New'!$N:$N),"")</f>
        <v>11.72</v>
      </c>
    </row>
    <row r="136" spans="1:44">
      <c r="A136" s="155">
        <f t="shared" si="11"/>
        <v>45879</v>
      </c>
      <c r="B136" s="156">
        <f>YEAR(Table13[[#This Row],[Date]])+IF(MONTH(Table13[[#This Row],[Date]])&gt;=4,1,0)</f>
        <v>2026</v>
      </c>
      <c r="C136" s="129">
        <f>YEAR(Table13[[#This Row],[Date]])</f>
        <v>2025</v>
      </c>
      <c r="D136" s="157">
        <f>Table13[[#This Row],[Date]]-DAY(Table13[[#This Row],[Date]])+1</f>
        <v>45870</v>
      </c>
      <c r="E136" s="129">
        <f t="shared" si="8"/>
        <v>31</v>
      </c>
      <c r="F136" s="130" t="str">
        <f>IFERROR(_xlfn.XLOOKUP($A136,'Raw Data'!$G:$G,'Raw Data'!$AH:$AH),"")</f>
        <v/>
      </c>
      <c r="G136" s="131" t="str">
        <f>IFERROR(_xlfn.XLOOKUP($A136,'Raw Data'!$G:$G,'Raw Data'!$S:$S)/1000,"")</f>
        <v/>
      </c>
      <c r="H136" s="131"/>
      <c r="I136" s="131" t="str">
        <f>IFERROR(_xlfn.XLOOKUP($A136,'Raw Data'!$G:$G,'Raw Data'!$AF:$AF)/1000,"")</f>
        <v/>
      </c>
      <c r="J136" s="131"/>
      <c r="K136" s="131" t="str">
        <f>IFERROR(_xlfn.XLOOKUP($A136,'Raw Data'!$G:$G,'Raw Data'!W:W),"")</f>
        <v/>
      </c>
      <c r="L136" s="131" t="str">
        <f>IFERROR(_xlfn.XLOOKUP($A136,'Raw Data'!$G:$G,'Raw Data'!X:X),"")</f>
        <v/>
      </c>
      <c r="M136" s="131" t="str">
        <f>IFERROR(_xlfn.XLOOKUP($A136,'Raw Data'!$G:$G,'Raw Data'!Y:Y),"")</f>
        <v/>
      </c>
      <c r="N136" s="131" t="str">
        <f>IFERROR(_xlfn.XLOOKUP($A136,'Raw Data'!$G:$G,'Raw Data'!Z:Z),"")</f>
        <v/>
      </c>
      <c r="O136" s="158" t="str">
        <f>IFERROR(1-SUMIF('Plant BD'!$H:$H,$A136,'Plant BD'!AC:AC)/$F136,"")</f>
        <v/>
      </c>
      <c r="P136" s="158"/>
      <c r="Q136" s="159"/>
      <c r="R136" s="158" t="str">
        <f>IFERROR(1-SUMIF('Grid BD'!$H:$H,$A136,'Grid BD'!AB:AB)/$F136,"")</f>
        <v/>
      </c>
      <c r="T136" s="159" t="str">
        <f>IFERROR(1-SUMIF(Tracker_BD!$H:$H,$A136,Tracker_BD!AI:AI)/$F136,"")</f>
        <v/>
      </c>
      <c r="U136" s="160" t="str">
        <f t="shared" si="9"/>
        <v/>
      </c>
      <c r="V136" s="160"/>
      <c r="W136" s="161" t="str">
        <f t="shared" si="10"/>
        <v/>
      </c>
      <c r="X136" s="156" t="str">
        <f>IFERROR(_xlfn.XLOOKUP($A136,'Raw Data'!$G:$G,'Raw Data'!$AB:$AB),"")</f>
        <v/>
      </c>
      <c r="Y136" s="156" t="str">
        <f>IFERROR(_xlfn.XLOOKUP($A136,'Raw Data'!$G:$G,'Raw Data'!AC:AC),"")</f>
        <v/>
      </c>
      <c r="Z136" s="156" t="str">
        <f>IFERROR(_xlfn.XLOOKUP($A136,'Raw Data'!$G:$G,'Raw Data'!AD:AD),"")</f>
        <v/>
      </c>
      <c r="AA136" s="156" t="str">
        <f>IFERROR(_xlfn.XLOOKUP($A136,'Raw Data'!$G:$G,'Raw Data'!AE:AE),"")</f>
        <v/>
      </c>
      <c r="AB136" s="156" t="str">
        <f>IFERROR(_xlfn.XLOOKUP($A136,'Raw Data'!$G:$G,'Raw Data'!$H:$H),"")</f>
        <v/>
      </c>
      <c r="AC136" s="162">
        <f>IFERROR(_xlfn.XLOOKUP($D136,'Modelling New'!$D:$D,'Modelling New'!$P:$P),"")</f>
        <v>4.7713784612903236</v>
      </c>
      <c r="AD136" s="156">
        <f>IFERROR(_xlfn.XLOOKUP($D136,'Modelling New'!$D:$D,'Modelling New'!$T:$T)*1000,"")</f>
        <v>42082.405130697269</v>
      </c>
      <c r="AE136" s="163">
        <f>IFERROR(_xlfn.XLOOKUP($D136,'Modelling New'!$D:$D,'Modelling New'!$O:$O),"")</f>
        <v>0.75253911025234577</v>
      </c>
      <c r="AF136" s="163">
        <f>IFERROR(_xlfn.XLOOKUP($D136,'Modelling New'!$D:$D,'Modelling New'!$W:$W),"")</f>
        <v>0.1496103709140261</v>
      </c>
      <c r="AG136" s="163">
        <f>IFERROR(_xlfn.XLOOKUP($D136,'Modelling New'!$D:$D,'Modelling New'!AE:AE),"")</f>
        <v>0.995</v>
      </c>
      <c r="AH136" s="163">
        <f>IFERROR(_xlfn.XLOOKUP($D136,'Modelling New'!$D:$D,'Modelling New'!AF:AF),"")</f>
        <v>0.98550000000000004</v>
      </c>
      <c r="AN136" s="164"/>
      <c r="AO136" s="161"/>
      <c r="AP136" s="161"/>
      <c r="AQ136" s="161"/>
      <c r="AR136" s="156">
        <f>IFERROR(_xlfn.XLOOKUP($D136,'Modelling New'!$D:$D,'Modelling New'!$N:$N),"")</f>
        <v>11.72</v>
      </c>
    </row>
    <row r="137" spans="1:44">
      <c r="A137" s="155">
        <f t="shared" si="11"/>
        <v>45880</v>
      </c>
      <c r="B137" s="156">
        <f>YEAR(Table13[[#This Row],[Date]])+IF(MONTH(Table13[[#This Row],[Date]])&gt;=4,1,0)</f>
        <v>2026</v>
      </c>
      <c r="C137" s="129">
        <f>YEAR(Table13[[#This Row],[Date]])</f>
        <v>2025</v>
      </c>
      <c r="D137" s="157">
        <f>Table13[[#This Row],[Date]]-DAY(Table13[[#This Row],[Date]])+1</f>
        <v>45870</v>
      </c>
      <c r="E137" s="129">
        <f t="shared" si="8"/>
        <v>31</v>
      </c>
      <c r="F137" s="130" t="str">
        <f>IFERROR(_xlfn.XLOOKUP($A137,'Raw Data'!$G:$G,'Raw Data'!$AH:$AH),"")</f>
        <v/>
      </c>
      <c r="G137" s="131" t="str">
        <f>IFERROR(_xlfn.XLOOKUP($A137,'Raw Data'!$G:$G,'Raw Data'!$S:$S)/1000,"")</f>
        <v/>
      </c>
      <c r="H137" s="131"/>
      <c r="I137" s="131" t="str">
        <f>IFERROR(_xlfn.XLOOKUP($A137,'Raw Data'!$G:$G,'Raw Data'!$AF:$AF)/1000,"")</f>
        <v/>
      </c>
      <c r="J137" s="131"/>
      <c r="K137" s="131" t="str">
        <f>IFERROR(_xlfn.XLOOKUP($A137,'Raw Data'!$G:$G,'Raw Data'!W:W),"")</f>
        <v/>
      </c>
      <c r="L137" s="131" t="str">
        <f>IFERROR(_xlfn.XLOOKUP($A137,'Raw Data'!$G:$G,'Raw Data'!X:X),"")</f>
        <v/>
      </c>
      <c r="M137" s="131" t="str">
        <f>IFERROR(_xlfn.XLOOKUP($A137,'Raw Data'!$G:$G,'Raw Data'!Y:Y),"")</f>
        <v/>
      </c>
      <c r="N137" s="131" t="str">
        <f>IFERROR(_xlfn.XLOOKUP($A137,'Raw Data'!$G:$G,'Raw Data'!Z:Z),"")</f>
        <v/>
      </c>
      <c r="O137" s="158" t="str">
        <f>IFERROR(1-SUMIF('Plant BD'!$H:$H,$A137,'Plant BD'!AC:AC)/$F137,"")</f>
        <v/>
      </c>
      <c r="P137" s="158"/>
      <c r="Q137" s="159"/>
      <c r="R137" s="158" t="str">
        <f>IFERROR(1-SUMIF('Grid BD'!$H:$H,$A137,'Grid BD'!AB:AB)/$F137,"")</f>
        <v/>
      </c>
      <c r="T137" s="159" t="str">
        <f>IFERROR(1-SUMIF(Tracker_BD!$H:$H,$A137,Tracker_BD!AI:AI)/$F137,"")</f>
        <v/>
      </c>
      <c r="U137" s="160" t="str">
        <f t="shared" si="9"/>
        <v/>
      </c>
      <c r="V137" s="160"/>
      <c r="W137" s="161" t="str">
        <f t="shared" si="10"/>
        <v/>
      </c>
      <c r="X137" s="156" t="str">
        <f>IFERROR(_xlfn.XLOOKUP($A137,'Raw Data'!$G:$G,'Raw Data'!$AB:$AB),"")</f>
        <v/>
      </c>
      <c r="Y137" s="156" t="str">
        <f>IFERROR(_xlfn.XLOOKUP($A137,'Raw Data'!$G:$G,'Raw Data'!AC:AC),"")</f>
        <v/>
      </c>
      <c r="Z137" s="156" t="str">
        <f>IFERROR(_xlfn.XLOOKUP($A137,'Raw Data'!$G:$G,'Raw Data'!AD:AD),"")</f>
        <v/>
      </c>
      <c r="AA137" s="156" t="str">
        <f>IFERROR(_xlfn.XLOOKUP($A137,'Raw Data'!$G:$G,'Raw Data'!AE:AE),"")</f>
        <v/>
      </c>
      <c r="AB137" s="156" t="str">
        <f>IFERROR(_xlfn.XLOOKUP($A137,'Raw Data'!$G:$G,'Raw Data'!$H:$H),"")</f>
        <v/>
      </c>
      <c r="AC137" s="162">
        <f>IFERROR(_xlfn.XLOOKUP($D137,'Modelling New'!$D:$D,'Modelling New'!$P:$P),"")</f>
        <v>4.7713784612903236</v>
      </c>
      <c r="AD137" s="156">
        <f>IFERROR(_xlfn.XLOOKUP($D137,'Modelling New'!$D:$D,'Modelling New'!$T:$T)*1000,"")</f>
        <v>42082.405130697269</v>
      </c>
      <c r="AE137" s="163">
        <f>IFERROR(_xlfn.XLOOKUP($D137,'Modelling New'!$D:$D,'Modelling New'!$O:$O),"")</f>
        <v>0.75253911025234577</v>
      </c>
      <c r="AF137" s="163">
        <f>IFERROR(_xlfn.XLOOKUP($D137,'Modelling New'!$D:$D,'Modelling New'!$W:$W),"")</f>
        <v>0.1496103709140261</v>
      </c>
      <c r="AG137" s="163">
        <f>IFERROR(_xlfn.XLOOKUP($D137,'Modelling New'!$D:$D,'Modelling New'!AE:AE),"")</f>
        <v>0.995</v>
      </c>
      <c r="AH137" s="163">
        <f>IFERROR(_xlfn.XLOOKUP($D137,'Modelling New'!$D:$D,'Modelling New'!AF:AF),"")</f>
        <v>0.98550000000000004</v>
      </c>
      <c r="AN137" s="164"/>
      <c r="AO137" s="161"/>
      <c r="AP137" s="161"/>
      <c r="AQ137" s="161"/>
      <c r="AR137" s="156">
        <f>IFERROR(_xlfn.XLOOKUP($D137,'Modelling New'!$D:$D,'Modelling New'!$N:$N),"")</f>
        <v>11.72</v>
      </c>
    </row>
    <row r="138" spans="1:44">
      <c r="A138" s="155">
        <f t="shared" si="11"/>
        <v>45881</v>
      </c>
      <c r="B138" s="156">
        <f>YEAR(Table13[[#This Row],[Date]])+IF(MONTH(Table13[[#This Row],[Date]])&gt;=4,1,0)</f>
        <v>2026</v>
      </c>
      <c r="C138" s="129">
        <f>YEAR(Table13[[#This Row],[Date]])</f>
        <v>2025</v>
      </c>
      <c r="D138" s="157">
        <f>Table13[[#This Row],[Date]]-DAY(Table13[[#This Row],[Date]])+1</f>
        <v>45870</v>
      </c>
      <c r="E138" s="129">
        <f t="shared" si="8"/>
        <v>31</v>
      </c>
      <c r="F138" s="130" t="str">
        <f>IFERROR(_xlfn.XLOOKUP($A138,'Raw Data'!$G:$G,'Raw Data'!$AH:$AH),"")</f>
        <v/>
      </c>
      <c r="G138" s="131" t="str">
        <f>IFERROR(_xlfn.XLOOKUP($A138,'Raw Data'!$G:$G,'Raw Data'!$S:$S)/1000,"")</f>
        <v/>
      </c>
      <c r="H138" s="131"/>
      <c r="I138" s="131" t="str">
        <f>IFERROR(_xlfn.XLOOKUP($A138,'Raw Data'!$G:$G,'Raw Data'!$AF:$AF)/1000,"")</f>
        <v/>
      </c>
      <c r="J138" s="131"/>
      <c r="K138" s="131" t="str">
        <f>IFERROR(_xlfn.XLOOKUP($A138,'Raw Data'!$G:$G,'Raw Data'!W:W),"")</f>
        <v/>
      </c>
      <c r="L138" s="131" t="str">
        <f>IFERROR(_xlfn.XLOOKUP($A138,'Raw Data'!$G:$G,'Raw Data'!X:X),"")</f>
        <v/>
      </c>
      <c r="M138" s="131" t="str">
        <f>IFERROR(_xlfn.XLOOKUP($A138,'Raw Data'!$G:$G,'Raw Data'!Y:Y),"")</f>
        <v/>
      </c>
      <c r="N138" s="131" t="str">
        <f>IFERROR(_xlfn.XLOOKUP($A138,'Raw Data'!$G:$G,'Raw Data'!Z:Z),"")</f>
        <v/>
      </c>
      <c r="O138" s="158" t="str">
        <f>IFERROR(1-SUMIF('Plant BD'!$H:$H,$A138,'Plant BD'!AC:AC)/$F138,"")</f>
        <v/>
      </c>
      <c r="P138" s="158"/>
      <c r="Q138" s="159"/>
      <c r="R138" s="158" t="str">
        <f>IFERROR(1-SUMIF('Grid BD'!$H:$H,$A138,'Grid BD'!AB:AB)/$F138,"")</f>
        <v/>
      </c>
      <c r="T138" s="159" t="str">
        <f>IFERROR(1-SUMIF(Tracker_BD!$H:$H,$A138,Tracker_BD!AI:AI)/$F138,"")</f>
        <v/>
      </c>
      <c r="U138" s="160" t="str">
        <f t="shared" si="9"/>
        <v/>
      </c>
      <c r="V138" s="160"/>
      <c r="W138" s="161" t="str">
        <f t="shared" si="10"/>
        <v/>
      </c>
      <c r="X138" s="156" t="str">
        <f>IFERROR(_xlfn.XLOOKUP($A138,'Raw Data'!$G:$G,'Raw Data'!$AB:$AB),"")</f>
        <v/>
      </c>
      <c r="Y138" s="156" t="str">
        <f>IFERROR(_xlfn.XLOOKUP($A138,'Raw Data'!$G:$G,'Raw Data'!AC:AC),"")</f>
        <v/>
      </c>
      <c r="Z138" s="156" t="str">
        <f>IFERROR(_xlfn.XLOOKUP($A138,'Raw Data'!$G:$G,'Raw Data'!AD:AD),"")</f>
        <v/>
      </c>
      <c r="AA138" s="156" t="str">
        <f>IFERROR(_xlfn.XLOOKUP($A138,'Raw Data'!$G:$G,'Raw Data'!AE:AE),"")</f>
        <v/>
      </c>
      <c r="AB138" s="156" t="str">
        <f>IFERROR(_xlfn.XLOOKUP($A138,'Raw Data'!$G:$G,'Raw Data'!$H:$H),"")</f>
        <v/>
      </c>
      <c r="AC138" s="162">
        <f>IFERROR(_xlfn.XLOOKUP($D138,'Modelling New'!$D:$D,'Modelling New'!$P:$P),"")</f>
        <v>4.7713784612903236</v>
      </c>
      <c r="AD138" s="156">
        <f>IFERROR(_xlfn.XLOOKUP($D138,'Modelling New'!$D:$D,'Modelling New'!$T:$T)*1000,"")</f>
        <v>42082.405130697269</v>
      </c>
      <c r="AE138" s="163">
        <f>IFERROR(_xlfn.XLOOKUP($D138,'Modelling New'!$D:$D,'Modelling New'!$O:$O),"")</f>
        <v>0.75253911025234577</v>
      </c>
      <c r="AF138" s="163">
        <f>IFERROR(_xlfn.XLOOKUP($D138,'Modelling New'!$D:$D,'Modelling New'!$W:$W),"")</f>
        <v>0.1496103709140261</v>
      </c>
      <c r="AG138" s="163">
        <f>IFERROR(_xlfn.XLOOKUP($D138,'Modelling New'!$D:$D,'Modelling New'!AE:AE),"")</f>
        <v>0.995</v>
      </c>
      <c r="AH138" s="163">
        <f>IFERROR(_xlfn.XLOOKUP($D138,'Modelling New'!$D:$D,'Modelling New'!AF:AF),"")</f>
        <v>0.98550000000000004</v>
      </c>
      <c r="AN138" s="164"/>
      <c r="AO138" s="161"/>
      <c r="AP138" s="161"/>
      <c r="AQ138" s="161"/>
      <c r="AR138" s="156">
        <f>IFERROR(_xlfn.XLOOKUP($D138,'Modelling New'!$D:$D,'Modelling New'!$N:$N),"")</f>
        <v>11.72</v>
      </c>
    </row>
    <row r="139" spans="1:44">
      <c r="A139" s="155">
        <f t="shared" si="11"/>
        <v>45882</v>
      </c>
      <c r="B139" s="156">
        <f>YEAR(Table13[[#This Row],[Date]])+IF(MONTH(Table13[[#This Row],[Date]])&gt;=4,1,0)</f>
        <v>2026</v>
      </c>
      <c r="C139" s="129">
        <f>YEAR(Table13[[#This Row],[Date]])</f>
        <v>2025</v>
      </c>
      <c r="D139" s="157">
        <f>Table13[[#This Row],[Date]]-DAY(Table13[[#This Row],[Date]])+1</f>
        <v>45870</v>
      </c>
      <c r="E139" s="129">
        <f t="shared" si="8"/>
        <v>31</v>
      </c>
      <c r="F139" s="130" t="str">
        <f>IFERROR(_xlfn.XLOOKUP($A139,'Raw Data'!$G:$G,'Raw Data'!$AH:$AH),"")</f>
        <v/>
      </c>
      <c r="G139" s="131" t="str">
        <f>IFERROR(_xlfn.XLOOKUP($A139,'Raw Data'!$G:$G,'Raw Data'!$S:$S)/1000,"")</f>
        <v/>
      </c>
      <c r="H139" s="131"/>
      <c r="I139" s="131" t="str">
        <f>IFERROR(_xlfn.XLOOKUP($A139,'Raw Data'!$G:$G,'Raw Data'!$AF:$AF)/1000,"")</f>
        <v/>
      </c>
      <c r="J139" s="131"/>
      <c r="K139" s="131" t="str">
        <f>IFERROR(_xlfn.XLOOKUP($A139,'Raw Data'!$G:$G,'Raw Data'!W:W),"")</f>
        <v/>
      </c>
      <c r="L139" s="131" t="str">
        <f>IFERROR(_xlfn.XLOOKUP($A139,'Raw Data'!$G:$G,'Raw Data'!X:X),"")</f>
        <v/>
      </c>
      <c r="M139" s="131" t="str">
        <f>IFERROR(_xlfn.XLOOKUP($A139,'Raw Data'!$G:$G,'Raw Data'!Y:Y),"")</f>
        <v/>
      </c>
      <c r="N139" s="131" t="str">
        <f>IFERROR(_xlfn.XLOOKUP($A139,'Raw Data'!$G:$G,'Raw Data'!Z:Z),"")</f>
        <v/>
      </c>
      <c r="O139" s="158" t="str">
        <f>IFERROR(1-SUMIF('Plant BD'!$H:$H,$A139,'Plant BD'!AC:AC)/$F139,"")</f>
        <v/>
      </c>
      <c r="P139" s="158"/>
      <c r="Q139" s="159"/>
      <c r="R139" s="158" t="str">
        <f>IFERROR(1-SUMIF('Grid BD'!$H:$H,$A139,'Grid BD'!AB:AB)/$F139,"")</f>
        <v/>
      </c>
      <c r="T139" s="159" t="str">
        <f>IFERROR(1-SUMIF(Tracker_BD!$H:$H,$A139,Tracker_BD!AI:AI)/$F139,"")</f>
        <v/>
      </c>
      <c r="U139" s="160" t="str">
        <f t="shared" si="9"/>
        <v/>
      </c>
      <c r="V139" s="160"/>
      <c r="W139" s="161" t="str">
        <f t="shared" si="10"/>
        <v/>
      </c>
      <c r="X139" s="156" t="str">
        <f>IFERROR(_xlfn.XLOOKUP($A139,'Raw Data'!$G:$G,'Raw Data'!$AB:$AB),"")</f>
        <v/>
      </c>
      <c r="Y139" s="156" t="str">
        <f>IFERROR(_xlfn.XLOOKUP($A139,'Raw Data'!$G:$G,'Raw Data'!AC:AC),"")</f>
        <v/>
      </c>
      <c r="Z139" s="156" t="str">
        <f>IFERROR(_xlfn.XLOOKUP($A139,'Raw Data'!$G:$G,'Raw Data'!AD:AD),"")</f>
        <v/>
      </c>
      <c r="AA139" s="156" t="str">
        <f>IFERROR(_xlfn.XLOOKUP($A139,'Raw Data'!$G:$G,'Raw Data'!AE:AE),"")</f>
        <v/>
      </c>
      <c r="AB139" s="156" t="str">
        <f>IFERROR(_xlfn.XLOOKUP($A139,'Raw Data'!$G:$G,'Raw Data'!$H:$H),"")</f>
        <v/>
      </c>
      <c r="AC139" s="162">
        <f>IFERROR(_xlfn.XLOOKUP($D139,'Modelling New'!$D:$D,'Modelling New'!$P:$P),"")</f>
        <v>4.7713784612903236</v>
      </c>
      <c r="AD139" s="156">
        <f>IFERROR(_xlfn.XLOOKUP($D139,'Modelling New'!$D:$D,'Modelling New'!$T:$T)*1000,"")</f>
        <v>42082.405130697269</v>
      </c>
      <c r="AE139" s="163">
        <f>IFERROR(_xlfn.XLOOKUP($D139,'Modelling New'!$D:$D,'Modelling New'!$O:$O),"")</f>
        <v>0.75253911025234577</v>
      </c>
      <c r="AF139" s="163">
        <f>IFERROR(_xlfn.XLOOKUP($D139,'Modelling New'!$D:$D,'Modelling New'!$W:$W),"")</f>
        <v>0.1496103709140261</v>
      </c>
      <c r="AG139" s="163">
        <f>IFERROR(_xlfn.XLOOKUP($D139,'Modelling New'!$D:$D,'Modelling New'!AE:AE),"")</f>
        <v>0.995</v>
      </c>
      <c r="AH139" s="163">
        <f>IFERROR(_xlfn.XLOOKUP($D139,'Modelling New'!$D:$D,'Modelling New'!AF:AF),"")</f>
        <v>0.98550000000000004</v>
      </c>
      <c r="AN139" s="164"/>
      <c r="AO139" s="161"/>
      <c r="AP139" s="161"/>
      <c r="AQ139" s="161"/>
      <c r="AR139" s="156">
        <f>IFERROR(_xlfn.XLOOKUP($D139,'Modelling New'!$D:$D,'Modelling New'!$N:$N),"")</f>
        <v>11.72</v>
      </c>
    </row>
    <row r="140" spans="1:44">
      <c r="A140" s="155">
        <f t="shared" si="11"/>
        <v>45883</v>
      </c>
      <c r="B140" s="156">
        <f>YEAR(Table13[[#This Row],[Date]])+IF(MONTH(Table13[[#This Row],[Date]])&gt;=4,1,0)</f>
        <v>2026</v>
      </c>
      <c r="C140" s="129">
        <f>YEAR(Table13[[#This Row],[Date]])</f>
        <v>2025</v>
      </c>
      <c r="D140" s="157">
        <f>Table13[[#This Row],[Date]]-DAY(Table13[[#This Row],[Date]])+1</f>
        <v>45870</v>
      </c>
      <c r="E140" s="129">
        <f t="shared" si="8"/>
        <v>31</v>
      </c>
      <c r="F140" s="130" t="str">
        <f>IFERROR(_xlfn.XLOOKUP($A140,'Raw Data'!$G:$G,'Raw Data'!$AH:$AH),"")</f>
        <v/>
      </c>
      <c r="G140" s="131" t="str">
        <f>IFERROR(_xlfn.XLOOKUP($A140,'Raw Data'!$G:$G,'Raw Data'!$S:$S)/1000,"")</f>
        <v/>
      </c>
      <c r="H140" s="131"/>
      <c r="I140" s="131" t="str">
        <f>IFERROR(_xlfn.XLOOKUP($A140,'Raw Data'!$G:$G,'Raw Data'!$AF:$AF)/1000,"")</f>
        <v/>
      </c>
      <c r="J140" s="131"/>
      <c r="K140" s="131" t="str">
        <f>IFERROR(_xlfn.XLOOKUP($A140,'Raw Data'!$G:$G,'Raw Data'!W:W),"")</f>
        <v/>
      </c>
      <c r="L140" s="131" t="str">
        <f>IFERROR(_xlfn.XLOOKUP($A140,'Raw Data'!$G:$G,'Raw Data'!X:X),"")</f>
        <v/>
      </c>
      <c r="M140" s="131" t="str">
        <f>IFERROR(_xlfn.XLOOKUP($A140,'Raw Data'!$G:$G,'Raw Data'!Y:Y),"")</f>
        <v/>
      </c>
      <c r="N140" s="131" t="str">
        <f>IFERROR(_xlfn.XLOOKUP($A140,'Raw Data'!$G:$G,'Raw Data'!Z:Z),"")</f>
        <v/>
      </c>
      <c r="O140" s="158" t="str">
        <f>IFERROR(1-SUMIF('Plant BD'!$H:$H,$A140,'Plant BD'!AC:AC)/$F140,"")</f>
        <v/>
      </c>
      <c r="P140" s="158"/>
      <c r="Q140" s="159"/>
      <c r="R140" s="158" t="str">
        <f>IFERROR(1-SUMIF('Grid BD'!$H:$H,$A140,'Grid BD'!AB:AB)/$F140,"")</f>
        <v/>
      </c>
      <c r="T140" s="159" t="str">
        <f>IFERROR(1-SUMIF(Tracker_BD!$H:$H,$A140,Tracker_BD!AI:AI)/$F140,"")</f>
        <v/>
      </c>
      <c r="U140" s="160" t="str">
        <f t="shared" si="9"/>
        <v/>
      </c>
      <c r="V140" s="160"/>
      <c r="W140" s="161" t="str">
        <f t="shared" si="10"/>
        <v/>
      </c>
      <c r="X140" s="156" t="str">
        <f>IFERROR(_xlfn.XLOOKUP($A140,'Raw Data'!$G:$G,'Raw Data'!$AB:$AB),"")</f>
        <v/>
      </c>
      <c r="Y140" s="156" t="str">
        <f>IFERROR(_xlfn.XLOOKUP($A140,'Raw Data'!$G:$G,'Raw Data'!AC:AC),"")</f>
        <v/>
      </c>
      <c r="Z140" s="156" t="str">
        <f>IFERROR(_xlfn.XLOOKUP($A140,'Raw Data'!$G:$G,'Raw Data'!AD:AD),"")</f>
        <v/>
      </c>
      <c r="AA140" s="156" t="str">
        <f>IFERROR(_xlfn.XLOOKUP($A140,'Raw Data'!$G:$G,'Raw Data'!AE:AE),"")</f>
        <v/>
      </c>
      <c r="AB140" s="156" t="str">
        <f>IFERROR(_xlfn.XLOOKUP($A140,'Raw Data'!$G:$G,'Raw Data'!$H:$H),"")</f>
        <v/>
      </c>
      <c r="AC140" s="162">
        <f>IFERROR(_xlfn.XLOOKUP($D140,'Modelling New'!$D:$D,'Modelling New'!$P:$P),"")</f>
        <v>4.7713784612903236</v>
      </c>
      <c r="AD140" s="156">
        <f>IFERROR(_xlfn.XLOOKUP($D140,'Modelling New'!$D:$D,'Modelling New'!$T:$T)*1000,"")</f>
        <v>42082.405130697269</v>
      </c>
      <c r="AE140" s="163">
        <f>IFERROR(_xlfn.XLOOKUP($D140,'Modelling New'!$D:$D,'Modelling New'!$O:$O),"")</f>
        <v>0.75253911025234577</v>
      </c>
      <c r="AF140" s="163">
        <f>IFERROR(_xlfn.XLOOKUP($D140,'Modelling New'!$D:$D,'Modelling New'!$W:$W),"")</f>
        <v>0.1496103709140261</v>
      </c>
      <c r="AG140" s="163">
        <f>IFERROR(_xlfn.XLOOKUP($D140,'Modelling New'!$D:$D,'Modelling New'!AE:AE),"")</f>
        <v>0.995</v>
      </c>
      <c r="AH140" s="163">
        <f>IFERROR(_xlfn.XLOOKUP($D140,'Modelling New'!$D:$D,'Modelling New'!AF:AF),"")</f>
        <v>0.98550000000000004</v>
      </c>
      <c r="AN140" s="164"/>
      <c r="AO140" s="161"/>
      <c r="AP140" s="161"/>
      <c r="AQ140" s="161"/>
      <c r="AR140" s="156">
        <f>IFERROR(_xlfn.XLOOKUP($D140,'Modelling New'!$D:$D,'Modelling New'!$N:$N),"")</f>
        <v>11.72</v>
      </c>
    </row>
    <row r="141" spans="1:44">
      <c r="A141" s="155">
        <f t="shared" si="11"/>
        <v>45884</v>
      </c>
      <c r="B141" s="156">
        <f>YEAR(Table13[[#This Row],[Date]])+IF(MONTH(Table13[[#This Row],[Date]])&gt;=4,1,0)</f>
        <v>2026</v>
      </c>
      <c r="C141" s="129">
        <f>YEAR(Table13[[#This Row],[Date]])</f>
        <v>2025</v>
      </c>
      <c r="D141" s="157">
        <f>Table13[[#This Row],[Date]]-DAY(Table13[[#This Row],[Date]])+1</f>
        <v>45870</v>
      </c>
      <c r="E141" s="129">
        <f t="shared" si="8"/>
        <v>31</v>
      </c>
      <c r="F141" s="130" t="str">
        <f>IFERROR(_xlfn.XLOOKUP($A141,'Raw Data'!$G:$G,'Raw Data'!$AH:$AH),"")</f>
        <v/>
      </c>
      <c r="G141" s="131" t="str">
        <f>IFERROR(_xlfn.XLOOKUP($A141,'Raw Data'!$G:$G,'Raw Data'!$S:$S)/1000,"")</f>
        <v/>
      </c>
      <c r="H141" s="131"/>
      <c r="I141" s="131" t="str">
        <f>IFERROR(_xlfn.XLOOKUP($A141,'Raw Data'!$G:$G,'Raw Data'!$AF:$AF)/1000,"")</f>
        <v/>
      </c>
      <c r="J141" s="131"/>
      <c r="K141" s="131" t="str">
        <f>IFERROR(_xlfn.XLOOKUP($A141,'Raw Data'!$G:$G,'Raw Data'!W:W),"")</f>
        <v/>
      </c>
      <c r="L141" s="131" t="str">
        <f>IFERROR(_xlfn.XLOOKUP($A141,'Raw Data'!$G:$G,'Raw Data'!X:X),"")</f>
        <v/>
      </c>
      <c r="M141" s="131" t="str">
        <f>IFERROR(_xlfn.XLOOKUP($A141,'Raw Data'!$G:$G,'Raw Data'!Y:Y),"")</f>
        <v/>
      </c>
      <c r="N141" s="131" t="str">
        <f>IFERROR(_xlfn.XLOOKUP($A141,'Raw Data'!$G:$G,'Raw Data'!Z:Z),"")</f>
        <v/>
      </c>
      <c r="O141" s="158" t="str">
        <f>IFERROR(1-SUMIF('Plant BD'!$H:$H,$A141,'Plant BD'!AC:AC)/$F141,"")</f>
        <v/>
      </c>
      <c r="P141" s="158"/>
      <c r="Q141" s="159"/>
      <c r="R141" s="158" t="str">
        <f>IFERROR(1-SUMIF('Grid BD'!$H:$H,$A141,'Grid BD'!AB:AB)/$F141,"")</f>
        <v/>
      </c>
      <c r="T141" s="159" t="str">
        <f>IFERROR(1-SUMIF(Tracker_BD!$H:$H,$A141,Tracker_BD!AI:AI)/$F141,"")</f>
        <v/>
      </c>
      <c r="U141" s="160" t="str">
        <f t="shared" si="9"/>
        <v/>
      </c>
      <c r="V141" s="160"/>
      <c r="W141" s="161" t="str">
        <f t="shared" si="10"/>
        <v/>
      </c>
      <c r="X141" s="156" t="str">
        <f>IFERROR(_xlfn.XLOOKUP($A141,'Raw Data'!$G:$G,'Raw Data'!$AB:$AB),"")</f>
        <v/>
      </c>
      <c r="Y141" s="156" t="str">
        <f>IFERROR(_xlfn.XLOOKUP($A141,'Raw Data'!$G:$G,'Raw Data'!AC:AC),"")</f>
        <v/>
      </c>
      <c r="Z141" s="156" t="str">
        <f>IFERROR(_xlfn.XLOOKUP($A141,'Raw Data'!$G:$G,'Raw Data'!AD:AD),"")</f>
        <v/>
      </c>
      <c r="AA141" s="156" t="str">
        <f>IFERROR(_xlfn.XLOOKUP($A141,'Raw Data'!$G:$G,'Raw Data'!AE:AE),"")</f>
        <v/>
      </c>
      <c r="AB141" s="156" t="str">
        <f>IFERROR(_xlfn.XLOOKUP($A141,'Raw Data'!$G:$G,'Raw Data'!$H:$H),"")</f>
        <v/>
      </c>
      <c r="AC141" s="162">
        <f>IFERROR(_xlfn.XLOOKUP($D141,'Modelling New'!$D:$D,'Modelling New'!$P:$P),"")</f>
        <v>4.7713784612903236</v>
      </c>
      <c r="AD141" s="156">
        <f>IFERROR(_xlfn.XLOOKUP($D141,'Modelling New'!$D:$D,'Modelling New'!$T:$T)*1000,"")</f>
        <v>42082.405130697269</v>
      </c>
      <c r="AE141" s="163">
        <f>IFERROR(_xlfn.XLOOKUP($D141,'Modelling New'!$D:$D,'Modelling New'!$O:$O),"")</f>
        <v>0.75253911025234577</v>
      </c>
      <c r="AF141" s="163">
        <f>IFERROR(_xlfn.XLOOKUP($D141,'Modelling New'!$D:$D,'Modelling New'!$W:$W),"")</f>
        <v>0.1496103709140261</v>
      </c>
      <c r="AG141" s="163">
        <f>IFERROR(_xlfn.XLOOKUP($D141,'Modelling New'!$D:$D,'Modelling New'!AE:AE),"")</f>
        <v>0.995</v>
      </c>
      <c r="AH141" s="163">
        <f>IFERROR(_xlfn.XLOOKUP($D141,'Modelling New'!$D:$D,'Modelling New'!AF:AF),"")</f>
        <v>0.98550000000000004</v>
      </c>
      <c r="AN141" s="164"/>
      <c r="AO141" s="161"/>
      <c r="AP141" s="161"/>
      <c r="AQ141" s="161"/>
      <c r="AR141" s="156">
        <f>IFERROR(_xlfn.XLOOKUP($D141,'Modelling New'!$D:$D,'Modelling New'!$N:$N),"")</f>
        <v>11.72</v>
      </c>
    </row>
    <row r="142" spans="1:44">
      <c r="A142" s="155">
        <f t="shared" si="11"/>
        <v>45885</v>
      </c>
      <c r="B142" s="156">
        <f>YEAR(Table13[[#This Row],[Date]])+IF(MONTH(Table13[[#This Row],[Date]])&gt;=4,1,0)</f>
        <v>2026</v>
      </c>
      <c r="C142" s="129">
        <f>YEAR(Table13[[#This Row],[Date]])</f>
        <v>2025</v>
      </c>
      <c r="D142" s="157">
        <f>Table13[[#This Row],[Date]]-DAY(Table13[[#This Row],[Date]])+1</f>
        <v>45870</v>
      </c>
      <c r="E142" s="129">
        <f t="shared" si="8"/>
        <v>31</v>
      </c>
      <c r="F142" s="130" t="str">
        <f>IFERROR(_xlfn.XLOOKUP($A142,'Raw Data'!$G:$G,'Raw Data'!$AH:$AH),"")</f>
        <v/>
      </c>
      <c r="G142" s="131" t="str">
        <f>IFERROR(_xlfn.XLOOKUP($A142,'Raw Data'!$G:$G,'Raw Data'!$S:$S)/1000,"")</f>
        <v/>
      </c>
      <c r="H142" s="131"/>
      <c r="I142" s="131" t="str">
        <f>IFERROR(_xlfn.XLOOKUP($A142,'Raw Data'!$G:$G,'Raw Data'!$AF:$AF)/1000,"")</f>
        <v/>
      </c>
      <c r="J142" s="131"/>
      <c r="K142" s="131" t="str">
        <f>IFERROR(_xlfn.XLOOKUP($A142,'Raw Data'!$G:$G,'Raw Data'!W:W),"")</f>
        <v/>
      </c>
      <c r="L142" s="131" t="str">
        <f>IFERROR(_xlfn.XLOOKUP($A142,'Raw Data'!$G:$G,'Raw Data'!X:X),"")</f>
        <v/>
      </c>
      <c r="M142" s="131" t="str">
        <f>IFERROR(_xlfn.XLOOKUP($A142,'Raw Data'!$G:$G,'Raw Data'!Y:Y),"")</f>
        <v/>
      </c>
      <c r="N142" s="131" t="str">
        <f>IFERROR(_xlfn.XLOOKUP($A142,'Raw Data'!$G:$G,'Raw Data'!Z:Z),"")</f>
        <v/>
      </c>
      <c r="O142" s="158" t="str">
        <f>IFERROR(1-SUMIF('Plant BD'!$H:$H,$A142,'Plant BD'!AC:AC)/$F142,"")</f>
        <v/>
      </c>
      <c r="P142" s="158"/>
      <c r="Q142" s="159"/>
      <c r="R142" s="158" t="str">
        <f>IFERROR(1-SUMIF('Grid BD'!$H:$H,$A142,'Grid BD'!AB:AB)/$F142,"")</f>
        <v/>
      </c>
      <c r="T142" s="159" t="str">
        <f>IFERROR(1-SUMIF(Tracker_BD!$H:$H,$A142,Tracker_BD!AI:AI)/$F142,"")</f>
        <v/>
      </c>
      <c r="U142" s="160" t="str">
        <f t="shared" si="9"/>
        <v/>
      </c>
      <c r="V142" s="160"/>
      <c r="W142" s="161" t="str">
        <f t="shared" si="10"/>
        <v/>
      </c>
      <c r="X142" s="156" t="str">
        <f>IFERROR(_xlfn.XLOOKUP($A142,'Raw Data'!$G:$G,'Raw Data'!$AB:$AB),"")</f>
        <v/>
      </c>
      <c r="Y142" s="156" t="str">
        <f>IFERROR(_xlfn.XLOOKUP($A142,'Raw Data'!$G:$G,'Raw Data'!AC:AC),"")</f>
        <v/>
      </c>
      <c r="Z142" s="156" t="str">
        <f>IFERROR(_xlfn.XLOOKUP($A142,'Raw Data'!$G:$G,'Raw Data'!AD:AD),"")</f>
        <v/>
      </c>
      <c r="AA142" s="156" t="str">
        <f>IFERROR(_xlfn.XLOOKUP($A142,'Raw Data'!$G:$G,'Raw Data'!AE:AE),"")</f>
        <v/>
      </c>
      <c r="AB142" s="156" t="str">
        <f>IFERROR(_xlfn.XLOOKUP($A142,'Raw Data'!$G:$G,'Raw Data'!$H:$H),"")</f>
        <v/>
      </c>
      <c r="AC142" s="162">
        <f>IFERROR(_xlfn.XLOOKUP($D142,'Modelling New'!$D:$D,'Modelling New'!$P:$P),"")</f>
        <v>4.7713784612903236</v>
      </c>
      <c r="AD142" s="156">
        <f>IFERROR(_xlfn.XLOOKUP($D142,'Modelling New'!$D:$D,'Modelling New'!$T:$T)*1000,"")</f>
        <v>42082.405130697269</v>
      </c>
      <c r="AE142" s="163">
        <f>IFERROR(_xlfn.XLOOKUP($D142,'Modelling New'!$D:$D,'Modelling New'!$O:$O),"")</f>
        <v>0.75253911025234577</v>
      </c>
      <c r="AF142" s="163">
        <f>IFERROR(_xlfn.XLOOKUP($D142,'Modelling New'!$D:$D,'Modelling New'!$W:$W),"")</f>
        <v>0.1496103709140261</v>
      </c>
      <c r="AG142" s="163">
        <f>IFERROR(_xlfn.XLOOKUP($D142,'Modelling New'!$D:$D,'Modelling New'!AE:AE),"")</f>
        <v>0.995</v>
      </c>
      <c r="AH142" s="163">
        <f>IFERROR(_xlfn.XLOOKUP($D142,'Modelling New'!$D:$D,'Modelling New'!AF:AF),"")</f>
        <v>0.98550000000000004</v>
      </c>
      <c r="AN142" s="164"/>
      <c r="AO142" s="161"/>
      <c r="AP142" s="161"/>
      <c r="AQ142" s="161"/>
      <c r="AR142" s="156">
        <f>IFERROR(_xlfn.XLOOKUP($D142,'Modelling New'!$D:$D,'Modelling New'!$N:$N),"")</f>
        <v>11.72</v>
      </c>
    </row>
    <row r="143" spans="1:44">
      <c r="A143" s="155">
        <f t="shared" si="11"/>
        <v>45886</v>
      </c>
      <c r="B143" s="156">
        <f>YEAR(Table13[[#This Row],[Date]])+IF(MONTH(Table13[[#This Row],[Date]])&gt;=4,1,0)</f>
        <v>2026</v>
      </c>
      <c r="C143" s="129">
        <f>YEAR(Table13[[#This Row],[Date]])</f>
        <v>2025</v>
      </c>
      <c r="D143" s="157">
        <f>Table13[[#This Row],[Date]]-DAY(Table13[[#This Row],[Date]])+1</f>
        <v>45870</v>
      </c>
      <c r="E143" s="129">
        <f t="shared" si="8"/>
        <v>31</v>
      </c>
      <c r="F143" s="130" t="str">
        <f>IFERROR(_xlfn.XLOOKUP($A143,'Raw Data'!$G:$G,'Raw Data'!$AH:$AH),"")</f>
        <v/>
      </c>
      <c r="G143" s="131" t="str">
        <f>IFERROR(_xlfn.XLOOKUP($A143,'Raw Data'!$G:$G,'Raw Data'!$S:$S)/1000,"")</f>
        <v/>
      </c>
      <c r="H143" s="131"/>
      <c r="I143" s="131" t="str">
        <f>IFERROR(_xlfn.XLOOKUP($A143,'Raw Data'!$G:$G,'Raw Data'!$AF:$AF)/1000,"")</f>
        <v/>
      </c>
      <c r="J143" s="131"/>
      <c r="K143" s="131" t="str">
        <f>IFERROR(_xlfn.XLOOKUP($A143,'Raw Data'!$G:$G,'Raw Data'!W:W),"")</f>
        <v/>
      </c>
      <c r="L143" s="131" t="str">
        <f>IFERROR(_xlfn.XLOOKUP($A143,'Raw Data'!$G:$G,'Raw Data'!X:X),"")</f>
        <v/>
      </c>
      <c r="M143" s="131" t="str">
        <f>IFERROR(_xlfn.XLOOKUP($A143,'Raw Data'!$G:$G,'Raw Data'!Y:Y),"")</f>
        <v/>
      </c>
      <c r="N143" s="131" t="str">
        <f>IFERROR(_xlfn.XLOOKUP($A143,'Raw Data'!$G:$G,'Raw Data'!Z:Z),"")</f>
        <v/>
      </c>
      <c r="O143" s="158" t="str">
        <f>IFERROR(1-SUMIF('Plant BD'!$H:$H,$A143,'Plant BD'!AC:AC)/$F143,"")</f>
        <v/>
      </c>
      <c r="P143" s="158"/>
      <c r="Q143" s="159"/>
      <c r="R143" s="158" t="str">
        <f>IFERROR(1-SUMIF('Grid BD'!$H:$H,$A143,'Grid BD'!AB:AB)/$F143,"")</f>
        <v/>
      </c>
      <c r="T143" s="159" t="str">
        <f>IFERROR(1-SUMIF(Tracker_BD!$H:$H,$A143,Tracker_BD!AI:AI)/$F143,"")</f>
        <v/>
      </c>
      <c r="U143" s="160" t="str">
        <f t="shared" si="9"/>
        <v/>
      </c>
      <c r="V143" s="160"/>
      <c r="W143" s="161" t="str">
        <f t="shared" si="10"/>
        <v/>
      </c>
      <c r="X143" s="156" t="str">
        <f>IFERROR(_xlfn.XLOOKUP($A143,'Raw Data'!$G:$G,'Raw Data'!$AB:$AB),"")</f>
        <v/>
      </c>
      <c r="Y143" s="156" t="str">
        <f>IFERROR(_xlfn.XLOOKUP($A143,'Raw Data'!$G:$G,'Raw Data'!AC:AC),"")</f>
        <v/>
      </c>
      <c r="Z143" s="156" t="str">
        <f>IFERROR(_xlfn.XLOOKUP($A143,'Raw Data'!$G:$G,'Raw Data'!AD:AD),"")</f>
        <v/>
      </c>
      <c r="AA143" s="156" t="str">
        <f>IFERROR(_xlfn.XLOOKUP($A143,'Raw Data'!$G:$G,'Raw Data'!AE:AE),"")</f>
        <v/>
      </c>
      <c r="AB143" s="156" t="str">
        <f>IFERROR(_xlfn.XLOOKUP($A143,'Raw Data'!$G:$G,'Raw Data'!$H:$H),"")</f>
        <v/>
      </c>
      <c r="AC143" s="162">
        <f>IFERROR(_xlfn.XLOOKUP($D143,'Modelling New'!$D:$D,'Modelling New'!$P:$P),"")</f>
        <v>4.7713784612903236</v>
      </c>
      <c r="AD143" s="156">
        <f>IFERROR(_xlfn.XLOOKUP($D143,'Modelling New'!$D:$D,'Modelling New'!$T:$T)*1000,"")</f>
        <v>42082.405130697269</v>
      </c>
      <c r="AE143" s="163">
        <f>IFERROR(_xlfn.XLOOKUP($D143,'Modelling New'!$D:$D,'Modelling New'!$O:$O),"")</f>
        <v>0.75253911025234577</v>
      </c>
      <c r="AF143" s="163">
        <f>IFERROR(_xlfn.XLOOKUP($D143,'Modelling New'!$D:$D,'Modelling New'!$W:$W),"")</f>
        <v>0.1496103709140261</v>
      </c>
      <c r="AG143" s="163">
        <f>IFERROR(_xlfn.XLOOKUP($D143,'Modelling New'!$D:$D,'Modelling New'!AE:AE),"")</f>
        <v>0.995</v>
      </c>
      <c r="AH143" s="163">
        <f>IFERROR(_xlfn.XLOOKUP($D143,'Modelling New'!$D:$D,'Modelling New'!AF:AF),"")</f>
        <v>0.98550000000000004</v>
      </c>
      <c r="AN143" s="164"/>
      <c r="AO143" s="161"/>
      <c r="AP143" s="161"/>
      <c r="AQ143" s="161"/>
      <c r="AR143" s="156">
        <f>IFERROR(_xlfn.XLOOKUP($D143,'Modelling New'!$D:$D,'Modelling New'!$N:$N),"")</f>
        <v>11.72</v>
      </c>
    </row>
    <row r="144" spans="1:44">
      <c r="A144" s="155">
        <f t="shared" si="11"/>
        <v>45887</v>
      </c>
      <c r="B144" s="156">
        <f>YEAR(Table13[[#This Row],[Date]])+IF(MONTH(Table13[[#This Row],[Date]])&gt;=4,1,0)</f>
        <v>2026</v>
      </c>
      <c r="C144" s="129">
        <f>YEAR(Table13[[#This Row],[Date]])</f>
        <v>2025</v>
      </c>
      <c r="D144" s="157">
        <f>Table13[[#This Row],[Date]]-DAY(Table13[[#This Row],[Date]])+1</f>
        <v>45870</v>
      </c>
      <c r="E144" s="129">
        <f t="shared" si="8"/>
        <v>31</v>
      </c>
      <c r="F144" s="130" t="str">
        <f>IFERROR(_xlfn.XLOOKUP($A144,'Raw Data'!$G:$G,'Raw Data'!$AH:$AH),"")</f>
        <v/>
      </c>
      <c r="G144" s="131" t="str">
        <f>IFERROR(_xlfn.XLOOKUP($A144,'Raw Data'!$G:$G,'Raw Data'!$S:$S)/1000,"")</f>
        <v/>
      </c>
      <c r="H144" s="131"/>
      <c r="I144" s="131" t="str">
        <f>IFERROR(_xlfn.XLOOKUP($A144,'Raw Data'!$G:$G,'Raw Data'!$AF:$AF)/1000,"")</f>
        <v/>
      </c>
      <c r="J144" s="131"/>
      <c r="K144" s="131" t="str">
        <f>IFERROR(_xlfn.XLOOKUP($A144,'Raw Data'!$G:$G,'Raw Data'!W:W),"")</f>
        <v/>
      </c>
      <c r="L144" s="131" t="str">
        <f>IFERROR(_xlfn.XLOOKUP($A144,'Raw Data'!$G:$G,'Raw Data'!X:X),"")</f>
        <v/>
      </c>
      <c r="M144" s="131" t="str">
        <f>IFERROR(_xlfn.XLOOKUP($A144,'Raw Data'!$G:$G,'Raw Data'!Y:Y),"")</f>
        <v/>
      </c>
      <c r="N144" s="131" t="str">
        <f>IFERROR(_xlfn.XLOOKUP($A144,'Raw Data'!$G:$G,'Raw Data'!Z:Z),"")</f>
        <v/>
      </c>
      <c r="O144" s="158" t="str">
        <f>IFERROR(1-SUMIF('Plant BD'!$H:$H,$A144,'Plant BD'!AC:AC)/$F144,"")</f>
        <v/>
      </c>
      <c r="P144" s="158"/>
      <c r="Q144" s="159"/>
      <c r="R144" s="158" t="str">
        <f>IFERROR(1-SUMIF('Grid BD'!$H:$H,$A144,'Grid BD'!AB:AB)/$F144,"")</f>
        <v/>
      </c>
      <c r="T144" s="159" t="str">
        <f>IFERROR(1-SUMIF(Tracker_BD!$H:$H,$A144,Tracker_BD!AI:AI)/$F144,"")</f>
        <v/>
      </c>
      <c r="U144" s="160" t="str">
        <f t="shared" si="9"/>
        <v/>
      </c>
      <c r="V144" s="160"/>
      <c r="W144" s="161" t="str">
        <f t="shared" si="10"/>
        <v/>
      </c>
      <c r="X144" s="156" t="str">
        <f>IFERROR(_xlfn.XLOOKUP($A144,'Raw Data'!$G:$G,'Raw Data'!$AB:$AB),"")</f>
        <v/>
      </c>
      <c r="Y144" s="156" t="str">
        <f>IFERROR(_xlfn.XLOOKUP($A144,'Raw Data'!$G:$G,'Raw Data'!AC:AC),"")</f>
        <v/>
      </c>
      <c r="Z144" s="156" t="str">
        <f>IFERROR(_xlfn.XLOOKUP($A144,'Raw Data'!$G:$G,'Raw Data'!AD:AD),"")</f>
        <v/>
      </c>
      <c r="AA144" s="156" t="str">
        <f>IFERROR(_xlfn.XLOOKUP($A144,'Raw Data'!$G:$G,'Raw Data'!AE:AE),"")</f>
        <v/>
      </c>
      <c r="AB144" s="156" t="str">
        <f>IFERROR(_xlfn.XLOOKUP($A144,'Raw Data'!$G:$G,'Raw Data'!$H:$H),"")</f>
        <v/>
      </c>
      <c r="AC144" s="162">
        <f>IFERROR(_xlfn.XLOOKUP($D144,'Modelling New'!$D:$D,'Modelling New'!$P:$P),"")</f>
        <v>4.7713784612903236</v>
      </c>
      <c r="AD144" s="156">
        <f>IFERROR(_xlfn.XLOOKUP($D144,'Modelling New'!$D:$D,'Modelling New'!$T:$T)*1000,"")</f>
        <v>42082.405130697269</v>
      </c>
      <c r="AE144" s="163">
        <f>IFERROR(_xlfn.XLOOKUP($D144,'Modelling New'!$D:$D,'Modelling New'!$O:$O),"")</f>
        <v>0.75253911025234577</v>
      </c>
      <c r="AF144" s="163">
        <f>IFERROR(_xlfn.XLOOKUP($D144,'Modelling New'!$D:$D,'Modelling New'!$W:$W),"")</f>
        <v>0.1496103709140261</v>
      </c>
      <c r="AG144" s="163">
        <f>IFERROR(_xlfn.XLOOKUP($D144,'Modelling New'!$D:$D,'Modelling New'!AE:AE),"")</f>
        <v>0.995</v>
      </c>
      <c r="AH144" s="163">
        <f>IFERROR(_xlfn.XLOOKUP($D144,'Modelling New'!$D:$D,'Modelling New'!AF:AF),"")</f>
        <v>0.98550000000000004</v>
      </c>
      <c r="AN144" s="164"/>
      <c r="AO144" s="161"/>
      <c r="AP144" s="161"/>
      <c r="AQ144" s="161"/>
      <c r="AR144" s="156">
        <f>IFERROR(_xlfn.XLOOKUP($D144,'Modelling New'!$D:$D,'Modelling New'!$N:$N),"")</f>
        <v>11.72</v>
      </c>
    </row>
    <row r="145" spans="1:44">
      <c r="A145" s="155">
        <f t="shared" si="11"/>
        <v>45888</v>
      </c>
      <c r="B145" s="156">
        <f>YEAR(Table13[[#This Row],[Date]])+IF(MONTH(Table13[[#This Row],[Date]])&gt;=4,1,0)</f>
        <v>2026</v>
      </c>
      <c r="C145" s="129">
        <f>YEAR(Table13[[#This Row],[Date]])</f>
        <v>2025</v>
      </c>
      <c r="D145" s="157">
        <f>Table13[[#This Row],[Date]]-DAY(Table13[[#This Row],[Date]])+1</f>
        <v>45870</v>
      </c>
      <c r="E145" s="129">
        <f t="shared" si="8"/>
        <v>31</v>
      </c>
      <c r="F145" s="130" t="str">
        <f>IFERROR(_xlfn.XLOOKUP($A145,'Raw Data'!$G:$G,'Raw Data'!$AH:$AH),"")</f>
        <v/>
      </c>
      <c r="G145" s="131" t="str">
        <f>IFERROR(_xlfn.XLOOKUP($A145,'Raw Data'!$G:$G,'Raw Data'!$S:$S)/1000,"")</f>
        <v/>
      </c>
      <c r="H145" s="131"/>
      <c r="I145" s="131" t="str">
        <f>IFERROR(_xlfn.XLOOKUP($A145,'Raw Data'!$G:$G,'Raw Data'!$AF:$AF)/1000,"")</f>
        <v/>
      </c>
      <c r="J145" s="131"/>
      <c r="K145" s="131" t="str">
        <f>IFERROR(_xlfn.XLOOKUP($A145,'Raw Data'!$G:$G,'Raw Data'!W:W),"")</f>
        <v/>
      </c>
      <c r="L145" s="131" t="str">
        <f>IFERROR(_xlfn.XLOOKUP($A145,'Raw Data'!$G:$G,'Raw Data'!X:X),"")</f>
        <v/>
      </c>
      <c r="M145" s="131" t="str">
        <f>IFERROR(_xlfn.XLOOKUP($A145,'Raw Data'!$G:$G,'Raw Data'!Y:Y),"")</f>
        <v/>
      </c>
      <c r="N145" s="131" t="str">
        <f>IFERROR(_xlfn.XLOOKUP($A145,'Raw Data'!$G:$G,'Raw Data'!Z:Z),"")</f>
        <v/>
      </c>
      <c r="O145" s="158" t="str">
        <f>IFERROR(1-SUMIF('Plant BD'!$H:$H,$A145,'Plant BD'!AC:AC)/$F145,"")</f>
        <v/>
      </c>
      <c r="P145" s="158"/>
      <c r="Q145" s="159"/>
      <c r="R145" s="158" t="str">
        <f>IFERROR(1-SUMIF('Grid BD'!$H:$H,$A145,'Grid BD'!AB:AB)/$F145,"")</f>
        <v/>
      </c>
      <c r="T145" s="159" t="str">
        <f>IFERROR(1-SUMIF(Tracker_BD!$H:$H,$A145,Tracker_BD!AI:AI)/$F145,"")</f>
        <v/>
      </c>
      <c r="U145" s="160" t="str">
        <f t="shared" si="9"/>
        <v/>
      </c>
      <c r="V145" s="160"/>
      <c r="W145" s="161" t="str">
        <f t="shared" si="10"/>
        <v/>
      </c>
      <c r="X145" s="156" t="str">
        <f>IFERROR(_xlfn.XLOOKUP($A145,'Raw Data'!$G:$G,'Raw Data'!$AB:$AB),"")</f>
        <v/>
      </c>
      <c r="Y145" s="156" t="str">
        <f>IFERROR(_xlfn.XLOOKUP($A145,'Raw Data'!$G:$G,'Raw Data'!AC:AC),"")</f>
        <v/>
      </c>
      <c r="Z145" s="156" t="str">
        <f>IFERROR(_xlfn.XLOOKUP($A145,'Raw Data'!$G:$G,'Raw Data'!AD:AD),"")</f>
        <v/>
      </c>
      <c r="AA145" s="156" t="str">
        <f>IFERROR(_xlfn.XLOOKUP($A145,'Raw Data'!$G:$G,'Raw Data'!AE:AE),"")</f>
        <v/>
      </c>
      <c r="AB145" s="156" t="str">
        <f>IFERROR(_xlfn.XLOOKUP($A145,'Raw Data'!$G:$G,'Raw Data'!$H:$H),"")</f>
        <v/>
      </c>
      <c r="AC145" s="162">
        <f>IFERROR(_xlfn.XLOOKUP($D145,'Modelling New'!$D:$D,'Modelling New'!$P:$P),"")</f>
        <v>4.7713784612903236</v>
      </c>
      <c r="AD145" s="156">
        <f>IFERROR(_xlfn.XLOOKUP($D145,'Modelling New'!$D:$D,'Modelling New'!$T:$T)*1000,"")</f>
        <v>42082.405130697269</v>
      </c>
      <c r="AE145" s="163">
        <f>IFERROR(_xlfn.XLOOKUP($D145,'Modelling New'!$D:$D,'Modelling New'!$O:$O),"")</f>
        <v>0.75253911025234577</v>
      </c>
      <c r="AF145" s="163">
        <f>IFERROR(_xlfn.XLOOKUP($D145,'Modelling New'!$D:$D,'Modelling New'!$W:$W),"")</f>
        <v>0.1496103709140261</v>
      </c>
      <c r="AG145" s="163">
        <f>IFERROR(_xlfn.XLOOKUP($D145,'Modelling New'!$D:$D,'Modelling New'!AE:AE),"")</f>
        <v>0.995</v>
      </c>
      <c r="AH145" s="163">
        <f>IFERROR(_xlfn.XLOOKUP($D145,'Modelling New'!$D:$D,'Modelling New'!AF:AF),"")</f>
        <v>0.98550000000000004</v>
      </c>
      <c r="AN145" s="164"/>
      <c r="AO145" s="161"/>
      <c r="AP145" s="161"/>
      <c r="AQ145" s="161"/>
      <c r="AR145" s="156">
        <f>IFERROR(_xlfn.XLOOKUP($D145,'Modelling New'!$D:$D,'Modelling New'!$N:$N),"")</f>
        <v>11.72</v>
      </c>
    </row>
    <row r="146" spans="1:44">
      <c r="A146" s="155">
        <f t="shared" si="11"/>
        <v>45889</v>
      </c>
      <c r="B146" s="156">
        <f>YEAR(Table13[[#This Row],[Date]])+IF(MONTH(Table13[[#This Row],[Date]])&gt;=4,1,0)</f>
        <v>2026</v>
      </c>
      <c r="C146" s="129">
        <f>YEAR(Table13[[#This Row],[Date]])</f>
        <v>2025</v>
      </c>
      <c r="D146" s="157">
        <f>Table13[[#This Row],[Date]]-DAY(Table13[[#This Row],[Date]])+1</f>
        <v>45870</v>
      </c>
      <c r="E146" s="129">
        <f t="shared" si="8"/>
        <v>31</v>
      </c>
      <c r="F146" s="130" t="str">
        <f>IFERROR(_xlfn.XLOOKUP($A146,'Raw Data'!$G:$G,'Raw Data'!$AH:$AH),"")</f>
        <v/>
      </c>
      <c r="G146" s="131" t="str">
        <f>IFERROR(_xlfn.XLOOKUP($A146,'Raw Data'!$G:$G,'Raw Data'!$S:$S)/1000,"")</f>
        <v/>
      </c>
      <c r="H146" s="131"/>
      <c r="I146" s="131" t="str">
        <f>IFERROR(_xlfn.XLOOKUP($A146,'Raw Data'!$G:$G,'Raw Data'!$AF:$AF)/1000,"")</f>
        <v/>
      </c>
      <c r="J146" s="131"/>
      <c r="K146" s="131" t="str">
        <f>IFERROR(_xlfn.XLOOKUP($A146,'Raw Data'!$G:$G,'Raw Data'!W:W),"")</f>
        <v/>
      </c>
      <c r="L146" s="131" t="str">
        <f>IFERROR(_xlfn.XLOOKUP($A146,'Raw Data'!$G:$G,'Raw Data'!X:X),"")</f>
        <v/>
      </c>
      <c r="M146" s="131" t="str">
        <f>IFERROR(_xlfn.XLOOKUP($A146,'Raw Data'!$G:$G,'Raw Data'!Y:Y),"")</f>
        <v/>
      </c>
      <c r="N146" s="131" t="str">
        <f>IFERROR(_xlfn.XLOOKUP($A146,'Raw Data'!$G:$G,'Raw Data'!Z:Z),"")</f>
        <v/>
      </c>
      <c r="O146" s="158" t="str">
        <f>IFERROR(1-SUMIF('Plant BD'!$H:$H,$A146,'Plant BD'!AC:AC)/$F146,"")</f>
        <v/>
      </c>
      <c r="P146" s="158"/>
      <c r="Q146" s="159"/>
      <c r="R146" s="158" t="str">
        <f>IFERROR(1-SUMIF('Grid BD'!$H:$H,$A146,'Grid BD'!AB:AB)/$F146,"")</f>
        <v/>
      </c>
      <c r="T146" s="159" t="str">
        <f>IFERROR(1-SUMIF(Tracker_BD!$H:$H,$A146,Tracker_BD!AI:AI)/$F146,"")</f>
        <v/>
      </c>
      <c r="U146" s="160" t="str">
        <f t="shared" si="9"/>
        <v/>
      </c>
      <c r="V146" s="160"/>
      <c r="W146" s="161" t="str">
        <f t="shared" si="10"/>
        <v/>
      </c>
      <c r="X146" s="156" t="str">
        <f>IFERROR(_xlfn.XLOOKUP($A146,'Raw Data'!$G:$G,'Raw Data'!$AB:$AB),"")</f>
        <v/>
      </c>
      <c r="Y146" s="156" t="str">
        <f>IFERROR(_xlfn.XLOOKUP($A146,'Raw Data'!$G:$G,'Raw Data'!AC:AC),"")</f>
        <v/>
      </c>
      <c r="Z146" s="156" t="str">
        <f>IFERROR(_xlfn.XLOOKUP($A146,'Raw Data'!$G:$G,'Raw Data'!AD:AD),"")</f>
        <v/>
      </c>
      <c r="AA146" s="156" t="str">
        <f>IFERROR(_xlfn.XLOOKUP($A146,'Raw Data'!$G:$G,'Raw Data'!AE:AE),"")</f>
        <v/>
      </c>
      <c r="AB146" s="156" t="str">
        <f>IFERROR(_xlfn.XLOOKUP($A146,'Raw Data'!$G:$G,'Raw Data'!$H:$H),"")</f>
        <v/>
      </c>
      <c r="AC146" s="162">
        <f>IFERROR(_xlfn.XLOOKUP($D146,'Modelling New'!$D:$D,'Modelling New'!$P:$P),"")</f>
        <v>4.7713784612903236</v>
      </c>
      <c r="AD146" s="156">
        <f>IFERROR(_xlfn.XLOOKUP($D146,'Modelling New'!$D:$D,'Modelling New'!$T:$T)*1000,"")</f>
        <v>42082.405130697269</v>
      </c>
      <c r="AE146" s="163">
        <f>IFERROR(_xlfn.XLOOKUP($D146,'Modelling New'!$D:$D,'Modelling New'!$O:$O),"")</f>
        <v>0.75253911025234577</v>
      </c>
      <c r="AF146" s="163">
        <f>IFERROR(_xlfn.XLOOKUP($D146,'Modelling New'!$D:$D,'Modelling New'!$W:$W),"")</f>
        <v>0.1496103709140261</v>
      </c>
      <c r="AG146" s="163">
        <f>IFERROR(_xlfn.XLOOKUP($D146,'Modelling New'!$D:$D,'Modelling New'!AE:AE),"")</f>
        <v>0.995</v>
      </c>
      <c r="AH146" s="163">
        <f>IFERROR(_xlfn.XLOOKUP($D146,'Modelling New'!$D:$D,'Modelling New'!AF:AF),"")</f>
        <v>0.98550000000000004</v>
      </c>
      <c r="AN146" s="164"/>
      <c r="AO146" s="161"/>
      <c r="AP146" s="161"/>
      <c r="AQ146" s="161"/>
      <c r="AR146" s="156">
        <f>IFERROR(_xlfn.XLOOKUP($D146,'Modelling New'!$D:$D,'Modelling New'!$N:$N),"")</f>
        <v>11.72</v>
      </c>
    </row>
    <row r="147" spans="1:44">
      <c r="A147" s="155">
        <f t="shared" si="11"/>
        <v>45890</v>
      </c>
      <c r="B147" s="156">
        <f>YEAR(Table13[[#This Row],[Date]])+IF(MONTH(Table13[[#This Row],[Date]])&gt;=4,1,0)</f>
        <v>2026</v>
      </c>
      <c r="C147" s="129">
        <f>YEAR(Table13[[#This Row],[Date]])</f>
        <v>2025</v>
      </c>
      <c r="D147" s="157">
        <f>Table13[[#This Row],[Date]]-DAY(Table13[[#This Row],[Date]])+1</f>
        <v>45870</v>
      </c>
      <c r="E147" s="129">
        <f t="shared" si="8"/>
        <v>31</v>
      </c>
      <c r="F147" s="130" t="str">
        <f>IFERROR(_xlfn.XLOOKUP($A147,'Raw Data'!$G:$G,'Raw Data'!$AH:$AH),"")</f>
        <v/>
      </c>
      <c r="G147" s="131" t="str">
        <f>IFERROR(_xlfn.XLOOKUP($A147,'Raw Data'!$G:$G,'Raw Data'!$S:$S)/1000,"")</f>
        <v/>
      </c>
      <c r="H147" s="131"/>
      <c r="I147" s="131" t="str">
        <f>IFERROR(_xlfn.XLOOKUP($A147,'Raw Data'!$G:$G,'Raw Data'!$AF:$AF)/1000,"")</f>
        <v/>
      </c>
      <c r="J147" s="131"/>
      <c r="K147" s="131" t="str">
        <f>IFERROR(_xlfn.XLOOKUP($A147,'Raw Data'!$G:$G,'Raw Data'!W:W),"")</f>
        <v/>
      </c>
      <c r="L147" s="131" t="str">
        <f>IFERROR(_xlfn.XLOOKUP($A147,'Raw Data'!$G:$G,'Raw Data'!X:X),"")</f>
        <v/>
      </c>
      <c r="M147" s="131" t="str">
        <f>IFERROR(_xlfn.XLOOKUP($A147,'Raw Data'!$G:$G,'Raw Data'!Y:Y),"")</f>
        <v/>
      </c>
      <c r="N147" s="131" t="str">
        <f>IFERROR(_xlfn.XLOOKUP($A147,'Raw Data'!$G:$G,'Raw Data'!Z:Z),"")</f>
        <v/>
      </c>
      <c r="O147" s="158" t="str">
        <f>IFERROR(1-SUMIF('Plant BD'!$H:$H,$A147,'Plant BD'!AC:AC)/$F147,"")</f>
        <v/>
      </c>
      <c r="P147" s="158"/>
      <c r="Q147" s="159"/>
      <c r="R147" s="158" t="str">
        <f>IFERROR(1-SUMIF('Grid BD'!$H:$H,$A147,'Grid BD'!AB:AB)/$F147,"")</f>
        <v/>
      </c>
      <c r="T147" s="159" t="str">
        <f>IFERROR(1-SUMIF(Tracker_BD!$H:$H,$A147,Tracker_BD!AI:AI)/$F147,"")</f>
        <v/>
      </c>
      <c r="U147" s="160" t="str">
        <f t="shared" si="9"/>
        <v/>
      </c>
      <c r="V147" s="160"/>
      <c r="W147" s="161" t="str">
        <f t="shared" si="10"/>
        <v/>
      </c>
      <c r="X147" s="156" t="str">
        <f>IFERROR(_xlfn.XLOOKUP($A147,'Raw Data'!$G:$G,'Raw Data'!$AB:$AB),"")</f>
        <v/>
      </c>
      <c r="Y147" s="156" t="str">
        <f>IFERROR(_xlfn.XLOOKUP($A147,'Raw Data'!$G:$G,'Raw Data'!AC:AC),"")</f>
        <v/>
      </c>
      <c r="Z147" s="156" t="str">
        <f>IFERROR(_xlfn.XLOOKUP($A147,'Raw Data'!$G:$G,'Raw Data'!AD:AD),"")</f>
        <v/>
      </c>
      <c r="AA147" s="156" t="str">
        <f>IFERROR(_xlfn.XLOOKUP($A147,'Raw Data'!$G:$G,'Raw Data'!AE:AE),"")</f>
        <v/>
      </c>
      <c r="AB147" s="156" t="str">
        <f>IFERROR(_xlfn.XLOOKUP($A147,'Raw Data'!$G:$G,'Raw Data'!$H:$H),"")</f>
        <v/>
      </c>
      <c r="AC147" s="162">
        <f>IFERROR(_xlfn.XLOOKUP($D147,'Modelling New'!$D:$D,'Modelling New'!$P:$P),"")</f>
        <v>4.7713784612903236</v>
      </c>
      <c r="AD147" s="156">
        <f>IFERROR(_xlfn.XLOOKUP($D147,'Modelling New'!$D:$D,'Modelling New'!$T:$T)*1000,"")</f>
        <v>42082.405130697269</v>
      </c>
      <c r="AE147" s="163">
        <f>IFERROR(_xlfn.XLOOKUP($D147,'Modelling New'!$D:$D,'Modelling New'!$O:$O),"")</f>
        <v>0.75253911025234577</v>
      </c>
      <c r="AF147" s="163">
        <f>IFERROR(_xlfn.XLOOKUP($D147,'Modelling New'!$D:$D,'Modelling New'!$W:$W),"")</f>
        <v>0.1496103709140261</v>
      </c>
      <c r="AG147" s="163">
        <f>IFERROR(_xlfn.XLOOKUP($D147,'Modelling New'!$D:$D,'Modelling New'!AE:AE),"")</f>
        <v>0.995</v>
      </c>
      <c r="AH147" s="163">
        <f>IFERROR(_xlfn.XLOOKUP($D147,'Modelling New'!$D:$D,'Modelling New'!AF:AF),"")</f>
        <v>0.98550000000000004</v>
      </c>
      <c r="AN147" s="164"/>
      <c r="AO147" s="161"/>
      <c r="AP147" s="161"/>
      <c r="AQ147" s="161"/>
      <c r="AR147" s="156">
        <f>IFERROR(_xlfn.XLOOKUP($D147,'Modelling New'!$D:$D,'Modelling New'!$N:$N),"")</f>
        <v>11.72</v>
      </c>
    </row>
    <row r="148" spans="1:44">
      <c r="A148" s="155">
        <f t="shared" si="11"/>
        <v>45891</v>
      </c>
      <c r="B148" s="156">
        <f>YEAR(Table13[[#This Row],[Date]])+IF(MONTH(Table13[[#This Row],[Date]])&gt;=4,1,0)</f>
        <v>2026</v>
      </c>
      <c r="C148" s="129">
        <f>YEAR(Table13[[#This Row],[Date]])</f>
        <v>2025</v>
      </c>
      <c r="D148" s="157">
        <f>Table13[[#This Row],[Date]]-DAY(Table13[[#This Row],[Date]])+1</f>
        <v>45870</v>
      </c>
      <c r="E148" s="129">
        <f t="shared" si="8"/>
        <v>31</v>
      </c>
      <c r="F148" s="130" t="str">
        <f>IFERROR(_xlfn.XLOOKUP($A148,'Raw Data'!$G:$G,'Raw Data'!$AH:$AH),"")</f>
        <v/>
      </c>
      <c r="G148" s="131" t="str">
        <f>IFERROR(_xlfn.XLOOKUP($A148,'Raw Data'!$G:$G,'Raw Data'!$S:$S)/1000,"")</f>
        <v/>
      </c>
      <c r="H148" s="131"/>
      <c r="I148" s="131" t="str">
        <f>IFERROR(_xlfn.XLOOKUP($A148,'Raw Data'!$G:$G,'Raw Data'!$AF:$AF)/1000,"")</f>
        <v/>
      </c>
      <c r="J148" s="131"/>
      <c r="K148" s="131" t="str">
        <f>IFERROR(_xlfn.XLOOKUP($A148,'Raw Data'!$G:$G,'Raw Data'!W:W),"")</f>
        <v/>
      </c>
      <c r="L148" s="131" t="str">
        <f>IFERROR(_xlfn.XLOOKUP($A148,'Raw Data'!$G:$G,'Raw Data'!X:X),"")</f>
        <v/>
      </c>
      <c r="M148" s="131" t="str">
        <f>IFERROR(_xlfn.XLOOKUP($A148,'Raw Data'!$G:$G,'Raw Data'!Y:Y),"")</f>
        <v/>
      </c>
      <c r="N148" s="131" t="str">
        <f>IFERROR(_xlfn.XLOOKUP($A148,'Raw Data'!$G:$G,'Raw Data'!Z:Z),"")</f>
        <v/>
      </c>
      <c r="O148" s="158" t="str">
        <f>IFERROR(1-SUMIF('Plant BD'!$H:$H,$A148,'Plant BD'!AC:AC)/$F148,"")</f>
        <v/>
      </c>
      <c r="P148" s="158"/>
      <c r="Q148" s="159"/>
      <c r="R148" s="158" t="str">
        <f>IFERROR(1-SUMIF('Grid BD'!$H:$H,$A148,'Grid BD'!AB:AB)/$F148,"")</f>
        <v/>
      </c>
      <c r="T148" s="159" t="str">
        <f>IFERROR(1-SUMIF(Tracker_BD!$H:$H,$A148,Tracker_BD!AI:AI)/$F148,"")</f>
        <v/>
      </c>
      <c r="U148" s="160" t="str">
        <f t="shared" si="9"/>
        <v/>
      </c>
      <c r="V148" s="160"/>
      <c r="W148" s="161" t="str">
        <f t="shared" si="10"/>
        <v/>
      </c>
      <c r="X148" s="156" t="str">
        <f>IFERROR(_xlfn.XLOOKUP($A148,'Raw Data'!$G:$G,'Raw Data'!$AB:$AB),"")</f>
        <v/>
      </c>
      <c r="Y148" s="156" t="str">
        <f>IFERROR(_xlfn.XLOOKUP($A148,'Raw Data'!$G:$G,'Raw Data'!AC:AC),"")</f>
        <v/>
      </c>
      <c r="Z148" s="156" t="str">
        <f>IFERROR(_xlfn.XLOOKUP($A148,'Raw Data'!$G:$G,'Raw Data'!AD:AD),"")</f>
        <v/>
      </c>
      <c r="AA148" s="156" t="str">
        <f>IFERROR(_xlfn.XLOOKUP($A148,'Raw Data'!$G:$G,'Raw Data'!AE:AE),"")</f>
        <v/>
      </c>
      <c r="AB148" s="156" t="str">
        <f>IFERROR(_xlfn.XLOOKUP($A148,'Raw Data'!$G:$G,'Raw Data'!$H:$H),"")</f>
        <v/>
      </c>
      <c r="AC148" s="162">
        <f>IFERROR(_xlfn.XLOOKUP($D148,'Modelling New'!$D:$D,'Modelling New'!$P:$P),"")</f>
        <v>4.7713784612903236</v>
      </c>
      <c r="AD148" s="156">
        <f>IFERROR(_xlfn.XLOOKUP($D148,'Modelling New'!$D:$D,'Modelling New'!$T:$T)*1000,"")</f>
        <v>42082.405130697269</v>
      </c>
      <c r="AE148" s="163">
        <f>IFERROR(_xlfn.XLOOKUP($D148,'Modelling New'!$D:$D,'Modelling New'!$O:$O),"")</f>
        <v>0.75253911025234577</v>
      </c>
      <c r="AF148" s="163">
        <f>IFERROR(_xlfn.XLOOKUP($D148,'Modelling New'!$D:$D,'Modelling New'!$W:$W),"")</f>
        <v>0.1496103709140261</v>
      </c>
      <c r="AG148" s="163">
        <f>IFERROR(_xlfn.XLOOKUP($D148,'Modelling New'!$D:$D,'Modelling New'!AE:AE),"")</f>
        <v>0.995</v>
      </c>
      <c r="AH148" s="163">
        <f>IFERROR(_xlfn.XLOOKUP($D148,'Modelling New'!$D:$D,'Modelling New'!AF:AF),"")</f>
        <v>0.98550000000000004</v>
      </c>
      <c r="AN148" s="164"/>
      <c r="AO148" s="161"/>
      <c r="AP148" s="161"/>
      <c r="AQ148" s="161"/>
      <c r="AR148" s="156">
        <f>IFERROR(_xlfn.XLOOKUP($D148,'Modelling New'!$D:$D,'Modelling New'!$N:$N),"")</f>
        <v>11.72</v>
      </c>
    </row>
    <row r="149" spans="1:44">
      <c r="A149" s="155">
        <f t="shared" si="11"/>
        <v>45892</v>
      </c>
      <c r="B149" s="156">
        <f>YEAR(Table13[[#This Row],[Date]])+IF(MONTH(Table13[[#This Row],[Date]])&gt;=4,1,0)</f>
        <v>2026</v>
      </c>
      <c r="C149" s="129">
        <f>YEAR(Table13[[#This Row],[Date]])</f>
        <v>2025</v>
      </c>
      <c r="D149" s="157">
        <f>Table13[[#This Row],[Date]]-DAY(Table13[[#This Row],[Date]])+1</f>
        <v>45870</v>
      </c>
      <c r="E149" s="129">
        <f t="shared" si="8"/>
        <v>31</v>
      </c>
      <c r="F149" s="130" t="str">
        <f>IFERROR(_xlfn.XLOOKUP($A149,'Raw Data'!$G:$G,'Raw Data'!$AH:$AH),"")</f>
        <v/>
      </c>
      <c r="G149" s="131" t="str">
        <f>IFERROR(_xlfn.XLOOKUP($A149,'Raw Data'!$G:$G,'Raw Data'!$S:$S)/1000,"")</f>
        <v/>
      </c>
      <c r="H149" s="131"/>
      <c r="I149" s="131" t="str">
        <f>IFERROR(_xlfn.XLOOKUP($A149,'Raw Data'!$G:$G,'Raw Data'!$AF:$AF)/1000,"")</f>
        <v/>
      </c>
      <c r="J149" s="131"/>
      <c r="K149" s="131" t="str">
        <f>IFERROR(_xlfn.XLOOKUP($A149,'Raw Data'!$G:$G,'Raw Data'!W:W),"")</f>
        <v/>
      </c>
      <c r="L149" s="131" t="str">
        <f>IFERROR(_xlfn.XLOOKUP($A149,'Raw Data'!$G:$G,'Raw Data'!X:X),"")</f>
        <v/>
      </c>
      <c r="M149" s="131" t="str">
        <f>IFERROR(_xlfn.XLOOKUP($A149,'Raw Data'!$G:$G,'Raw Data'!Y:Y),"")</f>
        <v/>
      </c>
      <c r="N149" s="131" t="str">
        <f>IFERROR(_xlfn.XLOOKUP($A149,'Raw Data'!$G:$G,'Raw Data'!Z:Z),"")</f>
        <v/>
      </c>
      <c r="O149" s="158" t="str">
        <f>IFERROR(1-SUMIF('Plant BD'!$H:$H,$A149,'Plant BD'!AC:AC)/$F149,"")</f>
        <v/>
      </c>
      <c r="P149" s="158"/>
      <c r="Q149" s="159"/>
      <c r="R149" s="158" t="str">
        <f>IFERROR(1-SUMIF('Grid BD'!$H:$H,$A149,'Grid BD'!AB:AB)/$F149,"")</f>
        <v/>
      </c>
      <c r="T149" s="159" t="str">
        <f>IFERROR(1-SUMIF(Tracker_BD!$H:$H,$A149,Tracker_BD!AI:AI)/$F149,"")</f>
        <v/>
      </c>
      <c r="U149" s="160" t="str">
        <f t="shared" si="9"/>
        <v/>
      </c>
      <c r="V149" s="160"/>
      <c r="W149" s="161" t="str">
        <f t="shared" si="10"/>
        <v/>
      </c>
      <c r="X149" s="156" t="str">
        <f>IFERROR(_xlfn.XLOOKUP($A149,'Raw Data'!$G:$G,'Raw Data'!$AB:$AB),"")</f>
        <v/>
      </c>
      <c r="Y149" s="156" t="str">
        <f>IFERROR(_xlfn.XLOOKUP($A149,'Raw Data'!$G:$G,'Raw Data'!AC:AC),"")</f>
        <v/>
      </c>
      <c r="Z149" s="156" t="str">
        <f>IFERROR(_xlfn.XLOOKUP($A149,'Raw Data'!$G:$G,'Raw Data'!AD:AD),"")</f>
        <v/>
      </c>
      <c r="AA149" s="156" t="str">
        <f>IFERROR(_xlfn.XLOOKUP($A149,'Raw Data'!$G:$G,'Raw Data'!AE:AE),"")</f>
        <v/>
      </c>
      <c r="AB149" s="156" t="str">
        <f>IFERROR(_xlfn.XLOOKUP($A149,'Raw Data'!$G:$G,'Raw Data'!$H:$H),"")</f>
        <v/>
      </c>
      <c r="AC149" s="162">
        <f>IFERROR(_xlfn.XLOOKUP($D149,'Modelling New'!$D:$D,'Modelling New'!$P:$P),"")</f>
        <v>4.7713784612903236</v>
      </c>
      <c r="AD149" s="156">
        <f>IFERROR(_xlfn.XLOOKUP($D149,'Modelling New'!$D:$D,'Modelling New'!$T:$T)*1000,"")</f>
        <v>42082.405130697269</v>
      </c>
      <c r="AE149" s="163">
        <f>IFERROR(_xlfn.XLOOKUP($D149,'Modelling New'!$D:$D,'Modelling New'!$O:$O),"")</f>
        <v>0.75253911025234577</v>
      </c>
      <c r="AF149" s="163">
        <f>IFERROR(_xlfn.XLOOKUP($D149,'Modelling New'!$D:$D,'Modelling New'!$W:$W),"")</f>
        <v>0.1496103709140261</v>
      </c>
      <c r="AG149" s="163">
        <f>IFERROR(_xlfn.XLOOKUP($D149,'Modelling New'!$D:$D,'Modelling New'!AE:AE),"")</f>
        <v>0.995</v>
      </c>
      <c r="AH149" s="163">
        <f>IFERROR(_xlfn.XLOOKUP($D149,'Modelling New'!$D:$D,'Modelling New'!AF:AF),"")</f>
        <v>0.98550000000000004</v>
      </c>
      <c r="AN149" s="164"/>
      <c r="AO149" s="161"/>
      <c r="AP149" s="161"/>
      <c r="AQ149" s="161"/>
      <c r="AR149" s="156">
        <f>IFERROR(_xlfn.XLOOKUP($D149,'Modelling New'!$D:$D,'Modelling New'!$N:$N),"")</f>
        <v>11.72</v>
      </c>
    </row>
    <row r="150" spans="1:44">
      <c r="A150" s="155">
        <f t="shared" si="11"/>
        <v>45893</v>
      </c>
      <c r="B150" s="156">
        <f>YEAR(Table13[[#This Row],[Date]])+IF(MONTH(Table13[[#This Row],[Date]])&gt;=4,1,0)</f>
        <v>2026</v>
      </c>
      <c r="C150" s="129">
        <f>YEAR(Table13[[#This Row],[Date]])</f>
        <v>2025</v>
      </c>
      <c r="D150" s="157">
        <f>Table13[[#This Row],[Date]]-DAY(Table13[[#This Row],[Date]])+1</f>
        <v>45870</v>
      </c>
      <c r="E150" s="129">
        <f t="shared" si="8"/>
        <v>31</v>
      </c>
      <c r="F150" s="130" t="str">
        <f>IFERROR(_xlfn.XLOOKUP($A150,'Raw Data'!$G:$G,'Raw Data'!$AH:$AH),"")</f>
        <v/>
      </c>
      <c r="G150" s="131" t="str">
        <f>IFERROR(_xlfn.XLOOKUP($A150,'Raw Data'!$G:$G,'Raw Data'!$S:$S)/1000,"")</f>
        <v/>
      </c>
      <c r="H150" s="131"/>
      <c r="I150" s="131" t="str">
        <f>IFERROR(_xlfn.XLOOKUP($A150,'Raw Data'!$G:$G,'Raw Data'!$AF:$AF)/1000,"")</f>
        <v/>
      </c>
      <c r="J150" s="131"/>
      <c r="K150" s="131" t="str">
        <f>IFERROR(_xlfn.XLOOKUP($A150,'Raw Data'!$G:$G,'Raw Data'!W:W),"")</f>
        <v/>
      </c>
      <c r="L150" s="131" t="str">
        <f>IFERROR(_xlfn.XLOOKUP($A150,'Raw Data'!$G:$G,'Raw Data'!X:X),"")</f>
        <v/>
      </c>
      <c r="M150" s="131" t="str">
        <f>IFERROR(_xlfn.XLOOKUP($A150,'Raw Data'!$G:$G,'Raw Data'!Y:Y),"")</f>
        <v/>
      </c>
      <c r="N150" s="131" t="str">
        <f>IFERROR(_xlfn.XLOOKUP($A150,'Raw Data'!$G:$G,'Raw Data'!Z:Z),"")</f>
        <v/>
      </c>
      <c r="O150" s="158" t="str">
        <f>IFERROR(1-SUMIF('Plant BD'!$H:$H,$A150,'Plant BD'!AC:AC)/$F150,"")</f>
        <v/>
      </c>
      <c r="P150" s="158"/>
      <c r="Q150" s="159"/>
      <c r="R150" s="158" t="str">
        <f>IFERROR(1-SUMIF('Grid BD'!$H:$H,$A150,'Grid BD'!AB:AB)/$F150,"")</f>
        <v/>
      </c>
      <c r="T150" s="159" t="str">
        <f>IFERROR(1-SUMIF(Tracker_BD!$H:$H,$A150,Tracker_BD!AI:AI)/$F150,"")</f>
        <v/>
      </c>
      <c r="U150" s="160" t="str">
        <f t="shared" si="9"/>
        <v/>
      </c>
      <c r="V150" s="160"/>
      <c r="W150" s="161" t="str">
        <f t="shared" si="10"/>
        <v/>
      </c>
      <c r="X150" s="156" t="str">
        <f>IFERROR(_xlfn.XLOOKUP($A150,'Raw Data'!$G:$G,'Raw Data'!$AB:$AB),"")</f>
        <v/>
      </c>
      <c r="Y150" s="156" t="str">
        <f>IFERROR(_xlfn.XLOOKUP($A150,'Raw Data'!$G:$G,'Raw Data'!AC:AC),"")</f>
        <v/>
      </c>
      <c r="Z150" s="156" t="str">
        <f>IFERROR(_xlfn.XLOOKUP($A150,'Raw Data'!$G:$G,'Raw Data'!AD:AD),"")</f>
        <v/>
      </c>
      <c r="AA150" s="156" t="str">
        <f>IFERROR(_xlfn.XLOOKUP($A150,'Raw Data'!$G:$G,'Raw Data'!AE:AE),"")</f>
        <v/>
      </c>
      <c r="AB150" s="156" t="str">
        <f>IFERROR(_xlfn.XLOOKUP($A150,'Raw Data'!$G:$G,'Raw Data'!$H:$H),"")</f>
        <v/>
      </c>
      <c r="AC150" s="162">
        <f>IFERROR(_xlfn.XLOOKUP($D150,'Modelling New'!$D:$D,'Modelling New'!$P:$P),"")</f>
        <v>4.7713784612903236</v>
      </c>
      <c r="AD150" s="156">
        <f>IFERROR(_xlfn.XLOOKUP($D150,'Modelling New'!$D:$D,'Modelling New'!$T:$T)*1000,"")</f>
        <v>42082.405130697269</v>
      </c>
      <c r="AE150" s="163">
        <f>IFERROR(_xlfn.XLOOKUP($D150,'Modelling New'!$D:$D,'Modelling New'!$O:$O),"")</f>
        <v>0.75253911025234577</v>
      </c>
      <c r="AF150" s="163">
        <f>IFERROR(_xlfn.XLOOKUP($D150,'Modelling New'!$D:$D,'Modelling New'!$W:$W),"")</f>
        <v>0.1496103709140261</v>
      </c>
      <c r="AG150" s="163">
        <f>IFERROR(_xlfn.XLOOKUP($D150,'Modelling New'!$D:$D,'Modelling New'!AE:AE),"")</f>
        <v>0.995</v>
      </c>
      <c r="AH150" s="163">
        <f>IFERROR(_xlfn.XLOOKUP($D150,'Modelling New'!$D:$D,'Modelling New'!AF:AF),"")</f>
        <v>0.98550000000000004</v>
      </c>
      <c r="AN150" s="164"/>
      <c r="AO150" s="161"/>
      <c r="AP150" s="161"/>
      <c r="AQ150" s="161"/>
      <c r="AR150" s="156">
        <f>IFERROR(_xlfn.XLOOKUP($D150,'Modelling New'!$D:$D,'Modelling New'!$N:$N),"")</f>
        <v>11.72</v>
      </c>
    </row>
    <row r="151" spans="1:44">
      <c r="A151" s="155">
        <f t="shared" si="11"/>
        <v>45894</v>
      </c>
      <c r="B151" s="156">
        <f>YEAR(Table13[[#This Row],[Date]])+IF(MONTH(Table13[[#This Row],[Date]])&gt;=4,1,0)</f>
        <v>2026</v>
      </c>
      <c r="C151" s="129">
        <f>YEAR(Table13[[#This Row],[Date]])</f>
        <v>2025</v>
      </c>
      <c r="D151" s="157">
        <f>Table13[[#This Row],[Date]]-DAY(Table13[[#This Row],[Date]])+1</f>
        <v>45870</v>
      </c>
      <c r="E151" s="129">
        <f t="shared" si="8"/>
        <v>31</v>
      </c>
      <c r="F151" s="130" t="str">
        <f>IFERROR(_xlfn.XLOOKUP($A151,'Raw Data'!$G:$G,'Raw Data'!$AH:$AH),"")</f>
        <v/>
      </c>
      <c r="G151" s="131" t="str">
        <f>IFERROR(_xlfn.XLOOKUP($A151,'Raw Data'!$G:$G,'Raw Data'!$S:$S)/1000,"")</f>
        <v/>
      </c>
      <c r="H151" s="131"/>
      <c r="I151" s="131" t="str">
        <f>IFERROR(_xlfn.XLOOKUP($A151,'Raw Data'!$G:$G,'Raw Data'!$AF:$AF)/1000,"")</f>
        <v/>
      </c>
      <c r="J151" s="131"/>
      <c r="K151" s="131" t="str">
        <f>IFERROR(_xlfn.XLOOKUP($A151,'Raw Data'!$G:$G,'Raw Data'!W:W),"")</f>
        <v/>
      </c>
      <c r="L151" s="131" t="str">
        <f>IFERROR(_xlfn.XLOOKUP($A151,'Raw Data'!$G:$G,'Raw Data'!X:X),"")</f>
        <v/>
      </c>
      <c r="M151" s="131" t="str">
        <f>IFERROR(_xlfn.XLOOKUP($A151,'Raw Data'!$G:$G,'Raw Data'!Y:Y),"")</f>
        <v/>
      </c>
      <c r="N151" s="131" t="str">
        <f>IFERROR(_xlfn.XLOOKUP($A151,'Raw Data'!$G:$G,'Raw Data'!Z:Z),"")</f>
        <v/>
      </c>
      <c r="O151" s="158" t="str">
        <f>IFERROR(1-SUMIF('Plant BD'!$H:$H,$A151,'Plant BD'!AC:AC)/$F151,"")</f>
        <v/>
      </c>
      <c r="P151" s="158"/>
      <c r="Q151" s="159"/>
      <c r="R151" s="158" t="str">
        <f>IFERROR(1-SUMIF('Grid BD'!$H:$H,$A151,'Grid BD'!AB:AB)/$F151,"")</f>
        <v/>
      </c>
      <c r="T151" s="159" t="str">
        <f>IFERROR(1-SUMIF(Tracker_BD!$H:$H,$A151,Tracker_BD!AI:AI)/$F151,"")</f>
        <v/>
      </c>
      <c r="U151" s="160" t="str">
        <f t="shared" si="9"/>
        <v/>
      </c>
      <c r="V151" s="160"/>
      <c r="W151" s="161" t="str">
        <f t="shared" si="10"/>
        <v/>
      </c>
      <c r="X151" s="156" t="str">
        <f>IFERROR(_xlfn.XLOOKUP($A151,'Raw Data'!$G:$G,'Raw Data'!$AB:$AB),"")</f>
        <v/>
      </c>
      <c r="Y151" s="156" t="str">
        <f>IFERROR(_xlfn.XLOOKUP($A151,'Raw Data'!$G:$G,'Raw Data'!AC:AC),"")</f>
        <v/>
      </c>
      <c r="Z151" s="156" t="str">
        <f>IFERROR(_xlfn.XLOOKUP($A151,'Raw Data'!$G:$G,'Raw Data'!AD:AD),"")</f>
        <v/>
      </c>
      <c r="AA151" s="156" t="str">
        <f>IFERROR(_xlfn.XLOOKUP($A151,'Raw Data'!$G:$G,'Raw Data'!AE:AE),"")</f>
        <v/>
      </c>
      <c r="AB151" s="156" t="str">
        <f>IFERROR(_xlfn.XLOOKUP($A151,'Raw Data'!$G:$G,'Raw Data'!$H:$H),"")</f>
        <v/>
      </c>
      <c r="AC151" s="162">
        <f>IFERROR(_xlfn.XLOOKUP($D151,'Modelling New'!$D:$D,'Modelling New'!$P:$P),"")</f>
        <v>4.7713784612903236</v>
      </c>
      <c r="AD151" s="156">
        <f>IFERROR(_xlfn.XLOOKUP($D151,'Modelling New'!$D:$D,'Modelling New'!$T:$T)*1000,"")</f>
        <v>42082.405130697269</v>
      </c>
      <c r="AE151" s="163">
        <f>IFERROR(_xlfn.XLOOKUP($D151,'Modelling New'!$D:$D,'Modelling New'!$O:$O),"")</f>
        <v>0.75253911025234577</v>
      </c>
      <c r="AF151" s="163">
        <f>IFERROR(_xlfn.XLOOKUP($D151,'Modelling New'!$D:$D,'Modelling New'!$W:$W),"")</f>
        <v>0.1496103709140261</v>
      </c>
      <c r="AG151" s="163">
        <f>IFERROR(_xlfn.XLOOKUP($D151,'Modelling New'!$D:$D,'Modelling New'!AE:AE),"")</f>
        <v>0.995</v>
      </c>
      <c r="AH151" s="163">
        <f>IFERROR(_xlfn.XLOOKUP($D151,'Modelling New'!$D:$D,'Modelling New'!AF:AF),"")</f>
        <v>0.98550000000000004</v>
      </c>
      <c r="AN151" s="164"/>
      <c r="AO151" s="161"/>
      <c r="AP151" s="161"/>
      <c r="AQ151" s="161"/>
      <c r="AR151" s="156">
        <f>IFERROR(_xlfn.XLOOKUP($D151,'Modelling New'!$D:$D,'Modelling New'!$N:$N),"")</f>
        <v>11.72</v>
      </c>
    </row>
    <row r="152" spans="1:44">
      <c r="A152" s="155">
        <f t="shared" si="11"/>
        <v>45895</v>
      </c>
      <c r="B152" s="156">
        <f>YEAR(Table13[[#This Row],[Date]])+IF(MONTH(Table13[[#This Row],[Date]])&gt;=4,1,0)</f>
        <v>2026</v>
      </c>
      <c r="C152" s="129">
        <f>YEAR(Table13[[#This Row],[Date]])</f>
        <v>2025</v>
      </c>
      <c r="D152" s="157">
        <f>Table13[[#This Row],[Date]]-DAY(Table13[[#This Row],[Date]])+1</f>
        <v>45870</v>
      </c>
      <c r="E152" s="129">
        <f t="shared" si="8"/>
        <v>31</v>
      </c>
      <c r="F152" s="130" t="str">
        <f>IFERROR(_xlfn.XLOOKUP($A152,'Raw Data'!$G:$G,'Raw Data'!$AH:$AH),"")</f>
        <v/>
      </c>
      <c r="G152" s="131" t="str">
        <f>IFERROR(_xlfn.XLOOKUP($A152,'Raw Data'!$G:$G,'Raw Data'!$S:$S)/1000,"")</f>
        <v/>
      </c>
      <c r="H152" s="131"/>
      <c r="I152" s="131" t="str">
        <f>IFERROR(_xlfn.XLOOKUP($A152,'Raw Data'!$G:$G,'Raw Data'!$AF:$AF)/1000,"")</f>
        <v/>
      </c>
      <c r="J152" s="131"/>
      <c r="K152" s="131" t="str">
        <f>IFERROR(_xlfn.XLOOKUP($A152,'Raw Data'!$G:$G,'Raw Data'!W:W),"")</f>
        <v/>
      </c>
      <c r="L152" s="131" t="str">
        <f>IFERROR(_xlfn.XLOOKUP($A152,'Raw Data'!$G:$G,'Raw Data'!X:X),"")</f>
        <v/>
      </c>
      <c r="M152" s="131" t="str">
        <f>IFERROR(_xlfn.XLOOKUP($A152,'Raw Data'!$G:$G,'Raw Data'!Y:Y),"")</f>
        <v/>
      </c>
      <c r="N152" s="131" t="str">
        <f>IFERROR(_xlfn.XLOOKUP($A152,'Raw Data'!$G:$G,'Raw Data'!Z:Z),"")</f>
        <v/>
      </c>
      <c r="O152" s="158" t="str">
        <f>IFERROR(1-SUMIF('Plant BD'!$H:$H,$A152,'Plant BD'!AC:AC)/$F152,"")</f>
        <v/>
      </c>
      <c r="P152" s="158"/>
      <c r="Q152" s="159"/>
      <c r="R152" s="158" t="str">
        <f>IFERROR(1-SUMIF('Grid BD'!$H:$H,$A152,'Grid BD'!AB:AB)/$F152,"")</f>
        <v/>
      </c>
      <c r="T152" s="159" t="str">
        <f>IFERROR(1-SUMIF(Tracker_BD!$H:$H,$A152,Tracker_BD!AI:AI)/$F152,"")</f>
        <v/>
      </c>
      <c r="U152" s="160" t="str">
        <f t="shared" si="9"/>
        <v/>
      </c>
      <c r="V152" s="160"/>
      <c r="W152" s="161" t="str">
        <f t="shared" si="10"/>
        <v/>
      </c>
      <c r="X152" s="156" t="str">
        <f>IFERROR(_xlfn.XLOOKUP($A152,'Raw Data'!$G:$G,'Raw Data'!$AB:$AB),"")</f>
        <v/>
      </c>
      <c r="Y152" s="156" t="str">
        <f>IFERROR(_xlfn.XLOOKUP($A152,'Raw Data'!$G:$G,'Raw Data'!AC:AC),"")</f>
        <v/>
      </c>
      <c r="Z152" s="156" t="str">
        <f>IFERROR(_xlfn.XLOOKUP($A152,'Raw Data'!$G:$G,'Raw Data'!AD:AD),"")</f>
        <v/>
      </c>
      <c r="AA152" s="156" t="str">
        <f>IFERROR(_xlfn.XLOOKUP($A152,'Raw Data'!$G:$G,'Raw Data'!AE:AE),"")</f>
        <v/>
      </c>
      <c r="AB152" s="156" t="str">
        <f>IFERROR(_xlfn.XLOOKUP($A152,'Raw Data'!$G:$G,'Raw Data'!$H:$H),"")</f>
        <v/>
      </c>
      <c r="AC152" s="162">
        <f>IFERROR(_xlfn.XLOOKUP($D152,'Modelling New'!$D:$D,'Modelling New'!$P:$P),"")</f>
        <v>4.7713784612903236</v>
      </c>
      <c r="AD152" s="156">
        <f>IFERROR(_xlfn.XLOOKUP($D152,'Modelling New'!$D:$D,'Modelling New'!$T:$T)*1000,"")</f>
        <v>42082.405130697269</v>
      </c>
      <c r="AE152" s="163">
        <f>IFERROR(_xlfn.XLOOKUP($D152,'Modelling New'!$D:$D,'Modelling New'!$O:$O),"")</f>
        <v>0.75253911025234577</v>
      </c>
      <c r="AF152" s="163">
        <f>IFERROR(_xlfn.XLOOKUP($D152,'Modelling New'!$D:$D,'Modelling New'!$W:$W),"")</f>
        <v>0.1496103709140261</v>
      </c>
      <c r="AG152" s="163">
        <f>IFERROR(_xlfn.XLOOKUP($D152,'Modelling New'!$D:$D,'Modelling New'!AE:AE),"")</f>
        <v>0.995</v>
      </c>
      <c r="AH152" s="163">
        <f>IFERROR(_xlfn.XLOOKUP($D152,'Modelling New'!$D:$D,'Modelling New'!AF:AF),"")</f>
        <v>0.98550000000000004</v>
      </c>
      <c r="AN152" s="164"/>
      <c r="AO152" s="161"/>
      <c r="AP152" s="161"/>
      <c r="AQ152" s="161"/>
      <c r="AR152" s="156">
        <f>IFERROR(_xlfn.XLOOKUP($D152,'Modelling New'!$D:$D,'Modelling New'!$N:$N),"")</f>
        <v>11.72</v>
      </c>
    </row>
    <row r="153" spans="1:44">
      <c r="A153" s="155">
        <f t="shared" si="11"/>
        <v>45896</v>
      </c>
      <c r="B153" s="156">
        <f>YEAR(Table13[[#This Row],[Date]])+IF(MONTH(Table13[[#This Row],[Date]])&gt;=4,1,0)</f>
        <v>2026</v>
      </c>
      <c r="C153" s="129">
        <f>YEAR(Table13[[#This Row],[Date]])</f>
        <v>2025</v>
      </c>
      <c r="D153" s="157">
        <f>Table13[[#This Row],[Date]]-DAY(Table13[[#This Row],[Date]])+1</f>
        <v>45870</v>
      </c>
      <c r="E153" s="129">
        <f t="shared" si="8"/>
        <v>31</v>
      </c>
      <c r="F153" s="130" t="str">
        <f>IFERROR(_xlfn.XLOOKUP($A153,'Raw Data'!$G:$G,'Raw Data'!$AH:$AH),"")</f>
        <v/>
      </c>
      <c r="G153" s="131" t="str">
        <f>IFERROR(_xlfn.XLOOKUP($A153,'Raw Data'!$G:$G,'Raw Data'!$S:$S)/1000,"")</f>
        <v/>
      </c>
      <c r="H153" s="131"/>
      <c r="I153" s="131" t="str">
        <f>IFERROR(_xlfn.XLOOKUP($A153,'Raw Data'!$G:$G,'Raw Data'!$AF:$AF)/1000,"")</f>
        <v/>
      </c>
      <c r="J153" s="131"/>
      <c r="K153" s="131" t="str">
        <f>IFERROR(_xlfn.XLOOKUP($A153,'Raw Data'!$G:$G,'Raw Data'!W:W),"")</f>
        <v/>
      </c>
      <c r="L153" s="131" t="str">
        <f>IFERROR(_xlfn.XLOOKUP($A153,'Raw Data'!$G:$G,'Raw Data'!X:X),"")</f>
        <v/>
      </c>
      <c r="M153" s="131" t="str">
        <f>IFERROR(_xlfn.XLOOKUP($A153,'Raw Data'!$G:$G,'Raw Data'!Y:Y),"")</f>
        <v/>
      </c>
      <c r="N153" s="131" t="str">
        <f>IFERROR(_xlfn.XLOOKUP($A153,'Raw Data'!$G:$G,'Raw Data'!Z:Z),"")</f>
        <v/>
      </c>
      <c r="O153" s="158" t="str">
        <f>IFERROR(1-SUMIF('Plant BD'!$H:$H,$A153,'Plant BD'!AC:AC)/$F153,"")</f>
        <v/>
      </c>
      <c r="P153" s="158"/>
      <c r="Q153" s="159"/>
      <c r="R153" s="158" t="str">
        <f>IFERROR(1-SUMIF('Grid BD'!$H:$H,$A153,'Grid BD'!AB:AB)/$F153,"")</f>
        <v/>
      </c>
      <c r="T153" s="159" t="str">
        <f>IFERROR(1-SUMIF(Tracker_BD!$H:$H,$A153,Tracker_BD!AI:AI)/$F153,"")</f>
        <v/>
      </c>
      <c r="U153" s="160" t="str">
        <f t="shared" si="9"/>
        <v/>
      </c>
      <c r="V153" s="160"/>
      <c r="W153" s="161" t="str">
        <f t="shared" si="10"/>
        <v/>
      </c>
      <c r="X153" s="156" t="str">
        <f>IFERROR(_xlfn.XLOOKUP($A153,'Raw Data'!$G:$G,'Raw Data'!$AB:$AB),"")</f>
        <v/>
      </c>
      <c r="Y153" s="156" t="str">
        <f>IFERROR(_xlfn.XLOOKUP($A153,'Raw Data'!$G:$G,'Raw Data'!AC:AC),"")</f>
        <v/>
      </c>
      <c r="Z153" s="156" t="str">
        <f>IFERROR(_xlfn.XLOOKUP($A153,'Raw Data'!$G:$G,'Raw Data'!AD:AD),"")</f>
        <v/>
      </c>
      <c r="AA153" s="156" t="str">
        <f>IFERROR(_xlfn.XLOOKUP($A153,'Raw Data'!$G:$G,'Raw Data'!AE:AE),"")</f>
        <v/>
      </c>
      <c r="AB153" s="156" t="str">
        <f>IFERROR(_xlfn.XLOOKUP($A153,'Raw Data'!$G:$G,'Raw Data'!$H:$H),"")</f>
        <v/>
      </c>
      <c r="AC153" s="162">
        <f>IFERROR(_xlfn.XLOOKUP($D153,'Modelling New'!$D:$D,'Modelling New'!$P:$P),"")</f>
        <v>4.7713784612903236</v>
      </c>
      <c r="AD153" s="156">
        <f>IFERROR(_xlfn.XLOOKUP($D153,'Modelling New'!$D:$D,'Modelling New'!$T:$T)*1000,"")</f>
        <v>42082.405130697269</v>
      </c>
      <c r="AE153" s="163">
        <f>IFERROR(_xlfn.XLOOKUP($D153,'Modelling New'!$D:$D,'Modelling New'!$O:$O),"")</f>
        <v>0.75253911025234577</v>
      </c>
      <c r="AF153" s="163">
        <f>IFERROR(_xlfn.XLOOKUP($D153,'Modelling New'!$D:$D,'Modelling New'!$W:$W),"")</f>
        <v>0.1496103709140261</v>
      </c>
      <c r="AG153" s="163">
        <f>IFERROR(_xlfn.XLOOKUP($D153,'Modelling New'!$D:$D,'Modelling New'!AE:AE),"")</f>
        <v>0.995</v>
      </c>
      <c r="AH153" s="163">
        <f>IFERROR(_xlfn.XLOOKUP($D153,'Modelling New'!$D:$D,'Modelling New'!AF:AF),"")</f>
        <v>0.98550000000000004</v>
      </c>
      <c r="AN153" s="164"/>
      <c r="AO153" s="161"/>
      <c r="AP153" s="161"/>
      <c r="AQ153" s="161"/>
      <c r="AR153" s="156">
        <f>IFERROR(_xlfn.XLOOKUP($D153,'Modelling New'!$D:$D,'Modelling New'!$N:$N),"")</f>
        <v>11.72</v>
      </c>
    </row>
    <row r="154" spans="1:44">
      <c r="A154" s="155">
        <f t="shared" si="11"/>
        <v>45897</v>
      </c>
      <c r="B154" s="156">
        <f>YEAR(Table13[[#This Row],[Date]])+IF(MONTH(Table13[[#This Row],[Date]])&gt;=4,1,0)</f>
        <v>2026</v>
      </c>
      <c r="C154" s="129">
        <f>YEAR(Table13[[#This Row],[Date]])</f>
        <v>2025</v>
      </c>
      <c r="D154" s="157">
        <f>Table13[[#This Row],[Date]]-DAY(Table13[[#This Row],[Date]])+1</f>
        <v>45870</v>
      </c>
      <c r="E154" s="129">
        <f t="shared" si="8"/>
        <v>31</v>
      </c>
      <c r="F154" s="130" t="str">
        <f>IFERROR(_xlfn.XLOOKUP($A154,'Raw Data'!$G:$G,'Raw Data'!$AH:$AH),"")</f>
        <v/>
      </c>
      <c r="G154" s="131" t="str">
        <f>IFERROR(_xlfn.XLOOKUP($A154,'Raw Data'!$G:$G,'Raw Data'!$S:$S)/1000,"")</f>
        <v/>
      </c>
      <c r="H154" s="131"/>
      <c r="I154" s="131" t="str">
        <f>IFERROR(_xlfn.XLOOKUP($A154,'Raw Data'!$G:$G,'Raw Data'!$AF:$AF)/1000,"")</f>
        <v/>
      </c>
      <c r="J154" s="131"/>
      <c r="K154" s="131" t="str">
        <f>IFERROR(_xlfn.XLOOKUP($A154,'Raw Data'!$G:$G,'Raw Data'!W:W),"")</f>
        <v/>
      </c>
      <c r="L154" s="131" t="str">
        <f>IFERROR(_xlfn.XLOOKUP($A154,'Raw Data'!$G:$G,'Raw Data'!X:X),"")</f>
        <v/>
      </c>
      <c r="M154" s="131" t="str">
        <f>IFERROR(_xlfn.XLOOKUP($A154,'Raw Data'!$G:$G,'Raw Data'!Y:Y),"")</f>
        <v/>
      </c>
      <c r="N154" s="131" t="str">
        <f>IFERROR(_xlfn.XLOOKUP($A154,'Raw Data'!$G:$G,'Raw Data'!Z:Z),"")</f>
        <v/>
      </c>
      <c r="O154" s="158" t="str">
        <f>IFERROR(1-SUMIF('Plant BD'!$H:$H,$A154,'Plant BD'!AC:AC)/$F154,"")</f>
        <v/>
      </c>
      <c r="P154" s="158"/>
      <c r="Q154" s="159"/>
      <c r="R154" s="158" t="str">
        <f>IFERROR(1-SUMIF('Grid BD'!$H:$H,$A154,'Grid BD'!AB:AB)/$F154,"")</f>
        <v/>
      </c>
      <c r="T154" s="159" t="str">
        <f>IFERROR(1-SUMIF(Tracker_BD!$H:$H,$A154,Tracker_BD!AI:AI)/$F154,"")</f>
        <v/>
      </c>
      <c r="U154" s="160" t="str">
        <f t="shared" si="9"/>
        <v/>
      </c>
      <c r="V154" s="160"/>
      <c r="W154" s="161" t="str">
        <f t="shared" si="10"/>
        <v/>
      </c>
      <c r="X154" s="156" t="str">
        <f>IFERROR(_xlfn.XLOOKUP($A154,'Raw Data'!$G:$G,'Raw Data'!$AB:$AB),"")</f>
        <v/>
      </c>
      <c r="Y154" s="156" t="str">
        <f>IFERROR(_xlfn.XLOOKUP($A154,'Raw Data'!$G:$G,'Raw Data'!AC:AC),"")</f>
        <v/>
      </c>
      <c r="Z154" s="156" t="str">
        <f>IFERROR(_xlfn.XLOOKUP($A154,'Raw Data'!$G:$G,'Raw Data'!AD:AD),"")</f>
        <v/>
      </c>
      <c r="AA154" s="156" t="str">
        <f>IFERROR(_xlfn.XLOOKUP($A154,'Raw Data'!$G:$G,'Raw Data'!AE:AE),"")</f>
        <v/>
      </c>
      <c r="AB154" s="156" t="str">
        <f>IFERROR(_xlfn.XLOOKUP($A154,'Raw Data'!$G:$G,'Raw Data'!$H:$H),"")</f>
        <v/>
      </c>
      <c r="AC154" s="162">
        <f>IFERROR(_xlfn.XLOOKUP($D154,'Modelling New'!$D:$D,'Modelling New'!$P:$P),"")</f>
        <v>4.7713784612903236</v>
      </c>
      <c r="AD154" s="156">
        <f>IFERROR(_xlfn.XLOOKUP($D154,'Modelling New'!$D:$D,'Modelling New'!$T:$T)*1000,"")</f>
        <v>42082.405130697269</v>
      </c>
      <c r="AE154" s="163">
        <f>IFERROR(_xlfn.XLOOKUP($D154,'Modelling New'!$D:$D,'Modelling New'!$O:$O),"")</f>
        <v>0.75253911025234577</v>
      </c>
      <c r="AF154" s="163">
        <f>IFERROR(_xlfn.XLOOKUP($D154,'Modelling New'!$D:$D,'Modelling New'!$W:$W),"")</f>
        <v>0.1496103709140261</v>
      </c>
      <c r="AG154" s="163">
        <f>IFERROR(_xlfn.XLOOKUP($D154,'Modelling New'!$D:$D,'Modelling New'!AE:AE),"")</f>
        <v>0.995</v>
      </c>
      <c r="AH154" s="163">
        <f>IFERROR(_xlfn.XLOOKUP($D154,'Modelling New'!$D:$D,'Modelling New'!AF:AF),"")</f>
        <v>0.98550000000000004</v>
      </c>
      <c r="AN154" s="164"/>
      <c r="AO154" s="161"/>
      <c r="AP154" s="161"/>
      <c r="AQ154" s="161"/>
      <c r="AR154" s="156">
        <f>IFERROR(_xlfn.XLOOKUP($D154,'Modelling New'!$D:$D,'Modelling New'!$N:$N),"")</f>
        <v>11.72</v>
      </c>
    </row>
    <row r="155" spans="1:44">
      <c r="A155" s="155">
        <f t="shared" si="11"/>
        <v>45898</v>
      </c>
      <c r="B155" s="156">
        <f>YEAR(Table13[[#This Row],[Date]])+IF(MONTH(Table13[[#This Row],[Date]])&gt;=4,1,0)</f>
        <v>2026</v>
      </c>
      <c r="C155" s="129">
        <f>YEAR(Table13[[#This Row],[Date]])</f>
        <v>2025</v>
      </c>
      <c r="D155" s="157">
        <f>Table13[[#This Row],[Date]]-DAY(Table13[[#This Row],[Date]])+1</f>
        <v>45870</v>
      </c>
      <c r="E155" s="129">
        <f t="shared" si="8"/>
        <v>31</v>
      </c>
      <c r="F155" s="130" t="str">
        <f>IFERROR(_xlfn.XLOOKUP($A155,'Raw Data'!$G:$G,'Raw Data'!$AH:$AH),"")</f>
        <v/>
      </c>
      <c r="G155" s="131" t="str">
        <f>IFERROR(_xlfn.XLOOKUP($A155,'Raw Data'!$G:$G,'Raw Data'!$S:$S)/1000,"")</f>
        <v/>
      </c>
      <c r="H155" s="131"/>
      <c r="I155" s="131" t="str">
        <f>IFERROR(_xlfn.XLOOKUP($A155,'Raw Data'!$G:$G,'Raw Data'!$AF:$AF)/1000,"")</f>
        <v/>
      </c>
      <c r="J155" s="131"/>
      <c r="K155" s="131" t="str">
        <f>IFERROR(_xlfn.XLOOKUP($A155,'Raw Data'!$G:$G,'Raw Data'!W:W),"")</f>
        <v/>
      </c>
      <c r="L155" s="131" t="str">
        <f>IFERROR(_xlfn.XLOOKUP($A155,'Raw Data'!$G:$G,'Raw Data'!X:X),"")</f>
        <v/>
      </c>
      <c r="M155" s="131" t="str">
        <f>IFERROR(_xlfn.XLOOKUP($A155,'Raw Data'!$G:$G,'Raw Data'!Y:Y),"")</f>
        <v/>
      </c>
      <c r="N155" s="131" t="str">
        <f>IFERROR(_xlfn.XLOOKUP($A155,'Raw Data'!$G:$G,'Raw Data'!Z:Z),"")</f>
        <v/>
      </c>
      <c r="O155" s="158" t="str">
        <f>IFERROR(1-SUMIF('Plant BD'!$H:$H,$A155,'Plant BD'!AC:AC)/$F155,"")</f>
        <v/>
      </c>
      <c r="P155" s="158"/>
      <c r="Q155" s="159"/>
      <c r="R155" s="158" t="str">
        <f>IFERROR(1-SUMIF('Grid BD'!$H:$H,$A155,'Grid BD'!AB:AB)/$F155,"")</f>
        <v/>
      </c>
      <c r="T155" s="159" t="str">
        <f>IFERROR(1-SUMIF(Tracker_BD!$H:$H,$A155,Tracker_BD!AI:AI)/$F155,"")</f>
        <v/>
      </c>
      <c r="U155" s="160" t="str">
        <f t="shared" si="9"/>
        <v/>
      </c>
      <c r="V155" s="160"/>
      <c r="W155" s="161" t="str">
        <f t="shared" si="10"/>
        <v/>
      </c>
      <c r="X155" s="156" t="str">
        <f>IFERROR(_xlfn.XLOOKUP($A155,'Raw Data'!$G:$G,'Raw Data'!$AB:$AB),"")</f>
        <v/>
      </c>
      <c r="Y155" s="156" t="str">
        <f>IFERROR(_xlfn.XLOOKUP($A155,'Raw Data'!$G:$G,'Raw Data'!AC:AC),"")</f>
        <v/>
      </c>
      <c r="Z155" s="156" t="str">
        <f>IFERROR(_xlfn.XLOOKUP($A155,'Raw Data'!$G:$G,'Raw Data'!AD:AD),"")</f>
        <v/>
      </c>
      <c r="AA155" s="156" t="str">
        <f>IFERROR(_xlfn.XLOOKUP($A155,'Raw Data'!$G:$G,'Raw Data'!AE:AE),"")</f>
        <v/>
      </c>
      <c r="AB155" s="156" t="str">
        <f>IFERROR(_xlfn.XLOOKUP($A155,'Raw Data'!$G:$G,'Raw Data'!$H:$H),"")</f>
        <v/>
      </c>
      <c r="AC155" s="162">
        <f>IFERROR(_xlfn.XLOOKUP($D155,'Modelling New'!$D:$D,'Modelling New'!$P:$P),"")</f>
        <v>4.7713784612903236</v>
      </c>
      <c r="AD155" s="156">
        <f>IFERROR(_xlfn.XLOOKUP($D155,'Modelling New'!$D:$D,'Modelling New'!$T:$T)*1000,"")</f>
        <v>42082.405130697269</v>
      </c>
      <c r="AE155" s="163">
        <f>IFERROR(_xlfn.XLOOKUP($D155,'Modelling New'!$D:$D,'Modelling New'!$O:$O),"")</f>
        <v>0.75253911025234577</v>
      </c>
      <c r="AF155" s="163">
        <f>IFERROR(_xlfn.XLOOKUP($D155,'Modelling New'!$D:$D,'Modelling New'!$W:$W),"")</f>
        <v>0.1496103709140261</v>
      </c>
      <c r="AG155" s="163">
        <f>IFERROR(_xlfn.XLOOKUP($D155,'Modelling New'!$D:$D,'Modelling New'!AE:AE),"")</f>
        <v>0.995</v>
      </c>
      <c r="AH155" s="163">
        <f>IFERROR(_xlfn.XLOOKUP($D155,'Modelling New'!$D:$D,'Modelling New'!AF:AF),"")</f>
        <v>0.98550000000000004</v>
      </c>
      <c r="AN155" s="164"/>
      <c r="AO155" s="161"/>
      <c r="AP155" s="161"/>
      <c r="AQ155" s="161"/>
      <c r="AR155" s="156">
        <f>IFERROR(_xlfn.XLOOKUP($D155,'Modelling New'!$D:$D,'Modelling New'!$N:$N),"")</f>
        <v>11.72</v>
      </c>
    </row>
    <row r="156" spans="1:44">
      <c r="A156" s="155">
        <f t="shared" si="11"/>
        <v>45899</v>
      </c>
      <c r="B156" s="156">
        <f>YEAR(Table13[[#This Row],[Date]])+IF(MONTH(Table13[[#This Row],[Date]])&gt;=4,1,0)</f>
        <v>2026</v>
      </c>
      <c r="C156" s="129">
        <f>YEAR(Table13[[#This Row],[Date]])</f>
        <v>2025</v>
      </c>
      <c r="D156" s="157">
        <f>Table13[[#This Row],[Date]]-DAY(Table13[[#This Row],[Date]])+1</f>
        <v>45870</v>
      </c>
      <c r="E156" s="129">
        <f t="shared" si="8"/>
        <v>31</v>
      </c>
      <c r="F156" s="130" t="str">
        <f>IFERROR(_xlfn.XLOOKUP($A156,'Raw Data'!$G:$G,'Raw Data'!$AH:$AH),"")</f>
        <v/>
      </c>
      <c r="G156" s="131" t="str">
        <f>IFERROR(_xlfn.XLOOKUP($A156,'Raw Data'!$G:$G,'Raw Data'!$S:$S)/1000,"")</f>
        <v/>
      </c>
      <c r="H156" s="131"/>
      <c r="I156" s="131" t="str">
        <f>IFERROR(_xlfn.XLOOKUP($A156,'Raw Data'!$G:$G,'Raw Data'!$AF:$AF)/1000,"")</f>
        <v/>
      </c>
      <c r="J156" s="131"/>
      <c r="K156" s="131" t="str">
        <f>IFERROR(_xlfn.XLOOKUP($A156,'Raw Data'!$G:$G,'Raw Data'!W:W),"")</f>
        <v/>
      </c>
      <c r="L156" s="131" t="str">
        <f>IFERROR(_xlfn.XLOOKUP($A156,'Raw Data'!$G:$G,'Raw Data'!X:X),"")</f>
        <v/>
      </c>
      <c r="M156" s="131" t="str">
        <f>IFERROR(_xlfn.XLOOKUP($A156,'Raw Data'!$G:$G,'Raw Data'!Y:Y),"")</f>
        <v/>
      </c>
      <c r="N156" s="131" t="str">
        <f>IFERROR(_xlfn.XLOOKUP($A156,'Raw Data'!$G:$G,'Raw Data'!Z:Z),"")</f>
        <v/>
      </c>
      <c r="O156" s="158" t="str">
        <f>IFERROR(1-SUMIF('Plant BD'!$H:$H,$A156,'Plant BD'!AC:AC)/$F156,"")</f>
        <v/>
      </c>
      <c r="P156" s="158"/>
      <c r="Q156" s="159"/>
      <c r="R156" s="158" t="str">
        <f>IFERROR(1-SUMIF('Grid BD'!$H:$H,$A156,'Grid BD'!AB:AB)/$F156,"")</f>
        <v/>
      </c>
      <c r="T156" s="159" t="str">
        <f>IFERROR(1-SUMIF(Tracker_BD!$H:$H,$A156,Tracker_BD!AI:AI)/$F156,"")</f>
        <v/>
      </c>
      <c r="U156" s="160" t="str">
        <f t="shared" si="9"/>
        <v/>
      </c>
      <c r="V156" s="160"/>
      <c r="W156" s="161" t="str">
        <f t="shared" si="10"/>
        <v/>
      </c>
      <c r="X156" s="156" t="str">
        <f>IFERROR(_xlfn.XLOOKUP($A156,'Raw Data'!$G:$G,'Raw Data'!$AB:$AB),"")</f>
        <v/>
      </c>
      <c r="Y156" s="156" t="str">
        <f>IFERROR(_xlfn.XLOOKUP($A156,'Raw Data'!$G:$G,'Raw Data'!AC:AC),"")</f>
        <v/>
      </c>
      <c r="Z156" s="156" t="str">
        <f>IFERROR(_xlfn.XLOOKUP($A156,'Raw Data'!$G:$G,'Raw Data'!AD:AD),"")</f>
        <v/>
      </c>
      <c r="AA156" s="156" t="str">
        <f>IFERROR(_xlfn.XLOOKUP($A156,'Raw Data'!$G:$G,'Raw Data'!AE:AE),"")</f>
        <v/>
      </c>
      <c r="AB156" s="156" t="str">
        <f>IFERROR(_xlfn.XLOOKUP($A156,'Raw Data'!$G:$G,'Raw Data'!$H:$H),"")</f>
        <v/>
      </c>
      <c r="AC156" s="162">
        <f>IFERROR(_xlfn.XLOOKUP($D156,'Modelling New'!$D:$D,'Modelling New'!$P:$P),"")</f>
        <v>4.7713784612903236</v>
      </c>
      <c r="AD156" s="156">
        <f>IFERROR(_xlfn.XLOOKUP($D156,'Modelling New'!$D:$D,'Modelling New'!$T:$T)*1000,"")</f>
        <v>42082.405130697269</v>
      </c>
      <c r="AE156" s="163">
        <f>IFERROR(_xlfn.XLOOKUP($D156,'Modelling New'!$D:$D,'Modelling New'!$O:$O),"")</f>
        <v>0.75253911025234577</v>
      </c>
      <c r="AF156" s="163">
        <f>IFERROR(_xlfn.XLOOKUP($D156,'Modelling New'!$D:$D,'Modelling New'!$W:$W),"")</f>
        <v>0.1496103709140261</v>
      </c>
      <c r="AG156" s="163">
        <f>IFERROR(_xlfn.XLOOKUP($D156,'Modelling New'!$D:$D,'Modelling New'!AE:AE),"")</f>
        <v>0.995</v>
      </c>
      <c r="AH156" s="163">
        <f>IFERROR(_xlfn.XLOOKUP($D156,'Modelling New'!$D:$D,'Modelling New'!AF:AF),"")</f>
        <v>0.98550000000000004</v>
      </c>
      <c r="AN156" s="164"/>
      <c r="AO156" s="161"/>
      <c r="AP156" s="161"/>
      <c r="AQ156" s="161"/>
      <c r="AR156" s="156">
        <f>IFERROR(_xlfn.XLOOKUP($D156,'Modelling New'!$D:$D,'Modelling New'!$N:$N),"")</f>
        <v>11.72</v>
      </c>
    </row>
    <row r="157" spans="1:44">
      <c r="A157" s="155">
        <f t="shared" si="11"/>
        <v>45900</v>
      </c>
      <c r="B157" s="156">
        <f>YEAR(Table13[[#This Row],[Date]])+IF(MONTH(Table13[[#This Row],[Date]])&gt;=4,1,0)</f>
        <v>2026</v>
      </c>
      <c r="C157" s="129">
        <f>YEAR(Table13[[#This Row],[Date]])</f>
        <v>2025</v>
      </c>
      <c r="D157" s="157">
        <f>Table13[[#This Row],[Date]]-DAY(Table13[[#This Row],[Date]])+1</f>
        <v>45870</v>
      </c>
      <c r="E157" s="129">
        <f t="shared" si="8"/>
        <v>31</v>
      </c>
      <c r="F157" s="130" t="str">
        <f>IFERROR(_xlfn.XLOOKUP($A157,'Raw Data'!$G:$G,'Raw Data'!$AH:$AH),"")</f>
        <v/>
      </c>
      <c r="G157" s="131" t="str">
        <f>IFERROR(_xlfn.XLOOKUP($A157,'Raw Data'!$G:$G,'Raw Data'!$S:$S)/1000,"")</f>
        <v/>
      </c>
      <c r="H157" s="131"/>
      <c r="I157" s="131" t="str">
        <f>IFERROR(_xlfn.XLOOKUP($A157,'Raw Data'!$G:$G,'Raw Data'!$AF:$AF)/1000,"")</f>
        <v/>
      </c>
      <c r="J157" s="131"/>
      <c r="K157" s="131" t="str">
        <f>IFERROR(_xlfn.XLOOKUP($A157,'Raw Data'!$G:$G,'Raw Data'!W:W),"")</f>
        <v/>
      </c>
      <c r="L157" s="131" t="str">
        <f>IFERROR(_xlfn.XLOOKUP($A157,'Raw Data'!$G:$G,'Raw Data'!X:X),"")</f>
        <v/>
      </c>
      <c r="M157" s="131" t="str">
        <f>IFERROR(_xlfn.XLOOKUP($A157,'Raw Data'!$G:$G,'Raw Data'!Y:Y),"")</f>
        <v/>
      </c>
      <c r="N157" s="131" t="str">
        <f>IFERROR(_xlfn.XLOOKUP($A157,'Raw Data'!$G:$G,'Raw Data'!Z:Z),"")</f>
        <v/>
      </c>
      <c r="O157" s="158" t="str">
        <f>IFERROR(1-SUMIF('Plant BD'!$H:$H,$A157,'Plant BD'!AC:AC)/$F157,"")</f>
        <v/>
      </c>
      <c r="P157" s="158"/>
      <c r="Q157" s="159"/>
      <c r="R157" s="158" t="str">
        <f>IFERROR(1-SUMIF('Grid BD'!$H:$H,$A157,'Grid BD'!AB:AB)/$F157,"")</f>
        <v/>
      </c>
      <c r="T157" s="159" t="str">
        <f>IFERROR(1-SUMIF(Tracker_BD!$H:$H,$A157,Tracker_BD!AI:AI)/$F157,"")</f>
        <v/>
      </c>
      <c r="U157" s="160" t="str">
        <f t="shared" si="9"/>
        <v/>
      </c>
      <c r="V157" s="160"/>
      <c r="W157" s="161" t="str">
        <f t="shared" si="10"/>
        <v/>
      </c>
      <c r="X157" s="156" t="str">
        <f>IFERROR(_xlfn.XLOOKUP($A157,'Raw Data'!$G:$G,'Raw Data'!$AB:$AB),"")</f>
        <v/>
      </c>
      <c r="Y157" s="156" t="str">
        <f>IFERROR(_xlfn.XLOOKUP($A157,'Raw Data'!$G:$G,'Raw Data'!AC:AC),"")</f>
        <v/>
      </c>
      <c r="Z157" s="156" t="str">
        <f>IFERROR(_xlfn.XLOOKUP($A157,'Raw Data'!$G:$G,'Raw Data'!AD:AD),"")</f>
        <v/>
      </c>
      <c r="AA157" s="156" t="str">
        <f>IFERROR(_xlfn.XLOOKUP($A157,'Raw Data'!$G:$G,'Raw Data'!AE:AE),"")</f>
        <v/>
      </c>
      <c r="AB157" s="156" t="str">
        <f>IFERROR(_xlfn.XLOOKUP($A157,'Raw Data'!$G:$G,'Raw Data'!$H:$H),"")</f>
        <v/>
      </c>
      <c r="AC157" s="162">
        <f>IFERROR(_xlfn.XLOOKUP($D157,'Modelling New'!$D:$D,'Modelling New'!$P:$P),"")</f>
        <v>4.7713784612903236</v>
      </c>
      <c r="AD157" s="156">
        <f>IFERROR(_xlfn.XLOOKUP($D157,'Modelling New'!$D:$D,'Modelling New'!$T:$T)*1000,"")</f>
        <v>42082.405130697269</v>
      </c>
      <c r="AE157" s="163">
        <f>IFERROR(_xlfn.XLOOKUP($D157,'Modelling New'!$D:$D,'Modelling New'!$O:$O),"")</f>
        <v>0.75253911025234577</v>
      </c>
      <c r="AF157" s="163">
        <f>IFERROR(_xlfn.XLOOKUP($D157,'Modelling New'!$D:$D,'Modelling New'!$W:$W),"")</f>
        <v>0.1496103709140261</v>
      </c>
      <c r="AG157" s="163">
        <f>IFERROR(_xlfn.XLOOKUP($D157,'Modelling New'!$D:$D,'Modelling New'!AE:AE),"")</f>
        <v>0.995</v>
      </c>
      <c r="AH157" s="163">
        <f>IFERROR(_xlfn.XLOOKUP($D157,'Modelling New'!$D:$D,'Modelling New'!AF:AF),"")</f>
        <v>0.98550000000000004</v>
      </c>
      <c r="AN157" s="164"/>
      <c r="AO157" s="161"/>
      <c r="AP157" s="161"/>
      <c r="AQ157" s="161"/>
      <c r="AR157" s="156">
        <f>IFERROR(_xlfn.XLOOKUP($D157,'Modelling New'!$D:$D,'Modelling New'!$N:$N),"")</f>
        <v>11.72</v>
      </c>
    </row>
    <row r="158" spans="1:44">
      <c r="A158" s="155">
        <f t="shared" si="11"/>
        <v>45901</v>
      </c>
      <c r="B158" s="156">
        <f>YEAR(Table13[[#This Row],[Date]])+IF(MONTH(Table13[[#This Row],[Date]])&gt;=4,1,0)</f>
        <v>2026</v>
      </c>
      <c r="C158" s="129">
        <f>YEAR(Table13[[#This Row],[Date]])</f>
        <v>2025</v>
      </c>
      <c r="D158" s="157">
        <f>Table13[[#This Row],[Date]]-DAY(Table13[[#This Row],[Date]])+1</f>
        <v>45901</v>
      </c>
      <c r="E158" s="129">
        <f t="shared" si="8"/>
        <v>30</v>
      </c>
      <c r="F158" s="130" t="str">
        <f>IFERROR(_xlfn.XLOOKUP($A158,'Raw Data'!$G:$G,'Raw Data'!$AH:$AH),"")</f>
        <v/>
      </c>
      <c r="G158" s="131" t="str">
        <f>IFERROR(_xlfn.XLOOKUP($A158,'Raw Data'!$G:$G,'Raw Data'!$S:$S)/1000,"")</f>
        <v/>
      </c>
      <c r="H158" s="131"/>
      <c r="I158" s="131" t="str">
        <f>IFERROR(_xlfn.XLOOKUP($A158,'Raw Data'!$G:$G,'Raw Data'!$AF:$AF)/1000,"")</f>
        <v/>
      </c>
      <c r="J158" s="131"/>
      <c r="K158" s="131" t="str">
        <f>IFERROR(_xlfn.XLOOKUP($A158,'Raw Data'!$G:$G,'Raw Data'!W:W),"")</f>
        <v/>
      </c>
      <c r="L158" s="131" t="str">
        <f>IFERROR(_xlfn.XLOOKUP($A158,'Raw Data'!$G:$G,'Raw Data'!X:X),"")</f>
        <v/>
      </c>
      <c r="M158" s="131" t="str">
        <f>IFERROR(_xlfn.XLOOKUP($A158,'Raw Data'!$G:$G,'Raw Data'!Y:Y),"")</f>
        <v/>
      </c>
      <c r="N158" s="131" t="str">
        <f>IFERROR(_xlfn.XLOOKUP($A158,'Raw Data'!$G:$G,'Raw Data'!Z:Z),"")</f>
        <v/>
      </c>
      <c r="O158" s="158" t="str">
        <f>IFERROR(1-SUMIF('Plant BD'!$H:$H,$A158,'Plant BD'!AC:AC)/$F158,"")</f>
        <v/>
      </c>
      <c r="P158" s="158"/>
      <c r="Q158" s="159"/>
      <c r="R158" s="158" t="str">
        <f>IFERROR(1-SUMIF('Grid BD'!$H:$H,$A158,'Grid BD'!AB:AB)/$F158,"")</f>
        <v/>
      </c>
      <c r="T158" s="159" t="str">
        <f>IFERROR(1-SUMIF(Tracker_BD!$H:$H,$A158,Tracker_BD!AI:AI)/$F158,"")</f>
        <v/>
      </c>
      <c r="U158" s="160" t="str">
        <f t="shared" si="9"/>
        <v/>
      </c>
      <c r="V158" s="160"/>
      <c r="W158" s="161" t="str">
        <f t="shared" si="10"/>
        <v/>
      </c>
      <c r="X158" s="156" t="str">
        <f>IFERROR(_xlfn.XLOOKUP($A158,'Raw Data'!$G:$G,'Raw Data'!$AB:$AB),"")</f>
        <v/>
      </c>
      <c r="Y158" s="156" t="str">
        <f>IFERROR(_xlfn.XLOOKUP($A158,'Raw Data'!$G:$G,'Raw Data'!AC:AC),"")</f>
        <v/>
      </c>
      <c r="Z158" s="156" t="str">
        <f>IFERROR(_xlfn.XLOOKUP($A158,'Raw Data'!$G:$G,'Raw Data'!AD:AD),"")</f>
        <v/>
      </c>
      <c r="AA158" s="156" t="str">
        <f>IFERROR(_xlfn.XLOOKUP($A158,'Raw Data'!$G:$G,'Raw Data'!AE:AE),"")</f>
        <v/>
      </c>
      <c r="AB158" s="156" t="str">
        <f>IFERROR(_xlfn.XLOOKUP($A158,'Raw Data'!$G:$G,'Raw Data'!$H:$H),"")</f>
        <v/>
      </c>
      <c r="AC158" s="162">
        <f>IFERROR(_xlfn.XLOOKUP($D158,'Modelling New'!$D:$D,'Modelling New'!$P:$P),"")</f>
        <v>5.5049609600000018</v>
      </c>
      <c r="AD158" s="156">
        <f>IFERROR(_xlfn.XLOOKUP($D158,'Modelling New'!$D:$D,'Modelling New'!$T:$T)*1000,"")</f>
        <v>47057.046080205721</v>
      </c>
      <c r="AE158" s="163">
        <f>IFERROR(_xlfn.XLOOKUP($D158,'Modelling New'!$D:$D,'Modelling New'!$O:$O),"")</f>
        <v>0.72936145233565186</v>
      </c>
      <c r="AF158" s="163">
        <f>IFERROR(_xlfn.XLOOKUP($D158,'Modelling New'!$D:$D,'Modelling New'!$W:$W),"")</f>
        <v>0.16729609670152773</v>
      </c>
      <c r="AG158" s="163">
        <f>IFERROR(_xlfn.XLOOKUP($D158,'Modelling New'!$D:$D,'Modelling New'!AE:AE),"")</f>
        <v>0.995</v>
      </c>
      <c r="AH158" s="163">
        <f>IFERROR(_xlfn.XLOOKUP($D158,'Modelling New'!$D:$D,'Modelling New'!AF:AF),"")</f>
        <v>0.98550000000000004</v>
      </c>
      <c r="AN158" s="164"/>
      <c r="AO158" s="161"/>
      <c r="AP158" s="161"/>
      <c r="AQ158" s="161"/>
      <c r="AR158" s="156">
        <f>IFERROR(_xlfn.XLOOKUP($D158,'Modelling New'!$D:$D,'Modelling New'!$N:$N),"")</f>
        <v>11.72</v>
      </c>
    </row>
    <row r="159" spans="1:44">
      <c r="A159" s="155">
        <f t="shared" si="11"/>
        <v>45902</v>
      </c>
      <c r="B159" s="156">
        <f>YEAR(Table13[[#This Row],[Date]])+IF(MONTH(Table13[[#This Row],[Date]])&gt;=4,1,0)</f>
        <v>2026</v>
      </c>
      <c r="C159" s="129">
        <f>YEAR(Table13[[#This Row],[Date]])</f>
        <v>2025</v>
      </c>
      <c r="D159" s="157">
        <f>Table13[[#This Row],[Date]]-DAY(Table13[[#This Row],[Date]])+1</f>
        <v>45901</v>
      </c>
      <c r="E159" s="129">
        <f t="shared" si="8"/>
        <v>30</v>
      </c>
      <c r="F159" s="130" t="str">
        <f>IFERROR(_xlfn.XLOOKUP($A159,'Raw Data'!$G:$G,'Raw Data'!$AH:$AH),"")</f>
        <v/>
      </c>
      <c r="G159" s="131" t="str">
        <f>IFERROR(_xlfn.XLOOKUP($A159,'Raw Data'!$G:$G,'Raw Data'!$S:$S)/1000,"")</f>
        <v/>
      </c>
      <c r="H159" s="131"/>
      <c r="I159" s="131" t="str">
        <f>IFERROR(_xlfn.XLOOKUP($A159,'Raw Data'!$G:$G,'Raw Data'!$AF:$AF)/1000,"")</f>
        <v/>
      </c>
      <c r="J159" s="131"/>
      <c r="K159" s="131" t="str">
        <f>IFERROR(_xlfn.XLOOKUP($A159,'Raw Data'!$G:$G,'Raw Data'!W:W),"")</f>
        <v/>
      </c>
      <c r="L159" s="131" t="str">
        <f>IFERROR(_xlfn.XLOOKUP($A159,'Raw Data'!$G:$G,'Raw Data'!X:X),"")</f>
        <v/>
      </c>
      <c r="M159" s="131" t="str">
        <f>IFERROR(_xlfn.XLOOKUP($A159,'Raw Data'!$G:$G,'Raw Data'!Y:Y),"")</f>
        <v/>
      </c>
      <c r="N159" s="131" t="str">
        <f>IFERROR(_xlfn.XLOOKUP($A159,'Raw Data'!$G:$G,'Raw Data'!Z:Z),"")</f>
        <v/>
      </c>
      <c r="O159" s="158" t="str">
        <f>IFERROR(1-SUMIF('Plant BD'!$H:$H,$A159,'Plant BD'!AC:AC)/$F159,"")</f>
        <v/>
      </c>
      <c r="P159" s="158"/>
      <c r="Q159" s="159"/>
      <c r="R159" s="158" t="str">
        <f>IFERROR(1-SUMIF('Grid BD'!$H:$H,$A159,'Grid BD'!AB:AB)/$F159,"")</f>
        <v/>
      </c>
      <c r="T159" s="159" t="str">
        <f>IFERROR(1-SUMIF(Tracker_BD!$H:$H,$A159,Tracker_BD!AI:AI)/$F159,"")</f>
        <v/>
      </c>
      <c r="U159" s="160" t="str">
        <f t="shared" si="9"/>
        <v/>
      </c>
      <c r="V159" s="160"/>
      <c r="W159" s="161" t="str">
        <f t="shared" si="10"/>
        <v/>
      </c>
      <c r="X159" s="156" t="str">
        <f>IFERROR(_xlfn.XLOOKUP($A159,'Raw Data'!$G:$G,'Raw Data'!$AB:$AB),"")</f>
        <v/>
      </c>
      <c r="Y159" s="156" t="str">
        <f>IFERROR(_xlfn.XLOOKUP($A159,'Raw Data'!$G:$G,'Raw Data'!AC:AC),"")</f>
        <v/>
      </c>
      <c r="Z159" s="156" t="str">
        <f>IFERROR(_xlfn.XLOOKUP($A159,'Raw Data'!$G:$G,'Raw Data'!AD:AD),"")</f>
        <v/>
      </c>
      <c r="AA159" s="156" t="str">
        <f>IFERROR(_xlfn.XLOOKUP($A159,'Raw Data'!$G:$G,'Raw Data'!AE:AE),"")</f>
        <v/>
      </c>
      <c r="AB159" s="156" t="str">
        <f>IFERROR(_xlfn.XLOOKUP($A159,'Raw Data'!$G:$G,'Raw Data'!$H:$H),"")</f>
        <v/>
      </c>
      <c r="AC159" s="162">
        <f>IFERROR(_xlfn.XLOOKUP($D159,'Modelling New'!$D:$D,'Modelling New'!$P:$P),"")</f>
        <v>5.5049609600000018</v>
      </c>
      <c r="AD159" s="156">
        <f>IFERROR(_xlfn.XLOOKUP($D159,'Modelling New'!$D:$D,'Modelling New'!$T:$T)*1000,"")</f>
        <v>47057.046080205721</v>
      </c>
      <c r="AE159" s="163">
        <f>IFERROR(_xlfn.XLOOKUP($D159,'Modelling New'!$D:$D,'Modelling New'!$O:$O),"")</f>
        <v>0.72936145233565186</v>
      </c>
      <c r="AF159" s="163">
        <f>IFERROR(_xlfn.XLOOKUP($D159,'Modelling New'!$D:$D,'Modelling New'!$W:$W),"")</f>
        <v>0.16729609670152773</v>
      </c>
      <c r="AG159" s="163">
        <f>IFERROR(_xlfn.XLOOKUP($D159,'Modelling New'!$D:$D,'Modelling New'!AE:AE),"")</f>
        <v>0.995</v>
      </c>
      <c r="AH159" s="163">
        <f>IFERROR(_xlfn.XLOOKUP($D159,'Modelling New'!$D:$D,'Modelling New'!AF:AF),"")</f>
        <v>0.98550000000000004</v>
      </c>
      <c r="AN159" s="164"/>
      <c r="AO159" s="161"/>
      <c r="AP159" s="161"/>
      <c r="AQ159" s="161"/>
      <c r="AR159" s="156">
        <f>IFERROR(_xlfn.XLOOKUP($D159,'Modelling New'!$D:$D,'Modelling New'!$N:$N),"")</f>
        <v>11.72</v>
      </c>
    </row>
    <row r="160" spans="1:44">
      <c r="A160" s="155">
        <f t="shared" si="11"/>
        <v>45903</v>
      </c>
      <c r="B160" s="156">
        <f>YEAR(Table13[[#This Row],[Date]])+IF(MONTH(Table13[[#This Row],[Date]])&gt;=4,1,0)</f>
        <v>2026</v>
      </c>
      <c r="C160" s="129">
        <f>YEAR(Table13[[#This Row],[Date]])</f>
        <v>2025</v>
      </c>
      <c r="D160" s="157">
        <f>Table13[[#This Row],[Date]]-DAY(Table13[[#This Row],[Date]])+1</f>
        <v>45901</v>
      </c>
      <c r="E160" s="129">
        <f t="shared" si="8"/>
        <v>30</v>
      </c>
      <c r="F160" s="130" t="str">
        <f>IFERROR(_xlfn.XLOOKUP($A160,'Raw Data'!$G:$G,'Raw Data'!$AH:$AH),"")</f>
        <v/>
      </c>
      <c r="G160" s="131" t="str">
        <f>IFERROR(_xlfn.XLOOKUP($A160,'Raw Data'!$G:$G,'Raw Data'!$S:$S)/1000,"")</f>
        <v/>
      </c>
      <c r="H160" s="131"/>
      <c r="I160" s="131" t="str">
        <f>IFERROR(_xlfn.XLOOKUP($A160,'Raw Data'!$G:$G,'Raw Data'!$AF:$AF)/1000,"")</f>
        <v/>
      </c>
      <c r="J160" s="131"/>
      <c r="K160" s="131" t="str">
        <f>IFERROR(_xlfn.XLOOKUP($A160,'Raw Data'!$G:$G,'Raw Data'!W:W),"")</f>
        <v/>
      </c>
      <c r="L160" s="131" t="str">
        <f>IFERROR(_xlfn.XLOOKUP($A160,'Raw Data'!$G:$G,'Raw Data'!X:X),"")</f>
        <v/>
      </c>
      <c r="M160" s="131" t="str">
        <f>IFERROR(_xlfn.XLOOKUP($A160,'Raw Data'!$G:$G,'Raw Data'!Y:Y),"")</f>
        <v/>
      </c>
      <c r="N160" s="131" t="str">
        <f>IFERROR(_xlfn.XLOOKUP($A160,'Raw Data'!$G:$G,'Raw Data'!Z:Z),"")</f>
        <v/>
      </c>
      <c r="O160" s="158" t="str">
        <f>IFERROR(1-SUMIF('Plant BD'!$H:$H,$A160,'Plant BD'!AC:AC)/$F160,"")</f>
        <v/>
      </c>
      <c r="P160" s="158"/>
      <c r="Q160" s="159"/>
      <c r="R160" s="158" t="str">
        <f>IFERROR(1-SUMIF('Grid BD'!$H:$H,$A160,'Grid BD'!AB:AB)/$F160,"")</f>
        <v/>
      </c>
      <c r="T160" s="159" t="str">
        <f>IFERROR(1-SUMIF(Tracker_BD!$H:$H,$A160,Tracker_BD!AI:AI)/$F160,"")</f>
        <v/>
      </c>
      <c r="U160" s="160" t="str">
        <f t="shared" si="9"/>
        <v/>
      </c>
      <c r="V160" s="160"/>
      <c r="W160" s="161" t="str">
        <f t="shared" si="10"/>
        <v/>
      </c>
      <c r="X160" s="156" t="str">
        <f>IFERROR(_xlfn.XLOOKUP($A160,'Raw Data'!$G:$G,'Raw Data'!$AB:$AB),"")</f>
        <v/>
      </c>
      <c r="Y160" s="156" t="str">
        <f>IFERROR(_xlfn.XLOOKUP($A160,'Raw Data'!$G:$G,'Raw Data'!AC:AC),"")</f>
        <v/>
      </c>
      <c r="Z160" s="156" t="str">
        <f>IFERROR(_xlfn.XLOOKUP($A160,'Raw Data'!$G:$G,'Raw Data'!AD:AD),"")</f>
        <v/>
      </c>
      <c r="AA160" s="156" t="str">
        <f>IFERROR(_xlfn.XLOOKUP($A160,'Raw Data'!$G:$G,'Raw Data'!AE:AE),"")</f>
        <v/>
      </c>
      <c r="AB160" s="156" t="str">
        <f>IFERROR(_xlfn.XLOOKUP($A160,'Raw Data'!$G:$G,'Raw Data'!$H:$H),"")</f>
        <v/>
      </c>
      <c r="AC160" s="162">
        <f>IFERROR(_xlfn.XLOOKUP($D160,'Modelling New'!$D:$D,'Modelling New'!$P:$P),"")</f>
        <v>5.5049609600000018</v>
      </c>
      <c r="AD160" s="156">
        <f>IFERROR(_xlfn.XLOOKUP($D160,'Modelling New'!$D:$D,'Modelling New'!$T:$T)*1000,"")</f>
        <v>47057.046080205721</v>
      </c>
      <c r="AE160" s="163">
        <f>IFERROR(_xlfn.XLOOKUP($D160,'Modelling New'!$D:$D,'Modelling New'!$O:$O),"")</f>
        <v>0.72936145233565186</v>
      </c>
      <c r="AF160" s="163">
        <f>IFERROR(_xlfn.XLOOKUP($D160,'Modelling New'!$D:$D,'Modelling New'!$W:$W),"")</f>
        <v>0.16729609670152773</v>
      </c>
      <c r="AG160" s="163">
        <f>IFERROR(_xlfn.XLOOKUP($D160,'Modelling New'!$D:$D,'Modelling New'!AE:AE),"")</f>
        <v>0.995</v>
      </c>
      <c r="AH160" s="163">
        <f>IFERROR(_xlfn.XLOOKUP($D160,'Modelling New'!$D:$D,'Modelling New'!AF:AF),"")</f>
        <v>0.98550000000000004</v>
      </c>
      <c r="AN160" s="164"/>
      <c r="AO160" s="161"/>
      <c r="AP160" s="161"/>
      <c r="AQ160" s="161"/>
      <c r="AR160" s="156">
        <f>IFERROR(_xlfn.XLOOKUP($D160,'Modelling New'!$D:$D,'Modelling New'!$N:$N),"")</f>
        <v>11.72</v>
      </c>
    </row>
    <row r="161" spans="1:44">
      <c r="A161" s="155">
        <f t="shared" si="11"/>
        <v>45904</v>
      </c>
      <c r="B161" s="156">
        <f>YEAR(Table13[[#This Row],[Date]])+IF(MONTH(Table13[[#This Row],[Date]])&gt;=4,1,0)</f>
        <v>2026</v>
      </c>
      <c r="C161" s="129">
        <f>YEAR(Table13[[#This Row],[Date]])</f>
        <v>2025</v>
      </c>
      <c r="D161" s="157">
        <f>Table13[[#This Row],[Date]]-DAY(Table13[[#This Row],[Date]])+1</f>
        <v>45901</v>
      </c>
      <c r="E161" s="129">
        <f t="shared" si="8"/>
        <v>30</v>
      </c>
      <c r="F161" s="130" t="str">
        <f>IFERROR(_xlfn.XLOOKUP($A161,'Raw Data'!$G:$G,'Raw Data'!$AH:$AH),"")</f>
        <v/>
      </c>
      <c r="G161" s="131" t="str">
        <f>IFERROR(_xlfn.XLOOKUP($A161,'Raw Data'!$G:$G,'Raw Data'!$S:$S)/1000,"")</f>
        <v/>
      </c>
      <c r="H161" s="131"/>
      <c r="I161" s="131" t="str">
        <f>IFERROR(_xlfn.XLOOKUP($A161,'Raw Data'!$G:$G,'Raw Data'!$AF:$AF)/1000,"")</f>
        <v/>
      </c>
      <c r="J161" s="131"/>
      <c r="K161" s="131" t="str">
        <f>IFERROR(_xlfn.XLOOKUP($A161,'Raw Data'!$G:$G,'Raw Data'!W:W),"")</f>
        <v/>
      </c>
      <c r="L161" s="131" t="str">
        <f>IFERROR(_xlfn.XLOOKUP($A161,'Raw Data'!$G:$G,'Raw Data'!X:X),"")</f>
        <v/>
      </c>
      <c r="M161" s="131" t="str">
        <f>IFERROR(_xlfn.XLOOKUP($A161,'Raw Data'!$G:$G,'Raw Data'!Y:Y),"")</f>
        <v/>
      </c>
      <c r="N161" s="131" t="str">
        <f>IFERROR(_xlfn.XLOOKUP($A161,'Raw Data'!$G:$G,'Raw Data'!Z:Z),"")</f>
        <v/>
      </c>
      <c r="O161" s="158" t="str">
        <f>IFERROR(1-SUMIF('Plant BD'!$H:$H,$A161,'Plant BD'!AC:AC)/$F161,"")</f>
        <v/>
      </c>
      <c r="P161" s="158"/>
      <c r="Q161" s="159"/>
      <c r="R161" s="158" t="str">
        <f>IFERROR(1-SUMIF('Grid BD'!$H:$H,$A161,'Grid BD'!AB:AB)/$F161,"")</f>
        <v/>
      </c>
      <c r="T161" s="159" t="str">
        <f>IFERROR(1-SUMIF(Tracker_BD!$H:$H,$A161,Tracker_BD!AI:AI)/$F161,"")</f>
        <v/>
      </c>
      <c r="U161" s="160" t="str">
        <f t="shared" si="9"/>
        <v/>
      </c>
      <c r="V161" s="160"/>
      <c r="W161" s="161" t="str">
        <f t="shared" si="10"/>
        <v/>
      </c>
      <c r="X161" s="156" t="str">
        <f>IFERROR(_xlfn.XLOOKUP($A161,'Raw Data'!$G:$G,'Raw Data'!$AB:$AB),"")</f>
        <v/>
      </c>
      <c r="Y161" s="156" t="str">
        <f>IFERROR(_xlfn.XLOOKUP($A161,'Raw Data'!$G:$G,'Raw Data'!AC:AC),"")</f>
        <v/>
      </c>
      <c r="Z161" s="156" t="str">
        <f>IFERROR(_xlfn.XLOOKUP($A161,'Raw Data'!$G:$G,'Raw Data'!AD:AD),"")</f>
        <v/>
      </c>
      <c r="AA161" s="156" t="str">
        <f>IFERROR(_xlfn.XLOOKUP($A161,'Raw Data'!$G:$G,'Raw Data'!AE:AE),"")</f>
        <v/>
      </c>
      <c r="AB161" s="156" t="str">
        <f>IFERROR(_xlfn.XLOOKUP($A161,'Raw Data'!$G:$G,'Raw Data'!$H:$H),"")</f>
        <v/>
      </c>
      <c r="AC161" s="162">
        <f>IFERROR(_xlfn.XLOOKUP($D161,'Modelling New'!$D:$D,'Modelling New'!$P:$P),"")</f>
        <v>5.5049609600000018</v>
      </c>
      <c r="AD161" s="156">
        <f>IFERROR(_xlfn.XLOOKUP($D161,'Modelling New'!$D:$D,'Modelling New'!$T:$T)*1000,"")</f>
        <v>47057.046080205721</v>
      </c>
      <c r="AE161" s="163">
        <f>IFERROR(_xlfn.XLOOKUP($D161,'Modelling New'!$D:$D,'Modelling New'!$O:$O),"")</f>
        <v>0.72936145233565186</v>
      </c>
      <c r="AF161" s="163">
        <f>IFERROR(_xlfn.XLOOKUP($D161,'Modelling New'!$D:$D,'Modelling New'!$W:$W),"")</f>
        <v>0.16729609670152773</v>
      </c>
      <c r="AG161" s="163">
        <f>IFERROR(_xlfn.XLOOKUP($D161,'Modelling New'!$D:$D,'Modelling New'!AE:AE),"")</f>
        <v>0.995</v>
      </c>
      <c r="AH161" s="163">
        <f>IFERROR(_xlfn.XLOOKUP($D161,'Modelling New'!$D:$D,'Modelling New'!AF:AF),"")</f>
        <v>0.98550000000000004</v>
      </c>
      <c r="AN161" s="164"/>
      <c r="AO161" s="161"/>
      <c r="AP161" s="161"/>
      <c r="AQ161" s="161"/>
      <c r="AR161" s="156">
        <f>IFERROR(_xlfn.XLOOKUP($D161,'Modelling New'!$D:$D,'Modelling New'!$N:$N),"")</f>
        <v>11.72</v>
      </c>
    </row>
    <row r="162" spans="1:44">
      <c r="A162" s="155">
        <f t="shared" si="11"/>
        <v>45905</v>
      </c>
      <c r="B162" s="156">
        <f>YEAR(Table13[[#This Row],[Date]])+IF(MONTH(Table13[[#This Row],[Date]])&gt;=4,1,0)</f>
        <v>2026</v>
      </c>
      <c r="C162" s="129">
        <f>YEAR(Table13[[#This Row],[Date]])</f>
        <v>2025</v>
      </c>
      <c r="D162" s="157">
        <f>Table13[[#This Row],[Date]]-DAY(Table13[[#This Row],[Date]])+1</f>
        <v>45901</v>
      </c>
      <c r="E162" s="129">
        <f t="shared" si="8"/>
        <v>30</v>
      </c>
      <c r="F162" s="130" t="str">
        <f>IFERROR(_xlfn.XLOOKUP($A162,'Raw Data'!$G:$G,'Raw Data'!$AH:$AH),"")</f>
        <v/>
      </c>
      <c r="G162" s="131" t="str">
        <f>IFERROR(_xlfn.XLOOKUP($A162,'Raw Data'!$G:$G,'Raw Data'!$S:$S)/1000,"")</f>
        <v/>
      </c>
      <c r="H162" s="131"/>
      <c r="I162" s="131" t="str">
        <f>IFERROR(_xlfn.XLOOKUP($A162,'Raw Data'!$G:$G,'Raw Data'!$AF:$AF)/1000,"")</f>
        <v/>
      </c>
      <c r="J162" s="131"/>
      <c r="K162" s="131" t="str">
        <f>IFERROR(_xlfn.XLOOKUP($A162,'Raw Data'!$G:$G,'Raw Data'!W:W),"")</f>
        <v/>
      </c>
      <c r="L162" s="131" t="str">
        <f>IFERROR(_xlfn.XLOOKUP($A162,'Raw Data'!$G:$G,'Raw Data'!X:X),"")</f>
        <v/>
      </c>
      <c r="M162" s="131" t="str">
        <f>IFERROR(_xlfn.XLOOKUP($A162,'Raw Data'!$G:$G,'Raw Data'!Y:Y),"")</f>
        <v/>
      </c>
      <c r="N162" s="131" t="str">
        <f>IFERROR(_xlfn.XLOOKUP($A162,'Raw Data'!$G:$G,'Raw Data'!Z:Z),"")</f>
        <v/>
      </c>
      <c r="O162" s="158" t="str">
        <f>IFERROR(1-SUMIF('Plant BD'!$H:$H,$A162,'Plant BD'!AC:AC)/$F162,"")</f>
        <v/>
      </c>
      <c r="P162" s="158"/>
      <c r="Q162" s="159"/>
      <c r="R162" s="158" t="str">
        <f>IFERROR(1-SUMIF('Grid BD'!$H:$H,$A162,'Grid BD'!AB:AB)/$F162,"")</f>
        <v/>
      </c>
      <c r="T162" s="159" t="str">
        <f>IFERROR(1-SUMIF(Tracker_BD!$H:$H,$A162,Tracker_BD!AI:AI)/$F162,"")</f>
        <v/>
      </c>
      <c r="U162" s="160" t="str">
        <f t="shared" si="9"/>
        <v/>
      </c>
      <c r="V162" s="160"/>
      <c r="W162" s="161" t="str">
        <f t="shared" si="10"/>
        <v/>
      </c>
      <c r="X162" s="156" t="str">
        <f>IFERROR(_xlfn.XLOOKUP($A162,'Raw Data'!$G:$G,'Raw Data'!$AB:$AB),"")</f>
        <v/>
      </c>
      <c r="Y162" s="156" t="str">
        <f>IFERROR(_xlfn.XLOOKUP($A162,'Raw Data'!$G:$G,'Raw Data'!AC:AC),"")</f>
        <v/>
      </c>
      <c r="Z162" s="156" t="str">
        <f>IFERROR(_xlfn.XLOOKUP($A162,'Raw Data'!$G:$G,'Raw Data'!AD:AD),"")</f>
        <v/>
      </c>
      <c r="AA162" s="156" t="str">
        <f>IFERROR(_xlfn.XLOOKUP($A162,'Raw Data'!$G:$G,'Raw Data'!AE:AE),"")</f>
        <v/>
      </c>
      <c r="AB162" s="156" t="str">
        <f>IFERROR(_xlfn.XLOOKUP($A162,'Raw Data'!$G:$G,'Raw Data'!$H:$H),"")</f>
        <v/>
      </c>
      <c r="AC162" s="162">
        <f>IFERROR(_xlfn.XLOOKUP($D162,'Modelling New'!$D:$D,'Modelling New'!$P:$P),"")</f>
        <v>5.5049609600000018</v>
      </c>
      <c r="AD162" s="156">
        <f>IFERROR(_xlfn.XLOOKUP($D162,'Modelling New'!$D:$D,'Modelling New'!$T:$T)*1000,"")</f>
        <v>47057.046080205721</v>
      </c>
      <c r="AE162" s="163">
        <f>IFERROR(_xlfn.XLOOKUP($D162,'Modelling New'!$D:$D,'Modelling New'!$O:$O),"")</f>
        <v>0.72936145233565186</v>
      </c>
      <c r="AF162" s="163">
        <f>IFERROR(_xlfn.XLOOKUP($D162,'Modelling New'!$D:$D,'Modelling New'!$W:$W),"")</f>
        <v>0.16729609670152773</v>
      </c>
      <c r="AG162" s="163">
        <f>IFERROR(_xlfn.XLOOKUP($D162,'Modelling New'!$D:$D,'Modelling New'!AE:AE),"")</f>
        <v>0.995</v>
      </c>
      <c r="AH162" s="163">
        <f>IFERROR(_xlfn.XLOOKUP($D162,'Modelling New'!$D:$D,'Modelling New'!AF:AF),"")</f>
        <v>0.98550000000000004</v>
      </c>
      <c r="AN162" s="164"/>
      <c r="AO162" s="161"/>
      <c r="AP162" s="161"/>
      <c r="AQ162" s="161"/>
      <c r="AR162" s="156">
        <f>IFERROR(_xlfn.XLOOKUP($D162,'Modelling New'!$D:$D,'Modelling New'!$N:$N),"")</f>
        <v>11.72</v>
      </c>
    </row>
    <row r="163" spans="1:44">
      <c r="A163" s="155">
        <f t="shared" si="11"/>
        <v>45906</v>
      </c>
      <c r="B163" s="156">
        <f>YEAR(Table13[[#This Row],[Date]])+IF(MONTH(Table13[[#This Row],[Date]])&gt;=4,1,0)</f>
        <v>2026</v>
      </c>
      <c r="C163" s="129">
        <f>YEAR(Table13[[#This Row],[Date]])</f>
        <v>2025</v>
      </c>
      <c r="D163" s="157">
        <f>Table13[[#This Row],[Date]]-DAY(Table13[[#This Row],[Date]])+1</f>
        <v>45901</v>
      </c>
      <c r="E163" s="129">
        <f t="shared" si="8"/>
        <v>30</v>
      </c>
      <c r="F163" s="130" t="str">
        <f>IFERROR(_xlfn.XLOOKUP($A163,'Raw Data'!$G:$G,'Raw Data'!$AH:$AH),"")</f>
        <v/>
      </c>
      <c r="G163" s="131" t="str">
        <f>IFERROR(_xlfn.XLOOKUP($A163,'Raw Data'!$G:$G,'Raw Data'!$S:$S)/1000,"")</f>
        <v/>
      </c>
      <c r="H163" s="131"/>
      <c r="I163" s="131" t="str">
        <f>IFERROR(_xlfn.XLOOKUP($A163,'Raw Data'!$G:$G,'Raw Data'!$AF:$AF)/1000,"")</f>
        <v/>
      </c>
      <c r="J163" s="131"/>
      <c r="K163" s="131" t="str">
        <f>IFERROR(_xlfn.XLOOKUP($A163,'Raw Data'!$G:$G,'Raw Data'!W:W),"")</f>
        <v/>
      </c>
      <c r="L163" s="131" t="str">
        <f>IFERROR(_xlfn.XLOOKUP($A163,'Raw Data'!$G:$G,'Raw Data'!X:X),"")</f>
        <v/>
      </c>
      <c r="M163" s="131" t="str">
        <f>IFERROR(_xlfn.XLOOKUP($A163,'Raw Data'!$G:$G,'Raw Data'!Y:Y),"")</f>
        <v/>
      </c>
      <c r="N163" s="131" t="str">
        <f>IFERROR(_xlfn.XLOOKUP($A163,'Raw Data'!$G:$G,'Raw Data'!Z:Z),"")</f>
        <v/>
      </c>
      <c r="O163" s="158" t="str">
        <f>IFERROR(1-SUMIF('Plant BD'!$H:$H,$A163,'Plant BD'!AC:AC)/$F163,"")</f>
        <v/>
      </c>
      <c r="P163" s="158"/>
      <c r="Q163" s="159"/>
      <c r="R163" s="158" t="str">
        <f>IFERROR(1-SUMIF('Grid BD'!$H:$H,$A163,'Grid BD'!AB:AB)/$F163,"")</f>
        <v/>
      </c>
      <c r="T163" s="159" t="str">
        <f>IFERROR(1-SUMIF(Tracker_BD!$H:$H,$A163,Tracker_BD!AI:AI)/$F163,"")</f>
        <v/>
      </c>
      <c r="U163" s="160" t="str">
        <f t="shared" si="9"/>
        <v/>
      </c>
      <c r="V163" s="160"/>
      <c r="W163" s="161" t="str">
        <f t="shared" si="10"/>
        <v/>
      </c>
      <c r="X163" s="156" t="str">
        <f>IFERROR(_xlfn.XLOOKUP($A163,'Raw Data'!$G:$G,'Raw Data'!$AB:$AB),"")</f>
        <v/>
      </c>
      <c r="Y163" s="156" t="str">
        <f>IFERROR(_xlfn.XLOOKUP($A163,'Raw Data'!$G:$G,'Raw Data'!AC:AC),"")</f>
        <v/>
      </c>
      <c r="Z163" s="156" t="str">
        <f>IFERROR(_xlfn.XLOOKUP($A163,'Raw Data'!$G:$G,'Raw Data'!AD:AD),"")</f>
        <v/>
      </c>
      <c r="AA163" s="156" t="str">
        <f>IFERROR(_xlfn.XLOOKUP($A163,'Raw Data'!$G:$G,'Raw Data'!AE:AE),"")</f>
        <v/>
      </c>
      <c r="AB163" s="156" t="str">
        <f>IFERROR(_xlfn.XLOOKUP($A163,'Raw Data'!$G:$G,'Raw Data'!$H:$H),"")</f>
        <v/>
      </c>
      <c r="AC163" s="162">
        <f>IFERROR(_xlfn.XLOOKUP($D163,'Modelling New'!$D:$D,'Modelling New'!$P:$P),"")</f>
        <v>5.5049609600000018</v>
      </c>
      <c r="AD163" s="156">
        <f>IFERROR(_xlfn.XLOOKUP($D163,'Modelling New'!$D:$D,'Modelling New'!$T:$T)*1000,"")</f>
        <v>47057.046080205721</v>
      </c>
      <c r="AE163" s="163">
        <f>IFERROR(_xlfn.XLOOKUP($D163,'Modelling New'!$D:$D,'Modelling New'!$O:$O),"")</f>
        <v>0.72936145233565186</v>
      </c>
      <c r="AF163" s="163">
        <f>IFERROR(_xlfn.XLOOKUP($D163,'Modelling New'!$D:$D,'Modelling New'!$W:$W),"")</f>
        <v>0.16729609670152773</v>
      </c>
      <c r="AG163" s="163">
        <f>IFERROR(_xlfn.XLOOKUP($D163,'Modelling New'!$D:$D,'Modelling New'!AE:AE),"")</f>
        <v>0.995</v>
      </c>
      <c r="AH163" s="163">
        <f>IFERROR(_xlfn.XLOOKUP($D163,'Modelling New'!$D:$D,'Modelling New'!AF:AF),"")</f>
        <v>0.98550000000000004</v>
      </c>
      <c r="AN163" s="164"/>
      <c r="AO163" s="161"/>
      <c r="AP163" s="161"/>
      <c r="AQ163" s="161"/>
      <c r="AR163" s="156">
        <f>IFERROR(_xlfn.XLOOKUP($D163,'Modelling New'!$D:$D,'Modelling New'!$N:$N),"")</f>
        <v>11.72</v>
      </c>
    </row>
    <row r="164" spans="1:44">
      <c r="A164" s="155">
        <f t="shared" si="11"/>
        <v>45907</v>
      </c>
      <c r="B164" s="156">
        <f>YEAR(Table13[[#This Row],[Date]])+IF(MONTH(Table13[[#This Row],[Date]])&gt;=4,1,0)</f>
        <v>2026</v>
      </c>
      <c r="C164" s="129">
        <f>YEAR(Table13[[#This Row],[Date]])</f>
        <v>2025</v>
      </c>
      <c r="D164" s="157">
        <f>Table13[[#This Row],[Date]]-DAY(Table13[[#This Row],[Date]])+1</f>
        <v>45901</v>
      </c>
      <c r="E164" s="129">
        <f t="shared" si="8"/>
        <v>30</v>
      </c>
      <c r="F164" s="130" t="str">
        <f>IFERROR(_xlfn.XLOOKUP($A164,'Raw Data'!$G:$G,'Raw Data'!$AH:$AH),"")</f>
        <v/>
      </c>
      <c r="G164" s="131" t="str">
        <f>IFERROR(_xlfn.XLOOKUP($A164,'Raw Data'!$G:$G,'Raw Data'!$S:$S)/1000,"")</f>
        <v/>
      </c>
      <c r="H164" s="131"/>
      <c r="I164" s="131" t="str">
        <f>IFERROR(_xlfn.XLOOKUP($A164,'Raw Data'!$G:$G,'Raw Data'!$AF:$AF)/1000,"")</f>
        <v/>
      </c>
      <c r="J164" s="131"/>
      <c r="K164" s="131" t="str">
        <f>IFERROR(_xlfn.XLOOKUP($A164,'Raw Data'!$G:$G,'Raw Data'!W:W),"")</f>
        <v/>
      </c>
      <c r="L164" s="131" t="str">
        <f>IFERROR(_xlfn.XLOOKUP($A164,'Raw Data'!$G:$G,'Raw Data'!X:X),"")</f>
        <v/>
      </c>
      <c r="M164" s="131" t="str">
        <f>IFERROR(_xlfn.XLOOKUP($A164,'Raw Data'!$G:$G,'Raw Data'!Y:Y),"")</f>
        <v/>
      </c>
      <c r="N164" s="131" t="str">
        <f>IFERROR(_xlfn.XLOOKUP($A164,'Raw Data'!$G:$G,'Raw Data'!Z:Z),"")</f>
        <v/>
      </c>
      <c r="O164" s="158" t="str">
        <f>IFERROR(1-SUMIF('Plant BD'!$H:$H,$A164,'Plant BD'!AC:AC)/$F164,"")</f>
        <v/>
      </c>
      <c r="P164" s="158"/>
      <c r="Q164" s="159"/>
      <c r="R164" s="158" t="str">
        <f>IFERROR(1-SUMIF('Grid BD'!$H:$H,$A164,'Grid BD'!AB:AB)/$F164,"")</f>
        <v/>
      </c>
      <c r="T164" s="159" t="str">
        <f>IFERROR(1-SUMIF(Tracker_BD!$H:$H,$A164,Tracker_BD!AI:AI)/$F164,"")</f>
        <v/>
      </c>
      <c r="U164" s="160" t="str">
        <f t="shared" si="9"/>
        <v/>
      </c>
      <c r="V164" s="160"/>
      <c r="W164" s="161" t="str">
        <f t="shared" si="10"/>
        <v/>
      </c>
      <c r="X164" s="156" t="str">
        <f>IFERROR(_xlfn.XLOOKUP($A164,'Raw Data'!$G:$G,'Raw Data'!$AB:$AB),"")</f>
        <v/>
      </c>
      <c r="Y164" s="156" t="str">
        <f>IFERROR(_xlfn.XLOOKUP($A164,'Raw Data'!$G:$G,'Raw Data'!AC:AC),"")</f>
        <v/>
      </c>
      <c r="Z164" s="156" t="str">
        <f>IFERROR(_xlfn.XLOOKUP($A164,'Raw Data'!$G:$G,'Raw Data'!AD:AD),"")</f>
        <v/>
      </c>
      <c r="AA164" s="156" t="str">
        <f>IFERROR(_xlfn.XLOOKUP($A164,'Raw Data'!$G:$G,'Raw Data'!AE:AE),"")</f>
        <v/>
      </c>
      <c r="AB164" s="156" t="str">
        <f>IFERROR(_xlfn.XLOOKUP($A164,'Raw Data'!$G:$G,'Raw Data'!$H:$H),"")</f>
        <v/>
      </c>
      <c r="AC164" s="162">
        <f>IFERROR(_xlfn.XLOOKUP($D164,'Modelling New'!$D:$D,'Modelling New'!$P:$P),"")</f>
        <v>5.5049609600000018</v>
      </c>
      <c r="AD164" s="156">
        <f>IFERROR(_xlfn.XLOOKUP($D164,'Modelling New'!$D:$D,'Modelling New'!$T:$T)*1000,"")</f>
        <v>47057.046080205721</v>
      </c>
      <c r="AE164" s="163">
        <f>IFERROR(_xlfn.XLOOKUP($D164,'Modelling New'!$D:$D,'Modelling New'!$O:$O),"")</f>
        <v>0.72936145233565186</v>
      </c>
      <c r="AF164" s="163">
        <f>IFERROR(_xlfn.XLOOKUP($D164,'Modelling New'!$D:$D,'Modelling New'!$W:$W),"")</f>
        <v>0.16729609670152773</v>
      </c>
      <c r="AG164" s="163">
        <f>IFERROR(_xlfn.XLOOKUP($D164,'Modelling New'!$D:$D,'Modelling New'!AE:AE),"")</f>
        <v>0.995</v>
      </c>
      <c r="AH164" s="163">
        <f>IFERROR(_xlfn.XLOOKUP($D164,'Modelling New'!$D:$D,'Modelling New'!AF:AF),"")</f>
        <v>0.98550000000000004</v>
      </c>
      <c r="AN164" s="164"/>
      <c r="AO164" s="161"/>
      <c r="AP164" s="161"/>
      <c r="AQ164" s="161"/>
      <c r="AR164" s="156">
        <f>IFERROR(_xlfn.XLOOKUP($D164,'Modelling New'!$D:$D,'Modelling New'!$N:$N),"")</f>
        <v>11.72</v>
      </c>
    </row>
    <row r="165" spans="1:44">
      <c r="A165" s="155">
        <f t="shared" si="11"/>
        <v>45908</v>
      </c>
      <c r="B165" s="156">
        <f>YEAR(Table13[[#This Row],[Date]])+IF(MONTH(Table13[[#This Row],[Date]])&gt;=4,1,0)</f>
        <v>2026</v>
      </c>
      <c r="C165" s="129">
        <f>YEAR(Table13[[#This Row],[Date]])</f>
        <v>2025</v>
      </c>
      <c r="D165" s="157">
        <f>Table13[[#This Row],[Date]]-DAY(Table13[[#This Row],[Date]])+1</f>
        <v>45901</v>
      </c>
      <c r="E165" s="129">
        <f t="shared" si="8"/>
        <v>30</v>
      </c>
      <c r="F165" s="130" t="str">
        <f>IFERROR(_xlfn.XLOOKUP($A165,'Raw Data'!$G:$G,'Raw Data'!$AH:$AH),"")</f>
        <v/>
      </c>
      <c r="G165" s="131" t="str">
        <f>IFERROR(_xlfn.XLOOKUP($A165,'Raw Data'!$G:$G,'Raw Data'!$S:$S)/1000,"")</f>
        <v/>
      </c>
      <c r="H165" s="131"/>
      <c r="I165" s="131" t="str">
        <f>IFERROR(_xlfn.XLOOKUP($A165,'Raw Data'!$G:$G,'Raw Data'!$AF:$AF)/1000,"")</f>
        <v/>
      </c>
      <c r="J165" s="131"/>
      <c r="K165" s="131" t="str">
        <f>IFERROR(_xlfn.XLOOKUP($A165,'Raw Data'!$G:$G,'Raw Data'!W:W),"")</f>
        <v/>
      </c>
      <c r="L165" s="131" t="str">
        <f>IFERROR(_xlfn.XLOOKUP($A165,'Raw Data'!$G:$G,'Raw Data'!X:X),"")</f>
        <v/>
      </c>
      <c r="M165" s="131" t="str">
        <f>IFERROR(_xlfn.XLOOKUP($A165,'Raw Data'!$G:$G,'Raw Data'!Y:Y),"")</f>
        <v/>
      </c>
      <c r="N165" s="131" t="str">
        <f>IFERROR(_xlfn.XLOOKUP($A165,'Raw Data'!$G:$G,'Raw Data'!Z:Z),"")</f>
        <v/>
      </c>
      <c r="O165" s="158" t="str">
        <f>IFERROR(1-SUMIF('Plant BD'!$H:$H,$A165,'Plant BD'!AC:AC)/$F165,"")</f>
        <v/>
      </c>
      <c r="P165" s="158"/>
      <c r="Q165" s="159"/>
      <c r="R165" s="158" t="str">
        <f>IFERROR(1-SUMIF('Grid BD'!$H:$H,$A165,'Grid BD'!AB:AB)/$F165,"")</f>
        <v/>
      </c>
      <c r="T165" s="159" t="str">
        <f>IFERROR(1-SUMIF(Tracker_BD!$H:$H,$A165,Tracker_BD!AI:AI)/$F165,"")</f>
        <v/>
      </c>
      <c r="U165" s="160" t="str">
        <f t="shared" si="9"/>
        <v/>
      </c>
      <c r="V165" s="160"/>
      <c r="W165" s="161" t="str">
        <f t="shared" si="10"/>
        <v/>
      </c>
      <c r="X165" s="156" t="str">
        <f>IFERROR(_xlfn.XLOOKUP($A165,'Raw Data'!$G:$G,'Raw Data'!$AB:$AB),"")</f>
        <v/>
      </c>
      <c r="Y165" s="156" t="str">
        <f>IFERROR(_xlfn.XLOOKUP($A165,'Raw Data'!$G:$G,'Raw Data'!AC:AC),"")</f>
        <v/>
      </c>
      <c r="Z165" s="156" t="str">
        <f>IFERROR(_xlfn.XLOOKUP($A165,'Raw Data'!$G:$G,'Raw Data'!AD:AD),"")</f>
        <v/>
      </c>
      <c r="AA165" s="156" t="str">
        <f>IFERROR(_xlfn.XLOOKUP($A165,'Raw Data'!$G:$G,'Raw Data'!AE:AE),"")</f>
        <v/>
      </c>
      <c r="AB165" s="156" t="str">
        <f>IFERROR(_xlfn.XLOOKUP($A165,'Raw Data'!$G:$G,'Raw Data'!$H:$H),"")</f>
        <v/>
      </c>
      <c r="AC165" s="162">
        <f>IFERROR(_xlfn.XLOOKUP($D165,'Modelling New'!$D:$D,'Modelling New'!$P:$P),"")</f>
        <v>5.5049609600000018</v>
      </c>
      <c r="AD165" s="156">
        <f>IFERROR(_xlfn.XLOOKUP($D165,'Modelling New'!$D:$D,'Modelling New'!$T:$T)*1000,"")</f>
        <v>47057.046080205721</v>
      </c>
      <c r="AE165" s="163">
        <f>IFERROR(_xlfn.XLOOKUP($D165,'Modelling New'!$D:$D,'Modelling New'!$O:$O),"")</f>
        <v>0.72936145233565186</v>
      </c>
      <c r="AF165" s="163">
        <f>IFERROR(_xlfn.XLOOKUP($D165,'Modelling New'!$D:$D,'Modelling New'!$W:$W),"")</f>
        <v>0.16729609670152773</v>
      </c>
      <c r="AG165" s="163">
        <f>IFERROR(_xlfn.XLOOKUP($D165,'Modelling New'!$D:$D,'Modelling New'!AE:AE),"")</f>
        <v>0.995</v>
      </c>
      <c r="AH165" s="163">
        <f>IFERROR(_xlfn.XLOOKUP($D165,'Modelling New'!$D:$D,'Modelling New'!AF:AF),"")</f>
        <v>0.98550000000000004</v>
      </c>
      <c r="AN165" s="164"/>
      <c r="AO165" s="161"/>
      <c r="AP165" s="161"/>
      <c r="AQ165" s="161"/>
      <c r="AR165" s="156">
        <f>IFERROR(_xlfn.XLOOKUP($D165,'Modelling New'!$D:$D,'Modelling New'!$N:$N),"")</f>
        <v>11.72</v>
      </c>
    </row>
    <row r="166" spans="1:44">
      <c r="A166" s="155">
        <f t="shared" si="11"/>
        <v>45909</v>
      </c>
      <c r="B166" s="156">
        <f>YEAR(Table13[[#This Row],[Date]])+IF(MONTH(Table13[[#This Row],[Date]])&gt;=4,1,0)</f>
        <v>2026</v>
      </c>
      <c r="C166" s="129">
        <f>YEAR(Table13[[#This Row],[Date]])</f>
        <v>2025</v>
      </c>
      <c r="D166" s="157">
        <f>Table13[[#This Row],[Date]]-DAY(Table13[[#This Row],[Date]])+1</f>
        <v>45901</v>
      </c>
      <c r="E166" s="129">
        <f t="shared" si="8"/>
        <v>30</v>
      </c>
      <c r="F166" s="130" t="str">
        <f>IFERROR(_xlfn.XLOOKUP($A166,'Raw Data'!$G:$G,'Raw Data'!$AH:$AH),"")</f>
        <v/>
      </c>
      <c r="G166" s="131" t="str">
        <f>IFERROR(_xlfn.XLOOKUP($A166,'Raw Data'!$G:$G,'Raw Data'!$S:$S)/1000,"")</f>
        <v/>
      </c>
      <c r="H166" s="131"/>
      <c r="I166" s="131" t="str">
        <f>IFERROR(_xlfn.XLOOKUP($A166,'Raw Data'!$G:$G,'Raw Data'!$AF:$AF)/1000,"")</f>
        <v/>
      </c>
      <c r="J166" s="131"/>
      <c r="K166" s="131" t="str">
        <f>IFERROR(_xlfn.XLOOKUP($A166,'Raw Data'!$G:$G,'Raw Data'!W:W),"")</f>
        <v/>
      </c>
      <c r="L166" s="131" t="str">
        <f>IFERROR(_xlfn.XLOOKUP($A166,'Raw Data'!$G:$G,'Raw Data'!X:X),"")</f>
        <v/>
      </c>
      <c r="M166" s="131" t="str">
        <f>IFERROR(_xlfn.XLOOKUP($A166,'Raw Data'!$G:$G,'Raw Data'!Y:Y),"")</f>
        <v/>
      </c>
      <c r="N166" s="131" t="str">
        <f>IFERROR(_xlfn.XLOOKUP($A166,'Raw Data'!$G:$G,'Raw Data'!Z:Z),"")</f>
        <v/>
      </c>
      <c r="O166" s="158" t="str">
        <f>IFERROR(1-SUMIF('Plant BD'!$H:$H,$A166,'Plant BD'!AC:AC)/$F166,"")</f>
        <v/>
      </c>
      <c r="P166" s="158"/>
      <c r="Q166" s="159"/>
      <c r="R166" s="158" t="str">
        <f>IFERROR(1-SUMIF('Grid BD'!$H:$H,$A166,'Grid BD'!AB:AB)/$F166,"")</f>
        <v/>
      </c>
      <c r="T166" s="159" t="str">
        <f>IFERROR(1-SUMIF(Tracker_BD!$H:$H,$A166,Tracker_BD!AI:AI)/$F166,"")</f>
        <v/>
      </c>
      <c r="U166" s="160" t="str">
        <f t="shared" si="9"/>
        <v/>
      </c>
      <c r="V166" s="160"/>
      <c r="W166" s="161" t="str">
        <f t="shared" si="10"/>
        <v/>
      </c>
      <c r="X166" s="156" t="str">
        <f>IFERROR(_xlfn.XLOOKUP($A166,'Raw Data'!$G:$G,'Raw Data'!$AB:$AB),"")</f>
        <v/>
      </c>
      <c r="Y166" s="156" t="str">
        <f>IFERROR(_xlfn.XLOOKUP($A166,'Raw Data'!$G:$G,'Raw Data'!AC:AC),"")</f>
        <v/>
      </c>
      <c r="Z166" s="156" t="str">
        <f>IFERROR(_xlfn.XLOOKUP($A166,'Raw Data'!$G:$G,'Raw Data'!AD:AD),"")</f>
        <v/>
      </c>
      <c r="AA166" s="156" t="str">
        <f>IFERROR(_xlfn.XLOOKUP($A166,'Raw Data'!$G:$G,'Raw Data'!AE:AE),"")</f>
        <v/>
      </c>
      <c r="AB166" s="156" t="str">
        <f>IFERROR(_xlfn.XLOOKUP($A166,'Raw Data'!$G:$G,'Raw Data'!$H:$H),"")</f>
        <v/>
      </c>
      <c r="AC166" s="162">
        <f>IFERROR(_xlfn.XLOOKUP($D166,'Modelling New'!$D:$D,'Modelling New'!$P:$P),"")</f>
        <v>5.5049609600000018</v>
      </c>
      <c r="AD166" s="156">
        <f>IFERROR(_xlfn.XLOOKUP($D166,'Modelling New'!$D:$D,'Modelling New'!$T:$T)*1000,"")</f>
        <v>47057.046080205721</v>
      </c>
      <c r="AE166" s="163">
        <f>IFERROR(_xlfn.XLOOKUP($D166,'Modelling New'!$D:$D,'Modelling New'!$O:$O),"")</f>
        <v>0.72936145233565186</v>
      </c>
      <c r="AF166" s="163">
        <f>IFERROR(_xlfn.XLOOKUP($D166,'Modelling New'!$D:$D,'Modelling New'!$W:$W),"")</f>
        <v>0.16729609670152773</v>
      </c>
      <c r="AG166" s="163">
        <f>IFERROR(_xlfn.XLOOKUP($D166,'Modelling New'!$D:$D,'Modelling New'!AE:AE),"")</f>
        <v>0.995</v>
      </c>
      <c r="AH166" s="163">
        <f>IFERROR(_xlfn.XLOOKUP($D166,'Modelling New'!$D:$D,'Modelling New'!AF:AF),"")</f>
        <v>0.98550000000000004</v>
      </c>
      <c r="AN166" s="164"/>
      <c r="AO166" s="161"/>
      <c r="AP166" s="161"/>
      <c r="AQ166" s="161"/>
      <c r="AR166" s="156">
        <f>IFERROR(_xlfn.XLOOKUP($D166,'Modelling New'!$D:$D,'Modelling New'!$N:$N),"")</f>
        <v>11.72</v>
      </c>
    </row>
    <row r="167" spans="1:44">
      <c r="A167" s="155">
        <f t="shared" si="11"/>
        <v>45910</v>
      </c>
      <c r="B167" s="156">
        <f>YEAR(Table13[[#This Row],[Date]])+IF(MONTH(Table13[[#This Row],[Date]])&gt;=4,1,0)</f>
        <v>2026</v>
      </c>
      <c r="C167" s="129">
        <f>YEAR(Table13[[#This Row],[Date]])</f>
        <v>2025</v>
      </c>
      <c r="D167" s="157">
        <f>Table13[[#This Row],[Date]]-DAY(Table13[[#This Row],[Date]])+1</f>
        <v>45901</v>
      </c>
      <c r="E167" s="129">
        <f t="shared" si="8"/>
        <v>30</v>
      </c>
      <c r="F167" s="130" t="str">
        <f>IFERROR(_xlfn.XLOOKUP($A167,'Raw Data'!$G:$G,'Raw Data'!$AH:$AH),"")</f>
        <v/>
      </c>
      <c r="G167" s="131" t="str">
        <f>IFERROR(_xlfn.XLOOKUP($A167,'Raw Data'!$G:$G,'Raw Data'!$S:$S)/1000,"")</f>
        <v/>
      </c>
      <c r="H167" s="131"/>
      <c r="I167" s="131" t="str">
        <f>IFERROR(_xlfn.XLOOKUP($A167,'Raw Data'!$G:$G,'Raw Data'!$AF:$AF)/1000,"")</f>
        <v/>
      </c>
      <c r="J167" s="131"/>
      <c r="K167" s="131" t="str">
        <f>IFERROR(_xlfn.XLOOKUP($A167,'Raw Data'!$G:$G,'Raw Data'!W:W),"")</f>
        <v/>
      </c>
      <c r="L167" s="131" t="str">
        <f>IFERROR(_xlfn.XLOOKUP($A167,'Raw Data'!$G:$G,'Raw Data'!X:X),"")</f>
        <v/>
      </c>
      <c r="M167" s="131" t="str">
        <f>IFERROR(_xlfn.XLOOKUP($A167,'Raw Data'!$G:$G,'Raw Data'!Y:Y),"")</f>
        <v/>
      </c>
      <c r="N167" s="131" t="str">
        <f>IFERROR(_xlfn.XLOOKUP($A167,'Raw Data'!$G:$G,'Raw Data'!Z:Z),"")</f>
        <v/>
      </c>
      <c r="O167" s="158" t="str">
        <f>IFERROR(1-SUMIF('Plant BD'!$H:$H,$A167,'Plant BD'!AC:AC)/$F167,"")</f>
        <v/>
      </c>
      <c r="P167" s="158"/>
      <c r="Q167" s="159"/>
      <c r="R167" s="158" t="str">
        <f>IFERROR(1-SUMIF('Grid BD'!$H:$H,$A167,'Grid BD'!AB:AB)/$F167,"")</f>
        <v/>
      </c>
      <c r="T167" s="159" t="str">
        <f>IFERROR(1-SUMIF(Tracker_BD!$H:$H,$A167,Tracker_BD!AI:AI)/$F167,"")</f>
        <v/>
      </c>
      <c r="U167" s="160" t="str">
        <f t="shared" si="9"/>
        <v/>
      </c>
      <c r="V167" s="160"/>
      <c r="W167" s="161" t="str">
        <f t="shared" si="10"/>
        <v/>
      </c>
      <c r="X167" s="156" t="str">
        <f>IFERROR(_xlfn.XLOOKUP($A167,'Raw Data'!$G:$G,'Raw Data'!$AB:$AB),"")</f>
        <v/>
      </c>
      <c r="Y167" s="156" t="str">
        <f>IFERROR(_xlfn.XLOOKUP($A167,'Raw Data'!$G:$G,'Raw Data'!AC:AC),"")</f>
        <v/>
      </c>
      <c r="Z167" s="156" t="str">
        <f>IFERROR(_xlfn.XLOOKUP($A167,'Raw Data'!$G:$G,'Raw Data'!AD:AD),"")</f>
        <v/>
      </c>
      <c r="AA167" s="156" t="str">
        <f>IFERROR(_xlfn.XLOOKUP($A167,'Raw Data'!$G:$G,'Raw Data'!AE:AE),"")</f>
        <v/>
      </c>
      <c r="AB167" s="156" t="str">
        <f>IFERROR(_xlfn.XLOOKUP($A167,'Raw Data'!$G:$G,'Raw Data'!$H:$H),"")</f>
        <v/>
      </c>
      <c r="AC167" s="162">
        <f>IFERROR(_xlfn.XLOOKUP($D167,'Modelling New'!$D:$D,'Modelling New'!$P:$P),"")</f>
        <v>5.5049609600000018</v>
      </c>
      <c r="AD167" s="156">
        <f>IFERROR(_xlfn.XLOOKUP($D167,'Modelling New'!$D:$D,'Modelling New'!$T:$T)*1000,"")</f>
        <v>47057.046080205721</v>
      </c>
      <c r="AE167" s="163">
        <f>IFERROR(_xlfn.XLOOKUP($D167,'Modelling New'!$D:$D,'Modelling New'!$O:$O),"")</f>
        <v>0.72936145233565186</v>
      </c>
      <c r="AF167" s="163">
        <f>IFERROR(_xlfn.XLOOKUP($D167,'Modelling New'!$D:$D,'Modelling New'!$W:$W),"")</f>
        <v>0.16729609670152773</v>
      </c>
      <c r="AG167" s="163">
        <f>IFERROR(_xlfn.XLOOKUP($D167,'Modelling New'!$D:$D,'Modelling New'!AE:AE),"")</f>
        <v>0.995</v>
      </c>
      <c r="AH167" s="163">
        <f>IFERROR(_xlfn.XLOOKUP($D167,'Modelling New'!$D:$D,'Modelling New'!AF:AF),"")</f>
        <v>0.98550000000000004</v>
      </c>
      <c r="AN167" s="164"/>
      <c r="AO167" s="161"/>
      <c r="AP167" s="161"/>
      <c r="AQ167" s="161"/>
      <c r="AR167" s="156">
        <f>IFERROR(_xlfn.XLOOKUP($D167,'Modelling New'!$D:$D,'Modelling New'!$N:$N),"")</f>
        <v>11.72</v>
      </c>
    </row>
    <row r="168" spans="1:44">
      <c r="A168" s="155">
        <f t="shared" si="11"/>
        <v>45911</v>
      </c>
      <c r="B168" s="156">
        <f>YEAR(Table13[[#This Row],[Date]])+IF(MONTH(Table13[[#This Row],[Date]])&gt;=4,1,0)</f>
        <v>2026</v>
      </c>
      <c r="C168" s="129">
        <f>YEAR(Table13[[#This Row],[Date]])</f>
        <v>2025</v>
      </c>
      <c r="D168" s="157">
        <f>Table13[[#This Row],[Date]]-DAY(Table13[[#This Row],[Date]])+1</f>
        <v>45901</v>
      </c>
      <c r="E168" s="129">
        <f t="shared" si="8"/>
        <v>30</v>
      </c>
      <c r="F168" s="130" t="str">
        <f>IFERROR(_xlfn.XLOOKUP($A168,'Raw Data'!$G:$G,'Raw Data'!$AH:$AH),"")</f>
        <v/>
      </c>
      <c r="G168" s="131" t="str">
        <f>IFERROR(_xlfn.XLOOKUP($A168,'Raw Data'!$G:$G,'Raw Data'!$S:$S)/1000,"")</f>
        <v/>
      </c>
      <c r="H168" s="131"/>
      <c r="I168" s="131" t="str">
        <f>IFERROR(_xlfn.XLOOKUP($A168,'Raw Data'!$G:$G,'Raw Data'!$AF:$AF)/1000,"")</f>
        <v/>
      </c>
      <c r="J168" s="131"/>
      <c r="K168" s="131" t="str">
        <f>IFERROR(_xlfn.XLOOKUP($A168,'Raw Data'!$G:$G,'Raw Data'!W:W),"")</f>
        <v/>
      </c>
      <c r="L168" s="131" t="str">
        <f>IFERROR(_xlfn.XLOOKUP($A168,'Raw Data'!$G:$G,'Raw Data'!X:X),"")</f>
        <v/>
      </c>
      <c r="M168" s="131" t="str">
        <f>IFERROR(_xlfn.XLOOKUP($A168,'Raw Data'!$G:$G,'Raw Data'!Y:Y),"")</f>
        <v/>
      </c>
      <c r="N168" s="131" t="str">
        <f>IFERROR(_xlfn.XLOOKUP($A168,'Raw Data'!$G:$G,'Raw Data'!Z:Z),"")</f>
        <v/>
      </c>
      <c r="O168" s="158" t="str">
        <f>IFERROR(1-SUMIF('Plant BD'!$H:$H,$A168,'Plant BD'!AC:AC)/$F168,"")</f>
        <v/>
      </c>
      <c r="P168" s="158"/>
      <c r="Q168" s="159"/>
      <c r="R168" s="158" t="str">
        <f>IFERROR(1-SUMIF('Grid BD'!$H:$H,$A168,'Grid BD'!AB:AB)/$F168,"")</f>
        <v/>
      </c>
      <c r="T168" s="159" t="str">
        <f>IFERROR(1-SUMIF(Tracker_BD!$H:$H,$A168,Tracker_BD!AI:AI)/$F168,"")</f>
        <v/>
      </c>
      <c r="U168" s="160" t="str">
        <f t="shared" si="9"/>
        <v/>
      </c>
      <c r="V168" s="160"/>
      <c r="W168" s="161" t="str">
        <f t="shared" si="10"/>
        <v/>
      </c>
      <c r="X168" s="156" t="str">
        <f>IFERROR(_xlfn.XLOOKUP($A168,'Raw Data'!$G:$G,'Raw Data'!$AB:$AB),"")</f>
        <v/>
      </c>
      <c r="Y168" s="156" t="str">
        <f>IFERROR(_xlfn.XLOOKUP($A168,'Raw Data'!$G:$G,'Raw Data'!AC:AC),"")</f>
        <v/>
      </c>
      <c r="Z168" s="156" t="str">
        <f>IFERROR(_xlfn.XLOOKUP($A168,'Raw Data'!$G:$G,'Raw Data'!AD:AD),"")</f>
        <v/>
      </c>
      <c r="AA168" s="156" t="str">
        <f>IFERROR(_xlfn.XLOOKUP($A168,'Raw Data'!$G:$G,'Raw Data'!AE:AE),"")</f>
        <v/>
      </c>
      <c r="AB168" s="156" t="str">
        <f>IFERROR(_xlfn.XLOOKUP($A168,'Raw Data'!$G:$G,'Raw Data'!$H:$H),"")</f>
        <v/>
      </c>
      <c r="AC168" s="162">
        <f>IFERROR(_xlfn.XLOOKUP($D168,'Modelling New'!$D:$D,'Modelling New'!$P:$P),"")</f>
        <v>5.5049609600000018</v>
      </c>
      <c r="AD168" s="156">
        <f>IFERROR(_xlfn.XLOOKUP($D168,'Modelling New'!$D:$D,'Modelling New'!$T:$T)*1000,"")</f>
        <v>47057.046080205721</v>
      </c>
      <c r="AE168" s="163">
        <f>IFERROR(_xlfn.XLOOKUP($D168,'Modelling New'!$D:$D,'Modelling New'!$O:$O),"")</f>
        <v>0.72936145233565186</v>
      </c>
      <c r="AF168" s="163">
        <f>IFERROR(_xlfn.XLOOKUP($D168,'Modelling New'!$D:$D,'Modelling New'!$W:$W),"")</f>
        <v>0.16729609670152773</v>
      </c>
      <c r="AG168" s="163">
        <f>IFERROR(_xlfn.XLOOKUP($D168,'Modelling New'!$D:$D,'Modelling New'!AE:AE),"")</f>
        <v>0.995</v>
      </c>
      <c r="AH168" s="163">
        <f>IFERROR(_xlfn.XLOOKUP($D168,'Modelling New'!$D:$D,'Modelling New'!AF:AF),"")</f>
        <v>0.98550000000000004</v>
      </c>
      <c r="AN168" s="164"/>
      <c r="AO168" s="161"/>
      <c r="AP168" s="161"/>
      <c r="AQ168" s="161"/>
      <c r="AR168" s="156">
        <f>IFERROR(_xlfn.XLOOKUP($D168,'Modelling New'!$D:$D,'Modelling New'!$N:$N),"")</f>
        <v>11.72</v>
      </c>
    </row>
    <row r="169" spans="1:44">
      <c r="A169" s="155">
        <f t="shared" si="11"/>
        <v>45912</v>
      </c>
      <c r="B169" s="156">
        <f>YEAR(Table13[[#This Row],[Date]])+IF(MONTH(Table13[[#This Row],[Date]])&gt;=4,1,0)</f>
        <v>2026</v>
      </c>
      <c r="C169" s="129">
        <f>YEAR(Table13[[#This Row],[Date]])</f>
        <v>2025</v>
      </c>
      <c r="D169" s="157">
        <f>Table13[[#This Row],[Date]]-DAY(Table13[[#This Row],[Date]])+1</f>
        <v>45901</v>
      </c>
      <c r="E169" s="129">
        <f t="shared" si="8"/>
        <v>30</v>
      </c>
      <c r="F169" s="130" t="str">
        <f>IFERROR(_xlfn.XLOOKUP($A169,'Raw Data'!$G:$G,'Raw Data'!$AH:$AH),"")</f>
        <v/>
      </c>
      <c r="G169" s="131" t="str">
        <f>IFERROR(_xlfn.XLOOKUP($A169,'Raw Data'!$G:$G,'Raw Data'!$S:$S)/1000,"")</f>
        <v/>
      </c>
      <c r="H169" s="131"/>
      <c r="I169" s="131" t="str">
        <f>IFERROR(_xlfn.XLOOKUP($A169,'Raw Data'!$G:$G,'Raw Data'!$AF:$AF)/1000,"")</f>
        <v/>
      </c>
      <c r="J169" s="131"/>
      <c r="K169" s="131" t="str">
        <f>IFERROR(_xlfn.XLOOKUP($A169,'Raw Data'!$G:$G,'Raw Data'!W:W),"")</f>
        <v/>
      </c>
      <c r="L169" s="131" t="str">
        <f>IFERROR(_xlfn.XLOOKUP($A169,'Raw Data'!$G:$G,'Raw Data'!X:X),"")</f>
        <v/>
      </c>
      <c r="M169" s="131" t="str">
        <f>IFERROR(_xlfn.XLOOKUP($A169,'Raw Data'!$G:$G,'Raw Data'!Y:Y),"")</f>
        <v/>
      </c>
      <c r="N169" s="131" t="str">
        <f>IFERROR(_xlfn.XLOOKUP($A169,'Raw Data'!$G:$G,'Raw Data'!Z:Z),"")</f>
        <v/>
      </c>
      <c r="O169" s="158" t="str">
        <f>IFERROR(1-SUMIF('Plant BD'!$H:$H,$A169,'Plant BD'!AC:AC)/$F169,"")</f>
        <v/>
      </c>
      <c r="P169" s="158"/>
      <c r="Q169" s="159"/>
      <c r="R169" s="158" t="str">
        <f>IFERROR(1-SUMIF('Grid BD'!$H:$H,$A169,'Grid BD'!AB:AB)/$F169,"")</f>
        <v/>
      </c>
      <c r="T169" s="159" t="str">
        <f>IFERROR(1-SUMIF(Tracker_BD!$H:$H,$A169,Tracker_BD!AI:AI)/$F169,"")</f>
        <v/>
      </c>
      <c r="U169" s="160" t="str">
        <f t="shared" si="9"/>
        <v/>
      </c>
      <c r="V169" s="160"/>
      <c r="W169" s="161" t="str">
        <f t="shared" si="10"/>
        <v/>
      </c>
      <c r="X169" s="156" t="str">
        <f>IFERROR(_xlfn.XLOOKUP($A169,'Raw Data'!$G:$G,'Raw Data'!$AB:$AB),"")</f>
        <v/>
      </c>
      <c r="Y169" s="156" t="str">
        <f>IFERROR(_xlfn.XLOOKUP($A169,'Raw Data'!$G:$G,'Raw Data'!AC:AC),"")</f>
        <v/>
      </c>
      <c r="Z169" s="156" t="str">
        <f>IFERROR(_xlfn.XLOOKUP($A169,'Raw Data'!$G:$G,'Raw Data'!AD:AD),"")</f>
        <v/>
      </c>
      <c r="AA169" s="156" t="str">
        <f>IFERROR(_xlfn.XLOOKUP($A169,'Raw Data'!$G:$G,'Raw Data'!AE:AE),"")</f>
        <v/>
      </c>
      <c r="AB169" s="156" t="str">
        <f>IFERROR(_xlfn.XLOOKUP($A169,'Raw Data'!$G:$G,'Raw Data'!$H:$H),"")</f>
        <v/>
      </c>
      <c r="AC169" s="162">
        <f>IFERROR(_xlfn.XLOOKUP($D169,'Modelling New'!$D:$D,'Modelling New'!$P:$P),"")</f>
        <v>5.5049609600000018</v>
      </c>
      <c r="AD169" s="156">
        <f>IFERROR(_xlfn.XLOOKUP($D169,'Modelling New'!$D:$D,'Modelling New'!$T:$T)*1000,"")</f>
        <v>47057.046080205721</v>
      </c>
      <c r="AE169" s="163">
        <f>IFERROR(_xlfn.XLOOKUP($D169,'Modelling New'!$D:$D,'Modelling New'!$O:$O),"")</f>
        <v>0.72936145233565186</v>
      </c>
      <c r="AF169" s="163">
        <f>IFERROR(_xlfn.XLOOKUP($D169,'Modelling New'!$D:$D,'Modelling New'!$W:$W),"")</f>
        <v>0.16729609670152773</v>
      </c>
      <c r="AG169" s="163">
        <f>IFERROR(_xlfn.XLOOKUP($D169,'Modelling New'!$D:$D,'Modelling New'!AE:AE),"")</f>
        <v>0.995</v>
      </c>
      <c r="AH169" s="163">
        <f>IFERROR(_xlfn.XLOOKUP($D169,'Modelling New'!$D:$D,'Modelling New'!AF:AF),"")</f>
        <v>0.98550000000000004</v>
      </c>
      <c r="AN169" s="164"/>
      <c r="AO169" s="161"/>
      <c r="AP169" s="161"/>
      <c r="AQ169" s="161"/>
      <c r="AR169" s="156">
        <f>IFERROR(_xlfn.XLOOKUP($D169,'Modelling New'!$D:$D,'Modelling New'!$N:$N),"")</f>
        <v>11.72</v>
      </c>
    </row>
    <row r="170" spans="1:44">
      <c r="A170" s="155">
        <f t="shared" si="11"/>
        <v>45913</v>
      </c>
      <c r="B170" s="156">
        <f>YEAR(Table13[[#This Row],[Date]])+IF(MONTH(Table13[[#This Row],[Date]])&gt;=4,1,0)</f>
        <v>2026</v>
      </c>
      <c r="C170" s="129">
        <f>YEAR(Table13[[#This Row],[Date]])</f>
        <v>2025</v>
      </c>
      <c r="D170" s="157">
        <f>Table13[[#This Row],[Date]]-DAY(Table13[[#This Row],[Date]])+1</f>
        <v>45901</v>
      </c>
      <c r="E170" s="129">
        <f t="shared" si="8"/>
        <v>30</v>
      </c>
      <c r="F170" s="130" t="str">
        <f>IFERROR(_xlfn.XLOOKUP($A170,'Raw Data'!$G:$G,'Raw Data'!$AH:$AH),"")</f>
        <v/>
      </c>
      <c r="G170" s="131" t="str">
        <f>IFERROR(_xlfn.XLOOKUP($A170,'Raw Data'!$G:$G,'Raw Data'!$S:$S)/1000,"")</f>
        <v/>
      </c>
      <c r="H170" s="131"/>
      <c r="I170" s="131" t="str">
        <f>IFERROR(_xlfn.XLOOKUP($A170,'Raw Data'!$G:$G,'Raw Data'!$AF:$AF)/1000,"")</f>
        <v/>
      </c>
      <c r="J170" s="131"/>
      <c r="K170" s="131" t="str">
        <f>IFERROR(_xlfn.XLOOKUP($A170,'Raw Data'!$G:$G,'Raw Data'!W:W),"")</f>
        <v/>
      </c>
      <c r="L170" s="131" t="str">
        <f>IFERROR(_xlfn.XLOOKUP($A170,'Raw Data'!$G:$G,'Raw Data'!X:X),"")</f>
        <v/>
      </c>
      <c r="M170" s="131" t="str">
        <f>IFERROR(_xlfn.XLOOKUP($A170,'Raw Data'!$G:$G,'Raw Data'!Y:Y),"")</f>
        <v/>
      </c>
      <c r="N170" s="131" t="str">
        <f>IFERROR(_xlfn.XLOOKUP($A170,'Raw Data'!$G:$G,'Raw Data'!Z:Z),"")</f>
        <v/>
      </c>
      <c r="O170" s="158" t="str">
        <f>IFERROR(1-SUMIF('Plant BD'!$H:$H,$A170,'Plant BD'!AC:AC)/$F170,"")</f>
        <v/>
      </c>
      <c r="P170" s="158"/>
      <c r="Q170" s="159"/>
      <c r="R170" s="158" t="str">
        <f>IFERROR(1-SUMIF('Grid BD'!$H:$H,$A170,'Grid BD'!AB:AB)/$F170,"")</f>
        <v/>
      </c>
      <c r="T170" s="159" t="str">
        <f>IFERROR(1-SUMIF(Tracker_BD!$H:$H,$A170,Tracker_BD!AI:AI)/$F170,"")</f>
        <v/>
      </c>
      <c r="U170" s="160" t="str">
        <f t="shared" si="9"/>
        <v/>
      </c>
      <c r="V170" s="160"/>
      <c r="W170" s="161" t="str">
        <f t="shared" si="10"/>
        <v/>
      </c>
      <c r="X170" s="156" t="str">
        <f>IFERROR(_xlfn.XLOOKUP($A170,'Raw Data'!$G:$G,'Raw Data'!$AB:$AB),"")</f>
        <v/>
      </c>
      <c r="Y170" s="156" t="str">
        <f>IFERROR(_xlfn.XLOOKUP($A170,'Raw Data'!$G:$G,'Raw Data'!AC:AC),"")</f>
        <v/>
      </c>
      <c r="Z170" s="156" t="str">
        <f>IFERROR(_xlfn.XLOOKUP($A170,'Raw Data'!$G:$G,'Raw Data'!AD:AD),"")</f>
        <v/>
      </c>
      <c r="AA170" s="156" t="str">
        <f>IFERROR(_xlfn.XLOOKUP($A170,'Raw Data'!$G:$G,'Raw Data'!AE:AE),"")</f>
        <v/>
      </c>
      <c r="AB170" s="156" t="str">
        <f>IFERROR(_xlfn.XLOOKUP($A170,'Raw Data'!$G:$G,'Raw Data'!$H:$H),"")</f>
        <v/>
      </c>
      <c r="AC170" s="162">
        <f>IFERROR(_xlfn.XLOOKUP($D170,'Modelling New'!$D:$D,'Modelling New'!$P:$P),"")</f>
        <v>5.5049609600000018</v>
      </c>
      <c r="AD170" s="156">
        <f>IFERROR(_xlfn.XLOOKUP($D170,'Modelling New'!$D:$D,'Modelling New'!$T:$T)*1000,"")</f>
        <v>47057.046080205721</v>
      </c>
      <c r="AE170" s="163">
        <f>IFERROR(_xlfn.XLOOKUP($D170,'Modelling New'!$D:$D,'Modelling New'!$O:$O),"")</f>
        <v>0.72936145233565186</v>
      </c>
      <c r="AF170" s="163">
        <f>IFERROR(_xlfn.XLOOKUP($D170,'Modelling New'!$D:$D,'Modelling New'!$W:$W),"")</f>
        <v>0.16729609670152773</v>
      </c>
      <c r="AG170" s="163">
        <f>IFERROR(_xlfn.XLOOKUP($D170,'Modelling New'!$D:$D,'Modelling New'!AE:AE),"")</f>
        <v>0.995</v>
      </c>
      <c r="AH170" s="163">
        <f>IFERROR(_xlfn.XLOOKUP($D170,'Modelling New'!$D:$D,'Modelling New'!AF:AF),"")</f>
        <v>0.98550000000000004</v>
      </c>
      <c r="AN170" s="164"/>
      <c r="AO170" s="161"/>
      <c r="AP170" s="161"/>
      <c r="AQ170" s="161"/>
      <c r="AR170" s="156">
        <f>IFERROR(_xlfn.XLOOKUP($D170,'Modelling New'!$D:$D,'Modelling New'!$N:$N),"")</f>
        <v>11.72</v>
      </c>
    </row>
    <row r="171" spans="1:44">
      <c r="A171" s="155">
        <f t="shared" si="11"/>
        <v>45914</v>
      </c>
      <c r="B171" s="156">
        <f>YEAR(Table13[[#This Row],[Date]])+IF(MONTH(Table13[[#This Row],[Date]])&gt;=4,1,0)</f>
        <v>2026</v>
      </c>
      <c r="C171" s="129">
        <f>YEAR(Table13[[#This Row],[Date]])</f>
        <v>2025</v>
      </c>
      <c r="D171" s="157">
        <f>Table13[[#This Row],[Date]]-DAY(Table13[[#This Row],[Date]])+1</f>
        <v>45901</v>
      </c>
      <c r="E171" s="129">
        <f t="shared" si="8"/>
        <v>30</v>
      </c>
      <c r="F171" s="130" t="str">
        <f>IFERROR(_xlfn.XLOOKUP($A171,'Raw Data'!$G:$G,'Raw Data'!$AH:$AH),"")</f>
        <v/>
      </c>
      <c r="G171" s="131" t="str">
        <f>IFERROR(_xlfn.XLOOKUP($A171,'Raw Data'!$G:$G,'Raw Data'!$S:$S)/1000,"")</f>
        <v/>
      </c>
      <c r="H171" s="131"/>
      <c r="I171" s="131" t="str">
        <f>IFERROR(_xlfn.XLOOKUP($A171,'Raw Data'!$G:$G,'Raw Data'!$AF:$AF)/1000,"")</f>
        <v/>
      </c>
      <c r="J171" s="131"/>
      <c r="K171" s="131" t="str">
        <f>IFERROR(_xlfn.XLOOKUP($A171,'Raw Data'!$G:$G,'Raw Data'!W:W),"")</f>
        <v/>
      </c>
      <c r="L171" s="131" t="str">
        <f>IFERROR(_xlfn.XLOOKUP($A171,'Raw Data'!$G:$G,'Raw Data'!X:X),"")</f>
        <v/>
      </c>
      <c r="M171" s="131" t="str">
        <f>IFERROR(_xlfn.XLOOKUP($A171,'Raw Data'!$G:$G,'Raw Data'!Y:Y),"")</f>
        <v/>
      </c>
      <c r="N171" s="131" t="str">
        <f>IFERROR(_xlfn.XLOOKUP($A171,'Raw Data'!$G:$G,'Raw Data'!Z:Z),"")</f>
        <v/>
      </c>
      <c r="O171" s="158" t="str">
        <f>IFERROR(1-SUMIF('Plant BD'!$H:$H,$A171,'Plant BD'!AC:AC)/$F171,"")</f>
        <v/>
      </c>
      <c r="P171" s="158"/>
      <c r="Q171" s="159"/>
      <c r="R171" s="158" t="str">
        <f>IFERROR(1-SUMIF('Grid BD'!$H:$H,$A171,'Grid BD'!AB:AB)/$F171,"")</f>
        <v/>
      </c>
      <c r="T171" s="159" t="str">
        <f>IFERROR(1-SUMIF(Tracker_BD!$H:$H,$A171,Tracker_BD!AI:AI)/$F171,"")</f>
        <v/>
      </c>
      <c r="U171" s="160" t="str">
        <f t="shared" si="9"/>
        <v/>
      </c>
      <c r="V171" s="160"/>
      <c r="W171" s="161" t="str">
        <f t="shared" si="10"/>
        <v/>
      </c>
      <c r="X171" s="156" t="str">
        <f>IFERROR(_xlfn.XLOOKUP($A171,'Raw Data'!$G:$G,'Raw Data'!$AB:$AB),"")</f>
        <v/>
      </c>
      <c r="Y171" s="156" t="str">
        <f>IFERROR(_xlfn.XLOOKUP($A171,'Raw Data'!$G:$G,'Raw Data'!AC:AC),"")</f>
        <v/>
      </c>
      <c r="Z171" s="156" t="str">
        <f>IFERROR(_xlfn.XLOOKUP($A171,'Raw Data'!$G:$G,'Raw Data'!AD:AD),"")</f>
        <v/>
      </c>
      <c r="AA171" s="156" t="str">
        <f>IFERROR(_xlfn.XLOOKUP($A171,'Raw Data'!$G:$G,'Raw Data'!AE:AE),"")</f>
        <v/>
      </c>
      <c r="AB171" s="156" t="str">
        <f>IFERROR(_xlfn.XLOOKUP($A171,'Raw Data'!$G:$G,'Raw Data'!$H:$H),"")</f>
        <v/>
      </c>
      <c r="AC171" s="162">
        <f>IFERROR(_xlfn.XLOOKUP($D171,'Modelling New'!$D:$D,'Modelling New'!$P:$P),"")</f>
        <v>5.5049609600000018</v>
      </c>
      <c r="AD171" s="156">
        <f>IFERROR(_xlfn.XLOOKUP($D171,'Modelling New'!$D:$D,'Modelling New'!$T:$T)*1000,"")</f>
        <v>47057.046080205721</v>
      </c>
      <c r="AE171" s="163">
        <f>IFERROR(_xlfn.XLOOKUP($D171,'Modelling New'!$D:$D,'Modelling New'!$O:$O),"")</f>
        <v>0.72936145233565186</v>
      </c>
      <c r="AF171" s="163">
        <f>IFERROR(_xlfn.XLOOKUP($D171,'Modelling New'!$D:$D,'Modelling New'!$W:$W),"")</f>
        <v>0.16729609670152773</v>
      </c>
      <c r="AG171" s="163">
        <f>IFERROR(_xlfn.XLOOKUP($D171,'Modelling New'!$D:$D,'Modelling New'!AE:AE),"")</f>
        <v>0.995</v>
      </c>
      <c r="AH171" s="163">
        <f>IFERROR(_xlfn.XLOOKUP($D171,'Modelling New'!$D:$D,'Modelling New'!AF:AF),"")</f>
        <v>0.98550000000000004</v>
      </c>
      <c r="AN171" s="164"/>
      <c r="AO171" s="161"/>
      <c r="AP171" s="161"/>
      <c r="AQ171" s="161"/>
      <c r="AR171" s="156">
        <f>IFERROR(_xlfn.XLOOKUP($D171,'Modelling New'!$D:$D,'Modelling New'!$N:$N),"")</f>
        <v>11.72</v>
      </c>
    </row>
    <row r="172" spans="1:44">
      <c r="A172" s="155">
        <f t="shared" si="11"/>
        <v>45915</v>
      </c>
      <c r="B172" s="156">
        <f>YEAR(Table13[[#This Row],[Date]])+IF(MONTH(Table13[[#This Row],[Date]])&gt;=4,1,0)</f>
        <v>2026</v>
      </c>
      <c r="C172" s="129">
        <f>YEAR(Table13[[#This Row],[Date]])</f>
        <v>2025</v>
      </c>
      <c r="D172" s="157">
        <f>Table13[[#This Row],[Date]]-DAY(Table13[[#This Row],[Date]])+1</f>
        <v>45901</v>
      </c>
      <c r="E172" s="129">
        <f t="shared" si="8"/>
        <v>30</v>
      </c>
      <c r="F172" s="130" t="str">
        <f>IFERROR(_xlfn.XLOOKUP($A172,'Raw Data'!$G:$G,'Raw Data'!$AH:$AH),"")</f>
        <v/>
      </c>
      <c r="G172" s="131" t="str">
        <f>IFERROR(_xlfn.XLOOKUP($A172,'Raw Data'!$G:$G,'Raw Data'!$S:$S)/1000,"")</f>
        <v/>
      </c>
      <c r="H172" s="131"/>
      <c r="I172" s="131" t="str">
        <f>IFERROR(_xlfn.XLOOKUP($A172,'Raw Data'!$G:$G,'Raw Data'!$AF:$AF)/1000,"")</f>
        <v/>
      </c>
      <c r="J172" s="131"/>
      <c r="K172" s="131" t="str">
        <f>IFERROR(_xlfn.XLOOKUP($A172,'Raw Data'!$G:$G,'Raw Data'!W:W),"")</f>
        <v/>
      </c>
      <c r="L172" s="131" t="str">
        <f>IFERROR(_xlfn.XLOOKUP($A172,'Raw Data'!$G:$G,'Raw Data'!X:X),"")</f>
        <v/>
      </c>
      <c r="M172" s="131" t="str">
        <f>IFERROR(_xlfn.XLOOKUP($A172,'Raw Data'!$G:$G,'Raw Data'!Y:Y),"")</f>
        <v/>
      </c>
      <c r="N172" s="131" t="str">
        <f>IFERROR(_xlfn.XLOOKUP($A172,'Raw Data'!$G:$G,'Raw Data'!Z:Z),"")</f>
        <v/>
      </c>
      <c r="O172" s="158" t="str">
        <f>IFERROR(1-SUMIF('Plant BD'!$H:$H,$A172,'Plant BD'!AC:AC)/$F172,"")</f>
        <v/>
      </c>
      <c r="P172" s="158"/>
      <c r="Q172" s="159"/>
      <c r="R172" s="158" t="str">
        <f>IFERROR(1-SUMIF('Grid BD'!$H:$H,$A172,'Grid BD'!AB:AB)/$F172,"")</f>
        <v/>
      </c>
      <c r="T172" s="159" t="str">
        <f>IFERROR(1-SUMIF(Tracker_BD!$H:$H,$A172,Tracker_BD!AI:AI)/$F172,"")</f>
        <v/>
      </c>
      <c r="U172" s="160" t="str">
        <f t="shared" si="9"/>
        <v/>
      </c>
      <c r="V172" s="160"/>
      <c r="W172" s="161" t="str">
        <f t="shared" si="10"/>
        <v/>
      </c>
      <c r="X172" s="156" t="str">
        <f>IFERROR(_xlfn.XLOOKUP($A172,'Raw Data'!$G:$G,'Raw Data'!$AB:$AB),"")</f>
        <v/>
      </c>
      <c r="Y172" s="156" t="str">
        <f>IFERROR(_xlfn.XLOOKUP($A172,'Raw Data'!$G:$G,'Raw Data'!AC:AC),"")</f>
        <v/>
      </c>
      <c r="Z172" s="156" t="str">
        <f>IFERROR(_xlfn.XLOOKUP($A172,'Raw Data'!$G:$G,'Raw Data'!AD:AD),"")</f>
        <v/>
      </c>
      <c r="AA172" s="156" t="str">
        <f>IFERROR(_xlfn.XLOOKUP($A172,'Raw Data'!$G:$G,'Raw Data'!AE:AE),"")</f>
        <v/>
      </c>
      <c r="AB172" s="156" t="str">
        <f>IFERROR(_xlfn.XLOOKUP($A172,'Raw Data'!$G:$G,'Raw Data'!$H:$H),"")</f>
        <v/>
      </c>
      <c r="AC172" s="162">
        <f>IFERROR(_xlfn.XLOOKUP($D172,'Modelling New'!$D:$D,'Modelling New'!$P:$P),"")</f>
        <v>5.5049609600000018</v>
      </c>
      <c r="AD172" s="156">
        <f>IFERROR(_xlfn.XLOOKUP($D172,'Modelling New'!$D:$D,'Modelling New'!$T:$T)*1000,"")</f>
        <v>47057.046080205721</v>
      </c>
      <c r="AE172" s="163">
        <f>IFERROR(_xlfn.XLOOKUP($D172,'Modelling New'!$D:$D,'Modelling New'!$O:$O),"")</f>
        <v>0.72936145233565186</v>
      </c>
      <c r="AF172" s="163">
        <f>IFERROR(_xlfn.XLOOKUP($D172,'Modelling New'!$D:$D,'Modelling New'!$W:$W),"")</f>
        <v>0.16729609670152773</v>
      </c>
      <c r="AG172" s="163">
        <f>IFERROR(_xlfn.XLOOKUP($D172,'Modelling New'!$D:$D,'Modelling New'!AE:AE),"")</f>
        <v>0.995</v>
      </c>
      <c r="AH172" s="163">
        <f>IFERROR(_xlfn.XLOOKUP($D172,'Modelling New'!$D:$D,'Modelling New'!AF:AF),"")</f>
        <v>0.98550000000000004</v>
      </c>
      <c r="AN172" s="164"/>
      <c r="AO172" s="161"/>
      <c r="AP172" s="161"/>
      <c r="AQ172" s="161"/>
      <c r="AR172" s="156">
        <f>IFERROR(_xlfn.XLOOKUP($D172,'Modelling New'!$D:$D,'Modelling New'!$N:$N),"")</f>
        <v>11.72</v>
      </c>
    </row>
    <row r="173" spans="1:44">
      <c r="A173" s="155">
        <f t="shared" si="11"/>
        <v>45916</v>
      </c>
      <c r="B173" s="156">
        <f>YEAR(Table13[[#This Row],[Date]])+IF(MONTH(Table13[[#This Row],[Date]])&gt;=4,1,0)</f>
        <v>2026</v>
      </c>
      <c r="C173" s="129">
        <f>YEAR(Table13[[#This Row],[Date]])</f>
        <v>2025</v>
      </c>
      <c r="D173" s="157">
        <f>Table13[[#This Row],[Date]]-DAY(Table13[[#This Row],[Date]])+1</f>
        <v>45901</v>
      </c>
      <c r="E173" s="129">
        <f t="shared" si="8"/>
        <v>30</v>
      </c>
      <c r="F173" s="130" t="str">
        <f>IFERROR(_xlfn.XLOOKUP($A173,'Raw Data'!$G:$G,'Raw Data'!$AH:$AH),"")</f>
        <v/>
      </c>
      <c r="G173" s="131" t="str">
        <f>IFERROR(_xlfn.XLOOKUP($A173,'Raw Data'!$G:$G,'Raw Data'!$S:$S)/1000,"")</f>
        <v/>
      </c>
      <c r="H173" s="131"/>
      <c r="I173" s="131" t="str">
        <f>IFERROR(_xlfn.XLOOKUP($A173,'Raw Data'!$G:$G,'Raw Data'!$AF:$AF)/1000,"")</f>
        <v/>
      </c>
      <c r="J173" s="131"/>
      <c r="K173" s="131" t="str">
        <f>IFERROR(_xlfn.XLOOKUP($A173,'Raw Data'!$G:$G,'Raw Data'!W:W),"")</f>
        <v/>
      </c>
      <c r="L173" s="131" t="str">
        <f>IFERROR(_xlfn.XLOOKUP($A173,'Raw Data'!$G:$G,'Raw Data'!X:X),"")</f>
        <v/>
      </c>
      <c r="M173" s="131" t="str">
        <f>IFERROR(_xlfn.XLOOKUP($A173,'Raw Data'!$G:$G,'Raw Data'!Y:Y),"")</f>
        <v/>
      </c>
      <c r="N173" s="131" t="str">
        <f>IFERROR(_xlfn.XLOOKUP($A173,'Raw Data'!$G:$G,'Raw Data'!Z:Z),"")</f>
        <v/>
      </c>
      <c r="O173" s="158" t="str">
        <f>IFERROR(1-SUMIF('Plant BD'!$H:$H,$A173,'Plant BD'!AC:AC)/$F173,"")</f>
        <v/>
      </c>
      <c r="P173" s="158"/>
      <c r="Q173" s="159"/>
      <c r="R173" s="158" t="str">
        <f>IFERROR(1-SUMIF('Grid BD'!$H:$H,$A173,'Grid BD'!AB:AB)/$F173,"")</f>
        <v/>
      </c>
      <c r="T173" s="159" t="str">
        <f>IFERROR(1-SUMIF(Tracker_BD!$H:$H,$A173,Tracker_BD!AI:AI)/$F173,"")</f>
        <v/>
      </c>
      <c r="U173" s="160" t="str">
        <f t="shared" si="9"/>
        <v/>
      </c>
      <c r="V173" s="160"/>
      <c r="W173" s="161" t="str">
        <f t="shared" si="10"/>
        <v/>
      </c>
      <c r="X173" s="156" t="str">
        <f>IFERROR(_xlfn.XLOOKUP($A173,'Raw Data'!$G:$G,'Raw Data'!$AB:$AB),"")</f>
        <v/>
      </c>
      <c r="Y173" s="156" t="str">
        <f>IFERROR(_xlfn.XLOOKUP($A173,'Raw Data'!$G:$G,'Raw Data'!AC:AC),"")</f>
        <v/>
      </c>
      <c r="Z173" s="156" t="str">
        <f>IFERROR(_xlfn.XLOOKUP($A173,'Raw Data'!$G:$G,'Raw Data'!AD:AD),"")</f>
        <v/>
      </c>
      <c r="AA173" s="156" t="str">
        <f>IFERROR(_xlfn.XLOOKUP($A173,'Raw Data'!$G:$G,'Raw Data'!AE:AE),"")</f>
        <v/>
      </c>
      <c r="AB173" s="156" t="str">
        <f>IFERROR(_xlfn.XLOOKUP($A173,'Raw Data'!$G:$G,'Raw Data'!$H:$H),"")</f>
        <v/>
      </c>
      <c r="AC173" s="162">
        <f>IFERROR(_xlfn.XLOOKUP($D173,'Modelling New'!$D:$D,'Modelling New'!$P:$P),"")</f>
        <v>5.5049609600000018</v>
      </c>
      <c r="AD173" s="156">
        <f>IFERROR(_xlfn.XLOOKUP($D173,'Modelling New'!$D:$D,'Modelling New'!$T:$T)*1000,"")</f>
        <v>47057.046080205721</v>
      </c>
      <c r="AE173" s="163">
        <f>IFERROR(_xlfn.XLOOKUP($D173,'Modelling New'!$D:$D,'Modelling New'!$O:$O),"")</f>
        <v>0.72936145233565186</v>
      </c>
      <c r="AF173" s="163">
        <f>IFERROR(_xlfn.XLOOKUP($D173,'Modelling New'!$D:$D,'Modelling New'!$W:$W),"")</f>
        <v>0.16729609670152773</v>
      </c>
      <c r="AG173" s="163">
        <f>IFERROR(_xlfn.XLOOKUP($D173,'Modelling New'!$D:$D,'Modelling New'!AE:AE),"")</f>
        <v>0.995</v>
      </c>
      <c r="AH173" s="163">
        <f>IFERROR(_xlfn.XLOOKUP($D173,'Modelling New'!$D:$D,'Modelling New'!AF:AF),"")</f>
        <v>0.98550000000000004</v>
      </c>
      <c r="AN173" s="164"/>
      <c r="AO173" s="161"/>
      <c r="AP173" s="161"/>
      <c r="AQ173" s="161"/>
      <c r="AR173" s="156">
        <f>IFERROR(_xlfn.XLOOKUP($D173,'Modelling New'!$D:$D,'Modelling New'!$N:$N),"")</f>
        <v>11.72</v>
      </c>
    </row>
    <row r="174" spans="1:44">
      <c r="A174" s="155">
        <f t="shared" si="11"/>
        <v>45917</v>
      </c>
      <c r="B174" s="156">
        <f>YEAR(Table13[[#This Row],[Date]])+IF(MONTH(Table13[[#This Row],[Date]])&gt;=4,1,0)</f>
        <v>2026</v>
      </c>
      <c r="C174" s="129">
        <f>YEAR(Table13[[#This Row],[Date]])</f>
        <v>2025</v>
      </c>
      <c r="D174" s="157">
        <f>Table13[[#This Row],[Date]]-DAY(Table13[[#This Row],[Date]])+1</f>
        <v>45901</v>
      </c>
      <c r="E174" s="129">
        <f t="shared" ref="E174:E207" si="12">DAY(EOMONTH(A174,0))</f>
        <v>30</v>
      </c>
      <c r="F174" s="130" t="str">
        <f>IFERROR(_xlfn.XLOOKUP($A174,'Raw Data'!$G:$G,'Raw Data'!$AH:$AH),"")</f>
        <v/>
      </c>
      <c r="G174" s="131" t="str">
        <f>IFERROR(_xlfn.XLOOKUP($A174,'Raw Data'!$G:$G,'Raw Data'!$S:$S)/1000,"")</f>
        <v/>
      </c>
      <c r="H174" s="131"/>
      <c r="I174" s="131" t="str">
        <f>IFERROR(_xlfn.XLOOKUP($A174,'Raw Data'!$G:$G,'Raw Data'!$AF:$AF)/1000,"")</f>
        <v/>
      </c>
      <c r="J174" s="131"/>
      <c r="K174" s="131" t="str">
        <f>IFERROR(_xlfn.XLOOKUP($A174,'Raw Data'!$G:$G,'Raw Data'!W:W),"")</f>
        <v/>
      </c>
      <c r="L174" s="131" t="str">
        <f>IFERROR(_xlfn.XLOOKUP($A174,'Raw Data'!$G:$G,'Raw Data'!X:X),"")</f>
        <v/>
      </c>
      <c r="M174" s="131" t="str">
        <f>IFERROR(_xlfn.XLOOKUP($A174,'Raw Data'!$G:$G,'Raw Data'!Y:Y),"")</f>
        <v/>
      </c>
      <c r="N174" s="131" t="str">
        <f>IFERROR(_xlfn.XLOOKUP($A174,'Raw Data'!$G:$G,'Raw Data'!Z:Z),"")</f>
        <v/>
      </c>
      <c r="O174" s="158" t="str">
        <f>IFERROR(1-SUMIF('Plant BD'!$H:$H,$A174,'Plant BD'!AC:AC)/$F174,"")</f>
        <v/>
      </c>
      <c r="P174" s="158"/>
      <c r="Q174" s="159"/>
      <c r="R174" s="158" t="str">
        <f>IFERROR(1-SUMIF('Grid BD'!$H:$H,$A174,'Grid BD'!AB:AB)/$F174,"")</f>
        <v/>
      </c>
      <c r="T174" s="159" t="str">
        <f>IFERROR(1-SUMIF(Tracker_BD!$H:$H,$A174,Tracker_BD!AI:AI)/$F174,"")</f>
        <v/>
      </c>
      <c r="U174" s="160" t="str">
        <f t="shared" si="9"/>
        <v/>
      </c>
      <c r="V174" s="160"/>
      <c r="W174" s="161" t="str">
        <f t="shared" si="10"/>
        <v/>
      </c>
      <c r="X174" s="156" t="str">
        <f>IFERROR(_xlfn.XLOOKUP($A174,'Raw Data'!$G:$G,'Raw Data'!$AB:$AB),"")</f>
        <v/>
      </c>
      <c r="Y174" s="156" t="str">
        <f>IFERROR(_xlfn.XLOOKUP($A174,'Raw Data'!$G:$G,'Raw Data'!AC:AC),"")</f>
        <v/>
      </c>
      <c r="Z174" s="156" t="str">
        <f>IFERROR(_xlfn.XLOOKUP($A174,'Raw Data'!$G:$G,'Raw Data'!AD:AD),"")</f>
        <v/>
      </c>
      <c r="AA174" s="156" t="str">
        <f>IFERROR(_xlfn.XLOOKUP($A174,'Raw Data'!$G:$G,'Raw Data'!AE:AE),"")</f>
        <v/>
      </c>
      <c r="AB174" s="156" t="str">
        <f>IFERROR(_xlfn.XLOOKUP($A174,'Raw Data'!$G:$G,'Raw Data'!$H:$H),"")</f>
        <v/>
      </c>
      <c r="AC174" s="162">
        <f>IFERROR(_xlfn.XLOOKUP($D174,'Modelling New'!$D:$D,'Modelling New'!$P:$P),"")</f>
        <v>5.5049609600000018</v>
      </c>
      <c r="AD174" s="156">
        <f>IFERROR(_xlfn.XLOOKUP($D174,'Modelling New'!$D:$D,'Modelling New'!$T:$T)*1000,"")</f>
        <v>47057.046080205721</v>
      </c>
      <c r="AE174" s="163">
        <f>IFERROR(_xlfn.XLOOKUP($D174,'Modelling New'!$D:$D,'Modelling New'!$O:$O),"")</f>
        <v>0.72936145233565186</v>
      </c>
      <c r="AF174" s="163">
        <f>IFERROR(_xlfn.XLOOKUP($D174,'Modelling New'!$D:$D,'Modelling New'!$W:$W),"")</f>
        <v>0.16729609670152773</v>
      </c>
      <c r="AG174" s="163">
        <f>IFERROR(_xlfn.XLOOKUP($D174,'Modelling New'!$D:$D,'Modelling New'!AE:AE),"")</f>
        <v>0.995</v>
      </c>
      <c r="AH174" s="163">
        <f>IFERROR(_xlfn.XLOOKUP($D174,'Modelling New'!$D:$D,'Modelling New'!AF:AF),"")</f>
        <v>0.98550000000000004</v>
      </c>
      <c r="AN174" s="164"/>
      <c r="AO174" s="161"/>
      <c r="AP174" s="161"/>
      <c r="AQ174" s="161"/>
      <c r="AR174" s="156">
        <f>IFERROR(_xlfn.XLOOKUP($D174,'Modelling New'!$D:$D,'Modelling New'!$N:$N),"")</f>
        <v>11.72</v>
      </c>
    </row>
    <row r="175" spans="1:44">
      <c r="A175" s="155">
        <f t="shared" si="11"/>
        <v>45918</v>
      </c>
      <c r="B175" s="156">
        <f>YEAR(Table13[[#This Row],[Date]])+IF(MONTH(Table13[[#This Row],[Date]])&gt;=4,1,0)</f>
        <v>2026</v>
      </c>
      <c r="C175" s="129">
        <f>YEAR(Table13[[#This Row],[Date]])</f>
        <v>2025</v>
      </c>
      <c r="D175" s="157">
        <f>Table13[[#This Row],[Date]]-DAY(Table13[[#This Row],[Date]])+1</f>
        <v>45901</v>
      </c>
      <c r="E175" s="129">
        <f t="shared" si="12"/>
        <v>30</v>
      </c>
      <c r="F175" s="130" t="str">
        <f>IFERROR(_xlfn.XLOOKUP($A175,'Raw Data'!$G:$G,'Raw Data'!$AH:$AH),"")</f>
        <v/>
      </c>
      <c r="G175" s="131" t="str">
        <f>IFERROR(_xlfn.XLOOKUP($A175,'Raw Data'!$G:$G,'Raw Data'!$S:$S)/1000,"")</f>
        <v/>
      </c>
      <c r="H175" s="131"/>
      <c r="I175" s="131" t="str">
        <f>IFERROR(_xlfn.XLOOKUP($A175,'Raw Data'!$G:$G,'Raw Data'!$AF:$AF)/1000,"")</f>
        <v/>
      </c>
      <c r="J175" s="131"/>
      <c r="K175" s="131" t="str">
        <f>IFERROR(_xlfn.XLOOKUP($A175,'Raw Data'!$G:$G,'Raw Data'!W:W),"")</f>
        <v/>
      </c>
      <c r="L175" s="131" t="str">
        <f>IFERROR(_xlfn.XLOOKUP($A175,'Raw Data'!$G:$G,'Raw Data'!X:X),"")</f>
        <v/>
      </c>
      <c r="M175" s="131" t="str">
        <f>IFERROR(_xlfn.XLOOKUP($A175,'Raw Data'!$G:$G,'Raw Data'!Y:Y),"")</f>
        <v/>
      </c>
      <c r="N175" s="131" t="str">
        <f>IFERROR(_xlfn.XLOOKUP($A175,'Raw Data'!$G:$G,'Raw Data'!Z:Z),"")</f>
        <v/>
      </c>
      <c r="O175" s="158" t="str">
        <f>IFERROR(1-SUMIF('Plant BD'!$H:$H,$A175,'Plant BD'!AC:AC)/$F175,"")</f>
        <v/>
      </c>
      <c r="P175" s="158"/>
      <c r="Q175" s="159"/>
      <c r="R175" s="158" t="str">
        <f>IFERROR(1-SUMIF('Grid BD'!$H:$H,$A175,'Grid BD'!AB:AB)/$F175,"")</f>
        <v/>
      </c>
      <c r="T175" s="159" t="str">
        <f>IFERROR(1-SUMIF(Tracker_BD!$H:$H,$A175,Tracker_BD!AI:AI)/$F175,"")</f>
        <v/>
      </c>
      <c r="U175" s="160" t="str">
        <f t="shared" si="9"/>
        <v/>
      </c>
      <c r="V175" s="160"/>
      <c r="W175" s="161" t="str">
        <f t="shared" si="10"/>
        <v/>
      </c>
      <c r="X175" s="156" t="str">
        <f>IFERROR(_xlfn.XLOOKUP($A175,'Raw Data'!$G:$G,'Raw Data'!$AB:$AB),"")</f>
        <v/>
      </c>
      <c r="Y175" s="156" t="str">
        <f>IFERROR(_xlfn.XLOOKUP($A175,'Raw Data'!$G:$G,'Raw Data'!AC:AC),"")</f>
        <v/>
      </c>
      <c r="Z175" s="156" t="str">
        <f>IFERROR(_xlfn.XLOOKUP($A175,'Raw Data'!$G:$G,'Raw Data'!AD:AD),"")</f>
        <v/>
      </c>
      <c r="AA175" s="156" t="str">
        <f>IFERROR(_xlfn.XLOOKUP($A175,'Raw Data'!$G:$G,'Raw Data'!AE:AE),"")</f>
        <v/>
      </c>
      <c r="AB175" s="156" t="str">
        <f>IFERROR(_xlfn.XLOOKUP($A175,'Raw Data'!$G:$G,'Raw Data'!$H:$H),"")</f>
        <v/>
      </c>
      <c r="AC175" s="162">
        <f>IFERROR(_xlfn.XLOOKUP($D175,'Modelling New'!$D:$D,'Modelling New'!$P:$P),"")</f>
        <v>5.5049609600000018</v>
      </c>
      <c r="AD175" s="156">
        <f>IFERROR(_xlfn.XLOOKUP($D175,'Modelling New'!$D:$D,'Modelling New'!$T:$T)*1000,"")</f>
        <v>47057.046080205721</v>
      </c>
      <c r="AE175" s="163">
        <f>IFERROR(_xlfn.XLOOKUP($D175,'Modelling New'!$D:$D,'Modelling New'!$O:$O),"")</f>
        <v>0.72936145233565186</v>
      </c>
      <c r="AF175" s="163">
        <f>IFERROR(_xlfn.XLOOKUP($D175,'Modelling New'!$D:$D,'Modelling New'!$W:$W),"")</f>
        <v>0.16729609670152773</v>
      </c>
      <c r="AG175" s="163">
        <f>IFERROR(_xlfn.XLOOKUP($D175,'Modelling New'!$D:$D,'Modelling New'!AE:AE),"")</f>
        <v>0.995</v>
      </c>
      <c r="AH175" s="163">
        <f>IFERROR(_xlfn.XLOOKUP($D175,'Modelling New'!$D:$D,'Modelling New'!AF:AF),"")</f>
        <v>0.98550000000000004</v>
      </c>
      <c r="AN175" s="164"/>
      <c r="AO175" s="161"/>
      <c r="AP175" s="161"/>
      <c r="AQ175" s="161"/>
      <c r="AR175" s="156">
        <f>IFERROR(_xlfn.XLOOKUP($D175,'Modelling New'!$D:$D,'Modelling New'!$N:$N),"")</f>
        <v>11.72</v>
      </c>
    </row>
    <row r="176" spans="1:44">
      <c r="A176" s="155">
        <f t="shared" si="11"/>
        <v>45919</v>
      </c>
      <c r="B176" s="156">
        <f>YEAR(Table13[[#This Row],[Date]])+IF(MONTH(Table13[[#This Row],[Date]])&gt;=4,1,0)</f>
        <v>2026</v>
      </c>
      <c r="C176" s="129">
        <f>YEAR(Table13[[#This Row],[Date]])</f>
        <v>2025</v>
      </c>
      <c r="D176" s="157">
        <f>Table13[[#This Row],[Date]]-DAY(Table13[[#This Row],[Date]])+1</f>
        <v>45901</v>
      </c>
      <c r="E176" s="129">
        <f t="shared" si="12"/>
        <v>30</v>
      </c>
      <c r="F176" s="130" t="str">
        <f>IFERROR(_xlfn.XLOOKUP($A176,'Raw Data'!$G:$G,'Raw Data'!$AH:$AH),"")</f>
        <v/>
      </c>
      <c r="G176" s="131" t="str">
        <f>IFERROR(_xlfn.XLOOKUP($A176,'Raw Data'!$G:$G,'Raw Data'!$S:$S)/1000,"")</f>
        <v/>
      </c>
      <c r="H176" s="131"/>
      <c r="I176" s="131" t="str">
        <f>IFERROR(_xlfn.XLOOKUP($A176,'Raw Data'!$G:$G,'Raw Data'!$AF:$AF)/1000,"")</f>
        <v/>
      </c>
      <c r="J176" s="131"/>
      <c r="K176" s="131" t="str">
        <f>IFERROR(_xlfn.XLOOKUP($A176,'Raw Data'!$G:$G,'Raw Data'!W:W),"")</f>
        <v/>
      </c>
      <c r="L176" s="131" t="str">
        <f>IFERROR(_xlfn.XLOOKUP($A176,'Raw Data'!$G:$G,'Raw Data'!X:X),"")</f>
        <v/>
      </c>
      <c r="M176" s="131" t="str">
        <f>IFERROR(_xlfn.XLOOKUP($A176,'Raw Data'!$G:$G,'Raw Data'!Y:Y),"")</f>
        <v/>
      </c>
      <c r="N176" s="131" t="str">
        <f>IFERROR(_xlfn.XLOOKUP($A176,'Raw Data'!$G:$G,'Raw Data'!Z:Z),"")</f>
        <v/>
      </c>
      <c r="O176" s="158" t="str">
        <f>IFERROR(1-SUMIF('Plant BD'!$H:$H,$A176,'Plant BD'!AC:AC)/$F176,"")</f>
        <v/>
      </c>
      <c r="P176" s="158"/>
      <c r="Q176" s="159"/>
      <c r="R176" s="158" t="str">
        <f>IFERROR(1-SUMIF('Grid BD'!$H:$H,$A176,'Grid BD'!AB:AB)/$F176,"")</f>
        <v/>
      </c>
      <c r="T176" s="159" t="str">
        <f>IFERROR(1-SUMIF(Tracker_BD!$H:$H,$A176,Tracker_BD!AI:AI)/$F176,"")</f>
        <v/>
      </c>
      <c r="U176" s="160" t="str">
        <f t="shared" si="9"/>
        <v/>
      </c>
      <c r="V176" s="160"/>
      <c r="W176" s="161" t="str">
        <f t="shared" si="10"/>
        <v/>
      </c>
      <c r="X176" s="156" t="str">
        <f>IFERROR(_xlfn.XLOOKUP($A176,'Raw Data'!$G:$G,'Raw Data'!$AB:$AB),"")</f>
        <v/>
      </c>
      <c r="Y176" s="156" t="str">
        <f>IFERROR(_xlfn.XLOOKUP($A176,'Raw Data'!$G:$G,'Raw Data'!AC:AC),"")</f>
        <v/>
      </c>
      <c r="Z176" s="156" t="str">
        <f>IFERROR(_xlfn.XLOOKUP($A176,'Raw Data'!$G:$G,'Raw Data'!AD:AD),"")</f>
        <v/>
      </c>
      <c r="AA176" s="156" t="str">
        <f>IFERROR(_xlfn.XLOOKUP($A176,'Raw Data'!$G:$G,'Raw Data'!AE:AE),"")</f>
        <v/>
      </c>
      <c r="AB176" s="156" t="str">
        <f>IFERROR(_xlfn.XLOOKUP($A176,'Raw Data'!$G:$G,'Raw Data'!$H:$H),"")</f>
        <v/>
      </c>
      <c r="AC176" s="162">
        <f>IFERROR(_xlfn.XLOOKUP($D176,'Modelling New'!$D:$D,'Modelling New'!$P:$P),"")</f>
        <v>5.5049609600000018</v>
      </c>
      <c r="AD176" s="156">
        <f>IFERROR(_xlfn.XLOOKUP($D176,'Modelling New'!$D:$D,'Modelling New'!$T:$T)*1000,"")</f>
        <v>47057.046080205721</v>
      </c>
      <c r="AE176" s="163">
        <f>IFERROR(_xlfn.XLOOKUP($D176,'Modelling New'!$D:$D,'Modelling New'!$O:$O),"")</f>
        <v>0.72936145233565186</v>
      </c>
      <c r="AF176" s="163">
        <f>IFERROR(_xlfn.XLOOKUP($D176,'Modelling New'!$D:$D,'Modelling New'!$W:$W),"")</f>
        <v>0.16729609670152773</v>
      </c>
      <c r="AG176" s="163">
        <f>IFERROR(_xlfn.XLOOKUP($D176,'Modelling New'!$D:$D,'Modelling New'!AE:AE),"")</f>
        <v>0.995</v>
      </c>
      <c r="AH176" s="163">
        <f>IFERROR(_xlfn.XLOOKUP($D176,'Modelling New'!$D:$D,'Modelling New'!AF:AF),"")</f>
        <v>0.98550000000000004</v>
      </c>
      <c r="AN176" s="164"/>
      <c r="AO176" s="161"/>
      <c r="AP176" s="161"/>
      <c r="AQ176" s="161"/>
      <c r="AR176" s="156">
        <f>IFERROR(_xlfn.XLOOKUP($D176,'Modelling New'!$D:$D,'Modelling New'!$N:$N),"")</f>
        <v>11.72</v>
      </c>
    </row>
    <row r="177" spans="1:44">
      <c r="A177" s="155">
        <f t="shared" si="11"/>
        <v>45920</v>
      </c>
      <c r="B177" s="156">
        <f>YEAR(Table13[[#This Row],[Date]])+IF(MONTH(Table13[[#This Row],[Date]])&gt;=4,1,0)</f>
        <v>2026</v>
      </c>
      <c r="C177" s="129">
        <f>YEAR(Table13[[#This Row],[Date]])</f>
        <v>2025</v>
      </c>
      <c r="D177" s="157">
        <f>Table13[[#This Row],[Date]]-DAY(Table13[[#This Row],[Date]])+1</f>
        <v>45901</v>
      </c>
      <c r="E177" s="129">
        <f t="shared" si="12"/>
        <v>30</v>
      </c>
      <c r="F177" s="130" t="str">
        <f>IFERROR(_xlfn.XLOOKUP($A177,'Raw Data'!$G:$G,'Raw Data'!$AH:$AH),"")</f>
        <v/>
      </c>
      <c r="G177" s="131" t="str">
        <f>IFERROR(_xlfn.XLOOKUP($A177,'Raw Data'!$G:$G,'Raw Data'!$S:$S)/1000,"")</f>
        <v/>
      </c>
      <c r="H177" s="131"/>
      <c r="I177" s="131" t="str">
        <f>IFERROR(_xlfn.XLOOKUP($A177,'Raw Data'!$G:$G,'Raw Data'!$AF:$AF)/1000,"")</f>
        <v/>
      </c>
      <c r="J177" s="131"/>
      <c r="K177" s="131" t="str">
        <f>IFERROR(_xlfn.XLOOKUP($A177,'Raw Data'!$G:$G,'Raw Data'!W:W),"")</f>
        <v/>
      </c>
      <c r="L177" s="131" t="str">
        <f>IFERROR(_xlfn.XLOOKUP($A177,'Raw Data'!$G:$G,'Raw Data'!X:X),"")</f>
        <v/>
      </c>
      <c r="M177" s="131" t="str">
        <f>IFERROR(_xlfn.XLOOKUP($A177,'Raw Data'!$G:$G,'Raw Data'!Y:Y),"")</f>
        <v/>
      </c>
      <c r="N177" s="131" t="str">
        <f>IFERROR(_xlfn.XLOOKUP($A177,'Raw Data'!$G:$G,'Raw Data'!Z:Z),"")</f>
        <v/>
      </c>
      <c r="O177" s="158" t="str">
        <f>IFERROR(1-SUMIF('Plant BD'!$H:$H,$A177,'Plant BD'!AC:AC)/$F177,"")</f>
        <v/>
      </c>
      <c r="P177" s="158"/>
      <c r="Q177" s="159"/>
      <c r="R177" s="158" t="str">
        <f>IFERROR(1-SUMIF('Grid BD'!$H:$H,$A177,'Grid BD'!AB:AB)/$F177,"")</f>
        <v/>
      </c>
      <c r="T177" s="159" t="str">
        <f>IFERROR(1-SUMIF(Tracker_BD!$H:$H,$A177,Tracker_BD!AI:AI)/$F177,"")</f>
        <v/>
      </c>
      <c r="U177" s="160" t="str">
        <f t="shared" si="9"/>
        <v/>
      </c>
      <c r="V177" s="160"/>
      <c r="W177" s="161" t="str">
        <f t="shared" si="10"/>
        <v/>
      </c>
      <c r="X177" s="156" t="str">
        <f>IFERROR(_xlfn.XLOOKUP($A177,'Raw Data'!$G:$G,'Raw Data'!$AB:$AB),"")</f>
        <v/>
      </c>
      <c r="Y177" s="156" t="str">
        <f>IFERROR(_xlfn.XLOOKUP($A177,'Raw Data'!$G:$G,'Raw Data'!AC:AC),"")</f>
        <v/>
      </c>
      <c r="Z177" s="156" t="str">
        <f>IFERROR(_xlfn.XLOOKUP($A177,'Raw Data'!$G:$G,'Raw Data'!AD:AD),"")</f>
        <v/>
      </c>
      <c r="AA177" s="156" t="str">
        <f>IFERROR(_xlfn.XLOOKUP($A177,'Raw Data'!$G:$G,'Raw Data'!AE:AE),"")</f>
        <v/>
      </c>
      <c r="AB177" s="156" t="str">
        <f>IFERROR(_xlfn.XLOOKUP($A177,'Raw Data'!$G:$G,'Raw Data'!$H:$H),"")</f>
        <v/>
      </c>
      <c r="AC177" s="162">
        <f>IFERROR(_xlfn.XLOOKUP($D177,'Modelling New'!$D:$D,'Modelling New'!$P:$P),"")</f>
        <v>5.5049609600000018</v>
      </c>
      <c r="AD177" s="156">
        <f>IFERROR(_xlfn.XLOOKUP($D177,'Modelling New'!$D:$D,'Modelling New'!$T:$T)*1000,"")</f>
        <v>47057.046080205721</v>
      </c>
      <c r="AE177" s="163">
        <f>IFERROR(_xlfn.XLOOKUP($D177,'Modelling New'!$D:$D,'Modelling New'!$O:$O),"")</f>
        <v>0.72936145233565186</v>
      </c>
      <c r="AF177" s="163">
        <f>IFERROR(_xlfn.XLOOKUP($D177,'Modelling New'!$D:$D,'Modelling New'!$W:$W),"")</f>
        <v>0.16729609670152773</v>
      </c>
      <c r="AG177" s="163">
        <f>IFERROR(_xlfn.XLOOKUP($D177,'Modelling New'!$D:$D,'Modelling New'!AE:AE),"")</f>
        <v>0.995</v>
      </c>
      <c r="AH177" s="163">
        <f>IFERROR(_xlfn.XLOOKUP($D177,'Modelling New'!$D:$D,'Modelling New'!AF:AF),"")</f>
        <v>0.98550000000000004</v>
      </c>
      <c r="AN177" s="164"/>
      <c r="AO177" s="161"/>
      <c r="AP177" s="161"/>
      <c r="AQ177" s="161"/>
      <c r="AR177" s="156">
        <f>IFERROR(_xlfn.XLOOKUP($D177,'Modelling New'!$D:$D,'Modelling New'!$N:$N),"")</f>
        <v>11.72</v>
      </c>
    </row>
    <row r="178" spans="1:44">
      <c r="A178" s="155">
        <f t="shared" si="11"/>
        <v>45921</v>
      </c>
      <c r="B178" s="156">
        <f>YEAR(Table13[[#This Row],[Date]])+IF(MONTH(Table13[[#This Row],[Date]])&gt;=4,1,0)</f>
        <v>2026</v>
      </c>
      <c r="C178" s="129">
        <f>YEAR(Table13[[#This Row],[Date]])</f>
        <v>2025</v>
      </c>
      <c r="D178" s="157">
        <f>Table13[[#This Row],[Date]]-DAY(Table13[[#This Row],[Date]])+1</f>
        <v>45901</v>
      </c>
      <c r="E178" s="129">
        <f t="shared" si="12"/>
        <v>30</v>
      </c>
      <c r="F178" s="130" t="str">
        <f>IFERROR(_xlfn.XLOOKUP($A178,'Raw Data'!$G:$G,'Raw Data'!$AH:$AH),"")</f>
        <v/>
      </c>
      <c r="G178" s="131" t="str">
        <f>IFERROR(_xlfn.XLOOKUP($A178,'Raw Data'!$G:$G,'Raw Data'!$S:$S)/1000,"")</f>
        <v/>
      </c>
      <c r="H178" s="131"/>
      <c r="I178" s="131" t="str">
        <f>IFERROR(_xlfn.XLOOKUP($A178,'Raw Data'!$G:$G,'Raw Data'!$AF:$AF)/1000,"")</f>
        <v/>
      </c>
      <c r="J178" s="131"/>
      <c r="K178" s="131" t="str">
        <f>IFERROR(_xlfn.XLOOKUP($A178,'Raw Data'!$G:$G,'Raw Data'!W:W),"")</f>
        <v/>
      </c>
      <c r="L178" s="131" t="str">
        <f>IFERROR(_xlfn.XLOOKUP($A178,'Raw Data'!$G:$G,'Raw Data'!X:X),"")</f>
        <v/>
      </c>
      <c r="M178" s="131" t="str">
        <f>IFERROR(_xlfn.XLOOKUP($A178,'Raw Data'!$G:$G,'Raw Data'!Y:Y),"")</f>
        <v/>
      </c>
      <c r="N178" s="131" t="str">
        <f>IFERROR(_xlfn.XLOOKUP($A178,'Raw Data'!$G:$G,'Raw Data'!Z:Z),"")</f>
        <v/>
      </c>
      <c r="O178" s="158" t="str">
        <f>IFERROR(1-SUMIF('Plant BD'!$H:$H,$A178,'Plant BD'!AC:AC)/$F178,"")</f>
        <v/>
      </c>
      <c r="P178" s="158"/>
      <c r="Q178" s="159"/>
      <c r="R178" s="158" t="str">
        <f>IFERROR(1-SUMIF('Grid BD'!$H:$H,$A178,'Grid BD'!AB:AB)/$F178,"")</f>
        <v/>
      </c>
      <c r="T178" s="159" t="str">
        <f>IFERROR(1-SUMIF(Tracker_BD!$H:$H,$A178,Tracker_BD!AI:AI)/$F178,"")</f>
        <v/>
      </c>
      <c r="U178" s="160" t="str">
        <f t="shared" si="9"/>
        <v/>
      </c>
      <c r="V178" s="160"/>
      <c r="W178" s="161" t="str">
        <f t="shared" si="10"/>
        <v/>
      </c>
      <c r="X178" s="156" t="str">
        <f>IFERROR(_xlfn.XLOOKUP($A178,'Raw Data'!$G:$G,'Raw Data'!$AB:$AB),"")</f>
        <v/>
      </c>
      <c r="Y178" s="156" t="str">
        <f>IFERROR(_xlfn.XLOOKUP($A178,'Raw Data'!$G:$G,'Raw Data'!AC:AC),"")</f>
        <v/>
      </c>
      <c r="Z178" s="156" t="str">
        <f>IFERROR(_xlfn.XLOOKUP($A178,'Raw Data'!$G:$G,'Raw Data'!AD:AD),"")</f>
        <v/>
      </c>
      <c r="AA178" s="156" t="str">
        <f>IFERROR(_xlfn.XLOOKUP($A178,'Raw Data'!$G:$G,'Raw Data'!AE:AE),"")</f>
        <v/>
      </c>
      <c r="AB178" s="156" t="str">
        <f>IFERROR(_xlfn.XLOOKUP($A178,'Raw Data'!$G:$G,'Raw Data'!$H:$H),"")</f>
        <v/>
      </c>
      <c r="AC178" s="162">
        <f>IFERROR(_xlfn.XLOOKUP($D178,'Modelling New'!$D:$D,'Modelling New'!$P:$P),"")</f>
        <v>5.5049609600000018</v>
      </c>
      <c r="AD178" s="156">
        <f>IFERROR(_xlfn.XLOOKUP($D178,'Modelling New'!$D:$D,'Modelling New'!$T:$T)*1000,"")</f>
        <v>47057.046080205721</v>
      </c>
      <c r="AE178" s="163">
        <f>IFERROR(_xlfn.XLOOKUP($D178,'Modelling New'!$D:$D,'Modelling New'!$O:$O),"")</f>
        <v>0.72936145233565186</v>
      </c>
      <c r="AF178" s="163">
        <f>IFERROR(_xlfn.XLOOKUP($D178,'Modelling New'!$D:$D,'Modelling New'!$W:$W),"")</f>
        <v>0.16729609670152773</v>
      </c>
      <c r="AG178" s="163">
        <f>IFERROR(_xlfn.XLOOKUP($D178,'Modelling New'!$D:$D,'Modelling New'!AE:AE),"")</f>
        <v>0.995</v>
      </c>
      <c r="AH178" s="163">
        <f>IFERROR(_xlfn.XLOOKUP($D178,'Modelling New'!$D:$D,'Modelling New'!AF:AF),"")</f>
        <v>0.98550000000000004</v>
      </c>
      <c r="AN178" s="164"/>
      <c r="AO178" s="161"/>
      <c r="AP178" s="161"/>
      <c r="AQ178" s="161"/>
      <c r="AR178" s="156">
        <f>IFERROR(_xlfn.XLOOKUP($D178,'Modelling New'!$D:$D,'Modelling New'!$N:$N),"")</f>
        <v>11.72</v>
      </c>
    </row>
    <row r="179" spans="1:44">
      <c r="A179" s="155">
        <f t="shared" si="11"/>
        <v>45922</v>
      </c>
      <c r="B179" s="156">
        <f>YEAR(Table13[[#This Row],[Date]])+IF(MONTH(Table13[[#This Row],[Date]])&gt;=4,1,0)</f>
        <v>2026</v>
      </c>
      <c r="C179" s="129">
        <f>YEAR(Table13[[#This Row],[Date]])</f>
        <v>2025</v>
      </c>
      <c r="D179" s="157">
        <f>Table13[[#This Row],[Date]]-DAY(Table13[[#This Row],[Date]])+1</f>
        <v>45901</v>
      </c>
      <c r="E179" s="129">
        <f t="shared" si="12"/>
        <v>30</v>
      </c>
      <c r="F179" s="130" t="str">
        <f>IFERROR(_xlfn.XLOOKUP($A179,'Raw Data'!$G:$G,'Raw Data'!$AH:$AH),"")</f>
        <v/>
      </c>
      <c r="G179" s="131" t="str">
        <f>IFERROR(_xlfn.XLOOKUP($A179,'Raw Data'!$G:$G,'Raw Data'!$S:$S)/1000,"")</f>
        <v/>
      </c>
      <c r="H179" s="131"/>
      <c r="I179" s="131" t="str">
        <f>IFERROR(_xlfn.XLOOKUP($A179,'Raw Data'!$G:$G,'Raw Data'!$AF:$AF)/1000,"")</f>
        <v/>
      </c>
      <c r="J179" s="131"/>
      <c r="K179" s="131" t="str">
        <f>IFERROR(_xlfn.XLOOKUP($A179,'Raw Data'!$G:$G,'Raw Data'!W:W),"")</f>
        <v/>
      </c>
      <c r="L179" s="131" t="str">
        <f>IFERROR(_xlfn.XLOOKUP($A179,'Raw Data'!$G:$G,'Raw Data'!X:X),"")</f>
        <v/>
      </c>
      <c r="M179" s="131" t="str">
        <f>IFERROR(_xlfn.XLOOKUP($A179,'Raw Data'!$G:$G,'Raw Data'!Y:Y),"")</f>
        <v/>
      </c>
      <c r="N179" s="131" t="str">
        <f>IFERROR(_xlfn.XLOOKUP($A179,'Raw Data'!$G:$G,'Raw Data'!Z:Z),"")</f>
        <v/>
      </c>
      <c r="O179" s="158" t="str">
        <f>IFERROR(1-SUMIF('Plant BD'!$H:$H,$A179,'Plant BD'!AC:AC)/$F179,"")</f>
        <v/>
      </c>
      <c r="P179" s="158"/>
      <c r="Q179" s="159"/>
      <c r="R179" s="158" t="str">
        <f>IFERROR(1-SUMIF('Grid BD'!$H:$H,$A179,'Grid BD'!AB:AB)/$F179,"")</f>
        <v/>
      </c>
      <c r="T179" s="159" t="str">
        <f>IFERROR(1-SUMIF(Tracker_BD!$H:$H,$A179,Tracker_BD!AI:AI)/$F179,"")</f>
        <v/>
      </c>
      <c r="U179" s="160" t="str">
        <f t="shared" si="9"/>
        <v/>
      </c>
      <c r="V179" s="160"/>
      <c r="W179" s="161" t="str">
        <f t="shared" si="10"/>
        <v/>
      </c>
      <c r="X179" s="156" t="str">
        <f>IFERROR(_xlfn.XLOOKUP($A179,'Raw Data'!$G:$G,'Raw Data'!$AB:$AB),"")</f>
        <v/>
      </c>
      <c r="Y179" s="156" t="str">
        <f>IFERROR(_xlfn.XLOOKUP($A179,'Raw Data'!$G:$G,'Raw Data'!AC:AC),"")</f>
        <v/>
      </c>
      <c r="Z179" s="156" t="str">
        <f>IFERROR(_xlfn.XLOOKUP($A179,'Raw Data'!$G:$G,'Raw Data'!AD:AD),"")</f>
        <v/>
      </c>
      <c r="AA179" s="156" t="str">
        <f>IFERROR(_xlfn.XLOOKUP($A179,'Raw Data'!$G:$G,'Raw Data'!AE:AE),"")</f>
        <v/>
      </c>
      <c r="AB179" s="156" t="str">
        <f>IFERROR(_xlfn.XLOOKUP($A179,'Raw Data'!$G:$G,'Raw Data'!$H:$H),"")</f>
        <v/>
      </c>
      <c r="AC179" s="162">
        <f>IFERROR(_xlfn.XLOOKUP($D179,'Modelling New'!$D:$D,'Modelling New'!$P:$P),"")</f>
        <v>5.5049609600000018</v>
      </c>
      <c r="AD179" s="156">
        <f>IFERROR(_xlfn.XLOOKUP($D179,'Modelling New'!$D:$D,'Modelling New'!$T:$T)*1000,"")</f>
        <v>47057.046080205721</v>
      </c>
      <c r="AE179" s="163">
        <f>IFERROR(_xlfn.XLOOKUP($D179,'Modelling New'!$D:$D,'Modelling New'!$O:$O),"")</f>
        <v>0.72936145233565186</v>
      </c>
      <c r="AF179" s="163">
        <f>IFERROR(_xlfn.XLOOKUP($D179,'Modelling New'!$D:$D,'Modelling New'!$W:$W),"")</f>
        <v>0.16729609670152773</v>
      </c>
      <c r="AG179" s="163">
        <f>IFERROR(_xlfn.XLOOKUP($D179,'Modelling New'!$D:$D,'Modelling New'!AE:AE),"")</f>
        <v>0.995</v>
      </c>
      <c r="AH179" s="163">
        <f>IFERROR(_xlfn.XLOOKUP($D179,'Modelling New'!$D:$D,'Modelling New'!AF:AF),"")</f>
        <v>0.98550000000000004</v>
      </c>
      <c r="AN179" s="164"/>
      <c r="AO179" s="161"/>
      <c r="AP179" s="161"/>
      <c r="AQ179" s="161"/>
      <c r="AR179" s="156">
        <f>IFERROR(_xlfn.XLOOKUP($D179,'Modelling New'!$D:$D,'Modelling New'!$N:$N),"")</f>
        <v>11.72</v>
      </c>
    </row>
    <row r="180" spans="1:44">
      <c r="A180" s="155">
        <f t="shared" si="11"/>
        <v>45923</v>
      </c>
      <c r="B180" s="156">
        <f>YEAR(Table13[[#This Row],[Date]])+IF(MONTH(Table13[[#This Row],[Date]])&gt;=4,1,0)</f>
        <v>2026</v>
      </c>
      <c r="C180" s="129">
        <f>YEAR(Table13[[#This Row],[Date]])</f>
        <v>2025</v>
      </c>
      <c r="D180" s="157">
        <f>Table13[[#This Row],[Date]]-DAY(Table13[[#This Row],[Date]])+1</f>
        <v>45901</v>
      </c>
      <c r="E180" s="129">
        <f t="shared" si="12"/>
        <v>30</v>
      </c>
      <c r="F180" s="130" t="str">
        <f>IFERROR(_xlfn.XLOOKUP($A180,'Raw Data'!$G:$G,'Raw Data'!$AH:$AH),"")</f>
        <v/>
      </c>
      <c r="G180" s="131" t="str">
        <f>IFERROR(_xlfn.XLOOKUP($A180,'Raw Data'!$G:$G,'Raw Data'!$S:$S)/1000,"")</f>
        <v/>
      </c>
      <c r="H180" s="131"/>
      <c r="I180" s="131" t="str">
        <f>IFERROR(_xlfn.XLOOKUP($A180,'Raw Data'!$G:$G,'Raw Data'!$AF:$AF)/1000,"")</f>
        <v/>
      </c>
      <c r="J180" s="131"/>
      <c r="K180" s="131" t="str">
        <f>IFERROR(_xlfn.XLOOKUP($A180,'Raw Data'!$G:$G,'Raw Data'!W:W),"")</f>
        <v/>
      </c>
      <c r="L180" s="131" t="str">
        <f>IFERROR(_xlfn.XLOOKUP($A180,'Raw Data'!$G:$G,'Raw Data'!X:X),"")</f>
        <v/>
      </c>
      <c r="M180" s="131" t="str">
        <f>IFERROR(_xlfn.XLOOKUP($A180,'Raw Data'!$G:$G,'Raw Data'!Y:Y),"")</f>
        <v/>
      </c>
      <c r="N180" s="131" t="str">
        <f>IFERROR(_xlfn.XLOOKUP($A180,'Raw Data'!$G:$G,'Raw Data'!Z:Z),"")</f>
        <v/>
      </c>
      <c r="O180" s="158" t="str">
        <f>IFERROR(1-SUMIF('Plant BD'!$H:$H,$A180,'Plant BD'!AC:AC)/$F180,"")</f>
        <v/>
      </c>
      <c r="P180" s="158"/>
      <c r="Q180" s="159"/>
      <c r="R180" s="158" t="str">
        <f>IFERROR(1-SUMIF('Grid BD'!$H:$H,$A180,'Grid BD'!AB:AB)/$F180,"")</f>
        <v/>
      </c>
      <c r="T180" s="159" t="str">
        <f>IFERROR(1-SUMIF(Tracker_BD!$H:$H,$A180,Tracker_BD!AI:AI)/$F180,"")</f>
        <v/>
      </c>
      <c r="U180" s="160" t="str">
        <f t="shared" si="9"/>
        <v/>
      </c>
      <c r="V180" s="160"/>
      <c r="W180" s="161" t="str">
        <f t="shared" si="10"/>
        <v/>
      </c>
      <c r="X180" s="156" t="str">
        <f>IFERROR(_xlfn.XLOOKUP($A180,'Raw Data'!$G:$G,'Raw Data'!$AB:$AB),"")</f>
        <v/>
      </c>
      <c r="Y180" s="156" t="str">
        <f>IFERROR(_xlfn.XLOOKUP($A180,'Raw Data'!$G:$G,'Raw Data'!AC:AC),"")</f>
        <v/>
      </c>
      <c r="Z180" s="156" t="str">
        <f>IFERROR(_xlfn.XLOOKUP($A180,'Raw Data'!$G:$G,'Raw Data'!AD:AD),"")</f>
        <v/>
      </c>
      <c r="AA180" s="156" t="str">
        <f>IFERROR(_xlfn.XLOOKUP($A180,'Raw Data'!$G:$G,'Raw Data'!AE:AE),"")</f>
        <v/>
      </c>
      <c r="AB180" s="156" t="str">
        <f>IFERROR(_xlfn.XLOOKUP($A180,'Raw Data'!$G:$G,'Raw Data'!$H:$H),"")</f>
        <v/>
      </c>
      <c r="AC180" s="162">
        <f>IFERROR(_xlfn.XLOOKUP($D180,'Modelling New'!$D:$D,'Modelling New'!$P:$P),"")</f>
        <v>5.5049609600000018</v>
      </c>
      <c r="AD180" s="156">
        <f>IFERROR(_xlfn.XLOOKUP($D180,'Modelling New'!$D:$D,'Modelling New'!$T:$T)*1000,"")</f>
        <v>47057.046080205721</v>
      </c>
      <c r="AE180" s="163">
        <f>IFERROR(_xlfn.XLOOKUP($D180,'Modelling New'!$D:$D,'Modelling New'!$O:$O),"")</f>
        <v>0.72936145233565186</v>
      </c>
      <c r="AF180" s="163">
        <f>IFERROR(_xlfn.XLOOKUP($D180,'Modelling New'!$D:$D,'Modelling New'!$W:$W),"")</f>
        <v>0.16729609670152773</v>
      </c>
      <c r="AG180" s="163">
        <f>IFERROR(_xlfn.XLOOKUP($D180,'Modelling New'!$D:$D,'Modelling New'!AE:AE),"")</f>
        <v>0.995</v>
      </c>
      <c r="AH180" s="163">
        <f>IFERROR(_xlfn.XLOOKUP($D180,'Modelling New'!$D:$D,'Modelling New'!AF:AF),"")</f>
        <v>0.98550000000000004</v>
      </c>
      <c r="AN180" s="164"/>
      <c r="AO180" s="161"/>
      <c r="AP180" s="161"/>
      <c r="AQ180" s="161"/>
      <c r="AR180" s="156">
        <f>IFERROR(_xlfn.XLOOKUP($D180,'Modelling New'!$D:$D,'Modelling New'!$N:$N),"")</f>
        <v>11.72</v>
      </c>
    </row>
    <row r="181" spans="1:44">
      <c r="A181" s="155">
        <f t="shared" si="11"/>
        <v>45924</v>
      </c>
      <c r="B181" s="156">
        <f>YEAR(Table13[[#This Row],[Date]])+IF(MONTH(Table13[[#This Row],[Date]])&gt;=4,1,0)</f>
        <v>2026</v>
      </c>
      <c r="C181" s="129">
        <f>YEAR(Table13[[#This Row],[Date]])</f>
        <v>2025</v>
      </c>
      <c r="D181" s="157">
        <f>Table13[[#This Row],[Date]]-DAY(Table13[[#This Row],[Date]])+1</f>
        <v>45901</v>
      </c>
      <c r="E181" s="129">
        <f t="shared" si="12"/>
        <v>30</v>
      </c>
      <c r="F181" s="130" t="str">
        <f>IFERROR(_xlfn.XLOOKUP($A181,'Raw Data'!$G:$G,'Raw Data'!$AH:$AH),"")</f>
        <v/>
      </c>
      <c r="G181" s="131" t="str">
        <f>IFERROR(_xlfn.XLOOKUP($A181,'Raw Data'!$G:$G,'Raw Data'!$S:$S)/1000,"")</f>
        <v/>
      </c>
      <c r="H181" s="131"/>
      <c r="I181" s="131" t="str">
        <f>IFERROR(_xlfn.XLOOKUP($A181,'Raw Data'!$G:$G,'Raw Data'!$AF:$AF)/1000,"")</f>
        <v/>
      </c>
      <c r="J181" s="131"/>
      <c r="K181" s="131" t="str">
        <f>IFERROR(_xlfn.XLOOKUP($A181,'Raw Data'!$G:$G,'Raw Data'!W:W),"")</f>
        <v/>
      </c>
      <c r="L181" s="131" t="str">
        <f>IFERROR(_xlfn.XLOOKUP($A181,'Raw Data'!$G:$G,'Raw Data'!X:X),"")</f>
        <v/>
      </c>
      <c r="M181" s="131" t="str">
        <f>IFERROR(_xlfn.XLOOKUP($A181,'Raw Data'!$G:$G,'Raw Data'!Y:Y),"")</f>
        <v/>
      </c>
      <c r="N181" s="131" t="str">
        <f>IFERROR(_xlfn.XLOOKUP($A181,'Raw Data'!$G:$G,'Raw Data'!Z:Z),"")</f>
        <v/>
      </c>
      <c r="O181" s="158" t="str">
        <f>IFERROR(1-SUMIF('Plant BD'!$H:$H,$A181,'Plant BD'!AC:AC)/$F181,"")</f>
        <v/>
      </c>
      <c r="P181" s="158"/>
      <c r="Q181" s="159"/>
      <c r="R181" s="158" t="str">
        <f>IFERROR(1-SUMIF('Grid BD'!$H:$H,$A181,'Grid BD'!AB:AB)/$F181,"")</f>
        <v/>
      </c>
      <c r="T181" s="159" t="str">
        <f>IFERROR(1-SUMIF(Tracker_BD!$H:$H,$A181,Tracker_BD!AI:AI)/$F181,"")</f>
        <v/>
      </c>
      <c r="U181" s="160" t="str">
        <f t="shared" si="9"/>
        <v/>
      </c>
      <c r="V181" s="160"/>
      <c r="W181" s="161" t="str">
        <f t="shared" si="10"/>
        <v/>
      </c>
      <c r="X181" s="156" t="str">
        <f>IFERROR(_xlfn.XLOOKUP($A181,'Raw Data'!$G:$G,'Raw Data'!$AB:$AB),"")</f>
        <v/>
      </c>
      <c r="Y181" s="156" t="str">
        <f>IFERROR(_xlfn.XLOOKUP($A181,'Raw Data'!$G:$G,'Raw Data'!AC:AC),"")</f>
        <v/>
      </c>
      <c r="Z181" s="156" t="str">
        <f>IFERROR(_xlfn.XLOOKUP($A181,'Raw Data'!$G:$G,'Raw Data'!AD:AD),"")</f>
        <v/>
      </c>
      <c r="AA181" s="156" t="str">
        <f>IFERROR(_xlfn.XLOOKUP($A181,'Raw Data'!$G:$G,'Raw Data'!AE:AE),"")</f>
        <v/>
      </c>
      <c r="AB181" s="156" t="str">
        <f>IFERROR(_xlfn.XLOOKUP($A181,'Raw Data'!$G:$G,'Raw Data'!$H:$H),"")</f>
        <v/>
      </c>
      <c r="AC181" s="162">
        <f>IFERROR(_xlfn.XLOOKUP($D181,'Modelling New'!$D:$D,'Modelling New'!$P:$P),"")</f>
        <v>5.5049609600000018</v>
      </c>
      <c r="AD181" s="156">
        <f>IFERROR(_xlfn.XLOOKUP($D181,'Modelling New'!$D:$D,'Modelling New'!$T:$T)*1000,"")</f>
        <v>47057.046080205721</v>
      </c>
      <c r="AE181" s="163">
        <f>IFERROR(_xlfn.XLOOKUP($D181,'Modelling New'!$D:$D,'Modelling New'!$O:$O),"")</f>
        <v>0.72936145233565186</v>
      </c>
      <c r="AF181" s="163">
        <f>IFERROR(_xlfn.XLOOKUP($D181,'Modelling New'!$D:$D,'Modelling New'!$W:$W),"")</f>
        <v>0.16729609670152773</v>
      </c>
      <c r="AG181" s="163">
        <f>IFERROR(_xlfn.XLOOKUP($D181,'Modelling New'!$D:$D,'Modelling New'!AE:AE),"")</f>
        <v>0.995</v>
      </c>
      <c r="AH181" s="163">
        <f>IFERROR(_xlfn.XLOOKUP($D181,'Modelling New'!$D:$D,'Modelling New'!AF:AF),"")</f>
        <v>0.98550000000000004</v>
      </c>
      <c r="AN181" s="164"/>
      <c r="AO181" s="161"/>
      <c r="AP181" s="161"/>
      <c r="AQ181" s="161"/>
      <c r="AR181" s="156">
        <f>IFERROR(_xlfn.XLOOKUP($D181,'Modelling New'!$D:$D,'Modelling New'!$N:$N),"")</f>
        <v>11.72</v>
      </c>
    </row>
    <row r="182" spans="1:44">
      <c r="A182" s="155">
        <f t="shared" si="11"/>
        <v>45925</v>
      </c>
      <c r="B182" s="156">
        <f>YEAR(Table13[[#This Row],[Date]])+IF(MONTH(Table13[[#This Row],[Date]])&gt;=4,1,0)</f>
        <v>2026</v>
      </c>
      <c r="C182" s="129">
        <f>YEAR(Table13[[#This Row],[Date]])</f>
        <v>2025</v>
      </c>
      <c r="D182" s="157">
        <f>Table13[[#This Row],[Date]]-DAY(Table13[[#This Row],[Date]])+1</f>
        <v>45901</v>
      </c>
      <c r="E182" s="129">
        <f t="shared" si="12"/>
        <v>30</v>
      </c>
      <c r="F182" s="130" t="str">
        <f>IFERROR(_xlfn.XLOOKUP($A182,'Raw Data'!$G:$G,'Raw Data'!$AH:$AH),"")</f>
        <v/>
      </c>
      <c r="G182" s="131" t="str">
        <f>IFERROR(_xlfn.XLOOKUP($A182,'Raw Data'!$G:$G,'Raw Data'!$S:$S)/1000,"")</f>
        <v/>
      </c>
      <c r="H182" s="131"/>
      <c r="I182" s="131" t="str">
        <f>IFERROR(_xlfn.XLOOKUP($A182,'Raw Data'!$G:$G,'Raw Data'!$AF:$AF)/1000,"")</f>
        <v/>
      </c>
      <c r="J182" s="131"/>
      <c r="K182" s="131" t="str">
        <f>IFERROR(_xlfn.XLOOKUP($A182,'Raw Data'!$G:$G,'Raw Data'!W:W),"")</f>
        <v/>
      </c>
      <c r="L182" s="131" t="str">
        <f>IFERROR(_xlfn.XLOOKUP($A182,'Raw Data'!$G:$G,'Raw Data'!X:X),"")</f>
        <v/>
      </c>
      <c r="M182" s="131" t="str">
        <f>IFERROR(_xlfn.XLOOKUP($A182,'Raw Data'!$G:$G,'Raw Data'!Y:Y),"")</f>
        <v/>
      </c>
      <c r="N182" s="131" t="str">
        <f>IFERROR(_xlfn.XLOOKUP($A182,'Raw Data'!$G:$G,'Raw Data'!Z:Z),"")</f>
        <v/>
      </c>
      <c r="O182" s="158" t="str">
        <f>IFERROR(1-SUMIF('Plant BD'!$H:$H,$A182,'Plant BD'!AC:AC)/$F182,"")</f>
        <v/>
      </c>
      <c r="P182" s="158"/>
      <c r="Q182" s="159"/>
      <c r="R182" s="158" t="str">
        <f>IFERROR(1-SUMIF('Grid BD'!$H:$H,$A182,'Grid BD'!AB:AB)/$F182,"")</f>
        <v/>
      </c>
      <c r="T182" s="159" t="str">
        <f>IFERROR(1-SUMIF(Tracker_BD!$H:$H,$A182,Tracker_BD!AI:AI)/$F182,"")</f>
        <v/>
      </c>
      <c r="U182" s="160" t="str">
        <f t="shared" si="9"/>
        <v/>
      </c>
      <c r="V182" s="160"/>
      <c r="W182" s="161" t="str">
        <f t="shared" si="10"/>
        <v/>
      </c>
      <c r="X182" s="156" t="str">
        <f>IFERROR(_xlfn.XLOOKUP($A182,'Raw Data'!$G:$G,'Raw Data'!$AB:$AB),"")</f>
        <v/>
      </c>
      <c r="Y182" s="156" t="str">
        <f>IFERROR(_xlfn.XLOOKUP($A182,'Raw Data'!$G:$G,'Raw Data'!AC:AC),"")</f>
        <v/>
      </c>
      <c r="Z182" s="156" t="str">
        <f>IFERROR(_xlfn.XLOOKUP($A182,'Raw Data'!$G:$G,'Raw Data'!AD:AD),"")</f>
        <v/>
      </c>
      <c r="AA182" s="156" t="str">
        <f>IFERROR(_xlfn.XLOOKUP($A182,'Raw Data'!$G:$G,'Raw Data'!AE:AE),"")</f>
        <v/>
      </c>
      <c r="AB182" s="156" t="str">
        <f>IFERROR(_xlfn.XLOOKUP($A182,'Raw Data'!$G:$G,'Raw Data'!$H:$H),"")</f>
        <v/>
      </c>
      <c r="AC182" s="162">
        <f>IFERROR(_xlfn.XLOOKUP($D182,'Modelling New'!$D:$D,'Modelling New'!$P:$P),"")</f>
        <v>5.5049609600000018</v>
      </c>
      <c r="AD182" s="156">
        <f>IFERROR(_xlfn.XLOOKUP($D182,'Modelling New'!$D:$D,'Modelling New'!$T:$T)*1000,"")</f>
        <v>47057.046080205721</v>
      </c>
      <c r="AE182" s="163">
        <f>IFERROR(_xlfn.XLOOKUP($D182,'Modelling New'!$D:$D,'Modelling New'!$O:$O),"")</f>
        <v>0.72936145233565186</v>
      </c>
      <c r="AF182" s="163">
        <f>IFERROR(_xlfn.XLOOKUP($D182,'Modelling New'!$D:$D,'Modelling New'!$W:$W),"")</f>
        <v>0.16729609670152773</v>
      </c>
      <c r="AG182" s="163">
        <f>IFERROR(_xlfn.XLOOKUP($D182,'Modelling New'!$D:$D,'Modelling New'!AE:AE),"")</f>
        <v>0.995</v>
      </c>
      <c r="AH182" s="163">
        <f>IFERROR(_xlfn.XLOOKUP($D182,'Modelling New'!$D:$D,'Modelling New'!AF:AF),"")</f>
        <v>0.98550000000000004</v>
      </c>
      <c r="AN182" s="164"/>
      <c r="AO182" s="161"/>
      <c r="AP182" s="161"/>
      <c r="AQ182" s="161"/>
      <c r="AR182" s="156">
        <f>IFERROR(_xlfn.XLOOKUP($D182,'Modelling New'!$D:$D,'Modelling New'!$N:$N),"")</f>
        <v>11.72</v>
      </c>
    </row>
    <row r="183" spans="1:44">
      <c r="A183" s="155">
        <f t="shared" si="11"/>
        <v>45926</v>
      </c>
      <c r="B183" s="156">
        <f>YEAR(Table13[[#This Row],[Date]])+IF(MONTH(Table13[[#This Row],[Date]])&gt;=4,1,0)</f>
        <v>2026</v>
      </c>
      <c r="C183" s="129">
        <f>YEAR(Table13[[#This Row],[Date]])</f>
        <v>2025</v>
      </c>
      <c r="D183" s="157">
        <f>Table13[[#This Row],[Date]]-DAY(Table13[[#This Row],[Date]])+1</f>
        <v>45901</v>
      </c>
      <c r="E183" s="129">
        <f t="shared" si="12"/>
        <v>30</v>
      </c>
      <c r="F183" s="130" t="str">
        <f>IFERROR(_xlfn.XLOOKUP($A183,'Raw Data'!$G:$G,'Raw Data'!$AH:$AH),"")</f>
        <v/>
      </c>
      <c r="G183" s="131" t="str">
        <f>IFERROR(_xlfn.XLOOKUP($A183,'Raw Data'!$G:$G,'Raw Data'!$S:$S)/1000,"")</f>
        <v/>
      </c>
      <c r="H183" s="131"/>
      <c r="I183" s="131" t="str">
        <f>IFERROR(_xlfn.XLOOKUP($A183,'Raw Data'!$G:$G,'Raw Data'!$AF:$AF)/1000,"")</f>
        <v/>
      </c>
      <c r="J183" s="131"/>
      <c r="K183" s="131" t="str">
        <f>IFERROR(_xlfn.XLOOKUP($A183,'Raw Data'!$G:$G,'Raw Data'!W:W),"")</f>
        <v/>
      </c>
      <c r="L183" s="131" t="str">
        <f>IFERROR(_xlfn.XLOOKUP($A183,'Raw Data'!$G:$G,'Raw Data'!X:X),"")</f>
        <v/>
      </c>
      <c r="M183" s="131" t="str">
        <f>IFERROR(_xlfn.XLOOKUP($A183,'Raw Data'!$G:$G,'Raw Data'!Y:Y),"")</f>
        <v/>
      </c>
      <c r="N183" s="131" t="str">
        <f>IFERROR(_xlfn.XLOOKUP($A183,'Raw Data'!$G:$G,'Raw Data'!Z:Z),"")</f>
        <v/>
      </c>
      <c r="O183" s="158" t="str">
        <f>IFERROR(1-SUMIF('Plant BD'!$H:$H,$A183,'Plant BD'!AC:AC)/$F183,"")</f>
        <v/>
      </c>
      <c r="P183" s="158"/>
      <c r="Q183" s="159"/>
      <c r="R183" s="158" t="str">
        <f>IFERROR(1-SUMIF('Grid BD'!$H:$H,$A183,'Grid BD'!AB:AB)/$F183,"")</f>
        <v/>
      </c>
      <c r="T183" s="159" t="str">
        <f>IFERROR(1-SUMIF(Tracker_BD!$H:$H,$A183,Tracker_BD!AI:AI)/$F183,"")</f>
        <v/>
      </c>
      <c r="U183" s="160" t="str">
        <f t="shared" si="9"/>
        <v/>
      </c>
      <c r="V183" s="160"/>
      <c r="W183" s="161" t="str">
        <f t="shared" si="10"/>
        <v/>
      </c>
      <c r="X183" s="156" t="str">
        <f>IFERROR(_xlfn.XLOOKUP($A183,'Raw Data'!$G:$G,'Raw Data'!$AB:$AB),"")</f>
        <v/>
      </c>
      <c r="Y183" s="156" t="str">
        <f>IFERROR(_xlfn.XLOOKUP($A183,'Raw Data'!$G:$G,'Raw Data'!AC:AC),"")</f>
        <v/>
      </c>
      <c r="Z183" s="156" t="str">
        <f>IFERROR(_xlfn.XLOOKUP($A183,'Raw Data'!$G:$G,'Raw Data'!AD:AD),"")</f>
        <v/>
      </c>
      <c r="AA183" s="156" t="str">
        <f>IFERROR(_xlfn.XLOOKUP($A183,'Raw Data'!$G:$G,'Raw Data'!AE:AE),"")</f>
        <v/>
      </c>
      <c r="AB183" s="156" t="str">
        <f>IFERROR(_xlfn.XLOOKUP($A183,'Raw Data'!$G:$G,'Raw Data'!$H:$H),"")</f>
        <v/>
      </c>
      <c r="AC183" s="162">
        <f>IFERROR(_xlfn.XLOOKUP($D183,'Modelling New'!$D:$D,'Modelling New'!$P:$P),"")</f>
        <v>5.5049609600000018</v>
      </c>
      <c r="AD183" s="156">
        <f>IFERROR(_xlfn.XLOOKUP($D183,'Modelling New'!$D:$D,'Modelling New'!$T:$T)*1000,"")</f>
        <v>47057.046080205721</v>
      </c>
      <c r="AE183" s="163">
        <f>IFERROR(_xlfn.XLOOKUP($D183,'Modelling New'!$D:$D,'Modelling New'!$O:$O),"")</f>
        <v>0.72936145233565186</v>
      </c>
      <c r="AF183" s="163">
        <f>IFERROR(_xlfn.XLOOKUP($D183,'Modelling New'!$D:$D,'Modelling New'!$W:$W),"")</f>
        <v>0.16729609670152773</v>
      </c>
      <c r="AG183" s="163">
        <f>IFERROR(_xlfn.XLOOKUP($D183,'Modelling New'!$D:$D,'Modelling New'!AE:AE),"")</f>
        <v>0.995</v>
      </c>
      <c r="AH183" s="163">
        <f>IFERROR(_xlfn.XLOOKUP($D183,'Modelling New'!$D:$D,'Modelling New'!AF:AF),"")</f>
        <v>0.98550000000000004</v>
      </c>
      <c r="AN183" s="164"/>
      <c r="AO183" s="161"/>
      <c r="AP183" s="161"/>
      <c r="AQ183" s="161"/>
      <c r="AR183" s="156">
        <f>IFERROR(_xlfn.XLOOKUP($D183,'Modelling New'!$D:$D,'Modelling New'!$N:$N),"")</f>
        <v>11.72</v>
      </c>
    </row>
    <row r="184" spans="1:44">
      <c r="A184" s="155">
        <f t="shared" si="11"/>
        <v>45927</v>
      </c>
      <c r="B184" s="156">
        <f>YEAR(Table13[[#This Row],[Date]])+IF(MONTH(Table13[[#This Row],[Date]])&gt;=4,1,0)</f>
        <v>2026</v>
      </c>
      <c r="C184" s="129">
        <f>YEAR(Table13[[#This Row],[Date]])</f>
        <v>2025</v>
      </c>
      <c r="D184" s="157">
        <f>Table13[[#This Row],[Date]]-DAY(Table13[[#This Row],[Date]])+1</f>
        <v>45901</v>
      </c>
      <c r="E184" s="129">
        <f t="shared" si="12"/>
        <v>30</v>
      </c>
      <c r="F184" s="130" t="str">
        <f>IFERROR(_xlfn.XLOOKUP($A184,'Raw Data'!$G:$G,'Raw Data'!$AH:$AH),"")</f>
        <v/>
      </c>
      <c r="G184" s="131" t="str">
        <f>IFERROR(_xlfn.XLOOKUP($A184,'Raw Data'!$G:$G,'Raw Data'!$S:$S)/1000,"")</f>
        <v/>
      </c>
      <c r="H184" s="131"/>
      <c r="I184" s="131" t="str">
        <f>IFERROR(_xlfn.XLOOKUP($A184,'Raw Data'!$G:$G,'Raw Data'!$AF:$AF)/1000,"")</f>
        <v/>
      </c>
      <c r="J184" s="131"/>
      <c r="K184" s="131" t="str">
        <f>IFERROR(_xlfn.XLOOKUP($A184,'Raw Data'!$G:$G,'Raw Data'!W:W),"")</f>
        <v/>
      </c>
      <c r="L184" s="131" t="str">
        <f>IFERROR(_xlfn.XLOOKUP($A184,'Raw Data'!$G:$G,'Raw Data'!X:X),"")</f>
        <v/>
      </c>
      <c r="M184" s="131" t="str">
        <f>IFERROR(_xlfn.XLOOKUP($A184,'Raw Data'!$G:$G,'Raw Data'!Y:Y),"")</f>
        <v/>
      </c>
      <c r="N184" s="131" t="str">
        <f>IFERROR(_xlfn.XLOOKUP($A184,'Raw Data'!$G:$G,'Raw Data'!Z:Z),"")</f>
        <v/>
      </c>
      <c r="O184" s="158" t="str">
        <f>IFERROR(1-SUMIF('Plant BD'!$H:$H,$A184,'Plant BD'!AC:AC)/$F184,"")</f>
        <v/>
      </c>
      <c r="P184" s="158"/>
      <c r="Q184" s="159"/>
      <c r="R184" s="158" t="str">
        <f>IFERROR(1-SUMIF('Grid BD'!$H:$H,$A184,'Grid BD'!AB:AB)/$F184,"")</f>
        <v/>
      </c>
      <c r="T184" s="159" t="str">
        <f>IFERROR(1-SUMIF(Tracker_BD!$H:$H,$A184,Tracker_BD!AI:AI)/$F184,"")</f>
        <v/>
      </c>
      <c r="U184" s="160" t="str">
        <f t="shared" si="9"/>
        <v/>
      </c>
      <c r="V184" s="160"/>
      <c r="W184" s="161" t="str">
        <f t="shared" si="10"/>
        <v/>
      </c>
      <c r="X184" s="156" t="str">
        <f>IFERROR(_xlfn.XLOOKUP($A184,'Raw Data'!$G:$G,'Raw Data'!$AB:$AB),"")</f>
        <v/>
      </c>
      <c r="Y184" s="156" t="str">
        <f>IFERROR(_xlfn.XLOOKUP($A184,'Raw Data'!$G:$G,'Raw Data'!AC:AC),"")</f>
        <v/>
      </c>
      <c r="Z184" s="156" t="str">
        <f>IFERROR(_xlfn.XLOOKUP($A184,'Raw Data'!$G:$G,'Raw Data'!AD:AD),"")</f>
        <v/>
      </c>
      <c r="AA184" s="156" t="str">
        <f>IFERROR(_xlfn.XLOOKUP($A184,'Raw Data'!$G:$G,'Raw Data'!AE:AE),"")</f>
        <v/>
      </c>
      <c r="AB184" s="156" t="str">
        <f>IFERROR(_xlfn.XLOOKUP($A184,'Raw Data'!$G:$G,'Raw Data'!$H:$H),"")</f>
        <v/>
      </c>
      <c r="AC184" s="162">
        <f>IFERROR(_xlfn.XLOOKUP($D184,'Modelling New'!$D:$D,'Modelling New'!$P:$P),"")</f>
        <v>5.5049609600000018</v>
      </c>
      <c r="AD184" s="156">
        <f>IFERROR(_xlfn.XLOOKUP($D184,'Modelling New'!$D:$D,'Modelling New'!$T:$T)*1000,"")</f>
        <v>47057.046080205721</v>
      </c>
      <c r="AE184" s="163">
        <f>IFERROR(_xlfn.XLOOKUP($D184,'Modelling New'!$D:$D,'Modelling New'!$O:$O),"")</f>
        <v>0.72936145233565186</v>
      </c>
      <c r="AF184" s="163">
        <f>IFERROR(_xlfn.XLOOKUP($D184,'Modelling New'!$D:$D,'Modelling New'!$W:$W),"")</f>
        <v>0.16729609670152773</v>
      </c>
      <c r="AG184" s="163">
        <f>IFERROR(_xlfn.XLOOKUP($D184,'Modelling New'!$D:$D,'Modelling New'!AE:AE),"")</f>
        <v>0.995</v>
      </c>
      <c r="AH184" s="163">
        <f>IFERROR(_xlfn.XLOOKUP($D184,'Modelling New'!$D:$D,'Modelling New'!AF:AF),"")</f>
        <v>0.98550000000000004</v>
      </c>
      <c r="AN184" s="164"/>
      <c r="AO184" s="161"/>
      <c r="AP184" s="161"/>
      <c r="AQ184" s="161"/>
      <c r="AR184" s="156">
        <f>IFERROR(_xlfn.XLOOKUP($D184,'Modelling New'!$D:$D,'Modelling New'!$N:$N),"")</f>
        <v>11.72</v>
      </c>
    </row>
    <row r="185" spans="1:44">
      <c r="A185" s="155">
        <f t="shared" si="11"/>
        <v>45928</v>
      </c>
      <c r="B185" s="156">
        <f>YEAR(Table13[[#This Row],[Date]])+IF(MONTH(Table13[[#This Row],[Date]])&gt;=4,1,0)</f>
        <v>2026</v>
      </c>
      <c r="C185" s="129">
        <f>YEAR(Table13[[#This Row],[Date]])</f>
        <v>2025</v>
      </c>
      <c r="D185" s="157">
        <f>Table13[[#This Row],[Date]]-DAY(Table13[[#This Row],[Date]])+1</f>
        <v>45901</v>
      </c>
      <c r="E185" s="129">
        <f t="shared" si="12"/>
        <v>30</v>
      </c>
      <c r="F185" s="130" t="str">
        <f>IFERROR(_xlfn.XLOOKUP($A185,'Raw Data'!$G:$G,'Raw Data'!$AH:$AH),"")</f>
        <v/>
      </c>
      <c r="G185" s="131" t="str">
        <f>IFERROR(_xlfn.XLOOKUP($A185,'Raw Data'!$G:$G,'Raw Data'!$S:$S)/1000,"")</f>
        <v/>
      </c>
      <c r="H185" s="131"/>
      <c r="I185" s="131" t="str">
        <f>IFERROR(_xlfn.XLOOKUP($A185,'Raw Data'!$G:$G,'Raw Data'!$AF:$AF)/1000,"")</f>
        <v/>
      </c>
      <c r="J185" s="131"/>
      <c r="K185" s="131" t="str">
        <f>IFERROR(_xlfn.XLOOKUP($A185,'Raw Data'!$G:$G,'Raw Data'!W:W),"")</f>
        <v/>
      </c>
      <c r="L185" s="131" t="str">
        <f>IFERROR(_xlfn.XLOOKUP($A185,'Raw Data'!$G:$G,'Raw Data'!X:X),"")</f>
        <v/>
      </c>
      <c r="M185" s="131" t="str">
        <f>IFERROR(_xlfn.XLOOKUP($A185,'Raw Data'!$G:$G,'Raw Data'!Y:Y),"")</f>
        <v/>
      </c>
      <c r="N185" s="131" t="str">
        <f>IFERROR(_xlfn.XLOOKUP($A185,'Raw Data'!$G:$G,'Raw Data'!Z:Z),"")</f>
        <v/>
      </c>
      <c r="O185" s="158" t="str">
        <f>IFERROR(1-SUMIF('Plant BD'!$H:$H,$A185,'Plant BD'!AC:AC)/$F185,"")</f>
        <v/>
      </c>
      <c r="P185" s="158"/>
      <c r="Q185" s="159"/>
      <c r="R185" s="158" t="str">
        <f>IFERROR(1-SUMIF('Grid BD'!$H:$H,$A185,'Grid BD'!AB:AB)/$F185,"")</f>
        <v/>
      </c>
      <c r="T185" s="159" t="str">
        <f>IFERROR(1-SUMIF(Tracker_BD!$H:$H,$A185,Tracker_BD!AI:AI)/$F185,"")</f>
        <v/>
      </c>
      <c r="U185" s="160" t="str">
        <f t="shared" si="9"/>
        <v/>
      </c>
      <c r="V185" s="160"/>
      <c r="W185" s="161" t="str">
        <f t="shared" si="10"/>
        <v/>
      </c>
      <c r="X185" s="156" t="str">
        <f>IFERROR(_xlfn.XLOOKUP($A185,'Raw Data'!$G:$G,'Raw Data'!$AB:$AB),"")</f>
        <v/>
      </c>
      <c r="Y185" s="156" t="str">
        <f>IFERROR(_xlfn.XLOOKUP($A185,'Raw Data'!$G:$G,'Raw Data'!AC:AC),"")</f>
        <v/>
      </c>
      <c r="Z185" s="156" t="str">
        <f>IFERROR(_xlfn.XLOOKUP($A185,'Raw Data'!$G:$G,'Raw Data'!AD:AD),"")</f>
        <v/>
      </c>
      <c r="AA185" s="156" t="str">
        <f>IFERROR(_xlfn.XLOOKUP($A185,'Raw Data'!$G:$G,'Raw Data'!AE:AE),"")</f>
        <v/>
      </c>
      <c r="AB185" s="156" t="str">
        <f>IFERROR(_xlfn.XLOOKUP($A185,'Raw Data'!$G:$G,'Raw Data'!$H:$H),"")</f>
        <v/>
      </c>
      <c r="AC185" s="162">
        <f>IFERROR(_xlfn.XLOOKUP($D185,'Modelling New'!$D:$D,'Modelling New'!$P:$P),"")</f>
        <v>5.5049609600000018</v>
      </c>
      <c r="AD185" s="156">
        <f>IFERROR(_xlfn.XLOOKUP($D185,'Modelling New'!$D:$D,'Modelling New'!$T:$T)*1000,"")</f>
        <v>47057.046080205721</v>
      </c>
      <c r="AE185" s="163">
        <f>IFERROR(_xlfn.XLOOKUP($D185,'Modelling New'!$D:$D,'Modelling New'!$O:$O),"")</f>
        <v>0.72936145233565186</v>
      </c>
      <c r="AF185" s="163">
        <f>IFERROR(_xlfn.XLOOKUP($D185,'Modelling New'!$D:$D,'Modelling New'!$W:$W),"")</f>
        <v>0.16729609670152773</v>
      </c>
      <c r="AG185" s="163">
        <f>IFERROR(_xlfn.XLOOKUP($D185,'Modelling New'!$D:$D,'Modelling New'!AE:AE),"")</f>
        <v>0.995</v>
      </c>
      <c r="AH185" s="163">
        <f>IFERROR(_xlfn.XLOOKUP($D185,'Modelling New'!$D:$D,'Modelling New'!AF:AF),"")</f>
        <v>0.98550000000000004</v>
      </c>
      <c r="AN185" s="164"/>
      <c r="AO185" s="161"/>
      <c r="AP185" s="161"/>
      <c r="AQ185" s="161"/>
      <c r="AR185" s="156">
        <f>IFERROR(_xlfn.XLOOKUP($D185,'Modelling New'!$D:$D,'Modelling New'!$N:$N),"")</f>
        <v>11.72</v>
      </c>
    </row>
    <row r="186" spans="1:44">
      <c r="A186" s="155">
        <f t="shared" si="11"/>
        <v>45929</v>
      </c>
      <c r="B186" s="156">
        <f>YEAR(Table13[[#This Row],[Date]])+IF(MONTH(Table13[[#This Row],[Date]])&gt;=4,1,0)</f>
        <v>2026</v>
      </c>
      <c r="C186" s="129">
        <f>YEAR(Table13[[#This Row],[Date]])</f>
        <v>2025</v>
      </c>
      <c r="D186" s="157">
        <f>Table13[[#This Row],[Date]]-DAY(Table13[[#This Row],[Date]])+1</f>
        <v>45901</v>
      </c>
      <c r="E186" s="129">
        <f t="shared" si="12"/>
        <v>30</v>
      </c>
      <c r="F186" s="130" t="str">
        <f>IFERROR(_xlfn.XLOOKUP($A186,'Raw Data'!$G:$G,'Raw Data'!$AH:$AH),"")</f>
        <v/>
      </c>
      <c r="G186" s="131" t="str">
        <f>IFERROR(_xlfn.XLOOKUP($A186,'Raw Data'!$G:$G,'Raw Data'!$S:$S)/1000,"")</f>
        <v/>
      </c>
      <c r="H186" s="131"/>
      <c r="I186" s="131" t="str">
        <f>IFERROR(_xlfn.XLOOKUP($A186,'Raw Data'!$G:$G,'Raw Data'!$AF:$AF)/1000,"")</f>
        <v/>
      </c>
      <c r="J186" s="131"/>
      <c r="K186" s="131" t="str">
        <f>IFERROR(_xlfn.XLOOKUP($A186,'Raw Data'!$G:$G,'Raw Data'!W:W),"")</f>
        <v/>
      </c>
      <c r="L186" s="131" t="str">
        <f>IFERROR(_xlfn.XLOOKUP($A186,'Raw Data'!$G:$G,'Raw Data'!X:X),"")</f>
        <v/>
      </c>
      <c r="M186" s="131" t="str">
        <f>IFERROR(_xlfn.XLOOKUP($A186,'Raw Data'!$G:$G,'Raw Data'!Y:Y),"")</f>
        <v/>
      </c>
      <c r="N186" s="131" t="str">
        <f>IFERROR(_xlfn.XLOOKUP($A186,'Raw Data'!$G:$G,'Raw Data'!Z:Z),"")</f>
        <v/>
      </c>
      <c r="O186" s="158" t="str">
        <f>IFERROR(1-SUMIF('Plant BD'!$H:$H,$A186,'Plant BD'!AC:AC)/$F186,"")</f>
        <v/>
      </c>
      <c r="P186" s="158"/>
      <c r="Q186" s="159"/>
      <c r="R186" s="158" t="str">
        <f>IFERROR(1-SUMIF('Grid BD'!$H:$H,$A186,'Grid BD'!AB:AB)/$F186,"")</f>
        <v/>
      </c>
      <c r="T186" s="159" t="str">
        <f>IFERROR(1-SUMIF(Tracker_BD!$H:$H,$A186,Tracker_BD!AI:AI)/$F186,"")</f>
        <v/>
      </c>
      <c r="U186" s="160" t="str">
        <f t="shared" si="9"/>
        <v/>
      </c>
      <c r="V186" s="160"/>
      <c r="W186" s="161" t="str">
        <f t="shared" si="10"/>
        <v/>
      </c>
      <c r="X186" s="156" t="str">
        <f>IFERROR(_xlfn.XLOOKUP($A186,'Raw Data'!$G:$G,'Raw Data'!$AB:$AB),"")</f>
        <v/>
      </c>
      <c r="Y186" s="156" t="str">
        <f>IFERROR(_xlfn.XLOOKUP($A186,'Raw Data'!$G:$G,'Raw Data'!AC:AC),"")</f>
        <v/>
      </c>
      <c r="Z186" s="156" t="str">
        <f>IFERROR(_xlfn.XLOOKUP($A186,'Raw Data'!$G:$G,'Raw Data'!AD:AD),"")</f>
        <v/>
      </c>
      <c r="AA186" s="156" t="str">
        <f>IFERROR(_xlfn.XLOOKUP($A186,'Raw Data'!$G:$G,'Raw Data'!AE:AE),"")</f>
        <v/>
      </c>
      <c r="AB186" s="156" t="str">
        <f>IFERROR(_xlfn.XLOOKUP($A186,'Raw Data'!$G:$G,'Raw Data'!$H:$H),"")</f>
        <v/>
      </c>
      <c r="AC186" s="162">
        <f>IFERROR(_xlfn.XLOOKUP($D186,'Modelling New'!$D:$D,'Modelling New'!$P:$P),"")</f>
        <v>5.5049609600000018</v>
      </c>
      <c r="AD186" s="156">
        <f>IFERROR(_xlfn.XLOOKUP($D186,'Modelling New'!$D:$D,'Modelling New'!$T:$T)*1000,"")</f>
        <v>47057.046080205721</v>
      </c>
      <c r="AE186" s="163">
        <f>IFERROR(_xlfn.XLOOKUP($D186,'Modelling New'!$D:$D,'Modelling New'!$O:$O),"")</f>
        <v>0.72936145233565186</v>
      </c>
      <c r="AF186" s="163">
        <f>IFERROR(_xlfn.XLOOKUP($D186,'Modelling New'!$D:$D,'Modelling New'!$W:$W),"")</f>
        <v>0.16729609670152773</v>
      </c>
      <c r="AG186" s="163">
        <f>IFERROR(_xlfn.XLOOKUP($D186,'Modelling New'!$D:$D,'Modelling New'!AE:AE),"")</f>
        <v>0.995</v>
      </c>
      <c r="AH186" s="163">
        <f>IFERROR(_xlfn.XLOOKUP($D186,'Modelling New'!$D:$D,'Modelling New'!AF:AF),"")</f>
        <v>0.98550000000000004</v>
      </c>
      <c r="AN186" s="164"/>
      <c r="AO186" s="161"/>
      <c r="AP186" s="161"/>
      <c r="AQ186" s="161"/>
      <c r="AR186" s="156">
        <f>IFERROR(_xlfn.XLOOKUP($D186,'Modelling New'!$D:$D,'Modelling New'!$N:$N),"")</f>
        <v>11.72</v>
      </c>
    </row>
    <row r="187" spans="1:44">
      <c r="A187" s="155">
        <f t="shared" si="11"/>
        <v>45930</v>
      </c>
      <c r="B187" s="156">
        <f>YEAR(Table13[[#This Row],[Date]])+IF(MONTH(Table13[[#This Row],[Date]])&gt;=4,1,0)</f>
        <v>2026</v>
      </c>
      <c r="C187" s="129">
        <f>YEAR(Table13[[#This Row],[Date]])</f>
        <v>2025</v>
      </c>
      <c r="D187" s="157">
        <f>Table13[[#This Row],[Date]]-DAY(Table13[[#This Row],[Date]])+1</f>
        <v>45901</v>
      </c>
      <c r="E187" s="129">
        <f t="shared" si="12"/>
        <v>30</v>
      </c>
      <c r="F187" s="130" t="str">
        <f>IFERROR(_xlfn.XLOOKUP($A187,'Raw Data'!$G:$G,'Raw Data'!$AH:$AH),"")</f>
        <v/>
      </c>
      <c r="G187" s="131" t="str">
        <f>IFERROR(_xlfn.XLOOKUP($A187,'Raw Data'!$G:$G,'Raw Data'!$S:$S)/1000,"")</f>
        <v/>
      </c>
      <c r="H187" s="131"/>
      <c r="I187" s="131" t="str">
        <f>IFERROR(_xlfn.XLOOKUP($A187,'Raw Data'!$G:$G,'Raw Data'!$AF:$AF)/1000,"")</f>
        <v/>
      </c>
      <c r="J187" s="131"/>
      <c r="K187" s="131" t="str">
        <f>IFERROR(_xlfn.XLOOKUP($A187,'Raw Data'!$G:$G,'Raw Data'!W:W),"")</f>
        <v/>
      </c>
      <c r="L187" s="131" t="str">
        <f>IFERROR(_xlfn.XLOOKUP($A187,'Raw Data'!$G:$G,'Raw Data'!X:X),"")</f>
        <v/>
      </c>
      <c r="M187" s="131" t="str">
        <f>IFERROR(_xlfn.XLOOKUP($A187,'Raw Data'!$G:$G,'Raw Data'!Y:Y),"")</f>
        <v/>
      </c>
      <c r="N187" s="131" t="str">
        <f>IFERROR(_xlfn.XLOOKUP($A187,'Raw Data'!$G:$G,'Raw Data'!Z:Z),"")</f>
        <v/>
      </c>
      <c r="O187" s="158" t="str">
        <f>IFERROR(1-SUMIF('Plant BD'!$H:$H,$A187,'Plant BD'!AC:AC)/$F187,"")</f>
        <v/>
      </c>
      <c r="P187" s="158"/>
      <c r="Q187" s="159"/>
      <c r="R187" s="158" t="str">
        <f>IFERROR(1-SUMIF('Grid BD'!$H:$H,$A187,'Grid BD'!AB:AB)/$F187,"")</f>
        <v/>
      </c>
      <c r="T187" s="159" t="str">
        <f>IFERROR(1-SUMIF(Tracker_BD!$H:$H,$A187,Tracker_BD!AI:AI)/$F187,"")</f>
        <v/>
      </c>
      <c r="U187" s="160" t="str">
        <f t="shared" si="9"/>
        <v/>
      </c>
      <c r="V187" s="160"/>
      <c r="W187" s="161" t="str">
        <f t="shared" si="10"/>
        <v/>
      </c>
      <c r="X187" s="156" t="str">
        <f>IFERROR(_xlfn.XLOOKUP($A187,'Raw Data'!$G:$G,'Raw Data'!$AB:$AB),"")</f>
        <v/>
      </c>
      <c r="Y187" s="156" t="str">
        <f>IFERROR(_xlfn.XLOOKUP($A187,'Raw Data'!$G:$G,'Raw Data'!AC:AC),"")</f>
        <v/>
      </c>
      <c r="Z187" s="156" t="str">
        <f>IFERROR(_xlfn.XLOOKUP($A187,'Raw Data'!$G:$G,'Raw Data'!AD:AD),"")</f>
        <v/>
      </c>
      <c r="AA187" s="156" t="str">
        <f>IFERROR(_xlfn.XLOOKUP($A187,'Raw Data'!$G:$G,'Raw Data'!AE:AE),"")</f>
        <v/>
      </c>
      <c r="AB187" s="156" t="str">
        <f>IFERROR(_xlfn.XLOOKUP($A187,'Raw Data'!$G:$G,'Raw Data'!$H:$H),"")</f>
        <v/>
      </c>
      <c r="AC187" s="162">
        <f>IFERROR(_xlfn.XLOOKUP($D187,'Modelling New'!$D:$D,'Modelling New'!$P:$P),"")</f>
        <v>5.5049609600000018</v>
      </c>
      <c r="AD187" s="156">
        <f>IFERROR(_xlfn.XLOOKUP($D187,'Modelling New'!$D:$D,'Modelling New'!$T:$T)*1000,"")</f>
        <v>47057.046080205721</v>
      </c>
      <c r="AE187" s="163">
        <f>IFERROR(_xlfn.XLOOKUP($D187,'Modelling New'!$D:$D,'Modelling New'!$O:$O),"")</f>
        <v>0.72936145233565186</v>
      </c>
      <c r="AF187" s="163">
        <f>IFERROR(_xlfn.XLOOKUP($D187,'Modelling New'!$D:$D,'Modelling New'!$W:$W),"")</f>
        <v>0.16729609670152773</v>
      </c>
      <c r="AG187" s="163">
        <f>IFERROR(_xlfn.XLOOKUP($D187,'Modelling New'!$D:$D,'Modelling New'!AE:AE),"")</f>
        <v>0.995</v>
      </c>
      <c r="AH187" s="163">
        <f>IFERROR(_xlfn.XLOOKUP($D187,'Modelling New'!$D:$D,'Modelling New'!AF:AF),"")</f>
        <v>0.98550000000000004</v>
      </c>
      <c r="AN187" s="164"/>
      <c r="AO187" s="161"/>
      <c r="AP187" s="161"/>
      <c r="AQ187" s="161"/>
      <c r="AR187" s="156">
        <f>IFERROR(_xlfn.XLOOKUP($D187,'Modelling New'!$D:$D,'Modelling New'!$N:$N),"")</f>
        <v>11.72</v>
      </c>
    </row>
    <row r="188" spans="1:44">
      <c r="A188" s="155">
        <f t="shared" si="11"/>
        <v>45931</v>
      </c>
      <c r="B188" s="156">
        <f>YEAR(Table13[[#This Row],[Date]])+IF(MONTH(Table13[[#This Row],[Date]])&gt;=4,1,0)</f>
        <v>2026</v>
      </c>
      <c r="C188" s="129">
        <f>YEAR(Table13[[#This Row],[Date]])</f>
        <v>2025</v>
      </c>
      <c r="D188" s="157">
        <f>Table13[[#This Row],[Date]]-DAY(Table13[[#This Row],[Date]])+1</f>
        <v>45931</v>
      </c>
      <c r="E188" s="129">
        <f t="shared" si="12"/>
        <v>31</v>
      </c>
      <c r="F188" s="130" t="str">
        <f>IFERROR(_xlfn.XLOOKUP($A188,'Raw Data'!$G:$G,'Raw Data'!$AH:$AH),"")</f>
        <v/>
      </c>
      <c r="G188" s="131" t="str">
        <f>IFERROR(_xlfn.XLOOKUP($A188,'Raw Data'!$G:$G,'Raw Data'!$S:$S)/1000,"")</f>
        <v/>
      </c>
      <c r="H188" s="131"/>
      <c r="I188" s="131" t="str">
        <f>IFERROR(_xlfn.XLOOKUP($A188,'Raw Data'!$G:$G,'Raw Data'!$AF:$AF)/1000,"")</f>
        <v/>
      </c>
      <c r="J188" s="131"/>
      <c r="K188" s="131" t="str">
        <f>IFERROR(_xlfn.XLOOKUP($A188,'Raw Data'!$G:$G,'Raw Data'!W:W),"")</f>
        <v/>
      </c>
      <c r="L188" s="131" t="str">
        <f>IFERROR(_xlfn.XLOOKUP($A188,'Raw Data'!$G:$G,'Raw Data'!X:X),"")</f>
        <v/>
      </c>
      <c r="M188" s="131" t="str">
        <f>IFERROR(_xlfn.XLOOKUP($A188,'Raw Data'!$G:$G,'Raw Data'!Y:Y),"")</f>
        <v/>
      </c>
      <c r="N188" s="131" t="str">
        <f>IFERROR(_xlfn.XLOOKUP($A188,'Raw Data'!$G:$G,'Raw Data'!Z:Z),"")</f>
        <v/>
      </c>
      <c r="O188" s="158" t="str">
        <f>IFERROR(1-SUMIF('Plant BD'!$H:$H,$A188,'Plant BD'!AC:AC)/$F188,"")</f>
        <v/>
      </c>
      <c r="P188" s="158"/>
      <c r="Q188" s="159"/>
      <c r="R188" s="158" t="str">
        <f>IFERROR(1-SUMIF('Grid BD'!$H:$H,$A188,'Grid BD'!AB:AB)/$F188,"")</f>
        <v/>
      </c>
      <c r="T188" s="159" t="str">
        <f>IFERROR(1-SUMIF(Tracker_BD!$H:$H,$A188,Tracker_BD!AI:AI)/$F188,"")</f>
        <v/>
      </c>
      <c r="U188" s="160" t="str">
        <f t="shared" si="9"/>
        <v/>
      </c>
      <c r="V188" s="160"/>
      <c r="W188" s="161" t="str">
        <f t="shared" si="10"/>
        <v/>
      </c>
      <c r="X188" s="156" t="str">
        <f>IFERROR(_xlfn.XLOOKUP($A188,'Raw Data'!$G:$G,'Raw Data'!$AB:$AB),"")</f>
        <v/>
      </c>
      <c r="Y188" s="156" t="str">
        <f>IFERROR(_xlfn.XLOOKUP($A188,'Raw Data'!$G:$G,'Raw Data'!AC:AC),"")</f>
        <v/>
      </c>
      <c r="Z188" s="156" t="str">
        <f>IFERROR(_xlfn.XLOOKUP($A188,'Raw Data'!$G:$G,'Raw Data'!AD:AD),"")</f>
        <v/>
      </c>
      <c r="AA188" s="156" t="str">
        <f>IFERROR(_xlfn.XLOOKUP($A188,'Raw Data'!$G:$G,'Raw Data'!AE:AE),"")</f>
        <v/>
      </c>
      <c r="AB188" s="156" t="str">
        <f>IFERROR(_xlfn.XLOOKUP($A188,'Raw Data'!$G:$G,'Raw Data'!$H:$H),"")</f>
        <v/>
      </c>
      <c r="AC188" s="162">
        <f>IFERROR(_xlfn.XLOOKUP($D188,'Modelling New'!$D:$D,'Modelling New'!$P:$P),"")</f>
        <v>5.6456101129032259</v>
      </c>
      <c r="AD188" s="156">
        <f>IFERROR(_xlfn.XLOOKUP($D188,'Modelling New'!$D:$D,'Modelling New'!$T:$T)*1000,"")</f>
        <v>50360.911058047554</v>
      </c>
      <c r="AE188" s="163">
        <f>IFERROR(_xlfn.XLOOKUP($D188,'Modelling New'!$D:$D,'Modelling New'!$O:$O),"")</f>
        <v>0.76112341749431001</v>
      </c>
      <c r="AF188" s="163">
        <f>IFERROR(_xlfn.XLOOKUP($D188,'Modelling New'!$D:$D,'Modelling New'!$W:$W),"")</f>
        <v>0.17904191929055585</v>
      </c>
      <c r="AG188" s="163">
        <f>IFERROR(_xlfn.XLOOKUP($D188,'Modelling New'!$D:$D,'Modelling New'!AE:AE),"")</f>
        <v>0.995</v>
      </c>
      <c r="AH188" s="163">
        <f>IFERROR(_xlfn.XLOOKUP($D188,'Modelling New'!$D:$D,'Modelling New'!AF:AF),"")</f>
        <v>0.98550000000000004</v>
      </c>
      <c r="AN188" s="164"/>
      <c r="AO188" s="161"/>
      <c r="AP188" s="161"/>
      <c r="AQ188" s="161"/>
      <c r="AR188" s="156">
        <f>IFERROR(_xlfn.XLOOKUP($D188,'Modelling New'!$D:$D,'Modelling New'!$N:$N),"")</f>
        <v>11.72</v>
      </c>
    </row>
    <row r="189" spans="1:44">
      <c r="A189" s="155">
        <f t="shared" si="11"/>
        <v>45932</v>
      </c>
      <c r="B189" s="156">
        <f>YEAR(Table13[[#This Row],[Date]])+IF(MONTH(Table13[[#This Row],[Date]])&gt;=4,1,0)</f>
        <v>2026</v>
      </c>
      <c r="C189" s="129">
        <f>YEAR(Table13[[#This Row],[Date]])</f>
        <v>2025</v>
      </c>
      <c r="D189" s="157">
        <f>Table13[[#This Row],[Date]]-DAY(Table13[[#This Row],[Date]])+1</f>
        <v>45931</v>
      </c>
      <c r="E189" s="129">
        <f t="shared" si="12"/>
        <v>31</v>
      </c>
      <c r="F189" s="130" t="str">
        <f>IFERROR(_xlfn.XLOOKUP($A189,'Raw Data'!$G:$G,'Raw Data'!$AH:$AH),"")</f>
        <v/>
      </c>
      <c r="G189" s="131" t="str">
        <f>IFERROR(_xlfn.XLOOKUP($A189,'Raw Data'!$G:$G,'Raw Data'!$S:$S)/1000,"")</f>
        <v/>
      </c>
      <c r="H189" s="131"/>
      <c r="I189" s="131" t="str">
        <f>IFERROR(_xlfn.XLOOKUP($A189,'Raw Data'!$G:$G,'Raw Data'!$AF:$AF)/1000,"")</f>
        <v/>
      </c>
      <c r="J189" s="131"/>
      <c r="K189" s="131" t="str">
        <f>IFERROR(_xlfn.XLOOKUP($A189,'Raw Data'!$G:$G,'Raw Data'!W:W),"")</f>
        <v/>
      </c>
      <c r="L189" s="131" t="str">
        <f>IFERROR(_xlfn.XLOOKUP($A189,'Raw Data'!$G:$G,'Raw Data'!X:X),"")</f>
        <v/>
      </c>
      <c r="M189" s="131" t="str">
        <f>IFERROR(_xlfn.XLOOKUP($A189,'Raw Data'!$G:$G,'Raw Data'!Y:Y),"")</f>
        <v/>
      </c>
      <c r="N189" s="131" t="str">
        <f>IFERROR(_xlfn.XLOOKUP($A189,'Raw Data'!$G:$G,'Raw Data'!Z:Z),"")</f>
        <v/>
      </c>
      <c r="O189" s="158" t="str">
        <f>IFERROR(1-SUMIF('Plant BD'!$H:$H,$A189,'Plant BD'!AC:AC)/$F189,"")</f>
        <v/>
      </c>
      <c r="P189" s="158"/>
      <c r="Q189" s="159"/>
      <c r="R189" s="158" t="str">
        <f>IFERROR(1-SUMIF('Grid BD'!$H:$H,$A189,'Grid BD'!AB:AB)/$F189,"")</f>
        <v/>
      </c>
      <c r="T189" s="159" t="str">
        <f>IFERROR(1-SUMIF(Tracker_BD!$H:$H,$A189,Tracker_BD!AI:AI)/$F189,"")</f>
        <v/>
      </c>
      <c r="U189" s="160" t="str">
        <f t="shared" ref="U189:U252" si="13">IFERROR(AA189/I189/AB189/1000,"")</f>
        <v/>
      </c>
      <c r="V189" s="160"/>
      <c r="W189" s="161" t="str">
        <f t="shared" ref="W189:W252" si="14">IFERROR(AA189/(24*AR189*1000),"")</f>
        <v/>
      </c>
      <c r="X189" s="156" t="str">
        <f>IFERROR(_xlfn.XLOOKUP($A189,'Raw Data'!$G:$G,'Raw Data'!$AB:$AB),"")</f>
        <v/>
      </c>
      <c r="Y189" s="156" t="str">
        <f>IFERROR(_xlfn.XLOOKUP($A189,'Raw Data'!$G:$G,'Raw Data'!AC:AC),"")</f>
        <v/>
      </c>
      <c r="Z189" s="156" t="str">
        <f>IFERROR(_xlfn.XLOOKUP($A189,'Raw Data'!$G:$G,'Raw Data'!AD:AD),"")</f>
        <v/>
      </c>
      <c r="AA189" s="156" t="str">
        <f>IFERROR(_xlfn.XLOOKUP($A189,'Raw Data'!$G:$G,'Raw Data'!AE:AE),"")</f>
        <v/>
      </c>
      <c r="AB189" s="156" t="str">
        <f>IFERROR(_xlfn.XLOOKUP($A189,'Raw Data'!$G:$G,'Raw Data'!$H:$H),"")</f>
        <v/>
      </c>
      <c r="AC189" s="162">
        <f>IFERROR(_xlfn.XLOOKUP($D189,'Modelling New'!$D:$D,'Modelling New'!$P:$P),"")</f>
        <v>5.6456101129032259</v>
      </c>
      <c r="AD189" s="156">
        <f>IFERROR(_xlfn.XLOOKUP($D189,'Modelling New'!$D:$D,'Modelling New'!$T:$T)*1000,"")</f>
        <v>50360.911058047554</v>
      </c>
      <c r="AE189" s="163">
        <f>IFERROR(_xlfn.XLOOKUP($D189,'Modelling New'!$D:$D,'Modelling New'!$O:$O),"")</f>
        <v>0.76112341749431001</v>
      </c>
      <c r="AF189" s="163">
        <f>IFERROR(_xlfn.XLOOKUP($D189,'Modelling New'!$D:$D,'Modelling New'!$W:$W),"")</f>
        <v>0.17904191929055585</v>
      </c>
      <c r="AG189" s="163">
        <f>IFERROR(_xlfn.XLOOKUP($D189,'Modelling New'!$D:$D,'Modelling New'!AE:AE),"")</f>
        <v>0.995</v>
      </c>
      <c r="AH189" s="163">
        <f>IFERROR(_xlfn.XLOOKUP($D189,'Modelling New'!$D:$D,'Modelling New'!AF:AF),"")</f>
        <v>0.98550000000000004</v>
      </c>
      <c r="AN189" s="164"/>
      <c r="AO189" s="161"/>
      <c r="AP189" s="161"/>
      <c r="AQ189" s="161"/>
      <c r="AR189" s="156">
        <f>IFERROR(_xlfn.XLOOKUP($D189,'Modelling New'!$D:$D,'Modelling New'!$N:$N),"")</f>
        <v>11.72</v>
      </c>
    </row>
    <row r="190" spans="1:44">
      <c r="A190" s="155">
        <f t="shared" si="11"/>
        <v>45933</v>
      </c>
      <c r="B190" s="156">
        <f>YEAR(Table13[[#This Row],[Date]])+IF(MONTH(Table13[[#This Row],[Date]])&gt;=4,1,0)</f>
        <v>2026</v>
      </c>
      <c r="C190" s="129">
        <f>YEAR(Table13[[#This Row],[Date]])</f>
        <v>2025</v>
      </c>
      <c r="D190" s="157">
        <f>Table13[[#This Row],[Date]]-DAY(Table13[[#This Row],[Date]])+1</f>
        <v>45931</v>
      </c>
      <c r="E190" s="129">
        <f t="shared" si="12"/>
        <v>31</v>
      </c>
      <c r="F190" s="130" t="str">
        <f>IFERROR(_xlfn.XLOOKUP($A190,'Raw Data'!$G:$G,'Raw Data'!$AH:$AH),"")</f>
        <v/>
      </c>
      <c r="G190" s="131" t="str">
        <f>IFERROR(_xlfn.XLOOKUP($A190,'Raw Data'!$G:$G,'Raw Data'!$S:$S)/1000,"")</f>
        <v/>
      </c>
      <c r="H190" s="131"/>
      <c r="I190" s="131" t="str">
        <f>IFERROR(_xlfn.XLOOKUP($A190,'Raw Data'!$G:$G,'Raw Data'!$AF:$AF)/1000,"")</f>
        <v/>
      </c>
      <c r="J190" s="131"/>
      <c r="K190" s="131" t="str">
        <f>IFERROR(_xlfn.XLOOKUP($A190,'Raw Data'!$G:$G,'Raw Data'!W:W),"")</f>
        <v/>
      </c>
      <c r="L190" s="131" t="str">
        <f>IFERROR(_xlfn.XLOOKUP($A190,'Raw Data'!$G:$G,'Raw Data'!X:X),"")</f>
        <v/>
      </c>
      <c r="M190" s="131" t="str">
        <f>IFERROR(_xlfn.XLOOKUP($A190,'Raw Data'!$G:$G,'Raw Data'!Y:Y),"")</f>
        <v/>
      </c>
      <c r="N190" s="131" t="str">
        <f>IFERROR(_xlfn.XLOOKUP($A190,'Raw Data'!$G:$G,'Raw Data'!Z:Z),"")</f>
        <v/>
      </c>
      <c r="O190" s="158" t="str">
        <f>IFERROR(1-SUMIF('Plant BD'!$H:$H,$A190,'Plant BD'!AC:AC)/$F190,"")</f>
        <v/>
      </c>
      <c r="P190" s="158"/>
      <c r="Q190" s="159"/>
      <c r="R190" s="158" t="str">
        <f>IFERROR(1-SUMIF('Grid BD'!$H:$H,$A190,'Grid BD'!AB:AB)/$F190,"")</f>
        <v/>
      </c>
      <c r="T190" s="159" t="str">
        <f>IFERROR(1-SUMIF(Tracker_BD!$H:$H,$A190,Tracker_BD!AI:AI)/$F190,"")</f>
        <v/>
      </c>
      <c r="U190" s="160" t="str">
        <f t="shared" si="13"/>
        <v/>
      </c>
      <c r="V190" s="160"/>
      <c r="W190" s="161" t="str">
        <f t="shared" si="14"/>
        <v/>
      </c>
      <c r="X190" s="156" t="str">
        <f>IFERROR(_xlfn.XLOOKUP($A190,'Raw Data'!$G:$G,'Raw Data'!$AB:$AB),"")</f>
        <v/>
      </c>
      <c r="Y190" s="156" t="str">
        <f>IFERROR(_xlfn.XLOOKUP($A190,'Raw Data'!$G:$G,'Raw Data'!AC:AC),"")</f>
        <v/>
      </c>
      <c r="Z190" s="156" t="str">
        <f>IFERROR(_xlfn.XLOOKUP($A190,'Raw Data'!$G:$G,'Raw Data'!AD:AD),"")</f>
        <v/>
      </c>
      <c r="AA190" s="156" t="str">
        <f>IFERROR(_xlfn.XLOOKUP($A190,'Raw Data'!$G:$G,'Raw Data'!AE:AE),"")</f>
        <v/>
      </c>
      <c r="AB190" s="156" t="str">
        <f>IFERROR(_xlfn.XLOOKUP($A190,'Raw Data'!$G:$G,'Raw Data'!$H:$H),"")</f>
        <v/>
      </c>
      <c r="AC190" s="162">
        <f>IFERROR(_xlfn.XLOOKUP($D190,'Modelling New'!$D:$D,'Modelling New'!$P:$P),"")</f>
        <v>5.6456101129032259</v>
      </c>
      <c r="AD190" s="156">
        <f>IFERROR(_xlfn.XLOOKUP($D190,'Modelling New'!$D:$D,'Modelling New'!$T:$T)*1000,"")</f>
        <v>50360.911058047554</v>
      </c>
      <c r="AE190" s="163">
        <f>IFERROR(_xlfn.XLOOKUP($D190,'Modelling New'!$D:$D,'Modelling New'!$O:$O),"")</f>
        <v>0.76112341749431001</v>
      </c>
      <c r="AF190" s="163">
        <f>IFERROR(_xlfn.XLOOKUP($D190,'Modelling New'!$D:$D,'Modelling New'!$W:$W),"")</f>
        <v>0.17904191929055585</v>
      </c>
      <c r="AG190" s="163">
        <f>IFERROR(_xlfn.XLOOKUP($D190,'Modelling New'!$D:$D,'Modelling New'!AE:AE),"")</f>
        <v>0.995</v>
      </c>
      <c r="AH190" s="163">
        <f>IFERROR(_xlfn.XLOOKUP($D190,'Modelling New'!$D:$D,'Modelling New'!AF:AF),"")</f>
        <v>0.98550000000000004</v>
      </c>
      <c r="AN190" s="164"/>
      <c r="AO190" s="161"/>
      <c r="AP190" s="161"/>
      <c r="AQ190" s="161"/>
      <c r="AR190" s="156">
        <f>IFERROR(_xlfn.XLOOKUP($D190,'Modelling New'!$D:$D,'Modelling New'!$N:$N),"")</f>
        <v>11.72</v>
      </c>
    </row>
    <row r="191" spans="1:44">
      <c r="A191" s="155">
        <f t="shared" ref="A191:A254" si="15">A190+1</f>
        <v>45934</v>
      </c>
      <c r="B191" s="156">
        <f>YEAR(Table13[[#This Row],[Date]])+IF(MONTH(Table13[[#This Row],[Date]])&gt;=4,1,0)</f>
        <v>2026</v>
      </c>
      <c r="C191" s="129">
        <f>YEAR(Table13[[#This Row],[Date]])</f>
        <v>2025</v>
      </c>
      <c r="D191" s="157">
        <f>Table13[[#This Row],[Date]]-DAY(Table13[[#This Row],[Date]])+1</f>
        <v>45931</v>
      </c>
      <c r="E191" s="129">
        <f t="shared" si="12"/>
        <v>31</v>
      </c>
      <c r="F191" s="130" t="str">
        <f>IFERROR(_xlfn.XLOOKUP($A191,'Raw Data'!$G:$G,'Raw Data'!$AH:$AH),"")</f>
        <v/>
      </c>
      <c r="G191" s="131" t="str">
        <f>IFERROR(_xlfn.XLOOKUP($A191,'Raw Data'!$G:$G,'Raw Data'!$S:$S)/1000,"")</f>
        <v/>
      </c>
      <c r="H191" s="131"/>
      <c r="I191" s="131" t="str">
        <f>IFERROR(_xlfn.XLOOKUP($A191,'Raw Data'!$G:$G,'Raw Data'!$AF:$AF)/1000,"")</f>
        <v/>
      </c>
      <c r="J191" s="131"/>
      <c r="K191" s="131" t="str">
        <f>IFERROR(_xlfn.XLOOKUP($A191,'Raw Data'!$G:$G,'Raw Data'!W:W),"")</f>
        <v/>
      </c>
      <c r="L191" s="131" t="str">
        <f>IFERROR(_xlfn.XLOOKUP($A191,'Raw Data'!$G:$G,'Raw Data'!X:X),"")</f>
        <v/>
      </c>
      <c r="M191" s="131" t="str">
        <f>IFERROR(_xlfn.XLOOKUP($A191,'Raw Data'!$G:$G,'Raw Data'!Y:Y),"")</f>
        <v/>
      </c>
      <c r="N191" s="131" t="str">
        <f>IFERROR(_xlfn.XLOOKUP($A191,'Raw Data'!$G:$G,'Raw Data'!Z:Z),"")</f>
        <v/>
      </c>
      <c r="O191" s="158" t="str">
        <f>IFERROR(1-SUMIF('Plant BD'!$H:$H,$A191,'Plant BD'!AC:AC)/$F191,"")</f>
        <v/>
      </c>
      <c r="P191" s="158"/>
      <c r="Q191" s="159"/>
      <c r="R191" s="158" t="str">
        <f>IFERROR(1-SUMIF('Grid BD'!$H:$H,$A191,'Grid BD'!AB:AB)/$F191,"")</f>
        <v/>
      </c>
      <c r="T191" s="159" t="str">
        <f>IFERROR(1-SUMIF(Tracker_BD!$H:$H,$A191,Tracker_BD!AI:AI)/$F191,"")</f>
        <v/>
      </c>
      <c r="U191" s="160" t="str">
        <f t="shared" si="13"/>
        <v/>
      </c>
      <c r="V191" s="160"/>
      <c r="W191" s="161" t="str">
        <f t="shared" si="14"/>
        <v/>
      </c>
      <c r="X191" s="156" t="str">
        <f>IFERROR(_xlfn.XLOOKUP($A191,'Raw Data'!$G:$G,'Raw Data'!$AB:$AB),"")</f>
        <v/>
      </c>
      <c r="Y191" s="156" t="str">
        <f>IFERROR(_xlfn.XLOOKUP($A191,'Raw Data'!$G:$G,'Raw Data'!AC:AC),"")</f>
        <v/>
      </c>
      <c r="Z191" s="156" t="str">
        <f>IFERROR(_xlfn.XLOOKUP($A191,'Raw Data'!$G:$G,'Raw Data'!AD:AD),"")</f>
        <v/>
      </c>
      <c r="AA191" s="156" t="str">
        <f>IFERROR(_xlfn.XLOOKUP($A191,'Raw Data'!$G:$G,'Raw Data'!AE:AE),"")</f>
        <v/>
      </c>
      <c r="AB191" s="156" t="str">
        <f>IFERROR(_xlfn.XLOOKUP($A191,'Raw Data'!$G:$G,'Raw Data'!$H:$H),"")</f>
        <v/>
      </c>
      <c r="AC191" s="162">
        <f>IFERROR(_xlfn.XLOOKUP($D191,'Modelling New'!$D:$D,'Modelling New'!$P:$P),"")</f>
        <v>5.6456101129032259</v>
      </c>
      <c r="AD191" s="156">
        <f>IFERROR(_xlfn.XLOOKUP($D191,'Modelling New'!$D:$D,'Modelling New'!$T:$T)*1000,"")</f>
        <v>50360.911058047554</v>
      </c>
      <c r="AE191" s="163">
        <f>IFERROR(_xlfn.XLOOKUP($D191,'Modelling New'!$D:$D,'Modelling New'!$O:$O),"")</f>
        <v>0.76112341749431001</v>
      </c>
      <c r="AF191" s="163">
        <f>IFERROR(_xlfn.XLOOKUP($D191,'Modelling New'!$D:$D,'Modelling New'!$W:$W),"")</f>
        <v>0.17904191929055585</v>
      </c>
      <c r="AG191" s="163">
        <f>IFERROR(_xlfn.XLOOKUP($D191,'Modelling New'!$D:$D,'Modelling New'!AE:AE),"")</f>
        <v>0.995</v>
      </c>
      <c r="AH191" s="163">
        <f>IFERROR(_xlfn.XLOOKUP($D191,'Modelling New'!$D:$D,'Modelling New'!AF:AF),"")</f>
        <v>0.98550000000000004</v>
      </c>
      <c r="AN191" s="164"/>
      <c r="AO191" s="161"/>
      <c r="AP191" s="161"/>
      <c r="AQ191" s="161"/>
      <c r="AR191" s="156">
        <f>IFERROR(_xlfn.XLOOKUP($D191,'Modelling New'!$D:$D,'Modelling New'!$N:$N),"")</f>
        <v>11.72</v>
      </c>
    </row>
    <row r="192" spans="1:44">
      <c r="A192" s="155">
        <f t="shared" si="15"/>
        <v>45935</v>
      </c>
      <c r="B192" s="156">
        <f>YEAR(Table13[[#This Row],[Date]])+IF(MONTH(Table13[[#This Row],[Date]])&gt;=4,1,0)</f>
        <v>2026</v>
      </c>
      <c r="C192" s="129">
        <f>YEAR(Table13[[#This Row],[Date]])</f>
        <v>2025</v>
      </c>
      <c r="D192" s="157">
        <f>Table13[[#This Row],[Date]]-DAY(Table13[[#This Row],[Date]])+1</f>
        <v>45931</v>
      </c>
      <c r="E192" s="129">
        <f t="shared" si="12"/>
        <v>31</v>
      </c>
      <c r="F192" s="130" t="str">
        <f>IFERROR(_xlfn.XLOOKUP($A192,'Raw Data'!$G:$G,'Raw Data'!$AH:$AH),"")</f>
        <v/>
      </c>
      <c r="G192" s="131" t="str">
        <f>IFERROR(_xlfn.XLOOKUP($A192,'Raw Data'!$G:$G,'Raw Data'!$S:$S)/1000,"")</f>
        <v/>
      </c>
      <c r="H192" s="131"/>
      <c r="I192" s="131" t="str">
        <f>IFERROR(_xlfn.XLOOKUP($A192,'Raw Data'!$G:$G,'Raw Data'!$AF:$AF)/1000,"")</f>
        <v/>
      </c>
      <c r="J192" s="131"/>
      <c r="K192" s="131" t="str">
        <f>IFERROR(_xlfn.XLOOKUP($A192,'Raw Data'!$G:$G,'Raw Data'!W:W),"")</f>
        <v/>
      </c>
      <c r="L192" s="131" t="str">
        <f>IFERROR(_xlfn.XLOOKUP($A192,'Raw Data'!$G:$G,'Raw Data'!X:X),"")</f>
        <v/>
      </c>
      <c r="M192" s="131" t="str">
        <f>IFERROR(_xlfn.XLOOKUP($A192,'Raw Data'!$G:$G,'Raw Data'!Y:Y),"")</f>
        <v/>
      </c>
      <c r="N192" s="131" t="str">
        <f>IFERROR(_xlfn.XLOOKUP($A192,'Raw Data'!$G:$G,'Raw Data'!Z:Z),"")</f>
        <v/>
      </c>
      <c r="O192" s="158" t="str">
        <f>IFERROR(1-SUMIF('Plant BD'!$H:$H,$A192,'Plant BD'!AC:AC)/$F192,"")</f>
        <v/>
      </c>
      <c r="P192" s="158"/>
      <c r="Q192" s="159"/>
      <c r="R192" s="158" t="str">
        <f>IFERROR(1-SUMIF('Grid BD'!$H:$H,$A192,'Grid BD'!AB:AB)/$F192,"")</f>
        <v/>
      </c>
      <c r="T192" s="159" t="str">
        <f>IFERROR(1-SUMIF(Tracker_BD!$H:$H,$A192,Tracker_BD!AI:AI)/$F192,"")</f>
        <v/>
      </c>
      <c r="U192" s="160" t="str">
        <f t="shared" si="13"/>
        <v/>
      </c>
      <c r="V192" s="160"/>
      <c r="W192" s="161" t="str">
        <f t="shared" si="14"/>
        <v/>
      </c>
      <c r="X192" s="156" t="str">
        <f>IFERROR(_xlfn.XLOOKUP($A192,'Raw Data'!$G:$G,'Raw Data'!$AB:$AB),"")</f>
        <v/>
      </c>
      <c r="Y192" s="156" t="str">
        <f>IFERROR(_xlfn.XLOOKUP($A192,'Raw Data'!$G:$G,'Raw Data'!AC:AC),"")</f>
        <v/>
      </c>
      <c r="Z192" s="156" t="str">
        <f>IFERROR(_xlfn.XLOOKUP($A192,'Raw Data'!$G:$G,'Raw Data'!AD:AD),"")</f>
        <v/>
      </c>
      <c r="AA192" s="156" t="str">
        <f>IFERROR(_xlfn.XLOOKUP($A192,'Raw Data'!$G:$G,'Raw Data'!AE:AE),"")</f>
        <v/>
      </c>
      <c r="AB192" s="156" t="str">
        <f>IFERROR(_xlfn.XLOOKUP($A192,'Raw Data'!$G:$G,'Raw Data'!$H:$H),"")</f>
        <v/>
      </c>
      <c r="AC192" s="162">
        <f>IFERROR(_xlfn.XLOOKUP($D192,'Modelling New'!$D:$D,'Modelling New'!$P:$P),"")</f>
        <v>5.6456101129032259</v>
      </c>
      <c r="AD192" s="156">
        <f>IFERROR(_xlfn.XLOOKUP($D192,'Modelling New'!$D:$D,'Modelling New'!$T:$T)*1000,"")</f>
        <v>50360.911058047554</v>
      </c>
      <c r="AE192" s="163">
        <f>IFERROR(_xlfn.XLOOKUP($D192,'Modelling New'!$D:$D,'Modelling New'!$O:$O),"")</f>
        <v>0.76112341749431001</v>
      </c>
      <c r="AF192" s="163">
        <f>IFERROR(_xlfn.XLOOKUP($D192,'Modelling New'!$D:$D,'Modelling New'!$W:$W),"")</f>
        <v>0.17904191929055585</v>
      </c>
      <c r="AG192" s="163">
        <f>IFERROR(_xlfn.XLOOKUP($D192,'Modelling New'!$D:$D,'Modelling New'!AE:AE),"")</f>
        <v>0.995</v>
      </c>
      <c r="AH192" s="163">
        <f>IFERROR(_xlfn.XLOOKUP($D192,'Modelling New'!$D:$D,'Modelling New'!AF:AF),"")</f>
        <v>0.98550000000000004</v>
      </c>
      <c r="AN192" s="164"/>
      <c r="AO192" s="161"/>
      <c r="AP192" s="161"/>
      <c r="AQ192" s="161"/>
      <c r="AR192" s="156">
        <f>IFERROR(_xlfn.XLOOKUP($D192,'Modelling New'!$D:$D,'Modelling New'!$N:$N),"")</f>
        <v>11.72</v>
      </c>
    </row>
    <row r="193" spans="1:44">
      <c r="A193" s="155">
        <f t="shared" si="15"/>
        <v>45936</v>
      </c>
      <c r="B193" s="156">
        <f>YEAR(Table13[[#This Row],[Date]])+IF(MONTH(Table13[[#This Row],[Date]])&gt;=4,1,0)</f>
        <v>2026</v>
      </c>
      <c r="C193" s="129">
        <f>YEAR(Table13[[#This Row],[Date]])</f>
        <v>2025</v>
      </c>
      <c r="D193" s="157">
        <f>Table13[[#This Row],[Date]]-DAY(Table13[[#This Row],[Date]])+1</f>
        <v>45931</v>
      </c>
      <c r="E193" s="129">
        <f t="shared" si="12"/>
        <v>31</v>
      </c>
      <c r="F193" s="130" t="str">
        <f>IFERROR(_xlfn.XLOOKUP($A193,'Raw Data'!$G:$G,'Raw Data'!$AH:$AH),"")</f>
        <v/>
      </c>
      <c r="G193" s="131" t="str">
        <f>IFERROR(_xlfn.XLOOKUP($A193,'Raw Data'!$G:$G,'Raw Data'!$S:$S)/1000,"")</f>
        <v/>
      </c>
      <c r="H193" s="131"/>
      <c r="I193" s="131" t="str">
        <f>IFERROR(_xlfn.XLOOKUP($A193,'Raw Data'!$G:$G,'Raw Data'!$AF:$AF)/1000,"")</f>
        <v/>
      </c>
      <c r="J193" s="131"/>
      <c r="K193" s="131" t="str">
        <f>IFERROR(_xlfn.XLOOKUP($A193,'Raw Data'!$G:$G,'Raw Data'!W:W),"")</f>
        <v/>
      </c>
      <c r="L193" s="131" t="str">
        <f>IFERROR(_xlfn.XLOOKUP($A193,'Raw Data'!$G:$G,'Raw Data'!X:X),"")</f>
        <v/>
      </c>
      <c r="M193" s="131" t="str">
        <f>IFERROR(_xlfn.XLOOKUP($A193,'Raw Data'!$G:$G,'Raw Data'!Y:Y),"")</f>
        <v/>
      </c>
      <c r="N193" s="131" t="str">
        <f>IFERROR(_xlfn.XLOOKUP($A193,'Raw Data'!$G:$G,'Raw Data'!Z:Z),"")</f>
        <v/>
      </c>
      <c r="O193" s="158" t="str">
        <f>IFERROR(1-SUMIF('Plant BD'!$H:$H,$A193,'Plant BD'!AC:AC)/$F193,"")</f>
        <v/>
      </c>
      <c r="P193" s="158"/>
      <c r="Q193" s="159"/>
      <c r="R193" s="158" t="str">
        <f>IFERROR(1-SUMIF('Grid BD'!$H:$H,$A193,'Grid BD'!AB:AB)/$F193,"")</f>
        <v/>
      </c>
      <c r="T193" s="159" t="str">
        <f>IFERROR(1-SUMIF(Tracker_BD!$H:$H,$A193,Tracker_BD!AI:AI)/$F193,"")</f>
        <v/>
      </c>
      <c r="U193" s="160" t="str">
        <f t="shared" si="13"/>
        <v/>
      </c>
      <c r="V193" s="160"/>
      <c r="W193" s="161" t="str">
        <f t="shared" si="14"/>
        <v/>
      </c>
      <c r="X193" s="156" t="str">
        <f>IFERROR(_xlfn.XLOOKUP($A193,'Raw Data'!$G:$G,'Raw Data'!$AB:$AB),"")</f>
        <v/>
      </c>
      <c r="Y193" s="156" t="str">
        <f>IFERROR(_xlfn.XLOOKUP($A193,'Raw Data'!$G:$G,'Raw Data'!AC:AC),"")</f>
        <v/>
      </c>
      <c r="Z193" s="156" t="str">
        <f>IFERROR(_xlfn.XLOOKUP($A193,'Raw Data'!$G:$G,'Raw Data'!AD:AD),"")</f>
        <v/>
      </c>
      <c r="AA193" s="156" t="str">
        <f>IFERROR(_xlfn.XLOOKUP($A193,'Raw Data'!$G:$G,'Raw Data'!AE:AE),"")</f>
        <v/>
      </c>
      <c r="AB193" s="156" t="str">
        <f>IFERROR(_xlfn.XLOOKUP($A193,'Raw Data'!$G:$G,'Raw Data'!$H:$H),"")</f>
        <v/>
      </c>
      <c r="AC193" s="162">
        <f>IFERROR(_xlfn.XLOOKUP($D193,'Modelling New'!$D:$D,'Modelling New'!$P:$P),"")</f>
        <v>5.6456101129032259</v>
      </c>
      <c r="AD193" s="156">
        <f>IFERROR(_xlfn.XLOOKUP($D193,'Modelling New'!$D:$D,'Modelling New'!$T:$T)*1000,"")</f>
        <v>50360.911058047554</v>
      </c>
      <c r="AE193" s="163">
        <f>IFERROR(_xlfn.XLOOKUP($D193,'Modelling New'!$D:$D,'Modelling New'!$O:$O),"")</f>
        <v>0.76112341749431001</v>
      </c>
      <c r="AF193" s="163">
        <f>IFERROR(_xlfn.XLOOKUP($D193,'Modelling New'!$D:$D,'Modelling New'!$W:$W),"")</f>
        <v>0.17904191929055585</v>
      </c>
      <c r="AG193" s="163">
        <f>IFERROR(_xlfn.XLOOKUP($D193,'Modelling New'!$D:$D,'Modelling New'!AE:AE),"")</f>
        <v>0.995</v>
      </c>
      <c r="AH193" s="163">
        <f>IFERROR(_xlfn.XLOOKUP($D193,'Modelling New'!$D:$D,'Modelling New'!AF:AF),"")</f>
        <v>0.98550000000000004</v>
      </c>
      <c r="AN193" s="164"/>
      <c r="AO193" s="161"/>
      <c r="AP193" s="161"/>
      <c r="AQ193" s="161"/>
      <c r="AR193" s="156">
        <f>IFERROR(_xlfn.XLOOKUP($D193,'Modelling New'!$D:$D,'Modelling New'!$N:$N),"")</f>
        <v>11.72</v>
      </c>
    </row>
    <row r="194" spans="1:44">
      <c r="A194" s="155">
        <f t="shared" si="15"/>
        <v>45937</v>
      </c>
      <c r="B194" s="156">
        <f>YEAR(Table13[[#This Row],[Date]])+IF(MONTH(Table13[[#This Row],[Date]])&gt;=4,1,0)</f>
        <v>2026</v>
      </c>
      <c r="C194" s="129">
        <f>YEAR(Table13[[#This Row],[Date]])</f>
        <v>2025</v>
      </c>
      <c r="D194" s="157">
        <f>Table13[[#This Row],[Date]]-DAY(Table13[[#This Row],[Date]])+1</f>
        <v>45931</v>
      </c>
      <c r="E194" s="129">
        <f t="shared" si="12"/>
        <v>31</v>
      </c>
      <c r="F194" s="130" t="str">
        <f>IFERROR(_xlfn.XLOOKUP($A194,'Raw Data'!$G:$G,'Raw Data'!$AH:$AH),"")</f>
        <v/>
      </c>
      <c r="G194" s="131" t="str">
        <f>IFERROR(_xlfn.XLOOKUP($A194,'Raw Data'!$G:$G,'Raw Data'!$S:$S)/1000,"")</f>
        <v/>
      </c>
      <c r="H194" s="131"/>
      <c r="I194" s="131" t="str">
        <f>IFERROR(_xlfn.XLOOKUP($A194,'Raw Data'!$G:$G,'Raw Data'!$AF:$AF)/1000,"")</f>
        <v/>
      </c>
      <c r="J194" s="131"/>
      <c r="K194" s="131" t="str">
        <f>IFERROR(_xlfn.XLOOKUP($A194,'Raw Data'!$G:$G,'Raw Data'!W:W),"")</f>
        <v/>
      </c>
      <c r="L194" s="131" t="str">
        <f>IFERROR(_xlfn.XLOOKUP($A194,'Raw Data'!$G:$G,'Raw Data'!X:X),"")</f>
        <v/>
      </c>
      <c r="M194" s="131" t="str">
        <f>IFERROR(_xlfn.XLOOKUP($A194,'Raw Data'!$G:$G,'Raw Data'!Y:Y),"")</f>
        <v/>
      </c>
      <c r="N194" s="131" t="str">
        <f>IFERROR(_xlfn.XLOOKUP($A194,'Raw Data'!$G:$G,'Raw Data'!Z:Z),"")</f>
        <v/>
      </c>
      <c r="O194" s="158" t="str">
        <f>IFERROR(1-SUMIF('Plant BD'!$H:$H,$A194,'Plant BD'!AC:AC)/$F194,"")</f>
        <v/>
      </c>
      <c r="P194" s="158"/>
      <c r="Q194" s="159"/>
      <c r="R194" s="158" t="str">
        <f>IFERROR(1-SUMIF('Grid BD'!$H:$H,$A194,'Grid BD'!AB:AB)/$F194,"")</f>
        <v/>
      </c>
      <c r="T194" s="159" t="str">
        <f>IFERROR(1-SUMIF(Tracker_BD!$H:$H,$A194,Tracker_BD!AI:AI)/$F194,"")</f>
        <v/>
      </c>
      <c r="U194" s="160" t="str">
        <f t="shared" si="13"/>
        <v/>
      </c>
      <c r="V194" s="160"/>
      <c r="W194" s="161" t="str">
        <f t="shared" si="14"/>
        <v/>
      </c>
      <c r="X194" s="156" t="str">
        <f>IFERROR(_xlfn.XLOOKUP($A194,'Raw Data'!$G:$G,'Raw Data'!$AB:$AB),"")</f>
        <v/>
      </c>
      <c r="Y194" s="156" t="str">
        <f>IFERROR(_xlfn.XLOOKUP($A194,'Raw Data'!$G:$G,'Raw Data'!AC:AC),"")</f>
        <v/>
      </c>
      <c r="Z194" s="156" t="str">
        <f>IFERROR(_xlfn.XLOOKUP($A194,'Raw Data'!$G:$G,'Raw Data'!AD:AD),"")</f>
        <v/>
      </c>
      <c r="AA194" s="156" t="str">
        <f>IFERROR(_xlfn.XLOOKUP($A194,'Raw Data'!$G:$G,'Raw Data'!AE:AE),"")</f>
        <v/>
      </c>
      <c r="AB194" s="156" t="str">
        <f>IFERROR(_xlfn.XLOOKUP($A194,'Raw Data'!$G:$G,'Raw Data'!$H:$H),"")</f>
        <v/>
      </c>
      <c r="AC194" s="162">
        <f>IFERROR(_xlfn.XLOOKUP($D194,'Modelling New'!$D:$D,'Modelling New'!$P:$P),"")</f>
        <v>5.6456101129032259</v>
      </c>
      <c r="AD194" s="156">
        <f>IFERROR(_xlfn.XLOOKUP($D194,'Modelling New'!$D:$D,'Modelling New'!$T:$T)*1000,"")</f>
        <v>50360.911058047554</v>
      </c>
      <c r="AE194" s="163">
        <f>IFERROR(_xlfn.XLOOKUP($D194,'Modelling New'!$D:$D,'Modelling New'!$O:$O),"")</f>
        <v>0.76112341749431001</v>
      </c>
      <c r="AF194" s="163">
        <f>IFERROR(_xlfn.XLOOKUP($D194,'Modelling New'!$D:$D,'Modelling New'!$W:$W),"")</f>
        <v>0.17904191929055585</v>
      </c>
      <c r="AG194" s="163">
        <f>IFERROR(_xlfn.XLOOKUP($D194,'Modelling New'!$D:$D,'Modelling New'!AE:AE),"")</f>
        <v>0.995</v>
      </c>
      <c r="AH194" s="163">
        <f>IFERROR(_xlfn.XLOOKUP($D194,'Modelling New'!$D:$D,'Modelling New'!AF:AF),"")</f>
        <v>0.98550000000000004</v>
      </c>
      <c r="AN194" s="164"/>
      <c r="AO194" s="161"/>
      <c r="AP194" s="161"/>
      <c r="AQ194" s="161"/>
      <c r="AR194" s="156">
        <f>IFERROR(_xlfn.XLOOKUP($D194,'Modelling New'!$D:$D,'Modelling New'!$N:$N),"")</f>
        <v>11.72</v>
      </c>
    </row>
    <row r="195" spans="1:44">
      <c r="A195" s="155">
        <f t="shared" si="15"/>
        <v>45938</v>
      </c>
      <c r="B195" s="156">
        <f>YEAR(Table13[[#This Row],[Date]])+IF(MONTH(Table13[[#This Row],[Date]])&gt;=4,1,0)</f>
        <v>2026</v>
      </c>
      <c r="C195" s="129">
        <f>YEAR(Table13[[#This Row],[Date]])</f>
        <v>2025</v>
      </c>
      <c r="D195" s="157">
        <f>Table13[[#This Row],[Date]]-DAY(Table13[[#This Row],[Date]])+1</f>
        <v>45931</v>
      </c>
      <c r="E195" s="129">
        <f t="shared" si="12"/>
        <v>31</v>
      </c>
      <c r="F195" s="130" t="str">
        <f>IFERROR(_xlfn.XLOOKUP($A195,'Raw Data'!$G:$G,'Raw Data'!$AH:$AH),"")</f>
        <v/>
      </c>
      <c r="G195" s="131" t="str">
        <f>IFERROR(_xlfn.XLOOKUP($A195,'Raw Data'!$G:$G,'Raw Data'!$S:$S)/1000,"")</f>
        <v/>
      </c>
      <c r="H195" s="131"/>
      <c r="I195" s="131" t="str">
        <f>IFERROR(_xlfn.XLOOKUP($A195,'Raw Data'!$G:$G,'Raw Data'!$AF:$AF)/1000,"")</f>
        <v/>
      </c>
      <c r="J195" s="131"/>
      <c r="K195" s="131" t="str">
        <f>IFERROR(_xlfn.XLOOKUP($A195,'Raw Data'!$G:$G,'Raw Data'!W:W),"")</f>
        <v/>
      </c>
      <c r="L195" s="131" t="str">
        <f>IFERROR(_xlfn.XLOOKUP($A195,'Raw Data'!$G:$G,'Raw Data'!X:X),"")</f>
        <v/>
      </c>
      <c r="M195" s="131" t="str">
        <f>IFERROR(_xlfn.XLOOKUP($A195,'Raw Data'!$G:$G,'Raw Data'!Y:Y),"")</f>
        <v/>
      </c>
      <c r="N195" s="131" t="str">
        <f>IFERROR(_xlfn.XLOOKUP($A195,'Raw Data'!$G:$G,'Raw Data'!Z:Z),"")</f>
        <v/>
      </c>
      <c r="O195" s="158" t="str">
        <f>IFERROR(1-SUMIF('Plant BD'!$H:$H,$A195,'Plant BD'!AC:AC)/$F195,"")</f>
        <v/>
      </c>
      <c r="P195" s="158"/>
      <c r="Q195" s="159"/>
      <c r="R195" s="158" t="str">
        <f>IFERROR(1-SUMIF('Grid BD'!$H:$H,$A195,'Grid BD'!AB:AB)/$F195,"")</f>
        <v/>
      </c>
      <c r="T195" s="159" t="str">
        <f>IFERROR(1-SUMIF(Tracker_BD!$H:$H,$A195,Tracker_BD!AI:AI)/$F195,"")</f>
        <v/>
      </c>
      <c r="U195" s="160" t="str">
        <f t="shared" si="13"/>
        <v/>
      </c>
      <c r="V195" s="160"/>
      <c r="W195" s="161" t="str">
        <f t="shared" si="14"/>
        <v/>
      </c>
      <c r="X195" s="156" t="str">
        <f>IFERROR(_xlfn.XLOOKUP($A195,'Raw Data'!$G:$G,'Raw Data'!$AB:$AB),"")</f>
        <v/>
      </c>
      <c r="Y195" s="156" t="str">
        <f>IFERROR(_xlfn.XLOOKUP($A195,'Raw Data'!$G:$G,'Raw Data'!AC:AC),"")</f>
        <v/>
      </c>
      <c r="Z195" s="156" t="str">
        <f>IFERROR(_xlfn.XLOOKUP($A195,'Raw Data'!$G:$G,'Raw Data'!AD:AD),"")</f>
        <v/>
      </c>
      <c r="AA195" s="156" t="str">
        <f>IFERROR(_xlfn.XLOOKUP($A195,'Raw Data'!$G:$G,'Raw Data'!AE:AE),"")</f>
        <v/>
      </c>
      <c r="AB195" s="156" t="str">
        <f>IFERROR(_xlfn.XLOOKUP($A195,'Raw Data'!$G:$G,'Raw Data'!$H:$H),"")</f>
        <v/>
      </c>
      <c r="AC195" s="162">
        <f>IFERROR(_xlfn.XLOOKUP($D195,'Modelling New'!$D:$D,'Modelling New'!$P:$P),"")</f>
        <v>5.6456101129032259</v>
      </c>
      <c r="AD195" s="156">
        <f>IFERROR(_xlfn.XLOOKUP($D195,'Modelling New'!$D:$D,'Modelling New'!$T:$T)*1000,"")</f>
        <v>50360.911058047554</v>
      </c>
      <c r="AE195" s="163">
        <f>IFERROR(_xlfn.XLOOKUP($D195,'Modelling New'!$D:$D,'Modelling New'!$O:$O),"")</f>
        <v>0.76112341749431001</v>
      </c>
      <c r="AF195" s="163">
        <f>IFERROR(_xlfn.XLOOKUP($D195,'Modelling New'!$D:$D,'Modelling New'!$W:$W),"")</f>
        <v>0.17904191929055585</v>
      </c>
      <c r="AG195" s="163">
        <f>IFERROR(_xlfn.XLOOKUP($D195,'Modelling New'!$D:$D,'Modelling New'!AE:AE),"")</f>
        <v>0.995</v>
      </c>
      <c r="AH195" s="163">
        <f>IFERROR(_xlfn.XLOOKUP($D195,'Modelling New'!$D:$D,'Modelling New'!AF:AF),"")</f>
        <v>0.98550000000000004</v>
      </c>
      <c r="AN195" s="164"/>
      <c r="AO195" s="161"/>
      <c r="AP195" s="161"/>
      <c r="AQ195" s="161"/>
      <c r="AR195" s="156">
        <f>IFERROR(_xlfn.XLOOKUP($D195,'Modelling New'!$D:$D,'Modelling New'!$N:$N),"")</f>
        <v>11.72</v>
      </c>
    </row>
    <row r="196" spans="1:44">
      <c r="A196" s="155">
        <f t="shared" si="15"/>
        <v>45939</v>
      </c>
      <c r="B196" s="156">
        <f>YEAR(Table13[[#This Row],[Date]])+IF(MONTH(Table13[[#This Row],[Date]])&gt;=4,1,0)</f>
        <v>2026</v>
      </c>
      <c r="C196" s="129">
        <f>YEAR(Table13[[#This Row],[Date]])</f>
        <v>2025</v>
      </c>
      <c r="D196" s="157">
        <f>Table13[[#This Row],[Date]]-DAY(Table13[[#This Row],[Date]])+1</f>
        <v>45931</v>
      </c>
      <c r="E196" s="129">
        <f t="shared" si="12"/>
        <v>31</v>
      </c>
      <c r="F196" s="130" t="str">
        <f>IFERROR(_xlfn.XLOOKUP($A196,'Raw Data'!$G:$G,'Raw Data'!$AH:$AH),"")</f>
        <v/>
      </c>
      <c r="G196" s="131" t="str">
        <f>IFERROR(_xlfn.XLOOKUP($A196,'Raw Data'!$G:$G,'Raw Data'!$S:$S)/1000,"")</f>
        <v/>
      </c>
      <c r="H196" s="131"/>
      <c r="I196" s="131" t="str">
        <f>IFERROR(_xlfn.XLOOKUP($A196,'Raw Data'!$G:$G,'Raw Data'!$AF:$AF)/1000,"")</f>
        <v/>
      </c>
      <c r="J196" s="131"/>
      <c r="K196" s="131" t="str">
        <f>IFERROR(_xlfn.XLOOKUP($A196,'Raw Data'!$G:$G,'Raw Data'!W:W),"")</f>
        <v/>
      </c>
      <c r="L196" s="131" t="str">
        <f>IFERROR(_xlfn.XLOOKUP($A196,'Raw Data'!$G:$G,'Raw Data'!X:X),"")</f>
        <v/>
      </c>
      <c r="M196" s="131" t="str">
        <f>IFERROR(_xlfn.XLOOKUP($A196,'Raw Data'!$G:$G,'Raw Data'!Y:Y),"")</f>
        <v/>
      </c>
      <c r="N196" s="131" t="str">
        <f>IFERROR(_xlfn.XLOOKUP($A196,'Raw Data'!$G:$G,'Raw Data'!Z:Z),"")</f>
        <v/>
      </c>
      <c r="O196" s="158" t="str">
        <f>IFERROR(1-SUMIF('Plant BD'!$H:$H,$A196,'Plant BD'!AC:AC)/$F196,"")</f>
        <v/>
      </c>
      <c r="P196" s="158"/>
      <c r="Q196" s="159"/>
      <c r="R196" s="158" t="str">
        <f>IFERROR(1-SUMIF('Grid BD'!$H:$H,$A196,'Grid BD'!AB:AB)/$F196,"")</f>
        <v/>
      </c>
      <c r="T196" s="159" t="str">
        <f>IFERROR(1-SUMIF(Tracker_BD!$H:$H,$A196,Tracker_BD!AI:AI)/$F196,"")</f>
        <v/>
      </c>
      <c r="U196" s="160" t="str">
        <f t="shared" si="13"/>
        <v/>
      </c>
      <c r="V196" s="160"/>
      <c r="W196" s="161" t="str">
        <f t="shared" si="14"/>
        <v/>
      </c>
      <c r="X196" s="156" t="str">
        <f>IFERROR(_xlfn.XLOOKUP($A196,'Raw Data'!$G:$G,'Raw Data'!$AB:$AB),"")</f>
        <v/>
      </c>
      <c r="Y196" s="156" t="str">
        <f>IFERROR(_xlfn.XLOOKUP($A196,'Raw Data'!$G:$G,'Raw Data'!AC:AC),"")</f>
        <v/>
      </c>
      <c r="Z196" s="156" t="str">
        <f>IFERROR(_xlfn.XLOOKUP($A196,'Raw Data'!$G:$G,'Raw Data'!AD:AD),"")</f>
        <v/>
      </c>
      <c r="AA196" s="156" t="str">
        <f>IFERROR(_xlfn.XLOOKUP($A196,'Raw Data'!$G:$G,'Raw Data'!AE:AE),"")</f>
        <v/>
      </c>
      <c r="AB196" s="156" t="str">
        <f>IFERROR(_xlfn.XLOOKUP($A196,'Raw Data'!$G:$G,'Raw Data'!$H:$H),"")</f>
        <v/>
      </c>
      <c r="AC196" s="162">
        <f>IFERROR(_xlfn.XLOOKUP($D196,'Modelling New'!$D:$D,'Modelling New'!$P:$P),"")</f>
        <v>5.6456101129032259</v>
      </c>
      <c r="AD196" s="156">
        <f>IFERROR(_xlfn.XLOOKUP($D196,'Modelling New'!$D:$D,'Modelling New'!$T:$T)*1000,"")</f>
        <v>50360.911058047554</v>
      </c>
      <c r="AE196" s="163">
        <f>IFERROR(_xlfn.XLOOKUP($D196,'Modelling New'!$D:$D,'Modelling New'!$O:$O),"")</f>
        <v>0.76112341749431001</v>
      </c>
      <c r="AF196" s="163">
        <f>IFERROR(_xlfn.XLOOKUP($D196,'Modelling New'!$D:$D,'Modelling New'!$W:$W),"")</f>
        <v>0.17904191929055585</v>
      </c>
      <c r="AG196" s="163">
        <f>IFERROR(_xlfn.XLOOKUP($D196,'Modelling New'!$D:$D,'Modelling New'!AE:AE),"")</f>
        <v>0.995</v>
      </c>
      <c r="AH196" s="163">
        <f>IFERROR(_xlfn.XLOOKUP($D196,'Modelling New'!$D:$D,'Modelling New'!AF:AF),"")</f>
        <v>0.98550000000000004</v>
      </c>
      <c r="AN196" s="164"/>
      <c r="AO196" s="161"/>
      <c r="AP196" s="161"/>
      <c r="AQ196" s="161"/>
      <c r="AR196" s="156">
        <f>IFERROR(_xlfn.XLOOKUP($D196,'Modelling New'!$D:$D,'Modelling New'!$N:$N),"")</f>
        <v>11.72</v>
      </c>
    </row>
    <row r="197" spans="1:44">
      <c r="A197" s="155">
        <f t="shared" si="15"/>
        <v>45940</v>
      </c>
      <c r="B197" s="156">
        <f>YEAR(Table13[[#This Row],[Date]])+IF(MONTH(Table13[[#This Row],[Date]])&gt;=4,1,0)</f>
        <v>2026</v>
      </c>
      <c r="C197" s="129">
        <f>YEAR(Table13[[#This Row],[Date]])</f>
        <v>2025</v>
      </c>
      <c r="D197" s="157">
        <f>Table13[[#This Row],[Date]]-DAY(Table13[[#This Row],[Date]])+1</f>
        <v>45931</v>
      </c>
      <c r="E197" s="129">
        <f t="shared" si="12"/>
        <v>31</v>
      </c>
      <c r="F197" s="130" t="str">
        <f>IFERROR(_xlfn.XLOOKUP($A197,'Raw Data'!$G:$G,'Raw Data'!$AH:$AH),"")</f>
        <v/>
      </c>
      <c r="G197" s="131" t="str">
        <f>IFERROR(_xlfn.XLOOKUP($A197,'Raw Data'!$G:$G,'Raw Data'!$S:$S)/1000,"")</f>
        <v/>
      </c>
      <c r="H197" s="131"/>
      <c r="I197" s="131" t="str">
        <f>IFERROR(_xlfn.XLOOKUP($A197,'Raw Data'!$G:$G,'Raw Data'!$AF:$AF)/1000,"")</f>
        <v/>
      </c>
      <c r="J197" s="131"/>
      <c r="K197" s="131" t="str">
        <f>IFERROR(_xlfn.XLOOKUP($A197,'Raw Data'!$G:$G,'Raw Data'!W:W),"")</f>
        <v/>
      </c>
      <c r="L197" s="131" t="str">
        <f>IFERROR(_xlfn.XLOOKUP($A197,'Raw Data'!$G:$G,'Raw Data'!X:X),"")</f>
        <v/>
      </c>
      <c r="M197" s="131" t="str">
        <f>IFERROR(_xlfn.XLOOKUP($A197,'Raw Data'!$G:$G,'Raw Data'!Y:Y),"")</f>
        <v/>
      </c>
      <c r="N197" s="131" t="str">
        <f>IFERROR(_xlfn.XLOOKUP($A197,'Raw Data'!$G:$G,'Raw Data'!Z:Z),"")</f>
        <v/>
      </c>
      <c r="O197" s="158" t="str">
        <f>IFERROR(1-SUMIF('Plant BD'!$H:$H,$A197,'Plant BD'!AC:AC)/$F197,"")</f>
        <v/>
      </c>
      <c r="P197" s="158"/>
      <c r="Q197" s="159"/>
      <c r="R197" s="158" t="str">
        <f>IFERROR(1-SUMIF('Grid BD'!$H:$H,$A197,'Grid BD'!AB:AB)/$F197,"")</f>
        <v/>
      </c>
      <c r="T197" s="159" t="str">
        <f>IFERROR(1-SUMIF(Tracker_BD!$H:$H,$A197,Tracker_BD!AI:AI)/$F197,"")</f>
        <v/>
      </c>
      <c r="U197" s="160" t="str">
        <f t="shared" si="13"/>
        <v/>
      </c>
      <c r="V197" s="160"/>
      <c r="W197" s="161" t="str">
        <f t="shared" si="14"/>
        <v/>
      </c>
      <c r="X197" s="156" t="str">
        <f>IFERROR(_xlfn.XLOOKUP($A197,'Raw Data'!$G:$G,'Raw Data'!$AB:$AB),"")</f>
        <v/>
      </c>
      <c r="Y197" s="156" t="str">
        <f>IFERROR(_xlfn.XLOOKUP($A197,'Raw Data'!$G:$G,'Raw Data'!AC:AC),"")</f>
        <v/>
      </c>
      <c r="Z197" s="156" t="str">
        <f>IFERROR(_xlfn.XLOOKUP($A197,'Raw Data'!$G:$G,'Raw Data'!AD:AD),"")</f>
        <v/>
      </c>
      <c r="AA197" s="156" t="str">
        <f>IFERROR(_xlfn.XLOOKUP($A197,'Raw Data'!$G:$G,'Raw Data'!AE:AE),"")</f>
        <v/>
      </c>
      <c r="AB197" s="156" t="str">
        <f>IFERROR(_xlfn.XLOOKUP($A197,'Raw Data'!$G:$G,'Raw Data'!$H:$H),"")</f>
        <v/>
      </c>
      <c r="AC197" s="162">
        <f>IFERROR(_xlfn.XLOOKUP($D197,'Modelling New'!$D:$D,'Modelling New'!$P:$P),"")</f>
        <v>5.6456101129032259</v>
      </c>
      <c r="AD197" s="156">
        <f>IFERROR(_xlfn.XLOOKUP($D197,'Modelling New'!$D:$D,'Modelling New'!$T:$T)*1000,"")</f>
        <v>50360.911058047554</v>
      </c>
      <c r="AE197" s="163">
        <f>IFERROR(_xlfn.XLOOKUP($D197,'Modelling New'!$D:$D,'Modelling New'!$O:$O),"")</f>
        <v>0.76112341749431001</v>
      </c>
      <c r="AF197" s="163">
        <f>IFERROR(_xlfn.XLOOKUP($D197,'Modelling New'!$D:$D,'Modelling New'!$W:$W),"")</f>
        <v>0.17904191929055585</v>
      </c>
      <c r="AG197" s="163">
        <f>IFERROR(_xlfn.XLOOKUP($D197,'Modelling New'!$D:$D,'Modelling New'!AE:AE),"")</f>
        <v>0.995</v>
      </c>
      <c r="AH197" s="163">
        <f>IFERROR(_xlfn.XLOOKUP($D197,'Modelling New'!$D:$D,'Modelling New'!AF:AF),"")</f>
        <v>0.98550000000000004</v>
      </c>
      <c r="AN197" s="164"/>
      <c r="AO197" s="161"/>
      <c r="AP197" s="161"/>
      <c r="AQ197" s="161"/>
      <c r="AR197" s="156">
        <f>IFERROR(_xlfn.XLOOKUP($D197,'Modelling New'!$D:$D,'Modelling New'!$N:$N),"")</f>
        <v>11.72</v>
      </c>
    </row>
    <row r="198" spans="1:44">
      <c r="A198" s="155">
        <f t="shared" si="15"/>
        <v>45941</v>
      </c>
      <c r="B198" s="156">
        <f>YEAR(Table13[[#This Row],[Date]])+IF(MONTH(Table13[[#This Row],[Date]])&gt;=4,1,0)</f>
        <v>2026</v>
      </c>
      <c r="C198" s="129">
        <f>YEAR(Table13[[#This Row],[Date]])</f>
        <v>2025</v>
      </c>
      <c r="D198" s="157">
        <f>Table13[[#This Row],[Date]]-DAY(Table13[[#This Row],[Date]])+1</f>
        <v>45931</v>
      </c>
      <c r="E198" s="129">
        <f t="shared" si="12"/>
        <v>31</v>
      </c>
      <c r="F198" s="130" t="str">
        <f>IFERROR(_xlfn.XLOOKUP($A198,'Raw Data'!$G:$G,'Raw Data'!$AH:$AH),"")</f>
        <v/>
      </c>
      <c r="G198" s="131" t="str">
        <f>IFERROR(_xlfn.XLOOKUP($A198,'Raw Data'!$G:$G,'Raw Data'!$S:$S)/1000,"")</f>
        <v/>
      </c>
      <c r="H198" s="131"/>
      <c r="I198" s="131" t="str">
        <f>IFERROR(_xlfn.XLOOKUP($A198,'Raw Data'!$G:$G,'Raw Data'!$AF:$AF)/1000,"")</f>
        <v/>
      </c>
      <c r="J198" s="131"/>
      <c r="K198" s="131" t="str">
        <f>IFERROR(_xlfn.XLOOKUP($A198,'Raw Data'!$G:$G,'Raw Data'!W:W),"")</f>
        <v/>
      </c>
      <c r="L198" s="131" t="str">
        <f>IFERROR(_xlfn.XLOOKUP($A198,'Raw Data'!$G:$G,'Raw Data'!X:X),"")</f>
        <v/>
      </c>
      <c r="M198" s="131" t="str">
        <f>IFERROR(_xlfn.XLOOKUP($A198,'Raw Data'!$G:$G,'Raw Data'!Y:Y),"")</f>
        <v/>
      </c>
      <c r="N198" s="131" t="str">
        <f>IFERROR(_xlfn.XLOOKUP($A198,'Raw Data'!$G:$G,'Raw Data'!Z:Z),"")</f>
        <v/>
      </c>
      <c r="O198" s="158" t="str">
        <f>IFERROR(1-SUMIF('Plant BD'!$H:$H,$A198,'Plant BD'!AC:AC)/$F198,"")</f>
        <v/>
      </c>
      <c r="P198" s="158"/>
      <c r="Q198" s="159"/>
      <c r="R198" s="158" t="str">
        <f>IFERROR(1-SUMIF('Grid BD'!$H:$H,$A198,'Grid BD'!AB:AB)/$F198,"")</f>
        <v/>
      </c>
      <c r="T198" s="159" t="str">
        <f>IFERROR(1-SUMIF(Tracker_BD!$H:$H,$A198,Tracker_BD!AI:AI)/$F198,"")</f>
        <v/>
      </c>
      <c r="U198" s="160" t="str">
        <f t="shared" si="13"/>
        <v/>
      </c>
      <c r="V198" s="160"/>
      <c r="W198" s="161" t="str">
        <f t="shared" si="14"/>
        <v/>
      </c>
      <c r="X198" s="156" t="str">
        <f>IFERROR(_xlfn.XLOOKUP($A198,'Raw Data'!$G:$G,'Raw Data'!$AB:$AB),"")</f>
        <v/>
      </c>
      <c r="Y198" s="156" t="str">
        <f>IFERROR(_xlfn.XLOOKUP($A198,'Raw Data'!$G:$G,'Raw Data'!AC:AC),"")</f>
        <v/>
      </c>
      <c r="Z198" s="156" t="str">
        <f>IFERROR(_xlfn.XLOOKUP($A198,'Raw Data'!$G:$G,'Raw Data'!AD:AD),"")</f>
        <v/>
      </c>
      <c r="AA198" s="156" t="str">
        <f>IFERROR(_xlfn.XLOOKUP($A198,'Raw Data'!$G:$G,'Raw Data'!AE:AE),"")</f>
        <v/>
      </c>
      <c r="AB198" s="156" t="str">
        <f>IFERROR(_xlfn.XLOOKUP($A198,'Raw Data'!$G:$G,'Raw Data'!$H:$H),"")</f>
        <v/>
      </c>
      <c r="AC198" s="162">
        <f>IFERROR(_xlfn.XLOOKUP($D198,'Modelling New'!$D:$D,'Modelling New'!$P:$P),"")</f>
        <v>5.6456101129032259</v>
      </c>
      <c r="AD198" s="156">
        <f>IFERROR(_xlfn.XLOOKUP($D198,'Modelling New'!$D:$D,'Modelling New'!$T:$T)*1000,"")</f>
        <v>50360.911058047554</v>
      </c>
      <c r="AE198" s="163">
        <f>IFERROR(_xlfn.XLOOKUP($D198,'Modelling New'!$D:$D,'Modelling New'!$O:$O),"")</f>
        <v>0.76112341749431001</v>
      </c>
      <c r="AF198" s="163">
        <f>IFERROR(_xlfn.XLOOKUP($D198,'Modelling New'!$D:$D,'Modelling New'!$W:$W),"")</f>
        <v>0.17904191929055585</v>
      </c>
      <c r="AG198" s="163">
        <f>IFERROR(_xlfn.XLOOKUP($D198,'Modelling New'!$D:$D,'Modelling New'!AE:AE),"")</f>
        <v>0.995</v>
      </c>
      <c r="AH198" s="163">
        <f>IFERROR(_xlfn.XLOOKUP($D198,'Modelling New'!$D:$D,'Modelling New'!AF:AF),"")</f>
        <v>0.98550000000000004</v>
      </c>
      <c r="AN198" s="164"/>
      <c r="AO198" s="161"/>
      <c r="AP198" s="161"/>
      <c r="AQ198" s="161"/>
      <c r="AR198" s="156">
        <f>IFERROR(_xlfn.XLOOKUP($D198,'Modelling New'!$D:$D,'Modelling New'!$N:$N),"")</f>
        <v>11.72</v>
      </c>
    </row>
    <row r="199" spans="1:44">
      <c r="A199" s="155">
        <f t="shared" si="15"/>
        <v>45942</v>
      </c>
      <c r="B199" s="156">
        <f>YEAR(Table13[[#This Row],[Date]])+IF(MONTH(Table13[[#This Row],[Date]])&gt;=4,1,0)</f>
        <v>2026</v>
      </c>
      <c r="C199" s="129">
        <f>YEAR(Table13[[#This Row],[Date]])</f>
        <v>2025</v>
      </c>
      <c r="D199" s="157">
        <f>Table13[[#This Row],[Date]]-DAY(Table13[[#This Row],[Date]])+1</f>
        <v>45931</v>
      </c>
      <c r="E199" s="129">
        <f t="shared" si="12"/>
        <v>31</v>
      </c>
      <c r="F199" s="130" t="str">
        <f>IFERROR(_xlfn.XLOOKUP($A199,'Raw Data'!$G:$G,'Raw Data'!$AH:$AH),"")</f>
        <v/>
      </c>
      <c r="G199" s="131" t="str">
        <f>IFERROR(_xlfn.XLOOKUP($A199,'Raw Data'!$G:$G,'Raw Data'!$S:$S)/1000,"")</f>
        <v/>
      </c>
      <c r="H199" s="131"/>
      <c r="I199" s="131" t="str">
        <f>IFERROR(_xlfn.XLOOKUP($A199,'Raw Data'!$G:$G,'Raw Data'!$AF:$AF)/1000,"")</f>
        <v/>
      </c>
      <c r="J199" s="131"/>
      <c r="K199" s="131" t="str">
        <f>IFERROR(_xlfn.XLOOKUP($A199,'Raw Data'!$G:$G,'Raw Data'!W:W),"")</f>
        <v/>
      </c>
      <c r="L199" s="131" t="str">
        <f>IFERROR(_xlfn.XLOOKUP($A199,'Raw Data'!$G:$G,'Raw Data'!X:X),"")</f>
        <v/>
      </c>
      <c r="M199" s="131" t="str">
        <f>IFERROR(_xlfn.XLOOKUP($A199,'Raw Data'!$G:$G,'Raw Data'!Y:Y),"")</f>
        <v/>
      </c>
      <c r="N199" s="131" t="str">
        <f>IFERROR(_xlfn.XLOOKUP($A199,'Raw Data'!$G:$G,'Raw Data'!Z:Z),"")</f>
        <v/>
      </c>
      <c r="O199" s="158" t="str">
        <f>IFERROR(1-SUMIF('Plant BD'!$H:$H,$A199,'Plant BD'!AC:AC)/$F199,"")</f>
        <v/>
      </c>
      <c r="P199" s="158"/>
      <c r="Q199" s="159"/>
      <c r="R199" s="158" t="str">
        <f>IFERROR(1-SUMIF('Grid BD'!$H:$H,$A199,'Grid BD'!AB:AB)/$F199,"")</f>
        <v/>
      </c>
      <c r="T199" s="159" t="str">
        <f>IFERROR(1-SUMIF(Tracker_BD!$H:$H,$A199,Tracker_BD!AI:AI)/$F199,"")</f>
        <v/>
      </c>
      <c r="U199" s="160" t="str">
        <f t="shared" si="13"/>
        <v/>
      </c>
      <c r="V199" s="160"/>
      <c r="W199" s="161" t="str">
        <f t="shared" si="14"/>
        <v/>
      </c>
      <c r="X199" s="156" t="str">
        <f>IFERROR(_xlfn.XLOOKUP($A199,'Raw Data'!$G:$G,'Raw Data'!$AB:$AB),"")</f>
        <v/>
      </c>
      <c r="Y199" s="156" t="str">
        <f>IFERROR(_xlfn.XLOOKUP($A199,'Raw Data'!$G:$G,'Raw Data'!AC:AC),"")</f>
        <v/>
      </c>
      <c r="Z199" s="156" t="str">
        <f>IFERROR(_xlfn.XLOOKUP($A199,'Raw Data'!$G:$G,'Raw Data'!AD:AD),"")</f>
        <v/>
      </c>
      <c r="AA199" s="156" t="str">
        <f>IFERROR(_xlfn.XLOOKUP($A199,'Raw Data'!$G:$G,'Raw Data'!AE:AE),"")</f>
        <v/>
      </c>
      <c r="AB199" s="156" t="str">
        <f>IFERROR(_xlfn.XLOOKUP($A199,'Raw Data'!$G:$G,'Raw Data'!$H:$H),"")</f>
        <v/>
      </c>
      <c r="AC199" s="162">
        <f>IFERROR(_xlfn.XLOOKUP($D199,'Modelling New'!$D:$D,'Modelling New'!$P:$P),"")</f>
        <v>5.6456101129032259</v>
      </c>
      <c r="AD199" s="156">
        <f>IFERROR(_xlfn.XLOOKUP($D199,'Modelling New'!$D:$D,'Modelling New'!$T:$T)*1000,"")</f>
        <v>50360.911058047554</v>
      </c>
      <c r="AE199" s="163">
        <f>IFERROR(_xlfn.XLOOKUP($D199,'Modelling New'!$D:$D,'Modelling New'!$O:$O),"")</f>
        <v>0.76112341749431001</v>
      </c>
      <c r="AF199" s="163">
        <f>IFERROR(_xlfn.XLOOKUP($D199,'Modelling New'!$D:$D,'Modelling New'!$W:$W),"")</f>
        <v>0.17904191929055585</v>
      </c>
      <c r="AG199" s="163">
        <f>IFERROR(_xlfn.XLOOKUP($D199,'Modelling New'!$D:$D,'Modelling New'!AE:AE),"")</f>
        <v>0.995</v>
      </c>
      <c r="AH199" s="163">
        <f>IFERROR(_xlfn.XLOOKUP($D199,'Modelling New'!$D:$D,'Modelling New'!AF:AF),"")</f>
        <v>0.98550000000000004</v>
      </c>
      <c r="AN199" s="164"/>
      <c r="AO199" s="161"/>
      <c r="AP199" s="161"/>
      <c r="AQ199" s="161"/>
      <c r="AR199" s="156">
        <f>IFERROR(_xlfn.XLOOKUP($D199,'Modelling New'!$D:$D,'Modelling New'!$N:$N),"")</f>
        <v>11.72</v>
      </c>
    </row>
    <row r="200" spans="1:44">
      <c r="A200" s="155">
        <f t="shared" si="15"/>
        <v>45943</v>
      </c>
      <c r="B200" s="156">
        <f>YEAR(Table13[[#This Row],[Date]])+IF(MONTH(Table13[[#This Row],[Date]])&gt;=4,1,0)</f>
        <v>2026</v>
      </c>
      <c r="C200" s="129">
        <f>YEAR(Table13[[#This Row],[Date]])</f>
        <v>2025</v>
      </c>
      <c r="D200" s="157">
        <f>Table13[[#This Row],[Date]]-DAY(Table13[[#This Row],[Date]])+1</f>
        <v>45931</v>
      </c>
      <c r="E200" s="129">
        <f t="shared" si="12"/>
        <v>31</v>
      </c>
      <c r="F200" s="130" t="str">
        <f>IFERROR(_xlfn.XLOOKUP($A200,'Raw Data'!$G:$G,'Raw Data'!$AH:$AH),"")</f>
        <v/>
      </c>
      <c r="G200" s="131" t="str">
        <f>IFERROR(_xlfn.XLOOKUP($A200,'Raw Data'!$G:$G,'Raw Data'!$S:$S)/1000,"")</f>
        <v/>
      </c>
      <c r="H200" s="131"/>
      <c r="I200" s="131" t="str">
        <f>IFERROR(_xlfn.XLOOKUP($A200,'Raw Data'!$G:$G,'Raw Data'!$AF:$AF)/1000,"")</f>
        <v/>
      </c>
      <c r="J200" s="131"/>
      <c r="K200" s="131" t="str">
        <f>IFERROR(_xlfn.XLOOKUP($A200,'Raw Data'!$G:$G,'Raw Data'!W:W),"")</f>
        <v/>
      </c>
      <c r="L200" s="131" t="str">
        <f>IFERROR(_xlfn.XLOOKUP($A200,'Raw Data'!$G:$G,'Raw Data'!X:X),"")</f>
        <v/>
      </c>
      <c r="M200" s="131" t="str">
        <f>IFERROR(_xlfn.XLOOKUP($A200,'Raw Data'!$G:$G,'Raw Data'!Y:Y),"")</f>
        <v/>
      </c>
      <c r="N200" s="131" t="str">
        <f>IFERROR(_xlfn.XLOOKUP($A200,'Raw Data'!$G:$G,'Raw Data'!Z:Z),"")</f>
        <v/>
      </c>
      <c r="O200" s="158" t="str">
        <f>IFERROR(1-SUMIF('Plant BD'!$H:$H,$A200,'Plant BD'!AC:AC)/$F200,"")</f>
        <v/>
      </c>
      <c r="P200" s="158"/>
      <c r="Q200" s="159"/>
      <c r="R200" s="158" t="str">
        <f>IFERROR(1-SUMIF('Grid BD'!$H:$H,$A200,'Grid BD'!AB:AB)/$F200,"")</f>
        <v/>
      </c>
      <c r="T200" s="159" t="str">
        <f>IFERROR(1-SUMIF(Tracker_BD!$H:$H,$A200,Tracker_BD!AI:AI)/$F200,"")</f>
        <v/>
      </c>
      <c r="U200" s="160" t="str">
        <f t="shared" si="13"/>
        <v/>
      </c>
      <c r="V200" s="160"/>
      <c r="W200" s="161" t="str">
        <f t="shared" si="14"/>
        <v/>
      </c>
      <c r="X200" s="156" t="str">
        <f>IFERROR(_xlfn.XLOOKUP($A200,'Raw Data'!$G:$G,'Raw Data'!$AB:$AB),"")</f>
        <v/>
      </c>
      <c r="Y200" s="156" t="str">
        <f>IFERROR(_xlfn.XLOOKUP($A200,'Raw Data'!$G:$G,'Raw Data'!AC:AC),"")</f>
        <v/>
      </c>
      <c r="Z200" s="156" t="str">
        <f>IFERROR(_xlfn.XLOOKUP($A200,'Raw Data'!$G:$G,'Raw Data'!AD:AD),"")</f>
        <v/>
      </c>
      <c r="AA200" s="156" t="str">
        <f>IFERROR(_xlfn.XLOOKUP($A200,'Raw Data'!$G:$G,'Raw Data'!AE:AE),"")</f>
        <v/>
      </c>
      <c r="AB200" s="156" t="str">
        <f>IFERROR(_xlfn.XLOOKUP($A200,'Raw Data'!$G:$G,'Raw Data'!$H:$H),"")</f>
        <v/>
      </c>
      <c r="AC200" s="162">
        <f>IFERROR(_xlfn.XLOOKUP($D200,'Modelling New'!$D:$D,'Modelling New'!$P:$P),"")</f>
        <v>5.6456101129032259</v>
      </c>
      <c r="AD200" s="156">
        <f>IFERROR(_xlfn.XLOOKUP($D200,'Modelling New'!$D:$D,'Modelling New'!$T:$T)*1000,"")</f>
        <v>50360.911058047554</v>
      </c>
      <c r="AE200" s="163">
        <f>IFERROR(_xlfn.XLOOKUP($D200,'Modelling New'!$D:$D,'Modelling New'!$O:$O),"")</f>
        <v>0.76112341749431001</v>
      </c>
      <c r="AF200" s="163">
        <f>IFERROR(_xlfn.XLOOKUP($D200,'Modelling New'!$D:$D,'Modelling New'!$W:$W),"")</f>
        <v>0.17904191929055585</v>
      </c>
      <c r="AG200" s="163">
        <f>IFERROR(_xlfn.XLOOKUP($D200,'Modelling New'!$D:$D,'Modelling New'!AE:AE),"")</f>
        <v>0.995</v>
      </c>
      <c r="AH200" s="163">
        <f>IFERROR(_xlfn.XLOOKUP($D200,'Modelling New'!$D:$D,'Modelling New'!AF:AF),"")</f>
        <v>0.98550000000000004</v>
      </c>
      <c r="AN200" s="164"/>
      <c r="AO200" s="161"/>
      <c r="AP200" s="161"/>
      <c r="AQ200" s="161"/>
      <c r="AR200" s="156">
        <f>IFERROR(_xlfn.XLOOKUP($D200,'Modelling New'!$D:$D,'Modelling New'!$N:$N),"")</f>
        <v>11.72</v>
      </c>
    </row>
    <row r="201" spans="1:44">
      <c r="A201" s="155">
        <f t="shared" si="15"/>
        <v>45944</v>
      </c>
      <c r="B201" s="156">
        <f>YEAR(Table13[[#This Row],[Date]])+IF(MONTH(Table13[[#This Row],[Date]])&gt;=4,1,0)</f>
        <v>2026</v>
      </c>
      <c r="C201" s="129">
        <f>YEAR(Table13[[#This Row],[Date]])</f>
        <v>2025</v>
      </c>
      <c r="D201" s="157">
        <f>Table13[[#This Row],[Date]]-DAY(Table13[[#This Row],[Date]])+1</f>
        <v>45931</v>
      </c>
      <c r="E201" s="129">
        <f t="shared" si="12"/>
        <v>31</v>
      </c>
      <c r="F201" s="130" t="str">
        <f>IFERROR(_xlfn.XLOOKUP($A201,'Raw Data'!$G:$G,'Raw Data'!$AH:$AH),"")</f>
        <v/>
      </c>
      <c r="G201" s="131" t="str">
        <f>IFERROR(_xlfn.XLOOKUP($A201,'Raw Data'!$G:$G,'Raw Data'!$S:$S)/1000,"")</f>
        <v/>
      </c>
      <c r="H201" s="131"/>
      <c r="I201" s="131" t="str">
        <f>IFERROR(_xlfn.XLOOKUP($A201,'Raw Data'!$G:$G,'Raw Data'!$AF:$AF)/1000,"")</f>
        <v/>
      </c>
      <c r="J201" s="131"/>
      <c r="K201" s="131" t="str">
        <f>IFERROR(_xlfn.XLOOKUP($A201,'Raw Data'!$G:$G,'Raw Data'!W:W),"")</f>
        <v/>
      </c>
      <c r="L201" s="131" t="str">
        <f>IFERROR(_xlfn.XLOOKUP($A201,'Raw Data'!$G:$G,'Raw Data'!X:X),"")</f>
        <v/>
      </c>
      <c r="M201" s="131" t="str">
        <f>IFERROR(_xlfn.XLOOKUP($A201,'Raw Data'!$G:$G,'Raw Data'!Y:Y),"")</f>
        <v/>
      </c>
      <c r="N201" s="131" t="str">
        <f>IFERROR(_xlfn.XLOOKUP($A201,'Raw Data'!$G:$G,'Raw Data'!Z:Z),"")</f>
        <v/>
      </c>
      <c r="O201" s="158" t="str">
        <f>IFERROR(1-SUMIF('Plant BD'!$H:$H,$A201,'Plant BD'!AC:AC)/$F201,"")</f>
        <v/>
      </c>
      <c r="P201" s="158"/>
      <c r="Q201" s="159"/>
      <c r="R201" s="158" t="str">
        <f>IFERROR(1-SUMIF('Grid BD'!$H:$H,$A201,'Grid BD'!AB:AB)/$F201,"")</f>
        <v/>
      </c>
      <c r="T201" s="159" t="str">
        <f>IFERROR(1-SUMIF(Tracker_BD!$H:$H,$A201,Tracker_BD!AI:AI)/$F201,"")</f>
        <v/>
      </c>
      <c r="U201" s="160" t="str">
        <f t="shared" si="13"/>
        <v/>
      </c>
      <c r="V201" s="160"/>
      <c r="W201" s="161" t="str">
        <f t="shared" si="14"/>
        <v/>
      </c>
      <c r="X201" s="156" t="str">
        <f>IFERROR(_xlfn.XLOOKUP($A201,'Raw Data'!$G:$G,'Raw Data'!$AB:$AB),"")</f>
        <v/>
      </c>
      <c r="Y201" s="156" t="str">
        <f>IFERROR(_xlfn.XLOOKUP($A201,'Raw Data'!$G:$G,'Raw Data'!AC:AC),"")</f>
        <v/>
      </c>
      <c r="Z201" s="156" t="str">
        <f>IFERROR(_xlfn.XLOOKUP($A201,'Raw Data'!$G:$G,'Raw Data'!AD:AD),"")</f>
        <v/>
      </c>
      <c r="AA201" s="156" t="str">
        <f>IFERROR(_xlfn.XLOOKUP($A201,'Raw Data'!$G:$G,'Raw Data'!AE:AE),"")</f>
        <v/>
      </c>
      <c r="AB201" s="156" t="str">
        <f>IFERROR(_xlfn.XLOOKUP($A201,'Raw Data'!$G:$G,'Raw Data'!$H:$H),"")</f>
        <v/>
      </c>
      <c r="AC201" s="162">
        <f>IFERROR(_xlfn.XLOOKUP($D201,'Modelling New'!$D:$D,'Modelling New'!$P:$P),"")</f>
        <v>5.6456101129032259</v>
      </c>
      <c r="AD201" s="156">
        <f>IFERROR(_xlfn.XLOOKUP($D201,'Modelling New'!$D:$D,'Modelling New'!$T:$T)*1000,"")</f>
        <v>50360.911058047554</v>
      </c>
      <c r="AE201" s="163">
        <f>IFERROR(_xlfn.XLOOKUP($D201,'Modelling New'!$D:$D,'Modelling New'!$O:$O),"")</f>
        <v>0.76112341749431001</v>
      </c>
      <c r="AF201" s="163">
        <f>IFERROR(_xlfn.XLOOKUP($D201,'Modelling New'!$D:$D,'Modelling New'!$W:$W),"")</f>
        <v>0.17904191929055585</v>
      </c>
      <c r="AG201" s="163">
        <f>IFERROR(_xlfn.XLOOKUP($D201,'Modelling New'!$D:$D,'Modelling New'!AE:AE),"")</f>
        <v>0.995</v>
      </c>
      <c r="AH201" s="163">
        <f>IFERROR(_xlfn.XLOOKUP($D201,'Modelling New'!$D:$D,'Modelling New'!AF:AF),"")</f>
        <v>0.98550000000000004</v>
      </c>
      <c r="AN201" s="164"/>
      <c r="AO201" s="161"/>
      <c r="AP201" s="161"/>
      <c r="AQ201" s="161"/>
      <c r="AR201" s="156">
        <f>IFERROR(_xlfn.XLOOKUP($D201,'Modelling New'!$D:$D,'Modelling New'!$N:$N),"")</f>
        <v>11.72</v>
      </c>
    </row>
    <row r="202" spans="1:44">
      <c r="A202" s="155">
        <f t="shared" si="15"/>
        <v>45945</v>
      </c>
      <c r="B202" s="156">
        <f>YEAR(Table13[[#This Row],[Date]])+IF(MONTH(Table13[[#This Row],[Date]])&gt;=4,1,0)</f>
        <v>2026</v>
      </c>
      <c r="C202" s="129">
        <f>YEAR(Table13[[#This Row],[Date]])</f>
        <v>2025</v>
      </c>
      <c r="D202" s="157">
        <f>Table13[[#This Row],[Date]]-DAY(Table13[[#This Row],[Date]])+1</f>
        <v>45931</v>
      </c>
      <c r="E202" s="129">
        <f t="shared" si="12"/>
        <v>31</v>
      </c>
      <c r="F202" s="130" t="str">
        <f>IFERROR(_xlfn.XLOOKUP($A202,'Raw Data'!$G:$G,'Raw Data'!$AH:$AH),"")</f>
        <v/>
      </c>
      <c r="G202" s="131" t="str">
        <f>IFERROR(_xlfn.XLOOKUP($A202,'Raw Data'!$G:$G,'Raw Data'!$S:$S)/1000,"")</f>
        <v/>
      </c>
      <c r="H202" s="131"/>
      <c r="I202" s="131" t="str">
        <f>IFERROR(_xlfn.XLOOKUP($A202,'Raw Data'!$G:$G,'Raw Data'!$AF:$AF)/1000,"")</f>
        <v/>
      </c>
      <c r="J202" s="131"/>
      <c r="K202" s="131" t="str">
        <f>IFERROR(_xlfn.XLOOKUP($A202,'Raw Data'!$G:$G,'Raw Data'!W:W),"")</f>
        <v/>
      </c>
      <c r="L202" s="131" t="str">
        <f>IFERROR(_xlfn.XLOOKUP($A202,'Raw Data'!$G:$G,'Raw Data'!X:X),"")</f>
        <v/>
      </c>
      <c r="M202" s="131" t="str">
        <f>IFERROR(_xlfn.XLOOKUP($A202,'Raw Data'!$G:$G,'Raw Data'!Y:Y),"")</f>
        <v/>
      </c>
      <c r="N202" s="131" t="str">
        <f>IFERROR(_xlfn.XLOOKUP($A202,'Raw Data'!$G:$G,'Raw Data'!Z:Z),"")</f>
        <v/>
      </c>
      <c r="O202" s="158" t="str">
        <f>IFERROR(1-SUMIF('Plant BD'!$H:$H,$A202,'Plant BD'!AC:AC)/$F202,"")</f>
        <v/>
      </c>
      <c r="P202" s="158"/>
      <c r="Q202" s="159"/>
      <c r="R202" s="158" t="str">
        <f>IFERROR(1-SUMIF('Grid BD'!$H:$H,$A202,'Grid BD'!AB:AB)/$F202,"")</f>
        <v/>
      </c>
      <c r="T202" s="159" t="str">
        <f>IFERROR(1-SUMIF(Tracker_BD!$H:$H,$A202,Tracker_BD!AI:AI)/$F202,"")</f>
        <v/>
      </c>
      <c r="U202" s="160" t="str">
        <f t="shared" si="13"/>
        <v/>
      </c>
      <c r="V202" s="160"/>
      <c r="W202" s="161" t="str">
        <f t="shared" si="14"/>
        <v/>
      </c>
      <c r="X202" s="156" t="str">
        <f>IFERROR(_xlfn.XLOOKUP($A202,'Raw Data'!$G:$G,'Raw Data'!$AB:$AB),"")</f>
        <v/>
      </c>
      <c r="Y202" s="156" t="str">
        <f>IFERROR(_xlfn.XLOOKUP($A202,'Raw Data'!$G:$G,'Raw Data'!AC:AC),"")</f>
        <v/>
      </c>
      <c r="Z202" s="156" t="str">
        <f>IFERROR(_xlfn.XLOOKUP($A202,'Raw Data'!$G:$G,'Raw Data'!AD:AD),"")</f>
        <v/>
      </c>
      <c r="AA202" s="156" t="str">
        <f>IFERROR(_xlfn.XLOOKUP($A202,'Raw Data'!$G:$G,'Raw Data'!AE:AE),"")</f>
        <v/>
      </c>
      <c r="AB202" s="156" t="str">
        <f>IFERROR(_xlfn.XLOOKUP($A202,'Raw Data'!$G:$G,'Raw Data'!$H:$H),"")</f>
        <v/>
      </c>
      <c r="AC202" s="162">
        <f>IFERROR(_xlfn.XLOOKUP($D202,'Modelling New'!$D:$D,'Modelling New'!$P:$P),"")</f>
        <v>5.6456101129032259</v>
      </c>
      <c r="AD202" s="156">
        <f>IFERROR(_xlfn.XLOOKUP($D202,'Modelling New'!$D:$D,'Modelling New'!$T:$T)*1000,"")</f>
        <v>50360.911058047554</v>
      </c>
      <c r="AE202" s="163">
        <f>IFERROR(_xlfn.XLOOKUP($D202,'Modelling New'!$D:$D,'Modelling New'!$O:$O),"")</f>
        <v>0.76112341749431001</v>
      </c>
      <c r="AF202" s="163">
        <f>IFERROR(_xlfn.XLOOKUP($D202,'Modelling New'!$D:$D,'Modelling New'!$W:$W),"")</f>
        <v>0.17904191929055585</v>
      </c>
      <c r="AG202" s="163">
        <f>IFERROR(_xlfn.XLOOKUP($D202,'Modelling New'!$D:$D,'Modelling New'!AE:AE),"")</f>
        <v>0.995</v>
      </c>
      <c r="AH202" s="163">
        <f>IFERROR(_xlfn.XLOOKUP($D202,'Modelling New'!$D:$D,'Modelling New'!AF:AF),"")</f>
        <v>0.98550000000000004</v>
      </c>
      <c r="AN202" s="164"/>
      <c r="AO202" s="161"/>
      <c r="AP202" s="161"/>
      <c r="AQ202" s="161"/>
      <c r="AR202" s="156">
        <f>IFERROR(_xlfn.XLOOKUP($D202,'Modelling New'!$D:$D,'Modelling New'!$N:$N),"")</f>
        <v>11.72</v>
      </c>
    </row>
    <row r="203" spans="1:44">
      <c r="A203" s="155">
        <f t="shared" si="15"/>
        <v>45946</v>
      </c>
      <c r="B203" s="156">
        <f>YEAR(Table13[[#This Row],[Date]])+IF(MONTH(Table13[[#This Row],[Date]])&gt;=4,1,0)</f>
        <v>2026</v>
      </c>
      <c r="C203" s="129">
        <f>YEAR(Table13[[#This Row],[Date]])</f>
        <v>2025</v>
      </c>
      <c r="D203" s="157">
        <f>Table13[[#This Row],[Date]]-DAY(Table13[[#This Row],[Date]])+1</f>
        <v>45931</v>
      </c>
      <c r="E203" s="129">
        <f t="shared" si="12"/>
        <v>31</v>
      </c>
      <c r="F203" s="130" t="str">
        <f>IFERROR(_xlfn.XLOOKUP($A203,'Raw Data'!$G:$G,'Raw Data'!$AH:$AH),"")</f>
        <v/>
      </c>
      <c r="G203" s="131" t="str">
        <f>IFERROR(_xlfn.XLOOKUP($A203,'Raw Data'!$G:$G,'Raw Data'!$S:$S)/1000,"")</f>
        <v/>
      </c>
      <c r="H203" s="131"/>
      <c r="I203" s="131" t="str">
        <f>IFERROR(_xlfn.XLOOKUP($A203,'Raw Data'!$G:$G,'Raw Data'!$AF:$AF)/1000,"")</f>
        <v/>
      </c>
      <c r="J203" s="131"/>
      <c r="K203" s="131" t="str">
        <f>IFERROR(_xlfn.XLOOKUP($A203,'Raw Data'!$G:$G,'Raw Data'!W:W),"")</f>
        <v/>
      </c>
      <c r="L203" s="131" t="str">
        <f>IFERROR(_xlfn.XLOOKUP($A203,'Raw Data'!$G:$G,'Raw Data'!X:X),"")</f>
        <v/>
      </c>
      <c r="M203" s="131" t="str">
        <f>IFERROR(_xlfn.XLOOKUP($A203,'Raw Data'!$G:$G,'Raw Data'!Y:Y),"")</f>
        <v/>
      </c>
      <c r="N203" s="131" t="str">
        <f>IFERROR(_xlfn.XLOOKUP($A203,'Raw Data'!$G:$G,'Raw Data'!Z:Z),"")</f>
        <v/>
      </c>
      <c r="O203" s="158" t="str">
        <f>IFERROR(1-SUMIF('Plant BD'!$H:$H,$A203,'Plant BD'!AC:AC)/$F203,"")</f>
        <v/>
      </c>
      <c r="P203" s="158"/>
      <c r="Q203" s="159"/>
      <c r="R203" s="158" t="str">
        <f>IFERROR(1-SUMIF('Grid BD'!$H:$H,$A203,'Grid BD'!AB:AB)/$F203,"")</f>
        <v/>
      </c>
      <c r="T203" s="159" t="str">
        <f>IFERROR(1-SUMIF(Tracker_BD!$H:$H,$A203,Tracker_BD!AI:AI)/$F203,"")</f>
        <v/>
      </c>
      <c r="U203" s="160" t="str">
        <f t="shared" si="13"/>
        <v/>
      </c>
      <c r="V203" s="160"/>
      <c r="W203" s="161" t="str">
        <f t="shared" si="14"/>
        <v/>
      </c>
      <c r="X203" s="156" t="str">
        <f>IFERROR(_xlfn.XLOOKUP($A203,'Raw Data'!$G:$G,'Raw Data'!$AB:$AB),"")</f>
        <v/>
      </c>
      <c r="Y203" s="156" t="str">
        <f>IFERROR(_xlfn.XLOOKUP($A203,'Raw Data'!$G:$G,'Raw Data'!AC:AC),"")</f>
        <v/>
      </c>
      <c r="Z203" s="156" t="str">
        <f>IFERROR(_xlfn.XLOOKUP($A203,'Raw Data'!$G:$G,'Raw Data'!AD:AD),"")</f>
        <v/>
      </c>
      <c r="AA203" s="156" t="str">
        <f>IFERROR(_xlfn.XLOOKUP($A203,'Raw Data'!$G:$G,'Raw Data'!AE:AE),"")</f>
        <v/>
      </c>
      <c r="AB203" s="156" t="str">
        <f>IFERROR(_xlfn.XLOOKUP($A203,'Raw Data'!$G:$G,'Raw Data'!$H:$H),"")</f>
        <v/>
      </c>
      <c r="AC203" s="162">
        <f>IFERROR(_xlfn.XLOOKUP($D203,'Modelling New'!$D:$D,'Modelling New'!$P:$P),"")</f>
        <v>5.6456101129032259</v>
      </c>
      <c r="AD203" s="156">
        <f>IFERROR(_xlfn.XLOOKUP($D203,'Modelling New'!$D:$D,'Modelling New'!$T:$T)*1000,"")</f>
        <v>50360.911058047554</v>
      </c>
      <c r="AE203" s="163">
        <f>IFERROR(_xlfn.XLOOKUP($D203,'Modelling New'!$D:$D,'Modelling New'!$O:$O),"")</f>
        <v>0.76112341749431001</v>
      </c>
      <c r="AF203" s="163">
        <f>IFERROR(_xlfn.XLOOKUP($D203,'Modelling New'!$D:$D,'Modelling New'!$W:$W),"")</f>
        <v>0.17904191929055585</v>
      </c>
      <c r="AG203" s="163">
        <f>IFERROR(_xlfn.XLOOKUP($D203,'Modelling New'!$D:$D,'Modelling New'!AE:AE),"")</f>
        <v>0.995</v>
      </c>
      <c r="AH203" s="163">
        <f>IFERROR(_xlfn.XLOOKUP($D203,'Modelling New'!$D:$D,'Modelling New'!AF:AF),"")</f>
        <v>0.98550000000000004</v>
      </c>
      <c r="AN203" s="164"/>
      <c r="AO203" s="161"/>
      <c r="AP203" s="161"/>
      <c r="AQ203" s="161"/>
      <c r="AR203" s="156">
        <f>IFERROR(_xlfn.XLOOKUP($D203,'Modelling New'!$D:$D,'Modelling New'!$N:$N),"")</f>
        <v>11.72</v>
      </c>
    </row>
    <row r="204" spans="1:44">
      <c r="A204" s="155">
        <f t="shared" si="15"/>
        <v>45947</v>
      </c>
      <c r="B204" s="156">
        <f>YEAR(Table13[[#This Row],[Date]])+IF(MONTH(Table13[[#This Row],[Date]])&gt;=4,1,0)</f>
        <v>2026</v>
      </c>
      <c r="C204" s="129">
        <f>YEAR(Table13[[#This Row],[Date]])</f>
        <v>2025</v>
      </c>
      <c r="D204" s="157">
        <f>Table13[[#This Row],[Date]]-DAY(Table13[[#This Row],[Date]])+1</f>
        <v>45931</v>
      </c>
      <c r="E204" s="129">
        <f t="shared" si="12"/>
        <v>31</v>
      </c>
      <c r="F204" s="130" t="str">
        <f>IFERROR(_xlfn.XLOOKUP($A204,'Raw Data'!$G:$G,'Raw Data'!$AH:$AH),"")</f>
        <v/>
      </c>
      <c r="G204" s="131" t="str">
        <f>IFERROR(_xlfn.XLOOKUP($A204,'Raw Data'!$G:$G,'Raw Data'!$S:$S)/1000,"")</f>
        <v/>
      </c>
      <c r="H204" s="131"/>
      <c r="I204" s="131" t="str">
        <f>IFERROR(_xlfn.XLOOKUP($A204,'Raw Data'!$G:$G,'Raw Data'!$AF:$AF)/1000,"")</f>
        <v/>
      </c>
      <c r="J204" s="131"/>
      <c r="K204" s="131" t="str">
        <f>IFERROR(_xlfn.XLOOKUP($A204,'Raw Data'!$G:$G,'Raw Data'!W:W),"")</f>
        <v/>
      </c>
      <c r="L204" s="131" t="str">
        <f>IFERROR(_xlfn.XLOOKUP($A204,'Raw Data'!$G:$G,'Raw Data'!X:X),"")</f>
        <v/>
      </c>
      <c r="M204" s="131" t="str">
        <f>IFERROR(_xlfn.XLOOKUP($A204,'Raw Data'!$G:$G,'Raw Data'!Y:Y),"")</f>
        <v/>
      </c>
      <c r="N204" s="131" t="str">
        <f>IFERROR(_xlfn.XLOOKUP($A204,'Raw Data'!$G:$G,'Raw Data'!Z:Z),"")</f>
        <v/>
      </c>
      <c r="O204" s="158" t="str">
        <f>IFERROR(1-SUMIF('Plant BD'!$H:$H,$A204,'Plant BD'!AC:AC)/$F204,"")</f>
        <v/>
      </c>
      <c r="P204" s="158"/>
      <c r="Q204" s="159"/>
      <c r="R204" s="158" t="str">
        <f>IFERROR(1-SUMIF('Grid BD'!$H:$H,$A204,'Grid BD'!AB:AB)/$F204,"")</f>
        <v/>
      </c>
      <c r="T204" s="159" t="str">
        <f>IFERROR(1-SUMIF(Tracker_BD!$H:$H,$A204,Tracker_BD!AI:AI)/$F204,"")</f>
        <v/>
      </c>
      <c r="U204" s="160" t="str">
        <f t="shared" si="13"/>
        <v/>
      </c>
      <c r="V204" s="160"/>
      <c r="W204" s="161" t="str">
        <f t="shared" si="14"/>
        <v/>
      </c>
      <c r="X204" s="156" t="str">
        <f>IFERROR(_xlfn.XLOOKUP($A204,'Raw Data'!$G:$G,'Raw Data'!$AB:$AB),"")</f>
        <v/>
      </c>
      <c r="Y204" s="156" t="str">
        <f>IFERROR(_xlfn.XLOOKUP($A204,'Raw Data'!$G:$G,'Raw Data'!AC:AC),"")</f>
        <v/>
      </c>
      <c r="Z204" s="156" t="str">
        <f>IFERROR(_xlfn.XLOOKUP($A204,'Raw Data'!$G:$G,'Raw Data'!AD:AD),"")</f>
        <v/>
      </c>
      <c r="AA204" s="156" t="str">
        <f>IFERROR(_xlfn.XLOOKUP($A204,'Raw Data'!$G:$G,'Raw Data'!AE:AE),"")</f>
        <v/>
      </c>
      <c r="AB204" s="156" t="str">
        <f>IFERROR(_xlfn.XLOOKUP($A204,'Raw Data'!$G:$G,'Raw Data'!$H:$H),"")</f>
        <v/>
      </c>
      <c r="AC204" s="162">
        <f>IFERROR(_xlfn.XLOOKUP($D204,'Modelling New'!$D:$D,'Modelling New'!$P:$P),"")</f>
        <v>5.6456101129032259</v>
      </c>
      <c r="AD204" s="156">
        <f>IFERROR(_xlfn.XLOOKUP($D204,'Modelling New'!$D:$D,'Modelling New'!$T:$T)*1000,"")</f>
        <v>50360.911058047554</v>
      </c>
      <c r="AE204" s="163">
        <f>IFERROR(_xlfn.XLOOKUP($D204,'Modelling New'!$D:$D,'Modelling New'!$O:$O),"")</f>
        <v>0.76112341749431001</v>
      </c>
      <c r="AF204" s="163">
        <f>IFERROR(_xlfn.XLOOKUP($D204,'Modelling New'!$D:$D,'Modelling New'!$W:$W),"")</f>
        <v>0.17904191929055585</v>
      </c>
      <c r="AG204" s="163">
        <f>IFERROR(_xlfn.XLOOKUP($D204,'Modelling New'!$D:$D,'Modelling New'!AE:AE),"")</f>
        <v>0.995</v>
      </c>
      <c r="AH204" s="163">
        <f>IFERROR(_xlfn.XLOOKUP($D204,'Modelling New'!$D:$D,'Modelling New'!AF:AF),"")</f>
        <v>0.98550000000000004</v>
      </c>
      <c r="AN204" s="164"/>
      <c r="AO204" s="161"/>
      <c r="AP204" s="161"/>
      <c r="AQ204" s="161"/>
      <c r="AR204" s="156">
        <f>IFERROR(_xlfn.XLOOKUP($D204,'Modelling New'!$D:$D,'Modelling New'!$N:$N),"")</f>
        <v>11.72</v>
      </c>
    </row>
    <row r="205" spans="1:44">
      <c r="A205" s="155">
        <f t="shared" si="15"/>
        <v>45948</v>
      </c>
      <c r="B205" s="156">
        <f>YEAR(Table13[[#This Row],[Date]])+IF(MONTH(Table13[[#This Row],[Date]])&gt;=4,1,0)</f>
        <v>2026</v>
      </c>
      <c r="C205" s="129">
        <f>YEAR(Table13[[#This Row],[Date]])</f>
        <v>2025</v>
      </c>
      <c r="D205" s="157">
        <f>Table13[[#This Row],[Date]]-DAY(Table13[[#This Row],[Date]])+1</f>
        <v>45931</v>
      </c>
      <c r="E205" s="129">
        <f t="shared" si="12"/>
        <v>31</v>
      </c>
      <c r="F205" s="130" t="str">
        <f>IFERROR(_xlfn.XLOOKUP($A205,'Raw Data'!$G:$G,'Raw Data'!$AH:$AH),"")</f>
        <v/>
      </c>
      <c r="G205" s="131" t="str">
        <f>IFERROR(_xlfn.XLOOKUP($A205,'Raw Data'!$G:$G,'Raw Data'!$S:$S)/1000,"")</f>
        <v/>
      </c>
      <c r="H205" s="131"/>
      <c r="I205" s="131" t="str">
        <f>IFERROR(_xlfn.XLOOKUP($A205,'Raw Data'!$G:$G,'Raw Data'!$AF:$AF)/1000,"")</f>
        <v/>
      </c>
      <c r="J205" s="131"/>
      <c r="K205" s="131" t="str">
        <f>IFERROR(_xlfn.XLOOKUP($A205,'Raw Data'!$G:$G,'Raw Data'!W:W),"")</f>
        <v/>
      </c>
      <c r="L205" s="131" t="str">
        <f>IFERROR(_xlfn.XLOOKUP($A205,'Raw Data'!$G:$G,'Raw Data'!X:X),"")</f>
        <v/>
      </c>
      <c r="M205" s="131" t="str">
        <f>IFERROR(_xlfn.XLOOKUP($A205,'Raw Data'!$G:$G,'Raw Data'!Y:Y),"")</f>
        <v/>
      </c>
      <c r="N205" s="131" t="str">
        <f>IFERROR(_xlfn.XLOOKUP($A205,'Raw Data'!$G:$G,'Raw Data'!Z:Z),"")</f>
        <v/>
      </c>
      <c r="O205" s="158" t="str">
        <f>IFERROR(1-SUMIF('Plant BD'!$H:$H,$A205,'Plant BD'!AC:AC)/$F205,"")</f>
        <v/>
      </c>
      <c r="P205" s="158"/>
      <c r="Q205" s="159"/>
      <c r="R205" s="158" t="str">
        <f>IFERROR(1-SUMIF('Grid BD'!$H:$H,$A205,'Grid BD'!AB:AB)/$F205,"")</f>
        <v/>
      </c>
      <c r="T205" s="159" t="str">
        <f>IFERROR(1-SUMIF(Tracker_BD!$H:$H,$A205,Tracker_BD!AI:AI)/$F205,"")</f>
        <v/>
      </c>
      <c r="U205" s="160" t="str">
        <f t="shared" si="13"/>
        <v/>
      </c>
      <c r="V205" s="160"/>
      <c r="W205" s="161" t="str">
        <f t="shared" si="14"/>
        <v/>
      </c>
      <c r="X205" s="156" t="str">
        <f>IFERROR(_xlfn.XLOOKUP($A205,'Raw Data'!$G:$G,'Raw Data'!$AB:$AB),"")</f>
        <v/>
      </c>
      <c r="Y205" s="156" t="str">
        <f>IFERROR(_xlfn.XLOOKUP($A205,'Raw Data'!$G:$G,'Raw Data'!AC:AC),"")</f>
        <v/>
      </c>
      <c r="Z205" s="156" t="str">
        <f>IFERROR(_xlfn.XLOOKUP($A205,'Raw Data'!$G:$G,'Raw Data'!AD:AD),"")</f>
        <v/>
      </c>
      <c r="AA205" s="156" t="str">
        <f>IFERROR(_xlfn.XLOOKUP($A205,'Raw Data'!$G:$G,'Raw Data'!AE:AE),"")</f>
        <v/>
      </c>
      <c r="AB205" s="156" t="str">
        <f>IFERROR(_xlfn.XLOOKUP($A205,'Raw Data'!$G:$G,'Raw Data'!$H:$H),"")</f>
        <v/>
      </c>
      <c r="AC205" s="162">
        <f>IFERROR(_xlfn.XLOOKUP($D205,'Modelling New'!$D:$D,'Modelling New'!$P:$P),"")</f>
        <v>5.6456101129032259</v>
      </c>
      <c r="AD205" s="156">
        <f>IFERROR(_xlfn.XLOOKUP($D205,'Modelling New'!$D:$D,'Modelling New'!$T:$T)*1000,"")</f>
        <v>50360.911058047554</v>
      </c>
      <c r="AE205" s="163">
        <f>IFERROR(_xlfn.XLOOKUP($D205,'Modelling New'!$D:$D,'Modelling New'!$O:$O),"")</f>
        <v>0.76112341749431001</v>
      </c>
      <c r="AF205" s="163">
        <f>IFERROR(_xlfn.XLOOKUP($D205,'Modelling New'!$D:$D,'Modelling New'!$W:$W),"")</f>
        <v>0.17904191929055585</v>
      </c>
      <c r="AG205" s="163">
        <f>IFERROR(_xlfn.XLOOKUP($D205,'Modelling New'!$D:$D,'Modelling New'!AE:AE),"")</f>
        <v>0.995</v>
      </c>
      <c r="AH205" s="163">
        <f>IFERROR(_xlfn.XLOOKUP($D205,'Modelling New'!$D:$D,'Modelling New'!AF:AF),"")</f>
        <v>0.98550000000000004</v>
      </c>
      <c r="AN205" s="164"/>
      <c r="AO205" s="161"/>
      <c r="AP205" s="161"/>
      <c r="AQ205" s="161"/>
      <c r="AR205" s="156">
        <f>IFERROR(_xlfn.XLOOKUP($D205,'Modelling New'!$D:$D,'Modelling New'!$N:$N),"")</f>
        <v>11.72</v>
      </c>
    </row>
    <row r="206" spans="1:44">
      <c r="A206" s="155">
        <f t="shared" si="15"/>
        <v>45949</v>
      </c>
      <c r="B206" s="156">
        <f>YEAR(Table13[[#This Row],[Date]])+IF(MONTH(Table13[[#This Row],[Date]])&gt;=4,1,0)</f>
        <v>2026</v>
      </c>
      <c r="C206" s="129">
        <f>YEAR(Table13[[#This Row],[Date]])</f>
        <v>2025</v>
      </c>
      <c r="D206" s="157">
        <f>Table13[[#This Row],[Date]]-DAY(Table13[[#This Row],[Date]])+1</f>
        <v>45931</v>
      </c>
      <c r="E206" s="129">
        <f t="shared" si="12"/>
        <v>31</v>
      </c>
      <c r="F206" s="130" t="str">
        <f>IFERROR(_xlfn.XLOOKUP($A206,'Raw Data'!$G:$G,'Raw Data'!$AH:$AH),"")</f>
        <v/>
      </c>
      <c r="G206" s="131" t="str">
        <f>IFERROR(_xlfn.XLOOKUP($A206,'Raw Data'!$G:$G,'Raw Data'!$S:$S)/1000,"")</f>
        <v/>
      </c>
      <c r="H206" s="131"/>
      <c r="I206" s="131" t="str">
        <f>IFERROR(_xlfn.XLOOKUP($A206,'Raw Data'!$G:$G,'Raw Data'!$AF:$AF)/1000,"")</f>
        <v/>
      </c>
      <c r="J206" s="131"/>
      <c r="K206" s="131" t="str">
        <f>IFERROR(_xlfn.XLOOKUP($A206,'Raw Data'!$G:$G,'Raw Data'!W:W),"")</f>
        <v/>
      </c>
      <c r="L206" s="131" t="str">
        <f>IFERROR(_xlfn.XLOOKUP($A206,'Raw Data'!$G:$G,'Raw Data'!X:X),"")</f>
        <v/>
      </c>
      <c r="M206" s="131" t="str">
        <f>IFERROR(_xlfn.XLOOKUP($A206,'Raw Data'!$G:$G,'Raw Data'!Y:Y),"")</f>
        <v/>
      </c>
      <c r="N206" s="131" t="str">
        <f>IFERROR(_xlfn.XLOOKUP($A206,'Raw Data'!$G:$G,'Raw Data'!Z:Z),"")</f>
        <v/>
      </c>
      <c r="O206" s="158" t="str">
        <f>IFERROR(1-SUMIF('Plant BD'!$H:$H,$A206,'Plant BD'!AC:AC)/$F206,"")</f>
        <v/>
      </c>
      <c r="P206" s="158"/>
      <c r="Q206" s="159"/>
      <c r="R206" s="158" t="str">
        <f>IFERROR(1-SUMIF('Grid BD'!$H:$H,$A206,'Grid BD'!AB:AB)/$F206,"")</f>
        <v/>
      </c>
      <c r="T206" s="159" t="str">
        <f>IFERROR(1-SUMIF(Tracker_BD!$H:$H,$A206,Tracker_BD!AI:AI)/$F206,"")</f>
        <v/>
      </c>
      <c r="U206" s="160" t="str">
        <f t="shared" si="13"/>
        <v/>
      </c>
      <c r="V206" s="160"/>
      <c r="W206" s="161" t="str">
        <f t="shared" si="14"/>
        <v/>
      </c>
      <c r="X206" s="156" t="str">
        <f>IFERROR(_xlfn.XLOOKUP($A206,'Raw Data'!$G:$G,'Raw Data'!$AB:$AB),"")</f>
        <v/>
      </c>
      <c r="Y206" s="156" t="str">
        <f>IFERROR(_xlfn.XLOOKUP($A206,'Raw Data'!$G:$G,'Raw Data'!AC:AC),"")</f>
        <v/>
      </c>
      <c r="Z206" s="156" t="str">
        <f>IFERROR(_xlfn.XLOOKUP($A206,'Raw Data'!$G:$G,'Raw Data'!AD:AD),"")</f>
        <v/>
      </c>
      <c r="AA206" s="156" t="str">
        <f>IFERROR(_xlfn.XLOOKUP($A206,'Raw Data'!$G:$G,'Raw Data'!AE:AE),"")</f>
        <v/>
      </c>
      <c r="AB206" s="156" t="str">
        <f>IFERROR(_xlfn.XLOOKUP($A206,'Raw Data'!$G:$G,'Raw Data'!$H:$H),"")</f>
        <v/>
      </c>
      <c r="AC206" s="162">
        <f>IFERROR(_xlfn.XLOOKUP($D206,'Modelling New'!$D:$D,'Modelling New'!$P:$P),"")</f>
        <v>5.6456101129032259</v>
      </c>
      <c r="AD206" s="156">
        <f>IFERROR(_xlfn.XLOOKUP($D206,'Modelling New'!$D:$D,'Modelling New'!$T:$T)*1000,"")</f>
        <v>50360.911058047554</v>
      </c>
      <c r="AE206" s="163">
        <f>IFERROR(_xlfn.XLOOKUP($D206,'Modelling New'!$D:$D,'Modelling New'!$O:$O),"")</f>
        <v>0.76112341749431001</v>
      </c>
      <c r="AF206" s="163">
        <f>IFERROR(_xlfn.XLOOKUP($D206,'Modelling New'!$D:$D,'Modelling New'!$W:$W),"")</f>
        <v>0.17904191929055585</v>
      </c>
      <c r="AG206" s="163">
        <f>IFERROR(_xlfn.XLOOKUP($D206,'Modelling New'!$D:$D,'Modelling New'!AE:AE),"")</f>
        <v>0.995</v>
      </c>
      <c r="AH206" s="163">
        <f>IFERROR(_xlfn.XLOOKUP($D206,'Modelling New'!$D:$D,'Modelling New'!AF:AF),"")</f>
        <v>0.98550000000000004</v>
      </c>
      <c r="AN206" s="164"/>
      <c r="AO206" s="161"/>
      <c r="AP206" s="161"/>
      <c r="AQ206" s="161"/>
      <c r="AR206" s="156">
        <f>IFERROR(_xlfn.XLOOKUP($D206,'Modelling New'!$D:$D,'Modelling New'!$N:$N),"")</f>
        <v>11.72</v>
      </c>
    </row>
    <row r="207" spans="1:44">
      <c r="A207" s="155">
        <f t="shared" si="15"/>
        <v>45950</v>
      </c>
      <c r="B207" s="156">
        <f>YEAR(Table13[[#This Row],[Date]])+IF(MONTH(Table13[[#This Row],[Date]])&gt;=4,1,0)</f>
        <v>2026</v>
      </c>
      <c r="C207" s="129">
        <f>YEAR(Table13[[#This Row],[Date]])</f>
        <v>2025</v>
      </c>
      <c r="D207" s="157">
        <f>Table13[[#This Row],[Date]]-DAY(Table13[[#This Row],[Date]])+1</f>
        <v>45931</v>
      </c>
      <c r="E207" s="129">
        <f t="shared" si="12"/>
        <v>31</v>
      </c>
      <c r="F207" s="130" t="str">
        <f>IFERROR(_xlfn.XLOOKUP($A207,'Raw Data'!$G:$G,'Raw Data'!$AH:$AH),"")</f>
        <v/>
      </c>
      <c r="G207" s="131" t="str">
        <f>IFERROR(_xlfn.XLOOKUP($A207,'Raw Data'!$G:$G,'Raw Data'!$S:$S)/1000,"")</f>
        <v/>
      </c>
      <c r="H207" s="131"/>
      <c r="I207" s="131" t="str">
        <f>IFERROR(_xlfn.XLOOKUP($A207,'Raw Data'!$G:$G,'Raw Data'!$AF:$AF)/1000,"")</f>
        <v/>
      </c>
      <c r="J207" s="131"/>
      <c r="K207" s="131" t="str">
        <f>IFERROR(_xlfn.XLOOKUP($A207,'Raw Data'!$G:$G,'Raw Data'!W:W),"")</f>
        <v/>
      </c>
      <c r="L207" s="131" t="str">
        <f>IFERROR(_xlfn.XLOOKUP($A207,'Raw Data'!$G:$G,'Raw Data'!X:X),"")</f>
        <v/>
      </c>
      <c r="M207" s="131" t="str">
        <f>IFERROR(_xlfn.XLOOKUP($A207,'Raw Data'!$G:$G,'Raw Data'!Y:Y),"")</f>
        <v/>
      </c>
      <c r="N207" s="131" t="str">
        <f>IFERROR(_xlfn.XLOOKUP($A207,'Raw Data'!$G:$G,'Raw Data'!Z:Z),"")</f>
        <v/>
      </c>
      <c r="O207" s="158" t="str">
        <f>IFERROR(1-SUMIF('Plant BD'!$H:$H,$A207,'Plant BD'!AC:AC)/$F207,"")</f>
        <v/>
      </c>
      <c r="P207" s="158"/>
      <c r="Q207" s="159"/>
      <c r="R207" s="158" t="str">
        <f>IFERROR(1-SUMIF('Grid BD'!$H:$H,$A207,'Grid BD'!AB:AB)/$F207,"")</f>
        <v/>
      </c>
      <c r="T207" s="159" t="str">
        <f>IFERROR(1-SUMIF(Tracker_BD!$H:$H,$A207,Tracker_BD!AI:AI)/$F207,"")</f>
        <v/>
      </c>
      <c r="U207" s="160" t="str">
        <f t="shared" si="13"/>
        <v/>
      </c>
      <c r="V207" s="160"/>
      <c r="W207" s="161" t="str">
        <f t="shared" si="14"/>
        <v/>
      </c>
      <c r="X207" s="156" t="str">
        <f>IFERROR(_xlfn.XLOOKUP($A207,'Raw Data'!$G:$G,'Raw Data'!$AB:$AB),"")</f>
        <v/>
      </c>
      <c r="Y207" s="156" t="str">
        <f>IFERROR(_xlfn.XLOOKUP($A207,'Raw Data'!$G:$G,'Raw Data'!AC:AC),"")</f>
        <v/>
      </c>
      <c r="Z207" s="156" t="str">
        <f>IFERROR(_xlfn.XLOOKUP($A207,'Raw Data'!$G:$G,'Raw Data'!AD:AD),"")</f>
        <v/>
      </c>
      <c r="AA207" s="156" t="str">
        <f>IFERROR(_xlfn.XLOOKUP($A207,'Raw Data'!$G:$G,'Raw Data'!AE:AE),"")</f>
        <v/>
      </c>
      <c r="AB207" s="156" t="str">
        <f>IFERROR(_xlfn.XLOOKUP($A207,'Raw Data'!$G:$G,'Raw Data'!$H:$H),"")</f>
        <v/>
      </c>
      <c r="AC207" s="162">
        <f>IFERROR(_xlfn.XLOOKUP($D207,'Modelling New'!$D:$D,'Modelling New'!$P:$P),"")</f>
        <v>5.6456101129032259</v>
      </c>
      <c r="AD207" s="156">
        <f>IFERROR(_xlfn.XLOOKUP($D207,'Modelling New'!$D:$D,'Modelling New'!$T:$T)*1000,"")</f>
        <v>50360.911058047554</v>
      </c>
      <c r="AE207" s="163">
        <f>IFERROR(_xlfn.XLOOKUP($D207,'Modelling New'!$D:$D,'Modelling New'!$O:$O),"")</f>
        <v>0.76112341749431001</v>
      </c>
      <c r="AF207" s="163">
        <f>IFERROR(_xlfn.XLOOKUP($D207,'Modelling New'!$D:$D,'Modelling New'!$W:$W),"")</f>
        <v>0.17904191929055585</v>
      </c>
      <c r="AG207" s="163">
        <f>IFERROR(_xlfn.XLOOKUP($D207,'Modelling New'!$D:$D,'Modelling New'!AE:AE),"")</f>
        <v>0.995</v>
      </c>
      <c r="AH207" s="163">
        <f>IFERROR(_xlfn.XLOOKUP($D207,'Modelling New'!$D:$D,'Modelling New'!AF:AF),"")</f>
        <v>0.98550000000000004</v>
      </c>
      <c r="AN207" s="164"/>
      <c r="AO207" s="161"/>
      <c r="AP207" s="161"/>
      <c r="AQ207" s="161"/>
      <c r="AR207" s="156">
        <f>IFERROR(_xlfn.XLOOKUP($D207,'Modelling New'!$D:$D,'Modelling New'!$N:$N),"")</f>
        <v>11.72</v>
      </c>
    </row>
    <row r="208" spans="1:44">
      <c r="A208" s="155">
        <f t="shared" si="15"/>
        <v>45951</v>
      </c>
      <c r="B208" s="156">
        <f>YEAR(Table13[[#This Row],[Date]])+IF(MONTH(Table13[[#This Row],[Date]])&gt;=4,1,0)</f>
        <v>2026</v>
      </c>
      <c r="C208" s="129">
        <f>YEAR(Table13[[#This Row],[Date]])</f>
        <v>2025</v>
      </c>
      <c r="D208" s="157">
        <f>Table13[[#This Row],[Date]]-DAY(Table13[[#This Row],[Date]])+1</f>
        <v>45931</v>
      </c>
      <c r="E208" s="129">
        <f t="shared" ref="E208:E249" si="16">DAY(EOMONTH(A208,0))</f>
        <v>31</v>
      </c>
      <c r="F208" s="130" t="str">
        <f>IFERROR(_xlfn.XLOOKUP($A208,'Raw Data'!$G:$G,'Raw Data'!$AH:$AH),"")</f>
        <v/>
      </c>
      <c r="G208" s="131" t="str">
        <f>IFERROR(_xlfn.XLOOKUP($A208,'Raw Data'!$G:$G,'Raw Data'!$S:$S)/1000,"")</f>
        <v/>
      </c>
      <c r="H208" s="131"/>
      <c r="I208" s="131" t="str">
        <f>IFERROR(_xlfn.XLOOKUP($A208,'Raw Data'!$G:$G,'Raw Data'!$AF:$AF)/1000,"")</f>
        <v/>
      </c>
      <c r="J208" s="131"/>
      <c r="K208" s="131" t="str">
        <f>IFERROR(_xlfn.XLOOKUP($A208,'Raw Data'!$G:$G,'Raw Data'!W:W),"")</f>
        <v/>
      </c>
      <c r="L208" s="131" t="str">
        <f>IFERROR(_xlfn.XLOOKUP($A208,'Raw Data'!$G:$G,'Raw Data'!X:X),"")</f>
        <v/>
      </c>
      <c r="M208" s="131" t="str">
        <f>IFERROR(_xlfn.XLOOKUP($A208,'Raw Data'!$G:$G,'Raw Data'!Y:Y),"")</f>
        <v/>
      </c>
      <c r="N208" s="131" t="str">
        <f>IFERROR(_xlfn.XLOOKUP($A208,'Raw Data'!$G:$G,'Raw Data'!Z:Z),"")</f>
        <v/>
      </c>
      <c r="O208" s="158" t="str">
        <f>IFERROR(1-SUMIF('Plant BD'!$H:$H,$A208,'Plant BD'!AC:AC)/$F208,"")</f>
        <v/>
      </c>
      <c r="P208" s="158"/>
      <c r="Q208" s="159"/>
      <c r="R208" s="158" t="str">
        <f>IFERROR(1-SUMIF('Grid BD'!$H:$H,$A208,'Grid BD'!AB:AB)/$F208,"")</f>
        <v/>
      </c>
      <c r="T208" s="159" t="str">
        <f>IFERROR(1-SUMIF(Tracker_BD!$H:$H,$A208,Tracker_BD!AI:AI)/$F208,"")</f>
        <v/>
      </c>
      <c r="U208" s="160" t="str">
        <f t="shared" si="13"/>
        <v/>
      </c>
      <c r="V208" s="160"/>
      <c r="W208" s="161" t="str">
        <f t="shared" si="14"/>
        <v/>
      </c>
      <c r="X208" s="156" t="str">
        <f>IFERROR(_xlfn.XLOOKUP($A208,'Raw Data'!$G:$G,'Raw Data'!$AB:$AB),"")</f>
        <v/>
      </c>
      <c r="Y208" s="156" t="str">
        <f>IFERROR(_xlfn.XLOOKUP($A208,'Raw Data'!$G:$G,'Raw Data'!AC:AC),"")</f>
        <v/>
      </c>
      <c r="Z208" s="156" t="str">
        <f>IFERROR(_xlfn.XLOOKUP($A208,'Raw Data'!$G:$G,'Raw Data'!AD:AD),"")</f>
        <v/>
      </c>
      <c r="AA208" s="156" t="str">
        <f>IFERROR(_xlfn.XLOOKUP($A208,'Raw Data'!$G:$G,'Raw Data'!AE:AE),"")</f>
        <v/>
      </c>
      <c r="AB208" s="156" t="str">
        <f>IFERROR(_xlfn.XLOOKUP($A208,'Raw Data'!$G:$G,'Raw Data'!$H:$H),"")</f>
        <v/>
      </c>
      <c r="AC208" s="162">
        <f>IFERROR(_xlfn.XLOOKUP($D208,'Modelling New'!$D:$D,'Modelling New'!$P:$P),"")</f>
        <v>5.6456101129032259</v>
      </c>
      <c r="AD208" s="156">
        <f>IFERROR(_xlfn.XLOOKUP($D208,'Modelling New'!$D:$D,'Modelling New'!$T:$T)*1000,"")</f>
        <v>50360.911058047554</v>
      </c>
      <c r="AE208" s="163">
        <f>IFERROR(_xlfn.XLOOKUP($D208,'Modelling New'!$D:$D,'Modelling New'!$O:$O),"")</f>
        <v>0.76112341749431001</v>
      </c>
      <c r="AF208" s="163">
        <f>IFERROR(_xlfn.XLOOKUP($D208,'Modelling New'!$D:$D,'Modelling New'!$W:$W),"")</f>
        <v>0.17904191929055585</v>
      </c>
      <c r="AG208" s="163">
        <f>IFERROR(_xlfn.XLOOKUP($D208,'Modelling New'!$D:$D,'Modelling New'!AE:AE),"")</f>
        <v>0.995</v>
      </c>
      <c r="AH208" s="163">
        <f>IFERROR(_xlfn.XLOOKUP($D208,'Modelling New'!$D:$D,'Modelling New'!AF:AF),"")</f>
        <v>0.98550000000000004</v>
      </c>
      <c r="AN208" s="164"/>
      <c r="AO208" s="161"/>
      <c r="AP208" s="161"/>
      <c r="AQ208" s="161"/>
      <c r="AR208" s="156">
        <f>IFERROR(_xlfn.XLOOKUP($D208,'Modelling New'!$D:$D,'Modelling New'!$N:$N),"")</f>
        <v>11.72</v>
      </c>
    </row>
    <row r="209" spans="1:44">
      <c r="A209" s="155">
        <f t="shared" si="15"/>
        <v>45952</v>
      </c>
      <c r="B209" s="156">
        <f>YEAR(Table13[[#This Row],[Date]])+IF(MONTH(Table13[[#This Row],[Date]])&gt;=4,1,0)</f>
        <v>2026</v>
      </c>
      <c r="C209" s="129">
        <f>YEAR(Table13[[#This Row],[Date]])</f>
        <v>2025</v>
      </c>
      <c r="D209" s="157">
        <f>Table13[[#This Row],[Date]]-DAY(Table13[[#This Row],[Date]])+1</f>
        <v>45931</v>
      </c>
      <c r="E209" s="129">
        <f t="shared" si="16"/>
        <v>31</v>
      </c>
      <c r="F209" s="130" t="str">
        <f>IFERROR(_xlfn.XLOOKUP($A209,'Raw Data'!$G:$G,'Raw Data'!$AH:$AH),"")</f>
        <v/>
      </c>
      <c r="G209" s="131" t="str">
        <f>IFERROR(_xlfn.XLOOKUP($A209,'Raw Data'!$G:$G,'Raw Data'!$S:$S)/1000,"")</f>
        <v/>
      </c>
      <c r="H209" s="131"/>
      <c r="I209" s="131" t="str">
        <f>IFERROR(_xlfn.XLOOKUP($A209,'Raw Data'!$G:$G,'Raw Data'!$AF:$AF)/1000,"")</f>
        <v/>
      </c>
      <c r="J209" s="131"/>
      <c r="K209" s="131" t="str">
        <f>IFERROR(_xlfn.XLOOKUP($A209,'Raw Data'!$G:$G,'Raw Data'!W:W),"")</f>
        <v/>
      </c>
      <c r="L209" s="131" t="str">
        <f>IFERROR(_xlfn.XLOOKUP($A209,'Raw Data'!$G:$G,'Raw Data'!X:X),"")</f>
        <v/>
      </c>
      <c r="M209" s="131" t="str">
        <f>IFERROR(_xlfn.XLOOKUP($A209,'Raw Data'!$G:$G,'Raw Data'!Y:Y),"")</f>
        <v/>
      </c>
      <c r="N209" s="131" t="str">
        <f>IFERROR(_xlfn.XLOOKUP($A209,'Raw Data'!$G:$G,'Raw Data'!Z:Z),"")</f>
        <v/>
      </c>
      <c r="O209" s="158" t="str">
        <f>IFERROR(1-SUMIF('Plant BD'!$H:$H,$A209,'Plant BD'!AC:AC)/$F209,"")</f>
        <v/>
      </c>
      <c r="P209" s="158"/>
      <c r="Q209" s="159"/>
      <c r="R209" s="158" t="str">
        <f>IFERROR(1-SUMIF('Grid BD'!$H:$H,$A209,'Grid BD'!AB:AB)/$F209,"")</f>
        <v/>
      </c>
      <c r="T209" s="159" t="str">
        <f>IFERROR(1-SUMIF(Tracker_BD!$H:$H,$A209,Tracker_BD!AI:AI)/$F209,"")</f>
        <v/>
      </c>
      <c r="U209" s="160" t="str">
        <f t="shared" si="13"/>
        <v/>
      </c>
      <c r="V209" s="160"/>
      <c r="W209" s="161" t="str">
        <f t="shared" si="14"/>
        <v/>
      </c>
      <c r="X209" s="156" t="str">
        <f>IFERROR(_xlfn.XLOOKUP($A209,'Raw Data'!$G:$G,'Raw Data'!$AB:$AB),"")</f>
        <v/>
      </c>
      <c r="Y209" s="156" t="str">
        <f>IFERROR(_xlfn.XLOOKUP($A209,'Raw Data'!$G:$G,'Raw Data'!AC:AC),"")</f>
        <v/>
      </c>
      <c r="Z209" s="156" t="str">
        <f>IFERROR(_xlfn.XLOOKUP($A209,'Raw Data'!$G:$G,'Raw Data'!AD:AD),"")</f>
        <v/>
      </c>
      <c r="AA209" s="156" t="str">
        <f>IFERROR(_xlfn.XLOOKUP($A209,'Raw Data'!$G:$G,'Raw Data'!AE:AE),"")</f>
        <v/>
      </c>
      <c r="AB209" s="156" t="str">
        <f>IFERROR(_xlfn.XLOOKUP($A209,'Raw Data'!$G:$G,'Raw Data'!$H:$H),"")</f>
        <v/>
      </c>
      <c r="AC209" s="162">
        <f>IFERROR(_xlfn.XLOOKUP($D209,'Modelling New'!$D:$D,'Modelling New'!$P:$P),"")</f>
        <v>5.6456101129032259</v>
      </c>
      <c r="AD209" s="156">
        <f>IFERROR(_xlfn.XLOOKUP($D209,'Modelling New'!$D:$D,'Modelling New'!$T:$T)*1000,"")</f>
        <v>50360.911058047554</v>
      </c>
      <c r="AE209" s="163">
        <f>IFERROR(_xlfn.XLOOKUP($D209,'Modelling New'!$D:$D,'Modelling New'!$O:$O),"")</f>
        <v>0.76112341749431001</v>
      </c>
      <c r="AF209" s="163">
        <f>IFERROR(_xlfn.XLOOKUP($D209,'Modelling New'!$D:$D,'Modelling New'!$W:$W),"")</f>
        <v>0.17904191929055585</v>
      </c>
      <c r="AG209" s="163">
        <f>IFERROR(_xlfn.XLOOKUP($D209,'Modelling New'!$D:$D,'Modelling New'!AE:AE),"")</f>
        <v>0.995</v>
      </c>
      <c r="AH209" s="163">
        <f>IFERROR(_xlfn.XLOOKUP($D209,'Modelling New'!$D:$D,'Modelling New'!AF:AF),"")</f>
        <v>0.98550000000000004</v>
      </c>
      <c r="AN209" s="164"/>
      <c r="AO209" s="161"/>
      <c r="AP209" s="161"/>
      <c r="AQ209" s="161"/>
      <c r="AR209" s="156">
        <f>IFERROR(_xlfn.XLOOKUP($D209,'Modelling New'!$D:$D,'Modelling New'!$N:$N),"")</f>
        <v>11.72</v>
      </c>
    </row>
    <row r="210" spans="1:44">
      <c r="A210" s="155">
        <f t="shared" si="15"/>
        <v>45953</v>
      </c>
      <c r="B210" s="156">
        <f>YEAR(Table13[[#This Row],[Date]])+IF(MONTH(Table13[[#This Row],[Date]])&gt;=4,1,0)</f>
        <v>2026</v>
      </c>
      <c r="C210" s="129">
        <f>YEAR(Table13[[#This Row],[Date]])</f>
        <v>2025</v>
      </c>
      <c r="D210" s="157">
        <f>Table13[[#This Row],[Date]]-DAY(Table13[[#This Row],[Date]])+1</f>
        <v>45931</v>
      </c>
      <c r="E210" s="129">
        <f t="shared" si="16"/>
        <v>31</v>
      </c>
      <c r="F210" s="130" t="str">
        <f>IFERROR(_xlfn.XLOOKUP($A210,'Raw Data'!$G:$G,'Raw Data'!$AH:$AH),"")</f>
        <v/>
      </c>
      <c r="G210" s="131" t="str">
        <f>IFERROR(_xlfn.XLOOKUP($A210,'Raw Data'!$G:$G,'Raw Data'!$S:$S)/1000,"")</f>
        <v/>
      </c>
      <c r="H210" s="131"/>
      <c r="I210" s="131" t="str">
        <f>IFERROR(_xlfn.XLOOKUP($A210,'Raw Data'!$G:$G,'Raw Data'!$AF:$AF)/1000,"")</f>
        <v/>
      </c>
      <c r="J210" s="131"/>
      <c r="K210" s="131" t="str">
        <f>IFERROR(_xlfn.XLOOKUP($A210,'Raw Data'!$G:$G,'Raw Data'!W:W),"")</f>
        <v/>
      </c>
      <c r="L210" s="131" t="str">
        <f>IFERROR(_xlfn.XLOOKUP($A210,'Raw Data'!$G:$G,'Raw Data'!X:X),"")</f>
        <v/>
      </c>
      <c r="M210" s="131" t="str">
        <f>IFERROR(_xlfn.XLOOKUP($A210,'Raw Data'!$G:$G,'Raw Data'!Y:Y),"")</f>
        <v/>
      </c>
      <c r="N210" s="131" t="str">
        <f>IFERROR(_xlfn.XLOOKUP($A210,'Raw Data'!$G:$G,'Raw Data'!Z:Z),"")</f>
        <v/>
      </c>
      <c r="O210" s="158" t="str">
        <f>IFERROR(1-SUMIF('Plant BD'!$H:$H,$A210,'Plant BD'!AC:AC)/$F210,"")</f>
        <v/>
      </c>
      <c r="P210" s="158"/>
      <c r="Q210" s="159"/>
      <c r="R210" s="158" t="str">
        <f>IFERROR(1-SUMIF('Grid BD'!$H:$H,$A210,'Grid BD'!AB:AB)/$F210,"")</f>
        <v/>
      </c>
      <c r="T210" s="159" t="str">
        <f>IFERROR(1-SUMIF(Tracker_BD!$H:$H,$A210,Tracker_BD!AI:AI)/$F210,"")</f>
        <v/>
      </c>
      <c r="U210" s="160" t="str">
        <f t="shared" si="13"/>
        <v/>
      </c>
      <c r="V210" s="160"/>
      <c r="W210" s="161" t="str">
        <f t="shared" si="14"/>
        <v/>
      </c>
      <c r="X210" s="156" t="str">
        <f>IFERROR(_xlfn.XLOOKUP($A210,'Raw Data'!$G:$G,'Raw Data'!$AB:$AB),"")</f>
        <v/>
      </c>
      <c r="Y210" s="156" t="str">
        <f>IFERROR(_xlfn.XLOOKUP($A210,'Raw Data'!$G:$G,'Raw Data'!AC:AC),"")</f>
        <v/>
      </c>
      <c r="Z210" s="156" t="str">
        <f>IFERROR(_xlfn.XLOOKUP($A210,'Raw Data'!$G:$G,'Raw Data'!AD:AD),"")</f>
        <v/>
      </c>
      <c r="AA210" s="156" t="str">
        <f>IFERROR(_xlfn.XLOOKUP($A210,'Raw Data'!$G:$G,'Raw Data'!AE:AE),"")</f>
        <v/>
      </c>
      <c r="AB210" s="156" t="str">
        <f>IFERROR(_xlfn.XLOOKUP($A210,'Raw Data'!$G:$G,'Raw Data'!$H:$H),"")</f>
        <v/>
      </c>
      <c r="AC210" s="162">
        <f>IFERROR(_xlfn.XLOOKUP($D210,'Modelling New'!$D:$D,'Modelling New'!$P:$P),"")</f>
        <v>5.6456101129032259</v>
      </c>
      <c r="AD210" s="156">
        <f>IFERROR(_xlfn.XLOOKUP($D210,'Modelling New'!$D:$D,'Modelling New'!$T:$T)*1000,"")</f>
        <v>50360.911058047554</v>
      </c>
      <c r="AE210" s="163">
        <f>IFERROR(_xlfn.XLOOKUP($D210,'Modelling New'!$D:$D,'Modelling New'!$O:$O),"")</f>
        <v>0.76112341749431001</v>
      </c>
      <c r="AF210" s="163">
        <f>IFERROR(_xlfn.XLOOKUP($D210,'Modelling New'!$D:$D,'Modelling New'!$W:$W),"")</f>
        <v>0.17904191929055585</v>
      </c>
      <c r="AG210" s="163">
        <f>IFERROR(_xlfn.XLOOKUP($D210,'Modelling New'!$D:$D,'Modelling New'!AE:AE),"")</f>
        <v>0.995</v>
      </c>
      <c r="AH210" s="163">
        <f>IFERROR(_xlfn.XLOOKUP($D210,'Modelling New'!$D:$D,'Modelling New'!AF:AF),"")</f>
        <v>0.98550000000000004</v>
      </c>
      <c r="AN210" s="164"/>
      <c r="AO210" s="161"/>
      <c r="AP210" s="161"/>
      <c r="AQ210" s="161"/>
      <c r="AR210" s="156">
        <f>IFERROR(_xlfn.XLOOKUP($D210,'Modelling New'!$D:$D,'Modelling New'!$N:$N),"")</f>
        <v>11.72</v>
      </c>
    </row>
    <row r="211" spans="1:44">
      <c r="A211" s="155">
        <f t="shared" si="15"/>
        <v>45954</v>
      </c>
      <c r="B211" s="156">
        <f>YEAR(Table13[[#This Row],[Date]])+IF(MONTH(Table13[[#This Row],[Date]])&gt;=4,1,0)</f>
        <v>2026</v>
      </c>
      <c r="C211" s="129">
        <f>YEAR(Table13[[#This Row],[Date]])</f>
        <v>2025</v>
      </c>
      <c r="D211" s="157">
        <f>Table13[[#This Row],[Date]]-DAY(Table13[[#This Row],[Date]])+1</f>
        <v>45931</v>
      </c>
      <c r="E211" s="129">
        <f t="shared" si="16"/>
        <v>31</v>
      </c>
      <c r="F211" s="130" t="str">
        <f>IFERROR(_xlfn.XLOOKUP($A211,'Raw Data'!$G:$G,'Raw Data'!$AH:$AH),"")</f>
        <v/>
      </c>
      <c r="G211" s="131" t="str">
        <f>IFERROR(_xlfn.XLOOKUP($A211,'Raw Data'!$G:$G,'Raw Data'!$S:$S)/1000,"")</f>
        <v/>
      </c>
      <c r="H211" s="131"/>
      <c r="I211" s="131" t="str">
        <f>IFERROR(_xlfn.XLOOKUP($A211,'Raw Data'!$G:$G,'Raw Data'!$AF:$AF)/1000,"")</f>
        <v/>
      </c>
      <c r="J211" s="131"/>
      <c r="K211" s="131" t="str">
        <f>IFERROR(_xlfn.XLOOKUP($A211,'Raw Data'!$G:$G,'Raw Data'!W:W),"")</f>
        <v/>
      </c>
      <c r="L211" s="131" t="str">
        <f>IFERROR(_xlfn.XLOOKUP($A211,'Raw Data'!$G:$G,'Raw Data'!X:X),"")</f>
        <v/>
      </c>
      <c r="M211" s="131" t="str">
        <f>IFERROR(_xlfn.XLOOKUP($A211,'Raw Data'!$G:$G,'Raw Data'!Y:Y),"")</f>
        <v/>
      </c>
      <c r="N211" s="131" t="str">
        <f>IFERROR(_xlfn.XLOOKUP($A211,'Raw Data'!$G:$G,'Raw Data'!Z:Z),"")</f>
        <v/>
      </c>
      <c r="O211" s="158" t="str">
        <f>IFERROR(1-SUMIF('Plant BD'!$H:$H,$A211,'Plant BD'!AC:AC)/$F211,"")</f>
        <v/>
      </c>
      <c r="P211" s="158"/>
      <c r="Q211" s="159"/>
      <c r="R211" s="158" t="str">
        <f>IFERROR(1-SUMIF('Grid BD'!$H:$H,$A211,'Grid BD'!AB:AB)/$F211,"")</f>
        <v/>
      </c>
      <c r="T211" s="159" t="str">
        <f>IFERROR(1-SUMIF(Tracker_BD!$H:$H,$A211,Tracker_BD!AI:AI)/$F211,"")</f>
        <v/>
      </c>
      <c r="U211" s="160" t="str">
        <f t="shared" si="13"/>
        <v/>
      </c>
      <c r="V211" s="160"/>
      <c r="W211" s="161" t="str">
        <f t="shared" si="14"/>
        <v/>
      </c>
      <c r="X211" s="156" t="str">
        <f>IFERROR(_xlfn.XLOOKUP($A211,'Raw Data'!$G:$G,'Raw Data'!$AB:$AB),"")</f>
        <v/>
      </c>
      <c r="Y211" s="156" t="str">
        <f>IFERROR(_xlfn.XLOOKUP($A211,'Raw Data'!$G:$G,'Raw Data'!AC:AC),"")</f>
        <v/>
      </c>
      <c r="Z211" s="156" t="str">
        <f>IFERROR(_xlfn.XLOOKUP($A211,'Raw Data'!$G:$G,'Raw Data'!AD:AD),"")</f>
        <v/>
      </c>
      <c r="AA211" s="156" t="str">
        <f>IFERROR(_xlfn.XLOOKUP($A211,'Raw Data'!$G:$G,'Raw Data'!AE:AE),"")</f>
        <v/>
      </c>
      <c r="AB211" s="156" t="str">
        <f>IFERROR(_xlfn.XLOOKUP($A211,'Raw Data'!$G:$G,'Raw Data'!$H:$H),"")</f>
        <v/>
      </c>
      <c r="AC211" s="162">
        <f>IFERROR(_xlfn.XLOOKUP($D211,'Modelling New'!$D:$D,'Modelling New'!$P:$P),"")</f>
        <v>5.6456101129032259</v>
      </c>
      <c r="AD211" s="156">
        <f>IFERROR(_xlfn.XLOOKUP($D211,'Modelling New'!$D:$D,'Modelling New'!$T:$T)*1000,"")</f>
        <v>50360.911058047554</v>
      </c>
      <c r="AE211" s="163">
        <f>IFERROR(_xlfn.XLOOKUP($D211,'Modelling New'!$D:$D,'Modelling New'!$O:$O),"")</f>
        <v>0.76112341749431001</v>
      </c>
      <c r="AF211" s="163">
        <f>IFERROR(_xlfn.XLOOKUP($D211,'Modelling New'!$D:$D,'Modelling New'!$W:$W),"")</f>
        <v>0.17904191929055585</v>
      </c>
      <c r="AG211" s="163">
        <f>IFERROR(_xlfn.XLOOKUP($D211,'Modelling New'!$D:$D,'Modelling New'!AE:AE),"")</f>
        <v>0.995</v>
      </c>
      <c r="AH211" s="163">
        <f>IFERROR(_xlfn.XLOOKUP($D211,'Modelling New'!$D:$D,'Modelling New'!AF:AF),"")</f>
        <v>0.98550000000000004</v>
      </c>
      <c r="AN211" s="164"/>
      <c r="AO211" s="161"/>
      <c r="AP211" s="161"/>
      <c r="AQ211" s="161"/>
      <c r="AR211" s="156">
        <f>IFERROR(_xlfn.XLOOKUP($D211,'Modelling New'!$D:$D,'Modelling New'!$N:$N),"")</f>
        <v>11.72</v>
      </c>
    </row>
    <row r="212" spans="1:44">
      <c r="A212" s="155">
        <f t="shared" si="15"/>
        <v>45955</v>
      </c>
      <c r="B212" s="156">
        <f>YEAR(Table13[[#This Row],[Date]])+IF(MONTH(Table13[[#This Row],[Date]])&gt;=4,1,0)</f>
        <v>2026</v>
      </c>
      <c r="C212" s="129">
        <f>YEAR(Table13[[#This Row],[Date]])</f>
        <v>2025</v>
      </c>
      <c r="D212" s="157">
        <f>Table13[[#This Row],[Date]]-DAY(Table13[[#This Row],[Date]])+1</f>
        <v>45931</v>
      </c>
      <c r="E212" s="129">
        <f t="shared" si="16"/>
        <v>31</v>
      </c>
      <c r="F212" s="130" t="str">
        <f>IFERROR(_xlfn.XLOOKUP($A212,'Raw Data'!$G:$G,'Raw Data'!$AH:$AH),"")</f>
        <v/>
      </c>
      <c r="G212" s="131" t="str">
        <f>IFERROR(_xlfn.XLOOKUP($A212,'Raw Data'!$G:$G,'Raw Data'!$S:$S)/1000,"")</f>
        <v/>
      </c>
      <c r="H212" s="131"/>
      <c r="I212" s="131" t="str">
        <f>IFERROR(_xlfn.XLOOKUP($A212,'Raw Data'!$G:$G,'Raw Data'!$AF:$AF)/1000,"")</f>
        <v/>
      </c>
      <c r="J212" s="131"/>
      <c r="K212" s="131" t="str">
        <f>IFERROR(_xlfn.XLOOKUP($A212,'Raw Data'!$G:$G,'Raw Data'!W:W),"")</f>
        <v/>
      </c>
      <c r="L212" s="131" t="str">
        <f>IFERROR(_xlfn.XLOOKUP($A212,'Raw Data'!$G:$G,'Raw Data'!X:X),"")</f>
        <v/>
      </c>
      <c r="M212" s="131" t="str">
        <f>IFERROR(_xlfn.XLOOKUP($A212,'Raw Data'!$G:$G,'Raw Data'!Y:Y),"")</f>
        <v/>
      </c>
      <c r="N212" s="131" t="str">
        <f>IFERROR(_xlfn.XLOOKUP($A212,'Raw Data'!$G:$G,'Raw Data'!Z:Z),"")</f>
        <v/>
      </c>
      <c r="O212" s="158" t="str">
        <f>IFERROR(1-SUMIF('Plant BD'!$H:$H,$A212,'Plant BD'!AC:AC)/$F212,"")</f>
        <v/>
      </c>
      <c r="P212" s="158"/>
      <c r="Q212" s="159"/>
      <c r="R212" s="158" t="str">
        <f>IFERROR(1-SUMIF('Grid BD'!$H:$H,$A212,'Grid BD'!AB:AB)/$F212,"")</f>
        <v/>
      </c>
      <c r="T212" s="159" t="str">
        <f>IFERROR(1-SUMIF(Tracker_BD!$H:$H,$A212,Tracker_BD!AI:AI)/$F212,"")</f>
        <v/>
      </c>
      <c r="U212" s="160" t="str">
        <f t="shared" si="13"/>
        <v/>
      </c>
      <c r="V212" s="160"/>
      <c r="W212" s="161" t="str">
        <f t="shared" si="14"/>
        <v/>
      </c>
      <c r="X212" s="156" t="str">
        <f>IFERROR(_xlfn.XLOOKUP($A212,'Raw Data'!$G:$G,'Raw Data'!$AB:$AB),"")</f>
        <v/>
      </c>
      <c r="Y212" s="156" t="str">
        <f>IFERROR(_xlfn.XLOOKUP($A212,'Raw Data'!$G:$G,'Raw Data'!AC:AC),"")</f>
        <v/>
      </c>
      <c r="Z212" s="156" t="str">
        <f>IFERROR(_xlfn.XLOOKUP($A212,'Raw Data'!$G:$G,'Raw Data'!AD:AD),"")</f>
        <v/>
      </c>
      <c r="AA212" s="156" t="str">
        <f>IFERROR(_xlfn.XLOOKUP($A212,'Raw Data'!$G:$G,'Raw Data'!AE:AE),"")</f>
        <v/>
      </c>
      <c r="AB212" s="156" t="str">
        <f>IFERROR(_xlfn.XLOOKUP($A212,'Raw Data'!$G:$G,'Raw Data'!$H:$H),"")</f>
        <v/>
      </c>
      <c r="AC212" s="162">
        <f>IFERROR(_xlfn.XLOOKUP($D212,'Modelling New'!$D:$D,'Modelling New'!$P:$P),"")</f>
        <v>5.6456101129032259</v>
      </c>
      <c r="AD212" s="156">
        <f>IFERROR(_xlfn.XLOOKUP($D212,'Modelling New'!$D:$D,'Modelling New'!$T:$T)*1000,"")</f>
        <v>50360.911058047554</v>
      </c>
      <c r="AE212" s="163">
        <f>IFERROR(_xlfn.XLOOKUP($D212,'Modelling New'!$D:$D,'Modelling New'!$O:$O),"")</f>
        <v>0.76112341749431001</v>
      </c>
      <c r="AF212" s="163">
        <f>IFERROR(_xlfn.XLOOKUP($D212,'Modelling New'!$D:$D,'Modelling New'!$W:$W),"")</f>
        <v>0.17904191929055585</v>
      </c>
      <c r="AG212" s="163">
        <f>IFERROR(_xlfn.XLOOKUP($D212,'Modelling New'!$D:$D,'Modelling New'!AE:AE),"")</f>
        <v>0.995</v>
      </c>
      <c r="AH212" s="163">
        <f>IFERROR(_xlfn.XLOOKUP($D212,'Modelling New'!$D:$D,'Modelling New'!AF:AF),"")</f>
        <v>0.98550000000000004</v>
      </c>
      <c r="AN212" s="164"/>
      <c r="AO212" s="161"/>
      <c r="AP212" s="161"/>
      <c r="AQ212" s="161"/>
      <c r="AR212" s="156">
        <f>IFERROR(_xlfn.XLOOKUP($D212,'Modelling New'!$D:$D,'Modelling New'!$N:$N),"")</f>
        <v>11.72</v>
      </c>
    </row>
    <row r="213" spans="1:44">
      <c r="A213" s="155">
        <f t="shared" si="15"/>
        <v>45956</v>
      </c>
      <c r="B213" s="156">
        <f>YEAR(Table13[[#This Row],[Date]])+IF(MONTH(Table13[[#This Row],[Date]])&gt;=4,1,0)</f>
        <v>2026</v>
      </c>
      <c r="C213" s="129">
        <f>YEAR(Table13[[#This Row],[Date]])</f>
        <v>2025</v>
      </c>
      <c r="D213" s="157">
        <f>Table13[[#This Row],[Date]]-DAY(Table13[[#This Row],[Date]])+1</f>
        <v>45931</v>
      </c>
      <c r="E213" s="129">
        <f t="shared" si="16"/>
        <v>31</v>
      </c>
      <c r="F213" s="130" t="str">
        <f>IFERROR(_xlfn.XLOOKUP($A213,'Raw Data'!$G:$G,'Raw Data'!$AH:$AH),"")</f>
        <v/>
      </c>
      <c r="G213" s="131" t="str">
        <f>IFERROR(_xlfn.XLOOKUP($A213,'Raw Data'!$G:$G,'Raw Data'!$S:$S)/1000,"")</f>
        <v/>
      </c>
      <c r="H213" s="131"/>
      <c r="I213" s="131" t="str">
        <f>IFERROR(_xlfn.XLOOKUP($A213,'Raw Data'!$G:$G,'Raw Data'!$AF:$AF)/1000,"")</f>
        <v/>
      </c>
      <c r="J213" s="131"/>
      <c r="K213" s="131" t="str">
        <f>IFERROR(_xlfn.XLOOKUP($A213,'Raw Data'!$G:$G,'Raw Data'!W:W),"")</f>
        <v/>
      </c>
      <c r="L213" s="131" t="str">
        <f>IFERROR(_xlfn.XLOOKUP($A213,'Raw Data'!$G:$G,'Raw Data'!X:X),"")</f>
        <v/>
      </c>
      <c r="M213" s="131" t="str">
        <f>IFERROR(_xlfn.XLOOKUP($A213,'Raw Data'!$G:$G,'Raw Data'!Y:Y),"")</f>
        <v/>
      </c>
      <c r="N213" s="131" t="str">
        <f>IFERROR(_xlfn.XLOOKUP($A213,'Raw Data'!$G:$G,'Raw Data'!Z:Z),"")</f>
        <v/>
      </c>
      <c r="O213" s="158" t="str">
        <f>IFERROR(1-SUMIF('Plant BD'!$H:$H,$A213,'Plant BD'!AC:AC)/$F213,"")</f>
        <v/>
      </c>
      <c r="P213" s="158"/>
      <c r="Q213" s="159"/>
      <c r="R213" s="158" t="str">
        <f>IFERROR(1-SUMIF('Grid BD'!$H:$H,$A213,'Grid BD'!AB:AB)/$F213,"")</f>
        <v/>
      </c>
      <c r="T213" s="159" t="str">
        <f>IFERROR(1-SUMIF(Tracker_BD!$H:$H,$A213,Tracker_BD!AI:AI)/$F213,"")</f>
        <v/>
      </c>
      <c r="U213" s="160" t="str">
        <f t="shared" si="13"/>
        <v/>
      </c>
      <c r="V213" s="160"/>
      <c r="W213" s="161" t="str">
        <f t="shared" si="14"/>
        <v/>
      </c>
      <c r="X213" s="156" t="str">
        <f>IFERROR(_xlfn.XLOOKUP($A213,'Raw Data'!$G:$G,'Raw Data'!$AB:$AB),"")</f>
        <v/>
      </c>
      <c r="Y213" s="156" t="str">
        <f>IFERROR(_xlfn.XLOOKUP($A213,'Raw Data'!$G:$G,'Raw Data'!AC:AC),"")</f>
        <v/>
      </c>
      <c r="Z213" s="156" t="str">
        <f>IFERROR(_xlfn.XLOOKUP($A213,'Raw Data'!$G:$G,'Raw Data'!AD:AD),"")</f>
        <v/>
      </c>
      <c r="AA213" s="156" t="str">
        <f>IFERROR(_xlfn.XLOOKUP($A213,'Raw Data'!$G:$G,'Raw Data'!AE:AE),"")</f>
        <v/>
      </c>
      <c r="AB213" s="156" t="str">
        <f>IFERROR(_xlfn.XLOOKUP($A213,'Raw Data'!$G:$G,'Raw Data'!$H:$H),"")</f>
        <v/>
      </c>
      <c r="AC213" s="162">
        <f>IFERROR(_xlfn.XLOOKUP($D213,'Modelling New'!$D:$D,'Modelling New'!$P:$P),"")</f>
        <v>5.6456101129032259</v>
      </c>
      <c r="AD213" s="156">
        <f>IFERROR(_xlfn.XLOOKUP($D213,'Modelling New'!$D:$D,'Modelling New'!$T:$T)*1000,"")</f>
        <v>50360.911058047554</v>
      </c>
      <c r="AE213" s="163">
        <f>IFERROR(_xlfn.XLOOKUP($D213,'Modelling New'!$D:$D,'Modelling New'!$O:$O),"")</f>
        <v>0.76112341749431001</v>
      </c>
      <c r="AF213" s="163">
        <f>IFERROR(_xlfn.XLOOKUP($D213,'Modelling New'!$D:$D,'Modelling New'!$W:$W),"")</f>
        <v>0.17904191929055585</v>
      </c>
      <c r="AG213" s="163">
        <f>IFERROR(_xlfn.XLOOKUP($D213,'Modelling New'!$D:$D,'Modelling New'!AE:AE),"")</f>
        <v>0.995</v>
      </c>
      <c r="AH213" s="163">
        <f>IFERROR(_xlfn.XLOOKUP($D213,'Modelling New'!$D:$D,'Modelling New'!AF:AF),"")</f>
        <v>0.98550000000000004</v>
      </c>
      <c r="AN213" s="164"/>
      <c r="AO213" s="161"/>
      <c r="AP213" s="161"/>
      <c r="AQ213" s="161"/>
      <c r="AR213" s="156">
        <f>IFERROR(_xlfn.XLOOKUP($D213,'Modelling New'!$D:$D,'Modelling New'!$N:$N),"")</f>
        <v>11.72</v>
      </c>
    </row>
    <row r="214" spans="1:44">
      <c r="A214" s="155">
        <f t="shared" si="15"/>
        <v>45957</v>
      </c>
      <c r="B214" s="156">
        <f>YEAR(Table13[[#This Row],[Date]])+IF(MONTH(Table13[[#This Row],[Date]])&gt;=4,1,0)</f>
        <v>2026</v>
      </c>
      <c r="C214" s="129">
        <f>YEAR(Table13[[#This Row],[Date]])</f>
        <v>2025</v>
      </c>
      <c r="D214" s="157">
        <f>Table13[[#This Row],[Date]]-DAY(Table13[[#This Row],[Date]])+1</f>
        <v>45931</v>
      </c>
      <c r="E214" s="129">
        <f t="shared" si="16"/>
        <v>31</v>
      </c>
      <c r="F214" s="130" t="str">
        <f>IFERROR(_xlfn.XLOOKUP($A214,'Raw Data'!$G:$G,'Raw Data'!$AH:$AH),"")</f>
        <v/>
      </c>
      <c r="G214" s="131" t="str">
        <f>IFERROR(_xlfn.XLOOKUP($A214,'Raw Data'!$G:$G,'Raw Data'!$S:$S)/1000,"")</f>
        <v/>
      </c>
      <c r="H214" s="131"/>
      <c r="I214" s="131" t="str">
        <f>IFERROR(_xlfn.XLOOKUP($A214,'Raw Data'!$G:$G,'Raw Data'!$AF:$AF)/1000,"")</f>
        <v/>
      </c>
      <c r="J214" s="131"/>
      <c r="K214" s="131" t="str">
        <f>IFERROR(_xlfn.XLOOKUP($A214,'Raw Data'!$G:$G,'Raw Data'!W:W),"")</f>
        <v/>
      </c>
      <c r="L214" s="131" t="str">
        <f>IFERROR(_xlfn.XLOOKUP($A214,'Raw Data'!$G:$G,'Raw Data'!X:X),"")</f>
        <v/>
      </c>
      <c r="M214" s="131" t="str">
        <f>IFERROR(_xlfn.XLOOKUP($A214,'Raw Data'!$G:$G,'Raw Data'!Y:Y),"")</f>
        <v/>
      </c>
      <c r="N214" s="131" t="str">
        <f>IFERROR(_xlfn.XLOOKUP($A214,'Raw Data'!$G:$G,'Raw Data'!Z:Z),"")</f>
        <v/>
      </c>
      <c r="O214" s="158" t="str">
        <f>IFERROR(1-SUMIF('Plant BD'!$H:$H,$A214,'Plant BD'!AC:AC)/$F214,"")</f>
        <v/>
      </c>
      <c r="P214" s="158"/>
      <c r="Q214" s="159"/>
      <c r="R214" s="158" t="str">
        <f>IFERROR(1-SUMIF('Grid BD'!$H:$H,$A214,'Grid BD'!AB:AB)/$F214,"")</f>
        <v/>
      </c>
      <c r="T214" s="159" t="str">
        <f>IFERROR(1-SUMIF(Tracker_BD!$H:$H,$A214,Tracker_BD!AI:AI)/$F214,"")</f>
        <v/>
      </c>
      <c r="U214" s="160" t="str">
        <f t="shared" si="13"/>
        <v/>
      </c>
      <c r="V214" s="160"/>
      <c r="W214" s="161" t="str">
        <f t="shared" si="14"/>
        <v/>
      </c>
      <c r="X214" s="156" t="str">
        <f>IFERROR(_xlfn.XLOOKUP($A214,'Raw Data'!$G:$G,'Raw Data'!$AB:$AB),"")</f>
        <v/>
      </c>
      <c r="Y214" s="156" t="str">
        <f>IFERROR(_xlfn.XLOOKUP($A214,'Raw Data'!$G:$G,'Raw Data'!AC:AC),"")</f>
        <v/>
      </c>
      <c r="Z214" s="156" t="str">
        <f>IFERROR(_xlfn.XLOOKUP($A214,'Raw Data'!$G:$G,'Raw Data'!AD:AD),"")</f>
        <v/>
      </c>
      <c r="AA214" s="156" t="str">
        <f>IFERROR(_xlfn.XLOOKUP($A214,'Raw Data'!$G:$G,'Raw Data'!AE:AE),"")</f>
        <v/>
      </c>
      <c r="AB214" s="156" t="str">
        <f>IFERROR(_xlfn.XLOOKUP($A214,'Raw Data'!$G:$G,'Raw Data'!$H:$H),"")</f>
        <v/>
      </c>
      <c r="AC214" s="162">
        <f>IFERROR(_xlfn.XLOOKUP($D214,'Modelling New'!$D:$D,'Modelling New'!$P:$P),"")</f>
        <v>5.6456101129032259</v>
      </c>
      <c r="AD214" s="156">
        <f>IFERROR(_xlfn.XLOOKUP($D214,'Modelling New'!$D:$D,'Modelling New'!$T:$T)*1000,"")</f>
        <v>50360.911058047554</v>
      </c>
      <c r="AE214" s="163">
        <f>IFERROR(_xlfn.XLOOKUP($D214,'Modelling New'!$D:$D,'Modelling New'!$O:$O),"")</f>
        <v>0.76112341749431001</v>
      </c>
      <c r="AF214" s="163">
        <f>IFERROR(_xlfn.XLOOKUP($D214,'Modelling New'!$D:$D,'Modelling New'!$W:$W),"")</f>
        <v>0.17904191929055585</v>
      </c>
      <c r="AG214" s="163">
        <f>IFERROR(_xlfn.XLOOKUP($D214,'Modelling New'!$D:$D,'Modelling New'!AE:AE),"")</f>
        <v>0.995</v>
      </c>
      <c r="AH214" s="163">
        <f>IFERROR(_xlfn.XLOOKUP($D214,'Modelling New'!$D:$D,'Modelling New'!AF:AF),"")</f>
        <v>0.98550000000000004</v>
      </c>
      <c r="AN214" s="164"/>
      <c r="AO214" s="161"/>
      <c r="AP214" s="161"/>
      <c r="AQ214" s="161"/>
      <c r="AR214" s="156">
        <f>IFERROR(_xlfn.XLOOKUP($D214,'Modelling New'!$D:$D,'Modelling New'!$N:$N),"")</f>
        <v>11.72</v>
      </c>
    </row>
    <row r="215" spans="1:44">
      <c r="A215" s="155">
        <f t="shared" si="15"/>
        <v>45958</v>
      </c>
      <c r="B215" s="156">
        <f>YEAR(Table13[[#This Row],[Date]])+IF(MONTH(Table13[[#This Row],[Date]])&gt;=4,1,0)</f>
        <v>2026</v>
      </c>
      <c r="C215" s="129">
        <f>YEAR(Table13[[#This Row],[Date]])</f>
        <v>2025</v>
      </c>
      <c r="D215" s="157">
        <f>Table13[[#This Row],[Date]]-DAY(Table13[[#This Row],[Date]])+1</f>
        <v>45931</v>
      </c>
      <c r="E215" s="129">
        <f t="shared" si="16"/>
        <v>31</v>
      </c>
      <c r="F215" s="130" t="str">
        <f>IFERROR(_xlfn.XLOOKUP($A215,'Raw Data'!$G:$G,'Raw Data'!$AH:$AH),"")</f>
        <v/>
      </c>
      <c r="G215" s="131" t="str">
        <f>IFERROR(_xlfn.XLOOKUP($A215,'Raw Data'!$G:$G,'Raw Data'!$S:$S)/1000,"")</f>
        <v/>
      </c>
      <c r="H215" s="131"/>
      <c r="I215" s="131" t="str">
        <f>IFERROR(_xlfn.XLOOKUP($A215,'Raw Data'!$G:$G,'Raw Data'!$AF:$AF)/1000,"")</f>
        <v/>
      </c>
      <c r="J215" s="131"/>
      <c r="K215" s="131" t="str">
        <f>IFERROR(_xlfn.XLOOKUP($A215,'Raw Data'!$G:$G,'Raw Data'!W:W),"")</f>
        <v/>
      </c>
      <c r="L215" s="131" t="str">
        <f>IFERROR(_xlfn.XLOOKUP($A215,'Raw Data'!$G:$G,'Raw Data'!X:X),"")</f>
        <v/>
      </c>
      <c r="M215" s="131" t="str">
        <f>IFERROR(_xlfn.XLOOKUP($A215,'Raw Data'!$G:$G,'Raw Data'!Y:Y),"")</f>
        <v/>
      </c>
      <c r="N215" s="131" t="str">
        <f>IFERROR(_xlfn.XLOOKUP($A215,'Raw Data'!$G:$G,'Raw Data'!Z:Z),"")</f>
        <v/>
      </c>
      <c r="O215" s="158" t="str">
        <f>IFERROR(1-SUMIF('Plant BD'!$H:$H,$A215,'Plant BD'!AC:AC)/$F215,"")</f>
        <v/>
      </c>
      <c r="P215" s="158"/>
      <c r="Q215" s="159"/>
      <c r="R215" s="158" t="str">
        <f>IFERROR(1-SUMIF('Grid BD'!$H:$H,$A215,'Grid BD'!AB:AB)/$F215,"")</f>
        <v/>
      </c>
      <c r="T215" s="159" t="str">
        <f>IFERROR(1-SUMIF(Tracker_BD!$H:$H,$A215,Tracker_BD!AI:AI)/$F215,"")</f>
        <v/>
      </c>
      <c r="U215" s="160" t="str">
        <f t="shared" si="13"/>
        <v/>
      </c>
      <c r="V215" s="160"/>
      <c r="W215" s="161" t="str">
        <f t="shared" si="14"/>
        <v/>
      </c>
      <c r="X215" s="156" t="str">
        <f>IFERROR(_xlfn.XLOOKUP($A215,'Raw Data'!$G:$G,'Raw Data'!$AB:$AB),"")</f>
        <v/>
      </c>
      <c r="Y215" s="156" t="str">
        <f>IFERROR(_xlfn.XLOOKUP($A215,'Raw Data'!$G:$G,'Raw Data'!AC:AC),"")</f>
        <v/>
      </c>
      <c r="Z215" s="156" t="str">
        <f>IFERROR(_xlfn.XLOOKUP($A215,'Raw Data'!$G:$G,'Raw Data'!AD:AD),"")</f>
        <v/>
      </c>
      <c r="AA215" s="156" t="str">
        <f>IFERROR(_xlfn.XLOOKUP($A215,'Raw Data'!$G:$G,'Raw Data'!AE:AE),"")</f>
        <v/>
      </c>
      <c r="AB215" s="156" t="str">
        <f>IFERROR(_xlfn.XLOOKUP($A215,'Raw Data'!$G:$G,'Raw Data'!$H:$H),"")</f>
        <v/>
      </c>
      <c r="AC215" s="162">
        <f>IFERROR(_xlfn.XLOOKUP($D215,'Modelling New'!$D:$D,'Modelling New'!$P:$P),"")</f>
        <v>5.6456101129032259</v>
      </c>
      <c r="AD215" s="156">
        <f>IFERROR(_xlfn.XLOOKUP($D215,'Modelling New'!$D:$D,'Modelling New'!$T:$T)*1000,"")</f>
        <v>50360.911058047554</v>
      </c>
      <c r="AE215" s="163">
        <f>IFERROR(_xlfn.XLOOKUP($D215,'Modelling New'!$D:$D,'Modelling New'!$O:$O),"")</f>
        <v>0.76112341749431001</v>
      </c>
      <c r="AF215" s="163">
        <f>IFERROR(_xlfn.XLOOKUP($D215,'Modelling New'!$D:$D,'Modelling New'!$W:$W),"")</f>
        <v>0.17904191929055585</v>
      </c>
      <c r="AG215" s="163">
        <f>IFERROR(_xlfn.XLOOKUP($D215,'Modelling New'!$D:$D,'Modelling New'!AE:AE),"")</f>
        <v>0.995</v>
      </c>
      <c r="AH215" s="163">
        <f>IFERROR(_xlfn.XLOOKUP($D215,'Modelling New'!$D:$D,'Modelling New'!AF:AF),"")</f>
        <v>0.98550000000000004</v>
      </c>
      <c r="AN215" s="164"/>
      <c r="AO215" s="161"/>
      <c r="AP215" s="161"/>
      <c r="AQ215" s="161"/>
      <c r="AR215" s="156">
        <f>IFERROR(_xlfn.XLOOKUP($D215,'Modelling New'!$D:$D,'Modelling New'!$N:$N),"")</f>
        <v>11.72</v>
      </c>
    </row>
    <row r="216" spans="1:44">
      <c r="A216" s="155">
        <f t="shared" si="15"/>
        <v>45959</v>
      </c>
      <c r="B216" s="156">
        <f>YEAR(Table13[[#This Row],[Date]])+IF(MONTH(Table13[[#This Row],[Date]])&gt;=4,1,0)</f>
        <v>2026</v>
      </c>
      <c r="C216" s="129">
        <f>YEAR(Table13[[#This Row],[Date]])</f>
        <v>2025</v>
      </c>
      <c r="D216" s="157">
        <f>Table13[[#This Row],[Date]]-DAY(Table13[[#This Row],[Date]])+1</f>
        <v>45931</v>
      </c>
      <c r="E216" s="129">
        <f t="shared" si="16"/>
        <v>31</v>
      </c>
      <c r="F216" s="130" t="str">
        <f>IFERROR(_xlfn.XLOOKUP($A216,'Raw Data'!$G:$G,'Raw Data'!$AH:$AH),"")</f>
        <v/>
      </c>
      <c r="G216" s="131" t="str">
        <f>IFERROR(_xlfn.XLOOKUP($A216,'Raw Data'!$G:$G,'Raw Data'!$S:$S)/1000,"")</f>
        <v/>
      </c>
      <c r="H216" s="131"/>
      <c r="I216" s="131" t="str">
        <f>IFERROR(_xlfn.XLOOKUP($A216,'Raw Data'!$G:$G,'Raw Data'!$AF:$AF)/1000,"")</f>
        <v/>
      </c>
      <c r="J216" s="131"/>
      <c r="K216" s="131" t="str">
        <f>IFERROR(_xlfn.XLOOKUP($A216,'Raw Data'!$G:$G,'Raw Data'!W:W),"")</f>
        <v/>
      </c>
      <c r="L216" s="131" t="str">
        <f>IFERROR(_xlfn.XLOOKUP($A216,'Raw Data'!$G:$G,'Raw Data'!X:X),"")</f>
        <v/>
      </c>
      <c r="M216" s="131" t="str">
        <f>IFERROR(_xlfn.XLOOKUP($A216,'Raw Data'!$G:$G,'Raw Data'!Y:Y),"")</f>
        <v/>
      </c>
      <c r="N216" s="131" t="str">
        <f>IFERROR(_xlfn.XLOOKUP($A216,'Raw Data'!$G:$G,'Raw Data'!Z:Z),"")</f>
        <v/>
      </c>
      <c r="O216" s="158" t="str">
        <f>IFERROR(1-SUMIF('Plant BD'!$H:$H,$A216,'Plant BD'!AC:AC)/$F216,"")</f>
        <v/>
      </c>
      <c r="P216" s="158"/>
      <c r="Q216" s="159"/>
      <c r="R216" s="158" t="str">
        <f>IFERROR(1-SUMIF('Grid BD'!$H:$H,$A216,'Grid BD'!AB:AB)/$F216,"")</f>
        <v/>
      </c>
      <c r="T216" s="159" t="str">
        <f>IFERROR(1-SUMIF(Tracker_BD!$H:$H,$A216,Tracker_BD!AI:AI)/$F216,"")</f>
        <v/>
      </c>
      <c r="U216" s="160" t="str">
        <f t="shared" si="13"/>
        <v/>
      </c>
      <c r="V216" s="160"/>
      <c r="W216" s="161" t="str">
        <f t="shared" si="14"/>
        <v/>
      </c>
      <c r="X216" s="156" t="str">
        <f>IFERROR(_xlfn.XLOOKUP($A216,'Raw Data'!$G:$G,'Raw Data'!$AB:$AB),"")</f>
        <v/>
      </c>
      <c r="Y216" s="156" t="str">
        <f>IFERROR(_xlfn.XLOOKUP($A216,'Raw Data'!$G:$G,'Raw Data'!AC:AC),"")</f>
        <v/>
      </c>
      <c r="Z216" s="156" t="str">
        <f>IFERROR(_xlfn.XLOOKUP($A216,'Raw Data'!$G:$G,'Raw Data'!AD:AD),"")</f>
        <v/>
      </c>
      <c r="AA216" s="156" t="str">
        <f>IFERROR(_xlfn.XLOOKUP($A216,'Raw Data'!$G:$G,'Raw Data'!AE:AE),"")</f>
        <v/>
      </c>
      <c r="AB216" s="156" t="str">
        <f>IFERROR(_xlfn.XLOOKUP($A216,'Raw Data'!$G:$G,'Raw Data'!$H:$H),"")</f>
        <v/>
      </c>
      <c r="AC216" s="162">
        <f>IFERROR(_xlfn.XLOOKUP($D216,'Modelling New'!$D:$D,'Modelling New'!$P:$P),"")</f>
        <v>5.6456101129032259</v>
      </c>
      <c r="AD216" s="156">
        <f>IFERROR(_xlfn.XLOOKUP($D216,'Modelling New'!$D:$D,'Modelling New'!$T:$T)*1000,"")</f>
        <v>50360.911058047554</v>
      </c>
      <c r="AE216" s="163">
        <f>IFERROR(_xlfn.XLOOKUP($D216,'Modelling New'!$D:$D,'Modelling New'!$O:$O),"")</f>
        <v>0.76112341749431001</v>
      </c>
      <c r="AF216" s="163">
        <f>IFERROR(_xlfn.XLOOKUP($D216,'Modelling New'!$D:$D,'Modelling New'!$W:$W),"")</f>
        <v>0.17904191929055585</v>
      </c>
      <c r="AG216" s="163">
        <f>IFERROR(_xlfn.XLOOKUP($D216,'Modelling New'!$D:$D,'Modelling New'!AE:AE),"")</f>
        <v>0.995</v>
      </c>
      <c r="AH216" s="163">
        <f>IFERROR(_xlfn.XLOOKUP($D216,'Modelling New'!$D:$D,'Modelling New'!AF:AF),"")</f>
        <v>0.98550000000000004</v>
      </c>
      <c r="AN216" s="164"/>
      <c r="AO216" s="161"/>
      <c r="AP216" s="161"/>
      <c r="AQ216" s="161"/>
      <c r="AR216" s="156">
        <f>IFERROR(_xlfn.XLOOKUP($D216,'Modelling New'!$D:$D,'Modelling New'!$N:$N),"")</f>
        <v>11.72</v>
      </c>
    </row>
    <row r="217" spans="1:44">
      <c r="A217" s="155">
        <f t="shared" si="15"/>
        <v>45960</v>
      </c>
      <c r="B217" s="156">
        <f>YEAR(Table13[[#This Row],[Date]])+IF(MONTH(Table13[[#This Row],[Date]])&gt;=4,1,0)</f>
        <v>2026</v>
      </c>
      <c r="C217" s="129">
        <f>YEAR(Table13[[#This Row],[Date]])</f>
        <v>2025</v>
      </c>
      <c r="D217" s="157">
        <f>Table13[[#This Row],[Date]]-DAY(Table13[[#This Row],[Date]])+1</f>
        <v>45931</v>
      </c>
      <c r="E217" s="129">
        <f t="shared" si="16"/>
        <v>31</v>
      </c>
      <c r="F217" s="130" t="str">
        <f>IFERROR(_xlfn.XLOOKUP($A217,'Raw Data'!$G:$G,'Raw Data'!$AH:$AH),"")</f>
        <v/>
      </c>
      <c r="G217" s="131" t="str">
        <f>IFERROR(_xlfn.XLOOKUP($A217,'Raw Data'!$G:$G,'Raw Data'!$S:$S)/1000,"")</f>
        <v/>
      </c>
      <c r="H217" s="131"/>
      <c r="I217" s="131" t="str">
        <f>IFERROR(_xlfn.XLOOKUP($A217,'Raw Data'!$G:$G,'Raw Data'!$AF:$AF)/1000,"")</f>
        <v/>
      </c>
      <c r="J217" s="131"/>
      <c r="K217" s="131" t="str">
        <f>IFERROR(_xlfn.XLOOKUP($A217,'Raw Data'!$G:$G,'Raw Data'!W:W),"")</f>
        <v/>
      </c>
      <c r="L217" s="131" t="str">
        <f>IFERROR(_xlfn.XLOOKUP($A217,'Raw Data'!$G:$G,'Raw Data'!X:X),"")</f>
        <v/>
      </c>
      <c r="M217" s="131" t="str">
        <f>IFERROR(_xlfn.XLOOKUP($A217,'Raw Data'!$G:$G,'Raw Data'!Y:Y),"")</f>
        <v/>
      </c>
      <c r="N217" s="131" t="str">
        <f>IFERROR(_xlfn.XLOOKUP($A217,'Raw Data'!$G:$G,'Raw Data'!Z:Z),"")</f>
        <v/>
      </c>
      <c r="O217" s="158" t="str">
        <f>IFERROR(1-SUMIF('Plant BD'!$H:$H,$A217,'Plant BD'!AC:AC)/$F217,"")</f>
        <v/>
      </c>
      <c r="P217" s="158"/>
      <c r="Q217" s="159"/>
      <c r="R217" s="158" t="str">
        <f>IFERROR(1-SUMIF('Grid BD'!$H:$H,$A217,'Grid BD'!AB:AB)/$F217,"")</f>
        <v/>
      </c>
      <c r="T217" s="159" t="str">
        <f>IFERROR(1-SUMIF(Tracker_BD!$H:$H,$A217,Tracker_BD!AI:AI)/$F217,"")</f>
        <v/>
      </c>
      <c r="U217" s="160" t="str">
        <f t="shared" si="13"/>
        <v/>
      </c>
      <c r="V217" s="160"/>
      <c r="W217" s="161" t="str">
        <f t="shared" si="14"/>
        <v/>
      </c>
      <c r="X217" s="156" t="str">
        <f>IFERROR(_xlfn.XLOOKUP($A217,'Raw Data'!$G:$G,'Raw Data'!$AB:$AB),"")</f>
        <v/>
      </c>
      <c r="Y217" s="156" t="str">
        <f>IFERROR(_xlfn.XLOOKUP($A217,'Raw Data'!$G:$G,'Raw Data'!AC:AC),"")</f>
        <v/>
      </c>
      <c r="Z217" s="156" t="str">
        <f>IFERROR(_xlfn.XLOOKUP($A217,'Raw Data'!$G:$G,'Raw Data'!AD:AD),"")</f>
        <v/>
      </c>
      <c r="AA217" s="156" t="str">
        <f>IFERROR(_xlfn.XLOOKUP($A217,'Raw Data'!$G:$G,'Raw Data'!AE:AE),"")</f>
        <v/>
      </c>
      <c r="AB217" s="156" t="str">
        <f>IFERROR(_xlfn.XLOOKUP($A217,'Raw Data'!$G:$G,'Raw Data'!$H:$H),"")</f>
        <v/>
      </c>
      <c r="AC217" s="162">
        <f>IFERROR(_xlfn.XLOOKUP($D217,'Modelling New'!$D:$D,'Modelling New'!$P:$P),"")</f>
        <v>5.6456101129032259</v>
      </c>
      <c r="AD217" s="156">
        <f>IFERROR(_xlfn.XLOOKUP($D217,'Modelling New'!$D:$D,'Modelling New'!$T:$T)*1000,"")</f>
        <v>50360.911058047554</v>
      </c>
      <c r="AE217" s="163">
        <f>IFERROR(_xlfn.XLOOKUP($D217,'Modelling New'!$D:$D,'Modelling New'!$O:$O),"")</f>
        <v>0.76112341749431001</v>
      </c>
      <c r="AF217" s="163">
        <f>IFERROR(_xlfn.XLOOKUP($D217,'Modelling New'!$D:$D,'Modelling New'!$W:$W),"")</f>
        <v>0.17904191929055585</v>
      </c>
      <c r="AG217" s="163">
        <f>IFERROR(_xlfn.XLOOKUP($D217,'Modelling New'!$D:$D,'Modelling New'!AE:AE),"")</f>
        <v>0.995</v>
      </c>
      <c r="AH217" s="163">
        <f>IFERROR(_xlfn.XLOOKUP($D217,'Modelling New'!$D:$D,'Modelling New'!AF:AF),"")</f>
        <v>0.98550000000000004</v>
      </c>
      <c r="AN217" s="164"/>
      <c r="AO217" s="161"/>
      <c r="AP217" s="161"/>
      <c r="AQ217" s="161"/>
      <c r="AR217" s="156">
        <f>IFERROR(_xlfn.XLOOKUP($D217,'Modelling New'!$D:$D,'Modelling New'!$N:$N),"")</f>
        <v>11.72</v>
      </c>
    </row>
    <row r="218" spans="1:44">
      <c r="A218" s="155">
        <f t="shared" si="15"/>
        <v>45961</v>
      </c>
      <c r="B218" s="156">
        <f>YEAR(Table13[[#This Row],[Date]])+IF(MONTH(Table13[[#This Row],[Date]])&gt;=4,1,0)</f>
        <v>2026</v>
      </c>
      <c r="C218" s="129">
        <f>YEAR(Table13[[#This Row],[Date]])</f>
        <v>2025</v>
      </c>
      <c r="D218" s="157">
        <f>Table13[[#This Row],[Date]]-DAY(Table13[[#This Row],[Date]])+1</f>
        <v>45931</v>
      </c>
      <c r="E218" s="129">
        <f t="shared" si="16"/>
        <v>31</v>
      </c>
      <c r="F218" s="130" t="str">
        <f>IFERROR(_xlfn.XLOOKUP($A218,'Raw Data'!$G:$G,'Raw Data'!$AH:$AH),"")</f>
        <v/>
      </c>
      <c r="G218" s="131" t="str">
        <f>IFERROR(_xlfn.XLOOKUP($A218,'Raw Data'!$G:$G,'Raw Data'!$S:$S)/1000,"")</f>
        <v/>
      </c>
      <c r="H218" s="131"/>
      <c r="I218" s="131" t="str">
        <f>IFERROR(_xlfn.XLOOKUP($A218,'Raw Data'!$G:$G,'Raw Data'!$AF:$AF)/1000,"")</f>
        <v/>
      </c>
      <c r="J218" s="131"/>
      <c r="K218" s="131" t="str">
        <f>IFERROR(_xlfn.XLOOKUP($A218,'Raw Data'!$G:$G,'Raw Data'!W:W),"")</f>
        <v/>
      </c>
      <c r="L218" s="131" t="str">
        <f>IFERROR(_xlfn.XLOOKUP($A218,'Raw Data'!$G:$G,'Raw Data'!X:X),"")</f>
        <v/>
      </c>
      <c r="M218" s="131" t="str">
        <f>IFERROR(_xlfn.XLOOKUP($A218,'Raw Data'!$G:$G,'Raw Data'!Y:Y),"")</f>
        <v/>
      </c>
      <c r="N218" s="131" t="str">
        <f>IFERROR(_xlfn.XLOOKUP($A218,'Raw Data'!$G:$G,'Raw Data'!Z:Z),"")</f>
        <v/>
      </c>
      <c r="O218" s="158" t="str">
        <f>IFERROR(1-SUMIF('Plant BD'!$H:$H,$A218,'Plant BD'!AC:AC)/$F218,"")</f>
        <v/>
      </c>
      <c r="P218" s="158"/>
      <c r="Q218" s="159"/>
      <c r="R218" s="158" t="str">
        <f>IFERROR(1-SUMIF('Grid BD'!$H:$H,$A218,'Grid BD'!AB:AB)/$F218,"")</f>
        <v/>
      </c>
      <c r="T218" s="159" t="str">
        <f>IFERROR(1-SUMIF(Tracker_BD!$H:$H,$A218,Tracker_BD!AI:AI)/$F218,"")</f>
        <v/>
      </c>
      <c r="U218" s="160" t="str">
        <f t="shared" si="13"/>
        <v/>
      </c>
      <c r="V218" s="160"/>
      <c r="W218" s="161" t="str">
        <f t="shared" si="14"/>
        <v/>
      </c>
      <c r="X218" s="156" t="str">
        <f>IFERROR(_xlfn.XLOOKUP($A218,'Raw Data'!$G:$G,'Raw Data'!$AB:$AB),"")</f>
        <v/>
      </c>
      <c r="Y218" s="156" t="str">
        <f>IFERROR(_xlfn.XLOOKUP($A218,'Raw Data'!$G:$G,'Raw Data'!AC:AC),"")</f>
        <v/>
      </c>
      <c r="Z218" s="156" t="str">
        <f>IFERROR(_xlfn.XLOOKUP($A218,'Raw Data'!$G:$G,'Raw Data'!AD:AD),"")</f>
        <v/>
      </c>
      <c r="AA218" s="156" t="str">
        <f>IFERROR(_xlfn.XLOOKUP($A218,'Raw Data'!$G:$G,'Raw Data'!AE:AE),"")</f>
        <v/>
      </c>
      <c r="AB218" s="156" t="str">
        <f>IFERROR(_xlfn.XLOOKUP($A218,'Raw Data'!$G:$G,'Raw Data'!$H:$H),"")</f>
        <v/>
      </c>
      <c r="AC218" s="162">
        <f>IFERROR(_xlfn.XLOOKUP($D218,'Modelling New'!$D:$D,'Modelling New'!$P:$P),"")</f>
        <v>5.6456101129032259</v>
      </c>
      <c r="AD218" s="156">
        <f>IFERROR(_xlfn.XLOOKUP($D218,'Modelling New'!$D:$D,'Modelling New'!$T:$T)*1000,"")</f>
        <v>50360.911058047554</v>
      </c>
      <c r="AE218" s="163">
        <f>IFERROR(_xlfn.XLOOKUP($D218,'Modelling New'!$D:$D,'Modelling New'!$O:$O),"")</f>
        <v>0.76112341749431001</v>
      </c>
      <c r="AF218" s="163">
        <f>IFERROR(_xlfn.XLOOKUP($D218,'Modelling New'!$D:$D,'Modelling New'!$W:$W),"")</f>
        <v>0.17904191929055585</v>
      </c>
      <c r="AG218" s="163">
        <f>IFERROR(_xlfn.XLOOKUP($D218,'Modelling New'!$D:$D,'Modelling New'!AE:AE),"")</f>
        <v>0.995</v>
      </c>
      <c r="AH218" s="163">
        <f>IFERROR(_xlfn.XLOOKUP($D218,'Modelling New'!$D:$D,'Modelling New'!AF:AF),"")</f>
        <v>0.98550000000000004</v>
      </c>
      <c r="AN218" s="164"/>
      <c r="AO218" s="161"/>
      <c r="AP218" s="161"/>
      <c r="AQ218" s="161"/>
      <c r="AR218" s="156">
        <f>IFERROR(_xlfn.XLOOKUP($D218,'Modelling New'!$D:$D,'Modelling New'!$N:$N),"")</f>
        <v>11.72</v>
      </c>
    </row>
    <row r="219" spans="1:44">
      <c r="A219" s="155">
        <f t="shared" si="15"/>
        <v>45962</v>
      </c>
      <c r="B219" s="156">
        <f>YEAR(Table13[[#This Row],[Date]])+IF(MONTH(Table13[[#This Row],[Date]])&gt;=4,1,0)</f>
        <v>2026</v>
      </c>
      <c r="C219" s="129">
        <f>YEAR(Table13[[#This Row],[Date]])</f>
        <v>2025</v>
      </c>
      <c r="D219" s="157">
        <f>Table13[[#This Row],[Date]]-DAY(Table13[[#This Row],[Date]])+1</f>
        <v>45962</v>
      </c>
      <c r="E219" s="129">
        <f t="shared" si="16"/>
        <v>30</v>
      </c>
      <c r="F219" s="130" t="str">
        <f>IFERROR(_xlfn.XLOOKUP($A219,'Raw Data'!$G:$G,'Raw Data'!$AH:$AH),"")</f>
        <v/>
      </c>
      <c r="G219" s="131" t="str">
        <f>IFERROR(_xlfn.XLOOKUP($A219,'Raw Data'!$G:$G,'Raw Data'!$S:$S)/1000,"")</f>
        <v/>
      </c>
      <c r="H219" s="131"/>
      <c r="I219" s="131" t="str">
        <f>IFERROR(_xlfn.XLOOKUP($A219,'Raw Data'!$G:$G,'Raw Data'!$AF:$AF)/1000,"")</f>
        <v/>
      </c>
      <c r="J219" s="131"/>
      <c r="K219" s="131" t="str">
        <f>IFERROR(_xlfn.XLOOKUP($A219,'Raw Data'!$G:$G,'Raw Data'!W:W),"")</f>
        <v/>
      </c>
      <c r="L219" s="131" t="str">
        <f>IFERROR(_xlfn.XLOOKUP($A219,'Raw Data'!$G:$G,'Raw Data'!X:X),"")</f>
        <v/>
      </c>
      <c r="M219" s="131" t="str">
        <f>IFERROR(_xlfn.XLOOKUP($A219,'Raw Data'!$G:$G,'Raw Data'!Y:Y),"")</f>
        <v/>
      </c>
      <c r="N219" s="131" t="str">
        <f>IFERROR(_xlfn.XLOOKUP($A219,'Raw Data'!$G:$G,'Raw Data'!Z:Z),"")</f>
        <v/>
      </c>
      <c r="O219" s="158" t="str">
        <f>IFERROR(1-SUMIF('Plant BD'!$H:$H,$A219,'Plant BD'!AC:AC)/$F219,"")</f>
        <v/>
      </c>
      <c r="P219" s="158"/>
      <c r="Q219" s="159"/>
      <c r="R219" s="158" t="str">
        <f>IFERROR(1-SUMIF('Grid BD'!$H:$H,$A219,'Grid BD'!AB:AB)/$F219,"")</f>
        <v/>
      </c>
      <c r="T219" s="159" t="str">
        <f>IFERROR(1-SUMIF(Tracker_BD!$H:$H,$A219,Tracker_BD!AI:AI)/$F219,"")</f>
        <v/>
      </c>
      <c r="U219" s="160" t="str">
        <f t="shared" si="13"/>
        <v/>
      </c>
      <c r="V219" s="160"/>
      <c r="W219" s="161" t="str">
        <f t="shared" si="14"/>
        <v/>
      </c>
      <c r="X219" s="156" t="str">
        <f>IFERROR(_xlfn.XLOOKUP($A219,'Raw Data'!$G:$G,'Raw Data'!$AB:$AB),"")</f>
        <v/>
      </c>
      <c r="Y219" s="156" t="str">
        <f>IFERROR(_xlfn.XLOOKUP($A219,'Raw Data'!$G:$G,'Raw Data'!AC:AC),"")</f>
        <v/>
      </c>
      <c r="Z219" s="156" t="str">
        <f>IFERROR(_xlfn.XLOOKUP($A219,'Raw Data'!$G:$G,'Raw Data'!AD:AD),"")</f>
        <v/>
      </c>
      <c r="AA219" s="156" t="str">
        <f>IFERROR(_xlfn.XLOOKUP($A219,'Raw Data'!$G:$G,'Raw Data'!AE:AE),"")</f>
        <v/>
      </c>
      <c r="AB219" s="156" t="str">
        <f>IFERROR(_xlfn.XLOOKUP($A219,'Raw Data'!$G:$G,'Raw Data'!$H:$H),"")</f>
        <v/>
      </c>
      <c r="AC219" s="162">
        <f>IFERROR(_xlfn.XLOOKUP($D219,'Modelling New'!$D:$D,'Modelling New'!$P:$P),"")</f>
        <v>5.6270663033333346</v>
      </c>
      <c r="AD219" s="156">
        <f>IFERROR(_xlfn.XLOOKUP($D219,'Modelling New'!$D:$D,'Modelling New'!$T:$T)*1000,"")</f>
        <v>49196.002720215052</v>
      </c>
      <c r="AE219" s="163">
        <f>IFERROR(_xlfn.XLOOKUP($D219,'Modelling New'!$D:$D,'Modelling New'!$O:$O),"")</f>
        <v>0.7459679568935248</v>
      </c>
      <c r="AF219" s="163">
        <f>IFERROR(_xlfn.XLOOKUP($D219,'Modelling New'!$D:$D,'Modelling New'!$W:$W),"")</f>
        <v>0.17490046473341528</v>
      </c>
      <c r="AG219" s="163">
        <f>IFERROR(_xlfn.XLOOKUP($D219,'Modelling New'!$D:$D,'Modelling New'!AE:AE),"")</f>
        <v>0.995</v>
      </c>
      <c r="AH219" s="163">
        <f>IFERROR(_xlfn.XLOOKUP($D219,'Modelling New'!$D:$D,'Modelling New'!AF:AF),"")</f>
        <v>0.98550000000000004</v>
      </c>
      <c r="AN219" s="164"/>
      <c r="AO219" s="161"/>
      <c r="AP219" s="161"/>
      <c r="AQ219" s="161"/>
      <c r="AR219" s="156">
        <f>IFERROR(_xlfn.XLOOKUP($D219,'Modelling New'!$D:$D,'Modelling New'!$N:$N),"")</f>
        <v>11.72</v>
      </c>
    </row>
    <row r="220" spans="1:44">
      <c r="A220" s="155">
        <f t="shared" si="15"/>
        <v>45963</v>
      </c>
      <c r="B220" s="156">
        <f>YEAR(Table13[[#This Row],[Date]])+IF(MONTH(Table13[[#This Row],[Date]])&gt;=4,1,0)</f>
        <v>2026</v>
      </c>
      <c r="C220" s="129">
        <f>YEAR(Table13[[#This Row],[Date]])</f>
        <v>2025</v>
      </c>
      <c r="D220" s="157">
        <f>Table13[[#This Row],[Date]]-DAY(Table13[[#This Row],[Date]])+1</f>
        <v>45962</v>
      </c>
      <c r="E220" s="129">
        <f t="shared" si="16"/>
        <v>30</v>
      </c>
      <c r="F220" s="130" t="str">
        <f>IFERROR(_xlfn.XLOOKUP($A220,'Raw Data'!$G:$G,'Raw Data'!$AH:$AH),"")</f>
        <v/>
      </c>
      <c r="G220" s="131" t="str">
        <f>IFERROR(_xlfn.XLOOKUP($A220,'Raw Data'!$G:$G,'Raw Data'!$S:$S)/1000,"")</f>
        <v/>
      </c>
      <c r="H220" s="131"/>
      <c r="I220" s="131" t="str">
        <f>IFERROR(_xlfn.XLOOKUP($A220,'Raw Data'!$G:$G,'Raw Data'!$AF:$AF)/1000,"")</f>
        <v/>
      </c>
      <c r="J220" s="131"/>
      <c r="K220" s="131" t="str">
        <f>IFERROR(_xlfn.XLOOKUP($A220,'Raw Data'!$G:$G,'Raw Data'!W:W),"")</f>
        <v/>
      </c>
      <c r="L220" s="131" t="str">
        <f>IFERROR(_xlfn.XLOOKUP($A220,'Raw Data'!$G:$G,'Raw Data'!X:X),"")</f>
        <v/>
      </c>
      <c r="M220" s="131" t="str">
        <f>IFERROR(_xlfn.XLOOKUP($A220,'Raw Data'!$G:$G,'Raw Data'!Y:Y),"")</f>
        <v/>
      </c>
      <c r="N220" s="131" t="str">
        <f>IFERROR(_xlfn.XLOOKUP($A220,'Raw Data'!$G:$G,'Raw Data'!Z:Z),"")</f>
        <v/>
      </c>
      <c r="O220" s="158" t="str">
        <f>IFERROR(1-SUMIF('Plant BD'!$H:$H,$A220,'Plant BD'!AC:AC)/$F220,"")</f>
        <v/>
      </c>
      <c r="P220" s="158"/>
      <c r="Q220" s="159"/>
      <c r="R220" s="158" t="str">
        <f>IFERROR(1-SUMIF('Grid BD'!$H:$H,$A220,'Grid BD'!AB:AB)/$F220,"")</f>
        <v/>
      </c>
      <c r="T220" s="159" t="str">
        <f>IFERROR(1-SUMIF(Tracker_BD!$H:$H,$A220,Tracker_BD!AI:AI)/$F220,"")</f>
        <v/>
      </c>
      <c r="U220" s="160" t="str">
        <f t="shared" si="13"/>
        <v/>
      </c>
      <c r="V220" s="160"/>
      <c r="W220" s="161" t="str">
        <f t="shared" si="14"/>
        <v/>
      </c>
      <c r="X220" s="156" t="str">
        <f>IFERROR(_xlfn.XLOOKUP($A220,'Raw Data'!$G:$G,'Raw Data'!$AB:$AB),"")</f>
        <v/>
      </c>
      <c r="Y220" s="156" t="str">
        <f>IFERROR(_xlfn.XLOOKUP($A220,'Raw Data'!$G:$G,'Raw Data'!AC:AC),"")</f>
        <v/>
      </c>
      <c r="Z220" s="156" t="str">
        <f>IFERROR(_xlfn.XLOOKUP($A220,'Raw Data'!$G:$G,'Raw Data'!AD:AD),"")</f>
        <v/>
      </c>
      <c r="AA220" s="156" t="str">
        <f>IFERROR(_xlfn.XLOOKUP($A220,'Raw Data'!$G:$G,'Raw Data'!AE:AE),"")</f>
        <v/>
      </c>
      <c r="AB220" s="156" t="str">
        <f>IFERROR(_xlfn.XLOOKUP($A220,'Raw Data'!$G:$G,'Raw Data'!$H:$H),"")</f>
        <v/>
      </c>
      <c r="AC220" s="162">
        <f>IFERROR(_xlfn.XLOOKUP($D220,'Modelling New'!$D:$D,'Modelling New'!$P:$P),"")</f>
        <v>5.6270663033333346</v>
      </c>
      <c r="AD220" s="156">
        <f>IFERROR(_xlfn.XLOOKUP($D220,'Modelling New'!$D:$D,'Modelling New'!$T:$T)*1000,"")</f>
        <v>49196.002720215052</v>
      </c>
      <c r="AE220" s="163">
        <f>IFERROR(_xlfn.XLOOKUP($D220,'Modelling New'!$D:$D,'Modelling New'!$O:$O),"")</f>
        <v>0.7459679568935248</v>
      </c>
      <c r="AF220" s="163">
        <f>IFERROR(_xlfn.XLOOKUP($D220,'Modelling New'!$D:$D,'Modelling New'!$W:$W),"")</f>
        <v>0.17490046473341528</v>
      </c>
      <c r="AG220" s="163">
        <f>IFERROR(_xlfn.XLOOKUP($D220,'Modelling New'!$D:$D,'Modelling New'!AE:AE),"")</f>
        <v>0.995</v>
      </c>
      <c r="AH220" s="163">
        <f>IFERROR(_xlfn.XLOOKUP($D220,'Modelling New'!$D:$D,'Modelling New'!AF:AF),"")</f>
        <v>0.98550000000000004</v>
      </c>
      <c r="AN220" s="164"/>
      <c r="AO220" s="161"/>
      <c r="AP220" s="161"/>
      <c r="AQ220" s="161"/>
      <c r="AR220" s="156">
        <f>IFERROR(_xlfn.XLOOKUP($D220,'Modelling New'!$D:$D,'Modelling New'!$N:$N),"")</f>
        <v>11.72</v>
      </c>
    </row>
    <row r="221" spans="1:44">
      <c r="A221" s="155">
        <f t="shared" si="15"/>
        <v>45964</v>
      </c>
      <c r="B221" s="156">
        <f>YEAR(Table13[[#This Row],[Date]])+IF(MONTH(Table13[[#This Row],[Date]])&gt;=4,1,0)</f>
        <v>2026</v>
      </c>
      <c r="C221" s="129">
        <f>YEAR(Table13[[#This Row],[Date]])</f>
        <v>2025</v>
      </c>
      <c r="D221" s="157">
        <f>Table13[[#This Row],[Date]]-DAY(Table13[[#This Row],[Date]])+1</f>
        <v>45962</v>
      </c>
      <c r="E221" s="129">
        <f t="shared" si="16"/>
        <v>30</v>
      </c>
      <c r="F221" s="130" t="str">
        <f>IFERROR(_xlfn.XLOOKUP($A221,'Raw Data'!$G:$G,'Raw Data'!$AH:$AH),"")</f>
        <v/>
      </c>
      <c r="G221" s="131" t="str">
        <f>IFERROR(_xlfn.XLOOKUP($A221,'Raw Data'!$G:$G,'Raw Data'!$S:$S)/1000,"")</f>
        <v/>
      </c>
      <c r="H221" s="131"/>
      <c r="I221" s="131" t="str">
        <f>IFERROR(_xlfn.XLOOKUP($A221,'Raw Data'!$G:$G,'Raw Data'!$AF:$AF)/1000,"")</f>
        <v/>
      </c>
      <c r="J221" s="131"/>
      <c r="K221" s="131" t="str">
        <f>IFERROR(_xlfn.XLOOKUP($A221,'Raw Data'!$G:$G,'Raw Data'!W:W),"")</f>
        <v/>
      </c>
      <c r="L221" s="131" t="str">
        <f>IFERROR(_xlfn.XLOOKUP($A221,'Raw Data'!$G:$G,'Raw Data'!X:X),"")</f>
        <v/>
      </c>
      <c r="M221" s="131" t="str">
        <f>IFERROR(_xlfn.XLOOKUP($A221,'Raw Data'!$G:$G,'Raw Data'!Y:Y),"")</f>
        <v/>
      </c>
      <c r="N221" s="131" t="str">
        <f>IFERROR(_xlfn.XLOOKUP($A221,'Raw Data'!$G:$G,'Raw Data'!Z:Z),"")</f>
        <v/>
      </c>
      <c r="O221" s="158" t="str">
        <f>IFERROR(1-SUMIF('Plant BD'!$H:$H,$A221,'Plant BD'!AC:AC)/$F221,"")</f>
        <v/>
      </c>
      <c r="P221" s="158"/>
      <c r="Q221" s="159"/>
      <c r="R221" s="158" t="str">
        <f>IFERROR(1-SUMIF('Grid BD'!$H:$H,$A221,'Grid BD'!AB:AB)/$F221,"")</f>
        <v/>
      </c>
      <c r="T221" s="159" t="str">
        <f>IFERROR(1-SUMIF(Tracker_BD!$H:$H,$A221,Tracker_BD!AI:AI)/$F221,"")</f>
        <v/>
      </c>
      <c r="U221" s="160" t="str">
        <f t="shared" si="13"/>
        <v/>
      </c>
      <c r="V221" s="160"/>
      <c r="W221" s="161" t="str">
        <f t="shared" si="14"/>
        <v/>
      </c>
      <c r="X221" s="156" t="str">
        <f>IFERROR(_xlfn.XLOOKUP($A221,'Raw Data'!$G:$G,'Raw Data'!$AB:$AB),"")</f>
        <v/>
      </c>
      <c r="Y221" s="156" t="str">
        <f>IFERROR(_xlfn.XLOOKUP($A221,'Raw Data'!$G:$G,'Raw Data'!AC:AC),"")</f>
        <v/>
      </c>
      <c r="Z221" s="156" t="str">
        <f>IFERROR(_xlfn.XLOOKUP($A221,'Raw Data'!$G:$G,'Raw Data'!AD:AD),"")</f>
        <v/>
      </c>
      <c r="AA221" s="156" t="str">
        <f>IFERROR(_xlfn.XLOOKUP($A221,'Raw Data'!$G:$G,'Raw Data'!AE:AE),"")</f>
        <v/>
      </c>
      <c r="AB221" s="156" t="str">
        <f>IFERROR(_xlfn.XLOOKUP($A221,'Raw Data'!$G:$G,'Raw Data'!$H:$H),"")</f>
        <v/>
      </c>
      <c r="AC221" s="162">
        <f>IFERROR(_xlfn.XLOOKUP($D221,'Modelling New'!$D:$D,'Modelling New'!$P:$P),"")</f>
        <v>5.6270663033333346</v>
      </c>
      <c r="AD221" s="156">
        <f>IFERROR(_xlfn.XLOOKUP($D221,'Modelling New'!$D:$D,'Modelling New'!$T:$T)*1000,"")</f>
        <v>49196.002720215052</v>
      </c>
      <c r="AE221" s="163">
        <f>IFERROR(_xlfn.XLOOKUP($D221,'Modelling New'!$D:$D,'Modelling New'!$O:$O),"")</f>
        <v>0.7459679568935248</v>
      </c>
      <c r="AF221" s="163">
        <f>IFERROR(_xlfn.XLOOKUP($D221,'Modelling New'!$D:$D,'Modelling New'!$W:$W),"")</f>
        <v>0.17490046473341528</v>
      </c>
      <c r="AG221" s="163">
        <f>IFERROR(_xlfn.XLOOKUP($D221,'Modelling New'!$D:$D,'Modelling New'!AE:AE),"")</f>
        <v>0.995</v>
      </c>
      <c r="AH221" s="163">
        <f>IFERROR(_xlfn.XLOOKUP($D221,'Modelling New'!$D:$D,'Modelling New'!AF:AF),"")</f>
        <v>0.98550000000000004</v>
      </c>
      <c r="AN221" s="164"/>
      <c r="AO221" s="161"/>
      <c r="AP221" s="161"/>
      <c r="AQ221" s="161"/>
      <c r="AR221" s="156">
        <f>IFERROR(_xlfn.XLOOKUP($D221,'Modelling New'!$D:$D,'Modelling New'!$N:$N),"")</f>
        <v>11.72</v>
      </c>
    </row>
    <row r="222" spans="1:44">
      <c r="A222" s="155">
        <f t="shared" si="15"/>
        <v>45965</v>
      </c>
      <c r="B222" s="156">
        <f>YEAR(Table13[[#This Row],[Date]])+IF(MONTH(Table13[[#This Row],[Date]])&gt;=4,1,0)</f>
        <v>2026</v>
      </c>
      <c r="C222" s="129">
        <f>YEAR(Table13[[#This Row],[Date]])</f>
        <v>2025</v>
      </c>
      <c r="D222" s="157">
        <f>Table13[[#This Row],[Date]]-DAY(Table13[[#This Row],[Date]])+1</f>
        <v>45962</v>
      </c>
      <c r="E222" s="129">
        <f t="shared" si="16"/>
        <v>30</v>
      </c>
      <c r="F222" s="130" t="str">
        <f>IFERROR(_xlfn.XLOOKUP($A222,'Raw Data'!$G:$G,'Raw Data'!$AH:$AH),"")</f>
        <v/>
      </c>
      <c r="G222" s="131" t="str">
        <f>IFERROR(_xlfn.XLOOKUP($A222,'Raw Data'!$G:$G,'Raw Data'!$S:$S)/1000,"")</f>
        <v/>
      </c>
      <c r="H222" s="131"/>
      <c r="I222" s="131" t="str">
        <f>IFERROR(_xlfn.XLOOKUP($A222,'Raw Data'!$G:$G,'Raw Data'!$AF:$AF)/1000,"")</f>
        <v/>
      </c>
      <c r="J222" s="131"/>
      <c r="K222" s="131" t="str">
        <f>IFERROR(_xlfn.XLOOKUP($A222,'Raw Data'!$G:$G,'Raw Data'!W:W),"")</f>
        <v/>
      </c>
      <c r="L222" s="131" t="str">
        <f>IFERROR(_xlfn.XLOOKUP($A222,'Raw Data'!$G:$G,'Raw Data'!X:X),"")</f>
        <v/>
      </c>
      <c r="M222" s="131" t="str">
        <f>IFERROR(_xlfn.XLOOKUP($A222,'Raw Data'!$G:$G,'Raw Data'!Y:Y),"")</f>
        <v/>
      </c>
      <c r="N222" s="131" t="str">
        <f>IFERROR(_xlfn.XLOOKUP($A222,'Raw Data'!$G:$G,'Raw Data'!Z:Z),"")</f>
        <v/>
      </c>
      <c r="O222" s="158" t="str">
        <f>IFERROR(1-SUMIF('Plant BD'!$H:$H,$A222,'Plant BD'!AC:AC)/$F222,"")</f>
        <v/>
      </c>
      <c r="P222" s="158"/>
      <c r="Q222" s="159"/>
      <c r="R222" s="158" t="str">
        <f>IFERROR(1-SUMIF('Grid BD'!$H:$H,$A222,'Grid BD'!AB:AB)/$F222,"")</f>
        <v/>
      </c>
      <c r="T222" s="159" t="str">
        <f>IFERROR(1-SUMIF(Tracker_BD!$H:$H,$A222,Tracker_BD!AI:AI)/$F222,"")</f>
        <v/>
      </c>
      <c r="U222" s="160" t="str">
        <f t="shared" si="13"/>
        <v/>
      </c>
      <c r="V222" s="160"/>
      <c r="W222" s="161" t="str">
        <f t="shared" si="14"/>
        <v/>
      </c>
      <c r="X222" s="156" t="str">
        <f>IFERROR(_xlfn.XLOOKUP($A222,'Raw Data'!$G:$G,'Raw Data'!$AB:$AB),"")</f>
        <v/>
      </c>
      <c r="Y222" s="156" t="str">
        <f>IFERROR(_xlfn.XLOOKUP($A222,'Raw Data'!$G:$G,'Raw Data'!AC:AC),"")</f>
        <v/>
      </c>
      <c r="Z222" s="156" t="str">
        <f>IFERROR(_xlfn.XLOOKUP($A222,'Raw Data'!$G:$G,'Raw Data'!AD:AD),"")</f>
        <v/>
      </c>
      <c r="AA222" s="156" t="str">
        <f>IFERROR(_xlfn.XLOOKUP($A222,'Raw Data'!$G:$G,'Raw Data'!AE:AE),"")</f>
        <v/>
      </c>
      <c r="AB222" s="156" t="str">
        <f>IFERROR(_xlfn.XLOOKUP($A222,'Raw Data'!$G:$G,'Raw Data'!$H:$H),"")</f>
        <v/>
      </c>
      <c r="AC222" s="162">
        <f>IFERROR(_xlfn.XLOOKUP($D222,'Modelling New'!$D:$D,'Modelling New'!$P:$P),"")</f>
        <v>5.6270663033333346</v>
      </c>
      <c r="AD222" s="156">
        <f>IFERROR(_xlfn.XLOOKUP($D222,'Modelling New'!$D:$D,'Modelling New'!$T:$T)*1000,"")</f>
        <v>49196.002720215052</v>
      </c>
      <c r="AE222" s="163">
        <f>IFERROR(_xlfn.XLOOKUP($D222,'Modelling New'!$D:$D,'Modelling New'!$O:$O),"")</f>
        <v>0.7459679568935248</v>
      </c>
      <c r="AF222" s="163">
        <f>IFERROR(_xlfn.XLOOKUP($D222,'Modelling New'!$D:$D,'Modelling New'!$W:$W),"")</f>
        <v>0.17490046473341528</v>
      </c>
      <c r="AG222" s="163">
        <f>IFERROR(_xlfn.XLOOKUP($D222,'Modelling New'!$D:$D,'Modelling New'!AE:AE),"")</f>
        <v>0.995</v>
      </c>
      <c r="AH222" s="163">
        <f>IFERROR(_xlfn.XLOOKUP($D222,'Modelling New'!$D:$D,'Modelling New'!AF:AF),"")</f>
        <v>0.98550000000000004</v>
      </c>
      <c r="AN222" s="164"/>
      <c r="AO222" s="161"/>
      <c r="AP222" s="161"/>
      <c r="AQ222" s="161"/>
      <c r="AR222" s="156">
        <f>IFERROR(_xlfn.XLOOKUP($D222,'Modelling New'!$D:$D,'Modelling New'!$N:$N),"")</f>
        <v>11.72</v>
      </c>
    </row>
    <row r="223" spans="1:44">
      <c r="A223" s="155">
        <f t="shared" si="15"/>
        <v>45966</v>
      </c>
      <c r="B223" s="156">
        <f>YEAR(Table13[[#This Row],[Date]])+IF(MONTH(Table13[[#This Row],[Date]])&gt;=4,1,0)</f>
        <v>2026</v>
      </c>
      <c r="C223" s="129">
        <f>YEAR(Table13[[#This Row],[Date]])</f>
        <v>2025</v>
      </c>
      <c r="D223" s="157">
        <f>Table13[[#This Row],[Date]]-DAY(Table13[[#This Row],[Date]])+1</f>
        <v>45962</v>
      </c>
      <c r="E223" s="129">
        <f t="shared" si="16"/>
        <v>30</v>
      </c>
      <c r="F223" s="130" t="str">
        <f>IFERROR(_xlfn.XLOOKUP($A223,'Raw Data'!$G:$G,'Raw Data'!$AH:$AH),"")</f>
        <v/>
      </c>
      <c r="G223" s="131" t="str">
        <f>IFERROR(_xlfn.XLOOKUP($A223,'Raw Data'!$G:$G,'Raw Data'!$S:$S)/1000,"")</f>
        <v/>
      </c>
      <c r="H223" s="131"/>
      <c r="I223" s="131" t="str">
        <f>IFERROR(_xlfn.XLOOKUP($A223,'Raw Data'!$G:$G,'Raw Data'!$AF:$AF)/1000,"")</f>
        <v/>
      </c>
      <c r="J223" s="131"/>
      <c r="K223" s="131" t="str">
        <f>IFERROR(_xlfn.XLOOKUP($A223,'Raw Data'!$G:$G,'Raw Data'!W:W),"")</f>
        <v/>
      </c>
      <c r="L223" s="131" t="str">
        <f>IFERROR(_xlfn.XLOOKUP($A223,'Raw Data'!$G:$G,'Raw Data'!X:X),"")</f>
        <v/>
      </c>
      <c r="M223" s="131" t="str">
        <f>IFERROR(_xlfn.XLOOKUP($A223,'Raw Data'!$G:$G,'Raw Data'!Y:Y),"")</f>
        <v/>
      </c>
      <c r="N223" s="131" t="str">
        <f>IFERROR(_xlfn.XLOOKUP($A223,'Raw Data'!$G:$G,'Raw Data'!Z:Z),"")</f>
        <v/>
      </c>
      <c r="O223" s="158" t="str">
        <f>IFERROR(1-SUMIF('Plant BD'!$H:$H,$A223,'Plant BD'!AC:AC)/$F223,"")</f>
        <v/>
      </c>
      <c r="P223" s="158"/>
      <c r="Q223" s="159"/>
      <c r="R223" s="158" t="str">
        <f>IFERROR(1-SUMIF('Grid BD'!$H:$H,$A223,'Grid BD'!AB:AB)/$F223,"")</f>
        <v/>
      </c>
      <c r="T223" s="159" t="str">
        <f>IFERROR(1-SUMIF(Tracker_BD!$H:$H,$A223,Tracker_BD!AI:AI)/$F223,"")</f>
        <v/>
      </c>
      <c r="U223" s="160" t="str">
        <f t="shared" si="13"/>
        <v/>
      </c>
      <c r="V223" s="160"/>
      <c r="W223" s="161" t="str">
        <f t="shared" si="14"/>
        <v/>
      </c>
      <c r="X223" s="156" t="str">
        <f>IFERROR(_xlfn.XLOOKUP($A223,'Raw Data'!$G:$G,'Raw Data'!$AB:$AB),"")</f>
        <v/>
      </c>
      <c r="Y223" s="156" t="str">
        <f>IFERROR(_xlfn.XLOOKUP($A223,'Raw Data'!$G:$G,'Raw Data'!AC:AC),"")</f>
        <v/>
      </c>
      <c r="Z223" s="156" t="str">
        <f>IFERROR(_xlfn.XLOOKUP($A223,'Raw Data'!$G:$G,'Raw Data'!AD:AD),"")</f>
        <v/>
      </c>
      <c r="AA223" s="156" t="str">
        <f>IFERROR(_xlfn.XLOOKUP($A223,'Raw Data'!$G:$G,'Raw Data'!AE:AE),"")</f>
        <v/>
      </c>
      <c r="AB223" s="156" t="str">
        <f>IFERROR(_xlfn.XLOOKUP($A223,'Raw Data'!$G:$G,'Raw Data'!$H:$H),"")</f>
        <v/>
      </c>
      <c r="AC223" s="162">
        <f>IFERROR(_xlfn.XLOOKUP($D223,'Modelling New'!$D:$D,'Modelling New'!$P:$P),"")</f>
        <v>5.6270663033333346</v>
      </c>
      <c r="AD223" s="156">
        <f>IFERROR(_xlfn.XLOOKUP($D223,'Modelling New'!$D:$D,'Modelling New'!$T:$T)*1000,"")</f>
        <v>49196.002720215052</v>
      </c>
      <c r="AE223" s="163">
        <f>IFERROR(_xlfn.XLOOKUP($D223,'Modelling New'!$D:$D,'Modelling New'!$O:$O),"")</f>
        <v>0.7459679568935248</v>
      </c>
      <c r="AF223" s="163">
        <f>IFERROR(_xlfn.XLOOKUP($D223,'Modelling New'!$D:$D,'Modelling New'!$W:$W),"")</f>
        <v>0.17490046473341528</v>
      </c>
      <c r="AG223" s="163">
        <f>IFERROR(_xlfn.XLOOKUP($D223,'Modelling New'!$D:$D,'Modelling New'!AE:AE),"")</f>
        <v>0.995</v>
      </c>
      <c r="AH223" s="163">
        <f>IFERROR(_xlfn.XLOOKUP($D223,'Modelling New'!$D:$D,'Modelling New'!AF:AF),"")</f>
        <v>0.98550000000000004</v>
      </c>
      <c r="AN223" s="164"/>
      <c r="AO223" s="161"/>
      <c r="AP223" s="161"/>
      <c r="AQ223" s="161"/>
      <c r="AR223" s="156">
        <f>IFERROR(_xlfn.XLOOKUP($D223,'Modelling New'!$D:$D,'Modelling New'!$N:$N),"")</f>
        <v>11.72</v>
      </c>
    </row>
    <row r="224" spans="1:44">
      <c r="A224" s="155">
        <f t="shared" si="15"/>
        <v>45967</v>
      </c>
      <c r="B224" s="156">
        <f>YEAR(Table13[[#This Row],[Date]])+IF(MONTH(Table13[[#This Row],[Date]])&gt;=4,1,0)</f>
        <v>2026</v>
      </c>
      <c r="C224" s="129">
        <f>YEAR(Table13[[#This Row],[Date]])</f>
        <v>2025</v>
      </c>
      <c r="D224" s="157">
        <f>Table13[[#This Row],[Date]]-DAY(Table13[[#This Row],[Date]])+1</f>
        <v>45962</v>
      </c>
      <c r="E224" s="129">
        <f t="shared" si="16"/>
        <v>30</v>
      </c>
      <c r="F224" s="130" t="str">
        <f>IFERROR(_xlfn.XLOOKUP($A224,'Raw Data'!$G:$G,'Raw Data'!$AH:$AH),"")</f>
        <v/>
      </c>
      <c r="G224" s="131" t="str">
        <f>IFERROR(_xlfn.XLOOKUP($A224,'Raw Data'!$G:$G,'Raw Data'!$S:$S)/1000,"")</f>
        <v/>
      </c>
      <c r="H224" s="131"/>
      <c r="I224" s="131" t="str">
        <f>IFERROR(_xlfn.XLOOKUP($A224,'Raw Data'!$G:$G,'Raw Data'!$AF:$AF)/1000,"")</f>
        <v/>
      </c>
      <c r="J224" s="131"/>
      <c r="K224" s="131" t="str">
        <f>IFERROR(_xlfn.XLOOKUP($A224,'Raw Data'!$G:$G,'Raw Data'!W:W),"")</f>
        <v/>
      </c>
      <c r="L224" s="131" t="str">
        <f>IFERROR(_xlfn.XLOOKUP($A224,'Raw Data'!$G:$G,'Raw Data'!X:X),"")</f>
        <v/>
      </c>
      <c r="M224" s="131" t="str">
        <f>IFERROR(_xlfn.XLOOKUP($A224,'Raw Data'!$G:$G,'Raw Data'!Y:Y),"")</f>
        <v/>
      </c>
      <c r="N224" s="131" t="str">
        <f>IFERROR(_xlfn.XLOOKUP($A224,'Raw Data'!$G:$G,'Raw Data'!Z:Z),"")</f>
        <v/>
      </c>
      <c r="O224" s="158" t="str">
        <f>IFERROR(1-SUMIF('Plant BD'!$H:$H,$A224,'Plant BD'!AC:AC)/$F224,"")</f>
        <v/>
      </c>
      <c r="P224" s="158"/>
      <c r="Q224" s="159"/>
      <c r="R224" s="158" t="str">
        <f>IFERROR(1-SUMIF('Grid BD'!$H:$H,$A224,'Grid BD'!AB:AB)/$F224,"")</f>
        <v/>
      </c>
      <c r="T224" s="159" t="str">
        <f>IFERROR(1-SUMIF(Tracker_BD!$H:$H,$A224,Tracker_BD!AI:AI)/$F224,"")</f>
        <v/>
      </c>
      <c r="U224" s="160" t="str">
        <f t="shared" si="13"/>
        <v/>
      </c>
      <c r="V224" s="160"/>
      <c r="W224" s="161" t="str">
        <f t="shared" si="14"/>
        <v/>
      </c>
      <c r="X224" s="156" t="str">
        <f>IFERROR(_xlfn.XLOOKUP($A224,'Raw Data'!$G:$G,'Raw Data'!$AB:$AB),"")</f>
        <v/>
      </c>
      <c r="Y224" s="156" t="str">
        <f>IFERROR(_xlfn.XLOOKUP($A224,'Raw Data'!$G:$G,'Raw Data'!AC:AC),"")</f>
        <v/>
      </c>
      <c r="Z224" s="156" t="str">
        <f>IFERROR(_xlfn.XLOOKUP($A224,'Raw Data'!$G:$G,'Raw Data'!AD:AD),"")</f>
        <v/>
      </c>
      <c r="AA224" s="156" t="str">
        <f>IFERROR(_xlfn.XLOOKUP($A224,'Raw Data'!$G:$G,'Raw Data'!AE:AE),"")</f>
        <v/>
      </c>
      <c r="AB224" s="156" t="str">
        <f>IFERROR(_xlfn.XLOOKUP($A224,'Raw Data'!$G:$G,'Raw Data'!$H:$H),"")</f>
        <v/>
      </c>
      <c r="AC224" s="162">
        <f>IFERROR(_xlfn.XLOOKUP($D224,'Modelling New'!$D:$D,'Modelling New'!$P:$P),"")</f>
        <v>5.6270663033333346</v>
      </c>
      <c r="AD224" s="156">
        <f>IFERROR(_xlfn.XLOOKUP($D224,'Modelling New'!$D:$D,'Modelling New'!$T:$T)*1000,"")</f>
        <v>49196.002720215052</v>
      </c>
      <c r="AE224" s="163">
        <f>IFERROR(_xlfn.XLOOKUP($D224,'Modelling New'!$D:$D,'Modelling New'!$O:$O),"")</f>
        <v>0.7459679568935248</v>
      </c>
      <c r="AF224" s="163">
        <f>IFERROR(_xlfn.XLOOKUP($D224,'Modelling New'!$D:$D,'Modelling New'!$W:$W),"")</f>
        <v>0.17490046473341528</v>
      </c>
      <c r="AG224" s="163">
        <f>IFERROR(_xlfn.XLOOKUP($D224,'Modelling New'!$D:$D,'Modelling New'!AE:AE),"")</f>
        <v>0.995</v>
      </c>
      <c r="AH224" s="163">
        <f>IFERROR(_xlfn.XLOOKUP($D224,'Modelling New'!$D:$D,'Modelling New'!AF:AF),"")</f>
        <v>0.98550000000000004</v>
      </c>
      <c r="AN224" s="164"/>
      <c r="AO224" s="161"/>
      <c r="AP224" s="161"/>
      <c r="AQ224" s="161"/>
      <c r="AR224" s="156">
        <f>IFERROR(_xlfn.XLOOKUP($D224,'Modelling New'!$D:$D,'Modelling New'!$N:$N),"")</f>
        <v>11.72</v>
      </c>
    </row>
    <row r="225" spans="1:44">
      <c r="A225" s="155">
        <f t="shared" si="15"/>
        <v>45968</v>
      </c>
      <c r="B225" s="156">
        <f>YEAR(Table13[[#This Row],[Date]])+IF(MONTH(Table13[[#This Row],[Date]])&gt;=4,1,0)</f>
        <v>2026</v>
      </c>
      <c r="C225" s="129">
        <f>YEAR(Table13[[#This Row],[Date]])</f>
        <v>2025</v>
      </c>
      <c r="D225" s="157">
        <f>Table13[[#This Row],[Date]]-DAY(Table13[[#This Row],[Date]])+1</f>
        <v>45962</v>
      </c>
      <c r="E225" s="129">
        <f t="shared" si="16"/>
        <v>30</v>
      </c>
      <c r="F225" s="130" t="str">
        <f>IFERROR(_xlfn.XLOOKUP($A225,'Raw Data'!$G:$G,'Raw Data'!$AH:$AH),"")</f>
        <v/>
      </c>
      <c r="G225" s="131" t="str">
        <f>IFERROR(_xlfn.XLOOKUP($A225,'Raw Data'!$G:$G,'Raw Data'!$S:$S)/1000,"")</f>
        <v/>
      </c>
      <c r="H225" s="131"/>
      <c r="I225" s="131" t="str">
        <f>IFERROR(_xlfn.XLOOKUP($A225,'Raw Data'!$G:$G,'Raw Data'!$AF:$AF)/1000,"")</f>
        <v/>
      </c>
      <c r="J225" s="131"/>
      <c r="K225" s="131" t="str">
        <f>IFERROR(_xlfn.XLOOKUP($A225,'Raw Data'!$G:$G,'Raw Data'!W:W),"")</f>
        <v/>
      </c>
      <c r="L225" s="131" t="str">
        <f>IFERROR(_xlfn.XLOOKUP($A225,'Raw Data'!$G:$G,'Raw Data'!X:X),"")</f>
        <v/>
      </c>
      <c r="M225" s="131" t="str">
        <f>IFERROR(_xlfn.XLOOKUP($A225,'Raw Data'!$G:$G,'Raw Data'!Y:Y),"")</f>
        <v/>
      </c>
      <c r="N225" s="131" t="str">
        <f>IFERROR(_xlfn.XLOOKUP($A225,'Raw Data'!$G:$G,'Raw Data'!Z:Z),"")</f>
        <v/>
      </c>
      <c r="O225" s="158" t="str">
        <f>IFERROR(1-SUMIF('Plant BD'!$H:$H,$A225,'Plant BD'!AC:AC)/$F225,"")</f>
        <v/>
      </c>
      <c r="P225" s="158"/>
      <c r="Q225" s="159"/>
      <c r="R225" s="158" t="str">
        <f>IFERROR(1-SUMIF('Grid BD'!$H:$H,$A225,'Grid BD'!AB:AB)/$F225,"")</f>
        <v/>
      </c>
      <c r="T225" s="159" t="str">
        <f>IFERROR(1-SUMIF(Tracker_BD!$H:$H,$A225,Tracker_BD!AI:AI)/$F225,"")</f>
        <v/>
      </c>
      <c r="U225" s="160" t="str">
        <f t="shared" si="13"/>
        <v/>
      </c>
      <c r="V225" s="160"/>
      <c r="W225" s="161" t="str">
        <f t="shared" si="14"/>
        <v/>
      </c>
      <c r="X225" s="156" t="str">
        <f>IFERROR(_xlfn.XLOOKUP($A225,'Raw Data'!$G:$G,'Raw Data'!$AB:$AB),"")</f>
        <v/>
      </c>
      <c r="Y225" s="156" t="str">
        <f>IFERROR(_xlfn.XLOOKUP($A225,'Raw Data'!$G:$G,'Raw Data'!AC:AC),"")</f>
        <v/>
      </c>
      <c r="Z225" s="156" t="str">
        <f>IFERROR(_xlfn.XLOOKUP($A225,'Raw Data'!$G:$G,'Raw Data'!AD:AD),"")</f>
        <v/>
      </c>
      <c r="AA225" s="156" t="str">
        <f>IFERROR(_xlfn.XLOOKUP($A225,'Raw Data'!$G:$G,'Raw Data'!AE:AE),"")</f>
        <v/>
      </c>
      <c r="AB225" s="156" t="str">
        <f>IFERROR(_xlfn.XLOOKUP($A225,'Raw Data'!$G:$G,'Raw Data'!$H:$H),"")</f>
        <v/>
      </c>
      <c r="AC225" s="162">
        <f>IFERROR(_xlfn.XLOOKUP($D225,'Modelling New'!$D:$D,'Modelling New'!$P:$P),"")</f>
        <v>5.6270663033333346</v>
      </c>
      <c r="AD225" s="156">
        <f>IFERROR(_xlfn.XLOOKUP($D225,'Modelling New'!$D:$D,'Modelling New'!$T:$T)*1000,"")</f>
        <v>49196.002720215052</v>
      </c>
      <c r="AE225" s="163">
        <f>IFERROR(_xlfn.XLOOKUP($D225,'Modelling New'!$D:$D,'Modelling New'!$O:$O),"")</f>
        <v>0.7459679568935248</v>
      </c>
      <c r="AF225" s="163">
        <f>IFERROR(_xlfn.XLOOKUP($D225,'Modelling New'!$D:$D,'Modelling New'!$W:$W),"")</f>
        <v>0.17490046473341528</v>
      </c>
      <c r="AG225" s="163">
        <f>IFERROR(_xlfn.XLOOKUP($D225,'Modelling New'!$D:$D,'Modelling New'!AE:AE),"")</f>
        <v>0.995</v>
      </c>
      <c r="AH225" s="163">
        <f>IFERROR(_xlfn.XLOOKUP($D225,'Modelling New'!$D:$D,'Modelling New'!AF:AF),"")</f>
        <v>0.98550000000000004</v>
      </c>
      <c r="AN225" s="164"/>
      <c r="AO225" s="161"/>
      <c r="AP225" s="161"/>
      <c r="AQ225" s="161"/>
      <c r="AR225" s="156">
        <f>IFERROR(_xlfn.XLOOKUP($D225,'Modelling New'!$D:$D,'Modelling New'!$N:$N),"")</f>
        <v>11.72</v>
      </c>
    </row>
    <row r="226" spans="1:44">
      <c r="A226" s="155">
        <f t="shared" si="15"/>
        <v>45969</v>
      </c>
      <c r="B226" s="156">
        <f>YEAR(Table13[[#This Row],[Date]])+IF(MONTH(Table13[[#This Row],[Date]])&gt;=4,1,0)</f>
        <v>2026</v>
      </c>
      <c r="C226" s="129">
        <f>YEAR(Table13[[#This Row],[Date]])</f>
        <v>2025</v>
      </c>
      <c r="D226" s="157">
        <f>Table13[[#This Row],[Date]]-DAY(Table13[[#This Row],[Date]])+1</f>
        <v>45962</v>
      </c>
      <c r="E226" s="129">
        <f t="shared" si="16"/>
        <v>30</v>
      </c>
      <c r="F226" s="130" t="str">
        <f>IFERROR(_xlfn.XLOOKUP($A226,'Raw Data'!$G:$G,'Raw Data'!$AH:$AH),"")</f>
        <v/>
      </c>
      <c r="G226" s="131" t="str">
        <f>IFERROR(_xlfn.XLOOKUP($A226,'Raw Data'!$G:$G,'Raw Data'!$S:$S)/1000,"")</f>
        <v/>
      </c>
      <c r="H226" s="131"/>
      <c r="I226" s="131" t="str">
        <f>IFERROR(_xlfn.XLOOKUP($A226,'Raw Data'!$G:$G,'Raw Data'!$AF:$AF)/1000,"")</f>
        <v/>
      </c>
      <c r="J226" s="131"/>
      <c r="K226" s="131" t="str">
        <f>IFERROR(_xlfn.XLOOKUP($A226,'Raw Data'!$G:$G,'Raw Data'!W:W),"")</f>
        <v/>
      </c>
      <c r="L226" s="131" t="str">
        <f>IFERROR(_xlfn.XLOOKUP($A226,'Raw Data'!$G:$G,'Raw Data'!X:X),"")</f>
        <v/>
      </c>
      <c r="M226" s="131" t="str">
        <f>IFERROR(_xlfn.XLOOKUP($A226,'Raw Data'!$G:$G,'Raw Data'!Y:Y),"")</f>
        <v/>
      </c>
      <c r="N226" s="131" t="str">
        <f>IFERROR(_xlfn.XLOOKUP($A226,'Raw Data'!$G:$G,'Raw Data'!Z:Z),"")</f>
        <v/>
      </c>
      <c r="O226" s="158" t="str">
        <f>IFERROR(1-SUMIF('Plant BD'!$H:$H,$A226,'Plant BD'!AC:AC)/$F226,"")</f>
        <v/>
      </c>
      <c r="P226" s="158"/>
      <c r="Q226" s="159"/>
      <c r="R226" s="158" t="str">
        <f>IFERROR(1-SUMIF('Grid BD'!$H:$H,$A226,'Grid BD'!AB:AB)/$F226,"")</f>
        <v/>
      </c>
      <c r="T226" s="159" t="str">
        <f>IFERROR(1-SUMIF(Tracker_BD!$H:$H,$A226,Tracker_BD!AI:AI)/$F226,"")</f>
        <v/>
      </c>
      <c r="U226" s="160" t="str">
        <f t="shared" si="13"/>
        <v/>
      </c>
      <c r="V226" s="160"/>
      <c r="W226" s="161" t="str">
        <f t="shared" si="14"/>
        <v/>
      </c>
      <c r="X226" s="156" t="str">
        <f>IFERROR(_xlfn.XLOOKUP($A226,'Raw Data'!$G:$G,'Raw Data'!$AB:$AB),"")</f>
        <v/>
      </c>
      <c r="Y226" s="156" t="str">
        <f>IFERROR(_xlfn.XLOOKUP($A226,'Raw Data'!$G:$G,'Raw Data'!AC:AC),"")</f>
        <v/>
      </c>
      <c r="Z226" s="156" t="str">
        <f>IFERROR(_xlfn.XLOOKUP($A226,'Raw Data'!$G:$G,'Raw Data'!AD:AD),"")</f>
        <v/>
      </c>
      <c r="AA226" s="156" t="str">
        <f>IFERROR(_xlfn.XLOOKUP($A226,'Raw Data'!$G:$G,'Raw Data'!AE:AE),"")</f>
        <v/>
      </c>
      <c r="AB226" s="156" t="str">
        <f>IFERROR(_xlfn.XLOOKUP($A226,'Raw Data'!$G:$G,'Raw Data'!$H:$H),"")</f>
        <v/>
      </c>
      <c r="AC226" s="162">
        <f>IFERROR(_xlfn.XLOOKUP($D226,'Modelling New'!$D:$D,'Modelling New'!$P:$P),"")</f>
        <v>5.6270663033333346</v>
      </c>
      <c r="AD226" s="156">
        <f>IFERROR(_xlfn.XLOOKUP($D226,'Modelling New'!$D:$D,'Modelling New'!$T:$T)*1000,"")</f>
        <v>49196.002720215052</v>
      </c>
      <c r="AE226" s="163">
        <f>IFERROR(_xlfn.XLOOKUP($D226,'Modelling New'!$D:$D,'Modelling New'!$O:$O),"")</f>
        <v>0.7459679568935248</v>
      </c>
      <c r="AF226" s="163">
        <f>IFERROR(_xlfn.XLOOKUP($D226,'Modelling New'!$D:$D,'Modelling New'!$W:$W),"")</f>
        <v>0.17490046473341528</v>
      </c>
      <c r="AG226" s="163">
        <f>IFERROR(_xlfn.XLOOKUP($D226,'Modelling New'!$D:$D,'Modelling New'!AE:AE),"")</f>
        <v>0.995</v>
      </c>
      <c r="AH226" s="163">
        <f>IFERROR(_xlfn.XLOOKUP($D226,'Modelling New'!$D:$D,'Modelling New'!AF:AF),"")</f>
        <v>0.98550000000000004</v>
      </c>
      <c r="AN226" s="164"/>
      <c r="AO226" s="161"/>
      <c r="AP226" s="161"/>
      <c r="AQ226" s="161"/>
      <c r="AR226" s="156">
        <f>IFERROR(_xlfn.XLOOKUP($D226,'Modelling New'!$D:$D,'Modelling New'!$N:$N),"")</f>
        <v>11.72</v>
      </c>
    </row>
    <row r="227" spans="1:44">
      <c r="A227" s="155">
        <f t="shared" si="15"/>
        <v>45970</v>
      </c>
      <c r="B227" s="156">
        <f>YEAR(Table13[[#This Row],[Date]])+IF(MONTH(Table13[[#This Row],[Date]])&gt;=4,1,0)</f>
        <v>2026</v>
      </c>
      <c r="C227" s="129">
        <f>YEAR(Table13[[#This Row],[Date]])</f>
        <v>2025</v>
      </c>
      <c r="D227" s="157">
        <f>Table13[[#This Row],[Date]]-DAY(Table13[[#This Row],[Date]])+1</f>
        <v>45962</v>
      </c>
      <c r="E227" s="129">
        <f t="shared" si="16"/>
        <v>30</v>
      </c>
      <c r="F227" s="130" t="str">
        <f>IFERROR(_xlfn.XLOOKUP($A227,'Raw Data'!$G:$G,'Raw Data'!$AH:$AH),"")</f>
        <v/>
      </c>
      <c r="G227" s="131" t="str">
        <f>IFERROR(_xlfn.XLOOKUP($A227,'Raw Data'!$G:$G,'Raw Data'!$S:$S)/1000,"")</f>
        <v/>
      </c>
      <c r="H227" s="131"/>
      <c r="I227" s="131" t="str">
        <f>IFERROR(_xlfn.XLOOKUP($A227,'Raw Data'!$G:$G,'Raw Data'!$AF:$AF)/1000,"")</f>
        <v/>
      </c>
      <c r="J227" s="131"/>
      <c r="K227" s="131" t="str">
        <f>IFERROR(_xlfn.XLOOKUP($A227,'Raw Data'!$G:$G,'Raw Data'!W:W),"")</f>
        <v/>
      </c>
      <c r="L227" s="131" t="str">
        <f>IFERROR(_xlfn.XLOOKUP($A227,'Raw Data'!$G:$G,'Raw Data'!X:X),"")</f>
        <v/>
      </c>
      <c r="M227" s="131" t="str">
        <f>IFERROR(_xlfn.XLOOKUP($A227,'Raw Data'!$G:$G,'Raw Data'!Y:Y),"")</f>
        <v/>
      </c>
      <c r="N227" s="131" t="str">
        <f>IFERROR(_xlfn.XLOOKUP($A227,'Raw Data'!$G:$G,'Raw Data'!Z:Z),"")</f>
        <v/>
      </c>
      <c r="O227" s="158" t="str">
        <f>IFERROR(1-SUMIF('Plant BD'!$H:$H,$A227,'Plant BD'!AC:AC)/$F227,"")</f>
        <v/>
      </c>
      <c r="P227" s="158"/>
      <c r="Q227" s="159"/>
      <c r="R227" s="158" t="str">
        <f>IFERROR(1-SUMIF('Grid BD'!$H:$H,$A227,'Grid BD'!AB:AB)/$F227,"")</f>
        <v/>
      </c>
      <c r="T227" s="159" t="str">
        <f>IFERROR(1-SUMIF(Tracker_BD!$H:$H,$A227,Tracker_BD!AI:AI)/$F227,"")</f>
        <v/>
      </c>
      <c r="U227" s="160" t="str">
        <f t="shared" si="13"/>
        <v/>
      </c>
      <c r="V227" s="160"/>
      <c r="W227" s="161" t="str">
        <f t="shared" si="14"/>
        <v/>
      </c>
      <c r="X227" s="156" t="str">
        <f>IFERROR(_xlfn.XLOOKUP($A227,'Raw Data'!$G:$G,'Raw Data'!$AB:$AB),"")</f>
        <v/>
      </c>
      <c r="Y227" s="156" t="str">
        <f>IFERROR(_xlfn.XLOOKUP($A227,'Raw Data'!$G:$G,'Raw Data'!AC:AC),"")</f>
        <v/>
      </c>
      <c r="Z227" s="156" t="str">
        <f>IFERROR(_xlfn.XLOOKUP($A227,'Raw Data'!$G:$G,'Raw Data'!AD:AD),"")</f>
        <v/>
      </c>
      <c r="AA227" s="156" t="str">
        <f>IFERROR(_xlfn.XLOOKUP($A227,'Raw Data'!$G:$G,'Raw Data'!AE:AE),"")</f>
        <v/>
      </c>
      <c r="AB227" s="156" t="str">
        <f>IFERROR(_xlfn.XLOOKUP($A227,'Raw Data'!$G:$G,'Raw Data'!$H:$H),"")</f>
        <v/>
      </c>
      <c r="AC227" s="162">
        <f>IFERROR(_xlfn.XLOOKUP($D227,'Modelling New'!$D:$D,'Modelling New'!$P:$P),"")</f>
        <v>5.6270663033333346</v>
      </c>
      <c r="AD227" s="156">
        <f>IFERROR(_xlfn.XLOOKUP($D227,'Modelling New'!$D:$D,'Modelling New'!$T:$T)*1000,"")</f>
        <v>49196.002720215052</v>
      </c>
      <c r="AE227" s="163">
        <f>IFERROR(_xlfn.XLOOKUP($D227,'Modelling New'!$D:$D,'Modelling New'!$O:$O),"")</f>
        <v>0.7459679568935248</v>
      </c>
      <c r="AF227" s="163">
        <f>IFERROR(_xlfn.XLOOKUP($D227,'Modelling New'!$D:$D,'Modelling New'!$W:$W),"")</f>
        <v>0.17490046473341528</v>
      </c>
      <c r="AG227" s="163">
        <f>IFERROR(_xlfn.XLOOKUP($D227,'Modelling New'!$D:$D,'Modelling New'!AE:AE),"")</f>
        <v>0.995</v>
      </c>
      <c r="AH227" s="163">
        <f>IFERROR(_xlfn.XLOOKUP($D227,'Modelling New'!$D:$D,'Modelling New'!AF:AF),"")</f>
        <v>0.98550000000000004</v>
      </c>
      <c r="AN227" s="164"/>
      <c r="AO227" s="161"/>
      <c r="AP227" s="161"/>
      <c r="AQ227" s="161"/>
      <c r="AR227" s="156">
        <f>IFERROR(_xlfn.XLOOKUP($D227,'Modelling New'!$D:$D,'Modelling New'!$N:$N),"")</f>
        <v>11.72</v>
      </c>
    </row>
    <row r="228" spans="1:44">
      <c r="A228" s="155">
        <f t="shared" si="15"/>
        <v>45971</v>
      </c>
      <c r="B228" s="156">
        <f>YEAR(Table13[[#This Row],[Date]])+IF(MONTH(Table13[[#This Row],[Date]])&gt;=4,1,0)</f>
        <v>2026</v>
      </c>
      <c r="C228" s="129">
        <f>YEAR(Table13[[#This Row],[Date]])</f>
        <v>2025</v>
      </c>
      <c r="D228" s="157">
        <f>Table13[[#This Row],[Date]]-DAY(Table13[[#This Row],[Date]])+1</f>
        <v>45962</v>
      </c>
      <c r="E228" s="129">
        <f t="shared" si="16"/>
        <v>30</v>
      </c>
      <c r="F228" s="130" t="str">
        <f>IFERROR(_xlfn.XLOOKUP($A228,'Raw Data'!$G:$G,'Raw Data'!$AH:$AH),"")</f>
        <v/>
      </c>
      <c r="G228" s="131" t="str">
        <f>IFERROR(_xlfn.XLOOKUP($A228,'Raw Data'!$G:$G,'Raw Data'!$S:$S)/1000,"")</f>
        <v/>
      </c>
      <c r="H228" s="131"/>
      <c r="I228" s="131" t="str">
        <f>IFERROR(_xlfn.XLOOKUP($A228,'Raw Data'!$G:$G,'Raw Data'!$AF:$AF)/1000,"")</f>
        <v/>
      </c>
      <c r="J228" s="131"/>
      <c r="K228" s="131" t="str">
        <f>IFERROR(_xlfn.XLOOKUP($A228,'Raw Data'!$G:$G,'Raw Data'!W:W),"")</f>
        <v/>
      </c>
      <c r="L228" s="131" t="str">
        <f>IFERROR(_xlfn.XLOOKUP($A228,'Raw Data'!$G:$G,'Raw Data'!X:X),"")</f>
        <v/>
      </c>
      <c r="M228" s="131" t="str">
        <f>IFERROR(_xlfn.XLOOKUP($A228,'Raw Data'!$G:$G,'Raw Data'!Y:Y),"")</f>
        <v/>
      </c>
      <c r="N228" s="131" t="str">
        <f>IFERROR(_xlfn.XLOOKUP($A228,'Raw Data'!$G:$G,'Raw Data'!Z:Z),"")</f>
        <v/>
      </c>
      <c r="O228" s="158" t="str">
        <f>IFERROR(1-SUMIF('Plant BD'!$H:$H,$A228,'Plant BD'!AC:AC)/$F228,"")</f>
        <v/>
      </c>
      <c r="P228" s="158"/>
      <c r="Q228" s="159"/>
      <c r="R228" s="158" t="str">
        <f>IFERROR(1-SUMIF('Grid BD'!$H:$H,$A228,'Grid BD'!AB:AB)/$F228,"")</f>
        <v/>
      </c>
      <c r="T228" s="159" t="str">
        <f>IFERROR(1-SUMIF(Tracker_BD!$H:$H,$A228,Tracker_BD!AI:AI)/$F228,"")</f>
        <v/>
      </c>
      <c r="U228" s="160" t="str">
        <f t="shared" si="13"/>
        <v/>
      </c>
      <c r="V228" s="160"/>
      <c r="W228" s="161" t="str">
        <f t="shared" si="14"/>
        <v/>
      </c>
      <c r="X228" s="156" t="str">
        <f>IFERROR(_xlfn.XLOOKUP($A228,'Raw Data'!$G:$G,'Raw Data'!$AB:$AB),"")</f>
        <v/>
      </c>
      <c r="Y228" s="156" t="str">
        <f>IFERROR(_xlfn.XLOOKUP($A228,'Raw Data'!$G:$G,'Raw Data'!AC:AC),"")</f>
        <v/>
      </c>
      <c r="Z228" s="156" t="str">
        <f>IFERROR(_xlfn.XLOOKUP($A228,'Raw Data'!$G:$G,'Raw Data'!AD:AD),"")</f>
        <v/>
      </c>
      <c r="AA228" s="156" t="str">
        <f>IFERROR(_xlfn.XLOOKUP($A228,'Raw Data'!$G:$G,'Raw Data'!AE:AE),"")</f>
        <v/>
      </c>
      <c r="AB228" s="156" t="str">
        <f>IFERROR(_xlfn.XLOOKUP($A228,'Raw Data'!$G:$G,'Raw Data'!$H:$H),"")</f>
        <v/>
      </c>
      <c r="AC228" s="162">
        <f>IFERROR(_xlfn.XLOOKUP($D228,'Modelling New'!$D:$D,'Modelling New'!$P:$P),"")</f>
        <v>5.6270663033333346</v>
      </c>
      <c r="AD228" s="156">
        <f>IFERROR(_xlfn.XLOOKUP($D228,'Modelling New'!$D:$D,'Modelling New'!$T:$T)*1000,"")</f>
        <v>49196.002720215052</v>
      </c>
      <c r="AE228" s="163">
        <f>IFERROR(_xlfn.XLOOKUP($D228,'Modelling New'!$D:$D,'Modelling New'!$O:$O),"")</f>
        <v>0.7459679568935248</v>
      </c>
      <c r="AF228" s="163">
        <f>IFERROR(_xlfn.XLOOKUP($D228,'Modelling New'!$D:$D,'Modelling New'!$W:$W),"")</f>
        <v>0.17490046473341528</v>
      </c>
      <c r="AG228" s="163">
        <f>IFERROR(_xlfn.XLOOKUP($D228,'Modelling New'!$D:$D,'Modelling New'!AE:AE),"")</f>
        <v>0.995</v>
      </c>
      <c r="AH228" s="163">
        <f>IFERROR(_xlfn.XLOOKUP($D228,'Modelling New'!$D:$D,'Modelling New'!AF:AF),"")</f>
        <v>0.98550000000000004</v>
      </c>
      <c r="AN228" s="164"/>
      <c r="AO228" s="161"/>
      <c r="AP228" s="161"/>
      <c r="AQ228" s="161"/>
      <c r="AR228" s="156">
        <f>IFERROR(_xlfn.XLOOKUP($D228,'Modelling New'!$D:$D,'Modelling New'!$N:$N),"")</f>
        <v>11.72</v>
      </c>
    </row>
    <row r="229" spans="1:44">
      <c r="A229" s="155">
        <f t="shared" si="15"/>
        <v>45972</v>
      </c>
      <c r="B229" s="156">
        <f>YEAR(Table13[[#This Row],[Date]])+IF(MONTH(Table13[[#This Row],[Date]])&gt;=4,1,0)</f>
        <v>2026</v>
      </c>
      <c r="C229" s="129">
        <f>YEAR(Table13[[#This Row],[Date]])</f>
        <v>2025</v>
      </c>
      <c r="D229" s="157">
        <f>Table13[[#This Row],[Date]]-DAY(Table13[[#This Row],[Date]])+1</f>
        <v>45962</v>
      </c>
      <c r="E229" s="129">
        <f t="shared" si="16"/>
        <v>30</v>
      </c>
      <c r="F229" s="130" t="str">
        <f>IFERROR(_xlfn.XLOOKUP($A229,'Raw Data'!$G:$G,'Raw Data'!$AH:$AH),"")</f>
        <v/>
      </c>
      <c r="G229" s="131" t="str">
        <f>IFERROR(_xlfn.XLOOKUP($A229,'Raw Data'!$G:$G,'Raw Data'!$S:$S)/1000,"")</f>
        <v/>
      </c>
      <c r="H229" s="131"/>
      <c r="I229" s="131" t="str">
        <f>IFERROR(_xlfn.XLOOKUP($A229,'Raw Data'!$G:$G,'Raw Data'!$AF:$AF)/1000,"")</f>
        <v/>
      </c>
      <c r="J229" s="131"/>
      <c r="K229" s="131" t="str">
        <f>IFERROR(_xlfn.XLOOKUP($A229,'Raw Data'!$G:$G,'Raw Data'!W:W),"")</f>
        <v/>
      </c>
      <c r="L229" s="131" t="str">
        <f>IFERROR(_xlfn.XLOOKUP($A229,'Raw Data'!$G:$G,'Raw Data'!X:X),"")</f>
        <v/>
      </c>
      <c r="M229" s="131" t="str">
        <f>IFERROR(_xlfn.XLOOKUP($A229,'Raw Data'!$G:$G,'Raw Data'!Y:Y),"")</f>
        <v/>
      </c>
      <c r="N229" s="131" t="str">
        <f>IFERROR(_xlfn.XLOOKUP($A229,'Raw Data'!$G:$G,'Raw Data'!Z:Z),"")</f>
        <v/>
      </c>
      <c r="O229" s="158" t="str">
        <f>IFERROR(1-SUMIF('Plant BD'!$H:$H,$A229,'Plant BD'!AC:AC)/$F229,"")</f>
        <v/>
      </c>
      <c r="P229" s="158"/>
      <c r="Q229" s="159"/>
      <c r="R229" s="158" t="str">
        <f>IFERROR(1-SUMIF('Grid BD'!$H:$H,$A229,'Grid BD'!AB:AB)/$F229,"")</f>
        <v/>
      </c>
      <c r="T229" s="159" t="str">
        <f>IFERROR(1-SUMIF(Tracker_BD!$H:$H,$A229,Tracker_BD!AI:AI)/$F229,"")</f>
        <v/>
      </c>
      <c r="U229" s="160" t="str">
        <f t="shared" si="13"/>
        <v/>
      </c>
      <c r="V229" s="160"/>
      <c r="W229" s="161" t="str">
        <f t="shared" si="14"/>
        <v/>
      </c>
      <c r="X229" s="156" t="str">
        <f>IFERROR(_xlfn.XLOOKUP($A229,'Raw Data'!$G:$G,'Raw Data'!$AB:$AB),"")</f>
        <v/>
      </c>
      <c r="Y229" s="156" t="str">
        <f>IFERROR(_xlfn.XLOOKUP($A229,'Raw Data'!$G:$G,'Raw Data'!AC:AC),"")</f>
        <v/>
      </c>
      <c r="Z229" s="156" t="str">
        <f>IFERROR(_xlfn.XLOOKUP($A229,'Raw Data'!$G:$G,'Raw Data'!AD:AD),"")</f>
        <v/>
      </c>
      <c r="AA229" s="156" t="str">
        <f>IFERROR(_xlfn.XLOOKUP($A229,'Raw Data'!$G:$G,'Raw Data'!AE:AE),"")</f>
        <v/>
      </c>
      <c r="AB229" s="156" t="str">
        <f>IFERROR(_xlfn.XLOOKUP($A229,'Raw Data'!$G:$G,'Raw Data'!$H:$H),"")</f>
        <v/>
      </c>
      <c r="AC229" s="162">
        <f>IFERROR(_xlfn.XLOOKUP($D229,'Modelling New'!$D:$D,'Modelling New'!$P:$P),"")</f>
        <v>5.6270663033333346</v>
      </c>
      <c r="AD229" s="156">
        <f>IFERROR(_xlfn.XLOOKUP($D229,'Modelling New'!$D:$D,'Modelling New'!$T:$T)*1000,"")</f>
        <v>49196.002720215052</v>
      </c>
      <c r="AE229" s="163">
        <f>IFERROR(_xlfn.XLOOKUP($D229,'Modelling New'!$D:$D,'Modelling New'!$O:$O),"")</f>
        <v>0.7459679568935248</v>
      </c>
      <c r="AF229" s="163">
        <f>IFERROR(_xlfn.XLOOKUP($D229,'Modelling New'!$D:$D,'Modelling New'!$W:$W),"")</f>
        <v>0.17490046473341528</v>
      </c>
      <c r="AG229" s="163">
        <f>IFERROR(_xlfn.XLOOKUP($D229,'Modelling New'!$D:$D,'Modelling New'!AE:AE),"")</f>
        <v>0.995</v>
      </c>
      <c r="AH229" s="163">
        <f>IFERROR(_xlfn.XLOOKUP($D229,'Modelling New'!$D:$D,'Modelling New'!AF:AF),"")</f>
        <v>0.98550000000000004</v>
      </c>
      <c r="AN229" s="164"/>
      <c r="AO229" s="161"/>
      <c r="AP229" s="161"/>
      <c r="AQ229" s="161"/>
      <c r="AR229" s="156">
        <f>IFERROR(_xlfn.XLOOKUP($D229,'Modelling New'!$D:$D,'Modelling New'!$N:$N),"")</f>
        <v>11.72</v>
      </c>
    </row>
    <row r="230" spans="1:44">
      <c r="A230" s="155">
        <f t="shared" si="15"/>
        <v>45973</v>
      </c>
      <c r="B230" s="156">
        <f>YEAR(Table13[[#This Row],[Date]])+IF(MONTH(Table13[[#This Row],[Date]])&gt;=4,1,0)</f>
        <v>2026</v>
      </c>
      <c r="C230" s="129">
        <f>YEAR(Table13[[#This Row],[Date]])</f>
        <v>2025</v>
      </c>
      <c r="D230" s="157">
        <f>Table13[[#This Row],[Date]]-DAY(Table13[[#This Row],[Date]])+1</f>
        <v>45962</v>
      </c>
      <c r="E230" s="129">
        <f t="shared" si="16"/>
        <v>30</v>
      </c>
      <c r="F230" s="130" t="str">
        <f>IFERROR(_xlfn.XLOOKUP($A230,'Raw Data'!$G:$G,'Raw Data'!$AH:$AH),"")</f>
        <v/>
      </c>
      <c r="G230" s="131" t="str">
        <f>IFERROR(_xlfn.XLOOKUP($A230,'Raw Data'!$G:$G,'Raw Data'!$S:$S)/1000,"")</f>
        <v/>
      </c>
      <c r="H230" s="131"/>
      <c r="I230" s="131" t="str">
        <f>IFERROR(_xlfn.XLOOKUP($A230,'Raw Data'!$G:$G,'Raw Data'!$AF:$AF)/1000,"")</f>
        <v/>
      </c>
      <c r="J230" s="131"/>
      <c r="K230" s="131" t="str">
        <f>IFERROR(_xlfn.XLOOKUP($A230,'Raw Data'!$G:$G,'Raw Data'!W:W),"")</f>
        <v/>
      </c>
      <c r="L230" s="131" t="str">
        <f>IFERROR(_xlfn.XLOOKUP($A230,'Raw Data'!$G:$G,'Raw Data'!X:X),"")</f>
        <v/>
      </c>
      <c r="M230" s="131" t="str">
        <f>IFERROR(_xlfn.XLOOKUP($A230,'Raw Data'!$G:$G,'Raw Data'!Y:Y),"")</f>
        <v/>
      </c>
      <c r="N230" s="131" t="str">
        <f>IFERROR(_xlfn.XLOOKUP($A230,'Raw Data'!$G:$G,'Raw Data'!Z:Z),"")</f>
        <v/>
      </c>
      <c r="O230" s="158" t="str">
        <f>IFERROR(1-SUMIF('Plant BD'!$H:$H,$A230,'Plant BD'!AC:AC)/$F230,"")</f>
        <v/>
      </c>
      <c r="P230" s="158"/>
      <c r="Q230" s="159"/>
      <c r="R230" s="158" t="str">
        <f>IFERROR(1-SUMIF('Grid BD'!$H:$H,$A230,'Grid BD'!AB:AB)/$F230,"")</f>
        <v/>
      </c>
      <c r="T230" s="159" t="str">
        <f>IFERROR(1-SUMIF(Tracker_BD!$H:$H,$A230,Tracker_BD!AI:AI)/$F230,"")</f>
        <v/>
      </c>
      <c r="U230" s="160" t="str">
        <f t="shared" si="13"/>
        <v/>
      </c>
      <c r="V230" s="160"/>
      <c r="W230" s="161" t="str">
        <f t="shared" si="14"/>
        <v/>
      </c>
      <c r="X230" s="156" t="str">
        <f>IFERROR(_xlfn.XLOOKUP($A230,'Raw Data'!$G:$G,'Raw Data'!$AB:$AB),"")</f>
        <v/>
      </c>
      <c r="Y230" s="156" t="str">
        <f>IFERROR(_xlfn.XLOOKUP($A230,'Raw Data'!$G:$G,'Raw Data'!AC:AC),"")</f>
        <v/>
      </c>
      <c r="Z230" s="156" t="str">
        <f>IFERROR(_xlfn.XLOOKUP($A230,'Raw Data'!$G:$G,'Raw Data'!AD:AD),"")</f>
        <v/>
      </c>
      <c r="AA230" s="156" t="str">
        <f>IFERROR(_xlfn.XLOOKUP($A230,'Raw Data'!$G:$G,'Raw Data'!AE:AE),"")</f>
        <v/>
      </c>
      <c r="AB230" s="156" t="str">
        <f>IFERROR(_xlfn.XLOOKUP($A230,'Raw Data'!$G:$G,'Raw Data'!$H:$H),"")</f>
        <v/>
      </c>
      <c r="AC230" s="162">
        <f>IFERROR(_xlfn.XLOOKUP($D230,'Modelling New'!$D:$D,'Modelling New'!$P:$P),"")</f>
        <v>5.6270663033333346</v>
      </c>
      <c r="AD230" s="156">
        <f>IFERROR(_xlfn.XLOOKUP($D230,'Modelling New'!$D:$D,'Modelling New'!$T:$T)*1000,"")</f>
        <v>49196.002720215052</v>
      </c>
      <c r="AE230" s="163">
        <f>IFERROR(_xlfn.XLOOKUP($D230,'Modelling New'!$D:$D,'Modelling New'!$O:$O),"")</f>
        <v>0.7459679568935248</v>
      </c>
      <c r="AF230" s="163">
        <f>IFERROR(_xlfn.XLOOKUP($D230,'Modelling New'!$D:$D,'Modelling New'!$W:$W),"")</f>
        <v>0.17490046473341528</v>
      </c>
      <c r="AG230" s="163">
        <f>IFERROR(_xlfn.XLOOKUP($D230,'Modelling New'!$D:$D,'Modelling New'!AE:AE),"")</f>
        <v>0.995</v>
      </c>
      <c r="AH230" s="163">
        <f>IFERROR(_xlfn.XLOOKUP($D230,'Modelling New'!$D:$D,'Modelling New'!AF:AF),"")</f>
        <v>0.98550000000000004</v>
      </c>
      <c r="AN230" s="164"/>
      <c r="AO230" s="161"/>
      <c r="AP230" s="161"/>
      <c r="AQ230" s="161"/>
      <c r="AR230" s="156">
        <f>IFERROR(_xlfn.XLOOKUP($D230,'Modelling New'!$D:$D,'Modelling New'!$N:$N),"")</f>
        <v>11.72</v>
      </c>
    </row>
    <row r="231" spans="1:44">
      <c r="A231" s="155">
        <f t="shared" si="15"/>
        <v>45974</v>
      </c>
      <c r="B231" s="156">
        <f>YEAR(Table13[[#This Row],[Date]])+IF(MONTH(Table13[[#This Row],[Date]])&gt;=4,1,0)</f>
        <v>2026</v>
      </c>
      <c r="C231" s="129">
        <f>YEAR(Table13[[#This Row],[Date]])</f>
        <v>2025</v>
      </c>
      <c r="D231" s="157">
        <f>Table13[[#This Row],[Date]]-DAY(Table13[[#This Row],[Date]])+1</f>
        <v>45962</v>
      </c>
      <c r="E231" s="129">
        <f t="shared" si="16"/>
        <v>30</v>
      </c>
      <c r="F231" s="130" t="str">
        <f>IFERROR(_xlfn.XLOOKUP($A231,'Raw Data'!$G:$G,'Raw Data'!$AH:$AH),"")</f>
        <v/>
      </c>
      <c r="G231" s="131" t="str">
        <f>IFERROR(_xlfn.XLOOKUP($A231,'Raw Data'!$G:$G,'Raw Data'!$S:$S)/1000,"")</f>
        <v/>
      </c>
      <c r="H231" s="131"/>
      <c r="I231" s="131" t="str">
        <f>IFERROR(_xlfn.XLOOKUP($A231,'Raw Data'!$G:$G,'Raw Data'!$AF:$AF)/1000,"")</f>
        <v/>
      </c>
      <c r="J231" s="131"/>
      <c r="K231" s="131" t="str">
        <f>IFERROR(_xlfn.XLOOKUP($A231,'Raw Data'!$G:$G,'Raw Data'!W:W),"")</f>
        <v/>
      </c>
      <c r="L231" s="131" t="str">
        <f>IFERROR(_xlfn.XLOOKUP($A231,'Raw Data'!$G:$G,'Raw Data'!X:X),"")</f>
        <v/>
      </c>
      <c r="M231" s="131" t="str">
        <f>IFERROR(_xlfn.XLOOKUP($A231,'Raw Data'!$G:$G,'Raw Data'!Y:Y),"")</f>
        <v/>
      </c>
      <c r="N231" s="131" t="str">
        <f>IFERROR(_xlfn.XLOOKUP($A231,'Raw Data'!$G:$G,'Raw Data'!Z:Z),"")</f>
        <v/>
      </c>
      <c r="O231" s="158" t="str">
        <f>IFERROR(1-SUMIF('Plant BD'!$H:$H,$A231,'Plant BD'!AC:AC)/$F231,"")</f>
        <v/>
      </c>
      <c r="P231" s="158"/>
      <c r="Q231" s="159"/>
      <c r="R231" s="158" t="str">
        <f>IFERROR(1-SUMIF('Grid BD'!$H:$H,$A231,'Grid BD'!AB:AB)/$F231,"")</f>
        <v/>
      </c>
      <c r="T231" s="159" t="str">
        <f>IFERROR(1-SUMIF(Tracker_BD!$H:$H,$A231,Tracker_BD!AI:AI)/$F231,"")</f>
        <v/>
      </c>
      <c r="U231" s="160" t="str">
        <f t="shared" si="13"/>
        <v/>
      </c>
      <c r="V231" s="160"/>
      <c r="W231" s="161" t="str">
        <f t="shared" si="14"/>
        <v/>
      </c>
      <c r="X231" s="156" t="str">
        <f>IFERROR(_xlfn.XLOOKUP($A231,'Raw Data'!$G:$G,'Raw Data'!$AB:$AB),"")</f>
        <v/>
      </c>
      <c r="Y231" s="156" t="str">
        <f>IFERROR(_xlfn.XLOOKUP($A231,'Raw Data'!$G:$G,'Raw Data'!AC:AC),"")</f>
        <v/>
      </c>
      <c r="Z231" s="156" t="str">
        <f>IFERROR(_xlfn.XLOOKUP($A231,'Raw Data'!$G:$G,'Raw Data'!AD:AD),"")</f>
        <v/>
      </c>
      <c r="AA231" s="156" t="str">
        <f>IFERROR(_xlfn.XLOOKUP($A231,'Raw Data'!$G:$G,'Raw Data'!AE:AE),"")</f>
        <v/>
      </c>
      <c r="AB231" s="156" t="str">
        <f>IFERROR(_xlfn.XLOOKUP($A231,'Raw Data'!$G:$G,'Raw Data'!$H:$H),"")</f>
        <v/>
      </c>
      <c r="AC231" s="162">
        <f>IFERROR(_xlfn.XLOOKUP($D231,'Modelling New'!$D:$D,'Modelling New'!$P:$P),"")</f>
        <v>5.6270663033333346</v>
      </c>
      <c r="AD231" s="156">
        <f>IFERROR(_xlfn.XLOOKUP($D231,'Modelling New'!$D:$D,'Modelling New'!$T:$T)*1000,"")</f>
        <v>49196.002720215052</v>
      </c>
      <c r="AE231" s="163">
        <f>IFERROR(_xlfn.XLOOKUP($D231,'Modelling New'!$D:$D,'Modelling New'!$O:$O),"")</f>
        <v>0.7459679568935248</v>
      </c>
      <c r="AF231" s="163">
        <f>IFERROR(_xlfn.XLOOKUP($D231,'Modelling New'!$D:$D,'Modelling New'!$W:$W),"")</f>
        <v>0.17490046473341528</v>
      </c>
      <c r="AG231" s="163">
        <f>IFERROR(_xlfn.XLOOKUP($D231,'Modelling New'!$D:$D,'Modelling New'!AE:AE),"")</f>
        <v>0.995</v>
      </c>
      <c r="AH231" s="163">
        <f>IFERROR(_xlfn.XLOOKUP($D231,'Modelling New'!$D:$D,'Modelling New'!AF:AF),"")</f>
        <v>0.98550000000000004</v>
      </c>
      <c r="AN231" s="164"/>
      <c r="AO231" s="161"/>
      <c r="AP231" s="161"/>
      <c r="AQ231" s="161"/>
      <c r="AR231" s="156">
        <f>IFERROR(_xlfn.XLOOKUP($D231,'Modelling New'!$D:$D,'Modelling New'!$N:$N),"")</f>
        <v>11.72</v>
      </c>
    </row>
    <row r="232" spans="1:44">
      <c r="A232" s="155">
        <f t="shared" si="15"/>
        <v>45975</v>
      </c>
      <c r="B232" s="156">
        <f>YEAR(Table13[[#This Row],[Date]])+IF(MONTH(Table13[[#This Row],[Date]])&gt;=4,1,0)</f>
        <v>2026</v>
      </c>
      <c r="C232" s="129">
        <f>YEAR(Table13[[#This Row],[Date]])</f>
        <v>2025</v>
      </c>
      <c r="D232" s="157">
        <f>Table13[[#This Row],[Date]]-DAY(Table13[[#This Row],[Date]])+1</f>
        <v>45962</v>
      </c>
      <c r="E232" s="129">
        <f t="shared" si="16"/>
        <v>30</v>
      </c>
      <c r="F232" s="130" t="str">
        <f>IFERROR(_xlfn.XLOOKUP($A232,'Raw Data'!$G:$G,'Raw Data'!$AH:$AH),"")</f>
        <v/>
      </c>
      <c r="G232" s="131" t="str">
        <f>IFERROR(_xlfn.XLOOKUP($A232,'Raw Data'!$G:$G,'Raw Data'!$S:$S)/1000,"")</f>
        <v/>
      </c>
      <c r="H232" s="131"/>
      <c r="I232" s="131" t="str">
        <f>IFERROR(_xlfn.XLOOKUP($A232,'Raw Data'!$G:$G,'Raw Data'!$AF:$AF)/1000,"")</f>
        <v/>
      </c>
      <c r="J232" s="131"/>
      <c r="K232" s="131" t="str">
        <f>IFERROR(_xlfn.XLOOKUP($A232,'Raw Data'!$G:$G,'Raw Data'!W:W),"")</f>
        <v/>
      </c>
      <c r="L232" s="131" t="str">
        <f>IFERROR(_xlfn.XLOOKUP($A232,'Raw Data'!$G:$G,'Raw Data'!X:X),"")</f>
        <v/>
      </c>
      <c r="M232" s="131" t="str">
        <f>IFERROR(_xlfn.XLOOKUP($A232,'Raw Data'!$G:$G,'Raw Data'!Y:Y),"")</f>
        <v/>
      </c>
      <c r="N232" s="131" t="str">
        <f>IFERROR(_xlfn.XLOOKUP($A232,'Raw Data'!$G:$G,'Raw Data'!Z:Z),"")</f>
        <v/>
      </c>
      <c r="O232" s="158" t="str">
        <f>IFERROR(1-SUMIF('Plant BD'!$H:$H,$A232,'Plant BD'!AC:AC)/$F232,"")</f>
        <v/>
      </c>
      <c r="P232" s="158"/>
      <c r="Q232" s="159"/>
      <c r="R232" s="158" t="str">
        <f>IFERROR(1-SUMIF('Grid BD'!$H:$H,$A232,'Grid BD'!AB:AB)/$F232,"")</f>
        <v/>
      </c>
      <c r="T232" s="159" t="str">
        <f>IFERROR(1-SUMIF(Tracker_BD!$H:$H,$A232,Tracker_BD!AI:AI)/$F232,"")</f>
        <v/>
      </c>
      <c r="U232" s="160" t="str">
        <f t="shared" si="13"/>
        <v/>
      </c>
      <c r="V232" s="160"/>
      <c r="W232" s="161" t="str">
        <f t="shared" si="14"/>
        <v/>
      </c>
      <c r="X232" s="156" t="str">
        <f>IFERROR(_xlfn.XLOOKUP($A232,'Raw Data'!$G:$G,'Raw Data'!$AB:$AB),"")</f>
        <v/>
      </c>
      <c r="Y232" s="156" t="str">
        <f>IFERROR(_xlfn.XLOOKUP($A232,'Raw Data'!$G:$G,'Raw Data'!AC:AC),"")</f>
        <v/>
      </c>
      <c r="Z232" s="156" t="str">
        <f>IFERROR(_xlfn.XLOOKUP($A232,'Raw Data'!$G:$G,'Raw Data'!AD:AD),"")</f>
        <v/>
      </c>
      <c r="AA232" s="156" t="str">
        <f>IFERROR(_xlfn.XLOOKUP($A232,'Raw Data'!$G:$G,'Raw Data'!AE:AE),"")</f>
        <v/>
      </c>
      <c r="AB232" s="156" t="str">
        <f>IFERROR(_xlfn.XLOOKUP($A232,'Raw Data'!$G:$G,'Raw Data'!$H:$H),"")</f>
        <v/>
      </c>
      <c r="AC232" s="162">
        <f>IFERROR(_xlfn.XLOOKUP($D232,'Modelling New'!$D:$D,'Modelling New'!$P:$P),"")</f>
        <v>5.6270663033333346</v>
      </c>
      <c r="AD232" s="156">
        <f>IFERROR(_xlfn.XLOOKUP($D232,'Modelling New'!$D:$D,'Modelling New'!$T:$T)*1000,"")</f>
        <v>49196.002720215052</v>
      </c>
      <c r="AE232" s="163">
        <f>IFERROR(_xlfn.XLOOKUP($D232,'Modelling New'!$D:$D,'Modelling New'!$O:$O),"")</f>
        <v>0.7459679568935248</v>
      </c>
      <c r="AF232" s="163">
        <f>IFERROR(_xlfn.XLOOKUP($D232,'Modelling New'!$D:$D,'Modelling New'!$W:$W),"")</f>
        <v>0.17490046473341528</v>
      </c>
      <c r="AG232" s="163">
        <f>IFERROR(_xlfn.XLOOKUP($D232,'Modelling New'!$D:$D,'Modelling New'!AE:AE),"")</f>
        <v>0.995</v>
      </c>
      <c r="AH232" s="163">
        <f>IFERROR(_xlfn.XLOOKUP($D232,'Modelling New'!$D:$D,'Modelling New'!AF:AF),"")</f>
        <v>0.98550000000000004</v>
      </c>
      <c r="AN232" s="164"/>
      <c r="AO232" s="161"/>
      <c r="AP232" s="161"/>
      <c r="AQ232" s="161"/>
      <c r="AR232" s="156">
        <f>IFERROR(_xlfn.XLOOKUP($D232,'Modelling New'!$D:$D,'Modelling New'!$N:$N),"")</f>
        <v>11.72</v>
      </c>
    </row>
    <row r="233" spans="1:44">
      <c r="A233" s="155">
        <f t="shared" si="15"/>
        <v>45976</v>
      </c>
      <c r="B233" s="156">
        <f>YEAR(Table13[[#This Row],[Date]])+IF(MONTH(Table13[[#This Row],[Date]])&gt;=4,1,0)</f>
        <v>2026</v>
      </c>
      <c r="C233" s="129">
        <f>YEAR(Table13[[#This Row],[Date]])</f>
        <v>2025</v>
      </c>
      <c r="D233" s="157">
        <f>Table13[[#This Row],[Date]]-DAY(Table13[[#This Row],[Date]])+1</f>
        <v>45962</v>
      </c>
      <c r="E233" s="129">
        <f t="shared" si="16"/>
        <v>30</v>
      </c>
      <c r="F233" s="130" t="str">
        <f>IFERROR(_xlfn.XLOOKUP($A233,'Raw Data'!$G:$G,'Raw Data'!$AH:$AH),"")</f>
        <v/>
      </c>
      <c r="G233" s="131" t="str">
        <f>IFERROR(_xlfn.XLOOKUP($A233,'Raw Data'!$G:$G,'Raw Data'!$S:$S)/1000,"")</f>
        <v/>
      </c>
      <c r="H233" s="131"/>
      <c r="I233" s="131" t="str">
        <f>IFERROR(_xlfn.XLOOKUP($A233,'Raw Data'!$G:$G,'Raw Data'!$AF:$AF)/1000,"")</f>
        <v/>
      </c>
      <c r="J233" s="131"/>
      <c r="K233" s="131" t="str">
        <f>IFERROR(_xlfn.XLOOKUP($A233,'Raw Data'!$G:$G,'Raw Data'!W:W),"")</f>
        <v/>
      </c>
      <c r="L233" s="131" t="str">
        <f>IFERROR(_xlfn.XLOOKUP($A233,'Raw Data'!$G:$G,'Raw Data'!X:X),"")</f>
        <v/>
      </c>
      <c r="M233" s="131" t="str">
        <f>IFERROR(_xlfn.XLOOKUP($A233,'Raw Data'!$G:$G,'Raw Data'!Y:Y),"")</f>
        <v/>
      </c>
      <c r="N233" s="131" t="str">
        <f>IFERROR(_xlfn.XLOOKUP($A233,'Raw Data'!$G:$G,'Raw Data'!Z:Z),"")</f>
        <v/>
      </c>
      <c r="O233" s="158" t="str">
        <f>IFERROR(1-SUMIF('Plant BD'!$H:$H,$A233,'Plant BD'!AC:AC)/$F233,"")</f>
        <v/>
      </c>
      <c r="P233" s="158"/>
      <c r="Q233" s="159"/>
      <c r="R233" s="158" t="str">
        <f>IFERROR(1-SUMIF('Grid BD'!$H:$H,$A233,'Grid BD'!AB:AB)/$F233,"")</f>
        <v/>
      </c>
      <c r="T233" s="159" t="str">
        <f>IFERROR(1-SUMIF(Tracker_BD!$H:$H,$A233,Tracker_BD!AI:AI)/$F233,"")</f>
        <v/>
      </c>
      <c r="U233" s="160" t="str">
        <f t="shared" si="13"/>
        <v/>
      </c>
      <c r="V233" s="160"/>
      <c r="W233" s="161" t="str">
        <f t="shared" si="14"/>
        <v/>
      </c>
      <c r="X233" s="156" t="str">
        <f>IFERROR(_xlfn.XLOOKUP($A233,'Raw Data'!$G:$G,'Raw Data'!$AB:$AB),"")</f>
        <v/>
      </c>
      <c r="Y233" s="156" t="str">
        <f>IFERROR(_xlfn.XLOOKUP($A233,'Raw Data'!$G:$G,'Raw Data'!AC:AC),"")</f>
        <v/>
      </c>
      <c r="Z233" s="156" t="str">
        <f>IFERROR(_xlfn.XLOOKUP($A233,'Raw Data'!$G:$G,'Raw Data'!AD:AD),"")</f>
        <v/>
      </c>
      <c r="AA233" s="156" t="str">
        <f>IFERROR(_xlfn.XLOOKUP($A233,'Raw Data'!$G:$G,'Raw Data'!AE:AE),"")</f>
        <v/>
      </c>
      <c r="AB233" s="156" t="str">
        <f>IFERROR(_xlfn.XLOOKUP($A233,'Raw Data'!$G:$G,'Raw Data'!$H:$H),"")</f>
        <v/>
      </c>
      <c r="AC233" s="162">
        <f>IFERROR(_xlfn.XLOOKUP($D233,'Modelling New'!$D:$D,'Modelling New'!$P:$P),"")</f>
        <v>5.6270663033333346</v>
      </c>
      <c r="AD233" s="156">
        <f>IFERROR(_xlfn.XLOOKUP($D233,'Modelling New'!$D:$D,'Modelling New'!$T:$T)*1000,"")</f>
        <v>49196.002720215052</v>
      </c>
      <c r="AE233" s="163">
        <f>IFERROR(_xlfn.XLOOKUP($D233,'Modelling New'!$D:$D,'Modelling New'!$O:$O),"")</f>
        <v>0.7459679568935248</v>
      </c>
      <c r="AF233" s="163">
        <f>IFERROR(_xlfn.XLOOKUP($D233,'Modelling New'!$D:$D,'Modelling New'!$W:$W),"")</f>
        <v>0.17490046473341528</v>
      </c>
      <c r="AG233" s="163">
        <f>IFERROR(_xlfn.XLOOKUP($D233,'Modelling New'!$D:$D,'Modelling New'!AE:AE),"")</f>
        <v>0.995</v>
      </c>
      <c r="AH233" s="163">
        <f>IFERROR(_xlfn.XLOOKUP($D233,'Modelling New'!$D:$D,'Modelling New'!AF:AF),"")</f>
        <v>0.98550000000000004</v>
      </c>
      <c r="AN233" s="164"/>
      <c r="AO233" s="161"/>
      <c r="AP233" s="161"/>
      <c r="AQ233" s="161"/>
      <c r="AR233" s="156">
        <f>IFERROR(_xlfn.XLOOKUP($D233,'Modelling New'!$D:$D,'Modelling New'!$N:$N),"")</f>
        <v>11.72</v>
      </c>
    </row>
    <row r="234" spans="1:44">
      <c r="A234" s="155">
        <f t="shared" si="15"/>
        <v>45977</v>
      </c>
      <c r="B234" s="156">
        <f>YEAR(Table13[[#This Row],[Date]])+IF(MONTH(Table13[[#This Row],[Date]])&gt;=4,1,0)</f>
        <v>2026</v>
      </c>
      <c r="C234" s="129">
        <f>YEAR(Table13[[#This Row],[Date]])</f>
        <v>2025</v>
      </c>
      <c r="D234" s="157">
        <f>Table13[[#This Row],[Date]]-DAY(Table13[[#This Row],[Date]])+1</f>
        <v>45962</v>
      </c>
      <c r="E234" s="129">
        <f t="shared" si="16"/>
        <v>30</v>
      </c>
      <c r="F234" s="130" t="str">
        <f>IFERROR(_xlfn.XLOOKUP($A234,'Raw Data'!$G:$G,'Raw Data'!$AH:$AH),"")</f>
        <v/>
      </c>
      <c r="G234" s="131" t="str">
        <f>IFERROR(_xlfn.XLOOKUP($A234,'Raw Data'!$G:$G,'Raw Data'!$S:$S)/1000,"")</f>
        <v/>
      </c>
      <c r="H234" s="131"/>
      <c r="I234" s="131" t="str">
        <f>IFERROR(_xlfn.XLOOKUP($A234,'Raw Data'!$G:$G,'Raw Data'!$AF:$AF)/1000,"")</f>
        <v/>
      </c>
      <c r="J234" s="131"/>
      <c r="K234" s="131" t="str">
        <f>IFERROR(_xlfn.XLOOKUP($A234,'Raw Data'!$G:$G,'Raw Data'!W:W),"")</f>
        <v/>
      </c>
      <c r="L234" s="131" t="str">
        <f>IFERROR(_xlfn.XLOOKUP($A234,'Raw Data'!$G:$G,'Raw Data'!X:X),"")</f>
        <v/>
      </c>
      <c r="M234" s="131" t="str">
        <f>IFERROR(_xlfn.XLOOKUP($A234,'Raw Data'!$G:$G,'Raw Data'!Y:Y),"")</f>
        <v/>
      </c>
      <c r="N234" s="131" t="str">
        <f>IFERROR(_xlfn.XLOOKUP($A234,'Raw Data'!$G:$G,'Raw Data'!Z:Z),"")</f>
        <v/>
      </c>
      <c r="O234" s="158" t="str">
        <f>IFERROR(1-SUMIF('Plant BD'!$H:$H,$A234,'Plant BD'!AC:AC)/$F234,"")</f>
        <v/>
      </c>
      <c r="P234" s="158"/>
      <c r="Q234" s="159"/>
      <c r="R234" s="158" t="str">
        <f>IFERROR(1-SUMIF('Grid BD'!$H:$H,$A234,'Grid BD'!AB:AB)/$F234,"")</f>
        <v/>
      </c>
      <c r="T234" s="159" t="str">
        <f>IFERROR(1-SUMIF(Tracker_BD!$H:$H,$A234,Tracker_BD!AI:AI)/$F234,"")</f>
        <v/>
      </c>
      <c r="U234" s="160" t="str">
        <f t="shared" si="13"/>
        <v/>
      </c>
      <c r="V234" s="160"/>
      <c r="W234" s="161" t="str">
        <f t="shared" si="14"/>
        <v/>
      </c>
      <c r="X234" s="156" t="str">
        <f>IFERROR(_xlfn.XLOOKUP($A234,'Raw Data'!$G:$G,'Raw Data'!$AB:$AB),"")</f>
        <v/>
      </c>
      <c r="Y234" s="156" t="str">
        <f>IFERROR(_xlfn.XLOOKUP($A234,'Raw Data'!$G:$G,'Raw Data'!AC:AC),"")</f>
        <v/>
      </c>
      <c r="Z234" s="156" t="str">
        <f>IFERROR(_xlfn.XLOOKUP($A234,'Raw Data'!$G:$G,'Raw Data'!AD:AD),"")</f>
        <v/>
      </c>
      <c r="AA234" s="156" t="str">
        <f>IFERROR(_xlfn.XLOOKUP($A234,'Raw Data'!$G:$G,'Raw Data'!AE:AE),"")</f>
        <v/>
      </c>
      <c r="AB234" s="156" t="str">
        <f>IFERROR(_xlfn.XLOOKUP($A234,'Raw Data'!$G:$G,'Raw Data'!$H:$H),"")</f>
        <v/>
      </c>
      <c r="AC234" s="162">
        <f>IFERROR(_xlfn.XLOOKUP($D234,'Modelling New'!$D:$D,'Modelling New'!$P:$P),"")</f>
        <v>5.6270663033333346</v>
      </c>
      <c r="AD234" s="156">
        <f>IFERROR(_xlfn.XLOOKUP($D234,'Modelling New'!$D:$D,'Modelling New'!$T:$T)*1000,"")</f>
        <v>49196.002720215052</v>
      </c>
      <c r="AE234" s="163">
        <f>IFERROR(_xlfn.XLOOKUP($D234,'Modelling New'!$D:$D,'Modelling New'!$O:$O),"")</f>
        <v>0.7459679568935248</v>
      </c>
      <c r="AF234" s="163">
        <f>IFERROR(_xlfn.XLOOKUP($D234,'Modelling New'!$D:$D,'Modelling New'!$W:$W),"")</f>
        <v>0.17490046473341528</v>
      </c>
      <c r="AG234" s="163">
        <f>IFERROR(_xlfn.XLOOKUP($D234,'Modelling New'!$D:$D,'Modelling New'!AE:AE),"")</f>
        <v>0.995</v>
      </c>
      <c r="AH234" s="163">
        <f>IFERROR(_xlfn.XLOOKUP($D234,'Modelling New'!$D:$D,'Modelling New'!AF:AF),"")</f>
        <v>0.98550000000000004</v>
      </c>
      <c r="AN234" s="164"/>
      <c r="AO234" s="161"/>
      <c r="AP234" s="161"/>
      <c r="AQ234" s="161"/>
      <c r="AR234" s="156">
        <f>IFERROR(_xlfn.XLOOKUP($D234,'Modelling New'!$D:$D,'Modelling New'!$N:$N),"")</f>
        <v>11.72</v>
      </c>
    </row>
    <row r="235" spans="1:44">
      <c r="A235" s="155">
        <f t="shared" si="15"/>
        <v>45978</v>
      </c>
      <c r="B235" s="156">
        <f>YEAR(Table13[[#This Row],[Date]])+IF(MONTH(Table13[[#This Row],[Date]])&gt;=4,1,0)</f>
        <v>2026</v>
      </c>
      <c r="C235" s="129">
        <f>YEAR(Table13[[#This Row],[Date]])</f>
        <v>2025</v>
      </c>
      <c r="D235" s="157">
        <f>Table13[[#This Row],[Date]]-DAY(Table13[[#This Row],[Date]])+1</f>
        <v>45962</v>
      </c>
      <c r="E235" s="129">
        <f t="shared" si="16"/>
        <v>30</v>
      </c>
      <c r="F235" s="130" t="str">
        <f>IFERROR(_xlfn.XLOOKUP($A235,'Raw Data'!$G:$G,'Raw Data'!$AH:$AH),"")</f>
        <v/>
      </c>
      <c r="G235" s="131" t="str">
        <f>IFERROR(_xlfn.XLOOKUP($A235,'Raw Data'!$G:$G,'Raw Data'!$S:$S)/1000,"")</f>
        <v/>
      </c>
      <c r="H235" s="131"/>
      <c r="I235" s="131" t="str">
        <f>IFERROR(_xlfn.XLOOKUP($A235,'Raw Data'!$G:$G,'Raw Data'!$AF:$AF)/1000,"")</f>
        <v/>
      </c>
      <c r="J235" s="131"/>
      <c r="K235" s="131" t="str">
        <f>IFERROR(_xlfn.XLOOKUP($A235,'Raw Data'!$G:$G,'Raw Data'!W:W),"")</f>
        <v/>
      </c>
      <c r="L235" s="131" t="str">
        <f>IFERROR(_xlfn.XLOOKUP($A235,'Raw Data'!$G:$G,'Raw Data'!X:X),"")</f>
        <v/>
      </c>
      <c r="M235" s="131" t="str">
        <f>IFERROR(_xlfn.XLOOKUP($A235,'Raw Data'!$G:$G,'Raw Data'!Y:Y),"")</f>
        <v/>
      </c>
      <c r="N235" s="131" t="str">
        <f>IFERROR(_xlfn.XLOOKUP($A235,'Raw Data'!$G:$G,'Raw Data'!Z:Z),"")</f>
        <v/>
      </c>
      <c r="O235" s="158" t="str">
        <f>IFERROR(1-SUMIF('Plant BD'!$H:$H,$A235,'Plant BD'!AC:AC)/$F235,"")</f>
        <v/>
      </c>
      <c r="P235" s="158"/>
      <c r="Q235" s="159"/>
      <c r="R235" s="158" t="str">
        <f>IFERROR(1-SUMIF('Grid BD'!$H:$H,$A235,'Grid BD'!AB:AB)/$F235,"")</f>
        <v/>
      </c>
      <c r="T235" s="159" t="str">
        <f>IFERROR(1-SUMIF(Tracker_BD!$H:$H,$A235,Tracker_BD!AI:AI)/$F235,"")</f>
        <v/>
      </c>
      <c r="U235" s="160" t="str">
        <f t="shared" si="13"/>
        <v/>
      </c>
      <c r="V235" s="160"/>
      <c r="W235" s="161" t="str">
        <f t="shared" si="14"/>
        <v/>
      </c>
      <c r="X235" s="156" t="str">
        <f>IFERROR(_xlfn.XLOOKUP($A235,'Raw Data'!$G:$G,'Raw Data'!$AB:$AB),"")</f>
        <v/>
      </c>
      <c r="Y235" s="156" t="str">
        <f>IFERROR(_xlfn.XLOOKUP($A235,'Raw Data'!$G:$G,'Raw Data'!AC:AC),"")</f>
        <v/>
      </c>
      <c r="Z235" s="156" t="str">
        <f>IFERROR(_xlfn.XLOOKUP($A235,'Raw Data'!$G:$G,'Raw Data'!AD:AD),"")</f>
        <v/>
      </c>
      <c r="AA235" s="156" t="str">
        <f>IFERROR(_xlfn.XLOOKUP($A235,'Raw Data'!$G:$G,'Raw Data'!AE:AE),"")</f>
        <v/>
      </c>
      <c r="AB235" s="156" t="str">
        <f>IFERROR(_xlfn.XLOOKUP($A235,'Raw Data'!$G:$G,'Raw Data'!$H:$H),"")</f>
        <v/>
      </c>
      <c r="AC235" s="162">
        <f>IFERROR(_xlfn.XLOOKUP($D235,'Modelling New'!$D:$D,'Modelling New'!$P:$P),"")</f>
        <v>5.6270663033333346</v>
      </c>
      <c r="AD235" s="156">
        <f>IFERROR(_xlfn.XLOOKUP($D235,'Modelling New'!$D:$D,'Modelling New'!$T:$T)*1000,"")</f>
        <v>49196.002720215052</v>
      </c>
      <c r="AE235" s="163">
        <f>IFERROR(_xlfn.XLOOKUP($D235,'Modelling New'!$D:$D,'Modelling New'!$O:$O),"")</f>
        <v>0.7459679568935248</v>
      </c>
      <c r="AF235" s="163">
        <f>IFERROR(_xlfn.XLOOKUP($D235,'Modelling New'!$D:$D,'Modelling New'!$W:$W),"")</f>
        <v>0.17490046473341528</v>
      </c>
      <c r="AG235" s="163">
        <f>IFERROR(_xlfn.XLOOKUP($D235,'Modelling New'!$D:$D,'Modelling New'!AE:AE),"")</f>
        <v>0.995</v>
      </c>
      <c r="AH235" s="163">
        <f>IFERROR(_xlfn.XLOOKUP($D235,'Modelling New'!$D:$D,'Modelling New'!AF:AF),"")</f>
        <v>0.98550000000000004</v>
      </c>
      <c r="AN235" s="164"/>
      <c r="AO235" s="161"/>
      <c r="AP235" s="161"/>
      <c r="AQ235" s="161"/>
      <c r="AR235" s="156">
        <f>IFERROR(_xlfn.XLOOKUP($D235,'Modelling New'!$D:$D,'Modelling New'!$N:$N),"")</f>
        <v>11.72</v>
      </c>
    </row>
    <row r="236" spans="1:44">
      <c r="A236" s="155">
        <f t="shared" si="15"/>
        <v>45979</v>
      </c>
      <c r="B236" s="156">
        <f>YEAR(Table13[[#This Row],[Date]])+IF(MONTH(Table13[[#This Row],[Date]])&gt;=4,1,0)</f>
        <v>2026</v>
      </c>
      <c r="C236" s="129">
        <f>YEAR(Table13[[#This Row],[Date]])</f>
        <v>2025</v>
      </c>
      <c r="D236" s="157">
        <f>Table13[[#This Row],[Date]]-DAY(Table13[[#This Row],[Date]])+1</f>
        <v>45962</v>
      </c>
      <c r="E236" s="129">
        <f t="shared" si="16"/>
        <v>30</v>
      </c>
      <c r="F236" s="130" t="str">
        <f>IFERROR(_xlfn.XLOOKUP($A236,'Raw Data'!$G:$G,'Raw Data'!$AH:$AH),"")</f>
        <v/>
      </c>
      <c r="G236" s="131" t="str">
        <f>IFERROR(_xlfn.XLOOKUP($A236,'Raw Data'!$G:$G,'Raw Data'!$S:$S)/1000,"")</f>
        <v/>
      </c>
      <c r="H236" s="131"/>
      <c r="I236" s="131" t="str">
        <f>IFERROR(_xlfn.XLOOKUP($A236,'Raw Data'!$G:$G,'Raw Data'!$AF:$AF)/1000,"")</f>
        <v/>
      </c>
      <c r="J236" s="131"/>
      <c r="K236" s="131" t="str">
        <f>IFERROR(_xlfn.XLOOKUP($A236,'Raw Data'!$G:$G,'Raw Data'!W:W),"")</f>
        <v/>
      </c>
      <c r="L236" s="131" t="str">
        <f>IFERROR(_xlfn.XLOOKUP($A236,'Raw Data'!$G:$G,'Raw Data'!X:X),"")</f>
        <v/>
      </c>
      <c r="M236" s="131" t="str">
        <f>IFERROR(_xlfn.XLOOKUP($A236,'Raw Data'!$G:$G,'Raw Data'!Y:Y),"")</f>
        <v/>
      </c>
      <c r="N236" s="131" t="str">
        <f>IFERROR(_xlfn.XLOOKUP($A236,'Raw Data'!$G:$G,'Raw Data'!Z:Z),"")</f>
        <v/>
      </c>
      <c r="O236" s="158" t="str">
        <f>IFERROR(1-SUMIF('Plant BD'!$H:$H,$A236,'Plant BD'!AC:AC)/$F236,"")</f>
        <v/>
      </c>
      <c r="P236" s="158"/>
      <c r="Q236" s="159"/>
      <c r="R236" s="158" t="str">
        <f>IFERROR(1-SUMIF('Grid BD'!$H:$H,$A236,'Grid BD'!AB:AB)/$F236,"")</f>
        <v/>
      </c>
      <c r="T236" s="159" t="str">
        <f>IFERROR(1-SUMIF(Tracker_BD!$H:$H,$A236,Tracker_BD!AI:AI)/$F236,"")</f>
        <v/>
      </c>
      <c r="U236" s="160" t="str">
        <f t="shared" si="13"/>
        <v/>
      </c>
      <c r="V236" s="160"/>
      <c r="W236" s="161" t="str">
        <f t="shared" si="14"/>
        <v/>
      </c>
      <c r="X236" s="156" t="str">
        <f>IFERROR(_xlfn.XLOOKUP($A236,'Raw Data'!$G:$G,'Raw Data'!$AB:$AB),"")</f>
        <v/>
      </c>
      <c r="Y236" s="156" t="str">
        <f>IFERROR(_xlfn.XLOOKUP($A236,'Raw Data'!$G:$G,'Raw Data'!AC:AC),"")</f>
        <v/>
      </c>
      <c r="Z236" s="156" t="str">
        <f>IFERROR(_xlfn.XLOOKUP($A236,'Raw Data'!$G:$G,'Raw Data'!AD:AD),"")</f>
        <v/>
      </c>
      <c r="AA236" s="156" t="str">
        <f>IFERROR(_xlfn.XLOOKUP($A236,'Raw Data'!$G:$G,'Raw Data'!AE:AE),"")</f>
        <v/>
      </c>
      <c r="AB236" s="156" t="str">
        <f>IFERROR(_xlfn.XLOOKUP($A236,'Raw Data'!$G:$G,'Raw Data'!$H:$H),"")</f>
        <v/>
      </c>
      <c r="AC236" s="162">
        <f>IFERROR(_xlfn.XLOOKUP($D236,'Modelling New'!$D:$D,'Modelling New'!$P:$P),"")</f>
        <v>5.6270663033333346</v>
      </c>
      <c r="AD236" s="156">
        <f>IFERROR(_xlfn.XLOOKUP($D236,'Modelling New'!$D:$D,'Modelling New'!$T:$T)*1000,"")</f>
        <v>49196.002720215052</v>
      </c>
      <c r="AE236" s="163">
        <f>IFERROR(_xlfn.XLOOKUP($D236,'Modelling New'!$D:$D,'Modelling New'!$O:$O),"")</f>
        <v>0.7459679568935248</v>
      </c>
      <c r="AF236" s="163">
        <f>IFERROR(_xlfn.XLOOKUP($D236,'Modelling New'!$D:$D,'Modelling New'!$W:$W),"")</f>
        <v>0.17490046473341528</v>
      </c>
      <c r="AG236" s="163">
        <f>IFERROR(_xlfn.XLOOKUP($D236,'Modelling New'!$D:$D,'Modelling New'!AE:AE),"")</f>
        <v>0.995</v>
      </c>
      <c r="AH236" s="163">
        <f>IFERROR(_xlfn.XLOOKUP($D236,'Modelling New'!$D:$D,'Modelling New'!AF:AF),"")</f>
        <v>0.98550000000000004</v>
      </c>
      <c r="AN236" s="164"/>
      <c r="AO236" s="161"/>
      <c r="AP236" s="161"/>
      <c r="AQ236" s="161"/>
      <c r="AR236" s="156">
        <f>IFERROR(_xlfn.XLOOKUP($D236,'Modelling New'!$D:$D,'Modelling New'!$N:$N),"")</f>
        <v>11.72</v>
      </c>
    </row>
    <row r="237" spans="1:44">
      <c r="A237" s="155">
        <f t="shared" si="15"/>
        <v>45980</v>
      </c>
      <c r="B237" s="156">
        <f>YEAR(Table13[[#This Row],[Date]])+IF(MONTH(Table13[[#This Row],[Date]])&gt;=4,1,0)</f>
        <v>2026</v>
      </c>
      <c r="C237" s="129">
        <f>YEAR(Table13[[#This Row],[Date]])</f>
        <v>2025</v>
      </c>
      <c r="D237" s="157">
        <f>Table13[[#This Row],[Date]]-DAY(Table13[[#This Row],[Date]])+1</f>
        <v>45962</v>
      </c>
      <c r="E237" s="129">
        <f t="shared" si="16"/>
        <v>30</v>
      </c>
      <c r="F237" s="130" t="str">
        <f>IFERROR(_xlfn.XLOOKUP($A237,'Raw Data'!$G:$G,'Raw Data'!$AH:$AH),"")</f>
        <v/>
      </c>
      <c r="G237" s="131" t="str">
        <f>IFERROR(_xlfn.XLOOKUP($A237,'Raw Data'!$G:$G,'Raw Data'!$S:$S)/1000,"")</f>
        <v/>
      </c>
      <c r="H237" s="131"/>
      <c r="I237" s="131" t="str">
        <f>IFERROR(_xlfn.XLOOKUP($A237,'Raw Data'!$G:$G,'Raw Data'!$AF:$AF)/1000,"")</f>
        <v/>
      </c>
      <c r="J237" s="131"/>
      <c r="K237" s="131" t="str">
        <f>IFERROR(_xlfn.XLOOKUP($A237,'Raw Data'!$G:$G,'Raw Data'!W:W),"")</f>
        <v/>
      </c>
      <c r="L237" s="131" t="str">
        <f>IFERROR(_xlfn.XLOOKUP($A237,'Raw Data'!$G:$G,'Raw Data'!X:X),"")</f>
        <v/>
      </c>
      <c r="M237" s="131" t="str">
        <f>IFERROR(_xlfn.XLOOKUP($A237,'Raw Data'!$G:$G,'Raw Data'!Y:Y),"")</f>
        <v/>
      </c>
      <c r="N237" s="131" t="str">
        <f>IFERROR(_xlfn.XLOOKUP($A237,'Raw Data'!$G:$G,'Raw Data'!Z:Z),"")</f>
        <v/>
      </c>
      <c r="O237" s="158" t="str">
        <f>IFERROR(1-SUMIF('Plant BD'!$H:$H,$A237,'Plant BD'!AC:AC)/$F237,"")</f>
        <v/>
      </c>
      <c r="P237" s="158"/>
      <c r="Q237" s="159"/>
      <c r="R237" s="158" t="str">
        <f>IFERROR(1-SUMIF('Grid BD'!$H:$H,$A237,'Grid BD'!AB:AB)/$F237,"")</f>
        <v/>
      </c>
      <c r="T237" s="159" t="str">
        <f>IFERROR(1-SUMIF(Tracker_BD!$H:$H,$A237,Tracker_BD!AI:AI)/$F237,"")</f>
        <v/>
      </c>
      <c r="U237" s="160" t="str">
        <f t="shared" si="13"/>
        <v/>
      </c>
      <c r="V237" s="160"/>
      <c r="W237" s="161" t="str">
        <f t="shared" si="14"/>
        <v/>
      </c>
      <c r="X237" s="156" t="str">
        <f>IFERROR(_xlfn.XLOOKUP($A237,'Raw Data'!$G:$G,'Raw Data'!$AB:$AB),"")</f>
        <v/>
      </c>
      <c r="Y237" s="156" t="str">
        <f>IFERROR(_xlfn.XLOOKUP($A237,'Raw Data'!$G:$G,'Raw Data'!AC:AC),"")</f>
        <v/>
      </c>
      <c r="Z237" s="156" t="str">
        <f>IFERROR(_xlfn.XLOOKUP($A237,'Raw Data'!$G:$G,'Raw Data'!AD:AD),"")</f>
        <v/>
      </c>
      <c r="AA237" s="156" t="str">
        <f>IFERROR(_xlfn.XLOOKUP($A237,'Raw Data'!$G:$G,'Raw Data'!AE:AE),"")</f>
        <v/>
      </c>
      <c r="AB237" s="156" t="str">
        <f>IFERROR(_xlfn.XLOOKUP($A237,'Raw Data'!$G:$G,'Raw Data'!$H:$H),"")</f>
        <v/>
      </c>
      <c r="AC237" s="162">
        <f>IFERROR(_xlfn.XLOOKUP($D237,'Modelling New'!$D:$D,'Modelling New'!$P:$P),"")</f>
        <v>5.6270663033333346</v>
      </c>
      <c r="AD237" s="156">
        <f>IFERROR(_xlfn.XLOOKUP($D237,'Modelling New'!$D:$D,'Modelling New'!$T:$T)*1000,"")</f>
        <v>49196.002720215052</v>
      </c>
      <c r="AE237" s="163">
        <f>IFERROR(_xlfn.XLOOKUP($D237,'Modelling New'!$D:$D,'Modelling New'!$O:$O),"")</f>
        <v>0.7459679568935248</v>
      </c>
      <c r="AF237" s="163">
        <f>IFERROR(_xlfn.XLOOKUP($D237,'Modelling New'!$D:$D,'Modelling New'!$W:$W),"")</f>
        <v>0.17490046473341528</v>
      </c>
      <c r="AG237" s="163">
        <f>IFERROR(_xlfn.XLOOKUP($D237,'Modelling New'!$D:$D,'Modelling New'!AE:AE),"")</f>
        <v>0.995</v>
      </c>
      <c r="AH237" s="163">
        <f>IFERROR(_xlfn.XLOOKUP($D237,'Modelling New'!$D:$D,'Modelling New'!AF:AF),"")</f>
        <v>0.98550000000000004</v>
      </c>
      <c r="AN237" s="164"/>
      <c r="AO237" s="161"/>
      <c r="AP237" s="161"/>
      <c r="AQ237" s="161"/>
      <c r="AR237" s="156">
        <f>IFERROR(_xlfn.XLOOKUP($D237,'Modelling New'!$D:$D,'Modelling New'!$N:$N),"")</f>
        <v>11.72</v>
      </c>
    </row>
    <row r="238" spans="1:44">
      <c r="A238" s="155">
        <f t="shared" si="15"/>
        <v>45981</v>
      </c>
      <c r="B238" s="156">
        <f>YEAR(Table13[[#This Row],[Date]])+IF(MONTH(Table13[[#This Row],[Date]])&gt;=4,1,0)</f>
        <v>2026</v>
      </c>
      <c r="C238" s="129">
        <f>YEAR(Table13[[#This Row],[Date]])</f>
        <v>2025</v>
      </c>
      <c r="D238" s="157">
        <f>Table13[[#This Row],[Date]]-DAY(Table13[[#This Row],[Date]])+1</f>
        <v>45962</v>
      </c>
      <c r="E238" s="129">
        <f t="shared" si="16"/>
        <v>30</v>
      </c>
      <c r="F238" s="130" t="str">
        <f>IFERROR(_xlfn.XLOOKUP($A238,'Raw Data'!$G:$G,'Raw Data'!$AH:$AH),"")</f>
        <v/>
      </c>
      <c r="G238" s="131" t="str">
        <f>IFERROR(_xlfn.XLOOKUP($A238,'Raw Data'!$G:$G,'Raw Data'!$S:$S)/1000,"")</f>
        <v/>
      </c>
      <c r="H238" s="131"/>
      <c r="I238" s="131" t="str">
        <f>IFERROR(_xlfn.XLOOKUP($A238,'Raw Data'!$G:$G,'Raw Data'!$AF:$AF)/1000,"")</f>
        <v/>
      </c>
      <c r="J238" s="131"/>
      <c r="K238" s="131" t="str">
        <f>IFERROR(_xlfn.XLOOKUP($A238,'Raw Data'!$G:$G,'Raw Data'!W:W),"")</f>
        <v/>
      </c>
      <c r="L238" s="131" t="str">
        <f>IFERROR(_xlfn.XLOOKUP($A238,'Raw Data'!$G:$G,'Raw Data'!X:X),"")</f>
        <v/>
      </c>
      <c r="M238" s="131" t="str">
        <f>IFERROR(_xlfn.XLOOKUP($A238,'Raw Data'!$G:$G,'Raw Data'!Y:Y),"")</f>
        <v/>
      </c>
      <c r="N238" s="131" t="str">
        <f>IFERROR(_xlfn.XLOOKUP($A238,'Raw Data'!$G:$G,'Raw Data'!Z:Z),"")</f>
        <v/>
      </c>
      <c r="O238" s="158" t="str">
        <f>IFERROR(1-SUMIF('Plant BD'!$H:$H,$A238,'Plant BD'!AC:AC)/$F238,"")</f>
        <v/>
      </c>
      <c r="P238" s="158"/>
      <c r="Q238" s="159"/>
      <c r="R238" s="158" t="str">
        <f>IFERROR(1-SUMIF('Grid BD'!$H:$H,$A238,'Grid BD'!AB:AB)/$F238,"")</f>
        <v/>
      </c>
      <c r="T238" s="159" t="str">
        <f>IFERROR(1-SUMIF(Tracker_BD!$H:$H,$A238,Tracker_BD!AI:AI)/$F238,"")</f>
        <v/>
      </c>
      <c r="U238" s="160" t="str">
        <f t="shared" si="13"/>
        <v/>
      </c>
      <c r="V238" s="160"/>
      <c r="W238" s="161" t="str">
        <f t="shared" si="14"/>
        <v/>
      </c>
      <c r="X238" s="156" t="str">
        <f>IFERROR(_xlfn.XLOOKUP($A238,'Raw Data'!$G:$G,'Raw Data'!$AB:$AB),"")</f>
        <v/>
      </c>
      <c r="Y238" s="156" t="str">
        <f>IFERROR(_xlfn.XLOOKUP($A238,'Raw Data'!$G:$G,'Raw Data'!AC:AC),"")</f>
        <v/>
      </c>
      <c r="Z238" s="156" t="str">
        <f>IFERROR(_xlfn.XLOOKUP($A238,'Raw Data'!$G:$G,'Raw Data'!AD:AD),"")</f>
        <v/>
      </c>
      <c r="AA238" s="156" t="str">
        <f>IFERROR(_xlfn.XLOOKUP($A238,'Raw Data'!$G:$G,'Raw Data'!AE:AE),"")</f>
        <v/>
      </c>
      <c r="AB238" s="156" t="str">
        <f>IFERROR(_xlfn.XLOOKUP($A238,'Raw Data'!$G:$G,'Raw Data'!$H:$H),"")</f>
        <v/>
      </c>
      <c r="AC238" s="162">
        <f>IFERROR(_xlfn.XLOOKUP($D238,'Modelling New'!$D:$D,'Modelling New'!$P:$P),"")</f>
        <v>5.6270663033333346</v>
      </c>
      <c r="AD238" s="156">
        <f>IFERROR(_xlfn.XLOOKUP($D238,'Modelling New'!$D:$D,'Modelling New'!$T:$T)*1000,"")</f>
        <v>49196.002720215052</v>
      </c>
      <c r="AE238" s="163">
        <f>IFERROR(_xlfn.XLOOKUP($D238,'Modelling New'!$D:$D,'Modelling New'!$O:$O),"")</f>
        <v>0.7459679568935248</v>
      </c>
      <c r="AF238" s="163">
        <f>IFERROR(_xlfn.XLOOKUP($D238,'Modelling New'!$D:$D,'Modelling New'!$W:$W),"")</f>
        <v>0.17490046473341528</v>
      </c>
      <c r="AG238" s="163">
        <f>IFERROR(_xlfn.XLOOKUP($D238,'Modelling New'!$D:$D,'Modelling New'!AE:AE),"")</f>
        <v>0.995</v>
      </c>
      <c r="AH238" s="163">
        <f>IFERROR(_xlfn.XLOOKUP($D238,'Modelling New'!$D:$D,'Modelling New'!AF:AF),"")</f>
        <v>0.98550000000000004</v>
      </c>
      <c r="AN238" s="164"/>
      <c r="AO238" s="161"/>
      <c r="AP238" s="161"/>
      <c r="AQ238" s="161"/>
      <c r="AR238" s="156">
        <f>IFERROR(_xlfn.XLOOKUP($D238,'Modelling New'!$D:$D,'Modelling New'!$N:$N),"")</f>
        <v>11.72</v>
      </c>
    </row>
    <row r="239" spans="1:44">
      <c r="A239" s="155">
        <f t="shared" si="15"/>
        <v>45982</v>
      </c>
      <c r="B239" s="156">
        <f>YEAR(Table13[[#This Row],[Date]])+IF(MONTH(Table13[[#This Row],[Date]])&gt;=4,1,0)</f>
        <v>2026</v>
      </c>
      <c r="C239" s="129">
        <f>YEAR(Table13[[#This Row],[Date]])</f>
        <v>2025</v>
      </c>
      <c r="D239" s="157">
        <f>Table13[[#This Row],[Date]]-DAY(Table13[[#This Row],[Date]])+1</f>
        <v>45962</v>
      </c>
      <c r="E239" s="129">
        <f t="shared" si="16"/>
        <v>30</v>
      </c>
      <c r="F239" s="130" t="str">
        <f>IFERROR(_xlfn.XLOOKUP($A239,'Raw Data'!$G:$G,'Raw Data'!$AH:$AH),"")</f>
        <v/>
      </c>
      <c r="G239" s="131" t="str">
        <f>IFERROR(_xlfn.XLOOKUP($A239,'Raw Data'!$G:$G,'Raw Data'!$S:$S)/1000,"")</f>
        <v/>
      </c>
      <c r="H239" s="131"/>
      <c r="I239" s="131" t="str">
        <f>IFERROR(_xlfn.XLOOKUP($A239,'Raw Data'!$G:$G,'Raw Data'!$AF:$AF)/1000,"")</f>
        <v/>
      </c>
      <c r="J239" s="131"/>
      <c r="K239" s="131" t="str">
        <f>IFERROR(_xlfn.XLOOKUP($A239,'Raw Data'!$G:$G,'Raw Data'!W:W),"")</f>
        <v/>
      </c>
      <c r="L239" s="131" t="str">
        <f>IFERROR(_xlfn.XLOOKUP($A239,'Raw Data'!$G:$G,'Raw Data'!X:X),"")</f>
        <v/>
      </c>
      <c r="M239" s="131" t="str">
        <f>IFERROR(_xlfn.XLOOKUP($A239,'Raw Data'!$G:$G,'Raw Data'!Y:Y),"")</f>
        <v/>
      </c>
      <c r="N239" s="131" t="str">
        <f>IFERROR(_xlfn.XLOOKUP($A239,'Raw Data'!$G:$G,'Raw Data'!Z:Z),"")</f>
        <v/>
      </c>
      <c r="O239" s="158" t="str">
        <f>IFERROR(1-SUMIF('Plant BD'!$H:$H,$A239,'Plant BD'!AC:AC)/$F239,"")</f>
        <v/>
      </c>
      <c r="P239" s="158"/>
      <c r="Q239" s="159"/>
      <c r="R239" s="158" t="str">
        <f>IFERROR(1-SUMIF('Grid BD'!$H:$H,$A239,'Grid BD'!AB:AB)/$F239,"")</f>
        <v/>
      </c>
      <c r="T239" s="159" t="str">
        <f>IFERROR(1-SUMIF(Tracker_BD!$H:$H,$A239,Tracker_BD!AI:AI)/$F239,"")</f>
        <v/>
      </c>
      <c r="U239" s="160" t="str">
        <f t="shared" si="13"/>
        <v/>
      </c>
      <c r="V239" s="160"/>
      <c r="W239" s="161" t="str">
        <f t="shared" si="14"/>
        <v/>
      </c>
      <c r="X239" s="156" t="str">
        <f>IFERROR(_xlfn.XLOOKUP($A239,'Raw Data'!$G:$G,'Raw Data'!$AB:$AB),"")</f>
        <v/>
      </c>
      <c r="Y239" s="156" t="str">
        <f>IFERROR(_xlfn.XLOOKUP($A239,'Raw Data'!$G:$G,'Raw Data'!AC:AC),"")</f>
        <v/>
      </c>
      <c r="Z239" s="156" t="str">
        <f>IFERROR(_xlfn.XLOOKUP($A239,'Raw Data'!$G:$G,'Raw Data'!AD:AD),"")</f>
        <v/>
      </c>
      <c r="AA239" s="156" t="str">
        <f>IFERROR(_xlfn.XLOOKUP($A239,'Raw Data'!$G:$G,'Raw Data'!AE:AE),"")</f>
        <v/>
      </c>
      <c r="AB239" s="156" t="str">
        <f>IFERROR(_xlfn.XLOOKUP($A239,'Raw Data'!$G:$G,'Raw Data'!$H:$H),"")</f>
        <v/>
      </c>
      <c r="AC239" s="162">
        <f>IFERROR(_xlfn.XLOOKUP($D239,'Modelling New'!$D:$D,'Modelling New'!$P:$P),"")</f>
        <v>5.6270663033333346</v>
      </c>
      <c r="AD239" s="156">
        <f>IFERROR(_xlfn.XLOOKUP($D239,'Modelling New'!$D:$D,'Modelling New'!$T:$T)*1000,"")</f>
        <v>49196.002720215052</v>
      </c>
      <c r="AE239" s="163">
        <f>IFERROR(_xlfn.XLOOKUP($D239,'Modelling New'!$D:$D,'Modelling New'!$O:$O),"")</f>
        <v>0.7459679568935248</v>
      </c>
      <c r="AF239" s="163">
        <f>IFERROR(_xlfn.XLOOKUP($D239,'Modelling New'!$D:$D,'Modelling New'!$W:$W),"")</f>
        <v>0.17490046473341528</v>
      </c>
      <c r="AG239" s="163">
        <f>IFERROR(_xlfn.XLOOKUP($D239,'Modelling New'!$D:$D,'Modelling New'!AE:AE),"")</f>
        <v>0.995</v>
      </c>
      <c r="AH239" s="163">
        <f>IFERROR(_xlfn.XLOOKUP($D239,'Modelling New'!$D:$D,'Modelling New'!AF:AF),"")</f>
        <v>0.98550000000000004</v>
      </c>
      <c r="AN239" s="164"/>
      <c r="AO239" s="161"/>
      <c r="AP239" s="161"/>
      <c r="AQ239" s="161"/>
      <c r="AR239" s="156">
        <f>IFERROR(_xlfn.XLOOKUP($D239,'Modelling New'!$D:$D,'Modelling New'!$N:$N),"")</f>
        <v>11.72</v>
      </c>
    </row>
    <row r="240" spans="1:44">
      <c r="A240" s="155">
        <f t="shared" si="15"/>
        <v>45983</v>
      </c>
      <c r="B240" s="156">
        <f>YEAR(Table13[[#This Row],[Date]])+IF(MONTH(Table13[[#This Row],[Date]])&gt;=4,1,0)</f>
        <v>2026</v>
      </c>
      <c r="C240" s="129">
        <f>YEAR(Table13[[#This Row],[Date]])</f>
        <v>2025</v>
      </c>
      <c r="D240" s="157">
        <f>Table13[[#This Row],[Date]]-DAY(Table13[[#This Row],[Date]])+1</f>
        <v>45962</v>
      </c>
      <c r="E240" s="129">
        <f t="shared" si="16"/>
        <v>30</v>
      </c>
      <c r="F240" s="130" t="str">
        <f>IFERROR(_xlfn.XLOOKUP($A240,'Raw Data'!$G:$G,'Raw Data'!$AH:$AH),"")</f>
        <v/>
      </c>
      <c r="G240" s="131" t="str">
        <f>IFERROR(_xlfn.XLOOKUP($A240,'Raw Data'!$G:$G,'Raw Data'!$S:$S)/1000,"")</f>
        <v/>
      </c>
      <c r="H240" s="131"/>
      <c r="I240" s="131" t="str">
        <f>IFERROR(_xlfn.XLOOKUP($A240,'Raw Data'!$G:$G,'Raw Data'!$AF:$AF)/1000,"")</f>
        <v/>
      </c>
      <c r="J240" s="131"/>
      <c r="K240" s="131" t="str">
        <f>IFERROR(_xlfn.XLOOKUP($A240,'Raw Data'!$G:$G,'Raw Data'!W:W),"")</f>
        <v/>
      </c>
      <c r="L240" s="131" t="str">
        <f>IFERROR(_xlfn.XLOOKUP($A240,'Raw Data'!$G:$G,'Raw Data'!X:X),"")</f>
        <v/>
      </c>
      <c r="M240" s="131" t="str">
        <f>IFERROR(_xlfn.XLOOKUP($A240,'Raw Data'!$G:$G,'Raw Data'!Y:Y),"")</f>
        <v/>
      </c>
      <c r="N240" s="131" t="str">
        <f>IFERROR(_xlfn.XLOOKUP($A240,'Raw Data'!$G:$G,'Raw Data'!Z:Z),"")</f>
        <v/>
      </c>
      <c r="O240" s="158" t="str">
        <f>IFERROR(1-SUMIF('Plant BD'!$H:$H,$A240,'Plant BD'!AC:AC)/$F240,"")</f>
        <v/>
      </c>
      <c r="P240" s="158"/>
      <c r="Q240" s="159"/>
      <c r="R240" s="158" t="str">
        <f>IFERROR(1-SUMIF('Grid BD'!$H:$H,$A240,'Grid BD'!AB:AB)/$F240,"")</f>
        <v/>
      </c>
      <c r="T240" s="159" t="str">
        <f>IFERROR(1-SUMIF(Tracker_BD!$H:$H,$A240,Tracker_BD!AI:AI)/$F240,"")</f>
        <v/>
      </c>
      <c r="U240" s="160" t="str">
        <f t="shared" si="13"/>
        <v/>
      </c>
      <c r="V240" s="160"/>
      <c r="W240" s="161" t="str">
        <f t="shared" si="14"/>
        <v/>
      </c>
      <c r="X240" s="156" t="str">
        <f>IFERROR(_xlfn.XLOOKUP($A240,'Raw Data'!$G:$G,'Raw Data'!$AB:$AB),"")</f>
        <v/>
      </c>
      <c r="Y240" s="156" t="str">
        <f>IFERROR(_xlfn.XLOOKUP($A240,'Raw Data'!$G:$G,'Raw Data'!AC:AC),"")</f>
        <v/>
      </c>
      <c r="Z240" s="156" t="str">
        <f>IFERROR(_xlfn.XLOOKUP($A240,'Raw Data'!$G:$G,'Raw Data'!AD:AD),"")</f>
        <v/>
      </c>
      <c r="AA240" s="156" t="str">
        <f>IFERROR(_xlfn.XLOOKUP($A240,'Raw Data'!$G:$G,'Raw Data'!AE:AE),"")</f>
        <v/>
      </c>
      <c r="AB240" s="156" t="str">
        <f>IFERROR(_xlfn.XLOOKUP($A240,'Raw Data'!$G:$G,'Raw Data'!$H:$H),"")</f>
        <v/>
      </c>
      <c r="AC240" s="162">
        <f>IFERROR(_xlfn.XLOOKUP($D240,'Modelling New'!$D:$D,'Modelling New'!$P:$P),"")</f>
        <v>5.6270663033333346</v>
      </c>
      <c r="AD240" s="156">
        <f>IFERROR(_xlfn.XLOOKUP($D240,'Modelling New'!$D:$D,'Modelling New'!$T:$T)*1000,"")</f>
        <v>49196.002720215052</v>
      </c>
      <c r="AE240" s="163">
        <f>IFERROR(_xlfn.XLOOKUP($D240,'Modelling New'!$D:$D,'Modelling New'!$O:$O),"")</f>
        <v>0.7459679568935248</v>
      </c>
      <c r="AF240" s="163">
        <f>IFERROR(_xlfn.XLOOKUP($D240,'Modelling New'!$D:$D,'Modelling New'!$W:$W),"")</f>
        <v>0.17490046473341528</v>
      </c>
      <c r="AG240" s="163">
        <f>IFERROR(_xlfn.XLOOKUP($D240,'Modelling New'!$D:$D,'Modelling New'!AE:AE),"")</f>
        <v>0.995</v>
      </c>
      <c r="AH240" s="163">
        <f>IFERROR(_xlfn.XLOOKUP($D240,'Modelling New'!$D:$D,'Modelling New'!AF:AF),"")</f>
        <v>0.98550000000000004</v>
      </c>
      <c r="AN240" s="164"/>
      <c r="AO240" s="161"/>
      <c r="AP240" s="161"/>
      <c r="AQ240" s="161"/>
      <c r="AR240" s="156">
        <f>IFERROR(_xlfn.XLOOKUP($D240,'Modelling New'!$D:$D,'Modelling New'!$N:$N),"")</f>
        <v>11.72</v>
      </c>
    </row>
    <row r="241" spans="1:44">
      <c r="A241" s="155">
        <f t="shared" si="15"/>
        <v>45984</v>
      </c>
      <c r="B241" s="156">
        <f>YEAR(Table13[[#This Row],[Date]])+IF(MONTH(Table13[[#This Row],[Date]])&gt;=4,1,0)</f>
        <v>2026</v>
      </c>
      <c r="C241" s="129">
        <f>YEAR(Table13[[#This Row],[Date]])</f>
        <v>2025</v>
      </c>
      <c r="D241" s="157">
        <f>Table13[[#This Row],[Date]]-DAY(Table13[[#This Row],[Date]])+1</f>
        <v>45962</v>
      </c>
      <c r="E241" s="129">
        <f t="shared" si="16"/>
        <v>30</v>
      </c>
      <c r="F241" s="130" t="str">
        <f>IFERROR(_xlfn.XLOOKUP($A241,'Raw Data'!$G:$G,'Raw Data'!$AH:$AH),"")</f>
        <v/>
      </c>
      <c r="G241" s="131" t="str">
        <f>IFERROR(_xlfn.XLOOKUP($A241,'Raw Data'!$G:$G,'Raw Data'!$S:$S)/1000,"")</f>
        <v/>
      </c>
      <c r="H241" s="131"/>
      <c r="I241" s="131" t="str">
        <f>IFERROR(_xlfn.XLOOKUP($A241,'Raw Data'!$G:$G,'Raw Data'!$AF:$AF)/1000,"")</f>
        <v/>
      </c>
      <c r="J241" s="131"/>
      <c r="K241" s="131" t="str">
        <f>IFERROR(_xlfn.XLOOKUP($A241,'Raw Data'!$G:$G,'Raw Data'!W:W),"")</f>
        <v/>
      </c>
      <c r="L241" s="131" t="str">
        <f>IFERROR(_xlfn.XLOOKUP($A241,'Raw Data'!$G:$G,'Raw Data'!X:X),"")</f>
        <v/>
      </c>
      <c r="M241" s="131" t="str">
        <f>IFERROR(_xlfn.XLOOKUP($A241,'Raw Data'!$G:$G,'Raw Data'!Y:Y),"")</f>
        <v/>
      </c>
      <c r="N241" s="131" t="str">
        <f>IFERROR(_xlfn.XLOOKUP($A241,'Raw Data'!$G:$G,'Raw Data'!Z:Z),"")</f>
        <v/>
      </c>
      <c r="O241" s="158" t="str">
        <f>IFERROR(1-SUMIF('Plant BD'!$H:$H,$A241,'Plant BD'!AC:AC)/$F241,"")</f>
        <v/>
      </c>
      <c r="P241" s="158"/>
      <c r="Q241" s="159"/>
      <c r="R241" s="158" t="str">
        <f>IFERROR(1-SUMIF('Grid BD'!$H:$H,$A241,'Grid BD'!AB:AB)/$F241,"")</f>
        <v/>
      </c>
      <c r="T241" s="159" t="str">
        <f>IFERROR(1-SUMIF(Tracker_BD!$H:$H,$A241,Tracker_BD!AI:AI)/$F241,"")</f>
        <v/>
      </c>
      <c r="U241" s="160" t="str">
        <f t="shared" si="13"/>
        <v/>
      </c>
      <c r="V241" s="160"/>
      <c r="W241" s="161" t="str">
        <f t="shared" si="14"/>
        <v/>
      </c>
      <c r="X241" s="156" t="str">
        <f>IFERROR(_xlfn.XLOOKUP($A241,'Raw Data'!$G:$G,'Raw Data'!$AB:$AB),"")</f>
        <v/>
      </c>
      <c r="Y241" s="156" t="str">
        <f>IFERROR(_xlfn.XLOOKUP($A241,'Raw Data'!$G:$G,'Raw Data'!AC:AC),"")</f>
        <v/>
      </c>
      <c r="Z241" s="156" t="str">
        <f>IFERROR(_xlfn.XLOOKUP($A241,'Raw Data'!$G:$G,'Raw Data'!AD:AD),"")</f>
        <v/>
      </c>
      <c r="AA241" s="156" t="str">
        <f>IFERROR(_xlfn.XLOOKUP($A241,'Raw Data'!$G:$G,'Raw Data'!AE:AE),"")</f>
        <v/>
      </c>
      <c r="AB241" s="156" t="str">
        <f>IFERROR(_xlfn.XLOOKUP($A241,'Raw Data'!$G:$G,'Raw Data'!$H:$H),"")</f>
        <v/>
      </c>
      <c r="AC241" s="162">
        <f>IFERROR(_xlfn.XLOOKUP($D241,'Modelling New'!$D:$D,'Modelling New'!$P:$P),"")</f>
        <v>5.6270663033333346</v>
      </c>
      <c r="AD241" s="156">
        <f>IFERROR(_xlfn.XLOOKUP($D241,'Modelling New'!$D:$D,'Modelling New'!$T:$T)*1000,"")</f>
        <v>49196.002720215052</v>
      </c>
      <c r="AE241" s="163">
        <f>IFERROR(_xlfn.XLOOKUP($D241,'Modelling New'!$D:$D,'Modelling New'!$O:$O),"")</f>
        <v>0.7459679568935248</v>
      </c>
      <c r="AF241" s="163">
        <f>IFERROR(_xlfn.XLOOKUP($D241,'Modelling New'!$D:$D,'Modelling New'!$W:$W),"")</f>
        <v>0.17490046473341528</v>
      </c>
      <c r="AG241" s="163">
        <f>IFERROR(_xlfn.XLOOKUP($D241,'Modelling New'!$D:$D,'Modelling New'!AE:AE),"")</f>
        <v>0.995</v>
      </c>
      <c r="AH241" s="163">
        <f>IFERROR(_xlfn.XLOOKUP($D241,'Modelling New'!$D:$D,'Modelling New'!AF:AF),"")</f>
        <v>0.98550000000000004</v>
      </c>
      <c r="AN241" s="164"/>
      <c r="AO241" s="161"/>
      <c r="AP241" s="161"/>
      <c r="AQ241" s="161"/>
      <c r="AR241" s="156">
        <f>IFERROR(_xlfn.XLOOKUP($D241,'Modelling New'!$D:$D,'Modelling New'!$N:$N),"")</f>
        <v>11.72</v>
      </c>
    </row>
    <row r="242" spans="1:44">
      <c r="A242" s="155">
        <f t="shared" si="15"/>
        <v>45985</v>
      </c>
      <c r="B242" s="156">
        <f>YEAR(Table13[[#This Row],[Date]])+IF(MONTH(Table13[[#This Row],[Date]])&gt;=4,1,0)</f>
        <v>2026</v>
      </c>
      <c r="C242" s="129">
        <f>YEAR(Table13[[#This Row],[Date]])</f>
        <v>2025</v>
      </c>
      <c r="D242" s="157">
        <f>Table13[[#This Row],[Date]]-DAY(Table13[[#This Row],[Date]])+1</f>
        <v>45962</v>
      </c>
      <c r="E242" s="129">
        <f t="shared" si="16"/>
        <v>30</v>
      </c>
      <c r="F242" s="130" t="str">
        <f>IFERROR(_xlfn.XLOOKUP($A242,'Raw Data'!$G:$G,'Raw Data'!$AH:$AH),"")</f>
        <v/>
      </c>
      <c r="G242" s="131" t="str">
        <f>IFERROR(_xlfn.XLOOKUP($A242,'Raw Data'!$G:$G,'Raw Data'!$S:$S)/1000,"")</f>
        <v/>
      </c>
      <c r="H242" s="131"/>
      <c r="I242" s="131" t="str">
        <f>IFERROR(_xlfn.XLOOKUP($A242,'Raw Data'!$G:$G,'Raw Data'!$AF:$AF)/1000,"")</f>
        <v/>
      </c>
      <c r="J242" s="131"/>
      <c r="K242" s="131" t="str">
        <f>IFERROR(_xlfn.XLOOKUP($A242,'Raw Data'!$G:$G,'Raw Data'!W:W),"")</f>
        <v/>
      </c>
      <c r="L242" s="131" t="str">
        <f>IFERROR(_xlfn.XLOOKUP($A242,'Raw Data'!$G:$G,'Raw Data'!X:X),"")</f>
        <v/>
      </c>
      <c r="M242" s="131" t="str">
        <f>IFERROR(_xlfn.XLOOKUP($A242,'Raw Data'!$G:$G,'Raw Data'!Y:Y),"")</f>
        <v/>
      </c>
      <c r="N242" s="131" t="str">
        <f>IFERROR(_xlfn.XLOOKUP($A242,'Raw Data'!$G:$G,'Raw Data'!Z:Z),"")</f>
        <v/>
      </c>
      <c r="O242" s="158" t="str">
        <f>IFERROR(1-SUMIF('Plant BD'!$H:$H,$A242,'Plant BD'!AC:AC)/$F242,"")</f>
        <v/>
      </c>
      <c r="P242" s="158"/>
      <c r="Q242" s="159"/>
      <c r="R242" s="158" t="str">
        <f>IFERROR(1-SUMIF('Grid BD'!$H:$H,$A242,'Grid BD'!AB:AB)/$F242,"")</f>
        <v/>
      </c>
      <c r="T242" s="159" t="str">
        <f>IFERROR(1-SUMIF(Tracker_BD!$H:$H,$A242,Tracker_BD!AI:AI)/$F242,"")</f>
        <v/>
      </c>
      <c r="U242" s="160" t="str">
        <f t="shared" si="13"/>
        <v/>
      </c>
      <c r="V242" s="160"/>
      <c r="W242" s="161" t="str">
        <f t="shared" si="14"/>
        <v/>
      </c>
      <c r="X242" s="156" t="str">
        <f>IFERROR(_xlfn.XLOOKUP($A242,'Raw Data'!$G:$G,'Raw Data'!$AB:$AB),"")</f>
        <v/>
      </c>
      <c r="Y242" s="156" t="str">
        <f>IFERROR(_xlfn.XLOOKUP($A242,'Raw Data'!$G:$G,'Raw Data'!AC:AC),"")</f>
        <v/>
      </c>
      <c r="Z242" s="156" t="str">
        <f>IFERROR(_xlfn.XLOOKUP($A242,'Raw Data'!$G:$G,'Raw Data'!AD:AD),"")</f>
        <v/>
      </c>
      <c r="AA242" s="156" t="str">
        <f>IFERROR(_xlfn.XLOOKUP($A242,'Raw Data'!$G:$G,'Raw Data'!AE:AE),"")</f>
        <v/>
      </c>
      <c r="AB242" s="156" t="str">
        <f>IFERROR(_xlfn.XLOOKUP($A242,'Raw Data'!$G:$G,'Raw Data'!$H:$H),"")</f>
        <v/>
      </c>
      <c r="AC242" s="162">
        <f>IFERROR(_xlfn.XLOOKUP($D242,'Modelling New'!$D:$D,'Modelling New'!$P:$P),"")</f>
        <v>5.6270663033333346</v>
      </c>
      <c r="AD242" s="156">
        <f>IFERROR(_xlfn.XLOOKUP($D242,'Modelling New'!$D:$D,'Modelling New'!$T:$T)*1000,"")</f>
        <v>49196.002720215052</v>
      </c>
      <c r="AE242" s="163">
        <f>IFERROR(_xlfn.XLOOKUP($D242,'Modelling New'!$D:$D,'Modelling New'!$O:$O),"")</f>
        <v>0.7459679568935248</v>
      </c>
      <c r="AF242" s="163">
        <f>IFERROR(_xlfn.XLOOKUP($D242,'Modelling New'!$D:$D,'Modelling New'!$W:$W),"")</f>
        <v>0.17490046473341528</v>
      </c>
      <c r="AG242" s="163">
        <f>IFERROR(_xlfn.XLOOKUP($D242,'Modelling New'!$D:$D,'Modelling New'!AE:AE),"")</f>
        <v>0.995</v>
      </c>
      <c r="AH242" s="163">
        <f>IFERROR(_xlfn.XLOOKUP($D242,'Modelling New'!$D:$D,'Modelling New'!AF:AF),"")</f>
        <v>0.98550000000000004</v>
      </c>
      <c r="AN242" s="164"/>
      <c r="AO242" s="161"/>
      <c r="AP242" s="161"/>
      <c r="AQ242" s="161"/>
      <c r="AR242" s="156">
        <f>IFERROR(_xlfn.XLOOKUP($D242,'Modelling New'!$D:$D,'Modelling New'!$N:$N),"")</f>
        <v>11.72</v>
      </c>
    </row>
    <row r="243" spans="1:44">
      <c r="A243" s="155">
        <f t="shared" si="15"/>
        <v>45986</v>
      </c>
      <c r="B243" s="156">
        <f>YEAR(Table13[[#This Row],[Date]])+IF(MONTH(Table13[[#This Row],[Date]])&gt;=4,1,0)</f>
        <v>2026</v>
      </c>
      <c r="C243" s="129">
        <f>YEAR(Table13[[#This Row],[Date]])</f>
        <v>2025</v>
      </c>
      <c r="D243" s="157">
        <f>Table13[[#This Row],[Date]]-DAY(Table13[[#This Row],[Date]])+1</f>
        <v>45962</v>
      </c>
      <c r="E243" s="129">
        <f t="shared" si="16"/>
        <v>30</v>
      </c>
      <c r="F243" s="130" t="str">
        <f>IFERROR(_xlfn.XLOOKUP($A243,'Raw Data'!$G:$G,'Raw Data'!$AH:$AH),"")</f>
        <v/>
      </c>
      <c r="G243" s="131" t="str">
        <f>IFERROR(_xlfn.XLOOKUP($A243,'Raw Data'!$G:$G,'Raw Data'!$S:$S)/1000,"")</f>
        <v/>
      </c>
      <c r="H243" s="131"/>
      <c r="I243" s="131" t="str">
        <f>IFERROR(_xlfn.XLOOKUP($A243,'Raw Data'!$G:$G,'Raw Data'!$AF:$AF)/1000,"")</f>
        <v/>
      </c>
      <c r="J243" s="131"/>
      <c r="K243" s="131" t="str">
        <f>IFERROR(_xlfn.XLOOKUP($A243,'Raw Data'!$G:$G,'Raw Data'!W:W),"")</f>
        <v/>
      </c>
      <c r="L243" s="131" t="str">
        <f>IFERROR(_xlfn.XLOOKUP($A243,'Raw Data'!$G:$G,'Raw Data'!X:X),"")</f>
        <v/>
      </c>
      <c r="M243" s="131" t="str">
        <f>IFERROR(_xlfn.XLOOKUP($A243,'Raw Data'!$G:$G,'Raw Data'!Y:Y),"")</f>
        <v/>
      </c>
      <c r="N243" s="131" t="str">
        <f>IFERROR(_xlfn.XLOOKUP($A243,'Raw Data'!$G:$G,'Raw Data'!Z:Z),"")</f>
        <v/>
      </c>
      <c r="O243" s="158" t="str">
        <f>IFERROR(1-SUMIF('Plant BD'!$H:$H,$A243,'Plant BD'!AC:AC)/$F243,"")</f>
        <v/>
      </c>
      <c r="P243" s="158"/>
      <c r="Q243" s="159"/>
      <c r="R243" s="158" t="str">
        <f>IFERROR(1-SUMIF('Grid BD'!$H:$H,$A243,'Grid BD'!AB:AB)/$F243,"")</f>
        <v/>
      </c>
      <c r="T243" s="159" t="str">
        <f>IFERROR(1-SUMIF(Tracker_BD!$H:$H,$A243,Tracker_BD!AI:AI)/$F243,"")</f>
        <v/>
      </c>
      <c r="U243" s="160" t="str">
        <f t="shared" si="13"/>
        <v/>
      </c>
      <c r="V243" s="160"/>
      <c r="W243" s="161" t="str">
        <f t="shared" si="14"/>
        <v/>
      </c>
      <c r="X243" s="156" t="str">
        <f>IFERROR(_xlfn.XLOOKUP($A243,'Raw Data'!$G:$G,'Raw Data'!$AB:$AB),"")</f>
        <v/>
      </c>
      <c r="Y243" s="156" t="str">
        <f>IFERROR(_xlfn.XLOOKUP($A243,'Raw Data'!$G:$G,'Raw Data'!AC:AC),"")</f>
        <v/>
      </c>
      <c r="Z243" s="156" t="str">
        <f>IFERROR(_xlfn.XLOOKUP($A243,'Raw Data'!$G:$G,'Raw Data'!AD:AD),"")</f>
        <v/>
      </c>
      <c r="AA243" s="156" t="str">
        <f>IFERROR(_xlfn.XLOOKUP($A243,'Raw Data'!$G:$G,'Raw Data'!AE:AE),"")</f>
        <v/>
      </c>
      <c r="AB243" s="156" t="str">
        <f>IFERROR(_xlfn.XLOOKUP($A243,'Raw Data'!$G:$G,'Raw Data'!$H:$H),"")</f>
        <v/>
      </c>
      <c r="AC243" s="162">
        <f>IFERROR(_xlfn.XLOOKUP($D243,'Modelling New'!$D:$D,'Modelling New'!$P:$P),"")</f>
        <v>5.6270663033333346</v>
      </c>
      <c r="AD243" s="156">
        <f>IFERROR(_xlfn.XLOOKUP($D243,'Modelling New'!$D:$D,'Modelling New'!$T:$T)*1000,"")</f>
        <v>49196.002720215052</v>
      </c>
      <c r="AE243" s="163">
        <f>IFERROR(_xlfn.XLOOKUP($D243,'Modelling New'!$D:$D,'Modelling New'!$O:$O),"")</f>
        <v>0.7459679568935248</v>
      </c>
      <c r="AF243" s="163">
        <f>IFERROR(_xlfn.XLOOKUP($D243,'Modelling New'!$D:$D,'Modelling New'!$W:$W),"")</f>
        <v>0.17490046473341528</v>
      </c>
      <c r="AG243" s="163">
        <f>IFERROR(_xlfn.XLOOKUP($D243,'Modelling New'!$D:$D,'Modelling New'!AE:AE),"")</f>
        <v>0.995</v>
      </c>
      <c r="AH243" s="163">
        <f>IFERROR(_xlfn.XLOOKUP($D243,'Modelling New'!$D:$D,'Modelling New'!AF:AF),"")</f>
        <v>0.98550000000000004</v>
      </c>
      <c r="AN243" s="164"/>
      <c r="AO243" s="161"/>
      <c r="AP243" s="161"/>
      <c r="AQ243" s="161"/>
      <c r="AR243" s="156">
        <f>IFERROR(_xlfn.XLOOKUP($D243,'Modelling New'!$D:$D,'Modelling New'!$N:$N),"")</f>
        <v>11.72</v>
      </c>
    </row>
    <row r="244" spans="1:44">
      <c r="A244" s="155">
        <f t="shared" si="15"/>
        <v>45987</v>
      </c>
      <c r="B244" s="156">
        <f>YEAR(Table13[[#This Row],[Date]])+IF(MONTH(Table13[[#This Row],[Date]])&gt;=4,1,0)</f>
        <v>2026</v>
      </c>
      <c r="C244" s="129">
        <f>YEAR(Table13[[#This Row],[Date]])</f>
        <v>2025</v>
      </c>
      <c r="D244" s="157">
        <f>Table13[[#This Row],[Date]]-DAY(Table13[[#This Row],[Date]])+1</f>
        <v>45962</v>
      </c>
      <c r="E244" s="129">
        <f t="shared" si="16"/>
        <v>30</v>
      </c>
      <c r="F244" s="130" t="str">
        <f>IFERROR(_xlfn.XLOOKUP($A244,'Raw Data'!$G:$G,'Raw Data'!$AH:$AH),"")</f>
        <v/>
      </c>
      <c r="G244" s="131" t="str">
        <f>IFERROR(_xlfn.XLOOKUP($A244,'Raw Data'!$G:$G,'Raw Data'!$S:$S)/1000,"")</f>
        <v/>
      </c>
      <c r="H244" s="131"/>
      <c r="I244" s="131" t="str">
        <f>IFERROR(_xlfn.XLOOKUP($A244,'Raw Data'!$G:$G,'Raw Data'!$AF:$AF)/1000,"")</f>
        <v/>
      </c>
      <c r="J244" s="131"/>
      <c r="K244" s="131" t="str">
        <f>IFERROR(_xlfn.XLOOKUP($A244,'Raw Data'!$G:$G,'Raw Data'!W:W),"")</f>
        <v/>
      </c>
      <c r="L244" s="131" t="str">
        <f>IFERROR(_xlfn.XLOOKUP($A244,'Raw Data'!$G:$G,'Raw Data'!X:X),"")</f>
        <v/>
      </c>
      <c r="M244" s="131" t="str">
        <f>IFERROR(_xlfn.XLOOKUP($A244,'Raw Data'!$G:$G,'Raw Data'!Y:Y),"")</f>
        <v/>
      </c>
      <c r="N244" s="131" t="str">
        <f>IFERROR(_xlfn.XLOOKUP($A244,'Raw Data'!$G:$G,'Raw Data'!Z:Z),"")</f>
        <v/>
      </c>
      <c r="O244" s="158" t="str">
        <f>IFERROR(1-SUMIF('Plant BD'!$H:$H,$A244,'Plant BD'!AC:AC)/$F244,"")</f>
        <v/>
      </c>
      <c r="P244" s="158"/>
      <c r="Q244" s="159"/>
      <c r="R244" s="158" t="str">
        <f>IFERROR(1-SUMIF('Grid BD'!$H:$H,$A244,'Grid BD'!AB:AB)/$F244,"")</f>
        <v/>
      </c>
      <c r="T244" s="159" t="str">
        <f>IFERROR(1-SUMIF(Tracker_BD!$H:$H,$A244,Tracker_BD!AI:AI)/$F244,"")</f>
        <v/>
      </c>
      <c r="U244" s="160" t="str">
        <f t="shared" si="13"/>
        <v/>
      </c>
      <c r="V244" s="160"/>
      <c r="W244" s="161" t="str">
        <f t="shared" si="14"/>
        <v/>
      </c>
      <c r="X244" s="156" t="str">
        <f>IFERROR(_xlfn.XLOOKUP($A244,'Raw Data'!$G:$G,'Raw Data'!$AB:$AB),"")</f>
        <v/>
      </c>
      <c r="Y244" s="156" t="str">
        <f>IFERROR(_xlfn.XLOOKUP($A244,'Raw Data'!$G:$G,'Raw Data'!AC:AC),"")</f>
        <v/>
      </c>
      <c r="Z244" s="156" t="str">
        <f>IFERROR(_xlfn.XLOOKUP($A244,'Raw Data'!$G:$G,'Raw Data'!AD:AD),"")</f>
        <v/>
      </c>
      <c r="AA244" s="156" t="str">
        <f>IFERROR(_xlfn.XLOOKUP($A244,'Raw Data'!$G:$G,'Raw Data'!AE:AE),"")</f>
        <v/>
      </c>
      <c r="AB244" s="156" t="str">
        <f>IFERROR(_xlfn.XLOOKUP($A244,'Raw Data'!$G:$G,'Raw Data'!$H:$H),"")</f>
        <v/>
      </c>
      <c r="AC244" s="162">
        <f>IFERROR(_xlfn.XLOOKUP($D244,'Modelling New'!$D:$D,'Modelling New'!$P:$P),"")</f>
        <v>5.6270663033333346</v>
      </c>
      <c r="AD244" s="156">
        <f>IFERROR(_xlfn.XLOOKUP($D244,'Modelling New'!$D:$D,'Modelling New'!$T:$T)*1000,"")</f>
        <v>49196.002720215052</v>
      </c>
      <c r="AE244" s="163">
        <f>IFERROR(_xlfn.XLOOKUP($D244,'Modelling New'!$D:$D,'Modelling New'!$O:$O),"")</f>
        <v>0.7459679568935248</v>
      </c>
      <c r="AF244" s="163">
        <f>IFERROR(_xlfn.XLOOKUP($D244,'Modelling New'!$D:$D,'Modelling New'!$W:$W),"")</f>
        <v>0.17490046473341528</v>
      </c>
      <c r="AG244" s="163">
        <f>IFERROR(_xlfn.XLOOKUP($D244,'Modelling New'!$D:$D,'Modelling New'!AE:AE),"")</f>
        <v>0.995</v>
      </c>
      <c r="AH244" s="163">
        <f>IFERROR(_xlfn.XLOOKUP($D244,'Modelling New'!$D:$D,'Modelling New'!AF:AF),"")</f>
        <v>0.98550000000000004</v>
      </c>
      <c r="AN244" s="164"/>
      <c r="AO244" s="161"/>
      <c r="AP244" s="161"/>
      <c r="AQ244" s="161"/>
      <c r="AR244" s="156">
        <f>IFERROR(_xlfn.XLOOKUP($D244,'Modelling New'!$D:$D,'Modelling New'!$N:$N),"")</f>
        <v>11.72</v>
      </c>
    </row>
    <row r="245" spans="1:44">
      <c r="A245" s="155">
        <f t="shared" si="15"/>
        <v>45988</v>
      </c>
      <c r="B245" s="156">
        <f>YEAR(Table13[[#This Row],[Date]])+IF(MONTH(Table13[[#This Row],[Date]])&gt;=4,1,0)</f>
        <v>2026</v>
      </c>
      <c r="C245" s="129">
        <f>YEAR(Table13[[#This Row],[Date]])</f>
        <v>2025</v>
      </c>
      <c r="D245" s="157">
        <f>Table13[[#This Row],[Date]]-DAY(Table13[[#This Row],[Date]])+1</f>
        <v>45962</v>
      </c>
      <c r="E245" s="129">
        <f t="shared" si="16"/>
        <v>30</v>
      </c>
      <c r="F245" s="130" t="str">
        <f>IFERROR(_xlfn.XLOOKUP($A245,'Raw Data'!$G:$G,'Raw Data'!$AH:$AH),"")</f>
        <v/>
      </c>
      <c r="G245" s="131" t="str">
        <f>IFERROR(_xlfn.XLOOKUP($A245,'Raw Data'!$G:$G,'Raw Data'!$S:$S)/1000,"")</f>
        <v/>
      </c>
      <c r="H245" s="131"/>
      <c r="I245" s="131" t="str">
        <f>IFERROR(_xlfn.XLOOKUP($A245,'Raw Data'!$G:$G,'Raw Data'!$AF:$AF)/1000,"")</f>
        <v/>
      </c>
      <c r="J245" s="131"/>
      <c r="K245" s="131" t="str">
        <f>IFERROR(_xlfn.XLOOKUP($A245,'Raw Data'!$G:$G,'Raw Data'!W:W),"")</f>
        <v/>
      </c>
      <c r="L245" s="131" t="str">
        <f>IFERROR(_xlfn.XLOOKUP($A245,'Raw Data'!$G:$G,'Raw Data'!X:X),"")</f>
        <v/>
      </c>
      <c r="M245" s="131" t="str">
        <f>IFERROR(_xlfn.XLOOKUP($A245,'Raw Data'!$G:$G,'Raw Data'!Y:Y),"")</f>
        <v/>
      </c>
      <c r="N245" s="131" t="str">
        <f>IFERROR(_xlfn.XLOOKUP($A245,'Raw Data'!$G:$G,'Raw Data'!Z:Z),"")</f>
        <v/>
      </c>
      <c r="O245" s="158" t="str">
        <f>IFERROR(1-SUMIF('Plant BD'!$H:$H,$A245,'Plant BD'!AC:AC)/$F245,"")</f>
        <v/>
      </c>
      <c r="P245" s="158"/>
      <c r="Q245" s="159"/>
      <c r="R245" s="158" t="str">
        <f>IFERROR(1-SUMIF('Grid BD'!$H:$H,$A245,'Grid BD'!AB:AB)/$F245,"")</f>
        <v/>
      </c>
      <c r="T245" s="159" t="str">
        <f>IFERROR(1-SUMIF(Tracker_BD!$H:$H,$A245,Tracker_BD!AI:AI)/$F245,"")</f>
        <v/>
      </c>
      <c r="U245" s="160" t="str">
        <f t="shared" si="13"/>
        <v/>
      </c>
      <c r="V245" s="160"/>
      <c r="W245" s="161" t="str">
        <f t="shared" si="14"/>
        <v/>
      </c>
      <c r="X245" s="156" t="str">
        <f>IFERROR(_xlfn.XLOOKUP($A245,'Raw Data'!$G:$G,'Raw Data'!$AB:$AB),"")</f>
        <v/>
      </c>
      <c r="Y245" s="156" t="str">
        <f>IFERROR(_xlfn.XLOOKUP($A245,'Raw Data'!$G:$G,'Raw Data'!AC:AC),"")</f>
        <v/>
      </c>
      <c r="Z245" s="156" t="str">
        <f>IFERROR(_xlfn.XLOOKUP($A245,'Raw Data'!$G:$G,'Raw Data'!AD:AD),"")</f>
        <v/>
      </c>
      <c r="AA245" s="156" t="str">
        <f>IFERROR(_xlfn.XLOOKUP($A245,'Raw Data'!$G:$G,'Raw Data'!AE:AE),"")</f>
        <v/>
      </c>
      <c r="AB245" s="156" t="str">
        <f>IFERROR(_xlfn.XLOOKUP($A245,'Raw Data'!$G:$G,'Raw Data'!$H:$H),"")</f>
        <v/>
      </c>
      <c r="AC245" s="162">
        <f>IFERROR(_xlfn.XLOOKUP($D245,'Modelling New'!$D:$D,'Modelling New'!$P:$P),"")</f>
        <v>5.6270663033333346</v>
      </c>
      <c r="AD245" s="156">
        <f>IFERROR(_xlfn.XLOOKUP($D245,'Modelling New'!$D:$D,'Modelling New'!$T:$T)*1000,"")</f>
        <v>49196.002720215052</v>
      </c>
      <c r="AE245" s="163">
        <f>IFERROR(_xlfn.XLOOKUP($D245,'Modelling New'!$D:$D,'Modelling New'!$O:$O),"")</f>
        <v>0.7459679568935248</v>
      </c>
      <c r="AF245" s="163">
        <f>IFERROR(_xlfn.XLOOKUP($D245,'Modelling New'!$D:$D,'Modelling New'!$W:$W),"")</f>
        <v>0.17490046473341528</v>
      </c>
      <c r="AG245" s="163">
        <f>IFERROR(_xlfn.XLOOKUP($D245,'Modelling New'!$D:$D,'Modelling New'!AE:AE),"")</f>
        <v>0.995</v>
      </c>
      <c r="AH245" s="163">
        <f>IFERROR(_xlfn.XLOOKUP($D245,'Modelling New'!$D:$D,'Modelling New'!AF:AF),"")</f>
        <v>0.98550000000000004</v>
      </c>
      <c r="AN245" s="164"/>
      <c r="AO245" s="161"/>
      <c r="AP245" s="161"/>
      <c r="AQ245" s="161"/>
      <c r="AR245" s="156">
        <f>IFERROR(_xlfn.XLOOKUP($D245,'Modelling New'!$D:$D,'Modelling New'!$N:$N),"")</f>
        <v>11.72</v>
      </c>
    </row>
    <row r="246" spans="1:44">
      <c r="A246" s="155">
        <f t="shared" si="15"/>
        <v>45989</v>
      </c>
      <c r="B246" s="156">
        <f>YEAR(Table13[[#This Row],[Date]])+IF(MONTH(Table13[[#This Row],[Date]])&gt;=4,1,0)</f>
        <v>2026</v>
      </c>
      <c r="C246" s="129">
        <f>YEAR(Table13[[#This Row],[Date]])</f>
        <v>2025</v>
      </c>
      <c r="D246" s="157">
        <f>Table13[[#This Row],[Date]]-DAY(Table13[[#This Row],[Date]])+1</f>
        <v>45962</v>
      </c>
      <c r="E246" s="129">
        <f t="shared" si="16"/>
        <v>30</v>
      </c>
      <c r="F246" s="130" t="str">
        <f>IFERROR(_xlfn.XLOOKUP($A246,'Raw Data'!$G:$G,'Raw Data'!$AH:$AH),"")</f>
        <v/>
      </c>
      <c r="G246" s="131" t="str">
        <f>IFERROR(_xlfn.XLOOKUP($A246,'Raw Data'!$G:$G,'Raw Data'!$S:$S)/1000,"")</f>
        <v/>
      </c>
      <c r="H246" s="131"/>
      <c r="I246" s="131" t="str">
        <f>IFERROR(_xlfn.XLOOKUP($A246,'Raw Data'!$G:$G,'Raw Data'!$AF:$AF)/1000,"")</f>
        <v/>
      </c>
      <c r="J246" s="131"/>
      <c r="K246" s="131" t="str">
        <f>IFERROR(_xlfn.XLOOKUP($A246,'Raw Data'!$G:$G,'Raw Data'!W:W),"")</f>
        <v/>
      </c>
      <c r="L246" s="131" t="str">
        <f>IFERROR(_xlfn.XLOOKUP($A246,'Raw Data'!$G:$G,'Raw Data'!X:X),"")</f>
        <v/>
      </c>
      <c r="M246" s="131" t="str">
        <f>IFERROR(_xlfn.XLOOKUP($A246,'Raw Data'!$G:$G,'Raw Data'!Y:Y),"")</f>
        <v/>
      </c>
      <c r="N246" s="131" t="str">
        <f>IFERROR(_xlfn.XLOOKUP($A246,'Raw Data'!$G:$G,'Raw Data'!Z:Z),"")</f>
        <v/>
      </c>
      <c r="O246" s="158" t="str">
        <f>IFERROR(1-SUMIF('Plant BD'!$H:$H,$A246,'Plant BD'!AC:AC)/$F246,"")</f>
        <v/>
      </c>
      <c r="P246" s="158"/>
      <c r="Q246" s="159"/>
      <c r="R246" s="158" t="str">
        <f>IFERROR(1-SUMIF('Grid BD'!$H:$H,$A246,'Grid BD'!AB:AB)/$F246,"")</f>
        <v/>
      </c>
      <c r="T246" s="159" t="str">
        <f>IFERROR(1-SUMIF(Tracker_BD!$H:$H,$A246,Tracker_BD!AI:AI)/$F246,"")</f>
        <v/>
      </c>
      <c r="U246" s="160" t="str">
        <f t="shared" si="13"/>
        <v/>
      </c>
      <c r="V246" s="160"/>
      <c r="W246" s="161" t="str">
        <f t="shared" si="14"/>
        <v/>
      </c>
      <c r="X246" s="156" t="str">
        <f>IFERROR(_xlfn.XLOOKUP($A246,'Raw Data'!$G:$G,'Raw Data'!$AB:$AB),"")</f>
        <v/>
      </c>
      <c r="Y246" s="156" t="str">
        <f>IFERROR(_xlfn.XLOOKUP($A246,'Raw Data'!$G:$G,'Raw Data'!AC:AC),"")</f>
        <v/>
      </c>
      <c r="Z246" s="156" t="str">
        <f>IFERROR(_xlfn.XLOOKUP($A246,'Raw Data'!$G:$G,'Raw Data'!AD:AD),"")</f>
        <v/>
      </c>
      <c r="AA246" s="156" t="str">
        <f>IFERROR(_xlfn.XLOOKUP($A246,'Raw Data'!$G:$G,'Raw Data'!AE:AE),"")</f>
        <v/>
      </c>
      <c r="AB246" s="156" t="str">
        <f>IFERROR(_xlfn.XLOOKUP($A246,'Raw Data'!$G:$G,'Raw Data'!$H:$H),"")</f>
        <v/>
      </c>
      <c r="AC246" s="162">
        <f>IFERROR(_xlfn.XLOOKUP($D246,'Modelling New'!$D:$D,'Modelling New'!$P:$P),"")</f>
        <v>5.6270663033333346</v>
      </c>
      <c r="AD246" s="156">
        <f>IFERROR(_xlfn.XLOOKUP($D246,'Modelling New'!$D:$D,'Modelling New'!$T:$T)*1000,"")</f>
        <v>49196.002720215052</v>
      </c>
      <c r="AE246" s="163">
        <f>IFERROR(_xlfn.XLOOKUP($D246,'Modelling New'!$D:$D,'Modelling New'!$O:$O),"")</f>
        <v>0.7459679568935248</v>
      </c>
      <c r="AF246" s="163">
        <f>IFERROR(_xlfn.XLOOKUP($D246,'Modelling New'!$D:$D,'Modelling New'!$W:$W),"")</f>
        <v>0.17490046473341528</v>
      </c>
      <c r="AG246" s="163">
        <f>IFERROR(_xlfn.XLOOKUP($D246,'Modelling New'!$D:$D,'Modelling New'!AE:AE),"")</f>
        <v>0.995</v>
      </c>
      <c r="AH246" s="163">
        <f>IFERROR(_xlfn.XLOOKUP($D246,'Modelling New'!$D:$D,'Modelling New'!AF:AF),"")</f>
        <v>0.98550000000000004</v>
      </c>
      <c r="AN246" s="164"/>
      <c r="AO246" s="161"/>
      <c r="AP246" s="161"/>
      <c r="AQ246" s="161"/>
      <c r="AR246" s="156">
        <f>IFERROR(_xlfn.XLOOKUP($D246,'Modelling New'!$D:$D,'Modelling New'!$N:$N),"")</f>
        <v>11.72</v>
      </c>
    </row>
    <row r="247" spans="1:44">
      <c r="A247" s="155">
        <f t="shared" si="15"/>
        <v>45990</v>
      </c>
      <c r="B247" s="156">
        <f>YEAR(Table13[[#This Row],[Date]])+IF(MONTH(Table13[[#This Row],[Date]])&gt;=4,1,0)</f>
        <v>2026</v>
      </c>
      <c r="C247" s="129">
        <f>YEAR(Table13[[#This Row],[Date]])</f>
        <v>2025</v>
      </c>
      <c r="D247" s="157">
        <f>Table13[[#This Row],[Date]]-DAY(Table13[[#This Row],[Date]])+1</f>
        <v>45962</v>
      </c>
      <c r="E247" s="129">
        <f t="shared" si="16"/>
        <v>30</v>
      </c>
      <c r="F247" s="130" t="str">
        <f>IFERROR(_xlfn.XLOOKUP($A247,'Raw Data'!$G:$G,'Raw Data'!$AH:$AH),"")</f>
        <v/>
      </c>
      <c r="G247" s="131" t="str">
        <f>IFERROR(_xlfn.XLOOKUP($A247,'Raw Data'!$G:$G,'Raw Data'!$S:$S)/1000,"")</f>
        <v/>
      </c>
      <c r="H247" s="131"/>
      <c r="I247" s="131" t="str">
        <f>IFERROR(_xlfn.XLOOKUP($A247,'Raw Data'!$G:$G,'Raw Data'!$AF:$AF)/1000,"")</f>
        <v/>
      </c>
      <c r="J247" s="131"/>
      <c r="K247" s="131" t="str">
        <f>IFERROR(_xlfn.XLOOKUP($A247,'Raw Data'!$G:$G,'Raw Data'!W:W),"")</f>
        <v/>
      </c>
      <c r="L247" s="131" t="str">
        <f>IFERROR(_xlfn.XLOOKUP($A247,'Raw Data'!$G:$G,'Raw Data'!X:X),"")</f>
        <v/>
      </c>
      <c r="M247" s="131" t="str">
        <f>IFERROR(_xlfn.XLOOKUP($A247,'Raw Data'!$G:$G,'Raw Data'!Y:Y),"")</f>
        <v/>
      </c>
      <c r="N247" s="131" t="str">
        <f>IFERROR(_xlfn.XLOOKUP($A247,'Raw Data'!$G:$G,'Raw Data'!Z:Z),"")</f>
        <v/>
      </c>
      <c r="O247" s="158" t="str">
        <f>IFERROR(1-SUMIF('Plant BD'!$H:$H,$A247,'Plant BD'!AC:AC)/$F247,"")</f>
        <v/>
      </c>
      <c r="P247" s="158"/>
      <c r="Q247" s="159"/>
      <c r="R247" s="158" t="str">
        <f>IFERROR(1-SUMIF('Grid BD'!$H:$H,$A247,'Grid BD'!AB:AB)/$F247,"")</f>
        <v/>
      </c>
      <c r="T247" s="159" t="str">
        <f>IFERROR(1-SUMIF(Tracker_BD!$H:$H,$A247,Tracker_BD!AI:AI)/$F247,"")</f>
        <v/>
      </c>
      <c r="U247" s="160" t="str">
        <f t="shared" si="13"/>
        <v/>
      </c>
      <c r="V247" s="160"/>
      <c r="W247" s="161" t="str">
        <f t="shared" si="14"/>
        <v/>
      </c>
      <c r="X247" s="156" t="str">
        <f>IFERROR(_xlfn.XLOOKUP($A247,'Raw Data'!$G:$G,'Raw Data'!$AB:$AB),"")</f>
        <v/>
      </c>
      <c r="Y247" s="156" t="str">
        <f>IFERROR(_xlfn.XLOOKUP($A247,'Raw Data'!$G:$G,'Raw Data'!AC:AC),"")</f>
        <v/>
      </c>
      <c r="Z247" s="156" t="str">
        <f>IFERROR(_xlfn.XLOOKUP($A247,'Raw Data'!$G:$G,'Raw Data'!AD:AD),"")</f>
        <v/>
      </c>
      <c r="AA247" s="156" t="str">
        <f>IFERROR(_xlfn.XLOOKUP($A247,'Raw Data'!$G:$G,'Raw Data'!AE:AE),"")</f>
        <v/>
      </c>
      <c r="AB247" s="156" t="str">
        <f>IFERROR(_xlfn.XLOOKUP($A247,'Raw Data'!$G:$G,'Raw Data'!$H:$H),"")</f>
        <v/>
      </c>
      <c r="AC247" s="162">
        <f>IFERROR(_xlfn.XLOOKUP($D247,'Modelling New'!$D:$D,'Modelling New'!$P:$P),"")</f>
        <v>5.6270663033333346</v>
      </c>
      <c r="AD247" s="156">
        <f>IFERROR(_xlfn.XLOOKUP($D247,'Modelling New'!$D:$D,'Modelling New'!$T:$T)*1000,"")</f>
        <v>49196.002720215052</v>
      </c>
      <c r="AE247" s="163">
        <f>IFERROR(_xlfn.XLOOKUP($D247,'Modelling New'!$D:$D,'Modelling New'!$O:$O),"")</f>
        <v>0.7459679568935248</v>
      </c>
      <c r="AF247" s="163">
        <f>IFERROR(_xlfn.XLOOKUP($D247,'Modelling New'!$D:$D,'Modelling New'!$W:$W),"")</f>
        <v>0.17490046473341528</v>
      </c>
      <c r="AG247" s="163">
        <f>IFERROR(_xlfn.XLOOKUP($D247,'Modelling New'!$D:$D,'Modelling New'!AE:AE),"")</f>
        <v>0.995</v>
      </c>
      <c r="AH247" s="163">
        <f>IFERROR(_xlfn.XLOOKUP($D247,'Modelling New'!$D:$D,'Modelling New'!AF:AF),"")</f>
        <v>0.98550000000000004</v>
      </c>
      <c r="AN247" s="164"/>
      <c r="AO247" s="161"/>
      <c r="AP247" s="161"/>
      <c r="AQ247" s="161"/>
      <c r="AR247" s="156">
        <f>IFERROR(_xlfn.XLOOKUP($D247,'Modelling New'!$D:$D,'Modelling New'!$N:$N),"")</f>
        <v>11.72</v>
      </c>
    </row>
    <row r="248" spans="1:44">
      <c r="A248" s="155">
        <f t="shared" si="15"/>
        <v>45991</v>
      </c>
      <c r="B248" s="156">
        <f>YEAR(Table13[[#This Row],[Date]])+IF(MONTH(Table13[[#This Row],[Date]])&gt;=4,1,0)</f>
        <v>2026</v>
      </c>
      <c r="C248" s="129">
        <f>YEAR(Table13[[#This Row],[Date]])</f>
        <v>2025</v>
      </c>
      <c r="D248" s="157">
        <f>Table13[[#This Row],[Date]]-DAY(Table13[[#This Row],[Date]])+1</f>
        <v>45962</v>
      </c>
      <c r="E248" s="129">
        <f t="shared" si="16"/>
        <v>30</v>
      </c>
      <c r="F248" s="130" t="str">
        <f>IFERROR(_xlfn.XLOOKUP($A248,'Raw Data'!$G:$G,'Raw Data'!$AH:$AH),"")</f>
        <v/>
      </c>
      <c r="G248" s="131" t="str">
        <f>IFERROR(_xlfn.XLOOKUP($A248,'Raw Data'!$G:$G,'Raw Data'!$S:$S)/1000,"")</f>
        <v/>
      </c>
      <c r="H248" s="131"/>
      <c r="I248" s="131" t="str">
        <f>IFERROR(_xlfn.XLOOKUP($A248,'Raw Data'!$G:$G,'Raw Data'!$AF:$AF)/1000,"")</f>
        <v/>
      </c>
      <c r="J248" s="131"/>
      <c r="K248" s="131" t="str">
        <f>IFERROR(_xlfn.XLOOKUP($A248,'Raw Data'!$G:$G,'Raw Data'!W:W),"")</f>
        <v/>
      </c>
      <c r="L248" s="131" t="str">
        <f>IFERROR(_xlfn.XLOOKUP($A248,'Raw Data'!$G:$G,'Raw Data'!X:X),"")</f>
        <v/>
      </c>
      <c r="M248" s="131" t="str">
        <f>IFERROR(_xlfn.XLOOKUP($A248,'Raw Data'!$G:$G,'Raw Data'!Y:Y),"")</f>
        <v/>
      </c>
      <c r="N248" s="131" t="str">
        <f>IFERROR(_xlfn.XLOOKUP($A248,'Raw Data'!$G:$G,'Raw Data'!Z:Z),"")</f>
        <v/>
      </c>
      <c r="O248" s="158" t="str">
        <f>IFERROR(1-SUMIF('Plant BD'!$H:$H,$A248,'Plant BD'!AC:AC)/$F248,"")</f>
        <v/>
      </c>
      <c r="P248" s="158"/>
      <c r="Q248" s="159"/>
      <c r="R248" s="158" t="str">
        <f>IFERROR(1-SUMIF('Grid BD'!$H:$H,$A248,'Grid BD'!AB:AB)/$F248,"")</f>
        <v/>
      </c>
      <c r="T248" s="159" t="str">
        <f>IFERROR(1-SUMIF(Tracker_BD!$H:$H,$A248,Tracker_BD!AI:AI)/$F248,"")</f>
        <v/>
      </c>
      <c r="U248" s="160" t="str">
        <f t="shared" si="13"/>
        <v/>
      </c>
      <c r="V248" s="160"/>
      <c r="W248" s="161" t="str">
        <f t="shared" si="14"/>
        <v/>
      </c>
      <c r="X248" s="156" t="str">
        <f>IFERROR(_xlfn.XLOOKUP($A248,'Raw Data'!$G:$G,'Raw Data'!$AB:$AB),"")</f>
        <v/>
      </c>
      <c r="Y248" s="156" t="str">
        <f>IFERROR(_xlfn.XLOOKUP($A248,'Raw Data'!$G:$G,'Raw Data'!AC:AC),"")</f>
        <v/>
      </c>
      <c r="Z248" s="156" t="str">
        <f>IFERROR(_xlfn.XLOOKUP($A248,'Raw Data'!$G:$G,'Raw Data'!AD:AD),"")</f>
        <v/>
      </c>
      <c r="AA248" s="156" t="str">
        <f>IFERROR(_xlfn.XLOOKUP($A248,'Raw Data'!$G:$G,'Raw Data'!AE:AE),"")</f>
        <v/>
      </c>
      <c r="AB248" s="156" t="str">
        <f>IFERROR(_xlfn.XLOOKUP($A248,'Raw Data'!$G:$G,'Raw Data'!$H:$H),"")</f>
        <v/>
      </c>
      <c r="AC248" s="162">
        <f>IFERROR(_xlfn.XLOOKUP($D248,'Modelling New'!$D:$D,'Modelling New'!$P:$P),"")</f>
        <v>5.6270663033333346</v>
      </c>
      <c r="AD248" s="156">
        <f>IFERROR(_xlfn.XLOOKUP($D248,'Modelling New'!$D:$D,'Modelling New'!$T:$T)*1000,"")</f>
        <v>49196.002720215052</v>
      </c>
      <c r="AE248" s="163">
        <f>IFERROR(_xlfn.XLOOKUP($D248,'Modelling New'!$D:$D,'Modelling New'!$O:$O),"")</f>
        <v>0.7459679568935248</v>
      </c>
      <c r="AF248" s="163">
        <f>IFERROR(_xlfn.XLOOKUP($D248,'Modelling New'!$D:$D,'Modelling New'!$W:$W),"")</f>
        <v>0.17490046473341528</v>
      </c>
      <c r="AG248" s="163">
        <f>IFERROR(_xlfn.XLOOKUP($D248,'Modelling New'!$D:$D,'Modelling New'!AE:AE),"")</f>
        <v>0.995</v>
      </c>
      <c r="AH248" s="163">
        <f>IFERROR(_xlfn.XLOOKUP($D248,'Modelling New'!$D:$D,'Modelling New'!AF:AF),"")</f>
        <v>0.98550000000000004</v>
      </c>
      <c r="AN248" s="164"/>
      <c r="AO248" s="161"/>
      <c r="AP248" s="161"/>
      <c r="AQ248" s="161"/>
      <c r="AR248" s="156">
        <f>IFERROR(_xlfn.XLOOKUP($D248,'Modelling New'!$D:$D,'Modelling New'!$N:$N),"")</f>
        <v>11.72</v>
      </c>
    </row>
    <row r="249" spans="1:44">
      <c r="A249" s="155">
        <f t="shared" si="15"/>
        <v>45992</v>
      </c>
      <c r="B249" s="156">
        <f>YEAR(Table13[[#This Row],[Date]])+IF(MONTH(Table13[[#This Row],[Date]])&gt;=4,1,0)</f>
        <v>2026</v>
      </c>
      <c r="C249" s="129">
        <f>YEAR(Table13[[#This Row],[Date]])</f>
        <v>2025</v>
      </c>
      <c r="D249" s="157">
        <f>Table13[[#This Row],[Date]]-DAY(Table13[[#This Row],[Date]])+1</f>
        <v>45992</v>
      </c>
      <c r="E249" s="129">
        <f t="shared" si="16"/>
        <v>31</v>
      </c>
      <c r="F249" s="130" t="str">
        <f>IFERROR(_xlfn.XLOOKUP($A249,'Raw Data'!$G:$G,'Raw Data'!$AH:$AH),"")</f>
        <v/>
      </c>
      <c r="G249" s="131" t="str">
        <f>IFERROR(_xlfn.XLOOKUP($A249,'Raw Data'!$G:$G,'Raw Data'!$S:$S)/1000,"")</f>
        <v/>
      </c>
      <c r="H249" s="131"/>
      <c r="I249" s="131" t="str">
        <f>IFERROR(_xlfn.XLOOKUP($A249,'Raw Data'!$G:$G,'Raw Data'!$AF:$AF)/1000,"")</f>
        <v/>
      </c>
      <c r="J249" s="131"/>
      <c r="K249" s="131" t="str">
        <f>IFERROR(_xlfn.XLOOKUP($A249,'Raw Data'!$G:$G,'Raw Data'!W:W),"")</f>
        <v/>
      </c>
      <c r="L249" s="131" t="str">
        <f>IFERROR(_xlfn.XLOOKUP($A249,'Raw Data'!$G:$G,'Raw Data'!X:X),"")</f>
        <v/>
      </c>
      <c r="M249" s="131" t="str">
        <f>IFERROR(_xlfn.XLOOKUP($A249,'Raw Data'!$G:$G,'Raw Data'!Y:Y),"")</f>
        <v/>
      </c>
      <c r="N249" s="131" t="str">
        <f>IFERROR(_xlfn.XLOOKUP($A249,'Raw Data'!$G:$G,'Raw Data'!Z:Z),"")</f>
        <v/>
      </c>
      <c r="O249" s="158" t="str">
        <f>IFERROR(1-SUMIF('Plant BD'!$H:$H,$A249,'Plant BD'!AC:AC)/$F249,"")</f>
        <v/>
      </c>
      <c r="P249" s="158"/>
      <c r="Q249" s="159"/>
      <c r="R249" s="158" t="str">
        <f>IFERROR(1-SUMIF('Grid BD'!$H:$H,$A249,'Grid BD'!AB:AB)/$F249,"")</f>
        <v/>
      </c>
      <c r="T249" s="159" t="str">
        <f>IFERROR(1-SUMIF(Tracker_BD!$H:$H,$A249,Tracker_BD!AI:AI)/$F249,"")</f>
        <v/>
      </c>
      <c r="U249" s="160" t="str">
        <f t="shared" si="13"/>
        <v/>
      </c>
      <c r="V249" s="160"/>
      <c r="W249" s="161" t="str">
        <f t="shared" si="14"/>
        <v/>
      </c>
      <c r="X249" s="156" t="str">
        <f>IFERROR(_xlfn.XLOOKUP($A249,'Raw Data'!$G:$G,'Raw Data'!$AB:$AB),"")</f>
        <v/>
      </c>
      <c r="Y249" s="156" t="str">
        <f>IFERROR(_xlfn.XLOOKUP($A249,'Raw Data'!$G:$G,'Raw Data'!AC:AC),"")</f>
        <v/>
      </c>
      <c r="Z249" s="156" t="str">
        <f>IFERROR(_xlfn.XLOOKUP($A249,'Raw Data'!$G:$G,'Raw Data'!AD:AD),"")</f>
        <v/>
      </c>
      <c r="AA249" s="156" t="str">
        <f>IFERROR(_xlfn.XLOOKUP($A249,'Raw Data'!$G:$G,'Raw Data'!AE:AE),"")</f>
        <v/>
      </c>
      <c r="AB249" s="156" t="str">
        <f>IFERROR(_xlfn.XLOOKUP($A249,'Raw Data'!$G:$G,'Raw Data'!$H:$H),"")</f>
        <v/>
      </c>
      <c r="AC249" s="162">
        <f>IFERROR(_xlfn.XLOOKUP($D249,'Modelling New'!$D:$D,'Modelling New'!$P:$P),"")</f>
        <v>5.3204721516128961</v>
      </c>
      <c r="AD249" s="156">
        <f>IFERROR(_xlfn.XLOOKUP($D249,'Modelling New'!$D:$D,'Modelling New'!$T:$T)*1000,"")</f>
        <v>48291.284576209953</v>
      </c>
      <c r="AE249" s="163">
        <f>IFERROR(_xlfn.XLOOKUP($D249,'Modelling New'!$D:$D,'Modelling New'!$O:$O),"")</f>
        <v>0.77444569867075785</v>
      </c>
      <c r="AF249" s="163">
        <f>IFERROR(_xlfn.XLOOKUP($D249,'Modelling New'!$D:$D,'Modelling New'!$W:$W),"")</f>
        <v>0.17168403219642331</v>
      </c>
      <c r="AG249" s="163">
        <f>IFERROR(_xlfn.XLOOKUP($D249,'Modelling New'!$D:$D,'Modelling New'!AE:AE),"")</f>
        <v>0.995</v>
      </c>
      <c r="AH249" s="163">
        <f>IFERROR(_xlfn.XLOOKUP($D249,'Modelling New'!$D:$D,'Modelling New'!AF:AF),"")</f>
        <v>0.98550000000000004</v>
      </c>
      <c r="AN249" s="164"/>
      <c r="AO249" s="161"/>
      <c r="AP249" s="161"/>
      <c r="AQ249" s="161"/>
      <c r="AR249" s="156">
        <f>IFERROR(_xlfn.XLOOKUP($D249,'Modelling New'!$D:$D,'Modelling New'!$N:$N),"")</f>
        <v>11.72</v>
      </c>
    </row>
    <row r="250" spans="1:44">
      <c r="A250" s="155">
        <f t="shared" si="15"/>
        <v>45993</v>
      </c>
      <c r="B250" s="156">
        <f>YEAR(Table13[[#This Row],[Date]])+IF(MONTH(Table13[[#This Row],[Date]])&gt;=4,1,0)</f>
        <v>2026</v>
      </c>
      <c r="C250" s="129">
        <f>YEAR(Table13[[#This Row],[Date]])</f>
        <v>2025</v>
      </c>
      <c r="D250" s="157">
        <f>Table13[[#This Row],[Date]]-DAY(Table13[[#This Row],[Date]])+1</f>
        <v>45992</v>
      </c>
      <c r="E250" s="129">
        <f t="shared" ref="E250:E313" si="17">DAY(EOMONTH(A250,0))</f>
        <v>31</v>
      </c>
      <c r="F250" s="130" t="str">
        <f>IFERROR(_xlfn.XLOOKUP($A250,'Raw Data'!$G:$G,'Raw Data'!$AH:$AH),"")</f>
        <v/>
      </c>
      <c r="G250" s="131" t="str">
        <f>IFERROR(_xlfn.XLOOKUP($A250,'Raw Data'!$G:$G,'Raw Data'!$S:$S)/1000,"")</f>
        <v/>
      </c>
      <c r="H250" s="131"/>
      <c r="I250" s="131" t="str">
        <f>IFERROR(_xlfn.XLOOKUP($A250,'Raw Data'!$G:$G,'Raw Data'!$AF:$AF)/1000,"")</f>
        <v/>
      </c>
      <c r="J250" s="131"/>
      <c r="K250" s="131" t="str">
        <f>IFERROR(_xlfn.XLOOKUP($A250,'Raw Data'!$G:$G,'Raw Data'!W:W),"")</f>
        <v/>
      </c>
      <c r="L250" s="131" t="str">
        <f>IFERROR(_xlfn.XLOOKUP($A250,'Raw Data'!$G:$G,'Raw Data'!X:X),"")</f>
        <v/>
      </c>
      <c r="M250" s="131" t="str">
        <f>IFERROR(_xlfn.XLOOKUP($A250,'Raw Data'!$G:$G,'Raw Data'!Y:Y),"")</f>
        <v/>
      </c>
      <c r="N250" s="131" t="str">
        <f>IFERROR(_xlfn.XLOOKUP($A250,'Raw Data'!$G:$G,'Raw Data'!Z:Z),"")</f>
        <v/>
      </c>
      <c r="O250" s="158" t="str">
        <f>IFERROR(1-SUMIF('Plant BD'!$H:$H,$A250,'Plant BD'!AC:AC)/$F250,"")</f>
        <v/>
      </c>
      <c r="P250" s="158"/>
      <c r="Q250" s="159"/>
      <c r="R250" s="158" t="str">
        <f>IFERROR(1-SUMIF('Grid BD'!$H:$H,$A250,'Grid BD'!AB:AB)/$F250,"")</f>
        <v/>
      </c>
      <c r="T250" s="159" t="str">
        <f>IFERROR(1-SUMIF(Tracker_BD!$H:$H,$A250,Tracker_BD!AI:AI)/$F250,"")</f>
        <v/>
      </c>
      <c r="U250" s="160" t="str">
        <f t="shared" si="13"/>
        <v/>
      </c>
      <c r="V250" s="160"/>
      <c r="W250" s="161" t="str">
        <f t="shared" si="14"/>
        <v/>
      </c>
      <c r="X250" s="156" t="str">
        <f>IFERROR(_xlfn.XLOOKUP($A250,'Raw Data'!$G:$G,'Raw Data'!$AB:$AB),"")</f>
        <v/>
      </c>
      <c r="Y250" s="156" t="str">
        <f>IFERROR(_xlfn.XLOOKUP($A250,'Raw Data'!$G:$G,'Raw Data'!AC:AC),"")</f>
        <v/>
      </c>
      <c r="Z250" s="156" t="str">
        <f>IFERROR(_xlfn.XLOOKUP($A250,'Raw Data'!$G:$G,'Raw Data'!AD:AD),"")</f>
        <v/>
      </c>
      <c r="AA250" s="156" t="str">
        <f>IFERROR(_xlfn.XLOOKUP($A250,'Raw Data'!$G:$G,'Raw Data'!AE:AE),"")</f>
        <v/>
      </c>
      <c r="AB250" s="156" t="str">
        <f>IFERROR(_xlfn.XLOOKUP($A250,'Raw Data'!$G:$G,'Raw Data'!$H:$H),"")</f>
        <v/>
      </c>
      <c r="AC250" s="162">
        <f>IFERROR(_xlfn.XLOOKUP($D250,'Modelling New'!$D:$D,'Modelling New'!$P:$P),"")</f>
        <v>5.3204721516128961</v>
      </c>
      <c r="AD250" s="156">
        <f>IFERROR(_xlfn.XLOOKUP($D250,'Modelling New'!$D:$D,'Modelling New'!$T:$T)*1000,"")</f>
        <v>48291.284576209953</v>
      </c>
      <c r="AE250" s="163">
        <f>IFERROR(_xlfn.XLOOKUP($D250,'Modelling New'!$D:$D,'Modelling New'!$O:$O),"")</f>
        <v>0.77444569867075785</v>
      </c>
      <c r="AF250" s="163">
        <f>IFERROR(_xlfn.XLOOKUP($D250,'Modelling New'!$D:$D,'Modelling New'!$W:$W),"")</f>
        <v>0.17168403219642331</v>
      </c>
      <c r="AG250" s="163">
        <f>IFERROR(_xlfn.XLOOKUP($D250,'Modelling New'!$D:$D,'Modelling New'!AE:AE),"")</f>
        <v>0.995</v>
      </c>
      <c r="AH250" s="163">
        <f>IFERROR(_xlfn.XLOOKUP($D250,'Modelling New'!$D:$D,'Modelling New'!AF:AF),"")</f>
        <v>0.98550000000000004</v>
      </c>
      <c r="AN250" s="164"/>
      <c r="AO250" s="161"/>
      <c r="AP250" s="161"/>
      <c r="AQ250" s="161"/>
      <c r="AR250" s="156">
        <f>IFERROR(_xlfn.XLOOKUP($D250,'Modelling New'!$D:$D,'Modelling New'!$N:$N),"")</f>
        <v>11.72</v>
      </c>
    </row>
    <row r="251" spans="1:44">
      <c r="A251" s="155">
        <f t="shared" si="15"/>
        <v>45994</v>
      </c>
      <c r="B251" s="156">
        <f>YEAR(Table13[[#This Row],[Date]])+IF(MONTH(Table13[[#This Row],[Date]])&gt;=4,1,0)</f>
        <v>2026</v>
      </c>
      <c r="C251" s="129">
        <f>YEAR(Table13[[#This Row],[Date]])</f>
        <v>2025</v>
      </c>
      <c r="D251" s="157">
        <f>Table13[[#This Row],[Date]]-DAY(Table13[[#This Row],[Date]])+1</f>
        <v>45992</v>
      </c>
      <c r="E251" s="129">
        <f t="shared" si="17"/>
        <v>31</v>
      </c>
      <c r="F251" s="130" t="str">
        <f>IFERROR(_xlfn.XLOOKUP($A251,'Raw Data'!$G:$G,'Raw Data'!$AH:$AH),"")</f>
        <v/>
      </c>
      <c r="G251" s="131" t="str">
        <f>IFERROR(_xlfn.XLOOKUP($A251,'Raw Data'!$G:$G,'Raw Data'!$S:$S)/1000,"")</f>
        <v/>
      </c>
      <c r="H251" s="131"/>
      <c r="I251" s="131" t="str">
        <f>IFERROR(_xlfn.XLOOKUP($A251,'Raw Data'!$G:$G,'Raw Data'!$AF:$AF)/1000,"")</f>
        <v/>
      </c>
      <c r="J251" s="131"/>
      <c r="K251" s="131" t="str">
        <f>IFERROR(_xlfn.XLOOKUP($A251,'Raw Data'!$G:$G,'Raw Data'!W:W),"")</f>
        <v/>
      </c>
      <c r="L251" s="131" t="str">
        <f>IFERROR(_xlfn.XLOOKUP($A251,'Raw Data'!$G:$G,'Raw Data'!X:X),"")</f>
        <v/>
      </c>
      <c r="M251" s="131" t="str">
        <f>IFERROR(_xlfn.XLOOKUP($A251,'Raw Data'!$G:$G,'Raw Data'!Y:Y),"")</f>
        <v/>
      </c>
      <c r="N251" s="131" t="str">
        <f>IFERROR(_xlfn.XLOOKUP($A251,'Raw Data'!$G:$G,'Raw Data'!Z:Z),"")</f>
        <v/>
      </c>
      <c r="O251" s="158" t="str">
        <f>IFERROR(1-SUMIF('Plant BD'!$H:$H,$A251,'Plant BD'!AC:AC)/$F251,"")</f>
        <v/>
      </c>
      <c r="P251" s="158"/>
      <c r="Q251" s="159"/>
      <c r="R251" s="158" t="str">
        <f>IFERROR(1-SUMIF('Grid BD'!$H:$H,$A251,'Grid BD'!AB:AB)/$F251,"")</f>
        <v/>
      </c>
      <c r="T251" s="159" t="str">
        <f>IFERROR(1-SUMIF(Tracker_BD!$H:$H,$A251,Tracker_BD!AI:AI)/$F251,"")</f>
        <v/>
      </c>
      <c r="U251" s="160" t="str">
        <f t="shared" si="13"/>
        <v/>
      </c>
      <c r="V251" s="160"/>
      <c r="W251" s="161" t="str">
        <f t="shared" si="14"/>
        <v/>
      </c>
      <c r="X251" s="156" t="str">
        <f>IFERROR(_xlfn.XLOOKUP($A251,'Raw Data'!$G:$G,'Raw Data'!$AB:$AB),"")</f>
        <v/>
      </c>
      <c r="Y251" s="156" t="str">
        <f>IFERROR(_xlfn.XLOOKUP($A251,'Raw Data'!$G:$G,'Raw Data'!AC:AC),"")</f>
        <v/>
      </c>
      <c r="Z251" s="156" t="str">
        <f>IFERROR(_xlfn.XLOOKUP($A251,'Raw Data'!$G:$G,'Raw Data'!AD:AD),"")</f>
        <v/>
      </c>
      <c r="AA251" s="156" t="str">
        <f>IFERROR(_xlfn.XLOOKUP($A251,'Raw Data'!$G:$G,'Raw Data'!AE:AE),"")</f>
        <v/>
      </c>
      <c r="AB251" s="156" t="str">
        <f>IFERROR(_xlfn.XLOOKUP($A251,'Raw Data'!$G:$G,'Raw Data'!$H:$H),"")</f>
        <v/>
      </c>
      <c r="AC251" s="162">
        <f>IFERROR(_xlfn.XLOOKUP($D251,'Modelling New'!$D:$D,'Modelling New'!$P:$P),"")</f>
        <v>5.3204721516128961</v>
      </c>
      <c r="AD251" s="156">
        <f>IFERROR(_xlfn.XLOOKUP($D251,'Modelling New'!$D:$D,'Modelling New'!$T:$T)*1000,"")</f>
        <v>48291.284576209953</v>
      </c>
      <c r="AE251" s="163">
        <f>IFERROR(_xlfn.XLOOKUP($D251,'Modelling New'!$D:$D,'Modelling New'!$O:$O),"")</f>
        <v>0.77444569867075785</v>
      </c>
      <c r="AF251" s="163">
        <f>IFERROR(_xlfn.XLOOKUP($D251,'Modelling New'!$D:$D,'Modelling New'!$W:$W),"")</f>
        <v>0.17168403219642331</v>
      </c>
      <c r="AG251" s="163">
        <f>IFERROR(_xlfn.XLOOKUP($D251,'Modelling New'!$D:$D,'Modelling New'!AE:AE),"")</f>
        <v>0.995</v>
      </c>
      <c r="AH251" s="163">
        <f>IFERROR(_xlfn.XLOOKUP($D251,'Modelling New'!$D:$D,'Modelling New'!AF:AF),"")</f>
        <v>0.98550000000000004</v>
      </c>
      <c r="AN251" s="164"/>
      <c r="AO251" s="161"/>
      <c r="AP251" s="161"/>
      <c r="AQ251" s="161"/>
      <c r="AR251" s="156">
        <f>IFERROR(_xlfn.XLOOKUP($D251,'Modelling New'!$D:$D,'Modelling New'!$N:$N),"")</f>
        <v>11.72</v>
      </c>
    </row>
    <row r="252" spans="1:44">
      <c r="A252" s="155">
        <f t="shared" si="15"/>
        <v>45995</v>
      </c>
      <c r="B252" s="156">
        <f>YEAR(Table13[[#This Row],[Date]])+IF(MONTH(Table13[[#This Row],[Date]])&gt;=4,1,0)</f>
        <v>2026</v>
      </c>
      <c r="C252" s="129">
        <f>YEAR(Table13[[#This Row],[Date]])</f>
        <v>2025</v>
      </c>
      <c r="D252" s="157">
        <f>Table13[[#This Row],[Date]]-DAY(Table13[[#This Row],[Date]])+1</f>
        <v>45992</v>
      </c>
      <c r="E252" s="129">
        <f t="shared" si="17"/>
        <v>31</v>
      </c>
      <c r="F252" s="130" t="str">
        <f>IFERROR(_xlfn.XLOOKUP($A252,'Raw Data'!$G:$G,'Raw Data'!$AH:$AH),"")</f>
        <v/>
      </c>
      <c r="G252" s="131" t="str">
        <f>IFERROR(_xlfn.XLOOKUP($A252,'Raw Data'!$G:$G,'Raw Data'!$S:$S)/1000,"")</f>
        <v/>
      </c>
      <c r="H252" s="131"/>
      <c r="I252" s="131" t="str">
        <f>IFERROR(_xlfn.XLOOKUP($A252,'Raw Data'!$G:$G,'Raw Data'!$AF:$AF)/1000,"")</f>
        <v/>
      </c>
      <c r="J252" s="131"/>
      <c r="K252" s="131" t="str">
        <f>IFERROR(_xlfn.XLOOKUP($A252,'Raw Data'!$G:$G,'Raw Data'!W:W),"")</f>
        <v/>
      </c>
      <c r="L252" s="131" t="str">
        <f>IFERROR(_xlfn.XLOOKUP($A252,'Raw Data'!$G:$G,'Raw Data'!X:X),"")</f>
        <v/>
      </c>
      <c r="M252" s="131" t="str">
        <f>IFERROR(_xlfn.XLOOKUP($A252,'Raw Data'!$G:$G,'Raw Data'!Y:Y),"")</f>
        <v/>
      </c>
      <c r="N252" s="131" t="str">
        <f>IFERROR(_xlfn.XLOOKUP($A252,'Raw Data'!$G:$G,'Raw Data'!Z:Z),"")</f>
        <v/>
      </c>
      <c r="O252" s="158" t="str">
        <f>IFERROR(1-SUMIF('Plant BD'!$H:$H,$A252,'Plant BD'!AC:AC)/$F252,"")</f>
        <v/>
      </c>
      <c r="P252" s="158"/>
      <c r="Q252" s="159"/>
      <c r="R252" s="158" t="str">
        <f>IFERROR(1-SUMIF('Grid BD'!$H:$H,$A252,'Grid BD'!AB:AB)/$F252,"")</f>
        <v/>
      </c>
      <c r="T252" s="159" t="str">
        <f>IFERROR(1-SUMIF(Tracker_BD!$H:$H,$A252,Tracker_BD!AI:AI)/$F252,"")</f>
        <v/>
      </c>
      <c r="U252" s="160" t="str">
        <f t="shared" si="13"/>
        <v/>
      </c>
      <c r="V252" s="160"/>
      <c r="W252" s="161" t="str">
        <f t="shared" si="14"/>
        <v/>
      </c>
      <c r="X252" s="156" t="str">
        <f>IFERROR(_xlfn.XLOOKUP($A252,'Raw Data'!$G:$G,'Raw Data'!$AB:$AB),"")</f>
        <v/>
      </c>
      <c r="Y252" s="156" t="str">
        <f>IFERROR(_xlfn.XLOOKUP($A252,'Raw Data'!$G:$G,'Raw Data'!AC:AC),"")</f>
        <v/>
      </c>
      <c r="Z252" s="156" t="str">
        <f>IFERROR(_xlfn.XLOOKUP($A252,'Raw Data'!$G:$G,'Raw Data'!AD:AD),"")</f>
        <v/>
      </c>
      <c r="AA252" s="156" t="str">
        <f>IFERROR(_xlfn.XLOOKUP($A252,'Raw Data'!$G:$G,'Raw Data'!AE:AE),"")</f>
        <v/>
      </c>
      <c r="AB252" s="156" t="str">
        <f>IFERROR(_xlfn.XLOOKUP($A252,'Raw Data'!$G:$G,'Raw Data'!$H:$H),"")</f>
        <v/>
      </c>
      <c r="AC252" s="162">
        <f>IFERROR(_xlfn.XLOOKUP($D252,'Modelling New'!$D:$D,'Modelling New'!$P:$P),"")</f>
        <v>5.3204721516128961</v>
      </c>
      <c r="AD252" s="156">
        <f>IFERROR(_xlfn.XLOOKUP($D252,'Modelling New'!$D:$D,'Modelling New'!$T:$T)*1000,"")</f>
        <v>48291.284576209953</v>
      </c>
      <c r="AE252" s="163">
        <f>IFERROR(_xlfn.XLOOKUP($D252,'Modelling New'!$D:$D,'Modelling New'!$O:$O),"")</f>
        <v>0.77444569867075785</v>
      </c>
      <c r="AF252" s="163">
        <f>IFERROR(_xlfn.XLOOKUP($D252,'Modelling New'!$D:$D,'Modelling New'!$W:$W),"")</f>
        <v>0.17168403219642331</v>
      </c>
      <c r="AG252" s="163">
        <f>IFERROR(_xlfn.XLOOKUP($D252,'Modelling New'!$D:$D,'Modelling New'!AE:AE),"")</f>
        <v>0.995</v>
      </c>
      <c r="AH252" s="163">
        <f>IFERROR(_xlfn.XLOOKUP($D252,'Modelling New'!$D:$D,'Modelling New'!AF:AF),"")</f>
        <v>0.98550000000000004</v>
      </c>
      <c r="AN252" s="164"/>
      <c r="AO252" s="161"/>
      <c r="AP252" s="161"/>
      <c r="AQ252" s="161"/>
      <c r="AR252" s="156">
        <f>IFERROR(_xlfn.XLOOKUP($D252,'Modelling New'!$D:$D,'Modelling New'!$N:$N),"")</f>
        <v>11.72</v>
      </c>
    </row>
    <row r="253" spans="1:44">
      <c r="A253" s="155">
        <f t="shared" si="15"/>
        <v>45996</v>
      </c>
      <c r="B253" s="156">
        <f>YEAR(Table13[[#This Row],[Date]])+IF(MONTH(Table13[[#This Row],[Date]])&gt;=4,1,0)</f>
        <v>2026</v>
      </c>
      <c r="C253" s="129">
        <f>YEAR(Table13[[#This Row],[Date]])</f>
        <v>2025</v>
      </c>
      <c r="D253" s="157">
        <f>Table13[[#This Row],[Date]]-DAY(Table13[[#This Row],[Date]])+1</f>
        <v>45992</v>
      </c>
      <c r="E253" s="129">
        <f t="shared" si="17"/>
        <v>31</v>
      </c>
      <c r="F253" s="130" t="str">
        <f>IFERROR(_xlfn.XLOOKUP($A253,'Raw Data'!$G:$G,'Raw Data'!$AH:$AH),"")</f>
        <v/>
      </c>
      <c r="G253" s="131" t="str">
        <f>IFERROR(_xlfn.XLOOKUP($A253,'Raw Data'!$G:$G,'Raw Data'!$S:$S)/1000,"")</f>
        <v/>
      </c>
      <c r="H253" s="131"/>
      <c r="I253" s="131" t="str">
        <f>IFERROR(_xlfn.XLOOKUP($A253,'Raw Data'!$G:$G,'Raw Data'!$AF:$AF)/1000,"")</f>
        <v/>
      </c>
      <c r="J253" s="131"/>
      <c r="K253" s="131" t="str">
        <f>IFERROR(_xlfn.XLOOKUP($A253,'Raw Data'!$G:$G,'Raw Data'!W:W),"")</f>
        <v/>
      </c>
      <c r="L253" s="131" t="str">
        <f>IFERROR(_xlfn.XLOOKUP($A253,'Raw Data'!$G:$G,'Raw Data'!X:X),"")</f>
        <v/>
      </c>
      <c r="M253" s="131" t="str">
        <f>IFERROR(_xlfn.XLOOKUP($A253,'Raw Data'!$G:$G,'Raw Data'!Y:Y),"")</f>
        <v/>
      </c>
      <c r="N253" s="131" t="str">
        <f>IFERROR(_xlfn.XLOOKUP($A253,'Raw Data'!$G:$G,'Raw Data'!Z:Z),"")</f>
        <v/>
      </c>
      <c r="O253" s="158" t="str">
        <f>IFERROR(1-SUMIF('Plant BD'!$H:$H,$A253,'Plant BD'!AC:AC)/$F253,"")</f>
        <v/>
      </c>
      <c r="P253" s="158"/>
      <c r="Q253" s="159"/>
      <c r="R253" s="158" t="str">
        <f>IFERROR(1-SUMIF('Grid BD'!$H:$H,$A253,'Grid BD'!AB:AB)/$F253,"")</f>
        <v/>
      </c>
      <c r="T253" s="159" t="str">
        <f>IFERROR(1-SUMIF(Tracker_BD!$H:$H,$A253,Tracker_BD!AI:AI)/$F253,"")</f>
        <v/>
      </c>
      <c r="U253" s="160" t="str">
        <f t="shared" ref="U253:U316" si="18">IFERROR(AA253/I253/AB253/1000,"")</f>
        <v/>
      </c>
      <c r="V253" s="160"/>
      <c r="W253" s="161" t="str">
        <f t="shared" ref="W253:W316" si="19">IFERROR(AA253/(24*AR253*1000),"")</f>
        <v/>
      </c>
      <c r="X253" s="156" t="str">
        <f>IFERROR(_xlfn.XLOOKUP($A253,'Raw Data'!$G:$G,'Raw Data'!$AB:$AB),"")</f>
        <v/>
      </c>
      <c r="Y253" s="156" t="str">
        <f>IFERROR(_xlfn.XLOOKUP($A253,'Raw Data'!$G:$G,'Raw Data'!AC:AC),"")</f>
        <v/>
      </c>
      <c r="Z253" s="156" t="str">
        <f>IFERROR(_xlfn.XLOOKUP($A253,'Raw Data'!$G:$G,'Raw Data'!AD:AD),"")</f>
        <v/>
      </c>
      <c r="AA253" s="156" t="str">
        <f>IFERROR(_xlfn.XLOOKUP($A253,'Raw Data'!$G:$G,'Raw Data'!AE:AE),"")</f>
        <v/>
      </c>
      <c r="AB253" s="156" t="str">
        <f>IFERROR(_xlfn.XLOOKUP($A253,'Raw Data'!$G:$G,'Raw Data'!$H:$H),"")</f>
        <v/>
      </c>
      <c r="AC253" s="162">
        <f>IFERROR(_xlfn.XLOOKUP($D253,'Modelling New'!$D:$D,'Modelling New'!$P:$P),"")</f>
        <v>5.3204721516128961</v>
      </c>
      <c r="AD253" s="156">
        <f>IFERROR(_xlfn.XLOOKUP($D253,'Modelling New'!$D:$D,'Modelling New'!$T:$T)*1000,"")</f>
        <v>48291.284576209953</v>
      </c>
      <c r="AE253" s="163">
        <f>IFERROR(_xlfn.XLOOKUP($D253,'Modelling New'!$D:$D,'Modelling New'!$O:$O),"")</f>
        <v>0.77444569867075785</v>
      </c>
      <c r="AF253" s="163">
        <f>IFERROR(_xlfn.XLOOKUP($D253,'Modelling New'!$D:$D,'Modelling New'!$W:$W),"")</f>
        <v>0.17168403219642331</v>
      </c>
      <c r="AG253" s="163">
        <f>IFERROR(_xlfn.XLOOKUP($D253,'Modelling New'!$D:$D,'Modelling New'!AE:AE),"")</f>
        <v>0.995</v>
      </c>
      <c r="AH253" s="163">
        <f>IFERROR(_xlfn.XLOOKUP($D253,'Modelling New'!$D:$D,'Modelling New'!AF:AF),"")</f>
        <v>0.98550000000000004</v>
      </c>
      <c r="AN253" s="164"/>
      <c r="AO253" s="161"/>
      <c r="AP253" s="161"/>
      <c r="AQ253" s="161"/>
      <c r="AR253" s="156">
        <f>IFERROR(_xlfn.XLOOKUP($D253,'Modelling New'!$D:$D,'Modelling New'!$N:$N),"")</f>
        <v>11.72</v>
      </c>
    </row>
    <row r="254" spans="1:44">
      <c r="A254" s="155">
        <f t="shared" si="15"/>
        <v>45997</v>
      </c>
      <c r="B254" s="156">
        <f>YEAR(Table13[[#This Row],[Date]])+IF(MONTH(Table13[[#This Row],[Date]])&gt;=4,1,0)</f>
        <v>2026</v>
      </c>
      <c r="C254" s="129">
        <f>YEAR(Table13[[#This Row],[Date]])</f>
        <v>2025</v>
      </c>
      <c r="D254" s="157">
        <f>Table13[[#This Row],[Date]]-DAY(Table13[[#This Row],[Date]])+1</f>
        <v>45992</v>
      </c>
      <c r="E254" s="129">
        <f t="shared" si="17"/>
        <v>31</v>
      </c>
      <c r="F254" s="130" t="str">
        <f>IFERROR(_xlfn.XLOOKUP($A254,'Raw Data'!$G:$G,'Raw Data'!$AH:$AH),"")</f>
        <v/>
      </c>
      <c r="G254" s="131" t="str">
        <f>IFERROR(_xlfn.XLOOKUP($A254,'Raw Data'!$G:$G,'Raw Data'!$S:$S)/1000,"")</f>
        <v/>
      </c>
      <c r="H254" s="131"/>
      <c r="I254" s="131" t="str">
        <f>IFERROR(_xlfn.XLOOKUP($A254,'Raw Data'!$G:$G,'Raw Data'!$AF:$AF)/1000,"")</f>
        <v/>
      </c>
      <c r="J254" s="131"/>
      <c r="K254" s="131" t="str">
        <f>IFERROR(_xlfn.XLOOKUP($A254,'Raw Data'!$G:$G,'Raw Data'!W:W),"")</f>
        <v/>
      </c>
      <c r="L254" s="131" t="str">
        <f>IFERROR(_xlfn.XLOOKUP($A254,'Raw Data'!$G:$G,'Raw Data'!X:X),"")</f>
        <v/>
      </c>
      <c r="M254" s="131" t="str">
        <f>IFERROR(_xlfn.XLOOKUP($A254,'Raw Data'!$G:$G,'Raw Data'!Y:Y),"")</f>
        <v/>
      </c>
      <c r="N254" s="131" t="str">
        <f>IFERROR(_xlfn.XLOOKUP($A254,'Raw Data'!$G:$G,'Raw Data'!Z:Z),"")</f>
        <v/>
      </c>
      <c r="O254" s="158" t="str">
        <f>IFERROR(1-SUMIF('Plant BD'!$H:$H,$A254,'Plant BD'!AC:AC)/$F254,"")</f>
        <v/>
      </c>
      <c r="P254" s="158"/>
      <c r="Q254" s="159"/>
      <c r="R254" s="158" t="str">
        <f>IFERROR(1-SUMIF('Grid BD'!$H:$H,$A254,'Grid BD'!AB:AB)/$F254,"")</f>
        <v/>
      </c>
      <c r="T254" s="159" t="str">
        <f>IFERROR(1-SUMIF(Tracker_BD!$H:$H,$A254,Tracker_BD!AI:AI)/$F254,"")</f>
        <v/>
      </c>
      <c r="U254" s="160" t="str">
        <f t="shared" si="18"/>
        <v/>
      </c>
      <c r="V254" s="160"/>
      <c r="W254" s="161" t="str">
        <f t="shared" si="19"/>
        <v/>
      </c>
      <c r="X254" s="156" t="str">
        <f>IFERROR(_xlfn.XLOOKUP($A254,'Raw Data'!$G:$G,'Raw Data'!$AB:$AB),"")</f>
        <v/>
      </c>
      <c r="Y254" s="156" t="str">
        <f>IFERROR(_xlfn.XLOOKUP($A254,'Raw Data'!$G:$G,'Raw Data'!AC:AC),"")</f>
        <v/>
      </c>
      <c r="Z254" s="156" t="str">
        <f>IFERROR(_xlfn.XLOOKUP($A254,'Raw Data'!$G:$G,'Raw Data'!AD:AD),"")</f>
        <v/>
      </c>
      <c r="AA254" s="156" t="str">
        <f>IFERROR(_xlfn.XLOOKUP($A254,'Raw Data'!$G:$G,'Raw Data'!AE:AE),"")</f>
        <v/>
      </c>
      <c r="AB254" s="156" t="str">
        <f>IFERROR(_xlfn.XLOOKUP($A254,'Raw Data'!$G:$G,'Raw Data'!$H:$H),"")</f>
        <v/>
      </c>
      <c r="AC254" s="162">
        <f>IFERROR(_xlfn.XLOOKUP($D254,'Modelling New'!$D:$D,'Modelling New'!$P:$P),"")</f>
        <v>5.3204721516128961</v>
      </c>
      <c r="AD254" s="156">
        <f>IFERROR(_xlfn.XLOOKUP($D254,'Modelling New'!$D:$D,'Modelling New'!$T:$T)*1000,"")</f>
        <v>48291.284576209953</v>
      </c>
      <c r="AE254" s="163">
        <f>IFERROR(_xlfn.XLOOKUP($D254,'Modelling New'!$D:$D,'Modelling New'!$O:$O),"")</f>
        <v>0.77444569867075785</v>
      </c>
      <c r="AF254" s="163">
        <f>IFERROR(_xlfn.XLOOKUP($D254,'Modelling New'!$D:$D,'Modelling New'!$W:$W),"")</f>
        <v>0.17168403219642331</v>
      </c>
      <c r="AG254" s="163">
        <f>IFERROR(_xlfn.XLOOKUP($D254,'Modelling New'!$D:$D,'Modelling New'!AE:AE),"")</f>
        <v>0.995</v>
      </c>
      <c r="AH254" s="163">
        <f>IFERROR(_xlfn.XLOOKUP($D254,'Modelling New'!$D:$D,'Modelling New'!AF:AF),"")</f>
        <v>0.98550000000000004</v>
      </c>
      <c r="AN254" s="164"/>
      <c r="AO254" s="161"/>
      <c r="AP254" s="161"/>
      <c r="AQ254" s="161"/>
      <c r="AR254" s="156">
        <f>IFERROR(_xlfn.XLOOKUP($D254,'Modelling New'!$D:$D,'Modelling New'!$N:$N),"")</f>
        <v>11.72</v>
      </c>
    </row>
    <row r="255" spans="1:44">
      <c r="A255" s="155">
        <f t="shared" ref="A255:A318" si="20">A254+1</f>
        <v>45998</v>
      </c>
      <c r="B255" s="156">
        <f>YEAR(Table13[[#This Row],[Date]])+IF(MONTH(Table13[[#This Row],[Date]])&gt;=4,1,0)</f>
        <v>2026</v>
      </c>
      <c r="C255" s="129">
        <f>YEAR(Table13[[#This Row],[Date]])</f>
        <v>2025</v>
      </c>
      <c r="D255" s="157">
        <f>Table13[[#This Row],[Date]]-DAY(Table13[[#This Row],[Date]])+1</f>
        <v>45992</v>
      </c>
      <c r="E255" s="129">
        <f t="shared" si="17"/>
        <v>31</v>
      </c>
      <c r="F255" s="130" t="str">
        <f>IFERROR(_xlfn.XLOOKUP($A255,'Raw Data'!$G:$G,'Raw Data'!$AH:$AH),"")</f>
        <v/>
      </c>
      <c r="G255" s="131" t="str">
        <f>IFERROR(_xlfn.XLOOKUP($A255,'Raw Data'!$G:$G,'Raw Data'!$S:$S)/1000,"")</f>
        <v/>
      </c>
      <c r="H255" s="131"/>
      <c r="I255" s="131" t="str">
        <f>IFERROR(_xlfn.XLOOKUP($A255,'Raw Data'!$G:$G,'Raw Data'!$AF:$AF)/1000,"")</f>
        <v/>
      </c>
      <c r="J255" s="131"/>
      <c r="K255" s="131" t="str">
        <f>IFERROR(_xlfn.XLOOKUP($A255,'Raw Data'!$G:$G,'Raw Data'!W:W),"")</f>
        <v/>
      </c>
      <c r="L255" s="131" t="str">
        <f>IFERROR(_xlfn.XLOOKUP($A255,'Raw Data'!$G:$G,'Raw Data'!X:X),"")</f>
        <v/>
      </c>
      <c r="M255" s="131" t="str">
        <f>IFERROR(_xlfn.XLOOKUP($A255,'Raw Data'!$G:$G,'Raw Data'!Y:Y),"")</f>
        <v/>
      </c>
      <c r="N255" s="131" t="str">
        <f>IFERROR(_xlfn.XLOOKUP($A255,'Raw Data'!$G:$G,'Raw Data'!Z:Z),"")</f>
        <v/>
      </c>
      <c r="O255" s="158" t="str">
        <f>IFERROR(1-SUMIF('Plant BD'!$H:$H,$A255,'Plant BD'!AC:AC)/$F255,"")</f>
        <v/>
      </c>
      <c r="P255" s="158"/>
      <c r="Q255" s="159"/>
      <c r="R255" s="158" t="str">
        <f>IFERROR(1-SUMIF('Grid BD'!$H:$H,$A255,'Grid BD'!AB:AB)/$F255,"")</f>
        <v/>
      </c>
      <c r="T255" s="159" t="str">
        <f>IFERROR(1-SUMIF(Tracker_BD!$H:$H,$A255,Tracker_BD!AI:AI)/$F255,"")</f>
        <v/>
      </c>
      <c r="U255" s="160" t="str">
        <f t="shared" si="18"/>
        <v/>
      </c>
      <c r="V255" s="160"/>
      <c r="W255" s="161" t="str">
        <f t="shared" si="19"/>
        <v/>
      </c>
      <c r="X255" s="156" t="str">
        <f>IFERROR(_xlfn.XLOOKUP($A255,'Raw Data'!$G:$G,'Raw Data'!$AB:$AB),"")</f>
        <v/>
      </c>
      <c r="Y255" s="156" t="str">
        <f>IFERROR(_xlfn.XLOOKUP($A255,'Raw Data'!$G:$G,'Raw Data'!AC:AC),"")</f>
        <v/>
      </c>
      <c r="Z255" s="156" t="str">
        <f>IFERROR(_xlfn.XLOOKUP($A255,'Raw Data'!$G:$G,'Raw Data'!AD:AD),"")</f>
        <v/>
      </c>
      <c r="AA255" s="156" t="str">
        <f>IFERROR(_xlfn.XLOOKUP($A255,'Raw Data'!$G:$G,'Raw Data'!AE:AE),"")</f>
        <v/>
      </c>
      <c r="AB255" s="156" t="str">
        <f>IFERROR(_xlfn.XLOOKUP($A255,'Raw Data'!$G:$G,'Raw Data'!$H:$H),"")</f>
        <v/>
      </c>
      <c r="AC255" s="162">
        <f>IFERROR(_xlfn.XLOOKUP($D255,'Modelling New'!$D:$D,'Modelling New'!$P:$P),"")</f>
        <v>5.3204721516128961</v>
      </c>
      <c r="AD255" s="156">
        <f>IFERROR(_xlfn.XLOOKUP($D255,'Modelling New'!$D:$D,'Modelling New'!$T:$T)*1000,"")</f>
        <v>48291.284576209953</v>
      </c>
      <c r="AE255" s="163">
        <f>IFERROR(_xlfn.XLOOKUP($D255,'Modelling New'!$D:$D,'Modelling New'!$O:$O),"")</f>
        <v>0.77444569867075785</v>
      </c>
      <c r="AF255" s="163">
        <f>IFERROR(_xlfn.XLOOKUP($D255,'Modelling New'!$D:$D,'Modelling New'!$W:$W),"")</f>
        <v>0.17168403219642331</v>
      </c>
      <c r="AG255" s="163">
        <f>IFERROR(_xlfn.XLOOKUP($D255,'Modelling New'!$D:$D,'Modelling New'!AE:AE),"")</f>
        <v>0.995</v>
      </c>
      <c r="AH255" s="163">
        <f>IFERROR(_xlfn.XLOOKUP($D255,'Modelling New'!$D:$D,'Modelling New'!AF:AF),"")</f>
        <v>0.98550000000000004</v>
      </c>
      <c r="AN255" s="164"/>
      <c r="AO255" s="161"/>
      <c r="AP255" s="161"/>
      <c r="AQ255" s="161"/>
      <c r="AR255" s="156">
        <f>IFERROR(_xlfn.XLOOKUP($D255,'Modelling New'!$D:$D,'Modelling New'!$N:$N),"")</f>
        <v>11.72</v>
      </c>
    </row>
    <row r="256" spans="1:44">
      <c r="A256" s="155">
        <f t="shared" si="20"/>
        <v>45999</v>
      </c>
      <c r="B256" s="156">
        <f>YEAR(Table13[[#This Row],[Date]])+IF(MONTH(Table13[[#This Row],[Date]])&gt;=4,1,0)</f>
        <v>2026</v>
      </c>
      <c r="C256" s="129">
        <f>YEAR(Table13[[#This Row],[Date]])</f>
        <v>2025</v>
      </c>
      <c r="D256" s="157">
        <f>Table13[[#This Row],[Date]]-DAY(Table13[[#This Row],[Date]])+1</f>
        <v>45992</v>
      </c>
      <c r="E256" s="129">
        <f t="shared" si="17"/>
        <v>31</v>
      </c>
      <c r="F256" s="130" t="str">
        <f>IFERROR(_xlfn.XLOOKUP($A256,'Raw Data'!$G:$G,'Raw Data'!$AH:$AH),"")</f>
        <v/>
      </c>
      <c r="G256" s="131" t="str">
        <f>IFERROR(_xlfn.XLOOKUP($A256,'Raw Data'!$G:$G,'Raw Data'!$S:$S)/1000,"")</f>
        <v/>
      </c>
      <c r="H256" s="131"/>
      <c r="I256" s="131" t="str">
        <f>IFERROR(_xlfn.XLOOKUP($A256,'Raw Data'!$G:$G,'Raw Data'!$AF:$AF)/1000,"")</f>
        <v/>
      </c>
      <c r="J256" s="131"/>
      <c r="K256" s="131" t="str">
        <f>IFERROR(_xlfn.XLOOKUP($A256,'Raw Data'!$G:$G,'Raw Data'!W:W),"")</f>
        <v/>
      </c>
      <c r="L256" s="131" t="str">
        <f>IFERROR(_xlfn.XLOOKUP($A256,'Raw Data'!$G:$G,'Raw Data'!X:X),"")</f>
        <v/>
      </c>
      <c r="M256" s="131" t="str">
        <f>IFERROR(_xlfn.XLOOKUP($A256,'Raw Data'!$G:$G,'Raw Data'!Y:Y),"")</f>
        <v/>
      </c>
      <c r="N256" s="131" t="str">
        <f>IFERROR(_xlfn.XLOOKUP($A256,'Raw Data'!$G:$G,'Raw Data'!Z:Z),"")</f>
        <v/>
      </c>
      <c r="O256" s="158" t="str">
        <f>IFERROR(1-SUMIF('Plant BD'!$H:$H,$A256,'Plant BD'!AC:AC)/$F256,"")</f>
        <v/>
      </c>
      <c r="P256" s="158"/>
      <c r="Q256" s="159"/>
      <c r="R256" s="158" t="str">
        <f>IFERROR(1-SUMIF('Grid BD'!$H:$H,$A256,'Grid BD'!AB:AB)/$F256,"")</f>
        <v/>
      </c>
      <c r="T256" s="159" t="str">
        <f>IFERROR(1-SUMIF(Tracker_BD!$H:$H,$A256,Tracker_BD!AI:AI)/$F256,"")</f>
        <v/>
      </c>
      <c r="U256" s="160" t="str">
        <f t="shared" si="18"/>
        <v/>
      </c>
      <c r="V256" s="160"/>
      <c r="W256" s="161" t="str">
        <f t="shared" si="19"/>
        <v/>
      </c>
      <c r="X256" s="156" t="str">
        <f>IFERROR(_xlfn.XLOOKUP($A256,'Raw Data'!$G:$G,'Raw Data'!$AB:$AB),"")</f>
        <v/>
      </c>
      <c r="Y256" s="156" t="str">
        <f>IFERROR(_xlfn.XLOOKUP($A256,'Raw Data'!$G:$G,'Raw Data'!AC:AC),"")</f>
        <v/>
      </c>
      <c r="Z256" s="156" t="str">
        <f>IFERROR(_xlfn.XLOOKUP($A256,'Raw Data'!$G:$G,'Raw Data'!AD:AD),"")</f>
        <v/>
      </c>
      <c r="AA256" s="156" t="str">
        <f>IFERROR(_xlfn.XLOOKUP($A256,'Raw Data'!$G:$G,'Raw Data'!AE:AE),"")</f>
        <v/>
      </c>
      <c r="AB256" s="156" t="str">
        <f>IFERROR(_xlfn.XLOOKUP($A256,'Raw Data'!$G:$G,'Raw Data'!$H:$H),"")</f>
        <v/>
      </c>
      <c r="AC256" s="162">
        <f>IFERROR(_xlfn.XLOOKUP($D256,'Modelling New'!$D:$D,'Modelling New'!$P:$P),"")</f>
        <v>5.3204721516128961</v>
      </c>
      <c r="AD256" s="156">
        <f>IFERROR(_xlfn.XLOOKUP($D256,'Modelling New'!$D:$D,'Modelling New'!$T:$T)*1000,"")</f>
        <v>48291.284576209953</v>
      </c>
      <c r="AE256" s="163">
        <f>IFERROR(_xlfn.XLOOKUP($D256,'Modelling New'!$D:$D,'Modelling New'!$O:$O),"")</f>
        <v>0.77444569867075785</v>
      </c>
      <c r="AF256" s="163">
        <f>IFERROR(_xlfn.XLOOKUP($D256,'Modelling New'!$D:$D,'Modelling New'!$W:$W),"")</f>
        <v>0.17168403219642331</v>
      </c>
      <c r="AG256" s="163">
        <f>IFERROR(_xlfn.XLOOKUP($D256,'Modelling New'!$D:$D,'Modelling New'!AE:AE),"")</f>
        <v>0.995</v>
      </c>
      <c r="AH256" s="163">
        <f>IFERROR(_xlfn.XLOOKUP($D256,'Modelling New'!$D:$D,'Modelling New'!AF:AF),"")</f>
        <v>0.98550000000000004</v>
      </c>
      <c r="AN256" s="164"/>
      <c r="AO256" s="161"/>
      <c r="AP256" s="161"/>
      <c r="AQ256" s="161"/>
      <c r="AR256" s="156">
        <f>IFERROR(_xlfn.XLOOKUP($D256,'Modelling New'!$D:$D,'Modelling New'!$N:$N),"")</f>
        <v>11.72</v>
      </c>
    </row>
    <row r="257" spans="1:44">
      <c r="A257" s="155">
        <f t="shared" si="20"/>
        <v>46000</v>
      </c>
      <c r="B257" s="156">
        <f>YEAR(Table13[[#This Row],[Date]])+IF(MONTH(Table13[[#This Row],[Date]])&gt;=4,1,0)</f>
        <v>2026</v>
      </c>
      <c r="C257" s="129">
        <f>YEAR(Table13[[#This Row],[Date]])</f>
        <v>2025</v>
      </c>
      <c r="D257" s="157">
        <f>Table13[[#This Row],[Date]]-DAY(Table13[[#This Row],[Date]])+1</f>
        <v>45992</v>
      </c>
      <c r="E257" s="129">
        <f t="shared" si="17"/>
        <v>31</v>
      </c>
      <c r="F257" s="130" t="str">
        <f>IFERROR(_xlfn.XLOOKUP($A257,'Raw Data'!$G:$G,'Raw Data'!$AH:$AH),"")</f>
        <v/>
      </c>
      <c r="G257" s="131" t="str">
        <f>IFERROR(_xlfn.XLOOKUP($A257,'Raw Data'!$G:$G,'Raw Data'!$S:$S)/1000,"")</f>
        <v/>
      </c>
      <c r="H257" s="131"/>
      <c r="I257" s="131" t="str">
        <f>IFERROR(_xlfn.XLOOKUP($A257,'Raw Data'!$G:$G,'Raw Data'!$AF:$AF)/1000,"")</f>
        <v/>
      </c>
      <c r="J257" s="131"/>
      <c r="K257" s="131" t="str">
        <f>IFERROR(_xlfn.XLOOKUP($A257,'Raw Data'!$G:$G,'Raw Data'!W:W),"")</f>
        <v/>
      </c>
      <c r="L257" s="131" t="str">
        <f>IFERROR(_xlfn.XLOOKUP($A257,'Raw Data'!$G:$G,'Raw Data'!X:X),"")</f>
        <v/>
      </c>
      <c r="M257" s="131" t="str">
        <f>IFERROR(_xlfn.XLOOKUP($A257,'Raw Data'!$G:$G,'Raw Data'!Y:Y),"")</f>
        <v/>
      </c>
      <c r="N257" s="131" t="str">
        <f>IFERROR(_xlfn.XLOOKUP($A257,'Raw Data'!$G:$G,'Raw Data'!Z:Z),"")</f>
        <v/>
      </c>
      <c r="O257" s="158" t="str">
        <f>IFERROR(1-SUMIF('Plant BD'!$H:$H,$A257,'Plant BD'!AC:AC)/$F257,"")</f>
        <v/>
      </c>
      <c r="P257" s="158"/>
      <c r="Q257" s="159"/>
      <c r="R257" s="158" t="str">
        <f>IFERROR(1-SUMIF('Grid BD'!$H:$H,$A257,'Grid BD'!AB:AB)/$F257,"")</f>
        <v/>
      </c>
      <c r="T257" s="159" t="str">
        <f>IFERROR(1-SUMIF(Tracker_BD!$H:$H,$A257,Tracker_BD!AI:AI)/$F257,"")</f>
        <v/>
      </c>
      <c r="U257" s="160" t="str">
        <f t="shared" si="18"/>
        <v/>
      </c>
      <c r="V257" s="160"/>
      <c r="W257" s="161" t="str">
        <f t="shared" si="19"/>
        <v/>
      </c>
      <c r="X257" s="156" t="str">
        <f>IFERROR(_xlfn.XLOOKUP($A257,'Raw Data'!$G:$G,'Raw Data'!$AB:$AB),"")</f>
        <v/>
      </c>
      <c r="Y257" s="156" t="str">
        <f>IFERROR(_xlfn.XLOOKUP($A257,'Raw Data'!$G:$G,'Raw Data'!AC:AC),"")</f>
        <v/>
      </c>
      <c r="Z257" s="156" t="str">
        <f>IFERROR(_xlfn.XLOOKUP($A257,'Raw Data'!$G:$G,'Raw Data'!AD:AD),"")</f>
        <v/>
      </c>
      <c r="AA257" s="156" t="str">
        <f>IFERROR(_xlfn.XLOOKUP($A257,'Raw Data'!$G:$G,'Raw Data'!AE:AE),"")</f>
        <v/>
      </c>
      <c r="AB257" s="156" t="str">
        <f>IFERROR(_xlfn.XLOOKUP($A257,'Raw Data'!$G:$G,'Raw Data'!$H:$H),"")</f>
        <v/>
      </c>
      <c r="AC257" s="162">
        <f>IFERROR(_xlfn.XLOOKUP($D257,'Modelling New'!$D:$D,'Modelling New'!$P:$P),"")</f>
        <v>5.3204721516128961</v>
      </c>
      <c r="AD257" s="156">
        <f>IFERROR(_xlfn.XLOOKUP($D257,'Modelling New'!$D:$D,'Modelling New'!$T:$T)*1000,"")</f>
        <v>48291.284576209953</v>
      </c>
      <c r="AE257" s="163">
        <f>IFERROR(_xlfn.XLOOKUP($D257,'Modelling New'!$D:$D,'Modelling New'!$O:$O),"")</f>
        <v>0.77444569867075785</v>
      </c>
      <c r="AF257" s="163">
        <f>IFERROR(_xlfn.XLOOKUP($D257,'Modelling New'!$D:$D,'Modelling New'!$W:$W),"")</f>
        <v>0.17168403219642331</v>
      </c>
      <c r="AG257" s="163">
        <f>IFERROR(_xlfn.XLOOKUP($D257,'Modelling New'!$D:$D,'Modelling New'!AE:AE),"")</f>
        <v>0.995</v>
      </c>
      <c r="AH257" s="163">
        <f>IFERROR(_xlfn.XLOOKUP($D257,'Modelling New'!$D:$D,'Modelling New'!AF:AF),"")</f>
        <v>0.98550000000000004</v>
      </c>
      <c r="AN257" s="164"/>
      <c r="AO257" s="161"/>
      <c r="AP257" s="161"/>
      <c r="AQ257" s="161"/>
      <c r="AR257" s="156">
        <f>IFERROR(_xlfn.XLOOKUP($D257,'Modelling New'!$D:$D,'Modelling New'!$N:$N),"")</f>
        <v>11.72</v>
      </c>
    </row>
    <row r="258" spans="1:44">
      <c r="A258" s="155">
        <f t="shared" si="20"/>
        <v>46001</v>
      </c>
      <c r="B258" s="156">
        <f>YEAR(Table13[[#This Row],[Date]])+IF(MONTH(Table13[[#This Row],[Date]])&gt;=4,1,0)</f>
        <v>2026</v>
      </c>
      <c r="C258" s="129">
        <f>YEAR(Table13[[#This Row],[Date]])</f>
        <v>2025</v>
      </c>
      <c r="D258" s="157">
        <f>Table13[[#This Row],[Date]]-DAY(Table13[[#This Row],[Date]])+1</f>
        <v>45992</v>
      </c>
      <c r="E258" s="129">
        <f t="shared" si="17"/>
        <v>31</v>
      </c>
      <c r="F258" s="130" t="str">
        <f>IFERROR(_xlfn.XLOOKUP($A258,'Raw Data'!$G:$G,'Raw Data'!$AH:$AH),"")</f>
        <v/>
      </c>
      <c r="G258" s="131" t="str">
        <f>IFERROR(_xlfn.XLOOKUP($A258,'Raw Data'!$G:$G,'Raw Data'!$S:$S)/1000,"")</f>
        <v/>
      </c>
      <c r="H258" s="131"/>
      <c r="I258" s="131" t="str">
        <f>IFERROR(_xlfn.XLOOKUP($A258,'Raw Data'!$G:$G,'Raw Data'!$AF:$AF)/1000,"")</f>
        <v/>
      </c>
      <c r="J258" s="131"/>
      <c r="K258" s="131" t="str">
        <f>IFERROR(_xlfn.XLOOKUP($A258,'Raw Data'!$G:$G,'Raw Data'!W:W),"")</f>
        <v/>
      </c>
      <c r="L258" s="131" t="str">
        <f>IFERROR(_xlfn.XLOOKUP($A258,'Raw Data'!$G:$G,'Raw Data'!X:X),"")</f>
        <v/>
      </c>
      <c r="M258" s="131" t="str">
        <f>IFERROR(_xlfn.XLOOKUP($A258,'Raw Data'!$G:$G,'Raw Data'!Y:Y),"")</f>
        <v/>
      </c>
      <c r="N258" s="131" t="str">
        <f>IFERROR(_xlfn.XLOOKUP($A258,'Raw Data'!$G:$G,'Raw Data'!Z:Z),"")</f>
        <v/>
      </c>
      <c r="O258" s="158" t="str">
        <f>IFERROR(1-SUMIF('Plant BD'!$H:$H,$A258,'Plant BD'!AC:AC)/$F258,"")</f>
        <v/>
      </c>
      <c r="P258" s="158"/>
      <c r="Q258" s="159"/>
      <c r="R258" s="158" t="str">
        <f>IFERROR(1-SUMIF('Grid BD'!$H:$H,$A258,'Grid BD'!AB:AB)/$F258,"")</f>
        <v/>
      </c>
      <c r="T258" s="159" t="str">
        <f>IFERROR(1-SUMIF(Tracker_BD!$H:$H,$A258,Tracker_BD!AI:AI)/$F258,"")</f>
        <v/>
      </c>
      <c r="U258" s="160" t="str">
        <f t="shared" si="18"/>
        <v/>
      </c>
      <c r="V258" s="160"/>
      <c r="W258" s="161" t="str">
        <f t="shared" si="19"/>
        <v/>
      </c>
      <c r="X258" s="156" t="str">
        <f>IFERROR(_xlfn.XLOOKUP($A258,'Raw Data'!$G:$G,'Raw Data'!$AB:$AB),"")</f>
        <v/>
      </c>
      <c r="Y258" s="156" t="str">
        <f>IFERROR(_xlfn.XLOOKUP($A258,'Raw Data'!$G:$G,'Raw Data'!AC:AC),"")</f>
        <v/>
      </c>
      <c r="Z258" s="156" t="str">
        <f>IFERROR(_xlfn.XLOOKUP($A258,'Raw Data'!$G:$G,'Raw Data'!AD:AD),"")</f>
        <v/>
      </c>
      <c r="AA258" s="156" t="str">
        <f>IFERROR(_xlfn.XLOOKUP($A258,'Raw Data'!$G:$G,'Raw Data'!AE:AE),"")</f>
        <v/>
      </c>
      <c r="AB258" s="156" t="str">
        <f>IFERROR(_xlfn.XLOOKUP($A258,'Raw Data'!$G:$G,'Raw Data'!$H:$H),"")</f>
        <v/>
      </c>
      <c r="AC258" s="162">
        <f>IFERROR(_xlfn.XLOOKUP($D258,'Modelling New'!$D:$D,'Modelling New'!$P:$P),"")</f>
        <v>5.3204721516128961</v>
      </c>
      <c r="AD258" s="156">
        <f>IFERROR(_xlfn.XLOOKUP($D258,'Modelling New'!$D:$D,'Modelling New'!$T:$T)*1000,"")</f>
        <v>48291.284576209953</v>
      </c>
      <c r="AE258" s="163">
        <f>IFERROR(_xlfn.XLOOKUP($D258,'Modelling New'!$D:$D,'Modelling New'!$O:$O),"")</f>
        <v>0.77444569867075785</v>
      </c>
      <c r="AF258" s="163">
        <f>IFERROR(_xlfn.XLOOKUP($D258,'Modelling New'!$D:$D,'Modelling New'!$W:$W),"")</f>
        <v>0.17168403219642331</v>
      </c>
      <c r="AG258" s="163">
        <f>IFERROR(_xlfn.XLOOKUP($D258,'Modelling New'!$D:$D,'Modelling New'!AE:AE),"")</f>
        <v>0.995</v>
      </c>
      <c r="AH258" s="163">
        <f>IFERROR(_xlfn.XLOOKUP($D258,'Modelling New'!$D:$D,'Modelling New'!AF:AF),"")</f>
        <v>0.98550000000000004</v>
      </c>
      <c r="AN258" s="164"/>
      <c r="AO258" s="161"/>
      <c r="AP258" s="161"/>
      <c r="AQ258" s="161"/>
      <c r="AR258" s="156">
        <f>IFERROR(_xlfn.XLOOKUP($D258,'Modelling New'!$D:$D,'Modelling New'!$N:$N),"")</f>
        <v>11.72</v>
      </c>
    </row>
    <row r="259" spans="1:44">
      <c r="A259" s="155">
        <f t="shared" si="20"/>
        <v>46002</v>
      </c>
      <c r="B259" s="156">
        <f>YEAR(Table13[[#This Row],[Date]])+IF(MONTH(Table13[[#This Row],[Date]])&gt;=4,1,0)</f>
        <v>2026</v>
      </c>
      <c r="C259" s="129">
        <f>YEAR(Table13[[#This Row],[Date]])</f>
        <v>2025</v>
      </c>
      <c r="D259" s="157">
        <f>Table13[[#This Row],[Date]]-DAY(Table13[[#This Row],[Date]])+1</f>
        <v>45992</v>
      </c>
      <c r="E259" s="129">
        <f t="shared" si="17"/>
        <v>31</v>
      </c>
      <c r="F259" s="130" t="str">
        <f>IFERROR(_xlfn.XLOOKUP($A259,'Raw Data'!$G:$G,'Raw Data'!$AH:$AH),"")</f>
        <v/>
      </c>
      <c r="G259" s="131" t="str">
        <f>IFERROR(_xlfn.XLOOKUP($A259,'Raw Data'!$G:$G,'Raw Data'!$S:$S)/1000,"")</f>
        <v/>
      </c>
      <c r="H259" s="131"/>
      <c r="I259" s="131" t="str">
        <f>IFERROR(_xlfn.XLOOKUP($A259,'Raw Data'!$G:$G,'Raw Data'!$AF:$AF)/1000,"")</f>
        <v/>
      </c>
      <c r="J259" s="131"/>
      <c r="K259" s="131" t="str">
        <f>IFERROR(_xlfn.XLOOKUP($A259,'Raw Data'!$G:$G,'Raw Data'!W:W),"")</f>
        <v/>
      </c>
      <c r="L259" s="131" t="str">
        <f>IFERROR(_xlfn.XLOOKUP($A259,'Raw Data'!$G:$G,'Raw Data'!X:X),"")</f>
        <v/>
      </c>
      <c r="M259" s="131" t="str">
        <f>IFERROR(_xlfn.XLOOKUP($A259,'Raw Data'!$G:$G,'Raw Data'!Y:Y),"")</f>
        <v/>
      </c>
      <c r="N259" s="131" t="str">
        <f>IFERROR(_xlfn.XLOOKUP($A259,'Raw Data'!$G:$G,'Raw Data'!Z:Z),"")</f>
        <v/>
      </c>
      <c r="O259" s="158" t="str">
        <f>IFERROR(1-SUMIF('Plant BD'!$H:$H,$A259,'Plant BD'!AC:AC)/$F259,"")</f>
        <v/>
      </c>
      <c r="P259" s="158"/>
      <c r="Q259" s="159"/>
      <c r="R259" s="158" t="str">
        <f>IFERROR(1-SUMIF('Grid BD'!$H:$H,$A259,'Grid BD'!AB:AB)/$F259,"")</f>
        <v/>
      </c>
      <c r="T259" s="159" t="str">
        <f>IFERROR(1-SUMIF(Tracker_BD!$H:$H,$A259,Tracker_BD!AI:AI)/$F259,"")</f>
        <v/>
      </c>
      <c r="U259" s="160" t="str">
        <f t="shared" si="18"/>
        <v/>
      </c>
      <c r="V259" s="160"/>
      <c r="W259" s="161" t="str">
        <f t="shared" si="19"/>
        <v/>
      </c>
      <c r="X259" s="156" t="str">
        <f>IFERROR(_xlfn.XLOOKUP($A259,'Raw Data'!$G:$G,'Raw Data'!$AB:$AB),"")</f>
        <v/>
      </c>
      <c r="Y259" s="156" t="str">
        <f>IFERROR(_xlfn.XLOOKUP($A259,'Raw Data'!$G:$G,'Raw Data'!AC:AC),"")</f>
        <v/>
      </c>
      <c r="Z259" s="156" t="str">
        <f>IFERROR(_xlfn.XLOOKUP($A259,'Raw Data'!$G:$G,'Raw Data'!AD:AD),"")</f>
        <v/>
      </c>
      <c r="AA259" s="156" t="str">
        <f>IFERROR(_xlfn.XLOOKUP($A259,'Raw Data'!$G:$G,'Raw Data'!AE:AE),"")</f>
        <v/>
      </c>
      <c r="AB259" s="156" t="str">
        <f>IFERROR(_xlfn.XLOOKUP($A259,'Raw Data'!$G:$G,'Raw Data'!$H:$H),"")</f>
        <v/>
      </c>
      <c r="AC259" s="162">
        <f>IFERROR(_xlfn.XLOOKUP($D259,'Modelling New'!$D:$D,'Modelling New'!$P:$P),"")</f>
        <v>5.3204721516128961</v>
      </c>
      <c r="AD259" s="156">
        <f>IFERROR(_xlfn.XLOOKUP($D259,'Modelling New'!$D:$D,'Modelling New'!$T:$T)*1000,"")</f>
        <v>48291.284576209953</v>
      </c>
      <c r="AE259" s="163">
        <f>IFERROR(_xlfn.XLOOKUP($D259,'Modelling New'!$D:$D,'Modelling New'!$O:$O),"")</f>
        <v>0.77444569867075785</v>
      </c>
      <c r="AF259" s="163">
        <f>IFERROR(_xlfn.XLOOKUP($D259,'Modelling New'!$D:$D,'Modelling New'!$W:$W),"")</f>
        <v>0.17168403219642331</v>
      </c>
      <c r="AG259" s="163">
        <f>IFERROR(_xlfn.XLOOKUP($D259,'Modelling New'!$D:$D,'Modelling New'!AE:AE),"")</f>
        <v>0.995</v>
      </c>
      <c r="AH259" s="163">
        <f>IFERROR(_xlfn.XLOOKUP($D259,'Modelling New'!$D:$D,'Modelling New'!AF:AF),"")</f>
        <v>0.98550000000000004</v>
      </c>
      <c r="AN259" s="164"/>
      <c r="AO259" s="161"/>
      <c r="AP259" s="161"/>
      <c r="AQ259" s="161"/>
      <c r="AR259" s="156">
        <f>IFERROR(_xlfn.XLOOKUP($D259,'Modelling New'!$D:$D,'Modelling New'!$N:$N),"")</f>
        <v>11.72</v>
      </c>
    </row>
    <row r="260" spans="1:44">
      <c r="A260" s="155">
        <f t="shared" si="20"/>
        <v>46003</v>
      </c>
      <c r="B260" s="156">
        <f>YEAR(Table13[[#This Row],[Date]])+IF(MONTH(Table13[[#This Row],[Date]])&gt;=4,1,0)</f>
        <v>2026</v>
      </c>
      <c r="C260" s="129">
        <f>YEAR(Table13[[#This Row],[Date]])</f>
        <v>2025</v>
      </c>
      <c r="D260" s="157">
        <f>Table13[[#This Row],[Date]]-DAY(Table13[[#This Row],[Date]])+1</f>
        <v>45992</v>
      </c>
      <c r="E260" s="129">
        <f t="shared" si="17"/>
        <v>31</v>
      </c>
      <c r="F260" s="130" t="str">
        <f>IFERROR(_xlfn.XLOOKUP($A260,'Raw Data'!$G:$G,'Raw Data'!$AH:$AH),"")</f>
        <v/>
      </c>
      <c r="G260" s="131" t="str">
        <f>IFERROR(_xlfn.XLOOKUP($A260,'Raw Data'!$G:$G,'Raw Data'!$S:$S)/1000,"")</f>
        <v/>
      </c>
      <c r="H260" s="131"/>
      <c r="I260" s="131" t="str">
        <f>IFERROR(_xlfn.XLOOKUP($A260,'Raw Data'!$G:$G,'Raw Data'!$AF:$AF)/1000,"")</f>
        <v/>
      </c>
      <c r="J260" s="131"/>
      <c r="K260" s="131" t="str">
        <f>IFERROR(_xlfn.XLOOKUP($A260,'Raw Data'!$G:$G,'Raw Data'!W:W),"")</f>
        <v/>
      </c>
      <c r="L260" s="131" t="str">
        <f>IFERROR(_xlfn.XLOOKUP($A260,'Raw Data'!$G:$G,'Raw Data'!X:X),"")</f>
        <v/>
      </c>
      <c r="M260" s="131" t="str">
        <f>IFERROR(_xlfn.XLOOKUP($A260,'Raw Data'!$G:$G,'Raw Data'!Y:Y),"")</f>
        <v/>
      </c>
      <c r="N260" s="131" t="str">
        <f>IFERROR(_xlfn.XLOOKUP($A260,'Raw Data'!$G:$G,'Raw Data'!Z:Z),"")</f>
        <v/>
      </c>
      <c r="O260" s="158" t="str">
        <f>IFERROR(1-SUMIF('Plant BD'!$H:$H,$A260,'Plant BD'!AC:AC)/$F260,"")</f>
        <v/>
      </c>
      <c r="P260" s="158"/>
      <c r="Q260" s="159"/>
      <c r="R260" s="158" t="str">
        <f>IFERROR(1-SUMIF('Grid BD'!$H:$H,$A260,'Grid BD'!AB:AB)/$F260,"")</f>
        <v/>
      </c>
      <c r="T260" s="159" t="str">
        <f>IFERROR(1-SUMIF(Tracker_BD!$H:$H,$A260,Tracker_BD!AI:AI)/$F260,"")</f>
        <v/>
      </c>
      <c r="U260" s="160" t="str">
        <f t="shared" si="18"/>
        <v/>
      </c>
      <c r="V260" s="160"/>
      <c r="W260" s="161" t="str">
        <f t="shared" si="19"/>
        <v/>
      </c>
      <c r="X260" s="156" t="str">
        <f>IFERROR(_xlfn.XLOOKUP($A260,'Raw Data'!$G:$G,'Raw Data'!$AB:$AB),"")</f>
        <v/>
      </c>
      <c r="Y260" s="156" t="str">
        <f>IFERROR(_xlfn.XLOOKUP($A260,'Raw Data'!$G:$G,'Raw Data'!AC:AC),"")</f>
        <v/>
      </c>
      <c r="Z260" s="156" t="str">
        <f>IFERROR(_xlfn.XLOOKUP($A260,'Raw Data'!$G:$G,'Raw Data'!AD:AD),"")</f>
        <v/>
      </c>
      <c r="AA260" s="156" t="str">
        <f>IFERROR(_xlfn.XLOOKUP($A260,'Raw Data'!$G:$G,'Raw Data'!AE:AE),"")</f>
        <v/>
      </c>
      <c r="AB260" s="156" t="str">
        <f>IFERROR(_xlfn.XLOOKUP($A260,'Raw Data'!$G:$G,'Raw Data'!$H:$H),"")</f>
        <v/>
      </c>
      <c r="AC260" s="162">
        <f>IFERROR(_xlfn.XLOOKUP($D260,'Modelling New'!$D:$D,'Modelling New'!$P:$P),"")</f>
        <v>5.3204721516128961</v>
      </c>
      <c r="AD260" s="156">
        <f>IFERROR(_xlfn.XLOOKUP($D260,'Modelling New'!$D:$D,'Modelling New'!$T:$T)*1000,"")</f>
        <v>48291.284576209953</v>
      </c>
      <c r="AE260" s="163">
        <f>IFERROR(_xlfn.XLOOKUP($D260,'Modelling New'!$D:$D,'Modelling New'!$O:$O),"")</f>
        <v>0.77444569867075785</v>
      </c>
      <c r="AF260" s="163">
        <f>IFERROR(_xlfn.XLOOKUP($D260,'Modelling New'!$D:$D,'Modelling New'!$W:$W),"")</f>
        <v>0.17168403219642331</v>
      </c>
      <c r="AG260" s="163">
        <f>IFERROR(_xlfn.XLOOKUP($D260,'Modelling New'!$D:$D,'Modelling New'!AE:AE),"")</f>
        <v>0.995</v>
      </c>
      <c r="AH260" s="163">
        <f>IFERROR(_xlfn.XLOOKUP($D260,'Modelling New'!$D:$D,'Modelling New'!AF:AF),"")</f>
        <v>0.98550000000000004</v>
      </c>
      <c r="AN260" s="164"/>
      <c r="AO260" s="161"/>
      <c r="AP260" s="161"/>
      <c r="AQ260" s="161"/>
      <c r="AR260" s="156">
        <f>IFERROR(_xlfn.XLOOKUP($D260,'Modelling New'!$D:$D,'Modelling New'!$N:$N),"")</f>
        <v>11.72</v>
      </c>
    </row>
    <row r="261" spans="1:44">
      <c r="A261" s="155">
        <f t="shared" si="20"/>
        <v>46004</v>
      </c>
      <c r="B261" s="156">
        <f>YEAR(Table13[[#This Row],[Date]])+IF(MONTH(Table13[[#This Row],[Date]])&gt;=4,1,0)</f>
        <v>2026</v>
      </c>
      <c r="C261" s="129">
        <f>YEAR(Table13[[#This Row],[Date]])</f>
        <v>2025</v>
      </c>
      <c r="D261" s="157">
        <f>Table13[[#This Row],[Date]]-DAY(Table13[[#This Row],[Date]])+1</f>
        <v>45992</v>
      </c>
      <c r="E261" s="129">
        <f t="shared" si="17"/>
        <v>31</v>
      </c>
      <c r="F261" s="130" t="str">
        <f>IFERROR(_xlfn.XLOOKUP($A261,'Raw Data'!$G:$G,'Raw Data'!$AH:$AH),"")</f>
        <v/>
      </c>
      <c r="G261" s="131" t="str">
        <f>IFERROR(_xlfn.XLOOKUP($A261,'Raw Data'!$G:$G,'Raw Data'!$S:$S)/1000,"")</f>
        <v/>
      </c>
      <c r="H261" s="131"/>
      <c r="I261" s="131" t="str">
        <f>IFERROR(_xlfn.XLOOKUP($A261,'Raw Data'!$G:$G,'Raw Data'!$AF:$AF)/1000,"")</f>
        <v/>
      </c>
      <c r="J261" s="131"/>
      <c r="K261" s="131" t="str">
        <f>IFERROR(_xlfn.XLOOKUP($A261,'Raw Data'!$G:$G,'Raw Data'!W:W),"")</f>
        <v/>
      </c>
      <c r="L261" s="131" t="str">
        <f>IFERROR(_xlfn.XLOOKUP($A261,'Raw Data'!$G:$G,'Raw Data'!X:X),"")</f>
        <v/>
      </c>
      <c r="M261" s="131" t="str">
        <f>IFERROR(_xlfn.XLOOKUP($A261,'Raw Data'!$G:$G,'Raw Data'!Y:Y),"")</f>
        <v/>
      </c>
      <c r="N261" s="131" t="str">
        <f>IFERROR(_xlfn.XLOOKUP($A261,'Raw Data'!$G:$G,'Raw Data'!Z:Z),"")</f>
        <v/>
      </c>
      <c r="O261" s="158" t="str">
        <f>IFERROR(1-SUMIF('Plant BD'!$H:$H,$A261,'Plant BD'!AC:AC)/$F261,"")</f>
        <v/>
      </c>
      <c r="P261" s="158"/>
      <c r="Q261" s="159"/>
      <c r="R261" s="158" t="str">
        <f>IFERROR(1-SUMIF('Grid BD'!$H:$H,$A261,'Grid BD'!AB:AB)/$F261,"")</f>
        <v/>
      </c>
      <c r="T261" s="159" t="str">
        <f>IFERROR(1-SUMIF(Tracker_BD!$H:$H,$A261,Tracker_BD!AI:AI)/$F261,"")</f>
        <v/>
      </c>
      <c r="U261" s="160" t="str">
        <f t="shared" si="18"/>
        <v/>
      </c>
      <c r="V261" s="160"/>
      <c r="W261" s="161" t="str">
        <f t="shared" si="19"/>
        <v/>
      </c>
      <c r="X261" s="156" t="str">
        <f>IFERROR(_xlfn.XLOOKUP($A261,'Raw Data'!$G:$G,'Raw Data'!$AB:$AB),"")</f>
        <v/>
      </c>
      <c r="Y261" s="156" t="str">
        <f>IFERROR(_xlfn.XLOOKUP($A261,'Raw Data'!$G:$G,'Raw Data'!AC:AC),"")</f>
        <v/>
      </c>
      <c r="Z261" s="156" t="str">
        <f>IFERROR(_xlfn.XLOOKUP($A261,'Raw Data'!$G:$G,'Raw Data'!AD:AD),"")</f>
        <v/>
      </c>
      <c r="AA261" s="156" t="str">
        <f>IFERROR(_xlfn.XLOOKUP($A261,'Raw Data'!$G:$G,'Raw Data'!AE:AE),"")</f>
        <v/>
      </c>
      <c r="AB261" s="156" t="str">
        <f>IFERROR(_xlfn.XLOOKUP($A261,'Raw Data'!$G:$G,'Raw Data'!$H:$H),"")</f>
        <v/>
      </c>
      <c r="AC261" s="162">
        <f>IFERROR(_xlfn.XLOOKUP($D261,'Modelling New'!$D:$D,'Modelling New'!$P:$P),"")</f>
        <v>5.3204721516128961</v>
      </c>
      <c r="AD261" s="156">
        <f>IFERROR(_xlfn.XLOOKUP($D261,'Modelling New'!$D:$D,'Modelling New'!$T:$T)*1000,"")</f>
        <v>48291.284576209953</v>
      </c>
      <c r="AE261" s="163">
        <f>IFERROR(_xlfn.XLOOKUP($D261,'Modelling New'!$D:$D,'Modelling New'!$O:$O),"")</f>
        <v>0.77444569867075785</v>
      </c>
      <c r="AF261" s="163">
        <f>IFERROR(_xlfn.XLOOKUP($D261,'Modelling New'!$D:$D,'Modelling New'!$W:$W),"")</f>
        <v>0.17168403219642331</v>
      </c>
      <c r="AG261" s="163">
        <f>IFERROR(_xlfn.XLOOKUP($D261,'Modelling New'!$D:$D,'Modelling New'!AE:AE),"")</f>
        <v>0.995</v>
      </c>
      <c r="AH261" s="163">
        <f>IFERROR(_xlfn.XLOOKUP($D261,'Modelling New'!$D:$D,'Modelling New'!AF:AF),"")</f>
        <v>0.98550000000000004</v>
      </c>
      <c r="AN261" s="164"/>
      <c r="AO261" s="161"/>
      <c r="AP261" s="161"/>
      <c r="AQ261" s="161"/>
      <c r="AR261" s="156">
        <f>IFERROR(_xlfn.XLOOKUP($D261,'Modelling New'!$D:$D,'Modelling New'!$N:$N),"")</f>
        <v>11.72</v>
      </c>
    </row>
    <row r="262" spans="1:44">
      <c r="A262" s="155">
        <f t="shared" si="20"/>
        <v>46005</v>
      </c>
      <c r="B262" s="156">
        <f>YEAR(Table13[[#This Row],[Date]])+IF(MONTH(Table13[[#This Row],[Date]])&gt;=4,1,0)</f>
        <v>2026</v>
      </c>
      <c r="C262" s="129">
        <f>YEAR(Table13[[#This Row],[Date]])</f>
        <v>2025</v>
      </c>
      <c r="D262" s="157">
        <f>Table13[[#This Row],[Date]]-DAY(Table13[[#This Row],[Date]])+1</f>
        <v>45992</v>
      </c>
      <c r="E262" s="129">
        <f t="shared" si="17"/>
        <v>31</v>
      </c>
      <c r="F262" s="130" t="str">
        <f>IFERROR(_xlfn.XLOOKUP($A262,'Raw Data'!$G:$G,'Raw Data'!$AH:$AH),"")</f>
        <v/>
      </c>
      <c r="G262" s="131" t="str">
        <f>IFERROR(_xlfn.XLOOKUP($A262,'Raw Data'!$G:$G,'Raw Data'!$S:$S)/1000,"")</f>
        <v/>
      </c>
      <c r="H262" s="131"/>
      <c r="I262" s="131" t="str">
        <f>IFERROR(_xlfn.XLOOKUP($A262,'Raw Data'!$G:$G,'Raw Data'!$AF:$AF)/1000,"")</f>
        <v/>
      </c>
      <c r="J262" s="131"/>
      <c r="K262" s="131" t="str">
        <f>IFERROR(_xlfn.XLOOKUP($A262,'Raw Data'!$G:$G,'Raw Data'!W:W),"")</f>
        <v/>
      </c>
      <c r="L262" s="131" t="str">
        <f>IFERROR(_xlfn.XLOOKUP($A262,'Raw Data'!$G:$G,'Raw Data'!X:X),"")</f>
        <v/>
      </c>
      <c r="M262" s="131" t="str">
        <f>IFERROR(_xlfn.XLOOKUP($A262,'Raw Data'!$G:$G,'Raw Data'!Y:Y),"")</f>
        <v/>
      </c>
      <c r="N262" s="131" t="str">
        <f>IFERROR(_xlfn.XLOOKUP($A262,'Raw Data'!$G:$G,'Raw Data'!Z:Z),"")</f>
        <v/>
      </c>
      <c r="O262" s="158" t="str">
        <f>IFERROR(1-SUMIF('Plant BD'!$H:$H,$A262,'Plant BD'!AC:AC)/$F262,"")</f>
        <v/>
      </c>
      <c r="P262" s="158"/>
      <c r="Q262" s="159"/>
      <c r="R262" s="158" t="str">
        <f>IFERROR(1-SUMIF('Grid BD'!$H:$H,$A262,'Grid BD'!AB:AB)/$F262,"")</f>
        <v/>
      </c>
      <c r="T262" s="159" t="str">
        <f>IFERROR(1-SUMIF(Tracker_BD!$H:$H,$A262,Tracker_BD!AI:AI)/$F262,"")</f>
        <v/>
      </c>
      <c r="U262" s="160" t="str">
        <f t="shared" si="18"/>
        <v/>
      </c>
      <c r="V262" s="160"/>
      <c r="W262" s="161" t="str">
        <f t="shared" si="19"/>
        <v/>
      </c>
      <c r="X262" s="156" t="str">
        <f>IFERROR(_xlfn.XLOOKUP($A262,'Raw Data'!$G:$G,'Raw Data'!$AB:$AB),"")</f>
        <v/>
      </c>
      <c r="Y262" s="156" t="str">
        <f>IFERROR(_xlfn.XLOOKUP($A262,'Raw Data'!$G:$G,'Raw Data'!AC:AC),"")</f>
        <v/>
      </c>
      <c r="Z262" s="156" t="str">
        <f>IFERROR(_xlfn.XLOOKUP($A262,'Raw Data'!$G:$G,'Raw Data'!AD:AD),"")</f>
        <v/>
      </c>
      <c r="AA262" s="156" t="str">
        <f>IFERROR(_xlfn.XLOOKUP($A262,'Raw Data'!$G:$G,'Raw Data'!AE:AE),"")</f>
        <v/>
      </c>
      <c r="AB262" s="156" t="str">
        <f>IFERROR(_xlfn.XLOOKUP($A262,'Raw Data'!$G:$G,'Raw Data'!$H:$H),"")</f>
        <v/>
      </c>
      <c r="AC262" s="162">
        <f>IFERROR(_xlfn.XLOOKUP($D262,'Modelling New'!$D:$D,'Modelling New'!$P:$P),"")</f>
        <v>5.3204721516128961</v>
      </c>
      <c r="AD262" s="156">
        <f>IFERROR(_xlfn.XLOOKUP($D262,'Modelling New'!$D:$D,'Modelling New'!$T:$T)*1000,"")</f>
        <v>48291.284576209953</v>
      </c>
      <c r="AE262" s="163">
        <f>IFERROR(_xlfn.XLOOKUP($D262,'Modelling New'!$D:$D,'Modelling New'!$O:$O),"")</f>
        <v>0.77444569867075785</v>
      </c>
      <c r="AF262" s="163">
        <f>IFERROR(_xlfn.XLOOKUP($D262,'Modelling New'!$D:$D,'Modelling New'!$W:$W),"")</f>
        <v>0.17168403219642331</v>
      </c>
      <c r="AG262" s="163">
        <f>IFERROR(_xlfn.XLOOKUP($D262,'Modelling New'!$D:$D,'Modelling New'!AE:AE),"")</f>
        <v>0.995</v>
      </c>
      <c r="AH262" s="163">
        <f>IFERROR(_xlfn.XLOOKUP($D262,'Modelling New'!$D:$D,'Modelling New'!AF:AF),"")</f>
        <v>0.98550000000000004</v>
      </c>
      <c r="AN262" s="164"/>
      <c r="AO262" s="161"/>
      <c r="AP262" s="161"/>
      <c r="AQ262" s="161"/>
      <c r="AR262" s="156">
        <f>IFERROR(_xlfn.XLOOKUP($D262,'Modelling New'!$D:$D,'Modelling New'!$N:$N),"")</f>
        <v>11.72</v>
      </c>
    </row>
    <row r="263" spans="1:44">
      <c r="A263" s="155">
        <f t="shared" si="20"/>
        <v>46006</v>
      </c>
      <c r="B263" s="156">
        <f>YEAR(Table13[[#This Row],[Date]])+IF(MONTH(Table13[[#This Row],[Date]])&gt;=4,1,0)</f>
        <v>2026</v>
      </c>
      <c r="C263" s="129">
        <f>YEAR(Table13[[#This Row],[Date]])</f>
        <v>2025</v>
      </c>
      <c r="D263" s="157">
        <f>Table13[[#This Row],[Date]]-DAY(Table13[[#This Row],[Date]])+1</f>
        <v>45992</v>
      </c>
      <c r="E263" s="129">
        <f t="shared" si="17"/>
        <v>31</v>
      </c>
      <c r="F263" s="130" t="str">
        <f>IFERROR(_xlfn.XLOOKUP($A263,'Raw Data'!$G:$G,'Raw Data'!$AH:$AH),"")</f>
        <v/>
      </c>
      <c r="G263" s="131" t="str">
        <f>IFERROR(_xlfn.XLOOKUP($A263,'Raw Data'!$G:$G,'Raw Data'!$S:$S)/1000,"")</f>
        <v/>
      </c>
      <c r="H263" s="131"/>
      <c r="I263" s="131" t="str">
        <f>IFERROR(_xlfn.XLOOKUP($A263,'Raw Data'!$G:$G,'Raw Data'!$AF:$AF)/1000,"")</f>
        <v/>
      </c>
      <c r="J263" s="131"/>
      <c r="K263" s="131" t="str">
        <f>IFERROR(_xlfn.XLOOKUP($A263,'Raw Data'!$G:$G,'Raw Data'!W:W),"")</f>
        <v/>
      </c>
      <c r="L263" s="131" t="str">
        <f>IFERROR(_xlfn.XLOOKUP($A263,'Raw Data'!$G:$G,'Raw Data'!X:X),"")</f>
        <v/>
      </c>
      <c r="M263" s="131" t="str">
        <f>IFERROR(_xlfn.XLOOKUP($A263,'Raw Data'!$G:$G,'Raw Data'!Y:Y),"")</f>
        <v/>
      </c>
      <c r="N263" s="131" t="str">
        <f>IFERROR(_xlfn.XLOOKUP($A263,'Raw Data'!$G:$G,'Raw Data'!Z:Z),"")</f>
        <v/>
      </c>
      <c r="O263" s="158" t="str">
        <f>IFERROR(1-SUMIF('Plant BD'!$H:$H,$A263,'Plant BD'!AC:AC)/$F263,"")</f>
        <v/>
      </c>
      <c r="P263" s="158"/>
      <c r="Q263" s="159"/>
      <c r="R263" s="158" t="str">
        <f>IFERROR(1-SUMIF('Grid BD'!$H:$H,$A263,'Grid BD'!AB:AB)/$F263,"")</f>
        <v/>
      </c>
      <c r="T263" s="159" t="str">
        <f>IFERROR(1-SUMIF(Tracker_BD!$H:$H,$A263,Tracker_BD!AI:AI)/$F263,"")</f>
        <v/>
      </c>
      <c r="U263" s="160" t="str">
        <f t="shared" si="18"/>
        <v/>
      </c>
      <c r="V263" s="160"/>
      <c r="W263" s="161" t="str">
        <f t="shared" si="19"/>
        <v/>
      </c>
      <c r="X263" s="156" t="str">
        <f>IFERROR(_xlfn.XLOOKUP($A263,'Raw Data'!$G:$G,'Raw Data'!$AB:$AB),"")</f>
        <v/>
      </c>
      <c r="Y263" s="156" t="str">
        <f>IFERROR(_xlfn.XLOOKUP($A263,'Raw Data'!$G:$G,'Raw Data'!AC:AC),"")</f>
        <v/>
      </c>
      <c r="Z263" s="156" t="str">
        <f>IFERROR(_xlfn.XLOOKUP($A263,'Raw Data'!$G:$G,'Raw Data'!AD:AD),"")</f>
        <v/>
      </c>
      <c r="AA263" s="156" t="str">
        <f>IFERROR(_xlfn.XLOOKUP($A263,'Raw Data'!$G:$G,'Raw Data'!AE:AE),"")</f>
        <v/>
      </c>
      <c r="AB263" s="156" t="str">
        <f>IFERROR(_xlfn.XLOOKUP($A263,'Raw Data'!$G:$G,'Raw Data'!$H:$H),"")</f>
        <v/>
      </c>
      <c r="AC263" s="162">
        <f>IFERROR(_xlfn.XLOOKUP($D263,'Modelling New'!$D:$D,'Modelling New'!$P:$P),"")</f>
        <v>5.3204721516128961</v>
      </c>
      <c r="AD263" s="156">
        <f>IFERROR(_xlfn.XLOOKUP($D263,'Modelling New'!$D:$D,'Modelling New'!$T:$T)*1000,"")</f>
        <v>48291.284576209953</v>
      </c>
      <c r="AE263" s="163">
        <f>IFERROR(_xlfn.XLOOKUP($D263,'Modelling New'!$D:$D,'Modelling New'!$O:$O),"")</f>
        <v>0.77444569867075785</v>
      </c>
      <c r="AF263" s="163">
        <f>IFERROR(_xlfn.XLOOKUP($D263,'Modelling New'!$D:$D,'Modelling New'!$W:$W),"")</f>
        <v>0.17168403219642331</v>
      </c>
      <c r="AG263" s="163">
        <f>IFERROR(_xlfn.XLOOKUP($D263,'Modelling New'!$D:$D,'Modelling New'!AE:AE),"")</f>
        <v>0.995</v>
      </c>
      <c r="AH263" s="163">
        <f>IFERROR(_xlfn.XLOOKUP($D263,'Modelling New'!$D:$D,'Modelling New'!AF:AF),"")</f>
        <v>0.98550000000000004</v>
      </c>
      <c r="AN263" s="164"/>
      <c r="AO263" s="161"/>
      <c r="AP263" s="161"/>
      <c r="AQ263" s="161"/>
      <c r="AR263" s="156">
        <f>IFERROR(_xlfn.XLOOKUP($D263,'Modelling New'!$D:$D,'Modelling New'!$N:$N),"")</f>
        <v>11.72</v>
      </c>
    </row>
    <row r="264" spans="1:44">
      <c r="A264" s="155">
        <f t="shared" si="20"/>
        <v>46007</v>
      </c>
      <c r="B264" s="156">
        <f>YEAR(Table13[[#This Row],[Date]])+IF(MONTH(Table13[[#This Row],[Date]])&gt;=4,1,0)</f>
        <v>2026</v>
      </c>
      <c r="C264" s="129">
        <f>YEAR(Table13[[#This Row],[Date]])</f>
        <v>2025</v>
      </c>
      <c r="D264" s="157">
        <f>Table13[[#This Row],[Date]]-DAY(Table13[[#This Row],[Date]])+1</f>
        <v>45992</v>
      </c>
      <c r="E264" s="129">
        <f t="shared" si="17"/>
        <v>31</v>
      </c>
      <c r="F264" s="130" t="str">
        <f>IFERROR(_xlfn.XLOOKUP($A264,'Raw Data'!$G:$G,'Raw Data'!$AH:$AH),"")</f>
        <v/>
      </c>
      <c r="G264" s="131" t="str">
        <f>IFERROR(_xlfn.XLOOKUP($A264,'Raw Data'!$G:$G,'Raw Data'!$S:$S)/1000,"")</f>
        <v/>
      </c>
      <c r="H264" s="131"/>
      <c r="I264" s="131" t="str">
        <f>IFERROR(_xlfn.XLOOKUP($A264,'Raw Data'!$G:$G,'Raw Data'!$AF:$AF)/1000,"")</f>
        <v/>
      </c>
      <c r="J264" s="131"/>
      <c r="K264" s="131" t="str">
        <f>IFERROR(_xlfn.XLOOKUP($A264,'Raw Data'!$G:$G,'Raw Data'!W:W),"")</f>
        <v/>
      </c>
      <c r="L264" s="131" t="str">
        <f>IFERROR(_xlfn.XLOOKUP($A264,'Raw Data'!$G:$G,'Raw Data'!X:X),"")</f>
        <v/>
      </c>
      <c r="M264" s="131" t="str">
        <f>IFERROR(_xlfn.XLOOKUP($A264,'Raw Data'!$G:$G,'Raw Data'!Y:Y),"")</f>
        <v/>
      </c>
      <c r="N264" s="131" t="str">
        <f>IFERROR(_xlfn.XLOOKUP($A264,'Raw Data'!$G:$G,'Raw Data'!Z:Z),"")</f>
        <v/>
      </c>
      <c r="O264" s="158" t="str">
        <f>IFERROR(1-SUMIF('Plant BD'!$H:$H,$A264,'Plant BD'!AC:AC)/$F264,"")</f>
        <v/>
      </c>
      <c r="P264" s="158"/>
      <c r="Q264" s="159"/>
      <c r="R264" s="158" t="str">
        <f>IFERROR(1-SUMIF('Grid BD'!$H:$H,$A264,'Grid BD'!AB:AB)/$F264,"")</f>
        <v/>
      </c>
      <c r="T264" s="159" t="str">
        <f>IFERROR(1-SUMIF(Tracker_BD!$H:$H,$A264,Tracker_BD!AI:AI)/$F264,"")</f>
        <v/>
      </c>
      <c r="U264" s="160" t="str">
        <f t="shared" si="18"/>
        <v/>
      </c>
      <c r="V264" s="160"/>
      <c r="W264" s="161" t="str">
        <f t="shared" si="19"/>
        <v/>
      </c>
      <c r="X264" s="156" t="str">
        <f>IFERROR(_xlfn.XLOOKUP($A264,'Raw Data'!$G:$G,'Raw Data'!$AB:$AB),"")</f>
        <v/>
      </c>
      <c r="Y264" s="156" t="str">
        <f>IFERROR(_xlfn.XLOOKUP($A264,'Raw Data'!$G:$G,'Raw Data'!AC:AC),"")</f>
        <v/>
      </c>
      <c r="Z264" s="156" t="str">
        <f>IFERROR(_xlfn.XLOOKUP($A264,'Raw Data'!$G:$G,'Raw Data'!AD:AD),"")</f>
        <v/>
      </c>
      <c r="AA264" s="156" t="str">
        <f>IFERROR(_xlfn.XLOOKUP($A264,'Raw Data'!$G:$G,'Raw Data'!AE:AE),"")</f>
        <v/>
      </c>
      <c r="AB264" s="156" t="str">
        <f>IFERROR(_xlfn.XLOOKUP($A264,'Raw Data'!$G:$G,'Raw Data'!$H:$H),"")</f>
        <v/>
      </c>
      <c r="AC264" s="162">
        <f>IFERROR(_xlfn.XLOOKUP($D264,'Modelling New'!$D:$D,'Modelling New'!$P:$P),"")</f>
        <v>5.3204721516128961</v>
      </c>
      <c r="AD264" s="156">
        <f>IFERROR(_xlfn.XLOOKUP($D264,'Modelling New'!$D:$D,'Modelling New'!$T:$T)*1000,"")</f>
        <v>48291.284576209953</v>
      </c>
      <c r="AE264" s="163">
        <f>IFERROR(_xlfn.XLOOKUP($D264,'Modelling New'!$D:$D,'Modelling New'!$O:$O),"")</f>
        <v>0.77444569867075785</v>
      </c>
      <c r="AF264" s="163">
        <f>IFERROR(_xlfn.XLOOKUP($D264,'Modelling New'!$D:$D,'Modelling New'!$W:$W),"")</f>
        <v>0.17168403219642331</v>
      </c>
      <c r="AG264" s="163">
        <f>IFERROR(_xlfn.XLOOKUP($D264,'Modelling New'!$D:$D,'Modelling New'!AE:AE),"")</f>
        <v>0.995</v>
      </c>
      <c r="AH264" s="163">
        <f>IFERROR(_xlfn.XLOOKUP($D264,'Modelling New'!$D:$D,'Modelling New'!AF:AF),"")</f>
        <v>0.98550000000000004</v>
      </c>
      <c r="AN264" s="164"/>
      <c r="AO264" s="161"/>
      <c r="AP264" s="161"/>
      <c r="AQ264" s="161"/>
      <c r="AR264" s="156">
        <f>IFERROR(_xlfn.XLOOKUP($D264,'Modelling New'!$D:$D,'Modelling New'!$N:$N),"")</f>
        <v>11.72</v>
      </c>
    </row>
    <row r="265" spans="1:44">
      <c r="A265" s="155">
        <f t="shared" si="20"/>
        <v>46008</v>
      </c>
      <c r="B265" s="156">
        <f>YEAR(Table13[[#This Row],[Date]])+IF(MONTH(Table13[[#This Row],[Date]])&gt;=4,1,0)</f>
        <v>2026</v>
      </c>
      <c r="C265" s="129">
        <f>YEAR(Table13[[#This Row],[Date]])</f>
        <v>2025</v>
      </c>
      <c r="D265" s="157">
        <f>Table13[[#This Row],[Date]]-DAY(Table13[[#This Row],[Date]])+1</f>
        <v>45992</v>
      </c>
      <c r="E265" s="129">
        <f t="shared" si="17"/>
        <v>31</v>
      </c>
      <c r="F265" s="130" t="str">
        <f>IFERROR(_xlfn.XLOOKUP($A265,'Raw Data'!$G:$G,'Raw Data'!$AH:$AH),"")</f>
        <v/>
      </c>
      <c r="G265" s="131" t="str">
        <f>IFERROR(_xlfn.XLOOKUP($A265,'Raw Data'!$G:$G,'Raw Data'!$S:$S)/1000,"")</f>
        <v/>
      </c>
      <c r="H265" s="131"/>
      <c r="I265" s="131" t="str">
        <f>IFERROR(_xlfn.XLOOKUP($A265,'Raw Data'!$G:$G,'Raw Data'!$AF:$AF)/1000,"")</f>
        <v/>
      </c>
      <c r="J265" s="131"/>
      <c r="K265" s="131" t="str">
        <f>IFERROR(_xlfn.XLOOKUP($A265,'Raw Data'!$G:$G,'Raw Data'!W:W),"")</f>
        <v/>
      </c>
      <c r="L265" s="131" t="str">
        <f>IFERROR(_xlfn.XLOOKUP($A265,'Raw Data'!$G:$G,'Raw Data'!X:X),"")</f>
        <v/>
      </c>
      <c r="M265" s="131" t="str">
        <f>IFERROR(_xlfn.XLOOKUP($A265,'Raw Data'!$G:$G,'Raw Data'!Y:Y),"")</f>
        <v/>
      </c>
      <c r="N265" s="131" t="str">
        <f>IFERROR(_xlfn.XLOOKUP($A265,'Raw Data'!$G:$G,'Raw Data'!Z:Z),"")</f>
        <v/>
      </c>
      <c r="O265" s="158" t="str">
        <f>IFERROR(1-SUMIF('Plant BD'!$H:$H,$A265,'Plant BD'!AC:AC)/$F265,"")</f>
        <v/>
      </c>
      <c r="P265" s="158"/>
      <c r="Q265" s="159"/>
      <c r="R265" s="158" t="str">
        <f>IFERROR(1-SUMIF('Grid BD'!$H:$H,$A265,'Grid BD'!AB:AB)/$F265,"")</f>
        <v/>
      </c>
      <c r="T265" s="159" t="str">
        <f>IFERROR(1-SUMIF(Tracker_BD!$H:$H,$A265,Tracker_BD!AI:AI)/$F265,"")</f>
        <v/>
      </c>
      <c r="U265" s="160" t="str">
        <f t="shared" si="18"/>
        <v/>
      </c>
      <c r="V265" s="160"/>
      <c r="W265" s="161" t="str">
        <f t="shared" si="19"/>
        <v/>
      </c>
      <c r="X265" s="156" t="str">
        <f>IFERROR(_xlfn.XLOOKUP($A265,'Raw Data'!$G:$G,'Raw Data'!$AB:$AB),"")</f>
        <v/>
      </c>
      <c r="Y265" s="156" t="str">
        <f>IFERROR(_xlfn.XLOOKUP($A265,'Raw Data'!$G:$G,'Raw Data'!AC:AC),"")</f>
        <v/>
      </c>
      <c r="Z265" s="156" t="str">
        <f>IFERROR(_xlfn.XLOOKUP($A265,'Raw Data'!$G:$G,'Raw Data'!AD:AD),"")</f>
        <v/>
      </c>
      <c r="AA265" s="156" t="str">
        <f>IFERROR(_xlfn.XLOOKUP($A265,'Raw Data'!$G:$G,'Raw Data'!AE:AE),"")</f>
        <v/>
      </c>
      <c r="AB265" s="156" t="str">
        <f>IFERROR(_xlfn.XLOOKUP($A265,'Raw Data'!$G:$G,'Raw Data'!$H:$H),"")</f>
        <v/>
      </c>
      <c r="AC265" s="162">
        <f>IFERROR(_xlfn.XLOOKUP($D265,'Modelling New'!$D:$D,'Modelling New'!$P:$P),"")</f>
        <v>5.3204721516128961</v>
      </c>
      <c r="AD265" s="156">
        <f>IFERROR(_xlfn.XLOOKUP($D265,'Modelling New'!$D:$D,'Modelling New'!$T:$T)*1000,"")</f>
        <v>48291.284576209953</v>
      </c>
      <c r="AE265" s="163">
        <f>IFERROR(_xlfn.XLOOKUP($D265,'Modelling New'!$D:$D,'Modelling New'!$O:$O),"")</f>
        <v>0.77444569867075785</v>
      </c>
      <c r="AF265" s="163">
        <f>IFERROR(_xlfn.XLOOKUP($D265,'Modelling New'!$D:$D,'Modelling New'!$W:$W),"")</f>
        <v>0.17168403219642331</v>
      </c>
      <c r="AG265" s="163">
        <f>IFERROR(_xlfn.XLOOKUP($D265,'Modelling New'!$D:$D,'Modelling New'!AE:AE),"")</f>
        <v>0.995</v>
      </c>
      <c r="AH265" s="163">
        <f>IFERROR(_xlfn.XLOOKUP($D265,'Modelling New'!$D:$D,'Modelling New'!AF:AF),"")</f>
        <v>0.98550000000000004</v>
      </c>
      <c r="AN265" s="164"/>
      <c r="AO265" s="161"/>
      <c r="AP265" s="161"/>
      <c r="AQ265" s="161"/>
      <c r="AR265" s="156">
        <f>IFERROR(_xlfn.XLOOKUP($D265,'Modelling New'!$D:$D,'Modelling New'!$N:$N),"")</f>
        <v>11.72</v>
      </c>
    </row>
    <row r="266" spans="1:44">
      <c r="A266" s="155">
        <f t="shared" si="20"/>
        <v>46009</v>
      </c>
      <c r="B266" s="156">
        <f>YEAR(Table13[[#This Row],[Date]])+IF(MONTH(Table13[[#This Row],[Date]])&gt;=4,1,0)</f>
        <v>2026</v>
      </c>
      <c r="C266" s="129">
        <f>YEAR(Table13[[#This Row],[Date]])</f>
        <v>2025</v>
      </c>
      <c r="D266" s="157">
        <f>Table13[[#This Row],[Date]]-DAY(Table13[[#This Row],[Date]])+1</f>
        <v>45992</v>
      </c>
      <c r="E266" s="129">
        <f t="shared" si="17"/>
        <v>31</v>
      </c>
      <c r="F266" s="130" t="str">
        <f>IFERROR(_xlfn.XLOOKUP($A266,'Raw Data'!$G:$G,'Raw Data'!$AH:$AH),"")</f>
        <v/>
      </c>
      <c r="G266" s="131" t="str">
        <f>IFERROR(_xlfn.XLOOKUP($A266,'Raw Data'!$G:$G,'Raw Data'!$S:$S)/1000,"")</f>
        <v/>
      </c>
      <c r="H266" s="131"/>
      <c r="I266" s="131" t="str">
        <f>IFERROR(_xlfn.XLOOKUP($A266,'Raw Data'!$G:$G,'Raw Data'!$AF:$AF)/1000,"")</f>
        <v/>
      </c>
      <c r="J266" s="131"/>
      <c r="K266" s="131" t="str">
        <f>IFERROR(_xlfn.XLOOKUP($A266,'Raw Data'!$G:$G,'Raw Data'!W:W),"")</f>
        <v/>
      </c>
      <c r="L266" s="131" t="str">
        <f>IFERROR(_xlfn.XLOOKUP($A266,'Raw Data'!$G:$G,'Raw Data'!X:X),"")</f>
        <v/>
      </c>
      <c r="M266" s="131" t="str">
        <f>IFERROR(_xlfn.XLOOKUP($A266,'Raw Data'!$G:$G,'Raw Data'!Y:Y),"")</f>
        <v/>
      </c>
      <c r="N266" s="131" t="str">
        <f>IFERROR(_xlfn.XLOOKUP($A266,'Raw Data'!$G:$G,'Raw Data'!Z:Z),"")</f>
        <v/>
      </c>
      <c r="O266" s="158" t="str">
        <f>IFERROR(1-SUMIF('Plant BD'!$H:$H,$A266,'Plant BD'!AC:AC)/$F266,"")</f>
        <v/>
      </c>
      <c r="P266" s="158"/>
      <c r="Q266" s="159"/>
      <c r="R266" s="158" t="str">
        <f>IFERROR(1-SUMIF('Grid BD'!$H:$H,$A266,'Grid BD'!AB:AB)/$F266,"")</f>
        <v/>
      </c>
      <c r="T266" s="159" t="str">
        <f>IFERROR(1-SUMIF(Tracker_BD!$H:$H,$A266,Tracker_BD!AI:AI)/$F266,"")</f>
        <v/>
      </c>
      <c r="U266" s="160" t="str">
        <f t="shared" si="18"/>
        <v/>
      </c>
      <c r="V266" s="160"/>
      <c r="W266" s="161" t="str">
        <f t="shared" si="19"/>
        <v/>
      </c>
      <c r="X266" s="156" t="str">
        <f>IFERROR(_xlfn.XLOOKUP($A266,'Raw Data'!$G:$G,'Raw Data'!$AB:$AB),"")</f>
        <v/>
      </c>
      <c r="Y266" s="156" t="str">
        <f>IFERROR(_xlfn.XLOOKUP($A266,'Raw Data'!$G:$G,'Raw Data'!AC:AC),"")</f>
        <v/>
      </c>
      <c r="Z266" s="156" t="str">
        <f>IFERROR(_xlfn.XLOOKUP($A266,'Raw Data'!$G:$G,'Raw Data'!AD:AD),"")</f>
        <v/>
      </c>
      <c r="AA266" s="156" t="str">
        <f>IFERROR(_xlfn.XLOOKUP($A266,'Raw Data'!$G:$G,'Raw Data'!AE:AE),"")</f>
        <v/>
      </c>
      <c r="AB266" s="156" t="str">
        <f>IFERROR(_xlfn.XLOOKUP($A266,'Raw Data'!$G:$G,'Raw Data'!$H:$H),"")</f>
        <v/>
      </c>
      <c r="AC266" s="162">
        <f>IFERROR(_xlfn.XLOOKUP($D266,'Modelling New'!$D:$D,'Modelling New'!$P:$P),"")</f>
        <v>5.3204721516128961</v>
      </c>
      <c r="AD266" s="156">
        <f>IFERROR(_xlfn.XLOOKUP($D266,'Modelling New'!$D:$D,'Modelling New'!$T:$T)*1000,"")</f>
        <v>48291.284576209953</v>
      </c>
      <c r="AE266" s="163">
        <f>IFERROR(_xlfn.XLOOKUP($D266,'Modelling New'!$D:$D,'Modelling New'!$O:$O),"")</f>
        <v>0.77444569867075785</v>
      </c>
      <c r="AF266" s="163">
        <f>IFERROR(_xlfn.XLOOKUP($D266,'Modelling New'!$D:$D,'Modelling New'!$W:$W),"")</f>
        <v>0.17168403219642331</v>
      </c>
      <c r="AG266" s="163">
        <f>IFERROR(_xlfn.XLOOKUP($D266,'Modelling New'!$D:$D,'Modelling New'!AE:AE),"")</f>
        <v>0.995</v>
      </c>
      <c r="AH266" s="163">
        <f>IFERROR(_xlfn.XLOOKUP($D266,'Modelling New'!$D:$D,'Modelling New'!AF:AF),"")</f>
        <v>0.98550000000000004</v>
      </c>
      <c r="AN266" s="164"/>
      <c r="AO266" s="161"/>
      <c r="AP266" s="161"/>
      <c r="AQ266" s="161"/>
      <c r="AR266" s="156">
        <f>IFERROR(_xlfn.XLOOKUP($D266,'Modelling New'!$D:$D,'Modelling New'!$N:$N),"")</f>
        <v>11.72</v>
      </c>
    </row>
    <row r="267" spans="1:44">
      <c r="A267" s="155">
        <f t="shared" si="20"/>
        <v>46010</v>
      </c>
      <c r="B267" s="156">
        <f>YEAR(Table13[[#This Row],[Date]])+IF(MONTH(Table13[[#This Row],[Date]])&gt;=4,1,0)</f>
        <v>2026</v>
      </c>
      <c r="C267" s="129">
        <f>YEAR(Table13[[#This Row],[Date]])</f>
        <v>2025</v>
      </c>
      <c r="D267" s="157">
        <f>Table13[[#This Row],[Date]]-DAY(Table13[[#This Row],[Date]])+1</f>
        <v>45992</v>
      </c>
      <c r="E267" s="129">
        <f t="shared" si="17"/>
        <v>31</v>
      </c>
      <c r="F267" s="130" t="str">
        <f>IFERROR(_xlfn.XLOOKUP($A267,'Raw Data'!$G:$G,'Raw Data'!$AH:$AH),"")</f>
        <v/>
      </c>
      <c r="G267" s="131" t="str">
        <f>IFERROR(_xlfn.XLOOKUP($A267,'Raw Data'!$G:$G,'Raw Data'!$S:$S)/1000,"")</f>
        <v/>
      </c>
      <c r="H267" s="131"/>
      <c r="I267" s="131" t="str">
        <f>IFERROR(_xlfn.XLOOKUP($A267,'Raw Data'!$G:$G,'Raw Data'!$AF:$AF)/1000,"")</f>
        <v/>
      </c>
      <c r="J267" s="131"/>
      <c r="K267" s="131" t="str">
        <f>IFERROR(_xlfn.XLOOKUP($A267,'Raw Data'!$G:$G,'Raw Data'!W:W),"")</f>
        <v/>
      </c>
      <c r="L267" s="131" t="str">
        <f>IFERROR(_xlfn.XLOOKUP($A267,'Raw Data'!$G:$G,'Raw Data'!X:X),"")</f>
        <v/>
      </c>
      <c r="M267" s="131" t="str">
        <f>IFERROR(_xlfn.XLOOKUP($A267,'Raw Data'!$G:$G,'Raw Data'!Y:Y),"")</f>
        <v/>
      </c>
      <c r="N267" s="131" t="str">
        <f>IFERROR(_xlfn.XLOOKUP($A267,'Raw Data'!$G:$G,'Raw Data'!Z:Z),"")</f>
        <v/>
      </c>
      <c r="O267" s="158" t="str">
        <f>IFERROR(1-SUMIF('Plant BD'!$H:$H,$A267,'Plant BD'!AC:AC)/$F267,"")</f>
        <v/>
      </c>
      <c r="P267" s="158"/>
      <c r="Q267" s="159"/>
      <c r="R267" s="158" t="str">
        <f>IFERROR(1-SUMIF('Grid BD'!$H:$H,$A267,'Grid BD'!AB:AB)/$F267,"")</f>
        <v/>
      </c>
      <c r="T267" s="159" t="str">
        <f>IFERROR(1-SUMIF(Tracker_BD!$H:$H,$A267,Tracker_BD!AI:AI)/$F267,"")</f>
        <v/>
      </c>
      <c r="U267" s="160" t="str">
        <f t="shared" si="18"/>
        <v/>
      </c>
      <c r="V267" s="160"/>
      <c r="W267" s="161" t="str">
        <f t="shared" si="19"/>
        <v/>
      </c>
      <c r="X267" s="156" t="str">
        <f>IFERROR(_xlfn.XLOOKUP($A267,'Raw Data'!$G:$G,'Raw Data'!$AB:$AB),"")</f>
        <v/>
      </c>
      <c r="Y267" s="156" t="str">
        <f>IFERROR(_xlfn.XLOOKUP($A267,'Raw Data'!$G:$G,'Raw Data'!AC:AC),"")</f>
        <v/>
      </c>
      <c r="Z267" s="156" t="str">
        <f>IFERROR(_xlfn.XLOOKUP($A267,'Raw Data'!$G:$G,'Raw Data'!AD:AD),"")</f>
        <v/>
      </c>
      <c r="AA267" s="156" t="str">
        <f>IFERROR(_xlfn.XLOOKUP($A267,'Raw Data'!$G:$G,'Raw Data'!AE:AE),"")</f>
        <v/>
      </c>
      <c r="AB267" s="156" t="str">
        <f>IFERROR(_xlfn.XLOOKUP($A267,'Raw Data'!$G:$G,'Raw Data'!$H:$H),"")</f>
        <v/>
      </c>
      <c r="AC267" s="162">
        <f>IFERROR(_xlfn.XLOOKUP($D267,'Modelling New'!$D:$D,'Modelling New'!$P:$P),"")</f>
        <v>5.3204721516128961</v>
      </c>
      <c r="AD267" s="156">
        <f>IFERROR(_xlfn.XLOOKUP($D267,'Modelling New'!$D:$D,'Modelling New'!$T:$T)*1000,"")</f>
        <v>48291.284576209953</v>
      </c>
      <c r="AE267" s="163">
        <f>IFERROR(_xlfn.XLOOKUP($D267,'Modelling New'!$D:$D,'Modelling New'!$O:$O),"")</f>
        <v>0.77444569867075785</v>
      </c>
      <c r="AF267" s="163">
        <f>IFERROR(_xlfn.XLOOKUP($D267,'Modelling New'!$D:$D,'Modelling New'!$W:$W),"")</f>
        <v>0.17168403219642331</v>
      </c>
      <c r="AG267" s="163">
        <f>IFERROR(_xlfn.XLOOKUP($D267,'Modelling New'!$D:$D,'Modelling New'!AE:AE),"")</f>
        <v>0.995</v>
      </c>
      <c r="AH267" s="163">
        <f>IFERROR(_xlfn.XLOOKUP($D267,'Modelling New'!$D:$D,'Modelling New'!AF:AF),"")</f>
        <v>0.98550000000000004</v>
      </c>
      <c r="AN267" s="164"/>
      <c r="AO267" s="161"/>
      <c r="AP267" s="161"/>
      <c r="AQ267" s="161"/>
      <c r="AR267" s="156">
        <f>IFERROR(_xlfn.XLOOKUP($D267,'Modelling New'!$D:$D,'Modelling New'!$N:$N),"")</f>
        <v>11.72</v>
      </c>
    </row>
    <row r="268" spans="1:44">
      <c r="A268" s="155">
        <f t="shared" si="20"/>
        <v>46011</v>
      </c>
      <c r="B268" s="156">
        <f>YEAR(Table13[[#This Row],[Date]])+IF(MONTH(Table13[[#This Row],[Date]])&gt;=4,1,0)</f>
        <v>2026</v>
      </c>
      <c r="C268" s="129">
        <f>YEAR(Table13[[#This Row],[Date]])</f>
        <v>2025</v>
      </c>
      <c r="D268" s="157">
        <f>Table13[[#This Row],[Date]]-DAY(Table13[[#This Row],[Date]])+1</f>
        <v>45992</v>
      </c>
      <c r="E268" s="129">
        <f t="shared" si="17"/>
        <v>31</v>
      </c>
      <c r="F268" s="130" t="str">
        <f>IFERROR(_xlfn.XLOOKUP($A268,'Raw Data'!$G:$G,'Raw Data'!$AH:$AH),"")</f>
        <v/>
      </c>
      <c r="G268" s="131" t="str">
        <f>IFERROR(_xlfn.XLOOKUP($A268,'Raw Data'!$G:$G,'Raw Data'!$S:$S)/1000,"")</f>
        <v/>
      </c>
      <c r="H268" s="131"/>
      <c r="I268" s="131" t="str">
        <f>IFERROR(_xlfn.XLOOKUP($A268,'Raw Data'!$G:$G,'Raw Data'!$AF:$AF)/1000,"")</f>
        <v/>
      </c>
      <c r="J268" s="131"/>
      <c r="K268" s="131" t="str">
        <f>IFERROR(_xlfn.XLOOKUP($A268,'Raw Data'!$G:$G,'Raw Data'!W:W),"")</f>
        <v/>
      </c>
      <c r="L268" s="131" t="str">
        <f>IFERROR(_xlfn.XLOOKUP($A268,'Raw Data'!$G:$G,'Raw Data'!X:X),"")</f>
        <v/>
      </c>
      <c r="M268" s="131" t="str">
        <f>IFERROR(_xlfn.XLOOKUP($A268,'Raw Data'!$G:$G,'Raw Data'!Y:Y),"")</f>
        <v/>
      </c>
      <c r="N268" s="131" t="str">
        <f>IFERROR(_xlfn.XLOOKUP($A268,'Raw Data'!$G:$G,'Raw Data'!Z:Z),"")</f>
        <v/>
      </c>
      <c r="O268" s="158" t="str">
        <f>IFERROR(1-SUMIF('Plant BD'!$H:$H,$A268,'Plant BD'!AC:AC)/$F268,"")</f>
        <v/>
      </c>
      <c r="P268" s="158"/>
      <c r="Q268" s="159"/>
      <c r="R268" s="158" t="str">
        <f>IFERROR(1-SUMIF('Grid BD'!$H:$H,$A268,'Grid BD'!AB:AB)/$F268,"")</f>
        <v/>
      </c>
      <c r="T268" s="159" t="str">
        <f>IFERROR(1-SUMIF(Tracker_BD!$H:$H,$A268,Tracker_BD!AI:AI)/$F268,"")</f>
        <v/>
      </c>
      <c r="U268" s="160" t="str">
        <f t="shared" si="18"/>
        <v/>
      </c>
      <c r="V268" s="160"/>
      <c r="W268" s="161" t="str">
        <f t="shared" si="19"/>
        <v/>
      </c>
      <c r="X268" s="156" t="str">
        <f>IFERROR(_xlfn.XLOOKUP($A268,'Raw Data'!$G:$G,'Raw Data'!$AB:$AB),"")</f>
        <v/>
      </c>
      <c r="Y268" s="156" t="str">
        <f>IFERROR(_xlfn.XLOOKUP($A268,'Raw Data'!$G:$G,'Raw Data'!AC:AC),"")</f>
        <v/>
      </c>
      <c r="Z268" s="156" t="str">
        <f>IFERROR(_xlfn.XLOOKUP($A268,'Raw Data'!$G:$G,'Raw Data'!AD:AD),"")</f>
        <v/>
      </c>
      <c r="AA268" s="156" t="str">
        <f>IFERROR(_xlfn.XLOOKUP($A268,'Raw Data'!$G:$G,'Raw Data'!AE:AE),"")</f>
        <v/>
      </c>
      <c r="AB268" s="156" t="str">
        <f>IFERROR(_xlfn.XLOOKUP($A268,'Raw Data'!$G:$G,'Raw Data'!$H:$H),"")</f>
        <v/>
      </c>
      <c r="AC268" s="162">
        <f>IFERROR(_xlfn.XLOOKUP($D268,'Modelling New'!$D:$D,'Modelling New'!$P:$P),"")</f>
        <v>5.3204721516128961</v>
      </c>
      <c r="AD268" s="156">
        <f>IFERROR(_xlfn.XLOOKUP($D268,'Modelling New'!$D:$D,'Modelling New'!$T:$T)*1000,"")</f>
        <v>48291.284576209953</v>
      </c>
      <c r="AE268" s="163">
        <f>IFERROR(_xlfn.XLOOKUP($D268,'Modelling New'!$D:$D,'Modelling New'!$O:$O),"")</f>
        <v>0.77444569867075785</v>
      </c>
      <c r="AF268" s="163">
        <f>IFERROR(_xlfn.XLOOKUP($D268,'Modelling New'!$D:$D,'Modelling New'!$W:$W),"")</f>
        <v>0.17168403219642331</v>
      </c>
      <c r="AG268" s="163">
        <f>IFERROR(_xlfn.XLOOKUP($D268,'Modelling New'!$D:$D,'Modelling New'!AE:AE),"")</f>
        <v>0.995</v>
      </c>
      <c r="AH268" s="163">
        <f>IFERROR(_xlfn.XLOOKUP($D268,'Modelling New'!$D:$D,'Modelling New'!AF:AF),"")</f>
        <v>0.98550000000000004</v>
      </c>
      <c r="AN268" s="164"/>
      <c r="AO268" s="161"/>
      <c r="AP268" s="161"/>
      <c r="AQ268" s="161"/>
      <c r="AR268" s="156">
        <f>IFERROR(_xlfn.XLOOKUP($D268,'Modelling New'!$D:$D,'Modelling New'!$N:$N),"")</f>
        <v>11.72</v>
      </c>
    </row>
    <row r="269" spans="1:44">
      <c r="A269" s="155">
        <f t="shared" si="20"/>
        <v>46012</v>
      </c>
      <c r="B269" s="156">
        <f>YEAR(Table13[[#This Row],[Date]])+IF(MONTH(Table13[[#This Row],[Date]])&gt;=4,1,0)</f>
        <v>2026</v>
      </c>
      <c r="C269" s="129">
        <f>YEAR(Table13[[#This Row],[Date]])</f>
        <v>2025</v>
      </c>
      <c r="D269" s="157">
        <f>Table13[[#This Row],[Date]]-DAY(Table13[[#This Row],[Date]])+1</f>
        <v>45992</v>
      </c>
      <c r="E269" s="129">
        <f t="shared" si="17"/>
        <v>31</v>
      </c>
      <c r="F269" s="130" t="str">
        <f>IFERROR(_xlfn.XLOOKUP($A269,'Raw Data'!$G:$G,'Raw Data'!$AH:$AH),"")</f>
        <v/>
      </c>
      <c r="G269" s="131" t="str">
        <f>IFERROR(_xlfn.XLOOKUP($A269,'Raw Data'!$G:$G,'Raw Data'!$S:$S)/1000,"")</f>
        <v/>
      </c>
      <c r="H269" s="131"/>
      <c r="I269" s="131" t="str">
        <f>IFERROR(_xlfn.XLOOKUP($A269,'Raw Data'!$G:$G,'Raw Data'!$AF:$AF)/1000,"")</f>
        <v/>
      </c>
      <c r="J269" s="131"/>
      <c r="K269" s="131" t="str">
        <f>IFERROR(_xlfn.XLOOKUP($A269,'Raw Data'!$G:$G,'Raw Data'!W:W),"")</f>
        <v/>
      </c>
      <c r="L269" s="131" t="str">
        <f>IFERROR(_xlfn.XLOOKUP($A269,'Raw Data'!$G:$G,'Raw Data'!X:X),"")</f>
        <v/>
      </c>
      <c r="M269" s="131" t="str">
        <f>IFERROR(_xlfn.XLOOKUP($A269,'Raw Data'!$G:$G,'Raw Data'!Y:Y),"")</f>
        <v/>
      </c>
      <c r="N269" s="131" t="str">
        <f>IFERROR(_xlfn.XLOOKUP($A269,'Raw Data'!$G:$G,'Raw Data'!Z:Z),"")</f>
        <v/>
      </c>
      <c r="O269" s="158" t="str">
        <f>IFERROR(1-SUMIF('Plant BD'!$H:$H,$A269,'Plant BD'!AC:AC)/$F269,"")</f>
        <v/>
      </c>
      <c r="P269" s="158"/>
      <c r="Q269" s="159"/>
      <c r="R269" s="158" t="str">
        <f>IFERROR(1-SUMIF('Grid BD'!$H:$H,$A269,'Grid BD'!AB:AB)/$F269,"")</f>
        <v/>
      </c>
      <c r="T269" s="159" t="str">
        <f>IFERROR(1-SUMIF(Tracker_BD!$H:$H,$A269,Tracker_BD!AI:AI)/$F269,"")</f>
        <v/>
      </c>
      <c r="U269" s="160" t="str">
        <f t="shared" si="18"/>
        <v/>
      </c>
      <c r="V269" s="160"/>
      <c r="W269" s="161" t="str">
        <f t="shared" si="19"/>
        <v/>
      </c>
      <c r="X269" s="156" t="str">
        <f>IFERROR(_xlfn.XLOOKUP($A269,'Raw Data'!$G:$G,'Raw Data'!$AB:$AB),"")</f>
        <v/>
      </c>
      <c r="Y269" s="156" t="str">
        <f>IFERROR(_xlfn.XLOOKUP($A269,'Raw Data'!$G:$G,'Raw Data'!AC:AC),"")</f>
        <v/>
      </c>
      <c r="Z269" s="156" t="str">
        <f>IFERROR(_xlfn.XLOOKUP($A269,'Raw Data'!$G:$G,'Raw Data'!AD:AD),"")</f>
        <v/>
      </c>
      <c r="AA269" s="156" t="str">
        <f>IFERROR(_xlfn.XLOOKUP($A269,'Raw Data'!$G:$G,'Raw Data'!AE:AE),"")</f>
        <v/>
      </c>
      <c r="AB269" s="156" t="str">
        <f>IFERROR(_xlfn.XLOOKUP($A269,'Raw Data'!$G:$G,'Raw Data'!$H:$H),"")</f>
        <v/>
      </c>
      <c r="AC269" s="162">
        <f>IFERROR(_xlfn.XLOOKUP($D269,'Modelling New'!$D:$D,'Modelling New'!$P:$P),"")</f>
        <v>5.3204721516128961</v>
      </c>
      <c r="AD269" s="156">
        <f>IFERROR(_xlfn.XLOOKUP($D269,'Modelling New'!$D:$D,'Modelling New'!$T:$T)*1000,"")</f>
        <v>48291.284576209953</v>
      </c>
      <c r="AE269" s="163">
        <f>IFERROR(_xlfn.XLOOKUP($D269,'Modelling New'!$D:$D,'Modelling New'!$O:$O),"")</f>
        <v>0.77444569867075785</v>
      </c>
      <c r="AF269" s="163">
        <f>IFERROR(_xlfn.XLOOKUP($D269,'Modelling New'!$D:$D,'Modelling New'!$W:$W),"")</f>
        <v>0.17168403219642331</v>
      </c>
      <c r="AG269" s="163">
        <f>IFERROR(_xlfn.XLOOKUP($D269,'Modelling New'!$D:$D,'Modelling New'!AE:AE),"")</f>
        <v>0.995</v>
      </c>
      <c r="AH269" s="163">
        <f>IFERROR(_xlfn.XLOOKUP($D269,'Modelling New'!$D:$D,'Modelling New'!AF:AF),"")</f>
        <v>0.98550000000000004</v>
      </c>
      <c r="AN269" s="164"/>
      <c r="AO269" s="161"/>
      <c r="AP269" s="161"/>
      <c r="AQ269" s="161"/>
      <c r="AR269" s="156">
        <f>IFERROR(_xlfn.XLOOKUP($D269,'Modelling New'!$D:$D,'Modelling New'!$N:$N),"")</f>
        <v>11.72</v>
      </c>
    </row>
    <row r="270" spans="1:44">
      <c r="A270" s="155">
        <f t="shared" si="20"/>
        <v>46013</v>
      </c>
      <c r="B270" s="156">
        <f>YEAR(Table13[[#This Row],[Date]])+IF(MONTH(Table13[[#This Row],[Date]])&gt;=4,1,0)</f>
        <v>2026</v>
      </c>
      <c r="C270" s="129">
        <f>YEAR(Table13[[#This Row],[Date]])</f>
        <v>2025</v>
      </c>
      <c r="D270" s="157">
        <f>Table13[[#This Row],[Date]]-DAY(Table13[[#This Row],[Date]])+1</f>
        <v>45992</v>
      </c>
      <c r="E270" s="129">
        <f t="shared" si="17"/>
        <v>31</v>
      </c>
      <c r="F270" s="130" t="str">
        <f>IFERROR(_xlfn.XLOOKUP($A270,'Raw Data'!$G:$G,'Raw Data'!$AH:$AH),"")</f>
        <v/>
      </c>
      <c r="G270" s="131" t="str">
        <f>IFERROR(_xlfn.XLOOKUP($A270,'Raw Data'!$G:$G,'Raw Data'!$S:$S)/1000,"")</f>
        <v/>
      </c>
      <c r="H270" s="131"/>
      <c r="I270" s="131" t="str">
        <f>IFERROR(_xlfn.XLOOKUP($A270,'Raw Data'!$G:$G,'Raw Data'!$AF:$AF)/1000,"")</f>
        <v/>
      </c>
      <c r="J270" s="131"/>
      <c r="K270" s="131" t="str">
        <f>IFERROR(_xlfn.XLOOKUP($A270,'Raw Data'!$G:$G,'Raw Data'!W:W),"")</f>
        <v/>
      </c>
      <c r="L270" s="131" t="str">
        <f>IFERROR(_xlfn.XLOOKUP($A270,'Raw Data'!$G:$G,'Raw Data'!X:X),"")</f>
        <v/>
      </c>
      <c r="M270" s="131" t="str">
        <f>IFERROR(_xlfn.XLOOKUP($A270,'Raw Data'!$G:$G,'Raw Data'!Y:Y),"")</f>
        <v/>
      </c>
      <c r="N270" s="131" t="str">
        <f>IFERROR(_xlfn.XLOOKUP($A270,'Raw Data'!$G:$G,'Raw Data'!Z:Z),"")</f>
        <v/>
      </c>
      <c r="O270" s="158" t="str">
        <f>IFERROR(1-SUMIF('Plant BD'!$H:$H,$A270,'Plant BD'!AC:AC)/$F270,"")</f>
        <v/>
      </c>
      <c r="P270" s="158"/>
      <c r="Q270" s="159"/>
      <c r="R270" s="158" t="str">
        <f>IFERROR(1-SUMIF('Grid BD'!$H:$H,$A270,'Grid BD'!AB:AB)/$F270,"")</f>
        <v/>
      </c>
      <c r="T270" s="159" t="str">
        <f>IFERROR(1-SUMIF(Tracker_BD!$H:$H,$A270,Tracker_BD!AI:AI)/$F270,"")</f>
        <v/>
      </c>
      <c r="U270" s="160" t="str">
        <f t="shared" si="18"/>
        <v/>
      </c>
      <c r="V270" s="160"/>
      <c r="W270" s="161" t="str">
        <f t="shared" si="19"/>
        <v/>
      </c>
      <c r="X270" s="156" t="str">
        <f>IFERROR(_xlfn.XLOOKUP($A270,'Raw Data'!$G:$G,'Raw Data'!$AB:$AB),"")</f>
        <v/>
      </c>
      <c r="Y270" s="156" t="str">
        <f>IFERROR(_xlfn.XLOOKUP($A270,'Raw Data'!$G:$G,'Raw Data'!AC:AC),"")</f>
        <v/>
      </c>
      <c r="Z270" s="156" t="str">
        <f>IFERROR(_xlfn.XLOOKUP($A270,'Raw Data'!$G:$G,'Raw Data'!AD:AD),"")</f>
        <v/>
      </c>
      <c r="AA270" s="156" t="str">
        <f>IFERROR(_xlfn.XLOOKUP($A270,'Raw Data'!$G:$G,'Raw Data'!AE:AE),"")</f>
        <v/>
      </c>
      <c r="AB270" s="156" t="str">
        <f>IFERROR(_xlfn.XLOOKUP($A270,'Raw Data'!$G:$G,'Raw Data'!$H:$H),"")</f>
        <v/>
      </c>
      <c r="AC270" s="162">
        <f>IFERROR(_xlfn.XLOOKUP($D270,'Modelling New'!$D:$D,'Modelling New'!$P:$P),"")</f>
        <v>5.3204721516128961</v>
      </c>
      <c r="AD270" s="156">
        <f>IFERROR(_xlfn.XLOOKUP($D270,'Modelling New'!$D:$D,'Modelling New'!$T:$T)*1000,"")</f>
        <v>48291.284576209953</v>
      </c>
      <c r="AE270" s="163">
        <f>IFERROR(_xlfn.XLOOKUP($D270,'Modelling New'!$D:$D,'Modelling New'!$O:$O),"")</f>
        <v>0.77444569867075785</v>
      </c>
      <c r="AF270" s="163">
        <f>IFERROR(_xlfn.XLOOKUP($D270,'Modelling New'!$D:$D,'Modelling New'!$W:$W),"")</f>
        <v>0.17168403219642331</v>
      </c>
      <c r="AG270" s="163">
        <f>IFERROR(_xlfn.XLOOKUP($D270,'Modelling New'!$D:$D,'Modelling New'!AE:AE),"")</f>
        <v>0.995</v>
      </c>
      <c r="AH270" s="163">
        <f>IFERROR(_xlfn.XLOOKUP($D270,'Modelling New'!$D:$D,'Modelling New'!AF:AF),"")</f>
        <v>0.98550000000000004</v>
      </c>
      <c r="AN270" s="164"/>
      <c r="AO270" s="161"/>
      <c r="AP270" s="161"/>
      <c r="AQ270" s="161"/>
      <c r="AR270" s="156">
        <f>IFERROR(_xlfn.XLOOKUP($D270,'Modelling New'!$D:$D,'Modelling New'!$N:$N),"")</f>
        <v>11.72</v>
      </c>
    </row>
    <row r="271" spans="1:44">
      <c r="A271" s="155">
        <f t="shared" si="20"/>
        <v>46014</v>
      </c>
      <c r="B271" s="156">
        <f>YEAR(Table13[[#This Row],[Date]])+IF(MONTH(Table13[[#This Row],[Date]])&gt;=4,1,0)</f>
        <v>2026</v>
      </c>
      <c r="C271" s="129">
        <f>YEAR(Table13[[#This Row],[Date]])</f>
        <v>2025</v>
      </c>
      <c r="D271" s="157">
        <f>Table13[[#This Row],[Date]]-DAY(Table13[[#This Row],[Date]])+1</f>
        <v>45992</v>
      </c>
      <c r="E271" s="129">
        <f t="shared" si="17"/>
        <v>31</v>
      </c>
      <c r="F271" s="130" t="str">
        <f>IFERROR(_xlfn.XLOOKUP($A271,'Raw Data'!$G:$G,'Raw Data'!$AH:$AH),"")</f>
        <v/>
      </c>
      <c r="G271" s="131" t="str">
        <f>IFERROR(_xlfn.XLOOKUP($A271,'Raw Data'!$G:$G,'Raw Data'!$S:$S)/1000,"")</f>
        <v/>
      </c>
      <c r="H271" s="131"/>
      <c r="I271" s="131" t="str">
        <f>IFERROR(_xlfn.XLOOKUP($A271,'Raw Data'!$G:$G,'Raw Data'!$AF:$AF)/1000,"")</f>
        <v/>
      </c>
      <c r="J271" s="131"/>
      <c r="K271" s="131" t="str">
        <f>IFERROR(_xlfn.XLOOKUP($A271,'Raw Data'!$G:$G,'Raw Data'!W:W),"")</f>
        <v/>
      </c>
      <c r="L271" s="131" t="str">
        <f>IFERROR(_xlfn.XLOOKUP($A271,'Raw Data'!$G:$G,'Raw Data'!X:X),"")</f>
        <v/>
      </c>
      <c r="M271" s="131" t="str">
        <f>IFERROR(_xlfn.XLOOKUP($A271,'Raw Data'!$G:$G,'Raw Data'!Y:Y),"")</f>
        <v/>
      </c>
      <c r="N271" s="131" t="str">
        <f>IFERROR(_xlfn.XLOOKUP($A271,'Raw Data'!$G:$G,'Raw Data'!Z:Z),"")</f>
        <v/>
      </c>
      <c r="O271" s="158" t="str">
        <f>IFERROR(1-SUMIF('Plant BD'!$H:$H,$A271,'Plant BD'!AC:AC)/$F271,"")</f>
        <v/>
      </c>
      <c r="P271" s="158"/>
      <c r="Q271" s="159"/>
      <c r="R271" s="158" t="str">
        <f>IFERROR(1-SUMIF('Grid BD'!$H:$H,$A271,'Grid BD'!AB:AB)/$F271,"")</f>
        <v/>
      </c>
      <c r="T271" s="159" t="str">
        <f>IFERROR(1-SUMIF(Tracker_BD!$H:$H,$A271,Tracker_BD!AI:AI)/$F271,"")</f>
        <v/>
      </c>
      <c r="U271" s="160" t="str">
        <f t="shared" si="18"/>
        <v/>
      </c>
      <c r="V271" s="160"/>
      <c r="W271" s="161" t="str">
        <f t="shared" si="19"/>
        <v/>
      </c>
      <c r="X271" s="156" t="str">
        <f>IFERROR(_xlfn.XLOOKUP($A271,'Raw Data'!$G:$G,'Raw Data'!$AB:$AB),"")</f>
        <v/>
      </c>
      <c r="Y271" s="156" t="str">
        <f>IFERROR(_xlfn.XLOOKUP($A271,'Raw Data'!$G:$G,'Raw Data'!AC:AC),"")</f>
        <v/>
      </c>
      <c r="Z271" s="156" t="str">
        <f>IFERROR(_xlfn.XLOOKUP($A271,'Raw Data'!$G:$G,'Raw Data'!AD:AD),"")</f>
        <v/>
      </c>
      <c r="AA271" s="156" t="str">
        <f>IFERROR(_xlfn.XLOOKUP($A271,'Raw Data'!$G:$G,'Raw Data'!AE:AE),"")</f>
        <v/>
      </c>
      <c r="AB271" s="156" t="str">
        <f>IFERROR(_xlfn.XLOOKUP($A271,'Raw Data'!$G:$G,'Raw Data'!$H:$H),"")</f>
        <v/>
      </c>
      <c r="AC271" s="162">
        <f>IFERROR(_xlfn.XLOOKUP($D271,'Modelling New'!$D:$D,'Modelling New'!$P:$P),"")</f>
        <v>5.3204721516128961</v>
      </c>
      <c r="AD271" s="156">
        <f>IFERROR(_xlfn.XLOOKUP($D271,'Modelling New'!$D:$D,'Modelling New'!$T:$T)*1000,"")</f>
        <v>48291.284576209953</v>
      </c>
      <c r="AE271" s="163">
        <f>IFERROR(_xlfn.XLOOKUP($D271,'Modelling New'!$D:$D,'Modelling New'!$O:$O),"")</f>
        <v>0.77444569867075785</v>
      </c>
      <c r="AF271" s="163">
        <f>IFERROR(_xlfn.XLOOKUP($D271,'Modelling New'!$D:$D,'Modelling New'!$W:$W),"")</f>
        <v>0.17168403219642331</v>
      </c>
      <c r="AG271" s="163">
        <f>IFERROR(_xlfn.XLOOKUP($D271,'Modelling New'!$D:$D,'Modelling New'!AE:AE),"")</f>
        <v>0.995</v>
      </c>
      <c r="AH271" s="163">
        <f>IFERROR(_xlfn.XLOOKUP($D271,'Modelling New'!$D:$D,'Modelling New'!AF:AF),"")</f>
        <v>0.98550000000000004</v>
      </c>
      <c r="AN271" s="164"/>
      <c r="AO271" s="161"/>
      <c r="AP271" s="161"/>
      <c r="AQ271" s="161"/>
      <c r="AR271" s="156">
        <f>IFERROR(_xlfn.XLOOKUP($D271,'Modelling New'!$D:$D,'Modelling New'!$N:$N),"")</f>
        <v>11.72</v>
      </c>
    </row>
    <row r="272" spans="1:44">
      <c r="A272" s="155">
        <f t="shared" si="20"/>
        <v>46015</v>
      </c>
      <c r="B272" s="156">
        <f>YEAR(Table13[[#This Row],[Date]])+IF(MONTH(Table13[[#This Row],[Date]])&gt;=4,1,0)</f>
        <v>2026</v>
      </c>
      <c r="C272" s="129">
        <f>YEAR(Table13[[#This Row],[Date]])</f>
        <v>2025</v>
      </c>
      <c r="D272" s="157">
        <f>Table13[[#This Row],[Date]]-DAY(Table13[[#This Row],[Date]])+1</f>
        <v>45992</v>
      </c>
      <c r="E272" s="129">
        <f t="shared" si="17"/>
        <v>31</v>
      </c>
      <c r="F272" s="130" t="str">
        <f>IFERROR(_xlfn.XLOOKUP($A272,'Raw Data'!$G:$G,'Raw Data'!$AH:$AH),"")</f>
        <v/>
      </c>
      <c r="G272" s="131" t="str">
        <f>IFERROR(_xlfn.XLOOKUP($A272,'Raw Data'!$G:$G,'Raw Data'!$S:$S)/1000,"")</f>
        <v/>
      </c>
      <c r="H272" s="131"/>
      <c r="I272" s="131" t="str">
        <f>IFERROR(_xlfn.XLOOKUP($A272,'Raw Data'!$G:$G,'Raw Data'!$AF:$AF)/1000,"")</f>
        <v/>
      </c>
      <c r="J272" s="131"/>
      <c r="K272" s="131" t="str">
        <f>IFERROR(_xlfn.XLOOKUP($A272,'Raw Data'!$G:$G,'Raw Data'!W:W),"")</f>
        <v/>
      </c>
      <c r="L272" s="131" t="str">
        <f>IFERROR(_xlfn.XLOOKUP($A272,'Raw Data'!$G:$G,'Raw Data'!X:X),"")</f>
        <v/>
      </c>
      <c r="M272" s="131" t="str">
        <f>IFERROR(_xlfn.XLOOKUP($A272,'Raw Data'!$G:$G,'Raw Data'!Y:Y),"")</f>
        <v/>
      </c>
      <c r="N272" s="131" t="str">
        <f>IFERROR(_xlfn.XLOOKUP($A272,'Raw Data'!$G:$G,'Raw Data'!Z:Z),"")</f>
        <v/>
      </c>
      <c r="O272" s="158" t="str">
        <f>IFERROR(1-SUMIF('Plant BD'!$H:$H,$A272,'Plant BD'!AC:AC)/$F272,"")</f>
        <v/>
      </c>
      <c r="P272" s="158"/>
      <c r="Q272" s="159"/>
      <c r="R272" s="158" t="str">
        <f>IFERROR(1-SUMIF('Grid BD'!$H:$H,$A272,'Grid BD'!AB:AB)/$F272,"")</f>
        <v/>
      </c>
      <c r="T272" s="159" t="str">
        <f>IFERROR(1-SUMIF(Tracker_BD!$H:$H,$A272,Tracker_BD!AI:AI)/$F272,"")</f>
        <v/>
      </c>
      <c r="U272" s="160" t="str">
        <f t="shared" si="18"/>
        <v/>
      </c>
      <c r="V272" s="160"/>
      <c r="W272" s="161" t="str">
        <f t="shared" si="19"/>
        <v/>
      </c>
      <c r="X272" s="156" t="str">
        <f>IFERROR(_xlfn.XLOOKUP($A272,'Raw Data'!$G:$G,'Raw Data'!$AB:$AB),"")</f>
        <v/>
      </c>
      <c r="Y272" s="156" t="str">
        <f>IFERROR(_xlfn.XLOOKUP($A272,'Raw Data'!$G:$G,'Raw Data'!AC:AC),"")</f>
        <v/>
      </c>
      <c r="Z272" s="156" t="str">
        <f>IFERROR(_xlfn.XLOOKUP($A272,'Raw Data'!$G:$G,'Raw Data'!AD:AD),"")</f>
        <v/>
      </c>
      <c r="AA272" s="156" t="str">
        <f>IFERROR(_xlfn.XLOOKUP($A272,'Raw Data'!$G:$G,'Raw Data'!AE:AE),"")</f>
        <v/>
      </c>
      <c r="AB272" s="156" t="str">
        <f>IFERROR(_xlfn.XLOOKUP($A272,'Raw Data'!$G:$G,'Raw Data'!$H:$H),"")</f>
        <v/>
      </c>
      <c r="AC272" s="162">
        <f>IFERROR(_xlfn.XLOOKUP($D272,'Modelling New'!$D:$D,'Modelling New'!$P:$P),"")</f>
        <v>5.3204721516128961</v>
      </c>
      <c r="AD272" s="156">
        <f>IFERROR(_xlfn.XLOOKUP($D272,'Modelling New'!$D:$D,'Modelling New'!$T:$T)*1000,"")</f>
        <v>48291.284576209953</v>
      </c>
      <c r="AE272" s="163">
        <f>IFERROR(_xlfn.XLOOKUP($D272,'Modelling New'!$D:$D,'Modelling New'!$O:$O),"")</f>
        <v>0.77444569867075785</v>
      </c>
      <c r="AF272" s="163">
        <f>IFERROR(_xlfn.XLOOKUP($D272,'Modelling New'!$D:$D,'Modelling New'!$W:$W),"")</f>
        <v>0.17168403219642331</v>
      </c>
      <c r="AG272" s="163">
        <f>IFERROR(_xlfn.XLOOKUP($D272,'Modelling New'!$D:$D,'Modelling New'!AE:AE),"")</f>
        <v>0.995</v>
      </c>
      <c r="AH272" s="163">
        <f>IFERROR(_xlfn.XLOOKUP($D272,'Modelling New'!$D:$D,'Modelling New'!AF:AF),"")</f>
        <v>0.98550000000000004</v>
      </c>
      <c r="AN272" s="164"/>
      <c r="AO272" s="161"/>
      <c r="AP272" s="161"/>
      <c r="AQ272" s="161"/>
      <c r="AR272" s="156">
        <f>IFERROR(_xlfn.XLOOKUP($D272,'Modelling New'!$D:$D,'Modelling New'!$N:$N),"")</f>
        <v>11.72</v>
      </c>
    </row>
    <row r="273" spans="1:44">
      <c r="A273" s="155">
        <f t="shared" si="20"/>
        <v>46016</v>
      </c>
      <c r="B273" s="156">
        <f>YEAR(Table13[[#This Row],[Date]])+IF(MONTH(Table13[[#This Row],[Date]])&gt;=4,1,0)</f>
        <v>2026</v>
      </c>
      <c r="C273" s="129">
        <f>YEAR(Table13[[#This Row],[Date]])</f>
        <v>2025</v>
      </c>
      <c r="D273" s="157">
        <f>Table13[[#This Row],[Date]]-DAY(Table13[[#This Row],[Date]])+1</f>
        <v>45992</v>
      </c>
      <c r="E273" s="129">
        <f t="shared" si="17"/>
        <v>31</v>
      </c>
      <c r="F273" s="130" t="str">
        <f>IFERROR(_xlfn.XLOOKUP($A273,'Raw Data'!$G:$G,'Raw Data'!$AH:$AH),"")</f>
        <v/>
      </c>
      <c r="G273" s="131" t="str">
        <f>IFERROR(_xlfn.XLOOKUP($A273,'Raw Data'!$G:$G,'Raw Data'!$S:$S)/1000,"")</f>
        <v/>
      </c>
      <c r="H273" s="131"/>
      <c r="I273" s="131" t="str">
        <f>IFERROR(_xlfn.XLOOKUP($A273,'Raw Data'!$G:$G,'Raw Data'!$AF:$AF)/1000,"")</f>
        <v/>
      </c>
      <c r="J273" s="131"/>
      <c r="K273" s="131" t="str">
        <f>IFERROR(_xlfn.XLOOKUP($A273,'Raw Data'!$G:$G,'Raw Data'!W:W),"")</f>
        <v/>
      </c>
      <c r="L273" s="131" t="str">
        <f>IFERROR(_xlfn.XLOOKUP($A273,'Raw Data'!$G:$G,'Raw Data'!X:X),"")</f>
        <v/>
      </c>
      <c r="M273" s="131" t="str">
        <f>IFERROR(_xlfn.XLOOKUP($A273,'Raw Data'!$G:$G,'Raw Data'!Y:Y),"")</f>
        <v/>
      </c>
      <c r="N273" s="131" t="str">
        <f>IFERROR(_xlfn.XLOOKUP($A273,'Raw Data'!$G:$G,'Raw Data'!Z:Z),"")</f>
        <v/>
      </c>
      <c r="O273" s="158" t="str">
        <f>IFERROR(1-SUMIF('Plant BD'!$H:$H,$A273,'Plant BD'!AC:AC)/$F273,"")</f>
        <v/>
      </c>
      <c r="P273" s="158"/>
      <c r="Q273" s="159"/>
      <c r="R273" s="158" t="str">
        <f>IFERROR(1-SUMIF('Grid BD'!$H:$H,$A273,'Grid BD'!AB:AB)/$F273,"")</f>
        <v/>
      </c>
      <c r="T273" s="159" t="str">
        <f>IFERROR(1-SUMIF(Tracker_BD!$H:$H,$A273,Tracker_BD!AI:AI)/$F273,"")</f>
        <v/>
      </c>
      <c r="U273" s="160" t="str">
        <f t="shared" si="18"/>
        <v/>
      </c>
      <c r="V273" s="160"/>
      <c r="W273" s="161" t="str">
        <f t="shared" si="19"/>
        <v/>
      </c>
      <c r="X273" s="156" t="str">
        <f>IFERROR(_xlfn.XLOOKUP($A273,'Raw Data'!$G:$G,'Raw Data'!$AB:$AB),"")</f>
        <v/>
      </c>
      <c r="Y273" s="156" t="str">
        <f>IFERROR(_xlfn.XLOOKUP($A273,'Raw Data'!$G:$G,'Raw Data'!AC:AC),"")</f>
        <v/>
      </c>
      <c r="Z273" s="156" t="str">
        <f>IFERROR(_xlfn.XLOOKUP($A273,'Raw Data'!$G:$G,'Raw Data'!AD:AD),"")</f>
        <v/>
      </c>
      <c r="AA273" s="156" t="str">
        <f>IFERROR(_xlfn.XLOOKUP($A273,'Raw Data'!$G:$G,'Raw Data'!AE:AE),"")</f>
        <v/>
      </c>
      <c r="AB273" s="156" t="str">
        <f>IFERROR(_xlfn.XLOOKUP($A273,'Raw Data'!$G:$G,'Raw Data'!$H:$H),"")</f>
        <v/>
      </c>
      <c r="AC273" s="162">
        <f>IFERROR(_xlfn.XLOOKUP($D273,'Modelling New'!$D:$D,'Modelling New'!$P:$P),"")</f>
        <v>5.3204721516128961</v>
      </c>
      <c r="AD273" s="156">
        <f>IFERROR(_xlfn.XLOOKUP($D273,'Modelling New'!$D:$D,'Modelling New'!$T:$T)*1000,"")</f>
        <v>48291.284576209953</v>
      </c>
      <c r="AE273" s="163">
        <f>IFERROR(_xlfn.XLOOKUP($D273,'Modelling New'!$D:$D,'Modelling New'!$O:$O),"")</f>
        <v>0.77444569867075785</v>
      </c>
      <c r="AF273" s="163">
        <f>IFERROR(_xlfn.XLOOKUP($D273,'Modelling New'!$D:$D,'Modelling New'!$W:$W),"")</f>
        <v>0.17168403219642331</v>
      </c>
      <c r="AG273" s="163">
        <f>IFERROR(_xlfn.XLOOKUP($D273,'Modelling New'!$D:$D,'Modelling New'!AE:AE),"")</f>
        <v>0.995</v>
      </c>
      <c r="AH273" s="163">
        <f>IFERROR(_xlfn.XLOOKUP($D273,'Modelling New'!$D:$D,'Modelling New'!AF:AF),"")</f>
        <v>0.98550000000000004</v>
      </c>
      <c r="AN273" s="164"/>
      <c r="AO273" s="161"/>
      <c r="AP273" s="161"/>
      <c r="AQ273" s="161"/>
      <c r="AR273" s="156">
        <f>IFERROR(_xlfn.XLOOKUP($D273,'Modelling New'!$D:$D,'Modelling New'!$N:$N),"")</f>
        <v>11.72</v>
      </c>
    </row>
    <row r="274" spans="1:44">
      <c r="A274" s="155">
        <f t="shared" si="20"/>
        <v>46017</v>
      </c>
      <c r="B274" s="156">
        <f>YEAR(Table13[[#This Row],[Date]])+IF(MONTH(Table13[[#This Row],[Date]])&gt;=4,1,0)</f>
        <v>2026</v>
      </c>
      <c r="C274" s="129">
        <f>YEAR(Table13[[#This Row],[Date]])</f>
        <v>2025</v>
      </c>
      <c r="D274" s="157">
        <f>Table13[[#This Row],[Date]]-DAY(Table13[[#This Row],[Date]])+1</f>
        <v>45992</v>
      </c>
      <c r="E274" s="129">
        <f t="shared" si="17"/>
        <v>31</v>
      </c>
      <c r="F274" s="130" t="str">
        <f>IFERROR(_xlfn.XLOOKUP($A274,'Raw Data'!$G:$G,'Raw Data'!$AH:$AH),"")</f>
        <v/>
      </c>
      <c r="G274" s="131" t="str">
        <f>IFERROR(_xlfn.XLOOKUP($A274,'Raw Data'!$G:$G,'Raw Data'!$S:$S)/1000,"")</f>
        <v/>
      </c>
      <c r="H274" s="131"/>
      <c r="I274" s="131" t="str">
        <f>IFERROR(_xlfn.XLOOKUP($A274,'Raw Data'!$G:$G,'Raw Data'!$AF:$AF)/1000,"")</f>
        <v/>
      </c>
      <c r="J274" s="131"/>
      <c r="K274" s="131" t="str">
        <f>IFERROR(_xlfn.XLOOKUP($A274,'Raw Data'!$G:$G,'Raw Data'!W:W),"")</f>
        <v/>
      </c>
      <c r="L274" s="131" t="str">
        <f>IFERROR(_xlfn.XLOOKUP($A274,'Raw Data'!$G:$G,'Raw Data'!X:X),"")</f>
        <v/>
      </c>
      <c r="M274" s="131" t="str">
        <f>IFERROR(_xlfn.XLOOKUP($A274,'Raw Data'!$G:$G,'Raw Data'!Y:Y),"")</f>
        <v/>
      </c>
      <c r="N274" s="131" t="str">
        <f>IFERROR(_xlfn.XLOOKUP($A274,'Raw Data'!$G:$G,'Raw Data'!Z:Z),"")</f>
        <v/>
      </c>
      <c r="O274" s="158" t="str">
        <f>IFERROR(1-SUMIF('Plant BD'!$H:$H,$A274,'Plant BD'!AC:AC)/$F274,"")</f>
        <v/>
      </c>
      <c r="P274" s="158"/>
      <c r="Q274" s="159"/>
      <c r="R274" s="158" t="str">
        <f>IFERROR(1-SUMIF('Grid BD'!$H:$H,$A274,'Grid BD'!AB:AB)/$F274,"")</f>
        <v/>
      </c>
      <c r="T274" s="159" t="str">
        <f>IFERROR(1-SUMIF(Tracker_BD!$H:$H,$A274,Tracker_BD!AI:AI)/$F274,"")</f>
        <v/>
      </c>
      <c r="U274" s="160" t="str">
        <f t="shared" si="18"/>
        <v/>
      </c>
      <c r="V274" s="160"/>
      <c r="W274" s="161" t="str">
        <f t="shared" si="19"/>
        <v/>
      </c>
      <c r="X274" s="156" t="str">
        <f>IFERROR(_xlfn.XLOOKUP($A274,'Raw Data'!$G:$G,'Raw Data'!$AB:$AB),"")</f>
        <v/>
      </c>
      <c r="Y274" s="156" t="str">
        <f>IFERROR(_xlfn.XLOOKUP($A274,'Raw Data'!$G:$G,'Raw Data'!AC:AC),"")</f>
        <v/>
      </c>
      <c r="Z274" s="156" t="str">
        <f>IFERROR(_xlfn.XLOOKUP($A274,'Raw Data'!$G:$G,'Raw Data'!AD:AD),"")</f>
        <v/>
      </c>
      <c r="AA274" s="156" t="str">
        <f>IFERROR(_xlfn.XLOOKUP($A274,'Raw Data'!$G:$G,'Raw Data'!AE:AE),"")</f>
        <v/>
      </c>
      <c r="AB274" s="156" t="str">
        <f>IFERROR(_xlfn.XLOOKUP($A274,'Raw Data'!$G:$G,'Raw Data'!$H:$H),"")</f>
        <v/>
      </c>
      <c r="AC274" s="162">
        <f>IFERROR(_xlfn.XLOOKUP($D274,'Modelling New'!$D:$D,'Modelling New'!$P:$P),"")</f>
        <v>5.3204721516128961</v>
      </c>
      <c r="AD274" s="156">
        <f>IFERROR(_xlfn.XLOOKUP($D274,'Modelling New'!$D:$D,'Modelling New'!$T:$T)*1000,"")</f>
        <v>48291.284576209953</v>
      </c>
      <c r="AE274" s="163">
        <f>IFERROR(_xlfn.XLOOKUP($D274,'Modelling New'!$D:$D,'Modelling New'!$O:$O),"")</f>
        <v>0.77444569867075785</v>
      </c>
      <c r="AF274" s="163">
        <f>IFERROR(_xlfn.XLOOKUP($D274,'Modelling New'!$D:$D,'Modelling New'!$W:$W),"")</f>
        <v>0.17168403219642331</v>
      </c>
      <c r="AG274" s="163">
        <f>IFERROR(_xlfn.XLOOKUP($D274,'Modelling New'!$D:$D,'Modelling New'!AE:AE),"")</f>
        <v>0.995</v>
      </c>
      <c r="AH274" s="163">
        <f>IFERROR(_xlfn.XLOOKUP($D274,'Modelling New'!$D:$D,'Modelling New'!AF:AF),"")</f>
        <v>0.98550000000000004</v>
      </c>
      <c r="AN274" s="164"/>
      <c r="AO274" s="161"/>
      <c r="AP274" s="161"/>
      <c r="AQ274" s="161"/>
      <c r="AR274" s="156">
        <f>IFERROR(_xlfn.XLOOKUP($D274,'Modelling New'!$D:$D,'Modelling New'!$N:$N),"")</f>
        <v>11.72</v>
      </c>
    </row>
    <row r="275" spans="1:44">
      <c r="A275" s="155">
        <f t="shared" si="20"/>
        <v>46018</v>
      </c>
      <c r="B275" s="156">
        <f>YEAR(Table13[[#This Row],[Date]])+IF(MONTH(Table13[[#This Row],[Date]])&gt;=4,1,0)</f>
        <v>2026</v>
      </c>
      <c r="C275" s="129">
        <f>YEAR(Table13[[#This Row],[Date]])</f>
        <v>2025</v>
      </c>
      <c r="D275" s="157">
        <f>Table13[[#This Row],[Date]]-DAY(Table13[[#This Row],[Date]])+1</f>
        <v>45992</v>
      </c>
      <c r="E275" s="129">
        <f t="shared" si="17"/>
        <v>31</v>
      </c>
      <c r="F275" s="130" t="str">
        <f>IFERROR(_xlfn.XLOOKUP($A275,'Raw Data'!$G:$G,'Raw Data'!$AH:$AH),"")</f>
        <v/>
      </c>
      <c r="G275" s="131" t="str">
        <f>IFERROR(_xlfn.XLOOKUP($A275,'Raw Data'!$G:$G,'Raw Data'!$S:$S)/1000,"")</f>
        <v/>
      </c>
      <c r="H275" s="131"/>
      <c r="I275" s="131" t="str">
        <f>IFERROR(_xlfn.XLOOKUP($A275,'Raw Data'!$G:$G,'Raw Data'!$AF:$AF)/1000,"")</f>
        <v/>
      </c>
      <c r="J275" s="131"/>
      <c r="K275" s="131" t="str">
        <f>IFERROR(_xlfn.XLOOKUP($A275,'Raw Data'!$G:$G,'Raw Data'!W:W),"")</f>
        <v/>
      </c>
      <c r="L275" s="131" t="str">
        <f>IFERROR(_xlfn.XLOOKUP($A275,'Raw Data'!$G:$G,'Raw Data'!X:X),"")</f>
        <v/>
      </c>
      <c r="M275" s="131" t="str">
        <f>IFERROR(_xlfn.XLOOKUP($A275,'Raw Data'!$G:$G,'Raw Data'!Y:Y),"")</f>
        <v/>
      </c>
      <c r="N275" s="131" t="str">
        <f>IFERROR(_xlfn.XLOOKUP($A275,'Raw Data'!$G:$G,'Raw Data'!Z:Z),"")</f>
        <v/>
      </c>
      <c r="O275" s="158" t="str">
        <f>IFERROR(1-SUMIF('Plant BD'!$H:$H,$A275,'Plant BD'!AC:AC)/$F275,"")</f>
        <v/>
      </c>
      <c r="P275" s="158"/>
      <c r="Q275" s="159"/>
      <c r="R275" s="158" t="str">
        <f>IFERROR(1-SUMIF('Grid BD'!$H:$H,$A275,'Grid BD'!AB:AB)/$F275,"")</f>
        <v/>
      </c>
      <c r="T275" s="159" t="str">
        <f>IFERROR(1-SUMIF(Tracker_BD!$H:$H,$A275,Tracker_BD!AI:AI)/$F275,"")</f>
        <v/>
      </c>
      <c r="U275" s="160" t="str">
        <f t="shared" si="18"/>
        <v/>
      </c>
      <c r="V275" s="160"/>
      <c r="W275" s="161" t="str">
        <f t="shared" si="19"/>
        <v/>
      </c>
      <c r="X275" s="156" t="str">
        <f>IFERROR(_xlfn.XLOOKUP($A275,'Raw Data'!$G:$G,'Raw Data'!$AB:$AB),"")</f>
        <v/>
      </c>
      <c r="Y275" s="156" t="str">
        <f>IFERROR(_xlfn.XLOOKUP($A275,'Raw Data'!$G:$G,'Raw Data'!AC:AC),"")</f>
        <v/>
      </c>
      <c r="Z275" s="156" t="str">
        <f>IFERROR(_xlfn.XLOOKUP($A275,'Raw Data'!$G:$G,'Raw Data'!AD:AD),"")</f>
        <v/>
      </c>
      <c r="AA275" s="156" t="str">
        <f>IFERROR(_xlfn.XLOOKUP($A275,'Raw Data'!$G:$G,'Raw Data'!AE:AE),"")</f>
        <v/>
      </c>
      <c r="AB275" s="156" t="str">
        <f>IFERROR(_xlfn.XLOOKUP($A275,'Raw Data'!$G:$G,'Raw Data'!$H:$H),"")</f>
        <v/>
      </c>
      <c r="AC275" s="162">
        <f>IFERROR(_xlfn.XLOOKUP($D275,'Modelling New'!$D:$D,'Modelling New'!$P:$P),"")</f>
        <v>5.3204721516128961</v>
      </c>
      <c r="AD275" s="156">
        <f>IFERROR(_xlfn.XLOOKUP($D275,'Modelling New'!$D:$D,'Modelling New'!$T:$T)*1000,"")</f>
        <v>48291.284576209953</v>
      </c>
      <c r="AE275" s="163">
        <f>IFERROR(_xlfn.XLOOKUP($D275,'Modelling New'!$D:$D,'Modelling New'!$O:$O),"")</f>
        <v>0.77444569867075785</v>
      </c>
      <c r="AF275" s="163">
        <f>IFERROR(_xlfn.XLOOKUP($D275,'Modelling New'!$D:$D,'Modelling New'!$W:$W),"")</f>
        <v>0.17168403219642331</v>
      </c>
      <c r="AG275" s="163">
        <f>IFERROR(_xlfn.XLOOKUP($D275,'Modelling New'!$D:$D,'Modelling New'!AE:AE),"")</f>
        <v>0.995</v>
      </c>
      <c r="AH275" s="163">
        <f>IFERROR(_xlfn.XLOOKUP($D275,'Modelling New'!$D:$D,'Modelling New'!AF:AF),"")</f>
        <v>0.98550000000000004</v>
      </c>
      <c r="AN275" s="164"/>
      <c r="AO275" s="161"/>
      <c r="AP275" s="161"/>
      <c r="AQ275" s="161"/>
      <c r="AR275" s="156">
        <f>IFERROR(_xlfn.XLOOKUP($D275,'Modelling New'!$D:$D,'Modelling New'!$N:$N),"")</f>
        <v>11.72</v>
      </c>
    </row>
    <row r="276" spans="1:44">
      <c r="A276" s="155">
        <f t="shared" si="20"/>
        <v>46019</v>
      </c>
      <c r="B276" s="156">
        <f>YEAR(Table13[[#This Row],[Date]])+IF(MONTH(Table13[[#This Row],[Date]])&gt;=4,1,0)</f>
        <v>2026</v>
      </c>
      <c r="C276" s="129">
        <f>YEAR(Table13[[#This Row],[Date]])</f>
        <v>2025</v>
      </c>
      <c r="D276" s="157">
        <f>Table13[[#This Row],[Date]]-DAY(Table13[[#This Row],[Date]])+1</f>
        <v>45992</v>
      </c>
      <c r="E276" s="129">
        <f t="shared" si="17"/>
        <v>31</v>
      </c>
      <c r="F276" s="130" t="str">
        <f>IFERROR(_xlfn.XLOOKUP($A276,'Raw Data'!$G:$G,'Raw Data'!$AH:$AH),"")</f>
        <v/>
      </c>
      <c r="G276" s="131" t="str">
        <f>IFERROR(_xlfn.XLOOKUP($A276,'Raw Data'!$G:$G,'Raw Data'!$S:$S)/1000,"")</f>
        <v/>
      </c>
      <c r="H276" s="131"/>
      <c r="I276" s="131" t="str">
        <f>IFERROR(_xlfn.XLOOKUP($A276,'Raw Data'!$G:$G,'Raw Data'!$AF:$AF)/1000,"")</f>
        <v/>
      </c>
      <c r="J276" s="131"/>
      <c r="K276" s="131" t="str">
        <f>IFERROR(_xlfn.XLOOKUP($A276,'Raw Data'!$G:$G,'Raw Data'!W:W),"")</f>
        <v/>
      </c>
      <c r="L276" s="131" t="str">
        <f>IFERROR(_xlfn.XLOOKUP($A276,'Raw Data'!$G:$G,'Raw Data'!X:X),"")</f>
        <v/>
      </c>
      <c r="M276" s="131" t="str">
        <f>IFERROR(_xlfn.XLOOKUP($A276,'Raw Data'!$G:$G,'Raw Data'!Y:Y),"")</f>
        <v/>
      </c>
      <c r="N276" s="131" t="str">
        <f>IFERROR(_xlfn.XLOOKUP($A276,'Raw Data'!$G:$G,'Raw Data'!Z:Z),"")</f>
        <v/>
      </c>
      <c r="O276" s="158" t="str">
        <f>IFERROR(1-SUMIF('Plant BD'!$H:$H,$A276,'Plant BD'!AC:AC)/$F276,"")</f>
        <v/>
      </c>
      <c r="P276" s="158"/>
      <c r="Q276" s="159"/>
      <c r="R276" s="158" t="str">
        <f>IFERROR(1-SUMIF('Grid BD'!$H:$H,$A276,'Grid BD'!AB:AB)/$F276,"")</f>
        <v/>
      </c>
      <c r="T276" s="159" t="str">
        <f>IFERROR(1-SUMIF(Tracker_BD!$H:$H,$A276,Tracker_BD!AI:AI)/$F276,"")</f>
        <v/>
      </c>
      <c r="U276" s="160" t="str">
        <f t="shared" si="18"/>
        <v/>
      </c>
      <c r="V276" s="160"/>
      <c r="W276" s="161" t="str">
        <f t="shared" si="19"/>
        <v/>
      </c>
      <c r="X276" s="156" t="str">
        <f>IFERROR(_xlfn.XLOOKUP($A276,'Raw Data'!$G:$G,'Raw Data'!$AB:$AB),"")</f>
        <v/>
      </c>
      <c r="Y276" s="156" t="str">
        <f>IFERROR(_xlfn.XLOOKUP($A276,'Raw Data'!$G:$G,'Raw Data'!AC:AC),"")</f>
        <v/>
      </c>
      <c r="Z276" s="156" t="str">
        <f>IFERROR(_xlfn.XLOOKUP($A276,'Raw Data'!$G:$G,'Raw Data'!AD:AD),"")</f>
        <v/>
      </c>
      <c r="AA276" s="156" t="str">
        <f>IFERROR(_xlfn.XLOOKUP($A276,'Raw Data'!$G:$G,'Raw Data'!AE:AE),"")</f>
        <v/>
      </c>
      <c r="AB276" s="156" t="str">
        <f>IFERROR(_xlfn.XLOOKUP($A276,'Raw Data'!$G:$G,'Raw Data'!$H:$H),"")</f>
        <v/>
      </c>
      <c r="AC276" s="162">
        <f>IFERROR(_xlfn.XLOOKUP($D276,'Modelling New'!$D:$D,'Modelling New'!$P:$P),"")</f>
        <v>5.3204721516128961</v>
      </c>
      <c r="AD276" s="156">
        <f>IFERROR(_xlfn.XLOOKUP($D276,'Modelling New'!$D:$D,'Modelling New'!$T:$T)*1000,"")</f>
        <v>48291.284576209953</v>
      </c>
      <c r="AE276" s="163">
        <f>IFERROR(_xlfn.XLOOKUP($D276,'Modelling New'!$D:$D,'Modelling New'!$O:$O),"")</f>
        <v>0.77444569867075785</v>
      </c>
      <c r="AF276" s="163">
        <f>IFERROR(_xlfn.XLOOKUP($D276,'Modelling New'!$D:$D,'Modelling New'!$W:$W),"")</f>
        <v>0.17168403219642331</v>
      </c>
      <c r="AG276" s="163">
        <f>IFERROR(_xlfn.XLOOKUP($D276,'Modelling New'!$D:$D,'Modelling New'!AE:AE),"")</f>
        <v>0.995</v>
      </c>
      <c r="AH276" s="163">
        <f>IFERROR(_xlfn.XLOOKUP($D276,'Modelling New'!$D:$D,'Modelling New'!AF:AF),"")</f>
        <v>0.98550000000000004</v>
      </c>
      <c r="AN276" s="164"/>
      <c r="AO276" s="161"/>
      <c r="AP276" s="161"/>
      <c r="AQ276" s="161"/>
      <c r="AR276" s="156">
        <f>IFERROR(_xlfn.XLOOKUP($D276,'Modelling New'!$D:$D,'Modelling New'!$N:$N),"")</f>
        <v>11.72</v>
      </c>
    </row>
    <row r="277" spans="1:44">
      <c r="A277" s="155">
        <f t="shared" si="20"/>
        <v>46020</v>
      </c>
      <c r="B277" s="156">
        <f>YEAR(Table13[[#This Row],[Date]])+IF(MONTH(Table13[[#This Row],[Date]])&gt;=4,1,0)</f>
        <v>2026</v>
      </c>
      <c r="C277" s="129">
        <f>YEAR(Table13[[#This Row],[Date]])</f>
        <v>2025</v>
      </c>
      <c r="D277" s="157">
        <f>Table13[[#This Row],[Date]]-DAY(Table13[[#This Row],[Date]])+1</f>
        <v>45992</v>
      </c>
      <c r="E277" s="129">
        <f t="shared" si="17"/>
        <v>31</v>
      </c>
      <c r="F277" s="130" t="str">
        <f>IFERROR(_xlfn.XLOOKUP($A277,'Raw Data'!$G:$G,'Raw Data'!$AH:$AH),"")</f>
        <v/>
      </c>
      <c r="G277" s="131" t="str">
        <f>IFERROR(_xlfn.XLOOKUP($A277,'Raw Data'!$G:$G,'Raw Data'!$S:$S)/1000,"")</f>
        <v/>
      </c>
      <c r="H277" s="131"/>
      <c r="I277" s="131" t="str">
        <f>IFERROR(_xlfn.XLOOKUP($A277,'Raw Data'!$G:$G,'Raw Data'!$AF:$AF)/1000,"")</f>
        <v/>
      </c>
      <c r="J277" s="131"/>
      <c r="K277" s="131" t="str">
        <f>IFERROR(_xlfn.XLOOKUP($A277,'Raw Data'!$G:$G,'Raw Data'!W:W),"")</f>
        <v/>
      </c>
      <c r="L277" s="131" t="str">
        <f>IFERROR(_xlfn.XLOOKUP($A277,'Raw Data'!$G:$G,'Raw Data'!X:X),"")</f>
        <v/>
      </c>
      <c r="M277" s="131" t="str">
        <f>IFERROR(_xlfn.XLOOKUP($A277,'Raw Data'!$G:$G,'Raw Data'!Y:Y),"")</f>
        <v/>
      </c>
      <c r="N277" s="131" t="str">
        <f>IFERROR(_xlfn.XLOOKUP($A277,'Raw Data'!$G:$G,'Raw Data'!Z:Z),"")</f>
        <v/>
      </c>
      <c r="O277" s="158" t="str">
        <f>IFERROR(1-SUMIF('Plant BD'!$H:$H,$A277,'Plant BD'!AC:AC)/$F277,"")</f>
        <v/>
      </c>
      <c r="P277" s="158"/>
      <c r="Q277" s="159"/>
      <c r="R277" s="158" t="str">
        <f>IFERROR(1-SUMIF('Grid BD'!$H:$H,$A277,'Grid BD'!AB:AB)/$F277,"")</f>
        <v/>
      </c>
      <c r="T277" s="159" t="str">
        <f>IFERROR(1-SUMIF(Tracker_BD!$H:$H,$A277,Tracker_BD!AI:AI)/$F277,"")</f>
        <v/>
      </c>
      <c r="U277" s="160" t="str">
        <f t="shared" si="18"/>
        <v/>
      </c>
      <c r="V277" s="160"/>
      <c r="W277" s="161" t="str">
        <f t="shared" si="19"/>
        <v/>
      </c>
      <c r="X277" s="156" t="str">
        <f>IFERROR(_xlfn.XLOOKUP($A277,'Raw Data'!$G:$G,'Raw Data'!$AB:$AB),"")</f>
        <v/>
      </c>
      <c r="Y277" s="156" t="str">
        <f>IFERROR(_xlfn.XLOOKUP($A277,'Raw Data'!$G:$G,'Raw Data'!AC:AC),"")</f>
        <v/>
      </c>
      <c r="Z277" s="156" t="str">
        <f>IFERROR(_xlfn.XLOOKUP($A277,'Raw Data'!$G:$G,'Raw Data'!AD:AD),"")</f>
        <v/>
      </c>
      <c r="AA277" s="156" t="str">
        <f>IFERROR(_xlfn.XLOOKUP($A277,'Raw Data'!$G:$G,'Raw Data'!AE:AE),"")</f>
        <v/>
      </c>
      <c r="AB277" s="156" t="str">
        <f>IFERROR(_xlfn.XLOOKUP($A277,'Raw Data'!$G:$G,'Raw Data'!$H:$H),"")</f>
        <v/>
      </c>
      <c r="AC277" s="162">
        <f>IFERROR(_xlfn.XLOOKUP($D277,'Modelling New'!$D:$D,'Modelling New'!$P:$P),"")</f>
        <v>5.3204721516128961</v>
      </c>
      <c r="AD277" s="156">
        <f>IFERROR(_xlfn.XLOOKUP($D277,'Modelling New'!$D:$D,'Modelling New'!$T:$T)*1000,"")</f>
        <v>48291.284576209953</v>
      </c>
      <c r="AE277" s="163">
        <f>IFERROR(_xlfn.XLOOKUP($D277,'Modelling New'!$D:$D,'Modelling New'!$O:$O),"")</f>
        <v>0.77444569867075785</v>
      </c>
      <c r="AF277" s="163">
        <f>IFERROR(_xlfn.XLOOKUP($D277,'Modelling New'!$D:$D,'Modelling New'!$W:$W),"")</f>
        <v>0.17168403219642331</v>
      </c>
      <c r="AG277" s="163">
        <f>IFERROR(_xlfn.XLOOKUP($D277,'Modelling New'!$D:$D,'Modelling New'!AE:AE),"")</f>
        <v>0.995</v>
      </c>
      <c r="AH277" s="163">
        <f>IFERROR(_xlfn.XLOOKUP($D277,'Modelling New'!$D:$D,'Modelling New'!AF:AF),"")</f>
        <v>0.98550000000000004</v>
      </c>
      <c r="AN277" s="164"/>
      <c r="AO277" s="161"/>
      <c r="AP277" s="161"/>
      <c r="AQ277" s="161"/>
      <c r="AR277" s="156">
        <f>IFERROR(_xlfn.XLOOKUP($D277,'Modelling New'!$D:$D,'Modelling New'!$N:$N),"")</f>
        <v>11.72</v>
      </c>
    </row>
    <row r="278" spans="1:44">
      <c r="A278" s="155">
        <f t="shared" si="20"/>
        <v>46021</v>
      </c>
      <c r="B278" s="156">
        <f>YEAR(Table13[[#This Row],[Date]])+IF(MONTH(Table13[[#This Row],[Date]])&gt;=4,1,0)</f>
        <v>2026</v>
      </c>
      <c r="C278" s="129">
        <f>YEAR(Table13[[#This Row],[Date]])</f>
        <v>2025</v>
      </c>
      <c r="D278" s="157">
        <f>Table13[[#This Row],[Date]]-DAY(Table13[[#This Row],[Date]])+1</f>
        <v>45992</v>
      </c>
      <c r="E278" s="129">
        <f t="shared" si="17"/>
        <v>31</v>
      </c>
      <c r="F278" s="130" t="str">
        <f>IFERROR(_xlfn.XLOOKUP($A278,'Raw Data'!$G:$G,'Raw Data'!$AH:$AH),"")</f>
        <v/>
      </c>
      <c r="G278" s="131" t="str">
        <f>IFERROR(_xlfn.XLOOKUP($A278,'Raw Data'!$G:$G,'Raw Data'!$S:$S)/1000,"")</f>
        <v/>
      </c>
      <c r="H278" s="131"/>
      <c r="I278" s="131" t="str">
        <f>IFERROR(_xlfn.XLOOKUP($A278,'Raw Data'!$G:$G,'Raw Data'!$AF:$AF)/1000,"")</f>
        <v/>
      </c>
      <c r="J278" s="131"/>
      <c r="K278" s="131" t="str">
        <f>IFERROR(_xlfn.XLOOKUP($A278,'Raw Data'!$G:$G,'Raw Data'!W:W),"")</f>
        <v/>
      </c>
      <c r="L278" s="131" t="str">
        <f>IFERROR(_xlfn.XLOOKUP($A278,'Raw Data'!$G:$G,'Raw Data'!X:X),"")</f>
        <v/>
      </c>
      <c r="M278" s="131" t="str">
        <f>IFERROR(_xlfn.XLOOKUP($A278,'Raw Data'!$G:$G,'Raw Data'!Y:Y),"")</f>
        <v/>
      </c>
      <c r="N278" s="131" t="str">
        <f>IFERROR(_xlfn.XLOOKUP($A278,'Raw Data'!$G:$G,'Raw Data'!Z:Z),"")</f>
        <v/>
      </c>
      <c r="O278" s="158" t="str">
        <f>IFERROR(1-SUMIF('Plant BD'!$H:$H,$A278,'Plant BD'!AC:AC)/$F278,"")</f>
        <v/>
      </c>
      <c r="P278" s="158"/>
      <c r="Q278" s="159"/>
      <c r="R278" s="158" t="str">
        <f>IFERROR(1-SUMIF('Grid BD'!$H:$H,$A278,'Grid BD'!AB:AB)/$F278,"")</f>
        <v/>
      </c>
      <c r="T278" s="159" t="str">
        <f>IFERROR(1-SUMIF(Tracker_BD!$H:$H,$A278,Tracker_BD!AI:AI)/$F278,"")</f>
        <v/>
      </c>
      <c r="U278" s="160" t="str">
        <f t="shared" si="18"/>
        <v/>
      </c>
      <c r="V278" s="160"/>
      <c r="W278" s="161" t="str">
        <f t="shared" si="19"/>
        <v/>
      </c>
      <c r="X278" s="156" t="str">
        <f>IFERROR(_xlfn.XLOOKUP($A278,'Raw Data'!$G:$G,'Raw Data'!$AB:$AB),"")</f>
        <v/>
      </c>
      <c r="Y278" s="156" t="str">
        <f>IFERROR(_xlfn.XLOOKUP($A278,'Raw Data'!$G:$G,'Raw Data'!AC:AC),"")</f>
        <v/>
      </c>
      <c r="Z278" s="156" t="str">
        <f>IFERROR(_xlfn.XLOOKUP($A278,'Raw Data'!$G:$G,'Raw Data'!AD:AD),"")</f>
        <v/>
      </c>
      <c r="AA278" s="156" t="str">
        <f>IFERROR(_xlfn.XLOOKUP($A278,'Raw Data'!$G:$G,'Raw Data'!AE:AE),"")</f>
        <v/>
      </c>
      <c r="AB278" s="156" t="str">
        <f>IFERROR(_xlfn.XLOOKUP($A278,'Raw Data'!$G:$G,'Raw Data'!$H:$H),"")</f>
        <v/>
      </c>
      <c r="AC278" s="162">
        <f>IFERROR(_xlfn.XLOOKUP($D278,'Modelling New'!$D:$D,'Modelling New'!$P:$P),"")</f>
        <v>5.3204721516128961</v>
      </c>
      <c r="AD278" s="156">
        <f>IFERROR(_xlfn.XLOOKUP($D278,'Modelling New'!$D:$D,'Modelling New'!$T:$T)*1000,"")</f>
        <v>48291.284576209953</v>
      </c>
      <c r="AE278" s="163">
        <f>IFERROR(_xlfn.XLOOKUP($D278,'Modelling New'!$D:$D,'Modelling New'!$O:$O),"")</f>
        <v>0.77444569867075785</v>
      </c>
      <c r="AF278" s="163">
        <f>IFERROR(_xlfn.XLOOKUP($D278,'Modelling New'!$D:$D,'Modelling New'!$W:$W),"")</f>
        <v>0.17168403219642331</v>
      </c>
      <c r="AG278" s="163">
        <f>IFERROR(_xlfn.XLOOKUP($D278,'Modelling New'!$D:$D,'Modelling New'!AE:AE),"")</f>
        <v>0.995</v>
      </c>
      <c r="AH278" s="163">
        <f>IFERROR(_xlfn.XLOOKUP($D278,'Modelling New'!$D:$D,'Modelling New'!AF:AF),"")</f>
        <v>0.98550000000000004</v>
      </c>
      <c r="AN278" s="164"/>
      <c r="AO278" s="161"/>
      <c r="AP278" s="161"/>
      <c r="AQ278" s="161"/>
      <c r="AR278" s="156">
        <f>IFERROR(_xlfn.XLOOKUP($D278,'Modelling New'!$D:$D,'Modelling New'!$N:$N),"")</f>
        <v>11.72</v>
      </c>
    </row>
    <row r="279" spans="1:44">
      <c r="A279" s="155">
        <f t="shared" si="20"/>
        <v>46022</v>
      </c>
      <c r="B279" s="156">
        <f>YEAR(Table13[[#This Row],[Date]])+IF(MONTH(Table13[[#This Row],[Date]])&gt;=4,1,0)</f>
        <v>2026</v>
      </c>
      <c r="C279" s="129">
        <f>YEAR(Table13[[#This Row],[Date]])</f>
        <v>2025</v>
      </c>
      <c r="D279" s="157">
        <f>Table13[[#This Row],[Date]]-DAY(Table13[[#This Row],[Date]])+1</f>
        <v>45992</v>
      </c>
      <c r="E279" s="129">
        <f t="shared" si="17"/>
        <v>31</v>
      </c>
      <c r="F279" s="130" t="str">
        <f>IFERROR(_xlfn.XLOOKUP($A279,'Raw Data'!$G:$G,'Raw Data'!$AH:$AH),"")</f>
        <v/>
      </c>
      <c r="G279" s="131" t="str">
        <f>IFERROR(_xlfn.XLOOKUP($A279,'Raw Data'!$G:$G,'Raw Data'!$S:$S)/1000,"")</f>
        <v/>
      </c>
      <c r="H279" s="131"/>
      <c r="I279" s="131" t="str">
        <f>IFERROR(_xlfn.XLOOKUP($A279,'Raw Data'!$G:$G,'Raw Data'!$AF:$AF)/1000,"")</f>
        <v/>
      </c>
      <c r="J279" s="131"/>
      <c r="K279" s="131" t="str">
        <f>IFERROR(_xlfn.XLOOKUP($A279,'Raw Data'!$G:$G,'Raw Data'!W:W),"")</f>
        <v/>
      </c>
      <c r="L279" s="131" t="str">
        <f>IFERROR(_xlfn.XLOOKUP($A279,'Raw Data'!$G:$G,'Raw Data'!X:X),"")</f>
        <v/>
      </c>
      <c r="M279" s="131" t="str">
        <f>IFERROR(_xlfn.XLOOKUP($A279,'Raw Data'!$G:$G,'Raw Data'!Y:Y),"")</f>
        <v/>
      </c>
      <c r="N279" s="131" t="str">
        <f>IFERROR(_xlfn.XLOOKUP($A279,'Raw Data'!$G:$G,'Raw Data'!Z:Z),"")</f>
        <v/>
      </c>
      <c r="O279" s="158" t="str">
        <f>IFERROR(1-SUMIF('Plant BD'!$H:$H,$A279,'Plant BD'!AC:AC)/$F279,"")</f>
        <v/>
      </c>
      <c r="P279" s="158"/>
      <c r="Q279" s="159"/>
      <c r="R279" s="158" t="str">
        <f>IFERROR(1-SUMIF('Grid BD'!$H:$H,$A279,'Grid BD'!AB:AB)/$F279,"")</f>
        <v/>
      </c>
      <c r="T279" s="159" t="str">
        <f>IFERROR(1-SUMIF(Tracker_BD!$H:$H,$A279,Tracker_BD!AI:AI)/$F279,"")</f>
        <v/>
      </c>
      <c r="U279" s="160" t="str">
        <f t="shared" si="18"/>
        <v/>
      </c>
      <c r="V279" s="160"/>
      <c r="W279" s="161" t="str">
        <f t="shared" si="19"/>
        <v/>
      </c>
      <c r="X279" s="156" t="str">
        <f>IFERROR(_xlfn.XLOOKUP($A279,'Raw Data'!$G:$G,'Raw Data'!$AB:$AB),"")</f>
        <v/>
      </c>
      <c r="Y279" s="156" t="str">
        <f>IFERROR(_xlfn.XLOOKUP($A279,'Raw Data'!$G:$G,'Raw Data'!AC:AC),"")</f>
        <v/>
      </c>
      <c r="Z279" s="156" t="str">
        <f>IFERROR(_xlfn.XLOOKUP($A279,'Raw Data'!$G:$G,'Raw Data'!AD:AD),"")</f>
        <v/>
      </c>
      <c r="AA279" s="156" t="str">
        <f>IFERROR(_xlfn.XLOOKUP($A279,'Raw Data'!$G:$G,'Raw Data'!AE:AE),"")</f>
        <v/>
      </c>
      <c r="AB279" s="156" t="str">
        <f>IFERROR(_xlfn.XLOOKUP($A279,'Raw Data'!$G:$G,'Raw Data'!$H:$H),"")</f>
        <v/>
      </c>
      <c r="AC279" s="162">
        <f>IFERROR(_xlfn.XLOOKUP($D279,'Modelling New'!$D:$D,'Modelling New'!$P:$P),"")</f>
        <v>5.3204721516128961</v>
      </c>
      <c r="AD279" s="156">
        <f>IFERROR(_xlfn.XLOOKUP($D279,'Modelling New'!$D:$D,'Modelling New'!$T:$T)*1000,"")</f>
        <v>48291.284576209953</v>
      </c>
      <c r="AE279" s="163">
        <f>IFERROR(_xlfn.XLOOKUP($D279,'Modelling New'!$D:$D,'Modelling New'!$O:$O),"")</f>
        <v>0.77444569867075785</v>
      </c>
      <c r="AF279" s="163">
        <f>IFERROR(_xlfn.XLOOKUP($D279,'Modelling New'!$D:$D,'Modelling New'!$W:$W),"")</f>
        <v>0.17168403219642331</v>
      </c>
      <c r="AG279" s="163">
        <f>IFERROR(_xlfn.XLOOKUP($D279,'Modelling New'!$D:$D,'Modelling New'!AE:AE),"")</f>
        <v>0.995</v>
      </c>
      <c r="AH279" s="163">
        <f>IFERROR(_xlfn.XLOOKUP($D279,'Modelling New'!$D:$D,'Modelling New'!AF:AF),"")</f>
        <v>0.98550000000000004</v>
      </c>
      <c r="AN279" s="164"/>
      <c r="AO279" s="161"/>
      <c r="AP279" s="161"/>
      <c r="AQ279" s="161"/>
      <c r="AR279" s="156">
        <f>IFERROR(_xlfn.XLOOKUP($D279,'Modelling New'!$D:$D,'Modelling New'!$N:$N),"")</f>
        <v>11.72</v>
      </c>
    </row>
    <row r="280" spans="1:44">
      <c r="A280" s="155">
        <f t="shared" si="20"/>
        <v>46023</v>
      </c>
      <c r="B280" s="156">
        <f>YEAR(Table13[[#This Row],[Date]])+IF(MONTH(Table13[[#This Row],[Date]])&gt;=4,1,0)</f>
        <v>2026</v>
      </c>
      <c r="C280" s="129">
        <f>YEAR(Table13[[#This Row],[Date]])</f>
        <v>2026</v>
      </c>
      <c r="D280" s="157">
        <f>Table13[[#This Row],[Date]]-DAY(Table13[[#This Row],[Date]])+1</f>
        <v>46023</v>
      </c>
      <c r="E280" s="129">
        <f t="shared" si="17"/>
        <v>31</v>
      </c>
      <c r="F280" s="130" t="str">
        <f>IFERROR(_xlfn.XLOOKUP($A280,'Raw Data'!$G:$G,'Raw Data'!$AH:$AH),"")</f>
        <v/>
      </c>
      <c r="G280" s="131" t="str">
        <f>IFERROR(_xlfn.XLOOKUP($A280,'Raw Data'!$G:$G,'Raw Data'!$S:$S)/1000,"")</f>
        <v/>
      </c>
      <c r="H280" s="131"/>
      <c r="I280" s="131" t="str">
        <f>IFERROR(_xlfn.XLOOKUP($A280,'Raw Data'!$G:$G,'Raw Data'!$AF:$AF)/1000,"")</f>
        <v/>
      </c>
      <c r="J280" s="131"/>
      <c r="K280" s="131" t="str">
        <f>IFERROR(_xlfn.XLOOKUP($A280,'Raw Data'!$G:$G,'Raw Data'!W:W),"")</f>
        <v/>
      </c>
      <c r="L280" s="131" t="str">
        <f>IFERROR(_xlfn.XLOOKUP($A280,'Raw Data'!$G:$G,'Raw Data'!X:X),"")</f>
        <v/>
      </c>
      <c r="M280" s="131" t="str">
        <f>IFERROR(_xlfn.XLOOKUP($A280,'Raw Data'!$G:$G,'Raw Data'!Y:Y),"")</f>
        <v/>
      </c>
      <c r="N280" s="131" t="str">
        <f>IFERROR(_xlfn.XLOOKUP($A280,'Raw Data'!$G:$G,'Raw Data'!Z:Z),"")</f>
        <v/>
      </c>
      <c r="O280" s="158" t="str">
        <f>IFERROR(1-SUMIF('Plant BD'!$H:$H,$A280,'Plant BD'!AC:AC)/$F280,"")</f>
        <v/>
      </c>
      <c r="P280" s="158"/>
      <c r="Q280" s="159"/>
      <c r="R280" s="158" t="str">
        <f>IFERROR(1-SUMIF('Grid BD'!$H:$H,$A280,'Grid BD'!AB:AB)/$F280,"")</f>
        <v/>
      </c>
      <c r="T280" s="159" t="str">
        <f>IFERROR(1-SUMIF(Tracker_BD!$H:$H,$A280,Tracker_BD!AI:AI)/$F280,"")</f>
        <v/>
      </c>
      <c r="U280" s="160" t="str">
        <f t="shared" si="18"/>
        <v/>
      </c>
      <c r="V280" s="160"/>
      <c r="W280" s="161" t="str">
        <f t="shared" si="19"/>
        <v/>
      </c>
      <c r="X280" s="156" t="str">
        <f>IFERROR(_xlfn.XLOOKUP($A280,'Raw Data'!$G:$G,'Raw Data'!$AB:$AB),"")</f>
        <v/>
      </c>
      <c r="Y280" s="156" t="str">
        <f>IFERROR(_xlfn.XLOOKUP($A280,'Raw Data'!$G:$G,'Raw Data'!AC:AC),"")</f>
        <v/>
      </c>
      <c r="Z280" s="156" t="str">
        <f>IFERROR(_xlfn.XLOOKUP($A280,'Raw Data'!$G:$G,'Raw Data'!AD:AD),"")</f>
        <v/>
      </c>
      <c r="AA280" s="156" t="str">
        <f>IFERROR(_xlfn.XLOOKUP($A280,'Raw Data'!$G:$G,'Raw Data'!AE:AE),"")</f>
        <v/>
      </c>
      <c r="AB280" s="156" t="str">
        <f>IFERROR(_xlfn.XLOOKUP($A280,'Raw Data'!$G:$G,'Raw Data'!$H:$H),"")</f>
        <v/>
      </c>
      <c r="AC280" s="162">
        <f>IFERROR(_xlfn.XLOOKUP($D280,'Modelling New'!$D:$D,'Modelling New'!$P:$P),"")</f>
        <v>6.0175946709677417</v>
      </c>
      <c r="AD280" s="156">
        <f>IFERROR(_xlfn.XLOOKUP($D280,'Modelling New'!$D:$D,'Modelling New'!$T:$T)*1000,"")</f>
        <v>54155.22627474973</v>
      </c>
      <c r="AE280" s="163">
        <f>IFERROR(_xlfn.XLOOKUP($D280,'Modelling New'!$D:$D,'Modelling New'!$O:$O),"")</f>
        <v>0.76787376813667318</v>
      </c>
      <c r="AF280" s="163">
        <f>IFERROR(_xlfn.XLOOKUP($D280,'Modelling New'!$D:$D,'Modelling New'!$W:$W),"")</f>
        <v>0.19253137896313183</v>
      </c>
      <c r="AG280" s="163">
        <f>IFERROR(_xlfn.XLOOKUP($D280,'Modelling New'!$D:$D,'Modelling New'!AE:AE),"")</f>
        <v>0.995</v>
      </c>
      <c r="AH280" s="163">
        <f>IFERROR(_xlfn.XLOOKUP($D280,'Modelling New'!$D:$D,'Modelling New'!AF:AF),"")</f>
        <v>0.98550000000000004</v>
      </c>
      <c r="AN280" s="164"/>
      <c r="AO280" s="161"/>
      <c r="AP280" s="161"/>
      <c r="AQ280" s="161"/>
      <c r="AR280" s="156">
        <f>IFERROR(_xlfn.XLOOKUP($D280,'Modelling New'!$D:$D,'Modelling New'!$N:$N),"")</f>
        <v>11.72</v>
      </c>
    </row>
    <row r="281" spans="1:44">
      <c r="A281" s="155">
        <f t="shared" si="20"/>
        <v>46024</v>
      </c>
      <c r="B281" s="156">
        <f>YEAR(Table13[[#This Row],[Date]])+IF(MONTH(Table13[[#This Row],[Date]])&gt;=4,1,0)</f>
        <v>2026</v>
      </c>
      <c r="C281" s="129">
        <f>YEAR(Table13[[#This Row],[Date]])</f>
        <v>2026</v>
      </c>
      <c r="D281" s="157">
        <f>Table13[[#This Row],[Date]]-DAY(Table13[[#This Row],[Date]])+1</f>
        <v>46023</v>
      </c>
      <c r="E281" s="129">
        <f t="shared" si="17"/>
        <v>31</v>
      </c>
      <c r="F281" s="130" t="str">
        <f>IFERROR(_xlfn.XLOOKUP($A281,'Raw Data'!$G:$G,'Raw Data'!$AH:$AH),"")</f>
        <v/>
      </c>
      <c r="G281" s="131" t="str">
        <f>IFERROR(_xlfn.XLOOKUP($A281,'Raw Data'!$G:$G,'Raw Data'!$S:$S)/1000,"")</f>
        <v/>
      </c>
      <c r="H281" s="131"/>
      <c r="I281" s="131" t="str">
        <f>IFERROR(_xlfn.XLOOKUP($A281,'Raw Data'!$G:$G,'Raw Data'!$AF:$AF)/1000,"")</f>
        <v/>
      </c>
      <c r="J281" s="131"/>
      <c r="K281" s="131" t="str">
        <f>IFERROR(_xlfn.XLOOKUP($A281,'Raw Data'!$G:$G,'Raw Data'!W:W),"")</f>
        <v/>
      </c>
      <c r="L281" s="131" t="str">
        <f>IFERROR(_xlfn.XLOOKUP($A281,'Raw Data'!$G:$G,'Raw Data'!X:X),"")</f>
        <v/>
      </c>
      <c r="M281" s="131" t="str">
        <f>IFERROR(_xlfn.XLOOKUP($A281,'Raw Data'!$G:$G,'Raw Data'!Y:Y),"")</f>
        <v/>
      </c>
      <c r="N281" s="131" t="str">
        <f>IFERROR(_xlfn.XLOOKUP($A281,'Raw Data'!$G:$G,'Raw Data'!Z:Z),"")</f>
        <v/>
      </c>
      <c r="O281" s="158" t="str">
        <f>IFERROR(1-SUMIF('Plant BD'!$H:$H,$A281,'Plant BD'!AC:AC)/$F281,"")</f>
        <v/>
      </c>
      <c r="P281" s="158"/>
      <c r="Q281" s="159"/>
      <c r="R281" s="158" t="str">
        <f>IFERROR(1-SUMIF('Grid BD'!$H:$H,$A281,'Grid BD'!AB:AB)/$F281,"")</f>
        <v/>
      </c>
      <c r="T281" s="159" t="str">
        <f>IFERROR(1-SUMIF(Tracker_BD!$H:$H,$A281,Tracker_BD!AI:AI)/$F281,"")</f>
        <v/>
      </c>
      <c r="U281" s="160" t="str">
        <f t="shared" si="18"/>
        <v/>
      </c>
      <c r="V281" s="160"/>
      <c r="W281" s="161" t="str">
        <f t="shared" si="19"/>
        <v/>
      </c>
      <c r="X281" s="156" t="str">
        <f>IFERROR(_xlfn.XLOOKUP($A281,'Raw Data'!$G:$G,'Raw Data'!$AB:$AB),"")</f>
        <v/>
      </c>
      <c r="Y281" s="156" t="str">
        <f>IFERROR(_xlfn.XLOOKUP($A281,'Raw Data'!$G:$G,'Raw Data'!AC:AC),"")</f>
        <v/>
      </c>
      <c r="Z281" s="156" t="str">
        <f>IFERROR(_xlfn.XLOOKUP($A281,'Raw Data'!$G:$G,'Raw Data'!AD:AD),"")</f>
        <v/>
      </c>
      <c r="AA281" s="156" t="str">
        <f>IFERROR(_xlfn.XLOOKUP($A281,'Raw Data'!$G:$G,'Raw Data'!AE:AE),"")</f>
        <v/>
      </c>
      <c r="AB281" s="156" t="str">
        <f>IFERROR(_xlfn.XLOOKUP($A281,'Raw Data'!$G:$G,'Raw Data'!$H:$H),"")</f>
        <v/>
      </c>
      <c r="AC281" s="162">
        <f>IFERROR(_xlfn.XLOOKUP($D281,'Modelling New'!$D:$D,'Modelling New'!$P:$P),"")</f>
        <v>6.0175946709677417</v>
      </c>
      <c r="AD281" s="156">
        <f>IFERROR(_xlfn.XLOOKUP($D281,'Modelling New'!$D:$D,'Modelling New'!$T:$T)*1000,"")</f>
        <v>54155.22627474973</v>
      </c>
      <c r="AE281" s="163">
        <f>IFERROR(_xlfn.XLOOKUP($D281,'Modelling New'!$D:$D,'Modelling New'!$O:$O),"")</f>
        <v>0.76787376813667318</v>
      </c>
      <c r="AF281" s="163">
        <f>IFERROR(_xlfn.XLOOKUP($D281,'Modelling New'!$D:$D,'Modelling New'!$W:$W),"")</f>
        <v>0.19253137896313183</v>
      </c>
      <c r="AG281" s="163">
        <f>IFERROR(_xlfn.XLOOKUP($D281,'Modelling New'!$D:$D,'Modelling New'!AE:AE),"")</f>
        <v>0.995</v>
      </c>
      <c r="AH281" s="163">
        <f>IFERROR(_xlfn.XLOOKUP($D281,'Modelling New'!$D:$D,'Modelling New'!AF:AF),"")</f>
        <v>0.98550000000000004</v>
      </c>
      <c r="AN281" s="164"/>
      <c r="AO281" s="161"/>
      <c r="AP281" s="161"/>
      <c r="AQ281" s="161"/>
      <c r="AR281" s="156">
        <f>IFERROR(_xlfn.XLOOKUP($D281,'Modelling New'!$D:$D,'Modelling New'!$N:$N),"")</f>
        <v>11.72</v>
      </c>
    </row>
    <row r="282" spans="1:44">
      <c r="A282" s="155">
        <f t="shared" si="20"/>
        <v>46025</v>
      </c>
      <c r="B282" s="156">
        <f>YEAR(Table13[[#This Row],[Date]])+IF(MONTH(Table13[[#This Row],[Date]])&gt;=4,1,0)</f>
        <v>2026</v>
      </c>
      <c r="C282" s="129">
        <f>YEAR(Table13[[#This Row],[Date]])</f>
        <v>2026</v>
      </c>
      <c r="D282" s="157">
        <f>Table13[[#This Row],[Date]]-DAY(Table13[[#This Row],[Date]])+1</f>
        <v>46023</v>
      </c>
      <c r="E282" s="129">
        <f t="shared" si="17"/>
        <v>31</v>
      </c>
      <c r="F282" s="130" t="str">
        <f>IFERROR(_xlfn.XLOOKUP($A282,'Raw Data'!$G:$G,'Raw Data'!$AH:$AH),"")</f>
        <v/>
      </c>
      <c r="G282" s="131" t="str">
        <f>IFERROR(_xlfn.XLOOKUP($A282,'Raw Data'!$G:$G,'Raw Data'!$S:$S)/1000,"")</f>
        <v/>
      </c>
      <c r="H282" s="131"/>
      <c r="I282" s="131" t="str">
        <f>IFERROR(_xlfn.XLOOKUP($A282,'Raw Data'!$G:$G,'Raw Data'!$AF:$AF)/1000,"")</f>
        <v/>
      </c>
      <c r="J282" s="131"/>
      <c r="K282" s="131" t="str">
        <f>IFERROR(_xlfn.XLOOKUP($A282,'Raw Data'!$G:$G,'Raw Data'!W:W),"")</f>
        <v/>
      </c>
      <c r="L282" s="131" t="str">
        <f>IFERROR(_xlfn.XLOOKUP($A282,'Raw Data'!$G:$G,'Raw Data'!X:X),"")</f>
        <v/>
      </c>
      <c r="M282" s="131" t="str">
        <f>IFERROR(_xlfn.XLOOKUP($A282,'Raw Data'!$G:$G,'Raw Data'!Y:Y),"")</f>
        <v/>
      </c>
      <c r="N282" s="131" t="str">
        <f>IFERROR(_xlfn.XLOOKUP($A282,'Raw Data'!$G:$G,'Raw Data'!Z:Z),"")</f>
        <v/>
      </c>
      <c r="O282" s="158" t="str">
        <f>IFERROR(1-SUMIF('Plant BD'!$H:$H,$A282,'Plant BD'!AC:AC)/$F282,"")</f>
        <v/>
      </c>
      <c r="P282" s="158"/>
      <c r="Q282" s="159"/>
      <c r="R282" s="158" t="str">
        <f>IFERROR(1-SUMIF('Grid BD'!$H:$H,$A282,'Grid BD'!AB:AB)/$F282,"")</f>
        <v/>
      </c>
      <c r="T282" s="159" t="str">
        <f>IFERROR(1-SUMIF(Tracker_BD!$H:$H,$A282,Tracker_BD!AI:AI)/$F282,"")</f>
        <v/>
      </c>
      <c r="U282" s="160" t="str">
        <f t="shared" si="18"/>
        <v/>
      </c>
      <c r="V282" s="160"/>
      <c r="W282" s="161" t="str">
        <f t="shared" si="19"/>
        <v/>
      </c>
      <c r="X282" s="156" t="str">
        <f>IFERROR(_xlfn.XLOOKUP($A282,'Raw Data'!$G:$G,'Raw Data'!$AB:$AB),"")</f>
        <v/>
      </c>
      <c r="Y282" s="156" t="str">
        <f>IFERROR(_xlfn.XLOOKUP($A282,'Raw Data'!$G:$G,'Raw Data'!AC:AC),"")</f>
        <v/>
      </c>
      <c r="Z282" s="156" t="str">
        <f>IFERROR(_xlfn.XLOOKUP($A282,'Raw Data'!$G:$G,'Raw Data'!AD:AD),"")</f>
        <v/>
      </c>
      <c r="AA282" s="156" t="str">
        <f>IFERROR(_xlfn.XLOOKUP($A282,'Raw Data'!$G:$G,'Raw Data'!AE:AE),"")</f>
        <v/>
      </c>
      <c r="AB282" s="156" t="str">
        <f>IFERROR(_xlfn.XLOOKUP($A282,'Raw Data'!$G:$G,'Raw Data'!$H:$H),"")</f>
        <v/>
      </c>
      <c r="AC282" s="162">
        <f>IFERROR(_xlfn.XLOOKUP($D282,'Modelling New'!$D:$D,'Modelling New'!$P:$P),"")</f>
        <v>6.0175946709677417</v>
      </c>
      <c r="AD282" s="156">
        <f>IFERROR(_xlfn.XLOOKUP($D282,'Modelling New'!$D:$D,'Modelling New'!$T:$T)*1000,"")</f>
        <v>54155.22627474973</v>
      </c>
      <c r="AE282" s="163">
        <f>IFERROR(_xlfn.XLOOKUP($D282,'Modelling New'!$D:$D,'Modelling New'!$O:$O),"")</f>
        <v>0.76787376813667318</v>
      </c>
      <c r="AF282" s="163">
        <f>IFERROR(_xlfn.XLOOKUP($D282,'Modelling New'!$D:$D,'Modelling New'!$W:$W),"")</f>
        <v>0.19253137896313183</v>
      </c>
      <c r="AG282" s="163">
        <f>IFERROR(_xlfn.XLOOKUP($D282,'Modelling New'!$D:$D,'Modelling New'!AE:AE),"")</f>
        <v>0.995</v>
      </c>
      <c r="AH282" s="163">
        <f>IFERROR(_xlfn.XLOOKUP($D282,'Modelling New'!$D:$D,'Modelling New'!AF:AF),"")</f>
        <v>0.98550000000000004</v>
      </c>
      <c r="AN282" s="164"/>
      <c r="AO282" s="161"/>
      <c r="AP282" s="161"/>
      <c r="AQ282" s="161"/>
      <c r="AR282" s="156">
        <f>IFERROR(_xlfn.XLOOKUP($D282,'Modelling New'!$D:$D,'Modelling New'!$N:$N),"")</f>
        <v>11.72</v>
      </c>
    </row>
    <row r="283" spans="1:44">
      <c r="A283" s="155">
        <f t="shared" si="20"/>
        <v>46026</v>
      </c>
      <c r="B283" s="156">
        <f>YEAR(Table13[[#This Row],[Date]])+IF(MONTH(Table13[[#This Row],[Date]])&gt;=4,1,0)</f>
        <v>2026</v>
      </c>
      <c r="C283" s="129">
        <f>YEAR(Table13[[#This Row],[Date]])</f>
        <v>2026</v>
      </c>
      <c r="D283" s="157">
        <f>Table13[[#This Row],[Date]]-DAY(Table13[[#This Row],[Date]])+1</f>
        <v>46023</v>
      </c>
      <c r="E283" s="129">
        <f t="shared" si="17"/>
        <v>31</v>
      </c>
      <c r="F283" s="130" t="str">
        <f>IFERROR(_xlfn.XLOOKUP($A283,'Raw Data'!$G:$G,'Raw Data'!$AH:$AH),"")</f>
        <v/>
      </c>
      <c r="G283" s="131" t="str">
        <f>IFERROR(_xlfn.XLOOKUP($A283,'Raw Data'!$G:$G,'Raw Data'!$S:$S)/1000,"")</f>
        <v/>
      </c>
      <c r="H283" s="131"/>
      <c r="I283" s="131" t="str">
        <f>IFERROR(_xlfn.XLOOKUP($A283,'Raw Data'!$G:$G,'Raw Data'!$AF:$AF)/1000,"")</f>
        <v/>
      </c>
      <c r="J283" s="131"/>
      <c r="K283" s="131" t="str">
        <f>IFERROR(_xlfn.XLOOKUP($A283,'Raw Data'!$G:$G,'Raw Data'!W:W),"")</f>
        <v/>
      </c>
      <c r="L283" s="131" t="str">
        <f>IFERROR(_xlfn.XLOOKUP($A283,'Raw Data'!$G:$G,'Raw Data'!X:X),"")</f>
        <v/>
      </c>
      <c r="M283" s="131" t="str">
        <f>IFERROR(_xlfn.XLOOKUP($A283,'Raw Data'!$G:$G,'Raw Data'!Y:Y),"")</f>
        <v/>
      </c>
      <c r="N283" s="131" t="str">
        <f>IFERROR(_xlfn.XLOOKUP($A283,'Raw Data'!$G:$G,'Raw Data'!Z:Z),"")</f>
        <v/>
      </c>
      <c r="O283" s="158" t="str">
        <f>IFERROR(1-SUMIF('Plant BD'!$H:$H,$A283,'Plant BD'!AC:AC)/$F283,"")</f>
        <v/>
      </c>
      <c r="P283" s="158"/>
      <c r="Q283" s="159"/>
      <c r="R283" s="158" t="str">
        <f>IFERROR(1-SUMIF('Grid BD'!$H:$H,$A283,'Grid BD'!AB:AB)/$F283,"")</f>
        <v/>
      </c>
      <c r="T283" s="159" t="str">
        <f>IFERROR(1-SUMIF(Tracker_BD!$H:$H,$A283,Tracker_BD!AI:AI)/$F283,"")</f>
        <v/>
      </c>
      <c r="U283" s="160" t="str">
        <f t="shared" si="18"/>
        <v/>
      </c>
      <c r="V283" s="160"/>
      <c r="W283" s="161" t="str">
        <f t="shared" si="19"/>
        <v/>
      </c>
      <c r="X283" s="156" t="str">
        <f>IFERROR(_xlfn.XLOOKUP($A283,'Raw Data'!$G:$G,'Raw Data'!$AB:$AB),"")</f>
        <v/>
      </c>
      <c r="Y283" s="156" t="str">
        <f>IFERROR(_xlfn.XLOOKUP($A283,'Raw Data'!$G:$G,'Raw Data'!AC:AC),"")</f>
        <v/>
      </c>
      <c r="Z283" s="156" t="str">
        <f>IFERROR(_xlfn.XLOOKUP($A283,'Raw Data'!$G:$G,'Raw Data'!AD:AD),"")</f>
        <v/>
      </c>
      <c r="AA283" s="156" t="str">
        <f>IFERROR(_xlfn.XLOOKUP($A283,'Raw Data'!$G:$G,'Raw Data'!AE:AE),"")</f>
        <v/>
      </c>
      <c r="AB283" s="156" t="str">
        <f>IFERROR(_xlfn.XLOOKUP($A283,'Raw Data'!$G:$G,'Raw Data'!$H:$H),"")</f>
        <v/>
      </c>
      <c r="AC283" s="162">
        <f>IFERROR(_xlfn.XLOOKUP($D283,'Modelling New'!$D:$D,'Modelling New'!$P:$P),"")</f>
        <v>6.0175946709677417</v>
      </c>
      <c r="AD283" s="156">
        <f>IFERROR(_xlfn.XLOOKUP($D283,'Modelling New'!$D:$D,'Modelling New'!$T:$T)*1000,"")</f>
        <v>54155.22627474973</v>
      </c>
      <c r="AE283" s="163">
        <f>IFERROR(_xlfn.XLOOKUP($D283,'Modelling New'!$D:$D,'Modelling New'!$O:$O),"")</f>
        <v>0.76787376813667318</v>
      </c>
      <c r="AF283" s="163">
        <f>IFERROR(_xlfn.XLOOKUP($D283,'Modelling New'!$D:$D,'Modelling New'!$W:$W),"")</f>
        <v>0.19253137896313183</v>
      </c>
      <c r="AG283" s="163">
        <f>IFERROR(_xlfn.XLOOKUP($D283,'Modelling New'!$D:$D,'Modelling New'!AE:AE),"")</f>
        <v>0.995</v>
      </c>
      <c r="AH283" s="163">
        <f>IFERROR(_xlfn.XLOOKUP($D283,'Modelling New'!$D:$D,'Modelling New'!AF:AF),"")</f>
        <v>0.98550000000000004</v>
      </c>
      <c r="AN283" s="164"/>
      <c r="AO283" s="161"/>
      <c r="AP283" s="161"/>
      <c r="AQ283" s="161"/>
      <c r="AR283" s="156">
        <f>IFERROR(_xlfn.XLOOKUP($D283,'Modelling New'!$D:$D,'Modelling New'!$N:$N),"")</f>
        <v>11.72</v>
      </c>
    </row>
    <row r="284" spans="1:44">
      <c r="A284" s="155">
        <f t="shared" si="20"/>
        <v>46027</v>
      </c>
      <c r="B284" s="156">
        <f>YEAR(Table13[[#This Row],[Date]])+IF(MONTH(Table13[[#This Row],[Date]])&gt;=4,1,0)</f>
        <v>2026</v>
      </c>
      <c r="C284" s="129">
        <f>YEAR(Table13[[#This Row],[Date]])</f>
        <v>2026</v>
      </c>
      <c r="D284" s="157">
        <f>Table13[[#This Row],[Date]]-DAY(Table13[[#This Row],[Date]])+1</f>
        <v>46023</v>
      </c>
      <c r="E284" s="129">
        <f t="shared" si="17"/>
        <v>31</v>
      </c>
      <c r="F284" s="130" t="str">
        <f>IFERROR(_xlfn.XLOOKUP($A284,'Raw Data'!$G:$G,'Raw Data'!$AH:$AH),"")</f>
        <v/>
      </c>
      <c r="G284" s="131" t="str">
        <f>IFERROR(_xlfn.XLOOKUP($A284,'Raw Data'!$G:$G,'Raw Data'!$S:$S)/1000,"")</f>
        <v/>
      </c>
      <c r="H284" s="131"/>
      <c r="I284" s="131" t="str">
        <f>IFERROR(_xlfn.XLOOKUP($A284,'Raw Data'!$G:$G,'Raw Data'!$AF:$AF)/1000,"")</f>
        <v/>
      </c>
      <c r="J284" s="131"/>
      <c r="K284" s="131" t="str">
        <f>IFERROR(_xlfn.XLOOKUP($A284,'Raw Data'!$G:$G,'Raw Data'!W:W),"")</f>
        <v/>
      </c>
      <c r="L284" s="131" t="str">
        <f>IFERROR(_xlfn.XLOOKUP($A284,'Raw Data'!$G:$G,'Raw Data'!X:X),"")</f>
        <v/>
      </c>
      <c r="M284" s="131" t="str">
        <f>IFERROR(_xlfn.XLOOKUP($A284,'Raw Data'!$G:$G,'Raw Data'!Y:Y),"")</f>
        <v/>
      </c>
      <c r="N284" s="131" t="str">
        <f>IFERROR(_xlfn.XLOOKUP($A284,'Raw Data'!$G:$G,'Raw Data'!Z:Z),"")</f>
        <v/>
      </c>
      <c r="O284" s="158" t="str">
        <f>IFERROR(1-SUMIF('Plant BD'!$H:$H,$A284,'Plant BD'!AC:AC)/$F284,"")</f>
        <v/>
      </c>
      <c r="P284" s="158"/>
      <c r="Q284" s="159"/>
      <c r="R284" s="158" t="str">
        <f>IFERROR(1-SUMIF('Grid BD'!$H:$H,$A284,'Grid BD'!AB:AB)/$F284,"")</f>
        <v/>
      </c>
      <c r="T284" s="159" t="str">
        <f>IFERROR(1-SUMIF(Tracker_BD!$H:$H,$A284,Tracker_BD!AI:AI)/$F284,"")</f>
        <v/>
      </c>
      <c r="U284" s="160" t="str">
        <f t="shared" si="18"/>
        <v/>
      </c>
      <c r="V284" s="160"/>
      <c r="W284" s="161" t="str">
        <f t="shared" si="19"/>
        <v/>
      </c>
      <c r="X284" s="156" t="str">
        <f>IFERROR(_xlfn.XLOOKUP($A284,'Raw Data'!$G:$G,'Raw Data'!$AB:$AB),"")</f>
        <v/>
      </c>
      <c r="Y284" s="156" t="str">
        <f>IFERROR(_xlfn.XLOOKUP($A284,'Raw Data'!$G:$G,'Raw Data'!AC:AC),"")</f>
        <v/>
      </c>
      <c r="Z284" s="156" t="str">
        <f>IFERROR(_xlfn.XLOOKUP($A284,'Raw Data'!$G:$G,'Raw Data'!AD:AD),"")</f>
        <v/>
      </c>
      <c r="AA284" s="156" t="str">
        <f>IFERROR(_xlfn.XLOOKUP($A284,'Raw Data'!$G:$G,'Raw Data'!AE:AE),"")</f>
        <v/>
      </c>
      <c r="AB284" s="156" t="str">
        <f>IFERROR(_xlfn.XLOOKUP($A284,'Raw Data'!$G:$G,'Raw Data'!$H:$H),"")</f>
        <v/>
      </c>
      <c r="AC284" s="162">
        <f>IFERROR(_xlfn.XLOOKUP($D284,'Modelling New'!$D:$D,'Modelling New'!$P:$P),"")</f>
        <v>6.0175946709677417</v>
      </c>
      <c r="AD284" s="156">
        <f>IFERROR(_xlfn.XLOOKUP($D284,'Modelling New'!$D:$D,'Modelling New'!$T:$T)*1000,"")</f>
        <v>54155.22627474973</v>
      </c>
      <c r="AE284" s="163">
        <f>IFERROR(_xlfn.XLOOKUP($D284,'Modelling New'!$D:$D,'Modelling New'!$O:$O),"")</f>
        <v>0.76787376813667318</v>
      </c>
      <c r="AF284" s="163">
        <f>IFERROR(_xlfn.XLOOKUP($D284,'Modelling New'!$D:$D,'Modelling New'!$W:$W),"")</f>
        <v>0.19253137896313183</v>
      </c>
      <c r="AG284" s="163">
        <f>IFERROR(_xlfn.XLOOKUP($D284,'Modelling New'!$D:$D,'Modelling New'!AE:AE),"")</f>
        <v>0.995</v>
      </c>
      <c r="AH284" s="163">
        <f>IFERROR(_xlfn.XLOOKUP($D284,'Modelling New'!$D:$D,'Modelling New'!AF:AF),"")</f>
        <v>0.98550000000000004</v>
      </c>
      <c r="AN284" s="164"/>
      <c r="AO284" s="161"/>
      <c r="AP284" s="161"/>
      <c r="AQ284" s="161"/>
      <c r="AR284" s="156">
        <f>IFERROR(_xlfn.XLOOKUP($D284,'Modelling New'!$D:$D,'Modelling New'!$N:$N),"")</f>
        <v>11.72</v>
      </c>
    </row>
    <row r="285" spans="1:44">
      <c r="A285" s="155">
        <f t="shared" si="20"/>
        <v>46028</v>
      </c>
      <c r="B285" s="156">
        <f>YEAR(Table13[[#This Row],[Date]])+IF(MONTH(Table13[[#This Row],[Date]])&gt;=4,1,0)</f>
        <v>2026</v>
      </c>
      <c r="C285" s="129">
        <f>YEAR(Table13[[#This Row],[Date]])</f>
        <v>2026</v>
      </c>
      <c r="D285" s="157">
        <f>Table13[[#This Row],[Date]]-DAY(Table13[[#This Row],[Date]])+1</f>
        <v>46023</v>
      </c>
      <c r="E285" s="129">
        <f t="shared" si="17"/>
        <v>31</v>
      </c>
      <c r="F285" s="130" t="str">
        <f>IFERROR(_xlfn.XLOOKUP($A285,'Raw Data'!$G:$G,'Raw Data'!$AH:$AH),"")</f>
        <v/>
      </c>
      <c r="G285" s="131" t="str">
        <f>IFERROR(_xlfn.XLOOKUP($A285,'Raw Data'!$G:$G,'Raw Data'!$S:$S)/1000,"")</f>
        <v/>
      </c>
      <c r="H285" s="131"/>
      <c r="I285" s="131" t="str">
        <f>IFERROR(_xlfn.XLOOKUP($A285,'Raw Data'!$G:$G,'Raw Data'!$AF:$AF)/1000,"")</f>
        <v/>
      </c>
      <c r="J285" s="131"/>
      <c r="K285" s="131" t="str">
        <f>IFERROR(_xlfn.XLOOKUP($A285,'Raw Data'!$G:$G,'Raw Data'!W:W),"")</f>
        <v/>
      </c>
      <c r="L285" s="131" t="str">
        <f>IFERROR(_xlfn.XLOOKUP($A285,'Raw Data'!$G:$G,'Raw Data'!X:X),"")</f>
        <v/>
      </c>
      <c r="M285" s="131" t="str">
        <f>IFERROR(_xlfn.XLOOKUP($A285,'Raw Data'!$G:$G,'Raw Data'!Y:Y),"")</f>
        <v/>
      </c>
      <c r="N285" s="131" t="str">
        <f>IFERROR(_xlfn.XLOOKUP($A285,'Raw Data'!$G:$G,'Raw Data'!Z:Z),"")</f>
        <v/>
      </c>
      <c r="O285" s="158" t="str">
        <f>IFERROR(1-SUMIF('Plant BD'!$H:$H,$A285,'Plant BD'!AC:AC)/$F285,"")</f>
        <v/>
      </c>
      <c r="P285" s="158"/>
      <c r="Q285" s="159"/>
      <c r="R285" s="158" t="str">
        <f>IFERROR(1-SUMIF('Grid BD'!$H:$H,$A285,'Grid BD'!AB:AB)/$F285,"")</f>
        <v/>
      </c>
      <c r="T285" s="159" t="str">
        <f>IFERROR(1-SUMIF(Tracker_BD!$H:$H,$A285,Tracker_BD!AI:AI)/$F285,"")</f>
        <v/>
      </c>
      <c r="U285" s="160" t="str">
        <f t="shared" si="18"/>
        <v/>
      </c>
      <c r="V285" s="160"/>
      <c r="W285" s="161" t="str">
        <f t="shared" si="19"/>
        <v/>
      </c>
      <c r="X285" s="156" t="str">
        <f>IFERROR(_xlfn.XLOOKUP($A285,'Raw Data'!$G:$G,'Raw Data'!$AB:$AB),"")</f>
        <v/>
      </c>
      <c r="Y285" s="156" t="str">
        <f>IFERROR(_xlfn.XLOOKUP($A285,'Raw Data'!$G:$G,'Raw Data'!AC:AC),"")</f>
        <v/>
      </c>
      <c r="Z285" s="156" t="str">
        <f>IFERROR(_xlfn.XLOOKUP($A285,'Raw Data'!$G:$G,'Raw Data'!AD:AD),"")</f>
        <v/>
      </c>
      <c r="AA285" s="156" t="str">
        <f>IFERROR(_xlfn.XLOOKUP($A285,'Raw Data'!$G:$G,'Raw Data'!AE:AE),"")</f>
        <v/>
      </c>
      <c r="AB285" s="156" t="str">
        <f>IFERROR(_xlfn.XLOOKUP($A285,'Raw Data'!$G:$G,'Raw Data'!$H:$H),"")</f>
        <v/>
      </c>
      <c r="AC285" s="162">
        <f>IFERROR(_xlfn.XLOOKUP($D285,'Modelling New'!$D:$D,'Modelling New'!$P:$P),"")</f>
        <v>6.0175946709677417</v>
      </c>
      <c r="AD285" s="156">
        <f>IFERROR(_xlfn.XLOOKUP($D285,'Modelling New'!$D:$D,'Modelling New'!$T:$T)*1000,"")</f>
        <v>54155.22627474973</v>
      </c>
      <c r="AE285" s="163">
        <f>IFERROR(_xlfn.XLOOKUP($D285,'Modelling New'!$D:$D,'Modelling New'!$O:$O),"")</f>
        <v>0.76787376813667318</v>
      </c>
      <c r="AF285" s="163">
        <f>IFERROR(_xlfn.XLOOKUP($D285,'Modelling New'!$D:$D,'Modelling New'!$W:$W),"")</f>
        <v>0.19253137896313183</v>
      </c>
      <c r="AG285" s="163">
        <f>IFERROR(_xlfn.XLOOKUP($D285,'Modelling New'!$D:$D,'Modelling New'!AE:AE),"")</f>
        <v>0.995</v>
      </c>
      <c r="AH285" s="163">
        <f>IFERROR(_xlfn.XLOOKUP($D285,'Modelling New'!$D:$D,'Modelling New'!AF:AF),"")</f>
        <v>0.98550000000000004</v>
      </c>
      <c r="AN285" s="164"/>
      <c r="AO285" s="161"/>
      <c r="AP285" s="161"/>
      <c r="AQ285" s="161"/>
      <c r="AR285" s="156">
        <f>IFERROR(_xlfn.XLOOKUP($D285,'Modelling New'!$D:$D,'Modelling New'!$N:$N),"")</f>
        <v>11.72</v>
      </c>
    </row>
    <row r="286" spans="1:44">
      <c r="A286" s="155">
        <f t="shared" si="20"/>
        <v>46029</v>
      </c>
      <c r="B286" s="156">
        <f>YEAR(Table13[[#This Row],[Date]])+IF(MONTH(Table13[[#This Row],[Date]])&gt;=4,1,0)</f>
        <v>2026</v>
      </c>
      <c r="C286" s="129">
        <f>YEAR(Table13[[#This Row],[Date]])</f>
        <v>2026</v>
      </c>
      <c r="D286" s="157">
        <f>Table13[[#This Row],[Date]]-DAY(Table13[[#This Row],[Date]])+1</f>
        <v>46023</v>
      </c>
      <c r="E286" s="129">
        <f t="shared" si="17"/>
        <v>31</v>
      </c>
      <c r="F286" s="130" t="str">
        <f>IFERROR(_xlfn.XLOOKUP($A286,'Raw Data'!$G:$G,'Raw Data'!$AH:$AH),"")</f>
        <v/>
      </c>
      <c r="G286" s="131" t="str">
        <f>IFERROR(_xlfn.XLOOKUP($A286,'Raw Data'!$G:$G,'Raw Data'!$S:$S)/1000,"")</f>
        <v/>
      </c>
      <c r="H286" s="131"/>
      <c r="I286" s="131" t="str">
        <f>IFERROR(_xlfn.XLOOKUP($A286,'Raw Data'!$G:$G,'Raw Data'!$AF:$AF)/1000,"")</f>
        <v/>
      </c>
      <c r="J286" s="131"/>
      <c r="K286" s="131" t="str">
        <f>IFERROR(_xlfn.XLOOKUP($A286,'Raw Data'!$G:$G,'Raw Data'!W:W),"")</f>
        <v/>
      </c>
      <c r="L286" s="131" t="str">
        <f>IFERROR(_xlfn.XLOOKUP($A286,'Raw Data'!$G:$G,'Raw Data'!X:X),"")</f>
        <v/>
      </c>
      <c r="M286" s="131" t="str">
        <f>IFERROR(_xlfn.XLOOKUP($A286,'Raw Data'!$G:$G,'Raw Data'!Y:Y),"")</f>
        <v/>
      </c>
      <c r="N286" s="131" t="str">
        <f>IFERROR(_xlfn.XLOOKUP($A286,'Raw Data'!$G:$G,'Raw Data'!Z:Z),"")</f>
        <v/>
      </c>
      <c r="O286" s="158" t="str">
        <f>IFERROR(1-SUMIF('Plant BD'!$H:$H,$A286,'Plant BD'!AC:AC)/$F286,"")</f>
        <v/>
      </c>
      <c r="P286" s="158"/>
      <c r="Q286" s="159"/>
      <c r="R286" s="158" t="str">
        <f>IFERROR(1-SUMIF('Grid BD'!$H:$H,$A286,'Grid BD'!AB:AB)/$F286,"")</f>
        <v/>
      </c>
      <c r="T286" s="159" t="str">
        <f>IFERROR(1-SUMIF(Tracker_BD!$H:$H,$A286,Tracker_BD!AI:AI)/$F286,"")</f>
        <v/>
      </c>
      <c r="U286" s="160" t="str">
        <f t="shared" si="18"/>
        <v/>
      </c>
      <c r="V286" s="160"/>
      <c r="W286" s="161" t="str">
        <f t="shared" si="19"/>
        <v/>
      </c>
      <c r="X286" s="156" t="str">
        <f>IFERROR(_xlfn.XLOOKUP($A286,'Raw Data'!$G:$G,'Raw Data'!$AB:$AB),"")</f>
        <v/>
      </c>
      <c r="Y286" s="156" t="str">
        <f>IFERROR(_xlfn.XLOOKUP($A286,'Raw Data'!$G:$G,'Raw Data'!AC:AC),"")</f>
        <v/>
      </c>
      <c r="Z286" s="156" t="str">
        <f>IFERROR(_xlfn.XLOOKUP($A286,'Raw Data'!$G:$G,'Raw Data'!AD:AD),"")</f>
        <v/>
      </c>
      <c r="AA286" s="156" t="str">
        <f>IFERROR(_xlfn.XLOOKUP($A286,'Raw Data'!$G:$G,'Raw Data'!AE:AE),"")</f>
        <v/>
      </c>
      <c r="AB286" s="156" t="str">
        <f>IFERROR(_xlfn.XLOOKUP($A286,'Raw Data'!$G:$G,'Raw Data'!$H:$H),"")</f>
        <v/>
      </c>
      <c r="AC286" s="162">
        <f>IFERROR(_xlfn.XLOOKUP($D286,'Modelling New'!$D:$D,'Modelling New'!$P:$P),"")</f>
        <v>6.0175946709677417</v>
      </c>
      <c r="AD286" s="156">
        <f>IFERROR(_xlfn.XLOOKUP($D286,'Modelling New'!$D:$D,'Modelling New'!$T:$T)*1000,"")</f>
        <v>54155.22627474973</v>
      </c>
      <c r="AE286" s="163">
        <f>IFERROR(_xlfn.XLOOKUP($D286,'Modelling New'!$D:$D,'Modelling New'!$O:$O),"")</f>
        <v>0.76787376813667318</v>
      </c>
      <c r="AF286" s="163">
        <f>IFERROR(_xlfn.XLOOKUP($D286,'Modelling New'!$D:$D,'Modelling New'!$W:$W),"")</f>
        <v>0.19253137896313183</v>
      </c>
      <c r="AG286" s="163">
        <f>IFERROR(_xlfn.XLOOKUP($D286,'Modelling New'!$D:$D,'Modelling New'!AE:AE),"")</f>
        <v>0.995</v>
      </c>
      <c r="AH286" s="163">
        <f>IFERROR(_xlfn.XLOOKUP($D286,'Modelling New'!$D:$D,'Modelling New'!AF:AF),"")</f>
        <v>0.98550000000000004</v>
      </c>
      <c r="AN286" s="164"/>
      <c r="AO286" s="161"/>
      <c r="AP286" s="161"/>
      <c r="AQ286" s="161"/>
      <c r="AR286" s="156">
        <f>IFERROR(_xlfn.XLOOKUP($D286,'Modelling New'!$D:$D,'Modelling New'!$N:$N),"")</f>
        <v>11.72</v>
      </c>
    </row>
    <row r="287" spans="1:44">
      <c r="A287" s="155">
        <f t="shared" si="20"/>
        <v>46030</v>
      </c>
      <c r="B287" s="156">
        <f>YEAR(Table13[[#This Row],[Date]])+IF(MONTH(Table13[[#This Row],[Date]])&gt;=4,1,0)</f>
        <v>2026</v>
      </c>
      <c r="C287" s="129">
        <f>YEAR(Table13[[#This Row],[Date]])</f>
        <v>2026</v>
      </c>
      <c r="D287" s="157">
        <f>Table13[[#This Row],[Date]]-DAY(Table13[[#This Row],[Date]])+1</f>
        <v>46023</v>
      </c>
      <c r="E287" s="129">
        <f t="shared" si="17"/>
        <v>31</v>
      </c>
      <c r="F287" s="130" t="str">
        <f>IFERROR(_xlfn.XLOOKUP($A287,'Raw Data'!$G:$G,'Raw Data'!$AH:$AH),"")</f>
        <v/>
      </c>
      <c r="G287" s="131" t="str">
        <f>IFERROR(_xlfn.XLOOKUP($A287,'Raw Data'!$G:$G,'Raw Data'!$S:$S)/1000,"")</f>
        <v/>
      </c>
      <c r="H287" s="131"/>
      <c r="I287" s="131" t="str">
        <f>IFERROR(_xlfn.XLOOKUP($A287,'Raw Data'!$G:$G,'Raw Data'!$AF:$AF)/1000,"")</f>
        <v/>
      </c>
      <c r="J287" s="131"/>
      <c r="K287" s="131" t="str">
        <f>IFERROR(_xlfn.XLOOKUP($A287,'Raw Data'!$G:$G,'Raw Data'!W:W),"")</f>
        <v/>
      </c>
      <c r="L287" s="131" t="str">
        <f>IFERROR(_xlfn.XLOOKUP($A287,'Raw Data'!$G:$G,'Raw Data'!X:X),"")</f>
        <v/>
      </c>
      <c r="M287" s="131" t="str">
        <f>IFERROR(_xlfn.XLOOKUP($A287,'Raw Data'!$G:$G,'Raw Data'!Y:Y),"")</f>
        <v/>
      </c>
      <c r="N287" s="131" t="str">
        <f>IFERROR(_xlfn.XLOOKUP($A287,'Raw Data'!$G:$G,'Raw Data'!Z:Z),"")</f>
        <v/>
      </c>
      <c r="O287" s="158" t="str">
        <f>IFERROR(1-SUMIF('Plant BD'!$H:$H,$A287,'Plant BD'!AC:AC)/$F287,"")</f>
        <v/>
      </c>
      <c r="P287" s="158"/>
      <c r="Q287" s="159"/>
      <c r="R287" s="158" t="str">
        <f>IFERROR(1-SUMIF('Grid BD'!$H:$H,$A287,'Grid BD'!AB:AB)/$F287,"")</f>
        <v/>
      </c>
      <c r="T287" s="159" t="str">
        <f>IFERROR(1-SUMIF(Tracker_BD!$H:$H,$A287,Tracker_BD!AI:AI)/$F287,"")</f>
        <v/>
      </c>
      <c r="U287" s="160" t="str">
        <f t="shared" si="18"/>
        <v/>
      </c>
      <c r="V287" s="160"/>
      <c r="W287" s="161" t="str">
        <f t="shared" si="19"/>
        <v/>
      </c>
      <c r="X287" s="156" t="str">
        <f>IFERROR(_xlfn.XLOOKUP($A287,'Raw Data'!$G:$G,'Raw Data'!$AB:$AB),"")</f>
        <v/>
      </c>
      <c r="Y287" s="156" t="str">
        <f>IFERROR(_xlfn.XLOOKUP($A287,'Raw Data'!$G:$G,'Raw Data'!AC:AC),"")</f>
        <v/>
      </c>
      <c r="Z287" s="156" t="str">
        <f>IFERROR(_xlfn.XLOOKUP($A287,'Raw Data'!$G:$G,'Raw Data'!AD:AD),"")</f>
        <v/>
      </c>
      <c r="AA287" s="156" t="str">
        <f>IFERROR(_xlfn.XLOOKUP($A287,'Raw Data'!$G:$G,'Raw Data'!AE:AE),"")</f>
        <v/>
      </c>
      <c r="AB287" s="156" t="str">
        <f>IFERROR(_xlfn.XLOOKUP($A287,'Raw Data'!$G:$G,'Raw Data'!$H:$H),"")</f>
        <v/>
      </c>
      <c r="AC287" s="162">
        <f>IFERROR(_xlfn.XLOOKUP($D287,'Modelling New'!$D:$D,'Modelling New'!$P:$P),"")</f>
        <v>6.0175946709677417</v>
      </c>
      <c r="AD287" s="156">
        <f>IFERROR(_xlfn.XLOOKUP($D287,'Modelling New'!$D:$D,'Modelling New'!$T:$T)*1000,"")</f>
        <v>54155.22627474973</v>
      </c>
      <c r="AE287" s="163">
        <f>IFERROR(_xlfn.XLOOKUP($D287,'Modelling New'!$D:$D,'Modelling New'!$O:$O),"")</f>
        <v>0.76787376813667318</v>
      </c>
      <c r="AF287" s="163">
        <f>IFERROR(_xlfn.XLOOKUP($D287,'Modelling New'!$D:$D,'Modelling New'!$W:$W),"")</f>
        <v>0.19253137896313183</v>
      </c>
      <c r="AG287" s="163">
        <f>IFERROR(_xlfn.XLOOKUP($D287,'Modelling New'!$D:$D,'Modelling New'!AE:AE),"")</f>
        <v>0.995</v>
      </c>
      <c r="AH287" s="163">
        <f>IFERROR(_xlfn.XLOOKUP($D287,'Modelling New'!$D:$D,'Modelling New'!AF:AF),"")</f>
        <v>0.98550000000000004</v>
      </c>
      <c r="AN287" s="164"/>
      <c r="AO287" s="161"/>
      <c r="AP287" s="161"/>
      <c r="AQ287" s="161"/>
      <c r="AR287" s="156">
        <f>IFERROR(_xlfn.XLOOKUP($D287,'Modelling New'!$D:$D,'Modelling New'!$N:$N),"")</f>
        <v>11.72</v>
      </c>
    </row>
    <row r="288" spans="1:44">
      <c r="A288" s="155">
        <f t="shared" si="20"/>
        <v>46031</v>
      </c>
      <c r="B288" s="156">
        <f>YEAR(Table13[[#This Row],[Date]])+IF(MONTH(Table13[[#This Row],[Date]])&gt;=4,1,0)</f>
        <v>2026</v>
      </c>
      <c r="C288" s="129">
        <f>YEAR(Table13[[#This Row],[Date]])</f>
        <v>2026</v>
      </c>
      <c r="D288" s="157">
        <f>Table13[[#This Row],[Date]]-DAY(Table13[[#This Row],[Date]])+1</f>
        <v>46023</v>
      </c>
      <c r="E288" s="129">
        <f t="shared" si="17"/>
        <v>31</v>
      </c>
      <c r="F288" s="130" t="str">
        <f>IFERROR(_xlfn.XLOOKUP($A288,'Raw Data'!$G:$G,'Raw Data'!$AH:$AH),"")</f>
        <v/>
      </c>
      <c r="G288" s="131" t="str">
        <f>IFERROR(_xlfn.XLOOKUP($A288,'Raw Data'!$G:$G,'Raw Data'!$S:$S)/1000,"")</f>
        <v/>
      </c>
      <c r="H288" s="131"/>
      <c r="I288" s="131" t="str">
        <f>IFERROR(_xlfn.XLOOKUP($A288,'Raw Data'!$G:$G,'Raw Data'!$AF:$AF)/1000,"")</f>
        <v/>
      </c>
      <c r="J288" s="131"/>
      <c r="K288" s="131" t="str">
        <f>IFERROR(_xlfn.XLOOKUP($A288,'Raw Data'!$G:$G,'Raw Data'!W:W),"")</f>
        <v/>
      </c>
      <c r="L288" s="131" t="str">
        <f>IFERROR(_xlfn.XLOOKUP($A288,'Raw Data'!$G:$G,'Raw Data'!X:X),"")</f>
        <v/>
      </c>
      <c r="M288" s="131" t="str">
        <f>IFERROR(_xlfn.XLOOKUP($A288,'Raw Data'!$G:$G,'Raw Data'!Y:Y),"")</f>
        <v/>
      </c>
      <c r="N288" s="131" t="str">
        <f>IFERROR(_xlfn.XLOOKUP($A288,'Raw Data'!$G:$G,'Raw Data'!Z:Z),"")</f>
        <v/>
      </c>
      <c r="O288" s="158" t="str">
        <f>IFERROR(1-SUMIF('Plant BD'!$H:$H,$A288,'Plant BD'!AC:AC)/$F288,"")</f>
        <v/>
      </c>
      <c r="P288" s="158"/>
      <c r="Q288" s="159"/>
      <c r="R288" s="158" t="str">
        <f>IFERROR(1-SUMIF('Grid BD'!$H:$H,$A288,'Grid BD'!AB:AB)/$F288,"")</f>
        <v/>
      </c>
      <c r="T288" s="159" t="str">
        <f>IFERROR(1-SUMIF(Tracker_BD!$H:$H,$A288,Tracker_BD!AI:AI)/$F288,"")</f>
        <v/>
      </c>
      <c r="U288" s="160" t="str">
        <f t="shared" si="18"/>
        <v/>
      </c>
      <c r="V288" s="160"/>
      <c r="W288" s="161" t="str">
        <f t="shared" si="19"/>
        <v/>
      </c>
      <c r="X288" s="156" t="str">
        <f>IFERROR(_xlfn.XLOOKUP($A288,'Raw Data'!$G:$G,'Raw Data'!$AB:$AB),"")</f>
        <v/>
      </c>
      <c r="Y288" s="156" t="str">
        <f>IFERROR(_xlfn.XLOOKUP($A288,'Raw Data'!$G:$G,'Raw Data'!AC:AC),"")</f>
        <v/>
      </c>
      <c r="Z288" s="156" t="str">
        <f>IFERROR(_xlfn.XLOOKUP($A288,'Raw Data'!$G:$G,'Raw Data'!AD:AD),"")</f>
        <v/>
      </c>
      <c r="AA288" s="156" t="str">
        <f>IFERROR(_xlfn.XLOOKUP($A288,'Raw Data'!$G:$G,'Raw Data'!AE:AE),"")</f>
        <v/>
      </c>
      <c r="AB288" s="156" t="str">
        <f>IFERROR(_xlfn.XLOOKUP($A288,'Raw Data'!$G:$G,'Raw Data'!$H:$H),"")</f>
        <v/>
      </c>
      <c r="AC288" s="162">
        <f>IFERROR(_xlfn.XLOOKUP($D288,'Modelling New'!$D:$D,'Modelling New'!$P:$P),"")</f>
        <v>6.0175946709677417</v>
      </c>
      <c r="AD288" s="156">
        <f>IFERROR(_xlfn.XLOOKUP($D288,'Modelling New'!$D:$D,'Modelling New'!$T:$T)*1000,"")</f>
        <v>54155.22627474973</v>
      </c>
      <c r="AE288" s="163">
        <f>IFERROR(_xlfn.XLOOKUP($D288,'Modelling New'!$D:$D,'Modelling New'!$O:$O),"")</f>
        <v>0.76787376813667318</v>
      </c>
      <c r="AF288" s="163">
        <f>IFERROR(_xlfn.XLOOKUP($D288,'Modelling New'!$D:$D,'Modelling New'!$W:$W),"")</f>
        <v>0.19253137896313183</v>
      </c>
      <c r="AG288" s="163">
        <f>IFERROR(_xlfn.XLOOKUP($D288,'Modelling New'!$D:$D,'Modelling New'!AE:AE),"")</f>
        <v>0.995</v>
      </c>
      <c r="AH288" s="163">
        <f>IFERROR(_xlfn.XLOOKUP($D288,'Modelling New'!$D:$D,'Modelling New'!AF:AF),"")</f>
        <v>0.98550000000000004</v>
      </c>
      <c r="AN288" s="164"/>
      <c r="AO288" s="161"/>
      <c r="AP288" s="161"/>
      <c r="AQ288" s="161"/>
      <c r="AR288" s="156">
        <f>IFERROR(_xlfn.XLOOKUP($D288,'Modelling New'!$D:$D,'Modelling New'!$N:$N),"")</f>
        <v>11.72</v>
      </c>
    </row>
    <row r="289" spans="1:44">
      <c r="A289" s="155">
        <f t="shared" si="20"/>
        <v>46032</v>
      </c>
      <c r="B289" s="156">
        <f>YEAR(Table13[[#This Row],[Date]])+IF(MONTH(Table13[[#This Row],[Date]])&gt;=4,1,0)</f>
        <v>2026</v>
      </c>
      <c r="C289" s="129">
        <f>YEAR(Table13[[#This Row],[Date]])</f>
        <v>2026</v>
      </c>
      <c r="D289" s="157">
        <f>Table13[[#This Row],[Date]]-DAY(Table13[[#This Row],[Date]])+1</f>
        <v>46023</v>
      </c>
      <c r="E289" s="129">
        <f t="shared" si="17"/>
        <v>31</v>
      </c>
      <c r="F289" s="130" t="str">
        <f>IFERROR(_xlfn.XLOOKUP($A289,'Raw Data'!$G:$G,'Raw Data'!$AH:$AH),"")</f>
        <v/>
      </c>
      <c r="G289" s="131" t="str">
        <f>IFERROR(_xlfn.XLOOKUP($A289,'Raw Data'!$G:$G,'Raw Data'!$S:$S)/1000,"")</f>
        <v/>
      </c>
      <c r="H289" s="131"/>
      <c r="I289" s="131" t="str">
        <f>IFERROR(_xlfn.XLOOKUP($A289,'Raw Data'!$G:$G,'Raw Data'!$AF:$AF)/1000,"")</f>
        <v/>
      </c>
      <c r="J289" s="131"/>
      <c r="K289" s="131" t="str">
        <f>IFERROR(_xlfn.XLOOKUP($A289,'Raw Data'!$G:$G,'Raw Data'!W:W),"")</f>
        <v/>
      </c>
      <c r="L289" s="131" t="str">
        <f>IFERROR(_xlfn.XLOOKUP($A289,'Raw Data'!$G:$G,'Raw Data'!X:X),"")</f>
        <v/>
      </c>
      <c r="M289" s="131" t="str">
        <f>IFERROR(_xlfn.XLOOKUP($A289,'Raw Data'!$G:$G,'Raw Data'!Y:Y),"")</f>
        <v/>
      </c>
      <c r="N289" s="131" t="str">
        <f>IFERROR(_xlfn.XLOOKUP($A289,'Raw Data'!$G:$G,'Raw Data'!Z:Z),"")</f>
        <v/>
      </c>
      <c r="O289" s="158" t="str">
        <f>IFERROR(1-SUMIF('Plant BD'!$H:$H,$A289,'Plant BD'!AC:AC)/$F289,"")</f>
        <v/>
      </c>
      <c r="P289" s="158"/>
      <c r="Q289" s="159"/>
      <c r="R289" s="158" t="str">
        <f>IFERROR(1-SUMIF('Grid BD'!$H:$H,$A289,'Grid BD'!AB:AB)/$F289,"")</f>
        <v/>
      </c>
      <c r="T289" s="159" t="str">
        <f>IFERROR(1-SUMIF(Tracker_BD!$H:$H,$A289,Tracker_BD!AI:AI)/$F289,"")</f>
        <v/>
      </c>
      <c r="U289" s="160" t="str">
        <f t="shared" si="18"/>
        <v/>
      </c>
      <c r="V289" s="160"/>
      <c r="W289" s="161" t="str">
        <f t="shared" si="19"/>
        <v/>
      </c>
      <c r="X289" s="156" t="str">
        <f>IFERROR(_xlfn.XLOOKUP($A289,'Raw Data'!$G:$G,'Raw Data'!$AB:$AB),"")</f>
        <v/>
      </c>
      <c r="Y289" s="156" t="str">
        <f>IFERROR(_xlfn.XLOOKUP($A289,'Raw Data'!$G:$G,'Raw Data'!AC:AC),"")</f>
        <v/>
      </c>
      <c r="Z289" s="156" t="str">
        <f>IFERROR(_xlfn.XLOOKUP($A289,'Raw Data'!$G:$G,'Raw Data'!AD:AD),"")</f>
        <v/>
      </c>
      <c r="AA289" s="156" t="str">
        <f>IFERROR(_xlfn.XLOOKUP($A289,'Raw Data'!$G:$G,'Raw Data'!AE:AE),"")</f>
        <v/>
      </c>
      <c r="AB289" s="156" t="str">
        <f>IFERROR(_xlfn.XLOOKUP($A289,'Raw Data'!$G:$G,'Raw Data'!$H:$H),"")</f>
        <v/>
      </c>
      <c r="AC289" s="162">
        <f>IFERROR(_xlfn.XLOOKUP($D289,'Modelling New'!$D:$D,'Modelling New'!$P:$P),"")</f>
        <v>6.0175946709677417</v>
      </c>
      <c r="AD289" s="156">
        <f>IFERROR(_xlfn.XLOOKUP($D289,'Modelling New'!$D:$D,'Modelling New'!$T:$T)*1000,"")</f>
        <v>54155.22627474973</v>
      </c>
      <c r="AE289" s="163">
        <f>IFERROR(_xlfn.XLOOKUP($D289,'Modelling New'!$D:$D,'Modelling New'!$O:$O),"")</f>
        <v>0.76787376813667318</v>
      </c>
      <c r="AF289" s="163">
        <f>IFERROR(_xlfn.XLOOKUP($D289,'Modelling New'!$D:$D,'Modelling New'!$W:$W),"")</f>
        <v>0.19253137896313183</v>
      </c>
      <c r="AG289" s="163">
        <f>IFERROR(_xlfn.XLOOKUP($D289,'Modelling New'!$D:$D,'Modelling New'!AE:AE),"")</f>
        <v>0.995</v>
      </c>
      <c r="AH289" s="163">
        <f>IFERROR(_xlfn.XLOOKUP($D289,'Modelling New'!$D:$D,'Modelling New'!AF:AF),"")</f>
        <v>0.98550000000000004</v>
      </c>
      <c r="AN289" s="164"/>
      <c r="AO289" s="161"/>
      <c r="AP289" s="161"/>
      <c r="AQ289" s="161"/>
      <c r="AR289" s="156">
        <f>IFERROR(_xlfn.XLOOKUP($D289,'Modelling New'!$D:$D,'Modelling New'!$N:$N),"")</f>
        <v>11.72</v>
      </c>
    </row>
    <row r="290" spans="1:44">
      <c r="A290" s="155">
        <f t="shared" si="20"/>
        <v>46033</v>
      </c>
      <c r="B290" s="156">
        <f>YEAR(Table13[[#This Row],[Date]])+IF(MONTH(Table13[[#This Row],[Date]])&gt;=4,1,0)</f>
        <v>2026</v>
      </c>
      <c r="C290" s="129">
        <f>YEAR(Table13[[#This Row],[Date]])</f>
        <v>2026</v>
      </c>
      <c r="D290" s="157">
        <f>Table13[[#This Row],[Date]]-DAY(Table13[[#This Row],[Date]])+1</f>
        <v>46023</v>
      </c>
      <c r="E290" s="129">
        <f t="shared" si="17"/>
        <v>31</v>
      </c>
      <c r="F290" s="130" t="str">
        <f>IFERROR(_xlfn.XLOOKUP($A290,'Raw Data'!$G:$G,'Raw Data'!$AH:$AH),"")</f>
        <v/>
      </c>
      <c r="G290" s="131" t="str">
        <f>IFERROR(_xlfn.XLOOKUP($A290,'Raw Data'!$G:$G,'Raw Data'!$S:$S)/1000,"")</f>
        <v/>
      </c>
      <c r="H290" s="131"/>
      <c r="I290" s="131" t="str">
        <f>IFERROR(_xlfn.XLOOKUP($A290,'Raw Data'!$G:$G,'Raw Data'!$AF:$AF)/1000,"")</f>
        <v/>
      </c>
      <c r="J290" s="131"/>
      <c r="K290" s="131" t="str">
        <f>IFERROR(_xlfn.XLOOKUP($A290,'Raw Data'!$G:$G,'Raw Data'!W:W),"")</f>
        <v/>
      </c>
      <c r="L290" s="131" t="str">
        <f>IFERROR(_xlfn.XLOOKUP($A290,'Raw Data'!$G:$G,'Raw Data'!X:X),"")</f>
        <v/>
      </c>
      <c r="M290" s="131" t="str">
        <f>IFERROR(_xlfn.XLOOKUP($A290,'Raw Data'!$G:$G,'Raw Data'!Y:Y),"")</f>
        <v/>
      </c>
      <c r="N290" s="131" t="str">
        <f>IFERROR(_xlfn.XLOOKUP($A290,'Raw Data'!$G:$G,'Raw Data'!Z:Z),"")</f>
        <v/>
      </c>
      <c r="O290" s="158" t="str">
        <f>IFERROR(1-SUMIF('Plant BD'!$H:$H,$A290,'Plant BD'!AC:AC)/$F290,"")</f>
        <v/>
      </c>
      <c r="P290" s="158"/>
      <c r="Q290" s="159"/>
      <c r="R290" s="158" t="str">
        <f>IFERROR(1-SUMIF('Grid BD'!$H:$H,$A290,'Grid BD'!AB:AB)/$F290,"")</f>
        <v/>
      </c>
      <c r="T290" s="159" t="str">
        <f>IFERROR(1-SUMIF(Tracker_BD!$H:$H,$A290,Tracker_BD!AI:AI)/$F290,"")</f>
        <v/>
      </c>
      <c r="U290" s="160" t="str">
        <f t="shared" si="18"/>
        <v/>
      </c>
      <c r="V290" s="160"/>
      <c r="W290" s="161" t="str">
        <f t="shared" si="19"/>
        <v/>
      </c>
      <c r="X290" s="156" t="str">
        <f>IFERROR(_xlfn.XLOOKUP($A290,'Raw Data'!$G:$G,'Raw Data'!$AB:$AB),"")</f>
        <v/>
      </c>
      <c r="Y290" s="156" t="str">
        <f>IFERROR(_xlfn.XLOOKUP($A290,'Raw Data'!$G:$G,'Raw Data'!AC:AC),"")</f>
        <v/>
      </c>
      <c r="Z290" s="156" t="str">
        <f>IFERROR(_xlfn.XLOOKUP($A290,'Raw Data'!$G:$G,'Raw Data'!AD:AD),"")</f>
        <v/>
      </c>
      <c r="AA290" s="156" t="str">
        <f>IFERROR(_xlfn.XLOOKUP($A290,'Raw Data'!$G:$G,'Raw Data'!AE:AE),"")</f>
        <v/>
      </c>
      <c r="AB290" s="156" t="str">
        <f>IFERROR(_xlfn.XLOOKUP($A290,'Raw Data'!$G:$G,'Raw Data'!$H:$H),"")</f>
        <v/>
      </c>
      <c r="AC290" s="162">
        <f>IFERROR(_xlfn.XLOOKUP($D290,'Modelling New'!$D:$D,'Modelling New'!$P:$P),"")</f>
        <v>6.0175946709677417</v>
      </c>
      <c r="AD290" s="156">
        <f>IFERROR(_xlfn.XLOOKUP($D290,'Modelling New'!$D:$D,'Modelling New'!$T:$T)*1000,"")</f>
        <v>54155.22627474973</v>
      </c>
      <c r="AE290" s="163">
        <f>IFERROR(_xlfn.XLOOKUP($D290,'Modelling New'!$D:$D,'Modelling New'!$O:$O),"")</f>
        <v>0.76787376813667318</v>
      </c>
      <c r="AF290" s="163">
        <f>IFERROR(_xlfn.XLOOKUP($D290,'Modelling New'!$D:$D,'Modelling New'!$W:$W),"")</f>
        <v>0.19253137896313183</v>
      </c>
      <c r="AG290" s="163">
        <f>IFERROR(_xlfn.XLOOKUP($D290,'Modelling New'!$D:$D,'Modelling New'!AE:AE),"")</f>
        <v>0.995</v>
      </c>
      <c r="AH290" s="163">
        <f>IFERROR(_xlfn.XLOOKUP($D290,'Modelling New'!$D:$D,'Modelling New'!AF:AF),"")</f>
        <v>0.98550000000000004</v>
      </c>
      <c r="AN290" s="164"/>
      <c r="AO290" s="161"/>
      <c r="AP290" s="161"/>
      <c r="AQ290" s="161"/>
      <c r="AR290" s="156">
        <f>IFERROR(_xlfn.XLOOKUP($D290,'Modelling New'!$D:$D,'Modelling New'!$N:$N),"")</f>
        <v>11.72</v>
      </c>
    </row>
    <row r="291" spans="1:44">
      <c r="A291" s="155">
        <f t="shared" si="20"/>
        <v>46034</v>
      </c>
      <c r="B291" s="156">
        <f>YEAR(Table13[[#This Row],[Date]])+IF(MONTH(Table13[[#This Row],[Date]])&gt;=4,1,0)</f>
        <v>2026</v>
      </c>
      <c r="C291" s="129">
        <f>YEAR(Table13[[#This Row],[Date]])</f>
        <v>2026</v>
      </c>
      <c r="D291" s="157">
        <f>Table13[[#This Row],[Date]]-DAY(Table13[[#This Row],[Date]])+1</f>
        <v>46023</v>
      </c>
      <c r="E291" s="129">
        <f t="shared" si="17"/>
        <v>31</v>
      </c>
      <c r="F291" s="130" t="str">
        <f>IFERROR(_xlfn.XLOOKUP($A291,'Raw Data'!$G:$G,'Raw Data'!$AH:$AH),"")</f>
        <v/>
      </c>
      <c r="G291" s="131" t="str">
        <f>IFERROR(_xlfn.XLOOKUP($A291,'Raw Data'!$G:$G,'Raw Data'!$S:$S)/1000,"")</f>
        <v/>
      </c>
      <c r="H291" s="131"/>
      <c r="I291" s="131" t="str">
        <f>IFERROR(_xlfn.XLOOKUP($A291,'Raw Data'!$G:$G,'Raw Data'!$AF:$AF)/1000,"")</f>
        <v/>
      </c>
      <c r="J291" s="131"/>
      <c r="K291" s="131" t="str">
        <f>IFERROR(_xlfn.XLOOKUP($A291,'Raw Data'!$G:$G,'Raw Data'!W:W),"")</f>
        <v/>
      </c>
      <c r="L291" s="131" t="str">
        <f>IFERROR(_xlfn.XLOOKUP($A291,'Raw Data'!$G:$G,'Raw Data'!X:X),"")</f>
        <v/>
      </c>
      <c r="M291" s="131" t="str">
        <f>IFERROR(_xlfn.XLOOKUP($A291,'Raw Data'!$G:$G,'Raw Data'!Y:Y),"")</f>
        <v/>
      </c>
      <c r="N291" s="131" t="str">
        <f>IFERROR(_xlfn.XLOOKUP($A291,'Raw Data'!$G:$G,'Raw Data'!Z:Z),"")</f>
        <v/>
      </c>
      <c r="O291" s="158" t="str">
        <f>IFERROR(1-SUMIF('Plant BD'!$H:$H,$A291,'Plant BD'!AC:AC)/$F291,"")</f>
        <v/>
      </c>
      <c r="P291" s="158"/>
      <c r="Q291" s="159"/>
      <c r="R291" s="158" t="str">
        <f>IFERROR(1-SUMIF('Grid BD'!$H:$H,$A291,'Grid BD'!AB:AB)/$F291,"")</f>
        <v/>
      </c>
      <c r="T291" s="159" t="str">
        <f>IFERROR(1-SUMIF(Tracker_BD!$H:$H,$A291,Tracker_BD!AI:AI)/$F291,"")</f>
        <v/>
      </c>
      <c r="U291" s="160" t="str">
        <f t="shared" si="18"/>
        <v/>
      </c>
      <c r="V291" s="160"/>
      <c r="W291" s="161" t="str">
        <f t="shared" si="19"/>
        <v/>
      </c>
      <c r="X291" s="156" t="str">
        <f>IFERROR(_xlfn.XLOOKUP($A291,'Raw Data'!$G:$G,'Raw Data'!$AB:$AB),"")</f>
        <v/>
      </c>
      <c r="Y291" s="156" t="str">
        <f>IFERROR(_xlfn.XLOOKUP($A291,'Raw Data'!$G:$G,'Raw Data'!AC:AC),"")</f>
        <v/>
      </c>
      <c r="Z291" s="156" t="str">
        <f>IFERROR(_xlfn.XLOOKUP($A291,'Raw Data'!$G:$G,'Raw Data'!AD:AD),"")</f>
        <v/>
      </c>
      <c r="AA291" s="156" t="str">
        <f>IFERROR(_xlfn.XLOOKUP($A291,'Raw Data'!$G:$G,'Raw Data'!AE:AE),"")</f>
        <v/>
      </c>
      <c r="AB291" s="156" t="str">
        <f>IFERROR(_xlfn.XLOOKUP($A291,'Raw Data'!$G:$G,'Raw Data'!$H:$H),"")</f>
        <v/>
      </c>
      <c r="AC291" s="162">
        <f>IFERROR(_xlfn.XLOOKUP($D291,'Modelling New'!$D:$D,'Modelling New'!$P:$P),"")</f>
        <v>6.0175946709677417</v>
      </c>
      <c r="AD291" s="156">
        <f>IFERROR(_xlfn.XLOOKUP($D291,'Modelling New'!$D:$D,'Modelling New'!$T:$T)*1000,"")</f>
        <v>54155.22627474973</v>
      </c>
      <c r="AE291" s="163">
        <f>IFERROR(_xlfn.XLOOKUP($D291,'Modelling New'!$D:$D,'Modelling New'!$O:$O),"")</f>
        <v>0.76787376813667318</v>
      </c>
      <c r="AF291" s="163">
        <f>IFERROR(_xlfn.XLOOKUP($D291,'Modelling New'!$D:$D,'Modelling New'!$W:$W),"")</f>
        <v>0.19253137896313183</v>
      </c>
      <c r="AG291" s="163">
        <f>IFERROR(_xlfn.XLOOKUP($D291,'Modelling New'!$D:$D,'Modelling New'!AE:AE),"")</f>
        <v>0.995</v>
      </c>
      <c r="AH291" s="163">
        <f>IFERROR(_xlfn.XLOOKUP($D291,'Modelling New'!$D:$D,'Modelling New'!AF:AF),"")</f>
        <v>0.98550000000000004</v>
      </c>
      <c r="AN291" s="164"/>
      <c r="AO291" s="161"/>
      <c r="AP291" s="161"/>
      <c r="AQ291" s="161"/>
      <c r="AR291" s="156">
        <f>IFERROR(_xlfn.XLOOKUP($D291,'Modelling New'!$D:$D,'Modelling New'!$N:$N),"")</f>
        <v>11.72</v>
      </c>
    </row>
    <row r="292" spans="1:44">
      <c r="A292" s="155">
        <f t="shared" si="20"/>
        <v>46035</v>
      </c>
      <c r="B292" s="156">
        <f>YEAR(Table13[[#This Row],[Date]])+IF(MONTH(Table13[[#This Row],[Date]])&gt;=4,1,0)</f>
        <v>2026</v>
      </c>
      <c r="C292" s="129">
        <f>YEAR(Table13[[#This Row],[Date]])</f>
        <v>2026</v>
      </c>
      <c r="D292" s="157">
        <f>Table13[[#This Row],[Date]]-DAY(Table13[[#This Row],[Date]])+1</f>
        <v>46023</v>
      </c>
      <c r="E292" s="129">
        <f t="shared" si="17"/>
        <v>31</v>
      </c>
      <c r="F292" s="130" t="str">
        <f>IFERROR(_xlfn.XLOOKUP($A292,'Raw Data'!$G:$G,'Raw Data'!$AH:$AH),"")</f>
        <v/>
      </c>
      <c r="G292" s="131" t="str">
        <f>IFERROR(_xlfn.XLOOKUP($A292,'Raw Data'!$G:$G,'Raw Data'!$S:$S)/1000,"")</f>
        <v/>
      </c>
      <c r="H292" s="131"/>
      <c r="I292" s="131" t="str">
        <f>IFERROR(_xlfn.XLOOKUP($A292,'Raw Data'!$G:$G,'Raw Data'!$AF:$AF)/1000,"")</f>
        <v/>
      </c>
      <c r="J292" s="131"/>
      <c r="K292" s="131" t="str">
        <f>IFERROR(_xlfn.XLOOKUP($A292,'Raw Data'!$G:$G,'Raw Data'!W:W),"")</f>
        <v/>
      </c>
      <c r="L292" s="131" t="str">
        <f>IFERROR(_xlfn.XLOOKUP($A292,'Raw Data'!$G:$G,'Raw Data'!X:X),"")</f>
        <v/>
      </c>
      <c r="M292" s="131" t="str">
        <f>IFERROR(_xlfn.XLOOKUP($A292,'Raw Data'!$G:$G,'Raw Data'!Y:Y),"")</f>
        <v/>
      </c>
      <c r="N292" s="131" t="str">
        <f>IFERROR(_xlfn.XLOOKUP($A292,'Raw Data'!$G:$G,'Raw Data'!Z:Z),"")</f>
        <v/>
      </c>
      <c r="O292" s="158" t="str">
        <f>IFERROR(1-SUMIF('Plant BD'!$H:$H,$A292,'Plant BD'!AC:AC)/$F292,"")</f>
        <v/>
      </c>
      <c r="P292" s="158"/>
      <c r="Q292" s="159"/>
      <c r="R292" s="158" t="str">
        <f>IFERROR(1-SUMIF('Grid BD'!$H:$H,$A292,'Grid BD'!AB:AB)/$F292,"")</f>
        <v/>
      </c>
      <c r="T292" s="159" t="str">
        <f>IFERROR(1-SUMIF(Tracker_BD!$H:$H,$A292,Tracker_BD!AI:AI)/$F292,"")</f>
        <v/>
      </c>
      <c r="U292" s="160" t="str">
        <f t="shared" si="18"/>
        <v/>
      </c>
      <c r="V292" s="160"/>
      <c r="W292" s="161" t="str">
        <f t="shared" si="19"/>
        <v/>
      </c>
      <c r="X292" s="156" t="str">
        <f>IFERROR(_xlfn.XLOOKUP($A292,'Raw Data'!$G:$G,'Raw Data'!$AB:$AB),"")</f>
        <v/>
      </c>
      <c r="Y292" s="156" t="str">
        <f>IFERROR(_xlfn.XLOOKUP($A292,'Raw Data'!$G:$G,'Raw Data'!AC:AC),"")</f>
        <v/>
      </c>
      <c r="Z292" s="156" t="str">
        <f>IFERROR(_xlfn.XLOOKUP($A292,'Raw Data'!$G:$G,'Raw Data'!AD:AD),"")</f>
        <v/>
      </c>
      <c r="AA292" s="156" t="str">
        <f>IFERROR(_xlfn.XLOOKUP($A292,'Raw Data'!$G:$G,'Raw Data'!AE:AE),"")</f>
        <v/>
      </c>
      <c r="AB292" s="156" t="str">
        <f>IFERROR(_xlfn.XLOOKUP($A292,'Raw Data'!$G:$G,'Raw Data'!$H:$H),"")</f>
        <v/>
      </c>
      <c r="AC292" s="162">
        <f>IFERROR(_xlfn.XLOOKUP($D292,'Modelling New'!$D:$D,'Modelling New'!$P:$P),"")</f>
        <v>6.0175946709677417</v>
      </c>
      <c r="AD292" s="156">
        <f>IFERROR(_xlfn.XLOOKUP($D292,'Modelling New'!$D:$D,'Modelling New'!$T:$T)*1000,"")</f>
        <v>54155.22627474973</v>
      </c>
      <c r="AE292" s="163">
        <f>IFERROR(_xlfn.XLOOKUP($D292,'Modelling New'!$D:$D,'Modelling New'!$O:$O),"")</f>
        <v>0.76787376813667318</v>
      </c>
      <c r="AF292" s="163">
        <f>IFERROR(_xlfn.XLOOKUP($D292,'Modelling New'!$D:$D,'Modelling New'!$W:$W),"")</f>
        <v>0.19253137896313183</v>
      </c>
      <c r="AG292" s="163">
        <f>IFERROR(_xlfn.XLOOKUP($D292,'Modelling New'!$D:$D,'Modelling New'!AE:AE),"")</f>
        <v>0.995</v>
      </c>
      <c r="AH292" s="163">
        <f>IFERROR(_xlfn.XLOOKUP($D292,'Modelling New'!$D:$D,'Modelling New'!AF:AF),"")</f>
        <v>0.98550000000000004</v>
      </c>
      <c r="AN292" s="164"/>
      <c r="AO292" s="161"/>
      <c r="AP292" s="161"/>
      <c r="AQ292" s="161"/>
      <c r="AR292" s="156">
        <f>IFERROR(_xlfn.XLOOKUP($D292,'Modelling New'!$D:$D,'Modelling New'!$N:$N),"")</f>
        <v>11.72</v>
      </c>
    </row>
    <row r="293" spans="1:44">
      <c r="A293" s="155">
        <f t="shared" si="20"/>
        <v>46036</v>
      </c>
      <c r="B293" s="156">
        <f>YEAR(Table13[[#This Row],[Date]])+IF(MONTH(Table13[[#This Row],[Date]])&gt;=4,1,0)</f>
        <v>2026</v>
      </c>
      <c r="C293" s="129">
        <f>YEAR(Table13[[#This Row],[Date]])</f>
        <v>2026</v>
      </c>
      <c r="D293" s="157">
        <f>Table13[[#This Row],[Date]]-DAY(Table13[[#This Row],[Date]])+1</f>
        <v>46023</v>
      </c>
      <c r="E293" s="129">
        <f t="shared" si="17"/>
        <v>31</v>
      </c>
      <c r="F293" s="130" t="str">
        <f>IFERROR(_xlfn.XLOOKUP($A293,'Raw Data'!$G:$G,'Raw Data'!$AH:$AH),"")</f>
        <v/>
      </c>
      <c r="G293" s="131" t="str">
        <f>IFERROR(_xlfn.XLOOKUP($A293,'Raw Data'!$G:$G,'Raw Data'!$S:$S)/1000,"")</f>
        <v/>
      </c>
      <c r="H293" s="131"/>
      <c r="I293" s="131" t="str">
        <f>IFERROR(_xlfn.XLOOKUP($A293,'Raw Data'!$G:$G,'Raw Data'!$AF:$AF)/1000,"")</f>
        <v/>
      </c>
      <c r="J293" s="131"/>
      <c r="K293" s="131" t="str">
        <f>IFERROR(_xlfn.XLOOKUP($A293,'Raw Data'!$G:$G,'Raw Data'!W:W),"")</f>
        <v/>
      </c>
      <c r="L293" s="131" t="str">
        <f>IFERROR(_xlfn.XLOOKUP($A293,'Raw Data'!$G:$G,'Raw Data'!X:X),"")</f>
        <v/>
      </c>
      <c r="M293" s="131" t="str">
        <f>IFERROR(_xlfn.XLOOKUP($A293,'Raw Data'!$G:$G,'Raw Data'!Y:Y),"")</f>
        <v/>
      </c>
      <c r="N293" s="131" t="str">
        <f>IFERROR(_xlfn.XLOOKUP($A293,'Raw Data'!$G:$G,'Raw Data'!Z:Z),"")</f>
        <v/>
      </c>
      <c r="O293" s="158" t="str">
        <f>IFERROR(1-SUMIF('Plant BD'!$H:$H,$A293,'Plant BD'!AC:AC)/$F293,"")</f>
        <v/>
      </c>
      <c r="P293" s="158"/>
      <c r="Q293" s="159"/>
      <c r="R293" s="158" t="str">
        <f>IFERROR(1-SUMIF('Grid BD'!$H:$H,$A293,'Grid BD'!AB:AB)/$F293,"")</f>
        <v/>
      </c>
      <c r="T293" s="159" t="str">
        <f>IFERROR(1-SUMIF(Tracker_BD!$H:$H,$A293,Tracker_BD!AI:AI)/$F293,"")</f>
        <v/>
      </c>
      <c r="U293" s="160" t="str">
        <f t="shared" si="18"/>
        <v/>
      </c>
      <c r="V293" s="160"/>
      <c r="W293" s="161" t="str">
        <f t="shared" si="19"/>
        <v/>
      </c>
      <c r="X293" s="156" t="str">
        <f>IFERROR(_xlfn.XLOOKUP($A293,'Raw Data'!$G:$G,'Raw Data'!$AB:$AB),"")</f>
        <v/>
      </c>
      <c r="Y293" s="156" t="str">
        <f>IFERROR(_xlfn.XLOOKUP($A293,'Raw Data'!$G:$G,'Raw Data'!AC:AC),"")</f>
        <v/>
      </c>
      <c r="Z293" s="156" t="str">
        <f>IFERROR(_xlfn.XLOOKUP($A293,'Raw Data'!$G:$G,'Raw Data'!AD:AD),"")</f>
        <v/>
      </c>
      <c r="AA293" s="156" t="str">
        <f>IFERROR(_xlfn.XLOOKUP($A293,'Raw Data'!$G:$G,'Raw Data'!AE:AE),"")</f>
        <v/>
      </c>
      <c r="AB293" s="156" t="str">
        <f>IFERROR(_xlfn.XLOOKUP($A293,'Raw Data'!$G:$G,'Raw Data'!$H:$H),"")</f>
        <v/>
      </c>
      <c r="AC293" s="162">
        <f>IFERROR(_xlfn.XLOOKUP($D293,'Modelling New'!$D:$D,'Modelling New'!$P:$P),"")</f>
        <v>6.0175946709677417</v>
      </c>
      <c r="AD293" s="156">
        <f>IFERROR(_xlfn.XLOOKUP($D293,'Modelling New'!$D:$D,'Modelling New'!$T:$T)*1000,"")</f>
        <v>54155.22627474973</v>
      </c>
      <c r="AE293" s="163">
        <f>IFERROR(_xlfn.XLOOKUP($D293,'Modelling New'!$D:$D,'Modelling New'!$O:$O),"")</f>
        <v>0.76787376813667318</v>
      </c>
      <c r="AF293" s="163">
        <f>IFERROR(_xlfn.XLOOKUP($D293,'Modelling New'!$D:$D,'Modelling New'!$W:$W),"")</f>
        <v>0.19253137896313183</v>
      </c>
      <c r="AG293" s="163">
        <f>IFERROR(_xlfn.XLOOKUP($D293,'Modelling New'!$D:$D,'Modelling New'!AE:AE),"")</f>
        <v>0.995</v>
      </c>
      <c r="AH293" s="163">
        <f>IFERROR(_xlfn.XLOOKUP($D293,'Modelling New'!$D:$D,'Modelling New'!AF:AF),"")</f>
        <v>0.98550000000000004</v>
      </c>
      <c r="AN293" s="164"/>
      <c r="AO293" s="161"/>
      <c r="AP293" s="161"/>
      <c r="AQ293" s="161"/>
      <c r="AR293" s="156">
        <f>IFERROR(_xlfn.XLOOKUP($D293,'Modelling New'!$D:$D,'Modelling New'!$N:$N),"")</f>
        <v>11.72</v>
      </c>
    </row>
    <row r="294" spans="1:44">
      <c r="A294" s="155">
        <f t="shared" si="20"/>
        <v>46037</v>
      </c>
      <c r="B294" s="156">
        <f>YEAR(Table13[[#This Row],[Date]])+IF(MONTH(Table13[[#This Row],[Date]])&gt;=4,1,0)</f>
        <v>2026</v>
      </c>
      <c r="C294" s="129">
        <f>YEAR(Table13[[#This Row],[Date]])</f>
        <v>2026</v>
      </c>
      <c r="D294" s="157">
        <f>Table13[[#This Row],[Date]]-DAY(Table13[[#This Row],[Date]])+1</f>
        <v>46023</v>
      </c>
      <c r="E294" s="129">
        <f t="shared" si="17"/>
        <v>31</v>
      </c>
      <c r="F294" s="130" t="str">
        <f>IFERROR(_xlfn.XLOOKUP($A294,'Raw Data'!$G:$G,'Raw Data'!$AH:$AH),"")</f>
        <v/>
      </c>
      <c r="G294" s="131" t="str">
        <f>IFERROR(_xlfn.XLOOKUP($A294,'Raw Data'!$G:$G,'Raw Data'!$S:$S)/1000,"")</f>
        <v/>
      </c>
      <c r="H294" s="131"/>
      <c r="I294" s="131" t="str">
        <f>IFERROR(_xlfn.XLOOKUP($A294,'Raw Data'!$G:$G,'Raw Data'!$AF:$AF)/1000,"")</f>
        <v/>
      </c>
      <c r="J294" s="131"/>
      <c r="K294" s="131" t="str">
        <f>IFERROR(_xlfn.XLOOKUP($A294,'Raw Data'!$G:$G,'Raw Data'!W:W),"")</f>
        <v/>
      </c>
      <c r="L294" s="131" t="str">
        <f>IFERROR(_xlfn.XLOOKUP($A294,'Raw Data'!$G:$G,'Raw Data'!X:X),"")</f>
        <v/>
      </c>
      <c r="M294" s="131" t="str">
        <f>IFERROR(_xlfn.XLOOKUP($A294,'Raw Data'!$G:$G,'Raw Data'!Y:Y),"")</f>
        <v/>
      </c>
      <c r="N294" s="131" t="str">
        <f>IFERROR(_xlfn.XLOOKUP($A294,'Raw Data'!$G:$G,'Raw Data'!Z:Z),"")</f>
        <v/>
      </c>
      <c r="O294" s="158" t="str">
        <f>IFERROR(1-SUMIF('Plant BD'!$H:$H,$A294,'Plant BD'!AC:AC)/$F294,"")</f>
        <v/>
      </c>
      <c r="P294" s="158"/>
      <c r="Q294" s="159"/>
      <c r="R294" s="158" t="str">
        <f>IFERROR(1-SUMIF('Grid BD'!$H:$H,$A294,'Grid BD'!AB:AB)/$F294,"")</f>
        <v/>
      </c>
      <c r="T294" s="159" t="str">
        <f>IFERROR(1-SUMIF(Tracker_BD!$H:$H,$A294,Tracker_BD!AI:AI)/$F294,"")</f>
        <v/>
      </c>
      <c r="U294" s="160" t="str">
        <f t="shared" si="18"/>
        <v/>
      </c>
      <c r="V294" s="160"/>
      <c r="W294" s="161" t="str">
        <f t="shared" si="19"/>
        <v/>
      </c>
      <c r="X294" s="156" t="str">
        <f>IFERROR(_xlfn.XLOOKUP($A294,'Raw Data'!$G:$G,'Raw Data'!$AB:$AB),"")</f>
        <v/>
      </c>
      <c r="Y294" s="156" t="str">
        <f>IFERROR(_xlfn.XLOOKUP($A294,'Raw Data'!$G:$G,'Raw Data'!AC:AC),"")</f>
        <v/>
      </c>
      <c r="Z294" s="156" t="str">
        <f>IFERROR(_xlfn.XLOOKUP($A294,'Raw Data'!$G:$G,'Raw Data'!AD:AD),"")</f>
        <v/>
      </c>
      <c r="AA294" s="156" t="str">
        <f>IFERROR(_xlfn.XLOOKUP($A294,'Raw Data'!$G:$G,'Raw Data'!AE:AE),"")</f>
        <v/>
      </c>
      <c r="AB294" s="156" t="str">
        <f>IFERROR(_xlfn.XLOOKUP($A294,'Raw Data'!$G:$G,'Raw Data'!$H:$H),"")</f>
        <v/>
      </c>
      <c r="AC294" s="162">
        <f>IFERROR(_xlfn.XLOOKUP($D294,'Modelling New'!$D:$D,'Modelling New'!$P:$P),"")</f>
        <v>6.0175946709677417</v>
      </c>
      <c r="AD294" s="156">
        <f>IFERROR(_xlfn.XLOOKUP($D294,'Modelling New'!$D:$D,'Modelling New'!$T:$T)*1000,"")</f>
        <v>54155.22627474973</v>
      </c>
      <c r="AE294" s="163">
        <f>IFERROR(_xlfn.XLOOKUP($D294,'Modelling New'!$D:$D,'Modelling New'!$O:$O),"")</f>
        <v>0.76787376813667318</v>
      </c>
      <c r="AF294" s="163">
        <f>IFERROR(_xlfn.XLOOKUP($D294,'Modelling New'!$D:$D,'Modelling New'!$W:$W),"")</f>
        <v>0.19253137896313183</v>
      </c>
      <c r="AG294" s="163">
        <f>IFERROR(_xlfn.XLOOKUP($D294,'Modelling New'!$D:$D,'Modelling New'!AE:AE),"")</f>
        <v>0.995</v>
      </c>
      <c r="AH294" s="163">
        <f>IFERROR(_xlfn.XLOOKUP($D294,'Modelling New'!$D:$D,'Modelling New'!AF:AF),"")</f>
        <v>0.98550000000000004</v>
      </c>
      <c r="AN294" s="164"/>
      <c r="AO294" s="161"/>
      <c r="AP294" s="161"/>
      <c r="AQ294" s="161"/>
      <c r="AR294" s="156">
        <f>IFERROR(_xlfn.XLOOKUP($D294,'Modelling New'!$D:$D,'Modelling New'!$N:$N),"")</f>
        <v>11.72</v>
      </c>
    </row>
    <row r="295" spans="1:44">
      <c r="A295" s="155">
        <f t="shared" si="20"/>
        <v>46038</v>
      </c>
      <c r="B295" s="156">
        <f>YEAR(Table13[[#This Row],[Date]])+IF(MONTH(Table13[[#This Row],[Date]])&gt;=4,1,0)</f>
        <v>2026</v>
      </c>
      <c r="C295" s="129">
        <f>YEAR(Table13[[#This Row],[Date]])</f>
        <v>2026</v>
      </c>
      <c r="D295" s="157">
        <f>Table13[[#This Row],[Date]]-DAY(Table13[[#This Row],[Date]])+1</f>
        <v>46023</v>
      </c>
      <c r="E295" s="129">
        <f t="shared" si="17"/>
        <v>31</v>
      </c>
      <c r="F295" s="130" t="str">
        <f>IFERROR(_xlfn.XLOOKUP($A295,'Raw Data'!$G:$G,'Raw Data'!$AH:$AH),"")</f>
        <v/>
      </c>
      <c r="G295" s="131" t="str">
        <f>IFERROR(_xlfn.XLOOKUP($A295,'Raw Data'!$G:$G,'Raw Data'!$S:$S)/1000,"")</f>
        <v/>
      </c>
      <c r="H295" s="131"/>
      <c r="I295" s="131" t="str">
        <f>IFERROR(_xlfn.XLOOKUP($A295,'Raw Data'!$G:$G,'Raw Data'!$AF:$AF)/1000,"")</f>
        <v/>
      </c>
      <c r="J295" s="131"/>
      <c r="K295" s="131" t="str">
        <f>IFERROR(_xlfn.XLOOKUP($A295,'Raw Data'!$G:$G,'Raw Data'!W:W),"")</f>
        <v/>
      </c>
      <c r="L295" s="131" t="str">
        <f>IFERROR(_xlfn.XLOOKUP($A295,'Raw Data'!$G:$G,'Raw Data'!X:X),"")</f>
        <v/>
      </c>
      <c r="M295" s="131" t="str">
        <f>IFERROR(_xlfn.XLOOKUP($A295,'Raw Data'!$G:$G,'Raw Data'!Y:Y),"")</f>
        <v/>
      </c>
      <c r="N295" s="131" t="str">
        <f>IFERROR(_xlfn.XLOOKUP($A295,'Raw Data'!$G:$G,'Raw Data'!Z:Z),"")</f>
        <v/>
      </c>
      <c r="O295" s="158" t="str">
        <f>IFERROR(1-SUMIF('Plant BD'!$H:$H,$A295,'Plant BD'!AC:AC)/$F295,"")</f>
        <v/>
      </c>
      <c r="P295" s="158"/>
      <c r="Q295" s="159"/>
      <c r="R295" s="158" t="str">
        <f>IFERROR(1-SUMIF('Grid BD'!$H:$H,$A295,'Grid BD'!AB:AB)/$F295,"")</f>
        <v/>
      </c>
      <c r="T295" s="159" t="str">
        <f>IFERROR(1-SUMIF(Tracker_BD!$H:$H,$A295,Tracker_BD!AI:AI)/$F295,"")</f>
        <v/>
      </c>
      <c r="U295" s="160" t="str">
        <f t="shared" si="18"/>
        <v/>
      </c>
      <c r="V295" s="160"/>
      <c r="W295" s="161" t="str">
        <f t="shared" si="19"/>
        <v/>
      </c>
      <c r="X295" s="156" t="str">
        <f>IFERROR(_xlfn.XLOOKUP($A295,'Raw Data'!$G:$G,'Raw Data'!$AB:$AB),"")</f>
        <v/>
      </c>
      <c r="Y295" s="156" t="str">
        <f>IFERROR(_xlfn.XLOOKUP($A295,'Raw Data'!$G:$G,'Raw Data'!AC:AC),"")</f>
        <v/>
      </c>
      <c r="Z295" s="156" t="str">
        <f>IFERROR(_xlfn.XLOOKUP($A295,'Raw Data'!$G:$G,'Raw Data'!AD:AD),"")</f>
        <v/>
      </c>
      <c r="AA295" s="156" t="str">
        <f>IFERROR(_xlfn.XLOOKUP($A295,'Raw Data'!$G:$G,'Raw Data'!AE:AE),"")</f>
        <v/>
      </c>
      <c r="AB295" s="156" t="str">
        <f>IFERROR(_xlfn.XLOOKUP($A295,'Raw Data'!$G:$G,'Raw Data'!$H:$H),"")</f>
        <v/>
      </c>
      <c r="AC295" s="162">
        <f>IFERROR(_xlfn.XLOOKUP($D295,'Modelling New'!$D:$D,'Modelling New'!$P:$P),"")</f>
        <v>6.0175946709677417</v>
      </c>
      <c r="AD295" s="156">
        <f>IFERROR(_xlfn.XLOOKUP($D295,'Modelling New'!$D:$D,'Modelling New'!$T:$T)*1000,"")</f>
        <v>54155.22627474973</v>
      </c>
      <c r="AE295" s="163">
        <f>IFERROR(_xlfn.XLOOKUP($D295,'Modelling New'!$D:$D,'Modelling New'!$O:$O),"")</f>
        <v>0.76787376813667318</v>
      </c>
      <c r="AF295" s="163">
        <f>IFERROR(_xlfn.XLOOKUP($D295,'Modelling New'!$D:$D,'Modelling New'!$W:$W),"")</f>
        <v>0.19253137896313183</v>
      </c>
      <c r="AG295" s="163">
        <f>IFERROR(_xlfn.XLOOKUP($D295,'Modelling New'!$D:$D,'Modelling New'!AE:AE),"")</f>
        <v>0.995</v>
      </c>
      <c r="AH295" s="163">
        <f>IFERROR(_xlfn.XLOOKUP($D295,'Modelling New'!$D:$D,'Modelling New'!AF:AF),"")</f>
        <v>0.98550000000000004</v>
      </c>
      <c r="AN295" s="164"/>
      <c r="AO295" s="161"/>
      <c r="AP295" s="161"/>
      <c r="AQ295" s="161"/>
      <c r="AR295" s="156">
        <f>IFERROR(_xlfn.XLOOKUP($D295,'Modelling New'!$D:$D,'Modelling New'!$N:$N),"")</f>
        <v>11.72</v>
      </c>
    </row>
    <row r="296" spans="1:44">
      <c r="A296" s="155">
        <f t="shared" si="20"/>
        <v>46039</v>
      </c>
      <c r="B296" s="156">
        <f>YEAR(Table13[[#This Row],[Date]])+IF(MONTH(Table13[[#This Row],[Date]])&gt;=4,1,0)</f>
        <v>2026</v>
      </c>
      <c r="C296" s="129">
        <f>YEAR(Table13[[#This Row],[Date]])</f>
        <v>2026</v>
      </c>
      <c r="D296" s="157">
        <f>Table13[[#This Row],[Date]]-DAY(Table13[[#This Row],[Date]])+1</f>
        <v>46023</v>
      </c>
      <c r="E296" s="129">
        <f t="shared" si="17"/>
        <v>31</v>
      </c>
      <c r="F296" s="130" t="str">
        <f>IFERROR(_xlfn.XLOOKUP($A296,'Raw Data'!$G:$G,'Raw Data'!$AH:$AH),"")</f>
        <v/>
      </c>
      <c r="G296" s="131" t="str">
        <f>IFERROR(_xlfn.XLOOKUP($A296,'Raw Data'!$G:$G,'Raw Data'!$S:$S)/1000,"")</f>
        <v/>
      </c>
      <c r="H296" s="131"/>
      <c r="I296" s="131" t="str">
        <f>IFERROR(_xlfn.XLOOKUP($A296,'Raw Data'!$G:$G,'Raw Data'!$AF:$AF)/1000,"")</f>
        <v/>
      </c>
      <c r="J296" s="131"/>
      <c r="K296" s="131" t="str">
        <f>IFERROR(_xlfn.XLOOKUP($A296,'Raw Data'!$G:$G,'Raw Data'!W:W),"")</f>
        <v/>
      </c>
      <c r="L296" s="131" t="str">
        <f>IFERROR(_xlfn.XLOOKUP($A296,'Raw Data'!$G:$G,'Raw Data'!X:X),"")</f>
        <v/>
      </c>
      <c r="M296" s="131" t="str">
        <f>IFERROR(_xlfn.XLOOKUP($A296,'Raw Data'!$G:$G,'Raw Data'!Y:Y),"")</f>
        <v/>
      </c>
      <c r="N296" s="131" t="str">
        <f>IFERROR(_xlfn.XLOOKUP($A296,'Raw Data'!$G:$G,'Raw Data'!Z:Z),"")</f>
        <v/>
      </c>
      <c r="O296" s="158" t="str">
        <f>IFERROR(1-SUMIF('Plant BD'!$H:$H,$A296,'Plant BD'!AC:AC)/$F296,"")</f>
        <v/>
      </c>
      <c r="P296" s="158"/>
      <c r="Q296" s="159"/>
      <c r="R296" s="158" t="str">
        <f>IFERROR(1-SUMIF('Grid BD'!$H:$H,$A296,'Grid BD'!AB:AB)/$F296,"")</f>
        <v/>
      </c>
      <c r="T296" s="159" t="str">
        <f>IFERROR(1-SUMIF(Tracker_BD!$H:$H,$A296,Tracker_BD!AI:AI)/$F296,"")</f>
        <v/>
      </c>
      <c r="U296" s="160" t="str">
        <f t="shared" si="18"/>
        <v/>
      </c>
      <c r="V296" s="160"/>
      <c r="W296" s="161" t="str">
        <f t="shared" si="19"/>
        <v/>
      </c>
      <c r="X296" s="156" t="str">
        <f>IFERROR(_xlfn.XLOOKUP($A296,'Raw Data'!$G:$G,'Raw Data'!$AB:$AB),"")</f>
        <v/>
      </c>
      <c r="Y296" s="156" t="str">
        <f>IFERROR(_xlfn.XLOOKUP($A296,'Raw Data'!$G:$G,'Raw Data'!AC:AC),"")</f>
        <v/>
      </c>
      <c r="Z296" s="156" t="str">
        <f>IFERROR(_xlfn.XLOOKUP($A296,'Raw Data'!$G:$G,'Raw Data'!AD:AD),"")</f>
        <v/>
      </c>
      <c r="AA296" s="156" t="str">
        <f>IFERROR(_xlfn.XLOOKUP($A296,'Raw Data'!$G:$G,'Raw Data'!AE:AE),"")</f>
        <v/>
      </c>
      <c r="AB296" s="156" t="str">
        <f>IFERROR(_xlfn.XLOOKUP($A296,'Raw Data'!$G:$G,'Raw Data'!$H:$H),"")</f>
        <v/>
      </c>
      <c r="AC296" s="162">
        <f>IFERROR(_xlfn.XLOOKUP($D296,'Modelling New'!$D:$D,'Modelling New'!$P:$P),"")</f>
        <v>6.0175946709677417</v>
      </c>
      <c r="AD296" s="156">
        <f>IFERROR(_xlfn.XLOOKUP($D296,'Modelling New'!$D:$D,'Modelling New'!$T:$T)*1000,"")</f>
        <v>54155.22627474973</v>
      </c>
      <c r="AE296" s="163">
        <f>IFERROR(_xlfn.XLOOKUP($D296,'Modelling New'!$D:$D,'Modelling New'!$O:$O),"")</f>
        <v>0.76787376813667318</v>
      </c>
      <c r="AF296" s="163">
        <f>IFERROR(_xlfn.XLOOKUP($D296,'Modelling New'!$D:$D,'Modelling New'!$W:$W),"")</f>
        <v>0.19253137896313183</v>
      </c>
      <c r="AG296" s="163">
        <f>IFERROR(_xlfn.XLOOKUP($D296,'Modelling New'!$D:$D,'Modelling New'!AE:AE),"")</f>
        <v>0.995</v>
      </c>
      <c r="AH296" s="163">
        <f>IFERROR(_xlfn.XLOOKUP($D296,'Modelling New'!$D:$D,'Modelling New'!AF:AF),"")</f>
        <v>0.98550000000000004</v>
      </c>
      <c r="AN296" s="164"/>
      <c r="AO296" s="161"/>
      <c r="AP296" s="161"/>
      <c r="AQ296" s="161"/>
      <c r="AR296" s="156">
        <f>IFERROR(_xlfn.XLOOKUP($D296,'Modelling New'!$D:$D,'Modelling New'!$N:$N),"")</f>
        <v>11.72</v>
      </c>
    </row>
    <row r="297" spans="1:44">
      <c r="A297" s="155">
        <f t="shared" si="20"/>
        <v>46040</v>
      </c>
      <c r="B297" s="156">
        <f>YEAR(Table13[[#This Row],[Date]])+IF(MONTH(Table13[[#This Row],[Date]])&gt;=4,1,0)</f>
        <v>2026</v>
      </c>
      <c r="C297" s="129">
        <f>YEAR(Table13[[#This Row],[Date]])</f>
        <v>2026</v>
      </c>
      <c r="D297" s="157">
        <f>Table13[[#This Row],[Date]]-DAY(Table13[[#This Row],[Date]])+1</f>
        <v>46023</v>
      </c>
      <c r="E297" s="129">
        <f t="shared" si="17"/>
        <v>31</v>
      </c>
      <c r="F297" s="130" t="str">
        <f>IFERROR(_xlfn.XLOOKUP($A297,'Raw Data'!$G:$G,'Raw Data'!$AH:$AH),"")</f>
        <v/>
      </c>
      <c r="G297" s="131" t="str">
        <f>IFERROR(_xlfn.XLOOKUP($A297,'Raw Data'!$G:$G,'Raw Data'!$S:$S)/1000,"")</f>
        <v/>
      </c>
      <c r="H297" s="131"/>
      <c r="I297" s="131" t="str">
        <f>IFERROR(_xlfn.XLOOKUP($A297,'Raw Data'!$G:$G,'Raw Data'!$AF:$AF)/1000,"")</f>
        <v/>
      </c>
      <c r="J297" s="131"/>
      <c r="K297" s="131" t="str">
        <f>IFERROR(_xlfn.XLOOKUP($A297,'Raw Data'!$G:$G,'Raw Data'!W:W),"")</f>
        <v/>
      </c>
      <c r="L297" s="131" t="str">
        <f>IFERROR(_xlfn.XLOOKUP($A297,'Raw Data'!$G:$G,'Raw Data'!X:X),"")</f>
        <v/>
      </c>
      <c r="M297" s="131" t="str">
        <f>IFERROR(_xlfn.XLOOKUP($A297,'Raw Data'!$G:$G,'Raw Data'!Y:Y),"")</f>
        <v/>
      </c>
      <c r="N297" s="131" t="str">
        <f>IFERROR(_xlfn.XLOOKUP($A297,'Raw Data'!$G:$G,'Raw Data'!Z:Z),"")</f>
        <v/>
      </c>
      <c r="O297" s="158" t="str">
        <f>IFERROR(1-SUMIF('Plant BD'!$H:$H,$A297,'Plant BD'!AC:AC)/$F297,"")</f>
        <v/>
      </c>
      <c r="P297" s="158"/>
      <c r="Q297" s="159"/>
      <c r="R297" s="158" t="str">
        <f>IFERROR(1-SUMIF('Grid BD'!$H:$H,$A297,'Grid BD'!AB:AB)/$F297,"")</f>
        <v/>
      </c>
      <c r="T297" s="159" t="str">
        <f>IFERROR(1-SUMIF(Tracker_BD!$H:$H,$A297,Tracker_BD!AI:AI)/$F297,"")</f>
        <v/>
      </c>
      <c r="U297" s="160" t="str">
        <f t="shared" si="18"/>
        <v/>
      </c>
      <c r="V297" s="160"/>
      <c r="W297" s="161" t="str">
        <f t="shared" si="19"/>
        <v/>
      </c>
      <c r="X297" s="156" t="str">
        <f>IFERROR(_xlfn.XLOOKUP($A297,'Raw Data'!$G:$G,'Raw Data'!$AB:$AB),"")</f>
        <v/>
      </c>
      <c r="Y297" s="156" t="str">
        <f>IFERROR(_xlfn.XLOOKUP($A297,'Raw Data'!$G:$G,'Raw Data'!AC:AC),"")</f>
        <v/>
      </c>
      <c r="Z297" s="156" t="str">
        <f>IFERROR(_xlfn.XLOOKUP($A297,'Raw Data'!$G:$G,'Raw Data'!AD:AD),"")</f>
        <v/>
      </c>
      <c r="AA297" s="156" t="str">
        <f>IFERROR(_xlfn.XLOOKUP($A297,'Raw Data'!$G:$G,'Raw Data'!AE:AE),"")</f>
        <v/>
      </c>
      <c r="AB297" s="156" t="str">
        <f>IFERROR(_xlfn.XLOOKUP($A297,'Raw Data'!$G:$G,'Raw Data'!$H:$H),"")</f>
        <v/>
      </c>
      <c r="AC297" s="162">
        <f>IFERROR(_xlfn.XLOOKUP($D297,'Modelling New'!$D:$D,'Modelling New'!$P:$P),"")</f>
        <v>6.0175946709677417</v>
      </c>
      <c r="AD297" s="156">
        <f>IFERROR(_xlfn.XLOOKUP($D297,'Modelling New'!$D:$D,'Modelling New'!$T:$T)*1000,"")</f>
        <v>54155.22627474973</v>
      </c>
      <c r="AE297" s="163">
        <f>IFERROR(_xlfn.XLOOKUP($D297,'Modelling New'!$D:$D,'Modelling New'!$O:$O),"")</f>
        <v>0.76787376813667318</v>
      </c>
      <c r="AF297" s="163">
        <f>IFERROR(_xlfn.XLOOKUP($D297,'Modelling New'!$D:$D,'Modelling New'!$W:$W),"")</f>
        <v>0.19253137896313183</v>
      </c>
      <c r="AG297" s="163">
        <f>IFERROR(_xlfn.XLOOKUP($D297,'Modelling New'!$D:$D,'Modelling New'!AE:AE),"")</f>
        <v>0.995</v>
      </c>
      <c r="AH297" s="163">
        <f>IFERROR(_xlfn.XLOOKUP($D297,'Modelling New'!$D:$D,'Modelling New'!AF:AF),"")</f>
        <v>0.98550000000000004</v>
      </c>
      <c r="AN297" s="164"/>
      <c r="AO297" s="161"/>
      <c r="AP297" s="161"/>
      <c r="AQ297" s="161"/>
      <c r="AR297" s="156">
        <f>IFERROR(_xlfn.XLOOKUP($D297,'Modelling New'!$D:$D,'Modelling New'!$N:$N),"")</f>
        <v>11.72</v>
      </c>
    </row>
    <row r="298" spans="1:44">
      <c r="A298" s="155">
        <f t="shared" si="20"/>
        <v>46041</v>
      </c>
      <c r="B298" s="156">
        <f>YEAR(Table13[[#This Row],[Date]])+IF(MONTH(Table13[[#This Row],[Date]])&gt;=4,1,0)</f>
        <v>2026</v>
      </c>
      <c r="C298" s="129">
        <f>YEAR(Table13[[#This Row],[Date]])</f>
        <v>2026</v>
      </c>
      <c r="D298" s="157">
        <f>Table13[[#This Row],[Date]]-DAY(Table13[[#This Row],[Date]])+1</f>
        <v>46023</v>
      </c>
      <c r="E298" s="129">
        <f t="shared" si="17"/>
        <v>31</v>
      </c>
      <c r="F298" s="130" t="str">
        <f>IFERROR(_xlfn.XLOOKUP($A298,'Raw Data'!$G:$G,'Raw Data'!$AH:$AH),"")</f>
        <v/>
      </c>
      <c r="G298" s="131" t="str">
        <f>IFERROR(_xlfn.XLOOKUP($A298,'Raw Data'!$G:$G,'Raw Data'!$S:$S)/1000,"")</f>
        <v/>
      </c>
      <c r="H298" s="131"/>
      <c r="I298" s="131" t="str">
        <f>IFERROR(_xlfn.XLOOKUP($A298,'Raw Data'!$G:$G,'Raw Data'!$AF:$AF)/1000,"")</f>
        <v/>
      </c>
      <c r="J298" s="131"/>
      <c r="K298" s="131" t="str">
        <f>IFERROR(_xlfn.XLOOKUP($A298,'Raw Data'!$G:$G,'Raw Data'!W:W),"")</f>
        <v/>
      </c>
      <c r="L298" s="131" t="str">
        <f>IFERROR(_xlfn.XLOOKUP($A298,'Raw Data'!$G:$G,'Raw Data'!X:X),"")</f>
        <v/>
      </c>
      <c r="M298" s="131" t="str">
        <f>IFERROR(_xlfn.XLOOKUP($A298,'Raw Data'!$G:$G,'Raw Data'!Y:Y),"")</f>
        <v/>
      </c>
      <c r="N298" s="131" t="str">
        <f>IFERROR(_xlfn.XLOOKUP($A298,'Raw Data'!$G:$G,'Raw Data'!Z:Z),"")</f>
        <v/>
      </c>
      <c r="O298" s="158" t="str">
        <f>IFERROR(1-SUMIF('Plant BD'!$H:$H,$A298,'Plant BD'!AC:AC)/$F298,"")</f>
        <v/>
      </c>
      <c r="P298" s="158"/>
      <c r="Q298" s="159"/>
      <c r="R298" s="158" t="str">
        <f>IFERROR(1-SUMIF('Grid BD'!$H:$H,$A298,'Grid BD'!AB:AB)/$F298,"")</f>
        <v/>
      </c>
      <c r="T298" s="159" t="str">
        <f>IFERROR(1-SUMIF(Tracker_BD!$H:$H,$A298,Tracker_BD!AI:AI)/$F298,"")</f>
        <v/>
      </c>
      <c r="U298" s="160" t="str">
        <f t="shared" si="18"/>
        <v/>
      </c>
      <c r="V298" s="160"/>
      <c r="W298" s="161" t="str">
        <f t="shared" si="19"/>
        <v/>
      </c>
      <c r="X298" s="156" t="str">
        <f>IFERROR(_xlfn.XLOOKUP($A298,'Raw Data'!$G:$G,'Raw Data'!$AB:$AB),"")</f>
        <v/>
      </c>
      <c r="Y298" s="156" t="str">
        <f>IFERROR(_xlfn.XLOOKUP($A298,'Raw Data'!$G:$G,'Raw Data'!AC:AC),"")</f>
        <v/>
      </c>
      <c r="Z298" s="156" t="str">
        <f>IFERROR(_xlfn.XLOOKUP($A298,'Raw Data'!$G:$G,'Raw Data'!AD:AD),"")</f>
        <v/>
      </c>
      <c r="AA298" s="156" t="str">
        <f>IFERROR(_xlfn.XLOOKUP($A298,'Raw Data'!$G:$G,'Raw Data'!AE:AE),"")</f>
        <v/>
      </c>
      <c r="AB298" s="156" t="str">
        <f>IFERROR(_xlfn.XLOOKUP($A298,'Raw Data'!$G:$G,'Raw Data'!$H:$H),"")</f>
        <v/>
      </c>
      <c r="AC298" s="162">
        <f>IFERROR(_xlfn.XLOOKUP($D298,'Modelling New'!$D:$D,'Modelling New'!$P:$P),"")</f>
        <v>6.0175946709677417</v>
      </c>
      <c r="AD298" s="156">
        <f>IFERROR(_xlfn.XLOOKUP($D298,'Modelling New'!$D:$D,'Modelling New'!$T:$T)*1000,"")</f>
        <v>54155.22627474973</v>
      </c>
      <c r="AE298" s="163">
        <f>IFERROR(_xlfn.XLOOKUP($D298,'Modelling New'!$D:$D,'Modelling New'!$O:$O),"")</f>
        <v>0.76787376813667318</v>
      </c>
      <c r="AF298" s="163">
        <f>IFERROR(_xlfn.XLOOKUP($D298,'Modelling New'!$D:$D,'Modelling New'!$W:$W),"")</f>
        <v>0.19253137896313183</v>
      </c>
      <c r="AG298" s="163">
        <f>IFERROR(_xlfn.XLOOKUP($D298,'Modelling New'!$D:$D,'Modelling New'!AE:AE),"")</f>
        <v>0.995</v>
      </c>
      <c r="AH298" s="163">
        <f>IFERROR(_xlfn.XLOOKUP($D298,'Modelling New'!$D:$D,'Modelling New'!AF:AF),"")</f>
        <v>0.98550000000000004</v>
      </c>
      <c r="AN298" s="164"/>
      <c r="AO298" s="161"/>
      <c r="AP298" s="161"/>
      <c r="AQ298" s="161"/>
      <c r="AR298" s="156">
        <f>IFERROR(_xlfn.XLOOKUP($D298,'Modelling New'!$D:$D,'Modelling New'!$N:$N),"")</f>
        <v>11.72</v>
      </c>
    </row>
    <row r="299" spans="1:44">
      <c r="A299" s="155">
        <f t="shared" si="20"/>
        <v>46042</v>
      </c>
      <c r="B299" s="156">
        <f>YEAR(Table13[[#This Row],[Date]])+IF(MONTH(Table13[[#This Row],[Date]])&gt;=4,1,0)</f>
        <v>2026</v>
      </c>
      <c r="C299" s="129">
        <f>YEAR(Table13[[#This Row],[Date]])</f>
        <v>2026</v>
      </c>
      <c r="D299" s="157">
        <f>Table13[[#This Row],[Date]]-DAY(Table13[[#This Row],[Date]])+1</f>
        <v>46023</v>
      </c>
      <c r="E299" s="129">
        <f t="shared" si="17"/>
        <v>31</v>
      </c>
      <c r="F299" s="130" t="str">
        <f>IFERROR(_xlfn.XLOOKUP($A299,'Raw Data'!$G:$G,'Raw Data'!$AH:$AH),"")</f>
        <v/>
      </c>
      <c r="G299" s="131" t="str">
        <f>IFERROR(_xlfn.XLOOKUP($A299,'Raw Data'!$G:$G,'Raw Data'!$S:$S)/1000,"")</f>
        <v/>
      </c>
      <c r="H299" s="131"/>
      <c r="I299" s="131" t="str">
        <f>IFERROR(_xlfn.XLOOKUP($A299,'Raw Data'!$G:$G,'Raw Data'!$AF:$AF)/1000,"")</f>
        <v/>
      </c>
      <c r="J299" s="131"/>
      <c r="K299" s="131" t="str">
        <f>IFERROR(_xlfn.XLOOKUP($A299,'Raw Data'!$G:$G,'Raw Data'!W:W),"")</f>
        <v/>
      </c>
      <c r="L299" s="131" t="str">
        <f>IFERROR(_xlfn.XLOOKUP($A299,'Raw Data'!$G:$G,'Raw Data'!X:X),"")</f>
        <v/>
      </c>
      <c r="M299" s="131" t="str">
        <f>IFERROR(_xlfn.XLOOKUP($A299,'Raw Data'!$G:$G,'Raw Data'!Y:Y),"")</f>
        <v/>
      </c>
      <c r="N299" s="131" t="str">
        <f>IFERROR(_xlfn.XLOOKUP($A299,'Raw Data'!$G:$G,'Raw Data'!Z:Z),"")</f>
        <v/>
      </c>
      <c r="O299" s="158" t="str">
        <f>IFERROR(1-SUMIF('Plant BD'!$H:$H,$A299,'Plant BD'!AC:AC)/$F299,"")</f>
        <v/>
      </c>
      <c r="P299" s="158"/>
      <c r="Q299" s="159"/>
      <c r="R299" s="158" t="str">
        <f>IFERROR(1-SUMIF('Grid BD'!$H:$H,$A299,'Grid BD'!AB:AB)/$F299,"")</f>
        <v/>
      </c>
      <c r="T299" s="159" t="str">
        <f>IFERROR(1-SUMIF(Tracker_BD!$H:$H,$A299,Tracker_BD!AI:AI)/$F299,"")</f>
        <v/>
      </c>
      <c r="U299" s="160" t="str">
        <f t="shared" si="18"/>
        <v/>
      </c>
      <c r="V299" s="160"/>
      <c r="W299" s="161" t="str">
        <f t="shared" si="19"/>
        <v/>
      </c>
      <c r="X299" s="156" t="str">
        <f>IFERROR(_xlfn.XLOOKUP($A299,'Raw Data'!$G:$G,'Raw Data'!$AB:$AB),"")</f>
        <v/>
      </c>
      <c r="Y299" s="156" t="str">
        <f>IFERROR(_xlfn.XLOOKUP($A299,'Raw Data'!$G:$G,'Raw Data'!AC:AC),"")</f>
        <v/>
      </c>
      <c r="Z299" s="156" t="str">
        <f>IFERROR(_xlfn.XLOOKUP($A299,'Raw Data'!$G:$G,'Raw Data'!AD:AD),"")</f>
        <v/>
      </c>
      <c r="AA299" s="156" t="str">
        <f>IFERROR(_xlfn.XLOOKUP($A299,'Raw Data'!$G:$G,'Raw Data'!AE:AE),"")</f>
        <v/>
      </c>
      <c r="AB299" s="156" t="str">
        <f>IFERROR(_xlfn.XLOOKUP($A299,'Raw Data'!$G:$G,'Raw Data'!$H:$H),"")</f>
        <v/>
      </c>
      <c r="AC299" s="162">
        <f>IFERROR(_xlfn.XLOOKUP($D299,'Modelling New'!$D:$D,'Modelling New'!$P:$P),"")</f>
        <v>6.0175946709677417</v>
      </c>
      <c r="AD299" s="156">
        <f>IFERROR(_xlfn.XLOOKUP($D299,'Modelling New'!$D:$D,'Modelling New'!$T:$T)*1000,"")</f>
        <v>54155.22627474973</v>
      </c>
      <c r="AE299" s="163">
        <f>IFERROR(_xlfn.XLOOKUP($D299,'Modelling New'!$D:$D,'Modelling New'!$O:$O),"")</f>
        <v>0.76787376813667318</v>
      </c>
      <c r="AF299" s="163">
        <f>IFERROR(_xlfn.XLOOKUP($D299,'Modelling New'!$D:$D,'Modelling New'!$W:$W),"")</f>
        <v>0.19253137896313183</v>
      </c>
      <c r="AG299" s="163">
        <f>IFERROR(_xlfn.XLOOKUP($D299,'Modelling New'!$D:$D,'Modelling New'!AE:AE),"")</f>
        <v>0.995</v>
      </c>
      <c r="AH299" s="163">
        <f>IFERROR(_xlfn.XLOOKUP($D299,'Modelling New'!$D:$D,'Modelling New'!AF:AF),"")</f>
        <v>0.98550000000000004</v>
      </c>
      <c r="AN299" s="164"/>
      <c r="AO299" s="161"/>
      <c r="AP299" s="161"/>
      <c r="AQ299" s="161"/>
      <c r="AR299" s="156">
        <f>IFERROR(_xlfn.XLOOKUP($D299,'Modelling New'!$D:$D,'Modelling New'!$N:$N),"")</f>
        <v>11.72</v>
      </c>
    </row>
    <row r="300" spans="1:44">
      <c r="A300" s="155">
        <f t="shared" si="20"/>
        <v>46043</v>
      </c>
      <c r="B300" s="156">
        <f>YEAR(Table13[[#This Row],[Date]])+IF(MONTH(Table13[[#This Row],[Date]])&gt;=4,1,0)</f>
        <v>2026</v>
      </c>
      <c r="C300" s="129">
        <f>YEAR(Table13[[#This Row],[Date]])</f>
        <v>2026</v>
      </c>
      <c r="D300" s="157">
        <f>Table13[[#This Row],[Date]]-DAY(Table13[[#This Row],[Date]])+1</f>
        <v>46023</v>
      </c>
      <c r="E300" s="129">
        <f t="shared" si="17"/>
        <v>31</v>
      </c>
      <c r="F300" s="130" t="str">
        <f>IFERROR(_xlfn.XLOOKUP($A300,'Raw Data'!$G:$G,'Raw Data'!$AH:$AH),"")</f>
        <v/>
      </c>
      <c r="G300" s="131" t="str">
        <f>IFERROR(_xlfn.XLOOKUP($A300,'Raw Data'!$G:$G,'Raw Data'!$S:$S)/1000,"")</f>
        <v/>
      </c>
      <c r="H300" s="131"/>
      <c r="I300" s="131" t="str">
        <f>IFERROR(_xlfn.XLOOKUP($A300,'Raw Data'!$G:$G,'Raw Data'!$AF:$AF)/1000,"")</f>
        <v/>
      </c>
      <c r="J300" s="131"/>
      <c r="K300" s="131" t="str">
        <f>IFERROR(_xlfn.XLOOKUP($A300,'Raw Data'!$G:$G,'Raw Data'!W:W),"")</f>
        <v/>
      </c>
      <c r="L300" s="131" t="str">
        <f>IFERROR(_xlfn.XLOOKUP($A300,'Raw Data'!$G:$G,'Raw Data'!X:X),"")</f>
        <v/>
      </c>
      <c r="M300" s="131" t="str">
        <f>IFERROR(_xlfn.XLOOKUP($A300,'Raw Data'!$G:$G,'Raw Data'!Y:Y),"")</f>
        <v/>
      </c>
      <c r="N300" s="131" t="str">
        <f>IFERROR(_xlfn.XLOOKUP($A300,'Raw Data'!$G:$G,'Raw Data'!Z:Z),"")</f>
        <v/>
      </c>
      <c r="O300" s="158" t="str">
        <f>IFERROR(1-SUMIF('Plant BD'!$H:$H,$A300,'Plant BD'!AC:AC)/$F300,"")</f>
        <v/>
      </c>
      <c r="P300" s="158"/>
      <c r="Q300" s="159"/>
      <c r="R300" s="158" t="str">
        <f>IFERROR(1-SUMIF('Grid BD'!$H:$H,$A300,'Grid BD'!AB:AB)/$F300,"")</f>
        <v/>
      </c>
      <c r="T300" s="159" t="str">
        <f>IFERROR(1-SUMIF(Tracker_BD!$H:$H,$A300,Tracker_BD!AI:AI)/$F300,"")</f>
        <v/>
      </c>
      <c r="U300" s="160" t="str">
        <f t="shared" si="18"/>
        <v/>
      </c>
      <c r="V300" s="160"/>
      <c r="W300" s="161" t="str">
        <f t="shared" si="19"/>
        <v/>
      </c>
      <c r="X300" s="156" t="str">
        <f>IFERROR(_xlfn.XLOOKUP($A300,'Raw Data'!$G:$G,'Raw Data'!$AB:$AB),"")</f>
        <v/>
      </c>
      <c r="Y300" s="156" t="str">
        <f>IFERROR(_xlfn.XLOOKUP($A300,'Raw Data'!$G:$G,'Raw Data'!AC:AC),"")</f>
        <v/>
      </c>
      <c r="Z300" s="156" t="str">
        <f>IFERROR(_xlfn.XLOOKUP($A300,'Raw Data'!$G:$G,'Raw Data'!AD:AD),"")</f>
        <v/>
      </c>
      <c r="AA300" s="156" t="str">
        <f>IFERROR(_xlfn.XLOOKUP($A300,'Raw Data'!$G:$G,'Raw Data'!AE:AE),"")</f>
        <v/>
      </c>
      <c r="AB300" s="156" t="str">
        <f>IFERROR(_xlfn.XLOOKUP($A300,'Raw Data'!$G:$G,'Raw Data'!$H:$H),"")</f>
        <v/>
      </c>
      <c r="AC300" s="162">
        <f>IFERROR(_xlfn.XLOOKUP($D300,'Modelling New'!$D:$D,'Modelling New'!$P:$P),"")</f>
        <v>6.0175946709677417</v>
      </c>
      <c r="AD300" s="156">
        <f>IFERROR(_xlfn.XLOOKUP($D300,'Modelling New'!$D:$D,'Modelling New'!$T:$T)*1000,"")</f>
        <v>54155.22627474973</v>
      </c>
      <c r="AE300" s="163">
        <f>IFERROR(_xlfn.XLOOKUP($D300,'Modelling New'!$D:$D,'Modelling New'!$O:$O),"")</f>
        <v>0.76787376813667318</v>
      </c>
      <c r="AF300" s="163">
        <f>IFERROR(_xlfn.XLOOKUP($D300,'Modelling New'!$D:$D,'Modelling New'!$W:$W),"")</f>
        <v>0.19253137896313183</v>
      </c>
      <c r="AG300" s="163">
        <f>IFERROR(_xlfn.XLOOKUP($D300,'Modelling New'!$D:$D,'Modelling New'!AE:AE),"")</f>
        <v>0.995</v>
      </c>
      <c r="AH300" s="163">
        <f>IFERROR(_xlfn.XLOOKUP($D300,'Modelling New'!$D:$D,'Modelling New'!AF:AF),"")</f>
        <v>0.98550000000000004</v>
      </c>
      <c r="AN300" s="164"/>
      <c r="AO300" s="161"/>
      <c r="AP300" s="161"/>
      <c r="AQ300" s="161"/>
      <c r="AR300" s="156">
        <f>IFERROR(_xlfn.XLOOKUP($D300,'Modelling New'!$D:$D,'Modelling New'!$N:$N),"")</f>
        <v>11.72</v>
      </c>
    </row>
    <row r="301" spans="1:44">
      <c r="A301" s="155">
        <f t="shared" si="20"/>
        <v>46044</v>
      </c>
      <c r="B301" s="156">
        <f>YEAR(Table13[[#This Row],[Date]])+IF(MONTH(Table13[[#This Row],[Date]])&gt;=4,1,0)</f>
        <v>2026</v>
      </c>
      <c r="C301" s="129">
        <f>YEAR(Table13[[#This Row],[Date]])</f>
        <v>2026</v>
      </c>
      <c r="D301" s="157">
        <f>Table13[[#This Row],[Date]]-DAY(Table13[[#This Row],[Date]])+1</f>
        <v>46023</v>
      </c>
      <c r="E301" s="129">
        <f t="shared" si="17"/>
        <v>31</v>
      </c>
      <c r="F301" s="130" t="str">
        <f>IFERROR(_xlfn.XLOOKUP($A301,'Raw Data'!$G:$G,'Raw Data'!$AH:$AH),"")</f>
        <v/>
      </c>
      <c r="G301" s="131" t="str">
        <f>IFERROR(_xlfn.XLOOKUP($A301,'Raw Data'!$G:$G,'Raw Data'!$S:$S)/1000,"")</f>
        <v/>
      </c>
      <c r="H301" s="131"/>
      <c r="I301" s="131" t="str">
        <f>IFERROR(_xlfn.XLOOKUP($A301,'Raw Data'!$G:$G,'Raw Data'!$AF:$AF)/1000,"")</f>
        <v/>
      </c>
      <c r="J301" s="131"/>
      <c r="K301" s="131" t="str">
        <f>IFERROR(_xlfn.XLOOKUP($A301,'Raw Data'!$G:$G,'Raw Data'!W:W),"")</f>
        <v/>
      </c>
      <c r="L301" s="131" t="str">
        <f>IFERROR(_xlfn.XLOOKUP($A301,'Raw Data'!$G:$G,'Raw Data'!X:X),"")</f>
        <v/>
      </c>
      <c r="M301" s="131" t="str">
        <f>IFERROR(_xlfn.XLOOKUP($A301,'Raw Data'!$G:$G,'Raw Data'!Y:Y),"")</f>
        <v/>
      </c>
      <c r="N301" s="131" t="str">
        <f>IFERROR(_xlfn.XLOOKUP($A301,'Raw Data'!$G:$G,'Raw Data'!Z:Z),"")</f>
        <v/>
      </c>
      <c r="O301" s="158" t="str">
        <f>IFERROR(1-SUMIF('Plant BD'!$H:$H,$A301,'Plant BD'!AC:AC)/$F301,"")</f>
        <v/>
      </c>
      <c r="P301" s="158"/>
      <c r="Q301" s="159"/>
      <c r="R301" s="158" t="str">
        <f>IFERROR(1-SUMIF('Grid BD'!$H:$H,$A301,'Grid BD'!AB:AB)/$F301,"")</f>
        <v/>
      </c>
      <c r="T301" s="159" t="str">
        <f>IFERROR(1-SUMIF(Tracker_BD!$H:$H,$A301,Tracker_BD!AI:AI)/$F301,"")</f>
        <v/>
      </c>
      <c r="U301" s="160" t="str">
        <f t="shared" si="18"/>
        <v/>
      </c>
      <c r="V301" s="160"/>
      <c r="W301" s="161" t="str">
        <f t="shared" si="19"/>
        <v/>
      </c>
      <c r="X301" s="156" t="str">
        <f>IFERROR(_xlfn.XLOOKUP($A301,'Raw Data'!$G:$G,'Raw Data'!$AB:$AB),"")</f>
        <v/>
      </c>
      <c r="Y301" s="156" t="str">
        <f>IFERROR(_xlfn.XLOOKUP($A301,'Raw Data'!$G:$G,'Raw Data'!AC:AC),"")</f>
        <v/>
      </c>
      <c r="Z301" s="156" t="str">
        <f>IFERROR(_xlfn.XLOOKUP($A301,'Raw Data'!$G:$G,'Raw Data'!AD:AD),"")</f>
        <v/>
      </c>
      <c r="AA301" s="156" t="str">
        <f>IFERROR(_xlfn.XLOOKUP($A301,'Raw Data'!$G:$G,'Raw Data'!AE:AE),"")</f>
        <v/>
      </c>
      <c r="AB301" s="156" t="str">
        <f>IFERROR(_xlfn.XLOOKUP($A301,'Raw Data'!$G:$G,'Raw Data'!$H:$H),"")</f>
        <v/>
      </c>
      <c r="AC301" s="162">
        <f>IFERROR(_xlfn.XLOOKUP($D301,'Modelling New'!$D:$D,'Modelling New'!$P:$P),"")</f>
        <v>6.0175946709677417</v>
      </c>
      <c r="AD301" s="156">
        <f>IFERROR(_xlfn.XLOOKUP($D301,'Modelling New'!$D:$D,'Modelling New'!$T:$T)*1000,"")</f>
        <v>54155.22627474973</v>
      </c>
      <c r="AE301" s="163">
        <f>IFERROR(_xlfn.XLOOKUP($D301,'Modelling New'!$D:$D,'Modelling New'!$O:$O),"")</f>
        <v>0.76787376813667318</v>
      </c>
      <c r="AF301" s="163">
        <f>IFERROR(_xlfn.XLOOKUP($D301,'Modelling New'!$D:$D,'Modelling New'!$W:$W),"")</f>
        <v>0.19253137896313183</v>
      </c>
      <c r="AG301" s="163">
        <f>IFERROR(_xlfn.XLOOKUP($D301,'Modelling New'!$D:$D,'Modelling New'!AE:AE),"")</f>
        <v>0.995</v>
      </c>
      <c r="AH301" s="163">
        <f>IFERROR(_xlfn.XLOOKUP($D301,'Modelling New'!$D:$D,'Modelling New'!AF:AF),"")</f>
        <v>0.98550000000000004</v>
      </c>
      <c r="AN301" s="164"/>
      <c r="AO301" s="161"/>
      <c r="AP301" s="161"/>
      <c r="AQ301" s="161"/>
      <c r="AR301" s="156">
        <f>IFERROR(_xlfn.XLOOKUP($D301,'Modelling New'!$D:$D,'Modelling New'!$N:$N),"")</f>
        <v>11.72</v>
      </c>
    </row>
    <row r="302" spans="1:44">
      <c r="A302" s="155">
        <f t="shared" si="20"/>
        <v>46045</v>
      </c>
      <c r="B302" s="156">
        <f>YEAR(Table13[[#This Row],[Date]])+IF(MONTH(Table13[[#This Row],[Date]])&gt;=4,1,0)</f>
        <v>2026</v>
      </c>
      <c r="C302" s="129">
        <f>YEAR(Table13[[#This Row],[Date]])</f>
        <v>2026</v>
      </c>
      <c r="D302" s="157">
        <f>Table13[[#This Row],[Date]]-DAY(Table13[[#This Row],[Date]])+1</f>
        <v>46023</v>
      </c>
      <c r="E302" s="129">
        <f t="shared" si="17"/>
        <v>31</v>
      </c>
      <c r="F302" s="130" t="str">
        <f>IFERROR(_xlfn.XLOOKUP($A302,'Raw Data'!$G:$G,'Raw Data'!$AH:$AH),"")</f>
        <v/>
      </c>
      <c r="G302" s="131" t="str">
        <f>IFERROR(_xlfn.XLOOKUP($A302,'Raw Data'!$G:$G,'Raw Data'!$S:$S)/1000,"")</f>
        <v/>
      </c>
      <c r="H302" s="131"/>
      <c r="I302" s="131" t="str">
        <f>IFERROR(_xlfn.XLOOKUP($A302,'Raw Data'!$G:$G,'Raw Data'!$AF:$AF)/1000,"")</f>
        <v/>
      </c>
      <c r="J302" s="131"/>
      <c r="K302" s="131" t="str">
        <f>IFERROR(_xlfn.XLOOKUP($A302,'Raw Data'!$G:$G,'Raw Data'!W:W),"")</f>
        <v/>
      </c>
      <c r="L302" s="131" t="str">
        <f>IFERROR(_xlfn.XLOOKUP($A302,'Raw Data'!$G:$G,'Raw Data'!X:X),"")</f>
        <v/>
      </c>
      <c r="M302" s="131" t="str">
        <f>IFERROR(_xlfn.XLOOKUP($A302,'Raw Data'!$G:$G,'Raw Data'!Y:Y),"")</f>
        <v/>
      </c>
      <c r="N302" s="131" t="str">
        <f>IFERROR(_xlfn.XLOOKUP($A302,'Raw Data'!$G:$G,'Raw Data'!Z:Z),"")</f>
        <v/>
      </c>
      <c r="O302" s="158" t="str">
        <f>IFERROR(1-SUMIF('Plant BD'!$H:$H,$A302,'Plant BD'!AC:AC)/$F302,"")</f>
        <v/>
      </c>
      <c r="P302" s="158"/>
      <c r="Q302" s="159"/>
      <c r="R302" s="158" t="str">
        <f>IFERROR(1-SUMIF('Grid BD'!$H:$H,$A302,'Grid BD'!AB:AB)/$F302,"")</f>
        <v/>
      </c>
      <c r="T302" s="159" t="str">
        <f>IFERROR(1-SUMIF(Tracker_BD!$H:$H,$A302,Tracker_BD!AI:AI)/$F302,"")</f>
        <v/>
      </c>
      <c r="U302" s="160" t="str">
        <f t="shared" si="18"/>
        <v/>
      </c>
      <c r="V302" s="160"/>
      <c r="W302" s="161" t="str">
        <f t="shared" si="19"/>
        <v/>
      </c>
      <c r="X302" s="156" t="str">
        <f>IFERROR(_xlfn.XLOOKUP($A302,'Raw Data'!$G:$G,'Raw Data'!$AB:$AB),"")</f>
        <v/>
      </c>
      <c r="Y302" s="156" t="str">
        <f>IFERROR(_xlfn.XLOOKUP($A302,'Raw Data'!$G:$G,'Raw Data'!AC:AC),"")</f>
        <v/>
      </c>
      <c r="Z302" s="156" t="str">
        <f>IFERROR(_xlfn.XLOOKUP($A302,'Raw Data'!$G:$G,'Raw Data'!AD:AD),"")</f>
        <v/>
      </c>
      <c r="AA302" s="156" t="str">
        <f>IFERROR(_xlfn.XLOOKUP($A302,'Raw Data'!$G:$G,'Raw Data'!AE:AE),"")</f>
        <v/>
      </c>
      <c r="AB302" s="156" t="str">
        <f>IFERROR(_xlfn.XLOOKUP($A302,'Raw Data'!$G:$G,'Raw Data'!$H:$H),"")</f>
        <v/>
      </c>
      <c r="AC302" s="162">
        <f>IFERROR(_xlfn.XLOOKUP($D302,'Modelling New'!$D:$D,'Modelling New'!$P:$P),"")</f>
        <v>6.0175946709677417</v>
      </c>
      <c r="AD302" s="156">
        <f>IFERROR(_xlfn.XLOOKUP($D302,'Modelling New'!$D:$D,'Modelling New'!$T:$T)*1000,"")</f>
        <v>54155.22627474973</v>
      </c>
      <c r="AE302" s="163">
        <f>IFERROR(_xlfn.XLOOKUP($D302,'Modelling New'!$D:$D,'Modelling New'!$O:$O),"")</f>
        <v>0.76787376813667318</v>
      </c>
      <c r="AF302" s="163">
        <f>IFERROR(_xlfn.XLOOKUP($D302,'Modelling New'!$D:$D,'Modelling New'!$W:$W),"")</f>
        <v>0.19253137896313183</v>
      </c>
      <c r="AG302" s="163">
        <f>IFERROR(_xlfn.XLOOKUP($D302,'Modelling New'!$D:$D,'Modelling New'!AE:AE),"")</f>
        <v>0.995</v>
      </c>
      <c r="AH302" s="163">
        <f>IFERROR(_xlfn.XLOOKUP($D302,'Modelling New'!$D:$D,'Modelling New'!AF:AF),"")</f>
        <v>0.98550000000000004</v>
      </c>
      <c r="AN302" s="164"/>
      <c r="AO302" s="161"/>
      <c r="AP302" s="161"/>
      <c r="AQ302" s="161"/>
      <c r="AR302" s="156">
        <f>IFERROR(_xlfn.XLOOKUP($D302,'Modelling New'!$D:$D,'Modelling New'!$N:$N),"")</f>
        <v>11.72</v>
      </c>
    </row>
    <row r="303" spans="1:44">
      <c r="A303" s="155">
        <f t="shared" si="20"/>
        <v>46046</v>
      </c>
      <c r="B303" s="156">
        <f>YEAR(Table13[[#This Row],[Date]])+IF(MONTH(Table13[[#This Row],[Date]])&gt;=4,1,0)</f>
        <v>2026</v>
      </c>
      <c r="C303" s="129">
        <f>YEAR(Table13[[#This Row],[Date]])</f>
        <v>2026</v>
      </c>
      <c r="D303" s="157">
        <f>Table13[[#This Row],[Date]]-DAY(Table13[[#This Row],[Date]])+1</f>
        <v>46023</v>
      </c>
      <c r="E303" s="129">
        <f t="shared" si="17"/>
        <v>31</v>
      </c>
      <c r="F303" s="130" t="str">
        <f>IFERROR(_xlfn.XLOOKUP($A303,'Raw Data'!$G:$G,'Raw Data'!$AH:$AH),"")</f>
        <v/>
      </c>
      <c r="G303" s="131" t="str">
        <f>IFERROR(_xlfn.XLOOKUP($A303,'Raw Data'!$G:$G,'Raw Data'!$S:$S)/1000,"")</f>
        <v/>
      </c>
      <c r="H303" s="131"/>
      <c r="I303" s="131" t="str">
        <f>IFERROR(_xlfn.XLOOKUP($A303,'Raw Data'!$G:$G,'Raw Data'!$AF:$AF)/1000,"")</f>
        <v/>
      </c>
      <c r="J303" s="131"/>
      <c r="K303" s="131" t="str">
        <f>IFERROR(_xlfn.XLOOKUP($A303,'Raw Data'!$G:$G,'Raw Data'!W:W),"")</f>
        <v/>
      </c>
      <c r="L303" s="131" t="str">
        <f>IFERROR(_xlfn.XLOOKUP($A303,'Raw Data'!$G:$G,'Raw Data'!X:X),"")</f>
        <v/>
      </c>
      <c r="M303" s="131" t="str">
        <f>IFERROR(_xlfn.XLOOKUP($A303,'Raw Data'!$G:$G,'Raw Data'!Y:Y),"")</f>
        <v/>
      </c>
      <c r="N303" s="131" t="str">
        <f>IFERROR(_xlfn.XLOOKUP($A303,'Raw Data'!$G:$G,'Raw Data'!Z:Z),"")</f>
        <v/>
      </c>
      <c r="O303" s="158" t="str">
        <f>IFERROR(1-SUMIF('Plant BD'!$H:$H,$A303,'Plant BD'!AC:AC)/$F303,"")</f>
        <v/>
      </c>
      <c r="P303" s="158"/>
      <c r="Q303" s="159"/>
      <c r="R303" s="158" t="str">
        <f>IFERROR(1-SUMIF('Grid BD'!$H:$H,$A303,'Grid BD'!AB:AB)/$F303,"")</f>
        <v/>
      </c>
      <c r="T303" s="159" t="str">
        <f>IFERROR(1-SUMIF(Tracker_BD!$H:$H,$A303,Tracker_BD!AI:AI)/$F303,"")</f>
        <v/>
      </c>
      <c r="U303" s="160" t="str">
        <f t="shared" si="18"/>
        <v/>
      </c>
      <c r="V303" s="160"/>
      <c r="W303" s="161" t="str">
        <f t="shared" si="19"/>
        <v/>
      </c>
      <c r="X303" s="156" t="str">
        <f>IFERROR(_xlfn.XLOOKUP($A303,'Raw Data'!$G:$G,'Raw Data'!$AB:$AB),"")</f>
        <v/>
      </c>
      <c r="Y303" s="156" t="str">
        <f>IFERROR(_xlfn.XLOOKUP($A303,'Raw Data'!$G:$G,'Raw Data'!AC:AC),"")</f>
        <v/>
      </c>
      <c r="Z303" s="156" t="str">
        <f>IFERROR(_xlfn.XLOOKUP($A303,'Raw Data'!$G:$G,'Raw Data'!AD:AD),"")</f>
        <v/>
      </c>
      <c r="AA303" s="156" t="str">
        <f>IFERROR(_xlfn.XLOOKUP($A303,'Raw Data'!$G:$G,'Raw Data'!AE:AE),"")</f>
        <v/>
      </c>
      <c r="AB303" s="156" t="str">
        <f>IFERROR(_xlfn.XLOOKUP($A303,'Raw Data'!$G:$G,'Raw Data'!$H:$H),"")</f>
        <v/>
      </c>
      <c r="AC303" s="162">
        <f>IFERROR(_xlfn.XLOOKUP($D303,'Modelling New'!$D:$D,'Modelling New'!$P:$P),"")</f>
        <v>6.0175946709677417</v>
      </c>
      <c r="AD303" s="156">
        <f>IFERROR(_xlfn.XLOOKUP($D303,'Modelling New'!$D:$D,'Modelling New'!$T:$T)*1000,"")</f>
        <v>54155.22627474973</v>
      </c>
      <c r="AE303" s="163">
        <f>IFERROR(_xlfn.XLOOKUP($D303,'Modelling New'!$D:$D,'Modelling New'!$O:$O),"")</f>
        <v>0.76787376813667318</v>
      </c>
      <c r="AF303" s="163">
        <f>IFERROR(_xlfn.XLOOKUP($D303,'Modelling New'!$D:$D,'Modelling New'!$W:$W),"")</f>
        <v>0.19253137896313183</v>
      </c>
      <c r="AG303" s="163">
        <f>IFERROR(_xlfn.XLOOKUP($D303,'Modelling New'!$D:$D,'Modelling New'!AE:AE),"")</f>
        <v>0.995</v>
      </c>
      <c r="AH303" s="163">
        <f>IFERROR(_xlfn.XLOOKUP($D303,'Modelling New'!$D:$D,'Modelling New'!AF:AF),"")</f>
        <v>0.98550000000000004</v>
      </c>
      <c r="AN303" s="164"/>
      <c r="AO303" s="161"/>
      <c r="AP303" s="161"/>
      <c r="AQ303" s="161"/>
      <c r="AR303" s="156">
        <f>IFERROR(_xlfn.XLOOKUP($D303,'Modelling New'!$D:$D,'Modelling New'!$N:$N),"")</f>
        <v>11.72</v>
      </c>
    </row>
    <row r="304" spans="1:44">
      <c r="A304" s="155">
        <f t="shared" si="20"/>
        <v>46047</v>
      </c>
      <c r="B304" s="156">
        <f>YEAR(Table13[[#This Row],[Date]])+IF(MONTH(Table13[[#This Row],[Date]])&gt;=4,1,0)</f>
        <v>2026</v>
      </c>
      <c r="C304" s="129">
        <f>YEAR(Table13[[#This Row],[Date]])</f>
        <v>2026</v>
      </c>
      <c r="D304" s="157">
        <f>Table13[[#This Row],[Date]]-DAY(Table13[[#This Row],[Date]])+1</f>
        <v>46023</v>
      </c>
      <c r="E304" s="129">
        <f t="shared" si="17"/>
        <v>31</v>
      </c>
      <c r="F304" s="130" t="str">
        <f>IFERROR(_xlfn.XLOOKUP($A304,'Raw Data'!$G:$G,'Raw Data'!$AH:$AH),"")</f>
        <v/>
      </c>
      <c r="G304" s="131" t="str">
        <f>IFERROR(_xlfn.XLOOKUP($A304,'Raw Data'!$G:$G,'Raw Data'!$S:$S)/1000,"")</f>
        <v/>
      </c>
      <c r="H304" s="131"/>
      <c r="I304" s="131" t="str">
        <f>IFERROR(_xlfn.XLOOKUP($A304,'Raw Data'!$G:$G,'Raw Data'!$AF:$AF)/1000,"")</f>
        <v/>
      </c>
      <c r="J304" s="131"/>
      <c r="K304" s="131" t="str">
        <f>IFERROR(_xlfn.XLOOKUP($A304,'Raw Data'!$G:$G,'Raw Data'!W:W),"")</f>
        <v/>
      </c>
      <c r="L304" s="131" t="str">
        <f>IFERROR(_xlfn.XLOOKUP($A304,'Raw Data'!$G:$G,'Raw Data'!X:X),"")</f>
        <v/>
      </c>
      <c r="M304" s="131" t="str">
        <f>IFERROR(_xlfn.XLOOKUP($A304,'Raw Data'!$G:$G,'Raw Data'!Y:Y),"")</f>
        <v/>
      </c>
      <c r="N304" s="131" t="str">
        <f>IFERROR(_xlfn.XLOOKUP($A304,'Raw Data'!$G:$G,'Raw Data'!Z:Z),"")</f>
        <v/>
      </c>
      <c r="O304" s="158" t="str">
        <f>IFERROR(1-SUMIF('Plant BD'!$H:$H,$A304,'Plant BD'!AC:AC)/$F304,"")</f>
        <v/>
      </c>
      <c r="P304" s="158"/>
      <c r="Q304" s="159"/>
      <c r="R304" s="158" t="str">
        <f>IFERROR(1-SUMIF('Grid BD'!$H:$H,$A304,'Grid BD'!AB:AB)/$F304,"")</f>
        <v/>
      </c>
      <c r="T304" s="159" t="str">
        <f>IFERROR(1-SUMIF(Tracker_BD!$H:$H,$A304,Tracker_BD!AI:AI)/$F304,"")</f>
        <v/>
      </c>
      <c r="U304" s="160" t="str">
        <f t="shared" si="18"/>
        <v/>
      </c>
      <c r="V304" s="160"/>
      <c r="W304" s="161" t="str">
        <f t="shared" si="19"/>
        <v/>
      </c>
      <c r="X304" s="156" t="str">
        <f>IFERROR(_xlfn.XLOOKUP($A304,'Raw Data'!$G:$G,'Raw Data'!$AB:$AB),"")</f>
        <v/>
      </c>
      <c r="Y304" s="156" t="str">
        <f>IFERROR(_xlfn.XLOOKUP($A304,'Raw Data'!$G:$G,'Raw Data'!AC:AC),"")</f>
        <v/>
      </c>
      <c r="Z304" s="156" t="str">
        <f>IFERROR(_xlfn.XLOOKUP($A304,'Raw Data'!$G:$G,'Raw Data'!AD:AD),"")</f>
        <v/>
      </c>
      <c r="AA304" s="156" t="str">
        <f>IFERROR(_xlfn.XLOOKUP($A304,'Raw Data'!$G:$G,'Raw Data'!AE:AE),"")</f>
        <v/>
      </c>
      <c r="AB304" s="156" t="str">
        <f>IFERROR(_xlfn.XLOOKUP($A304,'Raw Data'!$G:$G,'Raw Data'!$H:$H),"")</f>
        <v/>
      </c>
      <c r="AC304" s="162">
        <f>IFERROR(_xlfn.XLOOKUP($D304,'Modelling New'!$D:$D,'Modelling New'!$P:$P),"")</f>
        <v>6.0175946709677417</v>
      </c>
      <c r="AD304" s="156">
        <f>IFERROR(_xlfn.XLOOKUP($D304,'Modelling New'!$D:$D,'Modelling New'!$T:$T)*1000,"")</f>
        <v>54155.22627474973</v>
      </c>
      <c r="AE304" s="163">
        <f>IFERROR(_xlfn.XLOOKUP($D304,'Modelling New'!$D:$D,'Modelling New'!$O:$O),"")</f>
        <v>0.76787376813667318</v>
      </c>
      <c r="AF304" s="163">
        <f>IFERROR(_xlfn.XLOOKUP($D304,'Modelling New'!$D:$D,'Modelling New'!$W:$W),"")</f>
        <v>0.19253137896313183</v>
      </c>
      <c r="AG304" s="163">
        <f>IFERROR(_xlfn.XLOOKUP($D304,'Modelling New'!$D:$D,'Modelling New'!AE:AE),"")</f>
        <v>0.995</v>
      </c>
      <c r="AH304" s="163">
        <f>IFERROR(_xlfn.XLOOKUP($D304,'Modelling New'!$D:$D,'Modelling New'!AF:AF),"")</f>
        <v>0.98550000000000004</v>
      </c>
      <c r="AN304" s="164"/>
      <c r="AO304" s="161"/>
      <c r="AP304" s="161"/>
      <c r="AQ304" s="161"/>
      <c r="AR304" s="156">
        <f>IFERROR(_xlfn.XLOOKUP($D304,'Modelling New'!$D:$D,'Modelling New'!$N:$N),"")</f>
        <v>11.72</v>
      </c>
    </row>
    <row r="305" spans="1:44">
      <c r="A305" s="155">
        <f t="shared" si="20"/>
        <v>46048</v>
      </c>
      <c r="B305" s="156">
        <f>YEAR(Table13[[#This Row],[Date]])+IF(MONTH(Table13[[#This Row],[Date]])&gt;=4,1,0)</f>
        <v>2026</v>
      </c>
      <c r="C305" s="129">
        <f>YEAR(Table13[[#This Row],[Date]])</f>
        <v>2026</v>
      </c>
      <c r="D305" s="157">
        <f>Table13[[#This Row],[Date]]-DAY(Table13[[#This Row],[Date]])+1</f>
        <v>46023</v>
      </c>
      <c r="E305" s="129">
        <f t="shared" si="17"/>
        <v>31</v>
      </c>
      <c r="F305" s="130" t="str">
        <f>IFERROR(_xlfn.XLOOKUP($A305,'Raw Data'!$G:$G,'Raw Data'!$AH:$AH),"")</f>
        <v/>
      </c>
      <c r="G305" s="131" t="str">
        <f>IFERROR(_xlfn.XLOOKUP($A305,'Raw Data'!$G:$G,'Raw Data'!$S:$S)/1000,"")</f>
        <v/>
      </c>
      <c r="H305" s="131"/>
      <c r="I305" s="131" t="str">
        <f>IFERROR(_xlfn.XLOOKUP($A305,'Raw Data'!$G:$G,'Raw Data'!$AF:$AF)/1000,"")</f>
        <v/>
      </c>
      <c r="J305" s="131"/>
      <c r="K305" s="131" t="str">
        <f>IFERROR(_xlfn.XLOOKUP($A305,'Raw Data'!$G:$G,'Raw Data'!W:W),"")</f>
        <v/>
      </c>
      <c r="L305" s="131" t="str">
        <f>IFERROR(_xlfn.XLOOKUP($A305,'Raw Data'!$G:$G,'Raw Data'!X:X),"")</f>
        <v/>
      </c>
      <c r="M305" s="131" t="str">
        <f>IFERROR(_xlfn.XLOOKUP($A305,'Raw Data'!$G:$G,'Raw Data'!Y:Y),"")</f>
        <v/>
      </c>
      <c r="N305" s="131" t="str">
        <f>IFERROR(_xlfn.XLOOKUP($A305,'Raw Data'!$G:$G,'Raw Data'!Z:Z),"")</f>
        <v/>
      </c>
      <c r="O305" s="158" t="str">
        <f>IFERROR(1-SUMIF('Plant BD'!$H:$H,$A305,'Plant BD'!AC:AC)/$F305,"")</f>
        <v/>
      </c>
      <c r="P305" s="158"/>
      <c r="Q305" s="159"/>
      <c r="R305" s="158" t="str">
        <f>IFERROR(1-SUMIF('Grid BD'!$H:$H,$A305,'Grid BD'!AB:AB)/$F305,"")</f>
        <v/>
      </c>
      <c r="T305" s="159" t="str">
        <f>IFERROR(1-SUMIF(Tracker_BD!$H:$H,$A305,Tracker_BD!AI:AI)/$F305,"")</f>
        <v/>
      </c>
      <c r="U305" s="160" t="str">
        <f t="shared" si="18"/>
        <v/>
      </c>
      <c r="V305" s="160"/>
      <c r="W305" s="161" t="str">
        <f t="shared" si="19"/>
        <v/>
      </c>
      <c r="X305" s="156" t="str">
        <f>IFERROR(_xlfn.XLOOKUP($A305,'Raw Data'!$G:$G,'Raw Data'!$AB:$AB),"")</f>
        <v/>
      </c>
      <c r="Y305" s="156" t="str">
        <f>IFERROR(_xlfn.XLOOKUP($A305,'Raw Data'!$G:$G,'Raw Data'!AC:AC),"")</f>
        <v/>
      </c>
      <c r="Z305" s="156" t="str">
        <f>IFERROR(_xlfn.XLOOKUP($A305,'Raw Data'!$G:$G,'Raw Data'!AD:AD),"")</f>
        <v/>
      </c>
      <c r="AA305" s="156" t="str">
        <f>IFERROR(_xlfn.XLOOKUP($A305,'Raw Data'!$G:$G,'Raw Data'!AE:AE),"")</f>
        <v/>
      </c>
      <c r="AB305" s="156" t="str">
        <f>IFERROR(_xlfn.XLOOKUP($A305,'Raw Data'!$G:$G,'Raw Data'!$H:$H),"")</f>
        <v/>
      </c>
      <c r="AC305" s="162">
        <f>IFERROR(_xlfn.XLOOKUP($D305,'Modelling New'!$D:$D,'Modelling New'!$P:$P),"")</f>
        <v>6.0175946709677417</v>
      </c>
      <c r="AD305" s="156">
        <f>IFERROR(_xlfn.XLOOKUP($D305,'Modelling New'!$D:$D,'Modelling New'!$T:$T)*1000,"")</f>
        <v>54155.22627474973</v>
      </c>
      <c r="AE305" s="163">
        <f>IFERROR(_xlfn.XLOOKUP($D305,'Modelling New'!$D:$D,'Modelling New'!$O:$O),"")</f>
        <v>0.76787376813667318</v>
      </c>
      <c r="AF305" s="163">
        <f>IFERROR(_xlfn.XLOOKUP($D305,'Modelling New'!$D:$D,'Modelling New'!$W:$W),"")</f>
        <v>0.19253137896313183</v>
      </c>
      <c r="AG305" s="163">
        <f>IFERROR(_xlfn.XLOOKUP($D305,'Modelling New'!$D:$D,'Modelling New'!AE:AE),"")</f>
        <v>0.995</v>
      </c>
      <c r="AH305" s="163">
        <f>IFERROR(_xlfn.XLOOKUP($D305,'Modelling New'!$D:$D,'Modelling New'!AF:AF),"")</f>
        <v>0.98550000000000004</v>
      </c>
      <c r="AN305" s="164"/>
      <c r="AO305" s="161"/>
      <c r="AP305" s="161"/>
      <c r="AQ305" s="161"/>
      <c r="AR305" s="156">
        <f>IFERROR(_xlfn.XLOOKUP($D305,'Modelling New'!$D:$D,'Modelling New'!$N:$N),"")</f>
        <v>11.72</v>
      </c>
    </row>
    <row r="306" spans="1:44">
      <c r="A306" s="155">
        <f t="shared" si="20"/>
        <v>46049</v>
      </c>
      <c r="B306" s="156">
        <f>YEAR(Table13[[#This Row],[Date]])+IF(MONTH(Table13[[#This Row],[Date]])&gt;=4,1,0)</f>
        <v>2026</v>
      </c>
      <c r="C306" s="129">
        <f>YEAR(Table13[[#This Row],[Date]])</f>
        <v>2026</v>
      </c>
      <c r="D306" s="157">
        <f>Table13[[#This Row],[Date]]-DAY(Table13[[#This Row],[Date]])+1</f>
        <v>46023</v>
      </c>
      <c r="E306" s="129">
        <f t="shared" si="17"/>
        <v>31</v>
      </c>
      <c r="F306" s="130" t="str">
        <f>IFERROR(_xlfn.XLOOKUP($A306,'Raw Data'!$G:$G,'Raw Data'!$AH:$AH),"")</f>
        <v/>
      </c>
      <c r="G306" s="131" t="str">
        <f>IFERROR(_xlfn.XLOOKUP($A306,'Raw Data'!$G:$G,'Raw Data'!$S:$S)/1000,"")</f>
        <v/>
      </c>
      <c r="H306" s="131"/>
      <c r="I306" s="131" t="str">
        <f>IFERROR(_xlfn.XLOOKUP($A306,'Raw Data'!$G:$G,'Raw Data'!$AF:$AF)/1000,"")</f>
        <v/>
      </c>
      <c r="J306" s="131"/>
      <c r="K306" s="131" t="str">
        <f>IFERROR(_xlfn.XLOOKUP($A306,'Raw Data'!$G:$G,'Raw Data'!W:W),"")</f>
        <v/>
      </c>
      <c r="L306" s="131" t="str">
        <f>IFERROR(_xlfn.XLOOKUP($A306,'Raw Data'!$G:$G,'Raw Data'!X:X),"")</f>
        <v/>
      </c>
      <c r="M306" s="131" t="str">
        <f>IFERROR(_xlfn.XLOOKUP($A306,'Raw Data'!$G:$G,'Raw Data'!Y:Y),"")</f>
        <v/>
      </c>
      <c r="N306" s="131" t="str">
        <f>IFERROR(_xlfn.XLOOKUP($A306,'Raw Data'!$G:$G,'Raw Data'!Z:Z),"")</f>
        <v/>
      </c>
      <c r="O306" s="158" t="str">
        <f>IFERROR(1-SUMIF('Plant BD'!$H:$H,$A306,'Plant BD'!AC:AC)/$F306,"")</f>
        <v/>
      </c>
      <c r="P306" s="158"/>
      <c r="Q306" s="159"/>
      <c r="R306" s="158" t="str">
        <f>IFERROR(1-SUMIF('Grid BD'!$H:$H,$A306,'Grid BD'!AB:AB)/$F306,"")</f>
        <v/>
      </c>
      <c r="T306" s="159" t="str">
        <f>IFERROR(1-SUMIF(Tracker_BD!$H:$H,$A306,Tracker_BD!AI:AI)/$F306,"")</f>
        <v/>
      </c>
      <c r="U306" s="160" t="str">
        <f t="shared" si="18"/>
        <v/>
      </c>
      <c r="V306" s="160"/>
      <c r="W306" s="161" t="str">
        <f t="shared" si="19"/>
        <v/>
      </c>
      <c r="X306" s="156" t="str">
        <f>IFERROR(_xlfn.XLOOKUP($A306,'Raw Data'!$G:$G,'Raw Data'!$AB:$AB),"")</f>
        <v/>
      </c>
      <c r="Y306" s="156" t="str">
        <f>IFERROR(_xlfn.XLOOKUP($A306,'Raw Data'!$G:$G,'Raw Data'!AC:AC),"")</f>
        <v/>
      </c>
      <c r="Z306" s="156" t="str">
        <f>IFERROR(_xlfn.XLOOKUP($A306,'Raw Data'!$G:$G,'Raw Data'!AD:AD),"")</f>
        <v/>
      </c>
      <c r="AA306" s="156" t="str">
        <f>IFERROR(_xlfn.XLOOKUP($A306,'Raw Data'!$G:$G,'Raw Data'!AE:AE),"")</f>
        <v/>
      </c>
      <c r="AB306" s="156" t="str">
        <f>IFERROR(_xlfn.XLOOKUP($A306,'Raw Data'!$G:$G,'Raw Data'!$H:$H),"")</f>
        <v/>
      </c>
      <c r="AC306" s="162">
        <f>IFERROR(_xlfn.XLOOKUP($D306,'Modelling New'!$D:$D,'Modelling New'!$P:$P),"")</f>
        <v>6.0175946709677417</v>
      </c>
      <c r="AD306" s="156">
        <f>IFERROR(_xlfn.XLOOKUP($D306,'Modelling New'!$D:$D,'Modelling New'!$T:$T)*1000,"")</f>
        <v>54155.22627474973</v>
      </c>
      <c r="AE306" s="163">
        <f>IFERROR(_xlfn.XLOOKUP($D306,'Modelling New'!$D:$D,'Modelling New'!$O:$O),"")</f>
        <v>0.76787376813667318</v>
      </c>
      <c r="AF306" s="163">
        <f>IFERROR(_xlfn.XLOOKUP($D306,'Modelling New'!$D:$D,'Modelling New'!$W:$W),"")</f>
        <v>0.19253137896313183</v>
      </c>
      <c r="AG306" s="163">
        <f>IFERROR(_xlfn.XLOOKUP($D306,'Modelling New'!$D:$D,'Modelling New'!AE:AE),"")</f>
        <v>0.995</v>
      </c>
      <c r="AH306" s="163">
        <f>IFERROR(_xlfn.XLOOKUP($D306,'Modelling New'!$D:$D,'Modelling New'!AF:AF),"")</f>
        <v>0.98550000000000004</v>
      </c>
      <c r="AN306" s="164"/>
      <c r="AO306" s="161"/>
      <c r="AP306" s="161"/>
      <c r="AQ306" s="161"/>
      <c r="AR306" s="156">
        <f>IFERROR(_xlfn.XLOOKUP($D306,'Modelling New'!$D:$D,'Modelling New'!$N:$N),"")</f>
        <v>11.72</v>
      </c>
    </row>
    <row r="307" spans="1:44">
      <c r="A307" s="155">
        <f t="shared" si="20"/>
        <v>46050</v>
      </c>
      <c r="B307" s="156">
        <f>YEAR(Table13[[#This Row],[Date]])+IF(MONTH(Table13[[#This Row],[Date]])&gt;=4,1,0)</f>
        <v>2026</v>
      </c>
      <c r="C307" s="129">
        <f>YEAR(Table13[[#This Row],[Date]])</f>
        <v>2026</v>
      </c>
      <c r="D307" s="157">
        <f>Table13[[#This Row],[Date]]-DAY(Table13[[#This Row],[Date]])+1</f>
        <v>46023</v>
      </c>
      <c r="E307" s="129">
        <f t="shared" si="17"/>
        <v>31</v>
      </c>
      <c r="F307" s="130" t="str">
        <f>IFERROR(_xlfn.XLOOKUP($A307,'Raw Data'!$G:$G,'Raw Data'!$AH:$AH),"")</f>
        <v/>
      </c>
      <c r="G307" s="131" t="str">
        <f>IFERROR(_xlfn.XLOOKUP($A307,'Raw Data'!$G:$G,'Raw Data'!$S:$S)/1000,"")</f>
        <v/>
      </c>
      <c r="H307" s="131"/>
      <c r="I307" s="131" t="str">
        <f>IFERROR(_xlfn.XLOOKUP($A307,'Raw Data'!$G:$G,'Raw Data'!$AF:$AF)/1000,"")</f>
        <v/>
      </c>
      <c r="J307" s="131"/>
      <c r="K307" s="131" t="str">
        <f>IFERROR(_xlfn.XLOOKUP($A307,'Raw Data'!$G:$G,'Raw Data'!W:W),"")</f>
        <v/>
      </c>
      <c r="L307" s="131" t="str">
        <f>IFERROR(_xlfn.XLOOKUP($A307,'Raw Data'!$G:$G,'Raw Data'!X:X),"")</f>
        <v/>
      </c>
      <c r="M307" s="131" t="str">
        <f>IFERROR(_xlfn.XLOOKUP($A307,'Raw Data'!$G:$G,'Raw Data'!Y:Y),"")</f>
        <v/>
      </c>
      <c r="N307" s="131" t="str">
        <f>IFERROR(_xlfn.XLOOKUP($A307,'Raw Data'!$G:$G,'Raw Data'!Z:Z),"")</f>
        <v/>
      </c>
      <c r="O307" s="158" t="str">
        <f>IFERROR(1-SUMIF('Plant BD'!$H:$H,$A307,'Plant BD'!AC:AC)/$F307,"")</f>
        <v/>
      </c>
      <c r="P307" s="158"/>
      <c r="Q307" s="159"/>
      <c r="R307" s="158" t="str">
        <f>IFERROR(1-SUMIF('Grid BD'!$H:$H,$A307,'Grid BD'!AB:AB)/$F307,"")</f>
        <v/>
      </c>
      <c r="T307" s="159" t="str">
        <f>IFERROR(1-SUMIF(Tracker_BD!$H:$H,$A307,Tracker_BD!AI:AI)/$F307,"")</f>
        <v/>
      </c>
      <c r="U307" s="160" t="str">
        <f t="shared" si="18"/>
        <v/>
      </c>
      <c r="V307" s="160"/>
      <c r="W307" s="161" t="str">
        <f t="shared" si="19"/>
        <v/>
      </c>
      <c r="X307" s="156" t="str">
        <f>IFERROR(_xlfn.XLOOKUP($A307,'Raw Data'!$G:$G,'Raw Data'!$AB:$AB),"")</f>
        <v/>
      </c>
      <c r="Y307" s="156" t="str">
        <f>IFERROR(_xlfn.XLOOKUP($A307,'Raw Data'!$G:$G,'Raw Data'!AC:AC),"")</f>
        <v/>
      </c>
      <c r="Z307" s="156" t="str">
        <f>IFERROR(_xlfn.XLOOKUP($A307,'Raw Data'!$G:$G,'Raw Data'!AD:AD),"")</f>
        <v/>
      </c>
      <c r="AA307" s="156" t="str">
        <f>IFERROR(_xlfn.XLOOKUP($A307,'Raw Data'!$G:$G,'Raw Data'!AE:AE),"")</f>
        <v/>
      </c>
      <c r="AB307" s="156" t="str">
        <f>IFERROR(_xlfn.XLOOKUP($A307,'Raw Data'!$G:$G,'Raw Data'!$H:$H),"")</f>
        <v/>
      </c>
      <c r="AC307" s="162">
        <f>IFERROR(_xlfn.XLOOKUP($D307,'Modelling New'!$D:$D,'Modelling New'!$P:$P),"")</f>
        <v>6.0175946709677417</v>
      </c>
      <c r="AD307" s="156">
        <f>IFERROR(_xlfn.XLOOKUP($D307,'Modelling New'!$D:$D,'Modelling New'!$T:$T)*1000,"")</f>
        <v>54155.22627474973</v>
      </c>
      <c r="AE307" s="163">
        <f>IFERROR(_xlfn.XLOOKUP($D307,'Modelling New'!$D:$D,'Modelling New'!$O:$O),"")</f>
        <v>0.76787376813667318</v>
      </c>
      <c r="AF307" s="163">
        <f>IFERROR(_xlfn.XLOOKUP($D307,'Modelling New'!$D:$D,'Modelling New'!$W:$W),"")</f>
        <v>0.19253137896313183</v>
      </c>
      <c r="AG307" s="163">
        <f>IFERROR(_xlfn.XLOOKUP($D307,'Modelling New'!$D:$D,'Modelling New'!AE:AE),"")</f>
        <v>0.995</v>
      </c>
      <c r="AH307" s="163">
        <f>IFERROR(_xlfn.XLOOKUP($D307,'Modelling New'!$D:$D,'Modelling New'!AF:AF),"")</f>
        <v>0.98550000000000004</v>
      </c>
      <c r="AN307" s="164"/>
      <c r="AO307" s="161"/>
      <c r="AP307" s="161"/>
      <c r="AQ307" s="161"/>
      <c r="AR307" s="156">
        <f>IFERROR(_xlfn.XLOOKUP($D307,'Modelling New'!$D:$D,'Modelling New'!$N:$N),"")</f>
        <v>11.72</v>
      </c>
    </row>
    <row r="308" spans="1:44">
      <c r="A308" s="155">
        <f t="shared" si="20"/>
        <v>46051</v>
      </c>
      <c r="B308" s="156">
        <f>YEAR(Table13[[#This Row],[Date]])+IF(MONTH(Table13[[#This Row],[Date]])&gt;=4,1,0)</f>
        <v>2026</v>
      </c>
      <c r="C308" s="129">
        <f>YEAR(Table13[[#This Row],[Date]])</f>
        <v>2026</v>
      </c>
      <c r="D308" s="157">
        <f>Table13[[#This Row],[Date]]-DAY(Table13[[#This Row],[Date]])+1</f>
        <v>46023</v>
      </c>
      <c r="E308" s="129">
        <f t="shared" si="17"/>
        <v>31</v>
      </c>
      <c r="F308" s="130" t="str">
        <f>IFERROR(_xlfn.XLOOKUP($A308,'Raw Data'!$G:$G,'Raw Data'!$AH:$AH),"")</f>
        <v/>
      </c>
      <c r="G308" s="131" t="str">
        <f>IFERROR(_xlfn.XLOOKUP($A308,'Raw Data'!$G:$G,'Raw Data'!$S:$S)/1000,"")</f>
        <v/>
      </c>
      <c r="H308" s="131"/>
      <c r="I308" s="131" t="str">
        <f>IFERROR(_xlfn.XLOOKUP($A308,'Raw Data'!$G:$G,'Raw Data'!$AF:$AF)/1000,"")</f>
        <v/>
      </c>
      <c r="J308" s="131"/>
      <c r="K308" s="131" t="str">
        <f>IFERROR(_xlfn.XLOOKUP($A308,'Raw Data'!$G:$G,'Raw Data'!W:W),"")</f>
        <v/>
      </c>
      <c r="L308" s="131" t="str">
        <f>IFERROR(_xlfn.XLOOKUP($A308,'Raw Data'!$G:$G,'Raw Data'!X:X),"")</f>
        <v/>
      </c>
      <c r="M308" s="131" t="str">
        <f>IFERROR(_xlfn.XLOOKUP($A308,'Raw Data'!$G:$G,'Raw Data'!Y:Y),"")</f>
        <v/>
      </c>
      <c r="N308" s="131" t="str">
        <f>IFERROR(_xlfn.XLOOKUP($A308,'Raw Data'!$G:$G,'Raw Data'!Z:Z),"")</f>
        <v/>
      </c>
      <c r="O308" s="158" t="str">
        <f>IFERROR(1-SUMIF('Plant BD'!$H:$H,$A308,'Plant BD'!AC:AC)/$F308,"")</f>
        <v/>
      </c>
      <c r="P308" s="158"/>
      <c r="Q308" s="159"/>
      <c r="R308" s="158" t="str">
        <f>IFERROR(1-SUMIF('Grid BD'!$H:$H,$A308,'Grid BD'!AB:AB)/$F308,"")</f>
        <v/>
      </c>
      <c r="T308" s="159" t="str">
        <f>IFERROR(1-SUMIF(Tracker_BD!$H:$H,$A308,Tracker_BD!AI:AI)/$F308,"")</f>
        <v/>
      </c>
      <c r="U308" s="160" t="str">
        <f t="shared" si="18"/>
        <v/>
      </c>
      <c r="V308" s="160"/>
      <c r="W308" s="161" t="str">
        <f t="shared" si="19"/>
        <v/>
      </c>
      <c r="X308" s="156" t="str">
        <f>IFERROR(_xlfn.XLOOKUP($A308,'Raw Data'!$G:$G,'Raw Data'!$AB:$AB),"")</f>
        <v/>
      </c>
      <c r="Y308" s="156" t="str">
        <f>IFERROR(_xlfn.XLOOKUP($A308,'Raw Data'!$G:$G,'Raw Data'!AC:AC),"")</f>
        <v/>
      </c>
      <c r="Z308" s="156" t="str">
        <f>IFERROR(_xlfn.XLOOKUP($A308,'Raw Data'!$G:$G,'Raw Data'!AD:AD),"")</f>
        <v/>
      </c>
      <c r="AA308" s="156" t="str">
        <f>IFERROR(_xlfn.XLOOKUP($A308,'Raw Data'!$G:$G,'Raw Data'!AE:AE),"")</f>
        <v/>
      </c>
      <c r="AB308" s="156" t="str">
        <f>IFERROR(_xlfn.XLOOKUP($A308,'Raw Data'!$G:$G,'Raw Data'!$H:$H),"")</f>
        <v/>
      </c>
      <c r="AC308" s="162">
        <f>IFERROR(_xlfn.XLOOKUP($D308,'Modelling New'!$D:$D,'Modelling New'!$P:$P),"")</f>
        <v>6.0175946709677417</v>
      </c>
      <c r="AD308" s="156">
        <f>IFERROR(_xlfn.XLOOKUP($D308,'Modelling New'!$D:$D,'Modelling New'!$T:$T)*1000,"")</f>
        <v>54155.22627474973</v>
      </c>
      <c r="AE308" s="163">
        <f>IFERROR(_xlfn.XLOOKUP($D308,'Modelling New'!$D:$D,'Modelling New'!$O:$O),"")</f>
        <v>0.76787376813667318</v>
      </c>
      <c r="AF308" s="163">
        <f>IFERROR(_xlfn.XLOOKUP($D308,'Modelling New'!$D:$D,'Modelling New'!$W:$W),"")</f>
        <v>0.19253137896313183</v>
      </c>
      <c r="AG308" s="163">
        <f>IFERROR(_xlfn.XLOOKUP($D308,'Modelling New'!$D:$D,'Modelling New'!AE:AE),"")</f>
        <v>0.995</v>
      </c>
      <c r="AH308" s="163">
        <f>IFERROR(_xlfn.XLOOKUP($D308,'Modelling New'!$D:$D,'Modelling New'!AF:AF),"")</f>
        <v>0.98550000000000004</v>
      </c>
      <c r="AN308" s="164"/>
      <c r="AO308" s="161"/>
      <c r="AP308" s="161"/>
      <c r="AQ308" s="161"/>
      <c r="AR308" s="156">
        <f>IFERROR(_xlfn.XLOOKUP($D308,'Modelling New'!$D:$D,'Modelling New'!$N:$N),"")</f>
        <v>11.72</v>
      </c>
    </row>
    <row r="309" spans="1:44">
      <c r="A309" s="155">
        <f t="shared" si="20"/>
        <v>46052</v>
      </c>
      <c r="B309" s="156">
        <f>YEAR(Table13[[#This Row],[Date]])+IF(MONTH(Table13[[#This Row],[Date]])&gt;=4,1,0)</f>
        <v>2026</v>
      </c>
      <c r="C309" s="129">
        <f>YEAR(Table13[[#This Row],[Date]])</f>
        <v>2026</v>
      </c>
      <c r="D309" s="157">
        <f>Table13[[#This Row],[Date]]-DAY(Table13[[#This Row],[Date]])+1</f>
        <v>46023</v>
      </c>
      <c r="E309" s="129">
        <f t="shared" si="17"/>
        <v>31</v>
      </c>
      <c r="F309" s="130" t="str">
        <f>IFERROR(_xlfn.XLOOKUP($A309,'Raw Data'!$G:$G,'Raw Data'!$AH:$AH),"")</f>
        <v/>
      </c>
      <c r="G309" s="131" t="str">
        <f>IFERROR(_xlfn.XLOOKUP($A309,'Raw Data'!$G:$G,'Raw Data'!$S:$S)/1000,"")</f>
        <v/>
      </c>
      <c r="H309" s="131"/>
      <c r="I309" s="131" t="str">
        <f>IFERROR(_xlfn.XLOOKUP($A309,'Raw Data'!$G:$G,'Raw Data'!$AF:$AF)/1000,"")</f>
        <v/>
      </c>
      <c r="J309" s="131"/>
      <c r="K309" s="131" t="str">
        <f>IFERROR(_xlfn.XLOOKUP($A309,'Raw Data'!$G:$G,'Raw Data'!W:W),"")</f>
        <v/>
      </c>
      <c r="L309" s="131" t="str">
        <f>IFERROR(_xlfn.XLOOKUP($A309,'Raw Data'!$G:$G,'Raw Data'!X:X),"")</f>
        <v/>
      </c>
      <c r="M309" s="131" t="str">
        <f>IFERROR(_xlfn.XLOOKUP($A309,'Raw Data'!$G:$G,'Raw Data'!Y:Y),"")</f>
        <v/>
      </c>
      <c r="N309" s="131" t="str">
        <f>IFERROR(_xlfn.XLOOKUP($A309,'Raw Data'!$G:$G,'Raw Data'!Z:Z),"")</f>
        <v/>
      </c>
      <c r="O309" s="158" t="str">
        <f>IFERROR(1-SUMIF('Plant BD'!$H:$H,$A309,'Plant BD'!AC:AC)/$F309,"")</f>
        <v/>
      </c>
      <c r="P309" s="158"/>
      <c r="Q309" s="159"/>
      <c r="R309" s="158" t="str">
        <f>IFERROR(1-SUMIF('Grid BD'!$H:$H,$A309,'Grid BD'!AB:AB)/$F309,"")</f>
        <v/>
      </c>
      <c r="T309" s="159" t="str">
        <f>IFERROR(1-SUMIF(Tracker_BD!$H:$H,$A309,Tracker_BD!AI:AI)/$F309,"")</f>
        <v/>
      </c>
      <c r="U309" s="160" t="str">
        <f t="shared" si="18"/>
        <v/>
      </c>
      <c r="V309" s="160"/>
      <c r="W309" s="161" t="str">
        <f t="shared" si="19"/>
        <v/>
      </c>
      <c r="X309" s="156" t="str">
        <f>IFERROR(_xlfn.XLOOKUP($A309,'Raw Data'!$G:$G,'Raw Data'!$AB:$AB),"")</f>
        <v/>
      </c>
      <c r="Y309" s="156" t="str">
        <f>IFERROR(_xlfn.XLOOKUP($A309,'Raw Data'!$G:$G,'Raw Data'!AC:AC),"")</f>
        <v/>
      </c>
      <c r="Z309" s="156" t="str">
        <f>IFERROR(_xlfn.XLOOKUP($A309,'Raw Data'!$G:$G,'Raw Data'!AD:AD),"")</f>
        <v/>
      </c>
      <c r="AA309" s="156" t="str">
        <f>IFERROR(_xlfn.XLOOKUP($A309,'Raw Data'!$G:$G,'Raw Data'!AE:AE),"")</f>
        <v/>
      </c>
      <c r="AB309" s="156" t="str">
        <f>IFERROR(_xlfn.XLOOKUP($A309,'Raw Data'!$G:$G,'Raw Data'!$H:$H),"")</f>
        <v/>
      </c>
      <c r="AC309" s="162">
        <f>IFERROR(_xlfn.XLOOKUP($D309,'Modelling New'!$D:$D,'Modelling New'!$P:$P),"")</f>
        <v>6.0175946709677417</v>
      </c>
      <c r="AD309" s="156">
        <f>IFERROR(_xlfn.XLOOKUP($D309,'Modelling New'!$D:$D,'Modelling New'!$T:$T)*1000,"")</f>
        <v>54155.22627474973</v>
      </c>
      <c r="AE309" s="163">
        <f>IFERROR(_xlfn.XLOOKUP($D309,'Modelling New'!$D:$D,'Modelling New'!$O:$O),"")</f>
        <v>0.76787376813667318</v>
      </c>
      <c r="AF309" s="163">
        <f>IFERROR(_xlfn.XLOOKUP($D309,'Modelling New'!$D:$D,'Modelling New'!$W:$W),"")</f>
        <v>0.19253137896313183</v>
      </c>
      <c r="AG309" s="163">
        <f>IFERROR(_xlfn.XLOOKUP($D309,'Modelling New'!$D:$D,'Modelling New'!AE:AE),"")</f>
        <v>0.995</v>
      </c>
      <c r="AH309" s="163">
        <f>IFERROR(_xlfn.XLOOKUP($D309,'Modelling New'!$D:$D,'Modelling New'!AF:AF),"")</f>
        <v>0.98550000000000004</v>
      </c>
      <c r="AN309" s="164"/>
      <c r="AO309" s="161"/>
      <c r="AP309" s="161"/>
      <c r="AQ309" s="161"/>
      <c r="AR309" s="156">
        <f>IFERROR(_xlfn.XLOOKUP($D309,'Modelling New'!$D:$D,'Modelling New'!$N:$N),"")</f>
        <v>11.72</v>
      </c>
    </row>
    <row r="310" spans="1:44">
      <c r="A310" s="155">
        <f t="shared" si="20"/>
        <v>46053</v>
      </c>
      <c r="B310" s="156">
        <f>YEAR(Table13[[#This Row],[Date]])+IF(MONTH(Table13[[#This Row],[Date]])&gt;=4,1,0)</f>
        <v>2026</v>
      </c>
      <c r="C310" s="129">
        <f>YEAR(Table13[[#This Row],[Date]])</f>
        <v>2026</v>
      </c>
      <c r="D310" s="157">
        <f>Table13[[#This Row],[Date]]-DAY(Table13[[#This Row],[Date]])+1</f>
        <v>46023</v>
      </c>
      <c r="E310" s="129">
        <f t="shared" si="17"/>
        <v>31</v>
      </c>
      <c r="F310" s="130" t="str">
        <f>IFERROR(_xlfn.XLOOKUP($A310,'Raw Data'!$G:$G,'Raw Data'!$AH:$AH),"")</f>
        <v/>
      </c>
      <c r="G310" s="131" t="str">
        <f>IFERROR(_xlfn.XLOOKUP($A310,'Raw Data'!$G:$G,'Raw Data'!$S:$S)/1000,"")</f>
        <v/>
      </c>
      <c r="H310" s="131"/>
      <c r="I310" s="131" t="str">
        <f>IFERROR(_xlfn.XLOOKUP($A310,'Raw Data'!$G:$G,'Raw Data'!$AF:$AF)/1000,"")</f>
        <v/>
      </c>
      <c r="J310" s="131"/>
      <c r="K310" s="131" t="str">
        <f>IFERROR(_xlfn.XLOOKUP($A310,'Raw Data'!$G:$G,'Raw Data'!W:W),"")</f>
        <v/>
      </c>
      <c r="L310" s="131" t="str">
        <f>IFERROR(_xlfn.XLOOKUP($A310,'Raw Data'!$G:$G,'Raw Data'!X:X),"")</f>
        <v/>
      </c>
      <c r="M310" s="131" t="str">
        <f>IFERROR(_xlfn.XLOOKUP($A310,'Raw Data'!$G:$G,'Raw Data'!Y:Y),"")</f>
        <v/>
      </c>
      <c r="N310" s="131" t="str">
        <f>IFERROR(_xlfn.XLOOKUP($A310,'Raw Data'!$G:$G,'Raw Data'!Z:Z),"")</f>
        <v/>
      </c>
      <c r="O310" s="158" t="str">
        <f>IFERROR(1-SUMIF('Plant BD'!$H:$H,$A310,'Plant BD'!AC:AC)/$F310,"")</f>
        <v/>
      </c>
      <c r="P310" s="158"/>
      <c r="Q310" s="159"/>
      <c r="R310" s="158" t="str">
        <f>IFERROR(1-SUMIF('Grid BD'!$H:$H,$A310,'Grid BD'!AB:AB)/$F310,"")</f>
        <v/>
      </c>
      <c r="T310" s="159" t="str">
        <f>IFERROR(1-SUMIF(Tracker_BD!$H:$H,$A310,Tracker_BD!AI:AI)/$F310,"")</f>
        <v/>
      </c>
      <c r="U310" s="160" t="str">
        <f t="shared" si="18"/>
        <v/>
      </c>
      <c r="V310" s="160"/>
      <c r="W310" s="161" t="str">
        <f t="shared" si="19"/>
        <v/>
      </c>
      <c r="X310" s="156" t="str">
        <f>IFERROR(_xlfn.XLOOKUP($A310,'Raw Data'!$G:$G,'Raw Data'!$AB:$AB),"")</f>
        <v/>
      </c>
      <c r="Y310" s="156" t="str">
        <f>IFERROR(_xlfn.XLOOKUP($A310,'Raw Data'!$G:$G,'Raw Data'!AC:AC),"")</f>
        <v/>
      </c>
      <c r="Z310" s="156" t="str">
        <f>IFERROR(_xlfn.XLOOKUP($A310,'Raw Data'!$G:$G,'Raw Data'!AD:AD),"")</f>
        <v/>
      </c>
      <c r="AA310" s="156" t="str">
        <f>IFERROR(_xlfn.XLOOKUP($A310,'Raw Data'!$G:$G,'Raw Data'!AE:AE),"")</f>
        <v/>
      </c>
      <c r="AB310" s="156" t="str">
        <f>IFERROR(_xlfn.XLOOKUP($A310,'Raw Data'!$G:$G,'Raw Data'!$H:$H),"")</f>
        <v/>
      </c>
      <c r="AC310" s="162">
        <f>IFERROR(_xlfn.XLOOKUP($D310,'Modelling New'!$D:$D,'Modelling New'!$P:$P),"")</f>
        <v>6.0175946709677417</v>
      </c>
      <c r="AD310" s="156">
        <f>IFERROR(_xlfn.XLOOKUP($D310,'Modelling New'!$D:$D,'Modelling New'!$T:$T)*1000,"")</f>
        <v>54155.22627474973</v>
      </c>
      <c r="AE310" s="163">
        <f>IFERROR(_xlfn.XLOOKUP($D310,'Modelling New'!$D:$D,'Modelling New'!$O:$O),"")</f>
        <v>0.76787376813667318</v>
      </c>
      <c r="AF310" s="163">
        <f>IFERROR(_xlfn.XLOOKUP($D310,'Modelling New'!$D:$D,'Modelling New'!$W:$W),"")</f>
        <v>0.19253137896313183</v>
      </c>
      <c r="AG310" s="163">
        <f>IFERROR(_xlfn.XLOOKUP($D310,'Modelling New'!$D:$D,'Modelling New'!AE:AE),"")</f>
        <v>0.995</v>
      </c>
      <c r="AH310" s="163">
        <f>IFERROR(_xlfn.XLOOKUP($D310,'Modelling New'!$D:$D,'Modelling New'!AF:AF),"")</f>
        <v>0.98550000000000004</v>
      </c>
      <c r="AN310" s="164"/>
      <c r="AO310" s="161"/>
      <c r="AP310" s="161"/>
      <c r="AQ310" s="161"/>
      <c r="AR310" s="156">
        <f>IFERROR(_xlfn.XLOOKUP($D310,'Modelling New'!$D:$D,'Modelling New'!$N:$N),"")</f>
        <v>11.72</v>
      </c>
    </row>
    <row r="311" spans="1:44">
      <c r="A311" s="155">
        <f t="shared" si="20"/>
        <v>46054</v>
      </c>
      <c r="B311" s="156">
        <f>YEAR(Table13[[#This Row],[Date]])+IF(MONTH(Table13[[#This Row],[Date]])&gt;=4,1,0)</f>
        <v>2026</v>
      </c>
      <c r="C311" s="129">
        <f>YEAR(Table13[[#This Row],[Date]])</f>
        <v>2026</v>
      </c>
      <c r="D311" s="157">
        <f>Table13[[#This Row],[Date]]-DAY(Table13[[#This Row],[Date]])+1</f>
        <v>46054</v>
      </c>
      <c r="E311" s="129">
        <f t="shared" si="17"/>
        <v>28</v>
      </c>
      <c r="F311" s="130" t="str">
        <f>IFERROR(_xlfn.XLOOKUP($A311,'Raw Data'!$G:$G,'Raw Data'!$AH:$AH),"")</f>
        <v/>
      </c>
      <c r="G311" s="131" t="str">
        <f>IFERROR(_xlfn.XLOOKUP($A311,'Raw Data'!$G:$G,'Raw Data'!$S:$S)/1000,"")</f>
        <v/>
      </c>
      <c r="H311" s="131"/>
      <c r="I311" s="131" t="str">
        <f>IFERROR(_xlfn.XLOOKUP($A311,'Raw Data'!$G:$G,'Raw Data'!$AF:$AF)/1000,"")</f>
        <v/>
      </c>
      <c r="J311" s="131"/>
      <c r="K311" s="131" t="str">
        <f>IFERROR(_xlfn.XLOOKUP($A311,'Raw Data'!$G:$G,'Raw Data'!W:W),"")</f>
        <v/>
      </c>
      <c r="L311" s="131" t="str">
        <f>IFERROR(_xlfn.XLOOKUP($A311,'Raw Data'!$G:$G,'Raw Data'!X:X),"")</f>
        <v/>
      </c>
      <c r="M311" s="131" t="str">
        <f>IFERROR(_xlfn.XLOOKUP($A311,'Raw Data'!$G:$G,'Raw Data'!Y:Y),"")</f>
        <v/>
      </c>
      <c r="N311" s="131" t="str">
        <f>IFERROR(_xlfn.XLOOKUP($A311,'Raw Data'!$G:$G,'Raw Data'!Z:Z),"")</f>
        <v/>
      </c>
      <c r="O311" s="158" t="str">
        <f>IFERROR(1-SUMIF('Plant BD'!$H:$H,$A311,'Plant BD'!AC:AC)/$F311,"")</f>
        <v/>
      </c>
      <c r="P311" s="158"/>
      <c r="Q311" s="159"/>
      <c r="R311" s="158" t="str">
        <f>IFERROR(1-SUMIF('Grid BD'!$H:$H,$A311,'Grid BD'!AB:AB)/$F311,"")</f>
        <v/>
      </c>
      <c r="T311" s="159" t="str">
        <f>IFERROR(1-SUMIF(Tracker_BD!$H:$H,$A311,Tracker_BD!AI:AI)/$F311,"")</f>
        <v/>
      </c>
      <c r="U311" s="160" t="str">
        <f t="shared" si="18"/>
        <v/>
      </c>
      <c r="V311" s="160"/>
      <c r="W311" s="161" t="str">
        <f t="shared" si="19"/>
        <v/>
      </c>
      <c r="X311" s="156" t="str">
        <f>IFERROR(_xlfn.XLOOKUP($A311,'Raw Data'!$G:$G,'Raw Data'!$AB:$AB),"")</f>
        <v/>
      </c>
      <c r="Y311" s="156" t="str">
        <f>IFERROR(_xlfn.XLOOKUP($A311,'Raw Data'!$G:$G,'Raw Data'!AC:AC),"")</f>
        <v/>
      </c>
      <c r="Z311" s="156" t="str">
        <f>IFERROR(_xlfn.XLOOKUP($A311,'Raw Data'!$G:$G,'Raw Data'!AD:AD),"")</f>
        <v/>
      </c>
      <c r="AA311" s="156" t="str">
        <f>IFERROR(_xlfn.XLOOKUP($A311,'Raw Data'!$G:$G,'Raw Data'!AE:AE),"")</f>
        <v/>
      </c>
      <c r="AB311" s="156" t="str">
        <f>IFERROR(_xlfn.XLOOKUP($A311,'Raw Data'!$G:$G,'Raw Data'!$H:$H),"")</f>
        <v/>
      </c>
      <c r="AC311" s="162">
        <f>IFERROR(_xlfn.XLOOKUP($D311,'Modelling New'!$D:$D,'Modelling New'!$P:$P),"")</f>
        <v>6.9010874285714294</v>
      </c>
      <c r="AD311" s="156">
        <f>IFERROR(_xlfn.XLOOKUP($D311,'Modelling New'!$D:$D,'Modelling New'!$T:$T)*1000,"")</f>
        <v>57320.026734881634</v>
      </c>
      <c r="AE311" s="163">
        <f>IFERROR(_xlfn.XLOOKUP($D311,'Modelling New'!$D:$D,'Modelling New'!$O:$O),"")</f>
        <v>0.70869805877547398</v>
      </c>
      <c r="AF311" s="163">
        <f>IFERROR(_xlfn.XLOOKUP($D311,'Modelling New'!$D:$D,'Modelling New'!$W:$W),"")</f>
        <v>0.20378280266951659</v>
      </c>
      <c r="AG311" s="163">
        <f>IFERROR(_xlfn.XLOOKUP($D311,'Modelling New'!$D:$D,'Modelling New'!AE:AE),"")</f>
        <v>0.995</v>
      </c>
      <c r="AH311" s="163">
        <f>IFERROR(_xlfn.XLOOKUP($D311,'Modelling New'!$D:$D,'Modelling New'!AF:AF),"")</f>
        <v>0.98550000000000004</v>
      </c>
      <c r="AN311" s="164"/>
      <c r="AO311" s="161"/>
      <c r="AP311" s="161"/>
      <c r="AQ311" s="161"/>
      <c r="AR311" s="156">
        <f>IFERROR(_xlfn.XLOOKUP($D311,'Modelling New'!$D:$D,'Modelling New'!$N:$N),"")</f>
        <v>11.72</v>
      </c>
    </row>
    <row r="312" spans="1:44">
      <c r="A312" s="155">
        <f t="shared" si="20"/>
        <v>46055</v>
      </c>
      <c r="B312" s="156">
        <f>YEAR(Table13[[#This Row],[Date]])+IF(MONTH(Table13[[#This Row],[Date]])&gt;=4,1,0)</f>
        <v>2026</v>
      </c>
      <c r="C312" s="129">
        <f>YEAR(Table13[[#This Row],[Date]])</f>
        <v>2026</v>
      </c>
      <c r="D312" s="157">
        <f>Table13[[#This Row],[Date]]-DAY(Table13[[#This Row],[Date]])+1</f>
        <v>46054</v>
      </c>
      <c r="E312" s="129">
        <f t="shared" si="17"/>
        <v>28</v>
      </c>
      <c r="F312" s="130" t="str">
        <f>IFERROR(_xlfn.XLOOKUP($A312,'Raw Data'!$G:$G,'Raw Data'!$AH:$AH),"")</f>
        <v/>
      </c>
      <c r="G312" s="131" t="str">
        <f>IFERROR(_xlfn.XLOOKUP($A312,'Raw Data'!$G:$G,'Raw Data'!$S:$S)/1000,"")</f>
        <v/>
      </c>
      <c r="H312" s="131"/>
      <c r="I312" s="131" t="str">
        <f>IFERROR(_xlfn.XLOOKUP($A312,'Raw Data'!$G:$G,'Raw Data'!$AF:$AF)/1000,"")</f>
        <v/>
      </c>
      <c r="J312" s="131"/>
      <c r="K312" s="131" t="str">
        <f>IFERROR(_xlfn.XLOOKUP($A312,'Raw Data'!$G:$G,'Raw Data'!W:W),"")</f>
        <v/>
      </c>
      <c r="L312" s="131" t="str">
        <f>IFERROR(_xlfn.XLOOKUP($A312,'Raw Data'!$G:$G,'Raw Data'!X:X),"")</f>
        <v/>
      </c>
      <c r="M312" s="131" t="str">
        <f>IFERROR(_xlfn.XLOOKUP($A312,'Raw Data'!$G:$G,'Raw Data'!Y:Y),"")</f>
        <v/>
      </c>
      <c r="N312" s="131" t="str">
        <f>IFERROR(_xlfn.XLOOKUP($A312,'Raw Data'!$G:$G,'Raw Data'!Z:Z),"")</f>
        <v/>
      </c>
      <c r="O312" s="158" t="str">
        <f>IFERROR(1-SUMIF('Plant BD'!$H:$H,$A312,'Plant BD'!AC:AC)/$F312,"")</f>
        <v/>
      </c>
      <c r="P312" s="158"/>
      <c r="Q312" s="159"/>
      <c r="R312" s="158" t="str">
        <f>IFERROR(1-SUMIF('Grid BD'!$H:$H,$A312,'Grid BD'!AB:AB)/$F312,"")</f>
        <v/>
      </c>
      <c r="T312" s="159" t="str">
        <f>IFERROR(1-SUMIF(Tracker_BD!$H:$H,$A312,Tracker_BD!AI:AI)/$F312,"")</f>
        <v/>
      </c>
      <c r="U312" s="160" t="str">
        <f t="shared" si="18"/>
        <v/>
      </c>
      <c r="V312" s="160"/>
      <c r="W312" s="161" t="str">
        <f t="shared" si="19"/>
        <v/>
      </c>
      <c r="X312" s="156" t="str">
        <f>IFERROR(_xlfn.XLOOKUP($A312,'Raw Data'!$G:$G,'Raw Data'!$AB:$AB),"")</f>
        <v/>
      </c>
      <c r="Y312" s="156" t="str">
        <f>IFERROR(_xlfn.XLOOKUP($A312,'Raw Data'!$G:$G,'Raw Data'!AC:AC),"")</f>
        <v/>
      </c>
      <c r="Z312" s="156" t="str">
        <f>IFERROR(_xlfn.XLOOKUP($A312,'Raw Data'!$G:$G,'Raw Data'!AD:AD),"")</f>
        <v/>
      </c>
      <c r="AA312" s="156" t="str">
        <f>IFERROR(_xlfn.XLOOKUP($A312,'Raw Data'!$G:$G,'Raw Data'!AE:AE),"")</f>
        <v/>
      </c>
      <c r="AB312" s="156" t="str">
        <f>IFERROR(_xlfn.XLOOKUP($A312,'Raw Data'!$G:$G,'Raw Data'!$H:$H),"")</f>
        <v/>
      </c>
      <c r="AC312" s="162">
        <f>IFERROR(_xlfn.XLOOKUP($D312,'Modelling New'!$D:$D,'Modelling New'!$P:$P),"")</f>
        <v>6.9010874285714294</v>
      </c>
      <c r="AD312" s="156">
        <f>IFERROR(_xlfn.XLOOKUP($D312,'Modelling New'!$D:$D,'Modelling New'!$T:$T)*1000,"")</f>
        <v>57320.026734881634</v>
      </c>
      <c r="AE312" s="163">
        <f>IFERROR(_xlfn.XLOOKUP($D312,'Modelling New'!$D:$D,'Modelling New'!$O:$O),"")</f>
        <v>0.70869805877547398</v>
      </c>
      <c r="AF312" s="163">
        <f>IFERROR(_xlfn.XLOOKUP($D312,'Modelling New'!$D:$D,'Modelling New'!$W:$W),"")</f>
        <v>0.20378280266951659</v>
      </c>
      <c r="AG312" s="163">
        <f>IFERROR(_xlfn.XLOOKUP($D312,'Modelling New'!$D:$D,'Modelling New'!AE:AE),"")</f>
        <v>0.995</v>
      </c>
      <c r="AH312" s="163">
        <f>IFERROR(_xlfn.XLOOKUP($D312,'Modelling New'!$D:$D,'Modelling New'!AF:AF),"")</f>
        <v>0.98550000000000004</v>
      </c>
      <c r="AN312" s="164"/>
      <c r="AO312" s="161"/>
      <c r="AP312" s="161"/>
      <c r="AQ312" s="161"/>
      <c r="AR312" s="156">
        <f>IFERROR(_xlfn.XLOOKUP($D312,'Modelling New'!$D:$D,'Modelling New'!$N:$N),"")</f>
        <v>11.72</v>
      </c>
    </row>
    <row r="313" spans="1:44">
      <c r="A313" s="155">
        <f t="shared" si="20"/>
        <v>46056</v>
      </c>
      <c r="B313" s="156">
        <f>YEAR(Table13[[#This Row],[Date]])+IF(MONTH(Table13[[#This Row],[Date]])&gt;=4,1,0)</f>
        <v>2026</v>
      </c>
      <c r="C313" s="129">
        <f>YEAR(Table13[[#This Row],[Date]])</f>
        <v>2026</v>
      </c>
      <c r="D313" s="157">
        <f>Table13[[#This Row],[Date]]-DAY(Table13[[#This Row],[Date]])+1</f>
        <v>46054</v>
      </c>
      <c r="E313" s="129">
        <f t="shared" si="17"/>
        <v>28</v>
      </c>
      <c r="F313" s="130" t="str">
        <f>IFERROR(_xlfn.XLOOKUP($A313,'Raw Data'!$G:$G,'Raw Data'!$AH:$AH),"")</f>
        <v/>
      </c>
      <c r="G313" s="131" t="str">
        <f>IFERROR(_xlfn.XLOOKUP($A313,'Raw Data'!$G:$G,'Raw Data'!$S:$S)/1000,"")</f>
        <v/>
      </c>
      <c r="H313" s="131"/>
      <c r="I313" s="131" t="str">
        <f>IFERROR(_xlfn.XLOOKUP($A313,'Raw Data'!$G:$G,'Raw Data'!$AF:$AF)/1000,"")</f>
        <v/>
      </c>
      <c r="J313" s="131"/>
      <c r="K313" s="131" t="str">
        <f>IFERROR(_xlfn.XLOOKUP($A313,'Raw Data'!$G:$G,'Raw Data'!W:W),"")</f>
        <v/>
      </c>
      <c r="L313" s="131" t="str">
        <f>IFERROR(_xlfn.XLOOKUP($A313,'Raw Data'!$G:$G,'Raw Data'!X:X),"")</f>
        <v/>
      </c>
      <c r="M313" s="131" t="str">
        <f>IFERROR(_xlfn.XLOOKUP($A313,'Raw Data'!$G:$G,'Raw Data'!Y:Y),"")</f>
        <v/>
      </c>
      <c r="N313" s="131" t="str">
        <f>IFERROR(_xlfn.XLOOKUP($A313,'Raw Data'!$G:$G,'Raw Data'!Z:Z),"")</f>
        <v/>
      </c>
      <c r="O313" s="158" t="str">
        <f>IFERROR(1-SUMIF('Plant BD'!$H:$H,$A313,'Plant BD'!AC:AC)/$F313,"")</f>
        <v/>
      </c>
      <c r="P313" s="158"/>
      <c r="Q313" s="159"/>
      <c r="R313" s="158" t="str">
        <f>IFERROR(1-SUMIF('Grid BD'!$H:$H,$A313,'Grid BD'!AB:AB)/$F313,"")</f>
        <v/>
      </c>
      <c r="T313" s="159" t="str">
        <f>IFERROR(1-SUMIF(Tracker_BD!$H:$H,$A313,Tracker_BD!AI:AI)/$F313,"")</f>
        <v/>
      </c>
      <c r="U313" s="160" t="str">
        <f t="shared" si="18"/>
        <v/>
      </c>
      <c r="V313" s="160"/>
      <c r="W313" s="161" t="str">
        <f t="shared" si="19"/>
        <v/>
      </c>
      <c r="X313" s="156" t="str">
        <f>IFERROR(_xlfn.XLOOKUP($A313,'Raw Data'!$G:$G,'Raw Data'!$AB:$AB),"")</f>
        <v/>
      </c>
      <c r="Y313" s="156" t="str">
        <f>IFERROR(_xlfn.XLOOKUP($A313,'Raw Data'!$G:$G,'Raw Data'!AC:AC),"")</f>
        <v/>
      </c>
      <c r="Z313" s="156" t="str">
        <f>IFERROR(_xlfn.XLOOKUP($A313,'Raw Data'!$G:$G,'Raw Data'!AD:AD),"")</f>
        <v/>
      </c>
      <c r="AA313" s="156" t="str">
        <f>IFERROR(_xlfn.XLOOKUP($A313,'Raw Data'!$G:$G,'Raw Data'!AE:AE),"")</f>
        <v/>
      </c>
      <c r="AB313" s="156" t="str">
        <f>IFERROR(_xlfn.XLOOKUP($A313,'Raw Data'!$G:$G,'Raw Data'!$H:$H),"")</f>
        <v/>
      </c>
      <c r="AC313" s="162">
        <f>IFERROR(_xlfn.XLOOKUP($D313,'Modelling New'!$D:$D,'Modelling New'!$P:$P),"")</f>
        <v>6.9010874285714294</v>
      </c>
      <c r="AD313" s="156">
        <f>IFERROR(_xlfn.XLOOKUP($D313,'Modelling New'!$D:$D,'Modelling New'!$T:$T)*1000,"")</f>
        <v>57320.026734881634</v>
      </c>
      <c r="AE313" s="163">
        <f>IFERROR(_xlfn.XLOOKUP($D313,'Modelling New'!$D:$D,'Modelling New'!$O:$O),"")</f>
        <v>0.70869805877547398</v>
      </c>
      <c r="AF313" s="163">
        <f>IFERROR(_xlfn.XLOOKUP($D313,'Modelling New'!$D:$D,'Modelling New'!$W:$W),"")</f>
        <v>0.20378280266951659</v>
      </c>
      <c r="AG313" s="163">
        <f>IFERROR(_xlfn.XLOOKUP($D313,'Modelling New'!$D:$D,'Modelling New'!AE:AE),"")</f>
        <v>0.995</v>
      </c>
      <c r="AH313" s="163">
        <f>IFERROR(_xlfn.XLOOKUP($D313,'Modelling New'!$D:$D,'Modelling New'!AF:AF),"")</f>
        <v>0.98550000000000004</v>
      </c>
      <c r="AN313" s="164"/>
      <c r="AO313" s="161"/>
      <c r="AP313" s="161"/>
      <c r="AQ313" s="161"/>
      <c r="AR313" s="156">
        <f>IFERROR(_xlfn.XLOOKUP($D313,'Modelling New'!$D:$D,'Modelling New'!$N:$N),"")</f>
        <v>11.72</v>
      </c>
    </row>
    <row r="314" spans="1:44">
      <c r="A314" s="155">
        <f t="shared" si="20"/>
        <v>46057</v>
      </c>
      <c r="B314" s="156">
        <f>YEAR(Table13[[#This Row],[Date]])+IF(MONTH(Table13[[#This Row],[Date]])&gt;=4,1,0)</f>
        <v>2026</v>
      </c>
      <c r="C314" s="129">
        <f>YEAR(Table13[[#This Row],[Date]])</f>
        <v>2026</v>
      </c>
      <c r="D314" s="157">
        <f>Table13[[#This Row],[Date]]-DAY(Table13[[#This Row],[Date]])+1</f>
        <v>46054</v>
      </c>
      <c r="E314" s="129">
        <f t="shared" ref="E314:E369" si="21">DAY(EOMONTH(A314,0))</f>
        <v>28</v>
      </c>
      <c r="F314" s="130" t="str">
        <f>IFERROR(_xlfn.XLOOKUP($A314,'Raw Data'!$G:$G,'Raw Data'!$AH:$AH),"")</f>
        <v/>
      </c>
      <c r="G314" s="131" t="str">
        <f>IFERROR(_xlfn.XLOOKUP($A314,'Raw Data'!$G:$G,'Raw Data'!$S:$S)/1000,"")</f>
        <v/>
      </c>
      <c r="H314" s="131"/>
      <c r="I314" s="131" t="str">
        <f>IFERROR(_xlfn.XLOOKUP($A314,'Raw Data'!$G:$G,'Raw Data'!$AF:$AF)/1000,"")</f>
        <v/>
      </c>
      <c r="J314" s="131"/>
      <c r="K314" s="131" t="str">
        <f>IFERROR(_xlfn.XLOOKUP($A314,'Raw Data'!$G:$G,'Raw Data'!W:W),"")</f>
        <v/>
      </c>
      <c r="L314" s="131" t="str">
        <f>IFERROR(_xlfn.XLOOKUP($A314,'Raw Data'!$G:$G,'Raw Data'!X:X),"")</f>
        <v/>
      </c>
      <c r="M314" s="131" t="str">
        <f>IFERROR(_xlfn.XLOOKUP($A314,'Raw Data'!$G:$G,'Raw Data'!Y:Y),"")</f>
        <v/>
      </c>
      <c r="N314" s="131" t="str">
        <f>IFERROR(_xlfn.XLOOKUP($A314,'Raw Data'!$G:$G,'Raw Data'!Z:Z),"")</f>
        <v/>
      </c>
      <c r="O314" s="158" t="str">
        <f>IFERROR(1-SUMIF('Plant BD'!$H:$H,$A314,'Plant BD'!AC:AC)/$F314,"")</f>
        <v/>
      </c>
      <c r="P314" s="158"/>
      <c r="Q314" s="159"/>
      <c r="R314" s="158" t="str">
        <f>IFERROR(1-SUMIF('Grid BD'!$H:$H,$A314,'Grid BD'!AB:AB)/$F314,"")</f>
        <v/>
      </c>
      <c r="T314" s="159" t="str">
        <f>IFERROR(1-SUMIF(Tracker_BD!$H:$H,$A314,Tracker_BD!AI:AI)/$F314,"")</f>
        <v/>
      </c>
      <c r="U314" s="160" t="str">
        <f t="shared" si="18"/>
        <v/>
      </c>
      <c r="V314" s="160"/>
      <c r="W314" s="161" t="str">
        <f t="shared" si="19"/>
        <v/>
      </c>
      <c r="X314" s="156" t="str">
        <f>IFERROR(_xlfn.XLOOKUP($A314,'Raw Data'!$G:$G,'Raw Data'!$AB:$AB),"")</f>
        <v/>
      </c>
      <c r="Y314" s="156" t="str">
        <f>IFERROR(_xlfn.XLOOKUP($A314,'Raw Data'!$G:$G,'Raw Data'!AC:AC),"")</f>
        <v/>
      </c>
      <c r="Z314" s="156" t="str">
        <f>IFERROR(_xlfn.XLOOKUP($A314,'Raw Data'!$G:$G,'Raw Data'!AD:AD),"")</f>
        <v/>
      </c>
      <c r="AA314" s="156" t="str">
        <f>IFERROR(_xlfn.XLOOKUP($A314,'Raw Data'!$G:$G,'Raw Data'!AE:AE),"")</f>
        <v/>
      </c>
      <c r="AB314" s="156" t="str">
        <f>IFERROR(_xlfn.XLOOKUP($A314,'Raw Data'!$G:$G,'Raw Data'!$H:$H),"")</f>
        <v/>
      </c>
      <c r="AC314" s="162">
        <f>IFERROR(_xlfn.XLOOKUP($D314,'Modelling New'!$D:$D,'Modelling New'!$P:$P),"")</f>
        <v>6.9010874285714294</v>
      </c>
      <c r="AD314" s="156">
        <f>IFERROR(_xlfn.XLOOKUP($D314,'Modelling New'!$D:$D,'Modelling New'!$T:$T)*1000,"")</f>
        <v>57320.026734881634</v>
      </c>
      <c r="AE314" s="163">
        <f>IFERROR(_xlfn.XLOOKUP($D314,'Modelling New'!$D:$D,'Modelling New'!$O:$O),"")</f>
        <v>0.70869805877547398</v>
      </c>
      <c r="AF314" s="163">
        <f>IFERROR(_xlfn.XLOOKUP($D314,'Modelling New'!$D:$D,'Modelling New'!$W:$W),"")</f>
        <v>0.20378280266951659</v>
      </c>
      <c r="AG314" s="163">
        <f>IFERROR(_xlfn.XLOOKUP($D314,'Modelling New'!$D:$D,'Modelling New'!AE:AE),"")</f>
        <v>0.995</v>
      </c>
      <c r="AH314" s="163">
        <f>IFERROR(_xlfn.XLOOKUP($D314,'Modelling New'!$D:$D,'Modelling New'!AF:AF),"")</f>
        <v>0.98550000000000004</v>
      </c>
      <c r="AN314" s="164"/>
      <c r="AO314" s="161"/>
      <c r="AP314" s="161"/>
      <c r="AQ314" s="161"/>
      <c r="AR314" s="156">
        <f>IFERROR(_xlfn.XLOOKUP($D314,'Modelling New'!$D:$D,'Modelling New'!$N:$N),"")</f>
        <v>11.72</v>
      </c>
    </row>
    <row r="315" spans="1:44">
      <c r="A315" s="155">
        <f t="shared" si="20"/>
        <v>46058</v>
      </c>
      <c r="B315" s="156">
        <f>YEAR(Table13[[#This Row],[Date]])+IF(MONTH(Table13[[#This Row],[Date]])&gt;=4,1,0)</f>
        <v>2026</v>
      </c>
      <c r="C315" s="129">
        <f>YEAR(Table13[[#This Row],[Date]])</f>
        <v>2026</v>
      </c>
      <c r="D315" s="157">
        <f>Table13[[#This Row],[Date]]-DAY(Table13[[#This Row],[Date]])+1</f>
        <v>46054</v>
      </c>
      <c r="E315" s="129">
        <f t="shared" si="21"/>
        <v>28</v>
      </c>
      <c r="F315" s="130" t="str">
        <f>IFERROR(_xlfn.XLOOKUP($A315,'Raw Data'!$G:$G,'Raw Data'!$AH:$AH),"")</f>
        <v/>
      </c>
      <c r="G315" s="131" t="str">
        <f>IFERROR(_xlfn.XLOOKUP($A315,'Raw Data'!$G:$G,'Raw Data'!$S:$S)/1000,"")</f>
        <v/>
      </c>
      <c r="H315" s="131"/>
      <c r="I315" s="131" t="str">
        <f>IFERROR(_xlfn.XLOOKUP($A315,'Raw Data'!$G:$G,'Raw Data'!$AF:$AF)/1000,"")</f>
        <v/>
      </c>
      <c r="J315" s="131"/>
      <c r="K315" s="131" t="str">
        <f>IFERROR(_xlfn.XLOOKUP($A315,'Raw Data'!$G:$G,'Raw Data'!W:W),"")</f>
        <v/>
      </c>
      <c r="L315" s="131" t="str">
        <f>IFERROR(_xlfn.XLOOKUP($A315,'Raw Data'!$G:$G,'Raw Data'!X:X),"")</f>
        <v/>
      </c>
      <c r="M315" s="131" t="str">
        <f>IFERROR(_xlfn.XLOOKUP($A315,'Raw Data'!$G:$G,'Raw Data'!Y:Y),"")</f>
        <v/>
      </c>
      <c r="N315" s="131" t="str">
        <f>IFERROR(_xlfn.XLOOKUP($A315,'Raw Data'!$G:$G,'Raw Data'!Z:Z),"")</f>
        <v/>
      </c>
      <c r="O315" s="158" t="str">
        <f>IFERROR(1-SUMIF('Plant BD'!$H:$H,$A315,'Plant BD'!AC:AC)/$F315,"")</f>
        <v/>
      </c>
      <c r="P315" s="158"/>
      <c r="Q315" s="159"/>
      <c r="R315" s="158" t="str">
        <f>IFERROR(1-SUMIF('Grid BD'!$H:$H,$A315,'Grid BD'!AB:AB)/$F315,"")</f>
        <v/>
      </c>
      <c r="T315" s="159" t="str">
        <f>IFERROR(1-SUMIF(Tracker_BD!$H:$H,$A315,Tracker_BD!AI:AI)/$F315,"")</f>
        <v/>
      </c>
      <c r="U315" s="160" t="str">
        <f t="shared" si="18"/>
        <v/>
      </c>
      <c r="V315" s="160"/>
      <c r="W315" s="161" t="str">
        <f t="shared" si="19"/>
        <v/>
      </c>
      <c r="X315" s="156" t="str">
        <f>IFERROR(_xlfn.XLOOKUP($A315,'Raw Data'!$G:$G,'Raw Data'!$AB:$AB),"")</f>
        <v/>
      </c>
      <c r="Y315" s="156" t="str">
        <f>IFERROR(_xlfn.XLOOKUP($A315,'Raw Data'!$G:$G,'Raw Data'!AC:AC),"")</f>
        <v/>
      </c>
      <c r="Z315" s="156" t="str">
        <f>IFERROR(_xlfn.XLOOKUP($A315,'Raw Data'!$G:$G,'Raw Data'!AD:AD),"")</f>
        <v/>
      </c>
      <c r="AA315" s="156" t="str">
        <f>IFERROR(_xlfn.XLOOKUP($A315,'Raw Data'!$G:$G,'Raw Data'!AE:AE),"")</f>
        <v/>
      </c>
      <c r="AB315" s="156" t="str">
        <f>IFERROR(_xlfn.XLOOKUP($A315,'Raw Data'!$G:$G,'Raw Data'!$H:$H),"")</f>
        <v/>
      </c>
      <c r="AC315" s="162">
        <f>IFERROR(_xlfn.XLOOKUP($D315,'Modelling New'!$D:$D,'Modelling New'!$P:$P),"")</f>
        <v>6.9010874285714294</v>
      </c>
      <c r="AD315" s="156">
        <f>IFERROR(_xlfn.XLOOKUP($D315,'Modelling New'!$D:$D,'Modelling New'!$T:$T)*1000,"")</f>
        <v>57320.026734881634</v>
      </c>
      <c r="AE315" s="163">
        <f>IFERROR(_xlfn.XLOOKUP($D315,'Modelling New'!$D:$D,'Modelling New'!$O:$O),"")</f>
        <v>0.70869805877547398</v>
      </c>
      <c r="AF315" s="163">
        <f>IFERROR(_xlfn.XLOOKUP($D315,'Modelling New'!$D:$D,'Modelling New'!$W:$W),"")</f>
        <v>0.20378280266951659</v>
      </c>
      <c r="AG315" s="163">
        <f>IFERROR(_xlfn.XLOOKUP($D315,'Modelling New'!$D:$D,'Modelling New'!AE:AE),"")</f>
        <v>0.995</v>
      </c>
      <c r="AH315" s="163">
        <f>IFERROR(_xlfn.XLOOKUP($D315,'Modelling New'!$D:$D,'Modelling New'!AF:AF),"")</f>
        <v>0.98550000000000004</v>
      </c>
      <c r="AN315" s="164"/>
      <c r="AO315" s="161"/>
      <c r="AP315" s="161"/>
      <c r="AQ315" s="161"/>
      <c r="AR315" s="156">
        <f>IFERROR(_xlfn.XLOOKUP($D315,'Modelling New'!$D:$D,'Modelling New'!$N:$N),"")</f>
        <v>11.72</v>
      </c>
    </row>
    <row r="316" spans="1:44">
      <c r="A316" s="155">
        <f t="shared" si="20"/>
        <v>46059</v>
      </c>
      <c r="B316" s="156">
        <f>YEAR(Table13[[#This Row],[Date]])+IF(MONTH(Table13[[#This Row],[Date]])&gt;=4,1,0)</f>
        <v>2026</v>
      </c>
      <c r="C316" s="129">
        <f>YEAR(Table13[[#This Row],[Date]])</f>
        <v>2026</v>
      </c>
      <c r="D316" s="157">
        <f>Table13[[#This Row],[Date]]-DAY(Table13[[#This Row],[Date]])+1</f>
        <v>46054</v>
      </c>
      <c r="E316" s="129">
        <f t="shared" si="21"/>
        <v>28</v>
      </c>
      <c r="F316" s="130" t="str">
        <f>IFERROR(_xlfn.XLOOKUP($A316,'Raw Data'!$G:$G,'Raw Data'!$AH:$AH),"")</f>
        <v/>
      </c>
      <c r="G316" s="131" t="str">
        <f>IFERROR(_xlfn.XLOOKUP($A316,'Raw Data'!$G:$G,'Raw Data'!$S:$S)/1000,"")</f>
        <v/>
      </c>
      <c r="H316" s="131"/>
      <c r="I316" s="131" t="str">
        <f>IFERROR(_xlfn.XLOOKUP($A316,'Raw Data'!$G:$G,'Raw Data'!$AF:$AF)/1000,"")</f>
        <v/>
      </c>
      <c r="J316" s="131"/>
      <c r="K316" s="131" t="str">
        <f>IFERROR(_xlfn.XLOOKUP($A316,'Raw Data'!$G:$G,'Raw Data'!W:W),"")</f>
        <v/>
      </c>
      <c r="L316" s="131" t="str">
        <f>IFERROR(_xlfn.XLOOKUP($A316,'Raw Data'!$G:$G,'Raw Data'!X:X),"")</f>
        <v/>
      </c>
      <c r="M316" s="131" t="str">
        <f>IFERROR(_xlfn.XLOOKUP($A316,'Raw Data'!$G:$G,'Raw Data'!Y:Y),"")</f>
        <v/>
      </c>
      <c r="N316" s="131" t="str">
        <f>IFERROR(_xlfn.XLOOKUP($A316,'Raw Data'!$G:$G,'Raw Data'!Z:Z),"")</f>
        <v/>
      </c>
      <c r="O316" s="158" t="str">
        <f>IFERROR(1-SUMIF('Plant BD'!$H:$H,$A316,'Plant BD'!AC:AC)/$F316,"")</f>
        <v/>
      </c>
      <c r="P316" s="158"/>
      <c r="Q316" s="159"/>
      <c r="R316" s="158" t="str">
        <f>IFERROR(1-SUMIF('Grid BD'!$H:$H,$A316,'Grid BD'!AB:AB)/$F316,"")</f>
        <v/>
      </c>
      <c r="T316" s="159" t="str">
        <f>IFERROR(1-SUMIF(Tracker_BD!$H:$H,$A316,Tracker_BD!AI:AI)/$F316,"")</f>
        <v/>
      </c>
      <c r="U316" s="160" t="str">
        <f t="shared" si="18"/>
        <v/>
      </c>
      <c r="V316" s="160"/>
      <c r="W316" s="161" t="str">
        <f t="shared" si="19"/>
        <v/>
      </c>
      <c r="X316" s="156" t="str">
        <f>IFERROR(_xlfn.XLOOKUP($A316,'Raw Data'!$G:$G,'Raw Data'!$AB:$AB),"")</f>
        <v/>
      </c>
      <c r="Y316" s="156" t="str">
        <f>IFERROR(_xlfn.XLOOKUP($A316,'Raw Data'!$G:$G,'Raw Data'!AC:AC),"")</f>
        <v/>
      </c>
      <c r="Z316" s="156" t="str">
        <f>IFERROR(_xlfn.XLOOKUP($A316,'Raw Data'!$G:$G,'Raw Data'!AD:AD),"")</f>
        <v/>
      </c>
      <c r="AA316" s="156" t="str">
        <f>IFERROR(_xlfn.XLOOKUP($A316,'Raw Data'!$G:$G,'Raw Data'!AE:AE),"")</f>
        <v/>
      </c>
      <c r="AB316" s="156" t="str">
        <f>IFERROR(_xlfn.XLOOKUP($A316,'Raw Data'!$G:$G,'Raw Data'!$H:$H),"")</f>
        <v/>
      </c>
      <c r="AC316" s="162">
        <f>IFERROR(_xlfn.XLOOKUP($D316,'Modelling New'!$D:$D,'Modelling New'!$P:$P),"")</f>
        <v>6.9010874285714294</v>
      </c>
      <c r="AD316" s="156">
        <f>IFERROR(_xlfn.XLOOKUP($D316,'Modelling New'!$D:$D,'Modelling New'!$T:$T)*1000,"")</f>
        <v>57320.026734881634</v>
      </c>
      <c r="AE316" s="163">
        <f>IFERROR(_xlfn.XLOOKUP($D316,'Modelling New'!$D:$D,'Modelling New'!$O:$O),"")</f>
        <v>0.70869805877547398</v>
      </c>
      <c r="AF316" s="163">
        <f>IFERROR(_xlfn.XLOOKUP($D316,'Modelling New'!$D:$D,'Modelling New'!$W:$W),"")</f>
        <v>0.20378280266951659</v>
      </c>
      <c r="AG316" s="163">
        <f>IFERROR(_xlfn.XLOOKUP($D316,'Modelling New'!$D:$D,'Modelling New'!AE:AE),"")</f>
        <v>0.995</v>
      </c>
      <c r="AH316" s="163">
        <f>IFERROR(_xlfn.XLOOKUP($D316,'Modelling New'!$D:$D,'Modelling New'!AF:AF),"")</f>
        <v>0.98550000000000004</v>
      </c>
      <c r="AN316" s="164"/>
      <c r="AO316" s="161"/>
      <c r="AP316" s="161"/>
      <c r="AQ316" s="161"/>
      <c r="AR316" s="156">
        <f>IFERROR(_xlfn.XLOOKUP($D316,'Modelling New'!$D:$D,'Modelling New'!$N:$N),"")</f>
        <v>11.72</v>
      </c>
    </row>
    <row r="317" spans="1:44">
      <c r="A317" s="155">
        <f t="shared" si="20"/>
        <v>46060</v>
      </c>
      <c r="B317" s="156">
        <f>YEAR(Table13[[#This Row],[Date]])+IF(MONTH(Table13[[#This Row],[Date]])&gt;=4,1,0)</f>
        <v>2026</v>
      </c>
      <c r="C317" s="129">
        <f>YEAR(Table13[[#This Row],[Date]])</f>
        <v>2026</v>
      </c>
      <c r="D317" s="157">
        <f>Table13[[#This Row],[Date]]-DAY(Table13[[#This Row],[Date]])+1</f>
        <v>46054</v>
      </c>
      <c r="E317" s="129">
        <f t="shared" si="21"/>
        <v>28</v>
      </c>
      <c r="F317" s="130" t="str">
        <f>IFERROR(_xlfn.XLOOKUP($A317,'Raw Data'!$G:$G,'Raw Data'!$AH:$AH),"")</f>
        <v/>
      </c>
      <c r="G317" s="131" t="str">
        <f>IFERROR(_xlfn.XLOOKUP($A317,'Raw Data'!$G:$G,'Raw Data'!$S:$S)/1000,"")</f>
        <v/>
      </c>
      <c r="H317" s="131"/>
      <c r="I317" s="131" t="str">
        <f>IFERROR(_xlfn.XLOOKUP($A317,'Raw Data'!$G:$G,'Raw Data'!$AF:$AF)/1000,"")</f>
        <v/>
      </c>
      <c r="J317" s="131"/>
      <c r="K317" s="131" t="str">
        <f>IFERROR(_xlfn.XLOOKUP($A317,'Raw Data'!$G:$G,'Raw Data'!W:W),"")</f>
        <v/>
      </c>
      <c r="L317" s="131" t="str">
        <f>IFERROR(_xlfn.XLOOKUP($A317,'Raw Data'!$G:$G,'Raw Data'!X:X),"")</f>
        <v/>
      </c>
      <c r="M317" s="131" t="str">
        <f>IFERROR(_xlfn.XLOOKUP($A317,'Raw Data'!$G:$G,'Raw Data'!Y:Y),"")</f>
        <v/>
      </c>
      <c r="N317" s="131" t="str">
        <f>IFERROR(_xlfn.XLOOKUP($A317,'Raw Data'!$G:$G,'Raw Data'!Z:Z),"")</f>
        <v/>
      </c>
      <c r="O317" s="158" t="str">
        <f>IFERROR(1-SUMIF('Plant BD'!$H:$H,$A317,'Plant BD'!AC:AC)/$F317,"")</f>
        <v/>
      </c>
      <c r="P317" s="158"/>
      <c r="Q317" s="159"/>
      <c r="R317" s="158" t="str">
        <f>IFERROR(1-SUMIF('Grid BD'!$H:$H,$A317,'Grid BD'!AB:AB)/$F317,"")</f>
        <v/>
      </c>
      <c r="T317" s="159" t="str">
        <f>IFERROR(1-SUMIF(Tracker_BD!$H:$H,$A317,Tracker_BD!AI:AI)/$F317,"")</f>
        <v/>
      </c>
      <c r="U317" s="160" t="str">
        <f t="shared" ref="U317:U369" si="22">IFERROR(AA317/I317/AB317/1000,"")</f>
        <v/>
      </c>
      <c r="V317" s="160"/>
      <c r="W317" s="161" t="str">
        <f t="shared" ref="W317:W369" si="23">IFERROR(AA317/(24*AR317*1000),"")</f>
        <v/>
      </c>
      <c r="X317" s="156" t="str">
        <f>IFERROR(_xlfn.XLOOKUP($A317,'Raw Data'!$G:$G,'Raw Data'!$AB:$AB),"")</f>
        <v/>
      </c>
      <c r="Y317" s="156" t="str">
        <f>IFERROR(_xlfn.XLOOKUP($A317,'Raw Data'!$G:$G,'Raw Data'!AC:AC),"")</f>
        <v/>
      </c>
      <c r="Z317" s="156" t="str">
        <f>IFERROR(_xlfn.XLOOKUP($A317,'Raw Data'!$G:$G,'Raw Data'!AD:AD),"")</f>
        <v/>
      </c>
      <c r="AA317" s="156" t="str">
        <f>IFERROR(_xlfn.XLOOKUP($A317,'Raw Data'!$G:$G,'Raw Data'!AE:AE),"")</f>
        <v/>
      </c>
      <c r="AB317" s="156" t="str">
        <f>IFERROR(_xlfn.XLOOKUP($A317,'Raw Data'!$G:$G,'Raw Data'!$H:$H),"")</f>
        <v/>
      </c>
      <c r="AC317" s="162">
        <f>IFERROR(_xlfn.XLOOKUP($D317,'Modelling New'!$D:$D,'Modelling New'!$P:$P),"")</f>
        <v>6.9010874285714294</v>
      </c>
      <c r="AD317" s="156">
        <f>IFERROR(_xlfn.XLOOKUP($D317,'Modelling New'!$D:$D,'Modelling New'!$T:$T)*1000,"")</f>
        <v>57320.026734881634</v>
      </c>
      <c r="AE317" s="163">
        <f>IFERROR(_xlfn.XLOOKUP($D317,'Modelling New'!$D:$D,'Modelling New'!$O:$O),"")</f>
        <v>0.70869805877547398</v>
      </c>
      <c r="AF317" s="163">
        <f>IFERROR(_xlfn.XLOOKUP($D317,'Modelling New'!$D:$D,'Modelling New'!$W:$W),"")</f>
        <v>0.20378280266951659</v>
      </c>
      <c r="AG317" s="163">
        <f>IFERROR(_xlfn.XLOOKUP($D317,'Modelling New'!$D:$D,'Modelling New'!AE:AE),"")</f>
        <v>0.995</v>
      </c>
      <c r="AH317" s="163">
        <f>IFERROR(_xlfn.XLOOKUP($D317,'Modelling New'!$D:$D,'Modelling New'!AF:AF),"")</f>
        <v>0.98550000000000004</v>
      </c>
      <c r="AN317" s="164"/>
      <c r="AO317" s="161"/>
      <c r="AP317" s="161"/>
      <c r="AQ317" s="161"/>
      <c r="AR317" s="156">
        <f>IFERROR(_xlfn.XLOOKUP($D317,'Modelling New'!$D:$D,'Modelling New'!$N:$N),"")</f>
        <v>11.72</v>
      </c>
    </row>
    <row r="318" spans="1:44">
      <c r="A318" s="155">
        <f t="shared" si="20"/>
        <v>46061</v>
      </c>
      <c r="B318" s="156">
        <f>YEAR(Table13[[#This Row],[Date]])+IF(MONTH(Table13[[#This Row],[Date]])&gt;=4,1,0)</f>
        <v>2026</v>
      </c>
      <c r="C318" s="129">
        <f>YEAR(Table13[[#This Row],[Date]])</f>
        <v>2026</v>
      </c>
      <c r="D318" s="157">
        <f>Table13[[#This Row],[Date]]-DAY(Table13[[#This Row],[Date]])+1</f>
        <v>46054</v>
      </c>
      <c r="E318" s="129">
        <f t="shared" si="21"/>
        <v>28</v>
      </c>
      <c r="F318" s="130" t="str">
        <f>IFERROR(_xlfn.XLOOKUP($A318,'Raw Data'!$G:$G,'Raw Data'!$AH:$AH),"")</f>
        <v/>
      </c>
      <c r="G318" s="131" t="str">
        <f>IFERROR(_xlfn.XLOOKUP($A318,'Raw Data'!$G:$G,'Raw Data'!$S:$S)/1000,"")</f>
        <v/>
      </c>
      <c r="H318" s="131"/>
      <c r="I318" s="131" t="str">
        <f>IFERROR(_xlfn.XLOOKUP($A318,'Raw Data'!$G:$G,'Raw Data'!$AF:$AF)/1000,"")</f>
        <v/>
      </c>
      <c r="J318" s="131"/>
      <c r="K318" s="131" t="str">
        <f>IFERROR(_xlfn.XLOOKUP($A318,'Raw Data'!$G:$G,'Raw Data'!W:W),"")</f>
        <v/>
      </c>
      <c r="L318" s="131" t="str">
        <f>IFERROR(_xlfn.XLOOKUP($A318,'Raw Data'!$G:$G,'Raw Data'!X:X),"")</f>
        <v/>
      </c>
      <c r="M318" s="131" t="str">
        <f>IFERROR(_xlfn.XLOOKUP($A318,'Raw Data'!$G:$G,'Raw Data'!Y:Y),"")</f>
        <v/>
      </c>
      <c r="N318" s="131" t="str">
        <f>IFERROR(_xlfn.XLOOKUP($A318,'Raw Data'!$G:$G,'Raw Data'!Z:Z),"")</f>
        <v/>
      </c>
      <c r="O318" s="158" t="str">
        <f>IFERROR(1-SUMIF('Plant BD'!$H:$H,$A318,'Plant BD'!AC:AC)/$F318,"")</f>
        <v/>
      </c>
      <c r="P318" s="158"/>
      <c r="Q318" s="159"/>
      <c r="R318" s="158" t="str">
        <f>IFERROR(1-SUMIF('Grid BD'!$H:$H,$A318,'Grid BD'!AB:AB)/$F318,"")</f>
        <v/>
      </c>
      <c r="T318" s="159" t="str">
        <f>IFERROR(1-SUMIF(Tracker_BD!$H:$H,$A318,Tracker_BD!AI:AI)/$F318,"")</f>
        <v/>
      </c>
      <c r="U318" s="160" t="str">
        <f t="shared" si="22"/>
        <v/>
      </c>
      <c r="V318" s="160"/>
      <c r="W318" s="161" t="str">
        <f t="shared" si="23"/>
        <v/>
      </c>
      <c r="X318" s="156" t="str">
        <f>IFERROR(_xlfn.XLOOKUP($A318,'Raw Data'!$G:$G,'Raw Data'!$AB:$AB),"")</f>
        <v/>
      </c>
      <c r="Y318" s="156" t="str">
        <f>IFERROR(_xlfn.XLOOKUP($A318,'Raw Data'!$G:$G,'Raw Data'!AC:AC),"")</f>
        <v/>
      </c>
      <c r="Z318" s="156" t="str">
        <f>IFERROR(_xlfn.XLOOKUP($A318,'Raw Data'!$G:$G,'Raw Data'!AD:AD),"")</f>
        <v/>
      </c>
      <c r="AA318" s="156" t="str">
        <f>IFERROR(_xlfn.XLOOKUP($A318,'Raw Data'!$G:$G,'Raw Data'!AE:AE),"")</f>
        <v/>
      </c>
      <c r="AB318" s="156" t="str">
        <f>IFERROR(_xlfn.XLOOKUP($A318,'Raw Data'!$G:$G,'Raw Data'!$H:$H),"")</f>
        <v/>
      </c>
      <c r="AC318" s="162">
        <f>IFERROR(_xlfn.XLOOKUP($D318,'Modelling New'!$D:$D,'Modelling New'!$P:$P),"")</f>
        <v>6.9010874285714294</v>
      </c>
      <c r="AD318" s="156">
        <f>IFERROR(_xlfn.XLOOKUP($D318,'Modelling New'!$D:$D,'Modelling New'!$T:$T)*1000,"")</f>
        <v>57320.026734881634</v>
      </c>
      <c r="AE318" s="163">
        <f>IFERROR(_xlfn.XLOOKUP($D318,'Modelling New'!$D:$D,'Modelling New'!$O:$O),"")</f>
        <v>0.70869805877547398</v>
      </c>
      <c r="AF318" s="163">
        <f>IFERROR(_xlfn.XLOOKUP($D318,'Modelling New'!$D:$D,'Modelling New'!$W:$W),"")</f>
        <v>0.20378280266951659</v>
      </c>
      <c r="AG318" s="163">
        <f>IFERROR(_xlfn.XLOOKUP($D318,'Modelling New'!$D:$D,'Modelling New'!AE:AE),"")</f>
        <v>0.995</v>
      </c>
      <c r="AH318" s="163">
        <f>IFERROR(_xlfn.XLOOKUP($D318,'Modelling New'!$D:$D,'Modelling New'!AF:AF),"")</f>
        <v>0.98550000000000004</v>
      </c>
      <c r="AN318" s="164"/>
      <c r="AO318" s="161"/>
      <c r="AP318" s="161"/>
      <c r="AQ318" s="161"/>
      <c r="AR318" s="156">
        <f>IFERROR(_xlfn.XLOOKUP($D318,'Modelling New'!$D:$D,'Modelling New'!$N:$N),"")</f>
        <v>11.72</v>
      </c>
    </row>
    <row r="319" spans="1:44">
      <c r="A319" s="155">
        <f t="shared" ref="A319:A369" si="24">A318+1</f>
        <v>46062</v>
      </c>
      <c r="B319" s="156">
        <f>YEAR(Table13[[#This Row],[Date]])+IF(MONTH(Table13[[#This Row],[Date]])&gt;=4,1,0)</f>
        <v>2026</v>
      </c>
      <c r="C319" s="129">
        <f>YEAR(Table13[[#This Row],[Date]])</f>
        <v>2026</v>
      </c>
      <c r="D319" s="157">
        <f>Table13[[#This Row],[Date]]-DAY(Table13[[#This Row],[Date]])+1</f>
        <v>46054</v>
      </c>
      <c r="E319" s="129">
        <f t="shared" si="21"/>
        <v>28</v>
      </c>
      <c r="F319" s="130" t="str">
        <f>IFERROR(_xlfn.XLOOKUP($A319,'Raw Data'!$G:$G,'Raw Data'!$AH:$AH),"")</f>
        <v/>
      </c>
      <c r="G319" s="131" t="str">
        <f>IFERROR(_xlfn.XLOOKUP($A319,'Raw Data'!$G:$G,'Raw Data'!$S:$S)/1000,"")</f>
        <v/>
      </c>
      <c r="H319" s="131"/>
      <c r="I319" s="131" t="str">
        <f>IFERROR(_xlfn.XLOOKUP($A319,'Raw Data'!$G:$G,'Raw Data'!$AF:$AF)/1000,"")</f>
        <v/>
      </c>
      <c r="J319" s="131"/>
      <c r="K319" s="131" t="str">
        <f>IFERROR(_xlfn.XLOOKUP($A319,'Raw Data'!$G:$G,'Raw Data'!W:W),"")</f>
        <v/>
      </c>
      <c r="L319" s="131" t="str">
        <f>IFERROR(_xlfn.XLOOKUP($A319,'Raw Data'!$G:$G,'Raw Data'!X:X),"")</f>
        <v/>
      </c>
      <c r="M319" s="131" t="str">
        <f>IFERROR(_xlfn.XLOOKUP($A319,'Raw Data'!$G:$G,'Raw Data'!Y:Y),"")</f>
        <v/>
      </c>
      <c r="N319" s="131" t="str">
        <f>IFERROR(_xlfn.XLOOKUP($A319,'Raw Data'!$G:$G,'Raw Data'!Z:Z),"")</f>
        <v/>
      </c>
      <c r="O319" s="158" t="str">
        <f>IFERROR(1-SUMIF('Plant BD'!$H:$H,$A319,'Plant BD'!AC:AC)/$F319,"")</f>
        <v/>
      </c>
      <c r="P319" s="158"/>
      <c r="Q319" s="159"/>
      <c r="R319" s="158" t="str">
        <f>IFERROR(1-SUMIF('Grid BD'!$H:$H,$A319,'Grid BD'!AB:AB)/$F319,"")</f>
        <v/>
      </c>
      <c r="T319" s="159" t="str">
        <f>IFERROR(1-SUMIF(Tracker_BD!$H:$H,$A319,Tracker_BD!AI:AI)/$F319,"")</f>
        <v/>
      </c>
      <c r="U319" s="160" t="str">
        <f t="shared" si="22"/>
        <v/>
      </c>
      <c r="V319" s="160"/>
      <c r="W319" s="161" t="str">
        <f t="shared" si="23"/>
        <v/>
      </c>
      <c r="X319" s="156" t="str">
        <f>IFERROR(_xlfn.XLOOKUP($A319,'Raw Data'!$G:$G,'Raw Data'!$AB:$AB),"")</f>
        <v/>
      </c>
      <c r="Y319" s="156" t="str">
        <f>IFERROR(_xlfn.XLOOKUP($A319,'Raw Data'!$G:$G,'Raw Data'!AC:AC),"")</f>
        <v/>
      </c>
      <c r="Z319" s="156" t="str">
        <f>IFERROR(_xlfn.XLOOKUP($A319,'Raw Data'!$G:$G,'Raw Data'!AD:AD),"")</f>
        <v/>
      </c>
      <c r="AA319" s="156" t="str">
        <f>IFERROR(_xlfn.XLOOKUP($A319,'Raw Data'!$G:$G,'Raw Data'!AE:AE),"")</f>
        <v/>
      </c>
      <c r="AB319" s="156" t="str">
        <f>IFERROR(_xlfn.XLOOKUP($A319,'Raw Data'!$G:$G,'Raw Data'!$H:$H),"")</f>
        <v/>
      </c>
      <c r="AC319" s="162">
        <f>IFERROR(_xlfn.XLOOKUP($D319,'Modelling New'!$D:$D,'Modelling New'!$P:$P),"")</f>
        <v>6.9010874285714294</v>
      </c>
      <c r="AD319" s="156">
        <f>IFERROR(_xlfn.XLOOKUP($D319,'Modelling New'!$D:$D,'Modelling New'!$T:$T)*1000,"")</f>
        <v>57320.026734881634</v>
      </c>
      <c r="AE319" s="163">
        <f>IFERROR(_xlfn.XLOOKUP($D319,'Modelling New'!$D:$D,'Modelling New'!$O:$O),"")</f>
        <v>0.70869805877547398</v>
      </c>
      <c r="AF319" s="163">
        <f>IFERROR(_xlfn.XLOOKUP($D319,'Modelling New'!$D:$D,'Modelling New'!$W:$W),"")</f>
        <v>0.20378280266951659</v>
      </c>
      <c r="AG319" s="163">
        <f>IFERROR(_xlfn.XLOOKUP($D319,'Modelling New'!$D:$D,'Modelling New'!AE:AE),"")</f>
        <v>0.995</v>
      </c>
      <c r="AH319" s="163">
        <f>IFERROR(_xlfn.XLOOKUP($D319,'Modelling New'!$D:$D,'Modelling New'!AF:AF),"")</f>
        <v>0.98550000000000004</v>
      </c>
      <c r="AN319" s="164"/>
      <c r="AO319" s="161"/>
      <c r="AP319" s="161"/>
      <c r="AQ319" s="161"/>
      <c r="AR319" s="156">
        <f>IFERROR(_xlfn.XLOOKUP($D319,'Modelling New'!$D:$D,'Modelling New'!$N:$N),"")</f>
        <v>11.72</v>
      </c>
    </row>
    <row r="320" spans="1:44">
      <c r="A320" s="155">
        <f t="shared" si="24"/>
        <v>46063</v>
      </c>
      <c r="B320" s="156">
        <f>YEAR(Table13[[#This Row],[Date]])+IF(MONTH(Table13[[#This Row],[Date]])&gt;=4,1,0)</f>
        <v>2026</v>
      </c>
      <c r="C320" s="129">
        <f>YEAR(Table13[[#This Row],[Date]])</f>
        <v>2026</v>
      </c>
      <c r="D320" s="157">
        <f>Table13[[#This Row],[Date]]-DAY(Table13[[#This Row],[Date]])+1</f>
        <v>46054</v>
      </c>
      <c r="E320" s="129">
        <f t="shared" si="21"/>
        <v>28</v>
      </c>
      <c r="F320" s="130" t="str">
        <f>IFERROR(_xlfn.XLOOKUP($A320,'Raw Data'!$G:$G,'Raw Data'!$AH:$AH),"")</f>
        <v/>
      </c>
      <c r="G320" s="131" t="str">
        <f>IFERROR(_xlfn.XLOOKUP($A320,'Raw Data'!$G:$G,'Raw Data'!$S:$S)/1000,"")</f>
        <v/>
      </c>
      <c r="H320" s="131"/>
      <c r="I320" s="131" t="str">
        <f>IFERROR(_xlfn.XLOOKUP($A320,'Raw Data'!$G:$G,'Raw Data'!$AF:$AF)/1000,"")</f>
        <v/>
      </c>
      <c r="J320" s="131"/>
      <c r="K320" s="131" t="str">
        <f>IFERROR(_xlfn.XLOOKUP($A320,'Raw Data'!$G:$G,'Raw Data'!W:W),"")</f>
        <v/>
      </c>
      <c r="L320" s="131" t="str">
        <f>IFERROR(_xlfn.XLOOKUP($A320,'Raw Data'!$G:$G,'Raw Data'!X:X),"")</f>
        <v/>
      </c>
      <c r="M320" s="131" t="str">
        <f>IFERROR(_xlfn.XLOOKUP($A320,'Raw Data'!$G:$G,'Raw Data'!Y:Y),"")</f>
        <v/>
      </c>
      <c r="N320" s="131" t="str">
        <f>IFERROR(_xlfn.XLOOKUP($A320,'Raw Data'!$G:$G,'Raw Data'!Z:Z),"")</f>
        <v/>
      </c>
      <c r="O320" s="158" t="str">
        <f>IFERROR(1-SUMIF('Plant BD'!$H:$H,$A320,'Plant BD'!AC:AC)/$F320,"")</f>
        <v/>
      </c>
      <c r="P320" s="158"/>
      <c r="Q320" s="159"/>
      <c r="R320" s="158" t="str">
        <f>IFERROR(1-SUMIF('Grid BD'!$H:$H,$A320,'Grid BD'!AB:AB)/$F320,"")</f>
        <v/>
      </c>
      <c r="T320" s="159" t="str">
        <f>IFERROR(1-SUMIF(Tracker_BD!$H:$H,$A320,Tracker_BD!AI:AI)/$F320,"")</f>
        <v/>
      </c>
      <c r="U320" s="160" t="str">
        <f t="shared" si="22"/>
        <v/>
      </c>
      <c r="V320" s="160"/>
      <c r="W320" s="161" t="str">
        <f t="shared" si="23"/>
        <v/>
      </c>
      <c r="X320" s="156" t="str">
        <f>IFERROR(_xlfn.XLOOKUP($A320,'Raw Data'!$G:$G,'Raw Data'!$AB:$AB),"")</f>
        <v/>
      </c>
      <c r="Y320" s="156" t="str">
        <f>IFERROR(_xlfn.XLOOKUP($A320,'Raw Data'!$G:$G,'Raw Data'!AC:AC),"")</f>
        <v/>
      </c>
      <c r="Z320" s="156" t="str">
        <f>IFERROR(_xlfn.XLOOKUP($A320,'Raw Data'!$G:$G,'Raw Data'!AD:AD),"")</f>
        <v/>
      </c>
      <c r="AA320" s="156" t="str">
        <f>IFERROR(_xlfn.XLOOKUP($A320,'Raw Data'!$G:$G,'Raw Data'!AE:AE),"")</f>
        <v/>
      </c>
      <c r="AB320" s="156" t="str">
        <f>IFERROR(_xlfn.XLOOKUP($A320,'Raw Data'!$G:$G,'Raw Data'!$H:$H),"")</f>
        <v/>
      </c>
      <c r="AC320" s="162">
        <f>IFERROR(_xlfn.XLOOKUP($D320,'Modelling New'!$D:$D,'Modelling New'!$P:$P),"")</f>
        <v>6.9010874285714294</v>
      </c>
      <c r="AD320" s="156">
        <f>IFERROR(_xlfn.XLOOKUP($D320,'Modelling New'!$D:$D,'Modelling New'!$T:$T)*1000,"")</f>
        <v>57320.026734881634</v>
      </c>
      <c r="AE320" s="163">
        <f>IFERROR(_xlfn.XLOOKUP($D320,'Modelling New'!$D:$D,'Modelling New'!$O:$O),"")</f>
        <v>0.70869805877547398</v>
      </c>
      <c r="AF320" s="163">
        <f>IFERROR(_xlfn.XLOOKUP($D320,'Modelling New'!$D:$D,'Modelling New'!$W:$W),"")</f>
        <v>0.20378280266951659</v>
      </c>
      <c r="AG320" s="163">
        <f>IFERROR(_xlfn.XLOOKUP($D320,'Modelling New'!$D:$D,'Modelling New'!AE:AE),"")</f>
        <v>0.995</v>
      </c>
      <c r="AH320" s="163">
        <f>IFERROR(_xlfn.XLOOKUP($D320,'Modelling New'!$D:$D,'Modelling New'!AF:AF),"")</f>
        <v>0.98550000000000004</v>
      </c>
      <c r="AN320" s="164"/>
      <c r="AO320" s="161"/>
      <c r="AP320" s="161"/>
      <c r="AQ320" s="161"/>
      <c r="AR320" s="156">
        <f>IFERROR(_xlfn.XLOOKUP($D320,'Modelling New'!$D:$D,'Modelling New'!$N:$N),"")</f>
        <v>11.72</v>
      </c>
    </row>
    <row r="321" spans="1:44">
      <c r="A321" s="155">
        <f t="shared" si="24"/>
        <v>46064</v>
      </c>
      <c r="B321" s="156">
        <f>YEAR(Table13[[#This Row],[Date]])+IF(MONTH(Table13[[#This Row],[Date]])&gt;=4,1,0)</f>
        <v>2026</v>
      </c>
      <c r="C321" s="129">
        <f>YEAR(Table13[[#This Row],[Date]])</f>
        <v>2026</v>
      </c>
      <c r="D321" s="157">
        <f>Table13[[#This Row],[Date]]-DAY(Table13[[#This Row],[Date]])+1</f>
        <v>46054</v>
      </c>
      <c r="E321" s="129">
        <f t="shared" si="21"/>
        <v>28</v>
      </c>
      <c r="F321" s="130" t="str">
        <f>IFERROR(_xlfn.XLOOKUP($A321,'Raw Data'!$G:$G,'Raw Data'!$AH:$AH),"")</f>
        <v/>
      </c>
      <c r="G321" s="131" t="str">
        <f>IFERROR(_xlfn.XLOOKUP($A321,'Raw Data'!$G:$G,'Raw Data'!$S:$S)/1000,"")</f>
        <v/>
      </c>
      <c r="H321" s="131"/>
      <c r="I321" s="131" t="str">
        <f>IFERROR(_xlfn.XLOOKUP($A321,'Raw Data'!$G:$G,'Raw Data'!$AF:$AF)/1000,"")</f>
        <v/>
      </c>
      <c r="J321" s="131"/>
      <c r="K321" s="131" t="str">
        <f>IFERROR(_xlfn.XLOOKUP($A321,'Raw Data'!$G:$G,'Raw Data'!W:W),"")</f>
        <v/>
      </c>
      <c r="L321" s="131" t="str">
        <f>IFERROR(_xlfn.XLOOKUP($A321,'Raw Data'!$G:$G,'Raw Data'!X:X),"")</f>
        <v/>
      </c>
      <c r="M321" s="131" t="str">
        <f>IFERROR(_xlfn.XLOOKUP($A321,'Raw Data'!$G:$G,'Raw Data'!Y:Y),"")</f>
        <v/>
      </c>
      <c r="N321" s="131" t="str">
        <f>IFERROR(_xlfn.XLOOKUP($A321,'Raw Data'!$G:$G,'Raw Data'!Z:Z),"")</f>
        <v/>
      </c>
      <c r="O321" s="158" t="str">
        <f>IFERROR(1-SUMIF('Plant BD'!$H:$H,$A321,'Plant BD'!AC:AC)/$F321,"")</f>
        <v/>
      </c>
      <c r="P321" s="158"/>
      <c r="Q321" s="159"/>
      <c r="R321" s="158" t="str">
        <f>IFERROR(1-SUMIF('Grid BD'!$H:$H,$A321,'Grid BD'!AB:AB)/$F321,"")</f>
        <v/>
      </c>
      <c r="T321" s="159" t="str">
        <f>IFERROR(1-SUMIF(Tracker_BD!$H:$H,$A321,Tracker_BD!AI:AI)/$F321,"")</f>
        <v/>
      </c>
      <c r="U321" s="160" t="str">
        <f t="shared" si="22"/>
        <v/>
      </c>
      <c r="V321" s="160"/>
      <c r="W321" s="161" t="str">
        <f t="shared" si="23"/>
        <v/>
      </c>
      <c r="X321" s="156" t="str">
        <f>IFERROR(_xlfn.XLOOKUP($A321,'Raw Data'!$G:$G,'Raw Data'!$AB:$AB),"")</f>
        <v/>
      </c>
      <c r="Y321" s="156" t="str">
        <f>IFERROR(_xlfn.XLOOKUP($A321,'Raw Data'!$G:$G,'Raw Data'!AC:AC),"")</f>
        <v/>
      </c>
      <c r="Z321" s="156" t="str">
        <f>IFERROR(_xlfn.XLOOKUP($A321,'Raw Data'!$G:$G,'Raw Data'!AD:AD),"")</f>
        <v/>
      </c>
      <c r="AA321" s="156" t="str">
        <f>IFERROR(_xlfn.XLOOKUP($A321,'Raw Data'!$G:$G,'Raw Data'!AE:AE),"")</f>
        <v/>
      </c>
      <c r="AB321" s="156" t="str">
        <f>IFERROR(_xlfn.XLOOKUP($A321,'Raw Data'!$G:$G,'Raw Data'!$H:$H),"")</f>
        <v/>
      </c>
      <c r="AC321" s="162">
        <f>IFERROR(_xlfn.XLOOKUP($D321,'Modelling New'!$D:$D,'Modelling New'!$P:$P),"")</f>
        <v>6.9010874285714294</v>
      </c>
      <c r="AD321" s="156">
        <f>IFERROR(_xlfn.XLOOKUP($D321,'Modelling New'!$D:$D,'Modelling New'!$T:$T)*1000,"")</f>
        <v>57320.026734881634</v>
      </c>
      <c r="AE321" s="163">
        <f>IFERROR(_xlfn.XLOOKUP($D321,'Modelling New'!$D:$D,'Modelling New'!$O:$O),"")</f>
        <v>0.70869805877547398</v>
      </c>
      <c r="AF321" s="163">
        <f>IFERROR(_xlfn.XLOOKUP($D321,'Modelling New'!$D:$D,'Modelling New'!$W:$W),"")</f>
        <v>0.20378280266951659</v>
      </c>
      <c r="AG321" s="163">
        <f>IFERROR(_xlfn.XLOOKUP($D321,'Modelling New'!$D:$D,'Modelling New'!AE:AE),"")</f>
        <v>0.995</v>
      </c>
      <c r="AH321" s="163">
        <f>IFERROR(_xlfn.XLOOKUP($D321,'Modelling New'!$D:$D,'Modelling New'!AF:AF),"")</f>
        <v>0.98550000000000004</v>
      </c>
      <c r="AN321" s="164"/>
      <c r="AO321" s="161"/>
      <c r="AP321" s="161"/>
      <c r="AQ321" s="161"/>
      <c r="AR321" s="156">
        <f>IFERROR(_xlfn.XLOOKUP($D321,'Modelling New'!$D:$D,'Modelling New'!$N:$N),"")</f>
        <v>11.72</v>
      </c>
    </row>
    <row r="322" spans="1:44">
      <c r="A322" s="155">
        <f t="shared" si="24"/>
        <v>46065</v>
      </c>
      <c r="B322" s="156">
        <f>YEAR(Table13[[#This Row],[Date]])+IF(MONTH(Table13[[#This Row],[Date]])&gt;=4,1,0)</f>
        <v>2026</v>
      </c>
      <c r="C322" s="129">
        <f>YEAR(Table13[[#This Row],[Date]])</f>
        <v>2026</v>
      </c>
      <c r="D322" s="157">
        <f>Table13[[#This Row],[Date]]-DAY(Table13[[#This Row],[Date]])+1</f>
        <v>46054</v>
      </c>
      <c r="E322" s="129">
        <f t="shared" si="21"/>
        <v>28</v>
      </c>
      <c r="F322" s="130" t="str">
        <f>IFERROR(_xlfn.XLOOKUP($A322,'Raw Data'!$G:$G,'Raw Data'!$AH:$AH),"")</f>
        <v/>
      </c>
      <c r="G322" s="131" t="str">
        <f>IFERROR(_xlfn.XLOOKUP($A322,'Raw Data'!$G:$G,'Raw Data'!$S:$S)/1000,"")</f>
        <v/>
      </c>
      <c r="H322" s="131"/>
      <c r="I322" s="131" t="str">
        <f>IFERROR(_xlfn.XLOOKUP($A322,'Raw Data'!$G:$G,'Raw Data'!$AF:$AF)/1000,"")</f>
        <v/>
      </c>
      <c r="J322" s="131"/>
      <c r="K322" s="131" t="str">
        <f>IFERROR(_xlfn.XLOOKUP($A322,'Raw Data'!$G:$G,'Raw Data'!W:W),"")</f>
        <v/>
      </c>
      <c r="L322" s="131" t="str">
        <f>IFERROR(_xlfn.XLOOKUP($A322,'Raw Data'!$G:$G,'Raw Data'!X:X),"")</f>
        <v/>
      </c>
      <c r="M322" s="131" t="str">
        <f>IFERROR(_xlfn.XLOOKUP($A322,'Raw Data'!$G:$G,'Raw Data'!Y:Y),"")</f>
        <v/>
      </c>
      <c r="N322" s="131" t="str">
        <f>IFERROR(_xlfn.XLOOKUP($A322,'Raw Data'!$G:$G,'Raw Data'!Z:Z),"")</f>
        <v/>
      </c>
      <c r="O322" s="158" t="str">
        <f>IFERROR(1-SUMIF('Plant BD'!$H:$H,$A322,'Plant BD'!AC:AC)/$F322,"")</f>
        <v/>
      </c>
      <c r="P322" s="158"/>
      <c r="Q322" s="159"/>
      <c r="R322" s="158" t="str">
        <f>IFERROR(1-SUMIF('Grid BD'!$H:$H,$A322,'Grid BD'!AB:AB)/$F322,"")</f>
        <v/>
      </c>
      <c r="T322" s="159" t="str">
        <f>IFERROR(1-SUMIF(Tracker_BD!$H:$H,$A322,Tracker_BD!AI:AI)/$F322,"")</f>
        <v/>
      </c>
      <c r="U322" s="160" t="str">
        <f t="shared" si="22"/>
        <v/>
      </c>
      <c r="V322" s="160"/>
      <c r="W322" s="161" t="str">
        <f t="shared" si="23"/>
        <v/>
      </c>
      <c r="X322" s="156" t="str">
        <f>IFERROR(_xlfn.XLOOKUP($A322,'Raw Data'!$G:$G,'Raw Data'!$AB:$AB),"")</f>
        <v/>
      </c>
      <c r="Y322" s="156" t="str">
        <f>IFERROR(_xlfn.XLOOKUP($A322,'Raw Data'!$G:$G,'Raw Data'!AC:AC),"")</f>
        <v/>
      </c>
      <c r="Z322" s="156" t="str">
        <f>IFERROR(_xlfn.XLOOKUP($A322,'Raw Data'!$G:$G,'Raw Data'!AD:AD),"")</f>
        <v/>
      </c>
      <c r="AA322" s="156" t="str">
        <f>IFERROR(_xlfn.XLOOKUP($A322,'Raw Data'!$G:$G,'Raw Data'!AE:AE),"")</f>
        <v/>
      </c>
      <c r="AB322" s="156" t="str">
        <f>IFERROR(_xlfn.XLOOKUP($A322,'Raw Data'!$G:$G,'Raw Data'!$H:$H),"")</f>
        <v/>
      </c>
      <c r="AC322" s="162">
        <f>IFERROR(_xlfn.XLOOKUP($D322,'Modelling New'!$D:$D,'Modelling New'!$P:$P),"")</f>
        <v>6.9010874285714294</v>
      </c>
      <c r="AD322" s="156">
        <f>IFERROR(_xlfn.XLOOKUP($D322,'Modelling New'!$D:$D,'Modelling New'!$T:$T)*1000,"")</f>
        <v>57320.026734881634</v>
      </c>
      <c r="AE322" s="163">
        <f>IFERROR(_xlfn.XLOOKUP($D322,'Modelling New'!$D:$D,'Modelling New'!$O:$O),"")</f>
        <v>0.70869805877547398</v>
      </c>
      <c r="AF322" s="163">
        <f>IFERROR(_xlfn.XLOOKUP($D322,'Modelling New'!$D:$D,'Modelling New'!$W:$W),"")</f>
        <v>0.20378280266951659</v>
      </c>
      <c r="AG322" s="163">
        <f>IFERROR(_xlfn.XLOOKUP($D322,'Modelling New'!$D:$D,'Modelling New'!AE:AE),"")</f>
        <v>0.995</v>
      </c>
      <c r="AH322" s="163">
        <f>IFERROR(_xlfn.XLOOKUP($D322,'Modelling New'!$D:$D,'Modelling New'!AF:AF),"")</f>
        <v>0.98550000000000004</v>
      </c>
      <c r="AN322" s="164"/>
      <c r="AO322" s="161"/>
      <c r="AP322" s="161"/>
      <c r="AQ322" s="161"/>
      <c r="AR322" s="156">
        <f>IFERROR(_xlfn.XLOOKUP($D322,'Modelling New'!$D:$D,'Modelling New'!$N:$N),"")</f>
        <v>11.72</v>
      </c>
    </row>
    <row r="323" spans="1:44">
      <c r="A323" s="155">
        <f t="shared" si="24"/>
        <v>46066</v>
      </c>
      <c r="B323" s="156">
        <f>YEAR(Table13[[#This Row],[Date]])+IF(MONTH(Table13[[#This Row],[Date]])&gt;=4,1,0)</f>
        <v>2026</v>
      </c>
      <c r="C323" s="129">
        <f>YEAR(Table13[[#This Row],[Date]])</f>
        <v>2026</v>
      </c>
      <c r="D323" s="157">
        <f>Table13[[#This Row],[Date]]-DAY(Table13[[#This Row],[Date]])+1</f>
        <v>46054</v>
      </c>
      <c r="E323" s="129">
        <f t="shared" si="21"/>
        <v>28</v>
      </c>
      <c r="F323" s="130" t="str">
        <f>IFERROR(_xlfn.XLOOKUP($A323,'Raw Data'!$G:$G,'Raw Data'!$AH:$AH),"")</f>
        <v/>
      </c>
      <c r="G323" s="131" t="str">
        <f>IFERROR(_xlfn.XLOOKUP($A323,'Raw Data'!$G:$G,'Raw Data'!$S:$S)/1000,"")</f>
        <v/>
      </c>
      <c r="H323" s="131"/>
      <c r="I323" s="131" t="str">
        <f>IFERROR(_xlfn.XLOOKUP($A323,'Raw Data'!$G:$G,'Raw Data'!$AF:$AF)/1000,"")</f>
        <v/>
      </c>
      <c r="J323" s="131"/>
      <c r="K323" s="131" t="str">
        <f>IFERROR(_xlfn.XLOOKUP($A323,'Raw Data'!$G:$G,'Raw Data'!W:W),"")</f>
        <v/>
      </c>
      <c r="L323" s="131" t="str">
        <f>IFERROR(_xlfn.XLOOKUP($A323,'Raw Data'!$G:$G,'Raw Data'!X:X),"")</f>
        <v/>
      </c>
      <c r="M323" s="131" t="str">
        <f>IFERROR(_xlfn.XLOOKUP($A323,'Raw Data'!$G:$G,'Raw Data'!Y:Y),"")</f>
        <v/>
      </c>
      <c r="N323" s="131" t="str">
        <f>IFERROR(_xlfn.XLOOKUP($A323,'Raw Data'!$G:$G,'Raw Data'!Z:Z),"")</f>
        <v/>
      </c>
      <c r="O323" s="158" t="str">
        <f>IFERROR(1-SUMIF('Plant BD'!$H:$H,$A323,'Plant BD'!AC:AC)/$F323,"")</f>
        <v/>
      </c>
      <c r="P323" s="158"/>
      <c r="Q323" s="159"/>
      <c r="R323" s="158" t="str">
        <f>IFERROR(1-SUMIF('Grid BD'!$H:$H,$A323,'Grid BD'!AB:AB)/$F323,"")</f>
        <v/>
      </c>
      <c r="T323" s="159" t="str">
        <f>IFERROR(1-SUMIF(Tracker_BD!$H:$H,$A323,Tracker_BD!AI:AI)/$F323,"")</f>
        <v/>
      </c>
      <c r="U323" s="160" t="str">
        <f t="shared" si="22"/>
        <v/>
      </c>
      <c r="V323" s="160"/>
      <c r="W323" s="161" t="str">
        <f t="shared" si="23"/>
        <v/>
      </c>
      <c r="X323" s="156" t="str">
        <f>IFERROR(_xlfn.XLOOKUP($A323,'Raw Data'!$G:$G,'Raw Data'!$AB:$AB),"")</f>
        <v/>
      </c>
      <c r="Y323" s="156" t="str">
        <f>IFERROR(_xlfn.XLOOKUP($A323,'Raw Data'!$G:$G,'Raw Data'!AC:AC),"")</f>
        <v/>
      </c>
      <c r="Z323" s="156" t="str">
        <f>IFERROR(_xlfn.XLOOKUP($A323,'Raw Data'!$G:$G,'Raw Data'!AD:AD),"")</f>
        <v/>
      </c>
      <c r="AA323" s="156" t="str">
        <f>IFERROR(_xlfn.XLOOKUP($A323,'Raw Data'!$G:$G,'Raw Data'!AE:AE),"")</f>
        <v/>
      </c>
      <c r="AB323" s="156" t="str">
        <f>IFERROR(_xlfn.XLOOKUP($A323,'Raw Data'!$G:$G,'Raw Data'!$H:$H),"")</f>
        <v/>
      </c>
      <c r="AC323" s="162">
        <f>IFERROR(_xlfn.XLOOKUP($D323,'Modelling New'!$D:$D,'Modelling New'!$P:$P),"")</f>
        <v>6.9010874285714294</v>
      </c>
      <c r="AD323" s="156">
        <f>IFERROR(_xlfn.XLOOKUP($D323,'Modelling New'!$D:$D,'Modelling New'!$T:$T)*1000,"")</f>
        <v>57320.026734881634</v>
      </c>
      <c r="AE323" s="163">
        <f>IFERROR(_xlfn.XLOOKUP($D323,'Modelling New'!$D:$D,'Modelling New'!$O:$O),"")</f>
        <v>0.70869805877547398</v>
      </c>
      <c r="AF323" s="163">
        <f>IFERROR(_xlfn.XLOOKUP($D323,'Modelling New'!$D:$D,'Modelling New'!$W:$W),"")</f>
        <v>0.20378280266951659</v>
      </c>
      <c r="AG323" s="163">
        <f>IFERROR(_xlfn.XLOOKUP($D323,'Modelling New'!$D:$D,'Modelling New'!AE:AE),"")</f>
        <v>0.995</v>
      </c>
      <c r="AH323" s="163">
        <f>IFERROR(_xlfn.XLOOKUP($D323,'Modelling New'!$D:$D,'Modelling New'!AF:AF),"")</f>
        <v>0.98550000000000004</v>
      </c>
      <c r="AN323" s="164"/>
      <c r="AO323" s="161"/>
      <c r="AP323" s="161"/>
      <c r="AQ323" s="161"/>
      <c r="AR323" s="156">
        <f>IFERROR(_xlfn.XLOOKUP($D323,'Modelling New'!$D:$D,'Modelling New'!$N:$N),"")</f>
        <v>11.72</v>
      </c>
    </row>
    <row r="324" spans="1:44">
      <c r="A324" s="155">
        <f t="shared" si="24"/>
        <v>46067</v>
      </c>
      <c r="B324" s="156">
        <f>YEAR(Table13[[#This Row],[Date]])+IF(MONTH(Table13[[#This Row],[Date]])&gt;=4,1,0)</f>
        <v>2026</v>
      </c>
      <c r="C324" s="129">
        <f>YEAR(Table13[[#This Row],[Date]])</f>
        <v>2026</v>
      </c>
      <c r="D324" s="157">
        <f>Table13[[#This Row],[Date]]-DAY(Table13[[#This Row],[Date]])+1</f>
        <v>46054</v>
      </c>
      <c r="E324" s="129">
        <f t="shared" si="21"/>
        <v>28</v>
      </c>
      <c r="F324" s="130" t="str">
        <f>IFERROR(_xlfn.XLOOKUP($A324,'Raw Data'!$G:$G,'Raw Data'!$AH:$AH),"")</f>
        <v/>
      </c>
      <c r="G324" s="131" t="str">
        <f>IFERROR(_xlfn.XLOOKUP($A324,'Raw Data'!$G:$G,'Raw Data'!$S:$S)/1000,"")</f>
        <v/>
      </c>
      <c r="H324" s="131"/>
      <c r="I324" s="131" t="str">
        <f>IFERROR(_xlfn.XLOOKUP($A324,'Raw Data'!$G:$G,'Raw Data'!$AF:$AF)/1000,"")</f>
        <v/>
      </c>
      <c r="J324" s="131"/>
      <c r="K324" s="131" t="str">
        <f>IFERROR(_xlfn.XLOOKUP($A324,'Raw Data'!$G:$G,'Raw Data'!W:W),"")</f>
        <v/>
      </c>
      <c r="L324" s="131" t="str">
        <f>IFERROR(_xlfn.XLOOKUP($A324,'Raw Data'!$G:$G,'Raw Data'!X:X),"")</f>
        <v/>
      </c>
      <c r="M324" s="131" t="str">
        <f>IFERROR(_xlfn.XLOOKUP($A324,'Raw Data'!$G:$G,'Raw Data'!Y:Y),"")</f>
        <v/>
      </c>
      <c r="N324" s="131" t="str">
        <f>IFERROR(_xlfn.XLOOKUP($A324,'Raw Data'!$G:$G,'Raw Data'!Z:Z),"")</f>
        <v/>
      </c>
      <c r="O324" s="158" t="str">
        <f>IFERROR(1-SUMIF('Plant BD'!$H:$H,$A324,'Plant BD'!AC:AC)/$F324,"")</f>
        <v/>
      </c>
      <c r="P324" s="158"/>
      <c r="Q324" s="159"/>
      <c r="R324" s="158" t="str">
        <f>IFERROR(1-SUMIF('Grid BD'!$H:$H,$A324,'Grid BD'!AB:AB)/$F324,"")</f>
        <v/>
      </c>
      <c r="T324" s="159" t="str">
        <f>IFERROR(1-SUMIF(Tracker_BD!$H:$H,$A324,Tracker_BD!AI:AI)/$F324,"")</f>
        <v/>
      </c>
      <c r="U324" s="160" t="str">
        <f t="shared" si="22"/>
        <v/>
      </c>
      <c r="V324" s="160"/>
      <c r="W324" s="161" t="str">
        <f t="shared" si="23"/>
        <v/>
      </c>
      <c r="X324" s="156" t="str">
        <f>IFERROR(_xlfn.XLOOKUP($A324,'Raw Data'!$G:$G,'Raw Data'!$AB:$AB),"")</f>
        <v/>
      </c>
      <c r="Y324" s="156" t="str">
        <f>IFERROR(_xlfn.XLOOKUP($A324,'Raw Data'!$G:$G,'Raw Data'!AC:AC),"")</f>
        <v/>
      </c>
      <c r="Z324" s="156" t="str">
        <f>IFERROR(_xlfn.XLOOKUP($A324,'Raw Data'!$G:$G,'Raw Data'!AD:AD),"")</f>
        <v/>
      </c>
      <c r="AA324" s="156" t="str">
        <f>IFERROR(_xlfn.XLOOKUP($A324,'Raw Data'!$G:$G,'Raw Data'!AE:AE),"")</f>
        <v/>
      </c>
      <c r="AB324" s="156" t="str">
        <f>IFERROR(_xlfn.XLOOKUP($A324,'Raw Data'!$G:$G,'Raw Data'!$H:$H),"")</f>
        <v/>
      </c>
      <c r="AC324" s="162">
        <f>IFERROR(_xlfn.XLOOKUP($D324,'Modelling New'!$D:$D,'Modelling New'!$P:$P),"")</f>
        <v>6.9010874285714294</v>
      </c>
      <c r="AD324" s="156">
        <f>IFERROR(_xlfn.XLOOKUP($D324,'Modelling New'!$D:$D,'Modelling New'!$T:$T)*1000,"")</f>
        <v>57320.026734881634</v>
      </c>
      <c r="AE324" s="163">
        <f>IFERROR(_xlfn.XLOOKUP($D324,'Modelling New'!$D:$D,'Modelling New'!$O:$O),"")</f>
        <v>0.70869805877547398</v>
      </c>
      <c r="AF324" s="163">
        <f>IFERROR(_xlfn.XLOOKUP($D324,'Modelling New'!$D:$D,'Modelling New'!$W:$W),"")</f>
        <v>0.20378280266951659</v>
      </c>
      <c r="AG324" s="163">
        <f>IFERROR(_xlfn.XLOOKUP($D324,'Modelling New'!$D:$D,'Modelling New'!AE:AE),"")</f>
        <v>0.995</v>
      </c>
      <c r="AH324" s="163">
        <f>IFERROR(_xlfn.XLOOKUP($D324,'Modelling New'!$D:$D,'Modelling New'!AF:AF),"")</f>
        <v>0.98550000000000004</v>
      </c>
      <c r="AN324" s="164"/>
      <c r="AO324" s="161"/>
      <c r="AP324" s="161"/>
      <c r="AQ324" s="161"/>
      <c r="AR324" s="156">
        <f>IFERROR(_xlfn.XLOOKUP($D324,'Modelling New'!$D:$D,'Modelling New'!$N:$N),"")</f>
        <v>11.72</v>
      </c>
    </row>
    <row r="325" spans="1:44">
      <c r="A325" s="155">
        <f t="shared" si="24"/>
        <v>46068</v>
      </c>
      <c r="B325" s="156">
        <f>YEAR(Table13[[#This Row],[Date]])+IF(MONTH(Table13[[#This Row],[Date]])&gt;=4,1,0)</f>
        <v>2026</v>
      </c>
      <c r="C325" s="129">
        <f>YEAR(Table13[[#This Row],[Date]])</f>
        <v>2026</v>
      </c>
      <c r="D325" s="157">
        <f>Table13[[#This Row],[Date]]-DAY(Table13[[#This Row],[Date]])+1</f>
        <v>46054</v>
      </c>
      <c r="E325" s="129">
        <f t="shared" si="21"/>
        <v>28</v>
      </c>
      <c r="F325" s="130" t="str">
        <f>IFERROR(_xlfn.XLOOKUP($A325,'Raw Data'!$G:$G,'Raw Data'!$AH:$AH),"")</f>
        <v/>
      </c>
      <c r="G325" s="131" t="str">
        <f>IFERROR(_xlfn.XLOOKUP($A325,'Raw Data'!$G:$G,'Raw Data'!$S:$S)/1000,"")</f>
        <v/>
      </c>
      <c r="H325" s="131"/>
      <c r="I325" s="131" t="str">
        <f>IFERROR(_xlfn.XLOOKUP($A325,'Raw Data'!$G:$G,'Raw Data'!$AF:$AF)/1000,"")</f>
        <v/>
      </c>
      <c r="J325" s="131"/>
      <c r="K325" s="131" t="str">
        <f>IFERROR(_xlfn.XLOOKUP($A325,'Raw Data'!$G:$G,'Raw Data'!W:W),"")</f>
        <v/>
      </c>
      <c r="L325" s="131" t="str">
        <f>IFERROR(_xlfn.XLOOKUP($A325,'Raw Data'!$G:$G,'Raw Data'!X:X),"")</f>
        <v/>
      </c>
      <c r="M325" s="131" t="str">
        <f>IFERROR(_xlfn.XLOOKUP($A325,'Raw Data'!$G:$G,'Raw Data'!Y:Y),"")</f>
        <v/>
      </c>
      <c r="N325" s="131" t="str">
        <f>IFERROR(_xlfn.XLOOKUP($A325,'Raw Data'!$G:$G,'Raw Data'!Z:Z),"")</f>
        <v/>
      </c>
      <c r="O325" s="158" t="str">
        <f>IFERROR(1-SUMIF('Plant BD'!$H:$H,$A325,'Plant BD'!AC:AC)/$F325,"")</f>
        <v/>
      </c>
      <c r="P325" s="158"/>
      <c r="Q325" s="159"/>
      <c r="R325" s="158" t="str">
        <f>IFERROR(1-SUMIF('Grid BD'!$H:$H,$A325,'Grid BD'!AB:AB)/$F325,"")</f>
        <v/>
      </c>
      <c r="T325" s="159" t="str">
        <f>IFERROR(1-SUMIF(Tracker_BD!$H:$H,$A325,Tracker_BD!AI:AI)/$F325,"")</f>
        <v/>
      </c>
      <c r="U325" s="160" t="str">
        <f t="shared" si="22"/>
        <v/>
      </c>
      <c r="V325" s="160"/>
      <c r="W325" s="161" t="str">
        <f t="shared" si="23"/>
        <v/>
      </c>
      <c r="X325" s="156" t="str">
        <f>IFERROR(_xlfn.XLOOKUP($A325,'Raw Data'!$G:$G,'Raw Data'!$AB:$AB),"")</f>
        <v/>
      </c>
      <c r="Y325" s="156" t="str">
        <f>IFERROR(_xlfn.XLOOKUP($A325,'Raw Data'!$G:$G,'Raw Data'!AC:AC),"")</f>
        <v/>
      </c>
      <c r="Z325" s="156" t="str">
        <f>IFERROR(_xlfn.XLOOKUP($A325,'Raw Data'!$G:$G,'Raw Data'!AD:AD),"")</f>
        <v/>
      </c>
      <c r="AA325" s="156" t="str">
        <f>IFERROR(_xlfn.XLOOKUP($A325,'Raw Data'!$G:$G,'Raw Data'!AE:AE),"")</f>
        <v/>
      </c>
      <c r="AB325" s="156" t="str">
        <f>IFERROR(_xlfn.XLOOKUP($A325,'Raw Data'!$G:$G,'Raw Data'!$H:$H),"")</f>
        <v/>
      </c>
      <c r="AC325" s="162">
        <f>IFERROR(_xlfn.XLOOKUP($D325,'Modelling New'!$D:$D,'Modelling New'!$P:$P),"")</f>
        <v>6.9010874285714294</v>
      </c>
      <c r="AD325" s="156">
        <f>IFERROR(_xlfn.XLOOKUP($D325,'Modelling New'!$D:$D,'Modelling New'!$T:$T)*1000,"")</f>
        <v>57320.026734881634</v>
      </c>
      <c r="AE325" s="163">
        <f>IFERROR(_xlfn.XLOOKUP($D325,'Modelling New'!$D:$D,'Modelling New'!$O:$O),"")</f>
        <v>0.70869805877547398</v>
      </c>
      <c r="AF325" s="163">
        <f>IFERROR(_xlfn.XLOOKUP($D325,'Modelling New'!$D:$D,'Modelling New'!$W:$W),"")</f>
        <v>0.20378280266951659</v>
      </c>
      <c r="AG325" s="163">
        <f>IFERROR(_xlfn.XLOOKUP($D325,'Modelling New'!$D:$D,'Modelling New'!AE:AE),"")</f>
        <v>0.995</v>
      </c>
      <c r="AH325" s="163">
        <f>IFERROR(_xlfn.XLOOKUP($D325,'Modelling New'!$D:$D,'Modelling New'!AF:AF),"")</f>
        <v>0.98550000000000004</v>
      </c>
      <c r="AN325" s="164"/>
      <c r="AO325" s="161"/>
      <c r="AP325" s="161"/>
      <c r="AQ325" s="161"/>
      <c r="AR325" s="156">
        <f>IFERROR(_xlfn.XLOOKUP($D325,'Modelling New'!$D:$D,'Modelling New'!$N:$N),"")</f>
        <v>11.72</v>
      </c>
    </row>
    <row r="326" spans="1:44">
      <c r="A326" s="155">
        <f t="shared" si="24"/>
        <v>46069</v>
      </c>
      <c r="B326" s="156">
        <f>YEAR(Table13[[#This Row],[Date]])+IF(MONTH(Table13[[#This Row],[Date]])&gt;=4,1,0)</f>
        <v>2026</v>
      </c>
      <c r="C326" s="129">
        <f>YEAR(Table13[[#This Row],[Date]])</f>
        <v>2026</v>
      </c>
      <c r="D326" s="157">
        <f>Table13[[#This Row],[Date]]-DAY(Table13[[#This Row],[Date]])+1</f>
        <v>46054</v>
      </c>
      <c r="E326" s="129">
        <f t="shared" si="21"/>
        <v>28</v>
      </c>
      <c r="F326" s="130" t="str">
        <f>IFERROR(_xlfn.XLOOKUP($A326,'Raw Data'!$G:$G,'Raw Data'!$AH:$AH),"")</f>
        <v/>
      </c>
      <c r="G326" s="131" t="str">
        <f>IFERROR(_xlfn.XLOOKUP($A326,'Raw Data'!$G:$G,'Raw Data'!$S:$S)/1000,"")</f>
        <v/>
      </c>
      <c r="H326" s="131"/>
      <c r="I326" s="131" t="str">
        <f>IFERROR(_xlfn.XLOOKUP($A326,'Raw Data'!$G:$G,'Raw Data'!$AF:$AF)/1000,"")</f>
        <v/>
      </c>
      <c r="J326" s="131"/>
      <c r="K326" s="131" t="str">
        <f>IFERROR(_xlfn.XLOOKUP($A326,'Raw Data'!$G:$G,'Raw Data'!W:W),"")</f>
        <v/>
      </c>
      <c r="L326" s="131" t="str">
        <f>IFERROR(_xlfn.XLOOKUP($A326,'Raw Data'!$G:$G,'Raw Data'!X:X),"")</f>
        <v/>
      </c>
      <c r="M326" s="131" t="str">
        <f>IFERROR(_xlfn.XLOOKUP($A326,'Raw Data'!$G:$G,'Raw Data'!Y:Y),"")</f>
        <v/>
      </c>
      <c r="N326" s="131" t="str">
        <f>IFERROR(_xlfn.XLOOKUP($A326,'Raw Data'!$G:$G,'Raw Data'!Z:Z),"")</f>
        <v/>
      </c>
      <c r="O326" s="158" t="str">
        <f>IFERROR(1-SUMIF('Plant BD'!$H:$H,$A326,'Plant BD'!AC:AC)/$F326,"")</f>
        <v/>
      </c>
      <c r="P326" s="158"/>
      <c r="Q326" s="159"/>
      <c r="R326" s="158" t="str">
        <f>IFERROR(1-SUMIF('Grid BD'!$H:$H,$A326,'Grid BD'!AB:AB)/$F326,"")</f>
        <v/>
      </c>
      <c r="T326" s="159" t="str">
        <f>IFERROR(1-SUMIF(Tracker_BD!$H:$H,$A326,Tracker_BD!AI:AI)/$F326,"")</f>
        <v/>
      </c>
      <c r="U326" s="160" t="str">
        <f t="shared" si="22"/>
        <v/>
      </c>
      <c r="V326" s="160"/>
      <c r="W326" s="161" t="str">
        <f t="shared" si="23"/>
        <v/>
      </c>
      <c r="X326" s="156" t="str">
        <f>IFERROR(_xlfn.XLOOKUP($A326,'Raw Data'!$G:$G,'Raw Data'!$AB:$AB),"")</f>
        <v/>
      </c>
      <c r="Y326" s="156" t="str">
        <f>IFERROR(_xlfn.XLOOKUP($A326,'Raw Data'!$G:$G,'Raw Data'!AC:AC),"")</f>
        <v/>
      </c>
      <c r="Z326" s="156" t="str">
        <f>IFERROR(_xlfn.XLOOKUP($A326,'Raw Data'!$G:$G,'Raw Data'!AD:AD),"")</f>
        <v/>
      </c>
      <c r="AA326" s="156" t="str">
        <f>IFERROR(_xlfn.XLOOKUP($A326,'Raw Data'!$G:$G,'Raw Data'!AE:AE),"")</f>
        <v/>
      </c>
      <c r="AB326" s="156" t="str">
        <f>IFERROR(_xlfn.XLOOKUP($A326,'Raw Data'!$G:$G,'Raw Data'!$H:$H),"")</f>
        <v/>
      </c>
      <c r="AC326" s="162">
        <f>IFERROR(_xlfn.XLOOKUP($D326,'Modelling New'!$D:$D,'Modelling New'!$P:$P),"")</f>
        <v>6.9010874285714294</v>
      </c>
      <c r="AD326" s="156">
        <f>IFERROR(_xlfn.XLOOKUP($D326,'Modelling New'!$D:$D,'Modelling New'!$T:$T)*1000,"")</f>
        <v>57320.026734881634</v>
      </c>
      <c r="AE326" s="163">
        <f>IFERROR(_xlfn.XLOOKUP($D326,'Modelling New'!$D:$D,'Modelling New'!$O:$O),"")</f>
        <v>0.70869805877547398</v>
      </c>
      <c r="AF326" s="163">
        <f>IFERROR(_xlfn.XLOOKUP($D326,'Modelling New'!$D:$D,'Modelling New'!$W:$W),"")</f>
        <v>0.20378280266951659</v>
      </c>
      <c r="AG326" s="163">
        <f>IFERROR(_xlfn.XLOOKUP($D326,'Modelling New'!$D:$D,'Modelling New'!AE:AE),"")</f>
        <v>0.995</v>
      </c>
      <c r="AH326" s="163">
        <f>IFERROR(_xlfn.XLOOKUP($D326,'Modelling New'!$D:$D,'Modelling New'!AF:AF),"")</f>
        <v>0.98550000000000004</v>
      </c>
      <c r="AN326" s="164"/>
      <c r="AO326" s="161"/>
      <c r="AP326" s="161"/>
      <c r="AQ326" s="161"/>
      <c r="AR326" s="156">
        <f>IFERROR(_xlfn.XLOOKUP($D326,'Modelling New'!$D:$D,'Modelling New'!$N:$N),"")</f>
        <v>11.72</v>
      </c>
    </row>
    <row r="327" spans="1:44">
      <c r="A327" s="155">
        <f t="shared" si="24"/>
        <v>46070</v>
      </c>
      <c r="B327" s="156">
        <f>YEAR(Table13[[#This Row],[Date]])+IF(MONTH(Table13[[#This Row],[Date]])&gt;=4,1,0)</f>
        <v>2026</v>
      </c>
      <c r="C327" s="129">
        <f>YEAR(Table13[[#This Row],[Date]])</f>
        <v>2026</v>
      </c>
      <c r="D327" s="157">
        <f>Table13[[#This Row],[Date]]-DAY(Table13[[#This Row],[Date]])+1</f>
        <v>46054</v>
      </c>
      <c r="E327" s="129">
        <f t="shared" si="21"/>
        <v>28</v>
      </c>
      <c r="F327" s="130" t="str">
        <f>IFERROR(_xlfn.XLOOKUP($A327,'Raw Data'!$G:$G,'Raw Data'!$AH:$AH),"")</f>
        <v/>
      </c>
      <c r="G327" s="131" t="str">
        <f>IFERROR(_xlfn.XLOOKUP($A327,'Raw Data'!$G:$G,'Raw Data'!$S:$S)/1000,"")</f>
        <v/>
      </c>
      <c r="H327" s="131"/>
      <c r="I327" s="131" t="str">
        <f>IFERROR(_xlfn.XLOOKUP($A327,'Raw Data'!$G:$G,'Raw Data'!$AF:$AF)/1000,"")</f>
        <v/>
      </c>
      <c r="J327" s="131"/>
      <c r="K327" s="131" t="str">
        <f>IFERROR(_xlfn.XLOOKUP($A327,'Raw Data'!$G:$G,'Raw Data'!W:W),"")</f>
        <v/>
      </c>
      <c r="L327" s="131" t="str">
        <f>IFERROR(_xlfn.XLOOKUP($A327,'Raw Data'!$G:$G,'Raw Data'!X:X),"")</f>
        <v/>
      </c>
      <c r="M327" s="131" t="str">
        <f>IFERROR(_xlfn.XLOOKUP($A327,'Raw Data'!$G:$G,'Raw Data'!Y:Y),"")</f>
        <v/>
      </c>
      <c r="N327" s="131" t="str">
        <f>IFERROR(_xlfn.XLOOKUP($A327,'Raw Data'!$G:$G,'Raw Data'!Z:Z),"")</f>
        <v/>
      </c>
      <c r="O327" s="158" t="str">
        <f>IFERROR(1-SUMIF('Plant BD'!$H:$H,$A327,'Plant BD'!AC:AC)/$F327,"")</f>
        <v/>
      </c>
      <c r="P327" s="158"/>
      <c r="Q327" s="159"/>
      <c r="R327" s="158" t="str">
        <f>IFERROR(1-SUMIF('Grid BD'!$H:$H,$A327,'Grid BD'!AB:AB)/$F327,"")</f>
        <v/>
      </c>
      <c r="T327" s="159" t="str">
        <f>IFERROR(1-SUMIF(Tracker_BD!$H:$H,$A327,Tracker_BD!AI:AI)/$F327,"")</f>
        <v/>
      </c>
      <c r="U327" s="160" t="str">
        <f t="shared" si="22"/>
        <v/>
      </c>
      <c r="V327" s="160"/>
      <c r="W327" s="161" t="str">
        <f t="shared" si="23"/>
        <v/>
      </c>
      <c r="X327" s="156" t="str">
        <f>IFERROR(_xlfn.XLOOKUP($A327,'Raw Data'!$G:$G,'Raw Data'!$AB:$AB),"")</f>
        <v/>
      </c>
      <c r="Y327" s="156" t="str">
        <f>IFERROR(_xlfn.XLOOKUP($A327,'Raw Data'!$G:$G,'Raw Data'!AC:AC),"")</f>
        <v/>
      </c>
      <c r="Z327" s="156" t="str">
        <f>IFERROR(_xlfn.XLOOKUP($A327,'Raw Data'!$G:$G,'Raw Data'!AD:AD),"")</f>
        <v/>
      </c>
      <c r="AA327" s="156" t="str">
        <f>IFERROR(_xlfn.XLOOKUP($A327,'Raw Data'!$G:$G,'Raw Data'!AE:AE),"")</f>
        <v/>
      </c>
      <c r="AB327" s="156" t="str">
        <f>IFERROR(_xlfn.XLOOKUP($A327,'Raw Data'!$G:$G,'Raw Data'!$H:$H),"")</f>
        <v/>
      </c>
      <c r="AC327" s="162">
        <f>IFERROR(_xlfn.XLOOKUP($D327,'Modelling New'!$D:$D,'Modelling New'!$P:$P),"")</f>
        <v>6.9010874285714294</v>
      </c>
      <c r="AD327" s="156">
        <f>IFERROR(_xlfn.XLOOKUP($D327,'Modelling New'!$D:$D,'Modelling New'!$T:$T)*1000,"")</f>
        <v>57320.026734881634</v>
      </c>
      <c r="AE327" s="163">
        <f>IFERROR(_xlfn.XLOOKUP($D327,'Modelling New'!$D:$D,'Modelling New'!$O:$O),"")</f>
        <v>0.70869805877547398</v>
      </c>
      <c r="AF327" s="163">
        <f>IFERROR(_xlfn.XLOOKUP($D327,'Modelling New'!$D:$D,'Modelling New'!$W:$W),"")</f>
        <v>0.20378280266951659</v>
      </c>
      <c r="AG327" s="163">
        <f>IFERROR(_xlfn.XLOOKUP($D327,'Modelling New'!$D:$D,'Modelling New'!AE:AE),"")</f>
        <v>0.995</v>
      </c>
      <c r="AH327" s="163">
        <f>IFERROR(_xlfn.XLOOKUP($D327,'Modelling New'!$D:$D,'Modelling New'!AF:AF),"")</f>
        <v>0.98550000000000004</v>
      </c>
      <c r="AN327" s="164"/>
      <c r="AO327" s="161"/>
      <c r="AP327" s="161"/>
      <c r="AQ327" s="161"/>
      <c r="AR327" s="156">
        <f>IFERROR(_xlfn.XLOOKUP($D327,'Modelling New'!$D:$D,'Modelling New'!$N:$N),"")</f>
        <v>11.72</v>
      </c>
    </row>
    <row r="328" spans="1:44">
      <c r="A328" s="155">
        <f t="shared" si="24"/>
        <v>46071</v>
      </c>
      <c r="B328" s="156">
        <f>YEAR(Table13[[#This Row],[Date]])+IF(MONTH(Table13[[#This Row],[Date]])&gt;=4,1,0)</f>
        <v>2026</v>
      </c>
      <c r="C328" s="129">
        <f>YEAR(Table13[[#This Row],[Date]])</f>
        <v>2026</v>
      </c>
      <c r="D328" s="157">
        <f>Table13[[#This Row],[Date]]-DAY(Table13[[#This Row],[Date]])+1</f>
        <v>46054</v>
      </c>
      <c r="E328" s="129">
        <f t="shared" si="21"/>
        <v>28</v>
      </c>
      <c r="F328" s="130" t="str">
        <f>IFERROR(_xlfn.XLOOKUP($A328,'Raw Data'!$G:$G,'Raw Data'!$AH:$AH),"")</f>
        <v/>
      </c>
      <c r="G328" s="131" t="str">
        <f>IFERROR(_xlfn.XLOOKUP($A328,'Raw Data'!$G:$G,'Raw Data'!$S:$S)/1000,"")</f>
        <v/>
      </c>
      <c r="H328" s="131"/>
      <c r="I328" s="131" t="str">
        <f>IFERROR(_xlfn.XLOOKUP($A328,'Raw Data'!$G:$G,'Raw Data'!$AF:$AF)/1000,"")</f>
        <v/>
      </c>
      <c r="J328" s="131"/>
      <c r="K328" s="131" t="str">
        <f>IFERROR(_xlfn.XLOOKUP($A328,'Raw Data'!$G:$G,'Raw Data'!W:W),"")</f>
        <v/>
      </c>
      <c r="L328" s="131" t="str">
        <f>IFERROR(_xlfn.XLOOKUP($A328,'Raw Data'!$G:$G,'Raw Data'!X:X),"")</f>
        <v/>
      </c>
      <c r="M328" s="131" t="str">
        <f>IFERROR(_xlfn.XLOOKUP($A328,'Raw Data'!$G:$G,'Raw Data'!Y:Y),"")</f>
        <v/>
      </c>
      <c r="N328" s="131" t="str">
        <f>IFERROR(_xlfn.XLOOKUP($A328,'Raw Data'!$G:$G,'Raw Data'!Z:Z),"")</f>
        <v/>
      </c>
      <c r="O328" s="158" t="str">
        <f>IFERROR(1-SUMIF('Plant BD'!$H:$H,$A328,'Plant BD'!AC:AC)/$F328,"")</f>
        <v/>
      </c>
      <c r="P328" s="158"/>
      <c r="Q328" s="159"/>
      <c r="R328" s="158" t="str">
        <f>IFERROR(1-SUMIF('Grid BD'!$H:$H,$A328,'Grid BD'!AB:AB)/$F328,"")</f>
        <v/>
      </c>
      <c r="T328" s="159" t="str">
        <f>IFERROR(1-SUMIF(Tracker_BD!$H:$H,$A328,Tracker_BD!AI:AI)/$F328,"")</f>
        <v/>
      </c>
      <c r="U328" s="160" t="str">
        <f t="shared" si="22"/>
        <v/>
      </c>
      <c r="V328" s="160"/>
      <c r="W328" s="161" t="str">
        <f t="shared" si="23"/>
        <v/>
      </c>
      <c r="X328" s="156" t="str">
        <f>IFERROR(_xlfn.XLOOKUP($A328,'Raw Data'!$G:$G,'Raw Data'!$AB:$AB),"")</f>
        <v/>
      </c>
      <c r="Y328" s="156" t="str">
        <f>IFERROR(_xlfn.XLOOKUP($A328,'Raw Data'!$G:$G,'Raw Data'!AC:AC),"")</f>
        <v/>
      </c>
      <c r="Z328" s="156" t="str">
        <f>IFERROR(_xlfn.XLOOKUP($A328,'Raw Data'!$G:$G,'Raw Data'!AD:AD),"")</f>
        <v/>
      </c>
      <c r="AA328" s="156" t="str">
        <f>IFERROR(_xlfn.XLOOKUP($A328,'Raw Data'!$G:$G,'Raw Data'!AE:AE),"")</f>
        <v/>
      </c>
      <c r="AB328" s="156" t="str">
        <f>IFERROR(_xlfn.XLOOKUP($A328,'Raw Data'!$G:$G,'Raw Data'!$H:$H),"")</f>
        <v/>
      </c>
      <c r="AC328" s="162">
        <f>IFERROR(_xlfn.XLOOKUP($D328,'Modelling New'!$D:$D,'Modelling New'!$P:$P),"")</f>
        <v>6.9010874285714294</v>
      </c>
      <c r="AD328" s="156">
        <f>IFERROR(_xlfn.XLOOKUP($D328,'Modelling New'!$D:$D,'Modelling New'!$T:$T)*1000,"")</f>
        <v>57320.026734881634</v>
      </c>
      <c r="AE328" s="163">
        <f>IFERROR(_xlfn.XLOOKUP($D328,'Modelling New'!$D:$D,'Modelling New'!$O:$O),"")</f>
        <v>0.70869805877547398</v>
      </c>
      <c r="AF328" s="163">
        <f>IFERROR(_xlfn.XLOOKUP($D328,'Modelling New'!$D:$D,'Modelling New'!$W:$W),"")</f>
        <v>0.20378280266951659</v>
      </c>
      <c r="AG328" s="163">
        <f>IFERROR(_xlfn.XLOOKUP($D328,'Modelling New'!$D:$D,'Modelling New'!AE:AE),"")</f>
        <v>0.995</v>
      </c>
      <c r="AH328" s="163">
        <f>IFERROR(_xlfn.XLOOKUP($D328,'Modelling New'!$D:$D,'Modelling New'!AF:AF),"")</f>
        <v>0.98550000000000004</v>
      </c>
      <c r="AN328" s="164"/>
      <c r="AO328" s="161"/>
      <c r="AP328" s="161"/>
      <c r="AQ328" s="161"/>
      <c r="AR328" s="156">
        <f>IFERROR(_xlfn.XLOOKUP($D328,'Modelling New'!$D:$D,'Modelling New'!$N:$N),"")</f>
        <v>11.72</v>
      </c>
    </row>
    <row r="329" spans="1:44">
      <c r="A329" s="155">
        <f t="shared" si="24"/>
        <v>46072</v>
      </c>
      <c r="B329" s="156">
        <f>YEAR(Table13[[#This Row],[Date]])+IF(MONTH(Table13[[#This Row],[Date]])&gt;=4,1,0)</f>
        <v>2026</v>
      </c>
      <c r="C329" s="129">
        <f>YEAR(Table13[[#This Row],[Date]])</f>
        <v>2026</v>
      </c>
      <c r="D329" s="157">
        <f>Table13[[#This Row],[Date]]-DAY(Table13[[#This Row],[Date]])+1</f>
        <v>46054</v>
      </c>
      <c r="E329" s="129">
        <f t="shared" si="21"/>
        <v>28</v>
      </c>
      <c r="F329" s="130" t="str">
        <f>IFERROR(_xlfn.XLOOKUP($A329,'Raw Data'!$G:$G,'Raw Data'!$AH:$AH),"")</f>
        <v/>
      </c>
      <c r="G329" s="131" t="str">
        <f>IFERROR(_xlfn.XLOOKUP($A329,'Raw Data'!$G:$G,'Raw Data'!$S:$S)/1000,"")</f>
        <v/>
      </c>
      <c r="H329" s="131"/>
      <c r="I329" s="131" t="str">
        <f>IFERROR(_xlfn.XLOOKUP($A329,'Raw Data'!$G:$G,'Raw Data'!$AF:$AF)/1000,"")</f>
        <v/>
      </c>
      <c r="J329" s="131"/>
      <c r="K329" s="131" t="str">
        <f>IFERROR(_xlfn.XLOOKUP($A329,'Raw Data'!$G:$G,'Raw Data'!W:W),"")</f>
        <v/>
      </c>
      <c r="L329" s="131" t="str">
        <f>IFERROR(_xlfn.XLOOKUP($A329,'Raw Data'!$G:$G,'Raw Data'!X:X),"")</f>
        <v/>
      </c>
      <c r="M329" s="131" t="str">
        <f>IFERROR(_xlfn.XLOOKUP($A329,'Raw Data'!$G:$G,'Raw Data'!Y:Y),"")</f>
        <v/>
      </c>
      <c r="N329" s="131" t="str">
        <f>IFERROR(_xlfn.XLOOKUP($A329,'Raw Data'!$G:$G,'Raw Data'!Z:Z),"")</f>
        <v/>
      </c>
      <c r="O329" s="158" t="str">
        <f>IFERROR(1-SUMIF('Plant BD'!$H:$H,$A329,'Plant BD'!AC:AC)/$F329,"")</f>
        <v/>
      </c>
      <c r="P329" s="158"/>
      <c r="Q329" s="159"/>
      <c r="R329" s="158" t="str">
        <f>IFERROR(1-SUMIF('Grid BD'!$H:$H,$A329,'Grid BD'!AB:AB)/$F329,"")</f>
        <v/>
      </c>
      <c r="T329" s="159" t="str">
        <f>IFERROR(1-SUMIF(Tracker_BD!$H:$H,$A329,Tracker_BD!AI:AI)/$F329,"")</f>
        <v/>
      </c>
      <c r="U329" s="160" t="str">
        <f t="shared" si="22"/>
        <v/>
      </c>
      <c r="V329" s="160"/>
      <c r="W329" s="161" t="str">
        <f t="shared" si="23"/>
        <v/>
      </c>
      <c r="X329" s="156" t="str">
        <f>IFERROR(_xlfn.XLOOKUP($A329,'Raw Data'!$G:$G,'Raw Data'!$AB:$AB),"")</f>
        <v/>
      </c>
      <c r="Y329" s="156" t="str">
        <f>IFERROR(_xlfn.XLOOKUP($A329,'Raw Data'!$G:$G,'Raw Data'!AC:AC),"")</f>
        <v/>
      </c>
      <c r="Z329" s="156" t="str">
        <f>IFERROR(_xlfn.XLOOKUP($A329,'Raw Data'!$G:$G,'Raw Data'!AD:AD),"")</f>
        <v/>
      </c>
      <c r="AA329" s="156" t="str">
        <f>IFERROR(_xlfn.XLOOKUP($A329,'Raw Data'!$G:$G,'Raw Data'!AE:AE),"")</f>
        <v/>
      </c>
      <c r="AB329" s="156" t="str">
        <f>IFERROR(_xlfn.XLOOKUP($A329,'Raw Data'!$G:$G,'Raw Data'!$H:$H),"")</f>
        <v/>
      </c>
      <c r="AC329" s="162">
        <f>IFERROR(_xlfn.XLOOKUP($D329,'Modelling New'!$D:$D,'Modelling New'!$P:$P),"")</f>
        <v>6.9010874285714294</v>
      </c>
      <c r="AD329" s="156">
        <f>IFERROR(_xlfn.XLOOKUP($D329,'Modelling New'!$D:$D,'Modelling New'!$T:$T)*1000,"")</f>
        <v>57320.026734881634</v>
      </c>
      <c r="AE329" s="163">
        <f>IFERROR(_xlfn.XLOOKUP($D329,'Modelling New'!$D:$D,'Modelling New'!$O:$O),"")</f>
        <v>0.70869805877547398</v>
      </c>
      <c r="AF329" s="163">
        <f>IFERROR(_xlfn.XLOOKUP($D329,'Modelling New'!$D:$D,'Modelling New'!$W:$W),"")</f>
        <v>0.20378280266951659</v>
      </c>
      <c r="AG329" s="163">
        <f>IFERROR(_xlfn.XLOOKUP($D329,'Modelling New'!$D:$D,'Modelling New'!AE:AE),"")</f>
        <v>0.995</v>
      </c>
      <c r="AH329" s="163">
        <f>IFERROR(_xlfn.XLOOKUP($D329,'Modelling New'!$D:$D,'Modelling New'!AF:AF),"")</f>
        <v>0.98550000000000004</v>
      </c>
      <c r="AN329" s="164"/>
      <c r="AO329" s="161"/>
      <c r="AP329" s="161"/>
      <c r="AQ329" s="161"/>
      <c r="AR329" s="156">
        <f>IFERROR(_xlfn.XLOOKUP($D329,'Modelling New'!$D:$D,'Modelling New'!$N:$N),"")</f>
        <v>11.72</v>
      </c>
    </row>
    <row r="330" spans="1:44">
      <c r="A330" s="155">
        <f t="shared" si="24"/>
        <v>46073</v>
      </c>
      <c r="B330" s="156">
        <f>YEAR(Table13[[#This Row],[Date]])+IF(MONTH(Table13[[#This Row],[Date]])&gt;=4,1,0)</f>
        <v>2026</v>
      </c>
      <c r="C330" s="129">
        <f>YEAR(Table13[[#This Row],[Date]])</f>
        <v>2026</v>
      </c>
      <c r="D330" s="157">
        <f>Table13[[#This Row],[Date]]-DAY(Table13[[#This Row],[Date]])+1</f>
        <v>46054</v>
      </c>
      <c r="E330" s="129">
        <f t="shared" si="21"/>
        <v>28</v>
      </c>
      <c r="F330" s="130" t="str">
        <f>IFERROR(_xlfn.XLOOKUP($A330,'Raw Data'!$G:$G,'Raw Data'!$AH:$AH),"")</f>
        <v/>
      </c>
      <c r="G330" s="131" t="str">
        <f>IFERROR(_xlfn.XLOOKUP($A330,'Raw Data'!$G:$G,'Raw Data'!$S:$S)/1000,"")</f>
        <v/>
      </c>
      <c r="H330" s="131"/>
      <c r="I330" s="131" t="str">
        <f>IFERROR(_xlfn.XLOOKUP($A330,'Raw Data'!$G:$G,'Raw Data'!$AF:$AF)/1000,"")</f>
        <v/>
      </c>
      <c r="J330" s="131"/>
      <c r="K330" s="131" t="str">
        <f>IFERROR(_xlfn.XLOOKUP($A330,'Raw Data'!$G:$G,'Raw Data'!W:W),"")</f>
        <v/>
      </c>
      <c r="L330" s="131" t="str">
        <f>IFERROR(_xlfn.XLOOKUP($A330,'Raw Data'!$G:$G,'Raw Data'!X:X),"")</f>
        <v/>
      </c>
      <c r="M330" s="131" t="str">
        <f>IFERROR(_xlfn.XLOOKUP($A330,'Raw Data'!$G:$G,'Raw Data'!Y:Y),"")</f>
        <v/>
      </c>
      <c r="N330" s="131" t="str">
        <f>IFERROR(_xlfn.XLOOKUP($A330,'Raw Data'!$G:$G,'Raw Data'!Z:Z),"")</f>
        <v/>
      </c>
      <c r="O330" s="158" t="str">
        <f>IFERROR(1-SUMIF('Plant BD'!$H:$H,$A330,'Plant BD'!AC:AC)/$F330,"")</f>
        <v/>
      </c>
      <c r="P330" s="158"/>
      <c r="Q330" s="159"/>
      <c r="R330" s="158" t="str">
        <f>IFERROR(1-SUMIF('Grid BD'!$H:$H,$A330,'Grid BD'!AB:AB)/$F330,"")</f>
        <v/>
      </c>
      <c r="T330" s="159" t="str">
        <f>IFERROR(1-SUMIF(Tracker_BD!$H:$H,$A330,Tracker_BD!AI:AI)/$F330,"")</f>
        <v/>
      </c>
      <c r="U330" s="160" t="str">
        <f t="shared" si="22"/>
        <v/>
      </c>
      <c r="V330" s="160"/>
      <c r="W330" s="161" t="str">
        <f t="shared" si="23"/>
        <v/>
      </c>
      <c r="X330" s="156" t="str">
        <f>IFERROR(_xlfn.XLOOKUP($A330,'Raw Data'!$G:$G,'Raw Data'!$AB:$AB),"")</f>
        <v/>
      </c>
      <c r="Y330" s="156" t="str">
        <f>IFERROR(_xlfn.XLOOKUP($A330,'Raw Data'!$G:$G,'Raw Data'!AC:AC),"")</f>
        <v/>
      </c>
      <c r="Z330" s="156" t="str">
        <f>IFERROR(_xlfn.XLOOKUP($A330,'Raw Data'!$G:$G,'Raw Data'!AD:AD),"")</f>
        <v/>
      </c>
      <c r="AA330" s="156" t="str">
        <f>IFERROR(_xlfn.XLOOKUP($A330,'Raw Data'!$G:$G,'Raw Data'!AE:AE),"")</f>
        <v/>
      </c>
      <c r="AB330" s="156" t="str">
        <f>IFERROR(_xlfn.XLOOKUP($A330,'Raw Data'!$G:$G,'Raw Data'!$H:$H),"")</f>
        <v/>
      </c>
      <c r="AC330" s="162">
        <f>IFERROR(_xlfn.XLOOKUP($D330,'Modelling New'!$D:$D,'Modelling New'!$P:$P),"")</f>
        <v>6.9010874285714294</v>
      </c>
      <c r="AD330" s="156">
        <f>IFERROR(_xlfn.XLOOKUP($D330,'Modelling New'!$D:$D,'Modelling New'!$T:$T)*1000,"")</f>
        <v>57320.026734881634</v>
      </c>
      <c r="AE330" s="163">
        <f>IFERROR(_xlfn.XLOOKUP($D330,'Modelling New'!$D:$D,'Modelling New'!$O:$O),"")</f>
        <v>0.70869805877547398</v>
      </c>
      <c r="AF330" s="163">
        <f>IFERROR(_xlfn.XLOOKUP($D330,'Modelling New'!$D:$D,'Modelling New'!$W:$W),"")</f>
        <v>0.20378280266951659</v>
      </c>
      <c r="AG330" s="163">
        <f>IFERROR(_xlfn.XLOOKUP($D330,'Modelling New'!$D:$D,'Modelling New'!AE:AE),"")</f>
        <v>0.995</v>
      </c>
      <c r="AH330" s="163">
        <f>IFERROR(_xlfn.XLOOKUP($D330,'Modelling New'!$D:$D,'Modelling New'!AF:AF),"")</f>
        <v>0.98550000000000004</v>
      </c>
      <c r="AN330" s="164"/>
      <c r="AO330" s="161"/>
      <c r="AP330" s="161"/>
      <c r="AQ330" s="161"/>
      <c r="AR330" s="156">
        <f>IFERROR(_xlfn.XLOOKUP($D330,'Modelling New'!$D:$D,'Modelling New'!$N:$N),"")</f>
        <v>11.72</v>
      </c>
    </row>
    <row r="331" spans="1:44">
      <c r="A331" s="155">
        <f t="shared" si="24"/>
        <v>46074</v>
      </c>
      <c r="B331" s="156">
        <f>YEAR(Table13[[#This Row],[Date]])+IF(MONTH(Table13[[#This Row],[Date]])&gt;=4,1,0)</f>
        <v>2026</v>
      </c>
      <c r="C331" s="129">
        <f>YEAR(Table13[[#This Row],[Date]])</f>
        <v>2026</v>
      </c>
      <c r="D331" s="157">
        <f>Table13[[#This Row],[Date]]-DAY(Table13[[#This Row],[Date]])+1</f>
        <v>46054</v>
      </c>
      <c r="E331" s="129">
        <f t="shared" si="21"/>
        <v>28</v>
      </c>
      <c r="F331" s="130" t="str">
        <f>IFERROR(_xlfn.XLOOKUP($A331,'Raw Data'!$G:$G,'Raw Data'!$AH:$AH),"")</f>
        <v/>
      </c>
      <c r="G331" s="131" t="str">
        <f>IFERROR(_xlfn.XLOOKUP($A331,'Raw Data'!$G:$G,'Raw Data'!$S:$S)/1000,"")</f>
        <v/>
      </c>
      <c r="H331" s="131"/>
      <c r="I331" s="131" t="str">
        <f>IFERROR(_xlfn.XLOOKUP($A331,'Raw Data'!$G:$G,'Raw Data'!$AF:$AF)/1000,"")</f>
        <v/>
      </c>
      <c r="J331" s="131"/>
      <c r="K331" s="131" t="str">
        <f>IFERROR(_xlfn.XLOOKUP($A331,'Raw Data'!$G:$G,'Raw Data'!W:W),"")</f>
        <v/>
      </c>
      <c r="L331" s="131" t="str">
        <f>IFERROR(_xlfn.XLOOKUP($A331,'Raw Data'!$G:$G,'Raw Data'!X:X),"")</f>
        <v/>
      </c>
      <c r="M331" s="131" t="str">
        <f>IFERROR(_xlfn.XLOOKUP($A331,'Raw Data'!$G:$G,'Raw Data'!Y:Y),"")</f>
        <v/>
      </c>
      <c r="N331" s="131" t="str">
        <f>IFERROR(_xlfn.XLOOKUP($A331,'Raw Data'!$G:$G,'Raw Data'!Z:Z),"")</f>
        <v/>
      </c>
      <c r="O331" s="158" t="str">
        <f>IFERROR(1-SUMIF('Plant BD'!$H:$H,$A331,'Plant BD'!AC:AC)/$F331,"")</f>
        <v/>
      </c>
      <c r="P331" s="158"/>
      <c r="Q331" s="159"/>
      <c r="R331" s="158" t="str">
        <f>IFERROR(1-SUMIF('Grid BD'!$H:$H,$A331,'Grid BD'!AB:AB)/$F331,"")</f>
        <v/>
      </c>
      <c r="T331" s="159" t="str">
        <f>IFERROR(1-SUMIF(Tracker_BD!$H:$H,$A331,Tracker_BD!AI:AI)/$F331,"")</f>
        <v/>
      </c>
      <c r="U331" s="160" t="str">
        <f t="shared" si="22"/>
        <v/>
      </c>
      <c r="V331" s="160"/>
      <c r="W331" s="161" t="str">
        <f t="shared" si="23"/>
        <v/>
      </c>
      <c r="X331" s="156" t="str">
        <f>IFERROR(_xlfn.XLOOKUP($A331,'Raw Data'!$G:$G,'Raw Data'!$AB:$AB),"")</f>
        <v/>
      </c>
      <c r="Y331" s="156" t="str">
        <f>IFERROR(_xlfn.XLOOKUP($A331,'Raw Data'!$G:$G,'Raw Data'!AC:AC),"")</f>
        <v/>
      </c>
      <c r="Z331" s="156" t="str">
        <f>IFERROR(_xlfn.XLOOKUP($A331,'Raw Data'!$G:$G,'Raw Data'!AD:AD),"")</f>
        <v/>
      </c>
      <c r="AA331" s="156" t="str">
        <f>IFERROR(_xlfn.XLOOKUP($A331,'Raw Data'!$G:$G,'Raw Data'!AE:AE),"")</f>
        <v/>
      </c>
      <c r="AB331" s="156" t="str">
        <f>IFERROR(_xlfn.XLOOKUP($A331,'Raw Data'!$G:$G,'Raw Data'!$H:$H),"")</f>
        <v/>
      </c>
      <c r="AC331" s="162">
        <f>IFERROR(_xlfn.XLOOKUP($D331,'Modelling New'!$D:$D,'Modelling New'!$P:$P),"")</f>
        <v>6.9010874285714294</v>
      </c>
      <c r="AD331" s="156">
        <f>IFERROR(_xlfn.XLOOKUP($D331,'Modelling New'!$D:$D,'Modelling New'!$T:$T)*1000,"")</f>
        <v>57320.026734881634</v>
      </c>
      <c r="AE331" s="163">
        <f>IFERROR(_xlfn.XLOOKUP($D331,'Modelling New'!$D:$D,'Modelling New'!$O:$O),"")</f>
        <v>0.70869805877547398</v>
      </c>
      <c r="AF331" s="163">
        <f>IFERROR(_xlfn.XLOOKUP($D331,'Modelling New'!$D:$D,'Modelling New'!$W:$W),"")</f>
        <v>0.20378280266951659</v>
      </c>
      <c r="AG331" s="163">
        <f>IFERROR(_xlfn.XLOOKUP($D331,'Modelling New'!$D:$D,'Modelling New'!AE:AE),"")</f>
        <v>0.995</v>
      </c>
      <c r="AH331" s="163">
        <f>IFERROR(_xlfn.XLOOKUP($D331,'Modelling New'!$D:$D,'Modelling New'!AF:AF),"")</f>
        <v>0.98550000000000004</v>
      </c>
      <c r="AN331" s="164"/>
      <c r="AO331" s="161"/>
      <c r="AP331" s="161"/>
      <c r="AQ331" s="161"/>
      <c r="AR331" s="156">
        <f>IFERROR(_xlfn.XLOOKUP($D331,'Modelling New'!$D:$D,'Modelling New'!$N:$N),"")</f>
        <v>11.72</v>
      </c>
    </row>
    <row r="332" spans="1:44">
      <c r="A332" s="155">
        <f t="shared" si="24"/>
        <v>46075</v>
      </c>
      <c r="B332" s="156">
        <f>YEAR(Table13[[#This Row],[Date]])+IF(MONTH(Table13[[#This Row],[Date]])&gt;=4,1,0)</f>
        <v>2026</v>
      </c>
      <c r="C332" s="129">
        <f>YEAR(Table13[[#This Row],[Date]])</f>
        <v>2026</v>
      </c>
      <c r="D332" s="157">
        <f>Table13[[#This Row],[Date]]-DAY(Table13[[#This Row],[Date]])+1</f>
        <v>46054</v>
      </c>
      <c r="E332" s="129">
        <f t="shared" si="21"/>
        <v>28</v>
      </c>
      <c r="F332" s="130" t="str">
        <f>IFERROR(_xlfn.XLOOKUP($A332,'Raw Data'!$G:$G,'Raw Data'!$AH:$AH),"")</f>
        <v/>
      </c>
      <c r="G332" s="131" t="str">
        <f>IFERROR(_xlfn.XLOOKUP($A332,'Raw Data'!$G:$G,'Raw Data'!$S:$S)/1000,"")</f>
        <v/>
      </c>
      <c r="H332" s="131"/>
      <c r="I332" s="131" t="str">
        <f>IFERROR(_xlfn.XLOOKUP($A332,'Raw Data'!$G:$G,'Raw Data'!$AF:$AF)/1000,"")</f>
        <v/>
      </c>
      <c r="J332" s="131"/>
      <c r="K332" s="131" t="str">
        <f>IFERROR(_xlfn.XLOOKUP($A332,'Raw Data'!$G:$G,'Raw Data'!W:W),"")</f>
        <v/>
      </c>
      <c r="L332" s="131" t="str">
        <f>IFERROR(_xlfn.XLOOKUP($A332,'Raw Data'!$G:$G,'Raw Data'!X:X),"")</f>
        <v/>
      </c>
      <c r="M332" s="131" t="str">
        <f>IFERROR(_xlfn.XLOOKUP($A332,'Raw Data'!$G:$G,'Raw Data'!Y:Y),"")</f>
        <v/>
      </c>
      <c r="N332" s="131" t="str">
        <f>IFERROR(_xlfn.XLOOKUP($A332,'Raw Data'!$G:$G,'Raw Data'!Z:Z),"")</f>
        <v/>
      </c>
      <c r="O332" s="158" t="str">
        <f>IFERROR(1-SUMIF('Plant BD'!$H:$H,$A332,'Plant BD'!AC:AC)/$F332,"")</f>
        <v/>
      </c>
      <c r="P332" s="158"/>
      <c r="Q332" s="159"/>
      <c r="R332" s="158" t="str">
        <f>IFERROR(1-SUMIF('Grid BD'!$H:$H,$A332,'Grid BD'!AB:AB)/$F332,"")</f>
        <v/>
      </c>
      <c r="T332" s="159" t="str">
        <f>IFERROR(1-SUMIF(Tracker_BD!$H:$H,$A332,Tracker_BD!AI:AI)/$F332,"")</f>
        <v/>
      </c>
      <c r="U332" s="160" t="str">
        <f t="shared" si="22"/>
        <v/>
      </c>
      <c r="V332" s="160"/>
      <c r="W332" s="161" t="str">
        <f t="shared" si="23"/>
        <v/>
      </c>
      <c r="X332" s="156" t="str">
        <f>IFERROR(_xlfn.XLOOKUP($A332,'Raw Data'!$G:$G,'Raw Data'!$AB:$AB),"")</f>
        <v/>
      </c>
      <c r="Y332" s="156" t="str">
        <f>IFERROR(_xlfn.XLOOKUP($A332,'Raw Data'!$G:$G,'Raw Data'!AC:AC),"")</f>
        <v/>
      </c>
      <c r="Z332" s="156" t="str">
        <f>IFERROR(_xlfn.XLOOKUP($A332,'Raw Data'!$G:$G,'Raw Data'!AD:AD),"")</f>
        <v/>
      </c>
      <c r="AA332" s="156" t="str">
        <f>IFERROR(_xlfn.XLOOKUP($A332,'Raw Data'!$G:$G,'Raw Data'!AE:AE),"")</f>
        <v/>
      </c>
      <c r="AB332" s="156" t="str">
        <f>IFERROR(_xlfn.XLOOKUP($A332,'Raw Data'!$G:$G,'Raw Data'!$H:$H),"")</f>
        <v/>
      </c>
      <c r="AC332" s="162">
        <f>IFERROR(_xlfn.XLOOKUP($D332,'Modelling New'!$D:$D,'Modelling New'!$P:$P),"")</f>
        <v>6.9010874285714294</v>
      </c>
      <c r="AD332" s="156">
        <f>IFERROR(_xlfn.XLOOKUP($D332,'Modelling New'!$D:$D,'Modelling New'!$T:$T)*1000,"")</f>
        <v>57320.026734881634</v>
      </c>
      <c r="AE332" s="163">
        <f>IFERROR(_xlfn.XLOOKUP($D332,'Modelling New'!$D:$D,'Modelling New'!$O:$O),"")</f>
        <v>0.70869805877547398</v>
      </c>
      <c r="AF332" s="163">
        <f>IFERROR(_xlfn.XLOOKUP($D332,'Modelling New'!$D:$D,'Modelling New'!$W:$W),"")</f>
        <v>0.20378280266951659</v>
      </c>
      <c r="AG332" s="163">
        <f>IFERROR(_xlfn.XLOOKUP($D332,'Modelling New'!$D:$D,'Modelling New'!AE:AE),"")</f>
        <v>0.995</v>
      </c>
      <c r="AH332" s="163">
        <f>IFERROR(_xlfn.XLOOKUP($D332,'Modelling New'!$D:$D,'Modelling New'!AF:AF),"")</f>
        <v>0.98550000000000004</v>
      </c>
      <c r="AN332" s="164"/>
      <c r="AO332" s="161"/>
      <c r="AP332" s="161"/>
      <c r="AQ332" s="161"/>
      <c r="AR332" s="156">
        <f>IFERROR(_xlfn.XLOOKUP($D332,'Modelling New'!$D:$D,'Modelling New'!$N:$N),"")</f>
        <v>11.72</v>
      </c>
    </row>
    <row r="333" spans="1:44">
      <c r="A333" s="155">
        <f t="shared" si="24"/>
        <v>46076</v>
      </c>
      <c r="B333" s="156">
        <f>YEAR(Table13[[#This Row],[Date]])+IF(MONTH(Table13[[#This Row],[Date]])&gt;=4,1,0)</f>
        <v>2026</v>
      </c>
      <c r="C333" s="129">
        <f>YEAR(Table13[[#This Row],[Date]])</f>
        <v>2026</v>
      </c>
      <c r="D333" s="157">
        <f>Table13[[#This Row],[Date]]-DAY(Table13[[#This Row],[Date]])+1</f>
        <v>46054</v>
      </c>
      <c r="E333" s="129">
        <f t="shared" si="21"/>
        <v>28</v>
      </c>
      <c r="F333" s="130" t="str">
        <f>IFERROR(_xlfn.XLOOKUP($A333,'Raw Data'!$G:$G,'Raw Data'!$AH:$AH),"")</f>
        <v/>
      </c>
      <c r="G333" s="131" t="str">
        <f>IFERROR(_xlfn.XLOOKUP($A333,'Raw Data'!$G:$G,'Raw Data'!$S:$S)/1000,"")</f>
        <v/>
      </c>
      <c r="H333" s="131"/>
      <c r="I333" s="131" t="str">
        <f>IFERROR(_xlfn.XLOOKUP($A333,'Raw Data'!$G:$G,'Raw Data'!$AF:$AF)/1000,"")</f>
        <v/>
      </c>
      <c r="J333" s="131"/>
      <c r="K333" s="131" t="str">
        <f>IFERROR(_xlfn.XLOOKUP($A333,'Raw Data'!$G:$G,'Raw Data'!W:W),"")</f>
        <v/>
      </c>
      <c r="L333" s="131" t="str">
        <f>IFERROR(_xlfn.XLOOKUP($A333,'Raw Data'!$G:$G,'Raw Data'!X:X),"")</f>
        <v/>
      </c>
      <c r="M333" s="131" t="str">
        <f>IFERROR(_xlfn.XLOOKUP($A333,'Raw Data'!$G:$G,'Raw Data'!Y:Y),"")</f>
        <v/>
      </c>
      <c r="N333" s="131" t="str">
        <f>IFERROR(_xlfn.XLOOKUP($A333,'Raw Data'!$G:$G,'Raw Data'!Z:Z),"")</f>
        <v/>
      </c>
      <c r="O333" s="158" t="str">
        <f>IFERROR(1-SUMIF('Plant BD'!$H:$H,$A333,'Plant BD'!AC:AC)/$F333,"")</f>
        <v/>
      </c>
      <c r="P333" s="158"/>
      <c r="Q333" s="159"/>
      <c r="R333" s="158" t="str">
        <f>IFERROR(1-SUMIF('Grid BD'!$H:$H,$A333,'Grid BD'!AB:AB)/$F333,"")</f>
        <v/>
      </c>
      <c r="T333" s="159" t="str">
        <f>IFERROR(1-SUMIF(Tracker_BD!$H:$H,$A333,Tracker_BD!AI:AI)/$F333,"")</f>
        <v/>
      </c>
      <c r="U333" s="160" t="str">
        <f t="shared" si="22"/>
        <v/>
      </c>
      <c r="V333" s="160"/>
      <c r="W333" s="161" t="str">
        <f t="shared" si="23"/>
        <v/>
      </c>
      <c r="X333" s="156" t="str">
        <f>IFERROR(_xlfn.XLOOKUP($A333,'Raw Data'!$G:$G,'Raw Data'!$AB:$AB),"")</f>
        <v/>
      </c>
      <c r="Y333" s="156" t="str">
        <f>IFERROR(_xlfn.XLOOKUP($A333,'Raw Data'!$G:$G,'Raw Data'!AC:AC),"")</f>
        <v/>
      </c>
      <c r="Z333" s="156" t="str">
        <f>IFERROR(_xlfn.XLOOKUP($A333,'Raw Data'!$G:$G,'Raw Data'!AD:AD),"")</f>
        <v/>
      </c>
      <c r="AA333" s="156" t="str">
        <f>IFERROR(_xlfn.XLOOKUP($A333,'Raw Data'!$G:$G,'Raw Data'!AE:AE),"")</f>
        <v/>
      </c>
      <c r="AB333" s="156" t="str">
        <f>IFERROR(_xlfn.XLOOKUP($A333,'Raw Data'!$G:$G,'Raw Data'!$H:$H),"")</f>
        <v/>
      </c>
      <c r="AC333" s="162">
        <f>IFERROR(_xlfn.XLOOKUP($D333,'Modelling New'!$D:$D,'Modelling New'!$P:$P),"")</f>
        <v>6.9010874285714294</v>
      </c>
      <c r="AD333" s="156">
        <f>IFERROR(_xlfn.XLOOKUP($D333,'Modelling New'!$D:$D,'Modelling New'!$T:$T)*1000,"")</f>
        <v>57320.026734881634</v>
      </c>
      <c r="AE333" s="163">
        <f>IFERROR(_xlfn.XLOOKUP($D333,'Modelling New'!$D:$D,'Modelling New'!$O:$O),"")</f>
        <v>0.70869805877547398</v>
      </c>
      <c r="AF333" s="163">
        <f>IFERROR(_xlfn.XLOOKUP($D333,'Modelling New'!$D:$D,'Modelling New'!$W:$W),"")</f>
        <v>0.20378280266951659</v>
      </c>
      <c r="AG333" s="163">
        <f>IFERROR(_xlfn.XLOOKUP($D333,'Modelling New'!$D:$D,'Modelling New'!AE:AE),"")</f>
        <v>0.995</v>
      </c>
      <c r="AH333" s="163">
        <f>IFERROR(_xlfn.XLOOKUP($D333,'Modelling New'!$D:$D,'Modelling New'!AF:AF),"")</f>
        <v>0.98550000000000004</v>
      </c>
      <c r="AN333" s="164"/>
      <c r="AO333" s="161"/>
      <c r="AP333" s="161"/>
      <c r="AQ333" s="161"/>
      <c r="AR333" s="156">
        <f>IFERROR(_xlfn.XLOOKUP($D333,'Modelling New'!$D:$D,'Modelling New'!$N:$N),"")</f>
        <v>11.72</v>
      </c>
    </row>
    <row r="334" spans="1:44">
      <c r="A334" s="155">
        <f t="shared" si="24"/>
        <v>46077</v>
      </c>
      <c r="B334" s="156">
        <f>YEAR(Table13[[#This Row],[Date]])+IF(MONTH(Table13[[#This Row],[Date]])&gt;=4,1,0)</f>
        <v>2026</v>
      </c>
      <c r="C334" s="129">
        <f>YEAR(Table13[[#This Row],[Date]])</f>
        <v>2026</v>
      </c>
      <c r="D334" s="157">
        <f>Table13[[#This Row],[Date]]-DAY(Table13[[#This Row],[Date]])+1</f>
        <v>46054</v>
      </c>
      <c r="E334" s="129">
        <f t="shared" si="21"/>
        <v>28</v>
      </c>
      <c r="F334" s="130" t="str">
        <f>IFERROR(_xlfn.XLOOKUP($A334,'Raw Data'!$G:$G,'Raw Data'!$AH:$AH),"")</f>
        <v/>
      </c>
      <c r="G334" s="131" t="str">
        <f>IFERROR(_xlfn.XLOOKUP($A334,'Raw Data'!$G:$G,'Raw Data'!$S:$S)/1000,"")</f>
        <v/>
      </c>
      <c r="H334" s="131"/>
      <c r="I334" s="131" t="str">
        <f>IFERROR(_xlfn.XLOOKUP($A334,'Raw Data'!$G:$G,'Raw Data'!$AF:$AF)/1000,"")</f>
        <v/>
      </c>
      <c r="J334" s="131"/>
      <c r="K334" s="131" t="str">
        <f>IFERROR(_xlfn.XLOOKUP($A334,'Raw Data'!$G:$G,'Raw Data'!W:W),"")</f>
        <v/>
      </c>
      <c r="L334" s="131" t="str">
        <f>IFERROR(_xlfn.XLOOKUP($A334,'Raw Data'!$G:$G,'Raw Data'!X:X),"")</f>
        <v/>
      </c>
      <c r="M334" s="131" t="str">
        <f>IFERROR(_xlfn.XLOOKUP($A334,'Raw Data'!$G:$G,'Raw Data'!Y:Y),"")</f>
        <v/>
      </c>
      <c r="N334" s="131" t="str">
        <f>IFERROR(_xlfn.XLOOKUP($A334,'Raw Data'!$G:$G,'Raw Data'!Z:Z),"")</f>
        <v/>
      </c>
      <c r="O334" s="158" t="str">
        <f>IFERROR(1-SUMIF('Plant BD'!$H:$H,$A334,'Plant BD'!AC:AC)/$F334,"")</f>
        <v/>
      </c>
      <c r="P334" s="158"/>
      <c r="Q334" s="159"/>
      <c r="R334" s="158" t="str">
        <f>IFERROR(1-SUMIF('Grid BD'!$H:$H,$A334,'Grid BD'!AB:AB)/$F334,"")</f>
        <v/>
      </c>
      <c r="T334" s="159" t="str">
        <f>IFERROR(1-SUMIF(Tracker_BD!$H:$H,$A334,Tracker_BD!AI:AI)/$F334,"")</f>
        <v/>
      </c>
      <c r="U334" s="160" t="str">
        <f t="shared" si="22"/>
        <v/>
      </c>
      <c r="V334" s="160"/>
      <c r="W334" s="161" t="str">
        <f t="shared" si="23"/>
        <v/>
      </c>
      <c r="X334" s="156" t="str">
        <f>IFERROR(_xlfn.XLOOKUP($A334,'Raw Data'!$G:$G,'Raw Data'!$AB:$AB),"")</f>
        <v/>
      </c>
      <c r="Y334" s="156" t="str">
        <f>IFERROR(_xlfn.XLOOKUP($A334,'Raw Data'!$G:$G,'Raw Data'!AC:AC),"")</f>
        <v/>
      </c>
      <c r="Z334" s="156" t="str">
        <f>IFERROR(_xlfn.XLOOKUP($A334,'Raw Data'!$G:$G,'Raw Data'!AD:AD),"")</f>
        <v/>
      </c>
      <c r="AA334" s="156" t="str">
        <f>IFERROR(_xlfn.XLOOKUP($A334,'Raw Data'!$G:$G,'Raw Data'!AE:AE),"")</f>
        <v/>
      </c>
      <c r="AB334" s="156" t="str">
        <f>IFERROR(_xlfn.XLOOKUP($A334,'Raw Data'!$G:$G,'Raw Data'!$H:$H),"")</f>
        <v/>
      </c>
      <c r="AC334" s="162">
        <f>IFERROR(_xlfn.XLOOKUP($D334,'Modelling New'!$D:$D,'Modelling New'!$P:$P),"")</f>
        <v>6.9010874285714294</v>
      </c>
      <c r="AD334" s="156">
        <f>IFERROR(_xlfn.XLOOKUP($D334,'Modelling New'!$D:$D,'Modelling New'!$T:$T)*1000,"")</f>
        <v>57320.026734881634</v>
      </c>
      <c r="AE334" s="163">
        <f>IFERROR(_xlfn.XLOOKUP($D334,'Modelling New'!$D:$D,'Modelling New'!$O:$O),"")</f>
        <v>0.70869805877547398</v>
      </c>
      <c r="AF334" s="163">
        <f>IFERROR(_xlfn.XLOOKUP($D334,'Modelling New'!$D:$D,'Modelling New'!$W:$W),"")</f>
        <v>0.20378280266951659</v>
      </c>
      <c r="AG334" s="163">
        <f>IFERROR(_xlfn.XLOOKUP($D334,'Modelling New'!$D:$D,'Modelling New'!AE:AE),"")</f>
        <v>0.995</v>
      </c>
      <c r="AH334" s="163">
        <f>IFERROR(_xlfn.XLOOKUP($D334,'Modelling New'!$D:$D,'Modelling New'!AF:AF),"")</f>
        <v>0.98550000000000004</v>
      </c>
      <c r="AN334" s="164"/>
      <c r="AO334" s="161"/>
      <c r="AP334" s="161"/>
      <c r="AQ334" s="161"/>
      <c r="AR334" s="156">
        <f>IFERROR(_xlfn.XLOOKUP($D334,'Modelling New'!$D:$D,'Modelling New'!$N:$N),"")</f>
        <v>11.72</v>
      </c>
    </row>
    <row r="335" spans="1:44">
      <c r="A335" s="155">
        <f t="shared" si="24"/>
        <v>46078</v>
      </c>
      <c r="B335" s="156">
        <f>YEAR(Table13[[#This Row],[Date]])+IF(MONTH(Table13[[#This Row],[Date]])&gt;=4,1,0)</f>
        <v>2026</v>
      </c>
      <c r="C335" s="129">
        <f>YEAR(Table13[[#This Row],[Date]])</f>
        <v>2026</v>
      </c>
      <c r="D335" s="157">
        <f>Table13[[#This Row],[Date]]-DAY(Table13[[#This Row],[Date]])+1</f>
        <v>46054</v>
      </c>
      <c r="E335" s="129">
        <f t="shared" si="21"/>
        <v>28</v>
      </c>
      <c r="F335" s="130" t="str">
        <f>IFERROR(_xlfn.XLOOKUP($A335,'Raw Data'!$G:$G,'Raw Data'!$AH:$AH),"")</f>
        <v/>
      </c>
      <c r="G335" s="131" t="str">
        <f>IFERROR(_xlfn.XLOOKUP($A335,'Raw Data'!$G:$G,'Raw Data'!$S:$S)/1000,"")</f>
        <v/>
      </c>
      <c r="H335" s="131"/>
      <c r="I335" s="131" t="str">
        <f>IFERROR(_xlfn.XLOOKUP($A335,'Raw Data'!$G:$G,'Raw Data'!$AF:$AF)/1000,"")</f>
        <v/>
      </c>
      <c r="J335" s="131"/>
      <c r="K335" s="131" t="str">
        <f>IFERROR(_xlfn.XLOOKUP($A335,'Raw Data'!$G:$G,'Raw Data'!W:W),"")</f>
        <v/>
      </c>
      <c r="L335" s="131" t="str">
        <f>IFERROR(_xlfn.XLOOKUP($A335,'Raw Data'!$G:$G,'Raw Data'!X:X),"")</f>
        <v/>
      </c>
      <c r="M335" s="131" t="str">
        <f>IFERROR(_xlfn.XLOOKUP($A335,'Raw Data'!$G:$G,'Raw Data'!Y:Y),"")</f>
        <v/>
      </c>
      <c r="N335" s="131" t="str">
        <f>IFERROR(_xlfn.XLOOKUP($A335,'Raw Data'!$G:$G,'Raw Data'!Z:Z),"")</f>
        <v/>
      </c>
      <c r="O335" s="158" t="str">
        <f>IFERROR(1-SUMIF('Plant BD'!$H:$H,$A335,'Plant BD'!AC:AC)/$F335,"")</f>
        <v/>
      </c>
      <c r="P335" s="158"/>
      <c r="Q335" s="159"/>
      <c r="R335" s="158" t="str">
        <f>IFERROR(1-SUMIF('Grid BD'!$H:$H,$A335,'Grid BD'!AB:AB)/$F335,"")</f>
        <v/>
      </c>
      <c r="T335" s="159" t="str">
        <f>IFERROR(1-SUMIF(Tracker_BD!$H:$H,$A335,Tracker_BD!AI:AI)/$F335,"")</f>
        <v/>
      </c>
      <c r="U335" s="160" t="str">
        <f t="shared" si="22"/>
        <v/>
      </c>
      <c r="V335" s="160"/>
      <c r="W335" s="161" t="str">
        <f t="shared" si="23"/>
        <v/>
      </c>
      <c r="X335" s="156" t="str">
        <f>IFERROR(_xlfn.XLOOKUP($A335,'Raw Data'!$G:$G,'Raw Data'!$AB:$AB),"")</f>
        <v/>
      </c>
      <c r="Y335" s="156" t="str">
        <f>IFERROR(_xlfn.XLOOKUP($A335,'Raw Data'!$G:$G,'Raw Data'!AC:AC),"")</f>
        <v/>
      </c>
      <c r="Z335" s="156" t="str">
        <f>IFERROR(_xlfn.XLOOKUP($A335,'Raw Data'!$G:$G,'Raw Data'!AD:AD),"")</f>
        <v/>
      </c>
      <c r="AA335" s="156" t="str">
        <f>IFERROR(_xlfn.XLOOKUP($A335,'Raw Data'!$G:$G,'Raw Data'!AE:AE),"")</f>
        <v/>
      </c>
      <c r="AB335" s="156" t="str">
        <f>IFERROR(_xlfn.XLOOKUP($A335,'Raw Data'!$G:$G,'Raw Data'!$H:$H),"")</f>
        <v/>
      </c>
      <c r="AC335" s="162">
        <f>IFERROR(_xlfn.XLOOKUP($D335,'Modelling New'!$D:$D,'Modelling New'!$P:$P),"")</f>
        <v>6.9010874285714294</v>
      </c>
      <c r="AD335" s="156">
        <f>IFERROR(_xlfn.XLOOKUP($D335,'Modelling New'!$D:$D,'Modelling New'!$T:$T)*1000,"")</f>
        <v>57320.026734881634</v>
      </c>
      <c r="AE335" s="163">
        <f>IFERROR(_xlfn.XLOOKUP($D335,'Modelling New'!$D:$D,'Modelling New'!$O:$O),"")</f>
        <v>0.70869805877547398</v>
      </c>
      <c r="AF335" s="163">
        <f>IFERROR(_xlfn.XLOOKUP($D335,'Modelling New'!$D:$D,'Modelling New'!$W:$W),"")</f>
        <v>0.20378280266951659</v>
      </c>
      <c r="AG335" s="163">
        <f>IFERROR(_xlfn.XLOOKUP($D335,'Modelling New'!$D:$D,'Modelling New'!AE:AE),"")</f>
        <v>0.995</v>
      </c>
      <c r="AH335" s="163">
        <f>IFERROR(_xlfn.XLOOKUP($D335,'Modelling New'!$D:$D,'Modelling New'!AF:AF),"")</f>
        <v>0.98550000000000004</v>
      </c>
      <c r="AN335" s="164"/>
      <c r="AO335" s="161"/>
      <c r="AP335" s="161"/>
      <c r="AQ335" s="161"/>
      <c r="AR335" s="156">
        <f>IFERROR(_xlfn.XLOOKUP($D335,'Modelling New'!$D:$D,'Modelling New'!$N:$N),"")</f>
        <v>11.72</v>
      </c>
    </row>
    <row r="336" spans="1:44">
      <c r="A336" s="155">
        <f t="shared" si="24"/>
        <v>46079</v>
      </c>
      <c r="B336" s="156">
        <f>YEAR(Table13[[#This Row],[Date]])+IF(MONTH(Table13[[#This Row],[Date]])&gt;=4,1,0)</f>
        <v>2026</v>
      </c>
      <c r="C336" s="129">
        <f>YEAR(Table13[[#This Row],[Date]])</f>
        <v>2026</v>
      </c>
      <c r="D336" s="157">
        <f>Table13[[#This Row],[Date]]-DAY(Table13[[#This Row],[Date]])+1</f>
        <v>46054</v>
      </c>
      <c r="E336" s="129">
        <f t="shared" si="21"/>
        <v>28</v>
      </c>
      <c r="F336" s="130" t="str">
        <f>IFERROR(_xlfn.XLOOKUP($A336,'Raw Data'!$G:$G,'Raw Data'!$AH:$AH),"")</f>
        <v/>
      </c>
      <c r="G336" s="131" t="str">
        <f>IFERROR(_xlfn.XLOOKUP($A336,'Raw Data'!$G:$G,'Raw Data'!$S:$S)/1000,"")</f>
        <v/>
      </c>
      <c r="H336" s="131"/>
      <c r="I336" s="131" t="str">
        <f>IFERROR(_xlfn.XLOOKUP($A336,'Raw Data'!$G:$G,'Raw Data'!$AF:$AF)/1000,"")</f>
        <v/>
      </c>
      <c r="J336" s="131"/>
      <c r="K336" s="131" t="str">
        <f>IFERROR(_xlfn.XLOOKUP($A336,'Raw Data'!$G:$G,'Raw Data'!W:W),"")</f>
        <v/>
      </c>
      <c r="L336" s="131" t="str">
        <f>IFERROR(_xlfn.XLOOKUP($A336,'Raw Data'!$G:$G,'Raw Data'!X:X),"")</f>
        <v/>
      </c>
      <c r="M336" s="131" t="str">
        <f>IFERROR(_xlfn.XLOOKUP($A336,'Raw Data'!$G:$G,'Raw Data'!Y:Y),"")</f>
        <v/>
      </c>
      <c r="N336" s="131" t="str">
        <f>IFERROR(_xlfn.XLOOKUP($A336,'Raw Data'!$G:$G,'Raw Data'!Z:Z),"")</f>
        <v/>
      </c>
      <c r="O336" s="158" t="str">
        <f>IFERROR(1-SUMIF('Plant BD'!$H:$H,$A336,'Plant BD'!AC:AC)/$F336,"")</f>
        <v/>
      </c>
      <c r="P336" s="158"/>
      <c r="Q336" s="159"/>
      <c r="R336" s="158" t="str">
        <f>IFERROR(1-SUMIF('Grid BD'!$H:$H,$A336,'Grid BD'!AB:AB)/$F336,"")</f>
        <v/>
      </c>
      <c r="T336" s="159" t="str">
        <f>IFERROR(1-SUMIF(Tracker_BD!$H:$H,$A336,Tracker_BD!AI:AI)/$F336,"")</f>
        <v/>
      </c>
      <c r="U336" s="160" t="str">
        <f t="shared" si="22"/>
        <v/>
      </c>
      <c r="V336" s="160"/>
      <c r="W336" s="161" t="str">
        <f t="shared" si="23"/>
        <v/>
      </c>
      <c r="X336" s="156" t="str">
        <f>IFERROR(_xlfn.XLOOKUP($A336,'Raw Data'!$G:$G,'Raw Data'!$AB:$AB),"")</f>
        <v/>
      </c>
      <c r="Y336" s="156" t="str">
        <f>IFERROR(_xlfn.XLOOKUP($A336,'Raw Data'!$G:$G,'Raw Data'!AC:AC),"")</f>
        <v/>
      </c>
      <c r="Z336" s="156" t="str">
        <f>IFERROR(_xlfn.XLOOKUP($A336,'Raw Data'!$G:$G,'Raw Data'!AD:AD),"")</f>
        <v/>
      </c>
      <c r="AA336" s="156" t="str">
        <f>IFERROR(_xlfn.XLOOKUP($A336,'Raw Data'!$G:$G,'Raw Data'!AE:AE),"")</f>
        <v/>
      </c>
      <c r="AB336" s="156" t="str">
        <f>IFERROR(_xlfn.XLOOKUP($A336,'Raw Data'!$G:$G,'Raw Data'!$H:$H),"")</f>
        <v/>
      </c>
      <c r="AC336" s="162">
        <f>IFERROR(_xlfn.XLOOKUP($D336,'Modelling New'!$D:$D,'Modelling New'!$P:$P),"")</f>
        <v>6.9010874285714294</v>
      </c>
      <c r="AD336" s="156">
        <f>IFERROR(_xlfn.XLOOKUP($D336,'Modelling New'!$D:$D,'Modelling New'!$T:$T)*1000,"")</f>
        <v>57320.026734881634</v>
      </c>
      <c r="AE336" s="163">
        <f>IFERROR(_xlfn.XLOOKUP($D336,'Modelling New'!$D:$D,'Modelling New'!$O:$O),"")</f>
        <v>0.70869805877547398</v>
      </c>
      <c r="AF336" s="163">
        <f>IFERROR(_xlfn.XLOOKUP($D336,'Modelling New'!$D:$D,'Modelling New'!$W:$W),"")</f>
        <v>0.20378280266951659</v>
      </c>
      <c r="AG336" s="163">
        <f>IFERROR(_xlfn.XLOOKUP($D336,'Modelling New'!$D:$D,'Modelling New'!AE:AE),"")</f>
        <v>0.995</v>
      </c>
      <c r="AH336" s="163">
        <f>IFERROR(_xlfn.XLOOKUP($D336,'Modelling New'!$D:$D,'Modelling New'!AF:AF),"")</f>
        <v>0.98550000000000004</v>
      </c>
      <c r="AN336" s="164"/>
      <c r="AO336" s="161"/>
      <c r="AP336" s="161"/>
      <c r="AQ336" s="161"/>
      <c r="AR336" s="156">
        <f>IFERROR(_xlfn.XLOOKUP($D336,'Modelling New'!$D:$D,'Modelling New'!$N:$N),"")</f>
        <v>11.72</v>
      </c>
    </row>
    <row r="337" spans="1:44">
      <c r="A337" s="155">
        <f t="shared" si="24"/>
        <v>46080</v>
      </c>
      <c r="B337" s="156">
        <f>YEAR(Table13[[#This Row],[Date]])+IF(MONTH(Table13[[#This Row],[Date]])&gt;=4,1,0)</f>
        <v>2026</v>
      </c>
      <c r="C337" s="129">
        <f>YEAR(Table13[[#This Row],[Date]])</f>
        <v>2026</v>
      </c>
      <c r="D337" s="157">
        <f>Table13[[#This Row],[Date]]-DAY(Table13[[#This Row],[Date]])+1</f>
        <v>46054</v>
      </c>
      <c r="E337" s="129">
        <f t="shared" si="21"/>
        <v>28</v>
      </c>
      <c r="F337" s="130" t="str">
        <f>IFERROR(_xlfn.XLOOKUP($A337,'Raw Data'!$G:$G,'Raw Data'!$AH:$AH),"")</f>
        <v/>
      </c>
      <c r="G337" s="131" t="str">
        <f>IFERROR(_xlfn.XLOOKUP($A337,'Raw Data'!$G:$G,'Raw Data'!$S:$S)/1000,"")</f>
        <v/>
      </c>
      <c r="H337" s="131"/>
      <c r="I337" s="131" t="str">
        <f>IFERROR(_xlfn.XLOOKUP($A337,'Raw Data'!$G:$G,'Raw Data'!$AF:$AF)/1000,"")</f>
        <v/>
      </c>
      <c r="J337" s="131"/>
      <c r="K337" s="131" t="str">
        <f>IFERROR(_xlfn.XLOOKUP($A337,'Raw Data'!$G:$G,'Raw Data'!W:W),"")</f>
        <v/>
      </c>
      <c r="L337" s="131" t="str">
        <f>IFERROR(_xlfn.XLOOKUP($A337,'Raw Data'!$G:$G,'Raw Data'!X:X),"")</f>
        <v/>
      </c>
      <c r="M337" s="131" t="str">
        <f>IFERROR(_xlfn.XLOOKUP($A337,'Raw Data'!$G:$G,'Raw Data'!Y:Y),"")</f>
        <v/>
      </c>
      <c r="N337" s="131" t="str">
        <f>IFERROR(_xlfn.XLOOKUP($A337,'Raw Data'!$G:$G,'Raw Data'!Z:Z),"")</f>
        <v/>
      </c>
      <c r="O337" s="158" t="str">
        <f>IFERROR(1-SUMIF('Plant BD'!$H:$H,$A337,'Plant BD'!AC:AC)/$F337,"")</f>
        <v/>
      </c>
      <c r="P337" s="158"/>
      <c r="Q337" s="159"/>
      <c r="R337" s="158" t="str">
        <f>IFERROR(1-SUMIF('Grid BD'!$H:$H,$A337,'Grid BD'!AB:AB)/$F337,"")</f>
        <v/>
      </c>
      <c r="T337" s="159" t="str">
        <f>IFERROR(1-SUMIF(Tracker_BD!$H:$H,$A337,Tracker_BD!AI:AI)/$F337,"")</f>
        <v/>
      </c>
      <c r="U337" s="160" t="str">
        <f t="shared" si="22"/>
        <v/>
      </c>
      <c r="V337" s="160"/>
      <c r="W337" s="161" t="str">
        <f t="shared" si="23"/>
        <v/>
      </c>
      <c r="X337" s="156" t="str">
        <f>IFERROR(_xlfn.XLOOKUP($A337,'Raw Data'!$G:$G,'Raw Data'!$AB:$AB),"")</f>
        <v/>
      </c>
      <c r="Y337" s="156" t="str">
        <f>IFERROR(_xlfn.XLOOKUP($A337,'Raw Data'!$G:$G,'Raw Data'!AC:AC),"")</f>
        <v/>
      </c>
      <c r="Z337" s="156" t="str">
        <f>IFERROR(_xlfn.XLOOKUP($A337,'Raw Data'!$G:$G,'Raw Data'!AD:AD),"")</f>
        <v/>
      </c>
      <c r="AA337" s="156" t="str">
        <f>IFERROR(_xlfn.XLOOKUP($A337,'Raw Data'!$G:$G,'Raw Data'!AE:AE),"")</f>
        <v/>
      </c>
      <c r="AB337" s="156" t="str">
        <f>IFERROR(_xlfn.XLOOKUP($A337,'Raw Data'!$G:$G,'Raw Data'!$H:$H),"")</f>
        <v/>
      </c>
      <c r="AC337" s="162">
        <f>IFERROR(_xlfn.XLOOKUP($D337,'Modelling New'!$D:$D,'Modelling New'!$P:$P),"")</f>
        <v>6.9010874285714294</v>
      </c>
      <c r="AD337" s="156">
        <f>IFERROR(_xlfn.XLOOKUP($D337,'Modelling New'!$D:$D,'Modelling New'!$T:$T)*1000,"")</f>
        <v>57320.026734881634</v>
      </c>
      <c r="AE337" s="163">
        <f>IFERROR(_xlfn.XLOOKUP($D337,'Modelling New'!$D:$D,'Modelling New'!$O:$O),"")</f>
        <v>0.70869805877547398</v>
      </c>
      <c r="AF337" s="163">
        <f>IFERROR(_xlfn.XLOOKUP($D337,'Modelling New'!$D:$D,'Modelling New'!$W:$W),"")</f>
        <v>0.20378280266951659</v>
      </c>
      <c r="AG337" s="163">
        <f>IFERROR(_xlfn.XLOOKUP($D337,'Modelling New'!$D:$D,'Modelling New'!AE:AE),"")</f>
        <v>0.995</v>
      </c>
      <c r="AH337" s="163">
        <f>IFERROR(_xlfn.XLOOKUP($D337,'Modelling New'!$D:$D,'Modelling New'!AF:AF),"")</f>
        <v>0.98550000000000004</v>
      </c>
      <c r="AN337" s="164"/>
      <c r="AO337" s="161"/>
      <c r="AP337" s="161"/>
      <c r="AQ337" s="161"/>
      <c r="AR337" s="156">
        <f>IFERROR(_xlfn.XLOOKUP($D337,'Modelling New'!$D:$D,'Modelling New'!$N:$N),"")</f>
        <v>11.72</v>
      </c>
    </row>
    <row r="338" spans="1:44">
      <c r="A338" s="155">
        <f t="shared" si="24"/>
        <v>46081</v>
      </c>
      <c r="B338" s="156">
        <f>YEAR(Table13[[#This Row],[Date]])+IF(MONTH(Table13[[#This Row],[Date]])&gt;=4,1,0)</f>
        <v>2026</v>
      </c>
      <c r="C338" s="129">
        <f>YEAR(Table13[[#This Row],[Date]])</f>
        <v>2026</v>
      </c>
      <c r="D338" s="157">
        <f>Table13[[#This Row],[Date]]-DAY(Table13[[#This Row],[Date]])+1</f>
        <v>46054</v>
      </c>
      <c r="E338" s="129">
        <f t="shared" si="21"/>
        <v>28</v>
      </c>
      <c r="F338" s="130" t="str">
        <f>IFERROR(_xlfn.XLOOKUP($A338,'Raw Data'!$G:$G,'Raw Data'!$AH:$AH),"")</f>
        <v/>
      </c>
      <c r="G338" s="131" t="str">
        <f>IFERROR(_xlfn.XLOOKUP($A338,'Raw Data'!$G:$G,'Raw Data'!$S:$S)/1000,"")</f>
        <v/>
      </c>
      <c r="H338" s="131"/>
      <c r="I338" s="131" t="str">
        <f>IFERROR(_xlfn.XLOOKUP($A338,'Raw Data'!$G:$G,'Raw Data'!$AF:$AF)/1000,"")</f>
        <v/>
      </c>
      <c r="J338" s="131"/>
      <c r="K338" s="131" t="str">
        <f>IFERROR(_xlfn.XLOOKUP($A338,'Raw Data'!$G:$G,'Raw Data'!W:W),"")</f>
        <v/>
      </c>
      <c r="L338" s="131" t="str">
        <f>IFERROR(_xlfn.XLOOKUP($A338,'Raw Data'!$G:$G,'Raw Data'!X:X),"")</f>
        <v/>
      </c>
      <c r="M338" s="131" t="str">
        <f>IFERROR(_xlfn.XLOOKUP($A338,'Raw Data'!$G:$G,'Raw Data'!Y:Y),"")</f>
        <v/>
      </c>
      <c r="N338" s="131" t="str">
        <f>IFERROR(_xlfn.XLOOKUP($A338,'Raw Data'!$G:$G,'Raw Data'!Z:Z),"")</f>
        <v/>
      </c>
      <c r="O338" s="158" t="str">
        <f>IFERROR(1-SUMIF('Plant BD'!$H:$H,$A338,'Plant BD'!AC:AC)/$F338,"")</f>
        <v/>
      </c>
      <c r="P338" s="158"/>
      <c r="Q338" s="159"/>
      <c r="R338" s="158" t="str">
        <f>IFERROR(1-SUMIF('Grid BD'!$H:$H,$A338,'Grid BD'!AB:AB)/$F338,"")</f>
        <v/>
      </c>
      <c r="T338" s="159" t="str">
        <f>IFERROR(1-SUMIF(Tracker_BD!$H:$H,$A338,Tracker_BD!AI:AI)/$F338,"")</f>
        <v/>
      </c>
      <c r="U338" s="160" t="str">
        <f t="shared" si="22"/>
        <v/>
      </c>
      <c r="V338" s="160"/>
      <c r="W338" s="161" t="str">
        <f t="shared" si="23"/>
        <v/>
      </c>
      <c r="X338" s="156" t="str">
        <f>IFERROR(_xlfn.XLOOKUP($A338,'Raw Data'!$G:$G,'Raw Data'!$AB:$AB),"")</f>
        <v/>
      </c>
      <c r="Y338" s="156" t="str">
        <f>IFERROR(_xlfn.XLOOKUP($A338,'Raw Data'!$G:$G,'Raw Data'!AC:AC),"")</f>
        <v/>
      </c>
      <c r="Z338" s="156" t="str">
        <f>IFERROR(_xlfn.XLOOKUP($A338,'Raw Data'!$G:$G,'Raw Data'!AD:AD),"")</f>
        <v/>
      </c>
      <c r="AA338" s="156" t="str">
        <f>IFERROR(_xlfn.XLOOKUP($A338,'Raw Data'!$G:$G,'Raw Data'!AE:AE),"")</f>
        <v/>
      </c>
      <c r="AB338" s="156" t="str">
        <f>IFERROR(_xlfn.XLOOKUP($A338,'Raw Data'!$G:$G,'Raw Data'!$H:$H),"")</f>
        <v/>
      </c>
      <c r="AC338" s="162">
        <f>IFERROR(_xlfn.XLOOKUP($D338,'Modelling New'!$D:$D,'Modelling New'!$P:$P),"")</f>
        <v>6.9010874285714294</v>
      </c>
      <c r="AD338" s="156">
        <f>IFERROR(_xlfn.XLOOKUP($D338,'Modelling New'!$D:$D,'Modelling New'!$T:$T)*1000,"")</f>
        <v>57320.026734881634</v>
      </c>
      <c r="AE338" s="163">
        <f>IFERROR(_xlfn.XLOOKUP($D338,'Modelling New'!$D:$D,'Modelling New'!$O:$O),"")</f>
        <v>0.70869805877547398</v>
      </c>
      <c r="AF338" s="163">
        <f>IFERROR(_xlfn.XLOOKUP($D338,'Modelling New'!$D:$D,'Modelling New'!$W:$W),"")</f>
        <v>0.20378280266951659</v>
      </c>
      <c r="AG338" s="163">
        <f>IFERROR(_xlfn.XLOOKUP($D338,'Modelling New'!$D:$D,'Modelling New'!AE:AE),"")</f>
        <v>0.995</v>
      </c>
      <c r="AH338" s="163">
        <f>IFERROR(_xlfn.XLOOKUP($D338,'Modelling New'!$D:$D,'Modelling New'!AF:AF),"")</f>
        <v>0.98550000000000004</v>
      </c>
      <c r="AN338" s="164"/>
      <c r="AO338" s="161"/>
      <c r="AP338" s="161"/>
      <c r="AQ338" s="161"/>
      <c r="AR338" s="156">
        <f>IFERROR(_xlfn.XLOOKUP($D338,'Modelling New'!$D:$D,'Modelling New'!$N:$N),"")</f>
        <v>11.72</v>
      </c>
    </row>
    <row r="339" spans="1:44">
      <c r="A339" s="155">
        <f t="shared" si="24"/>
        <v>46082</v>
      </c>
      <c r="B339" s="156">
        <f>YEAR(Table13[[#This Row],[Date]])+IF(MONTH(Table13[[#This Row],[Date]])&gt;=4,1,0)</f>
        <v>2026</v>
      </c>
      <c r="C339" s="129">
        <f>YEAR(Table13[[#This Row],[Date]])</f>
        <v>2026</v>
      </c>
      <c r="D339" s="157">
        <f>Table13[[#This Row],[Date]]-DAY(Table13[[#This Row],[Date]])+1</f>
        <v>46082</v>
      </c>
      <c r="E339" s="129">
        <f t="shared" si="21"/>
        <v>31</v>
      </c>
      <c r="F339" s="130" t="str">
        <f>IFERROR(_xlfn.XLOOKUP($A339,'Raw Data'!$G:$G,'Raw Data'!$AH:$AH),"")</f>
        <v/>
      </c>
      <c r="G339" s="131" t="str">
        <f>IFERROR(_xlfn.XLOOKUP($A339,'Raw Data'!$G:$G,'Raw Data'!$S:$S)/1000,"")</f>
        <v/>
      </c>
      <c r="H339" s="131"/>
      <c r="I339" s="131" t="str">
        <f>IFERROR(_xlfn.XLOOKUP($A339,'Raw Data'!$G:$G,'Raw Data'!$AF:$AF)/1000,"")</f>
        <v/>
      </c>
      <c r="J339" s="131"/>
      <c r="K339" s="131" t="str">
        <f>IFERROR(_xlfn.XLOOKUP($A339,'Raw Data'!$G:$G,'Raw Data'!W:W),"")</f>
        <v/>
      </c>
      <c r="L339" s="131" t="str">
        <f>IFERROR(_xlfn.XLOOKUP($A339,'Raw Data'!$G:$G,'Raw Data'!X:X),"")</f>
        <v/>
      </c>
      <c r="M339" s="131" t="str">
        <f>IFERROR(_xlfn.XLOOKUP($A339,'Raw Data'!$G:$G,'Raw Data'!Y:Y),"")</f>
        <v/>
      </c>
      <c r="N339" s="131" t="str">
        <f>IFERROR(_xlfn.XLOOKUP($A339,'Raw Data'!$G:$G,'Raw Data'!Z:Z),"")</f>
        <v/>
      </c>
      <c r="O339" s="158" t="str">
        <f>IFERROR(1-SUMIF('Plant BD'!$H:$H,$A339,'Plant BD'!AC:AC)/$F339,"")</f>
        <v/>
      </c>
      <c r="P339" s="158"/>
      <c r="Q339" s="159"/>
      <c r="R339" s="158" t="str">
        <f>IFERROR(1-SUMIF('Grid BD'!$H:$H,$A339,'Grid BD'!AB:AB)/$F339,"")</f>
        <v/>
      </c>
      <c r="T339" s="159" t="str">
        <f>IFERROR(1-SUMIF(Tracker_BD!$H:$H,$A339,Tracker_BD!AI:AI)/$F339,"")</f>
        <v/>
      </c>
      <c r="U339" s="160" t="str">
        <f t="shared" si="22"/>
        <v/>
      </c>
      <c r="V339" s="160"/>
      <c r="W339" s="161" t="str">
        <f t="shared" si="23"/>
        <v/>
      </c>
      <c r="X339" s="156" t="str">
        <f>IFERROR(_xlfn.XLOOKUP($A339,'Raw Data'!$G:$G,'Raw Data'!$AB:$AB),"")</f>
        <v/>
      </c>
      <c r="Y339" s="156" t="str">
        <f>IFERROR(_xlfn.XLOOKUP($A339,'Raw Data'!$G:$G,'Raw Data'!AC:AC),"")</f>
        <v/>
      </c>
      <c r="Z339" s="156" t="str">
        <f>IFERROR(_xlfn.XLOOKUP($A339,'Raw Data'!$G:$G,'Raw Data'!AD:AD),"")</f>
        <v/>
      </c>
      <c r="AA339" s="156" t="str">
        <f>IFERROR(_xlfn.XLOOKUP($A339,'Raw Data'!$G:$G,'Raw Data'!AE:AE),"")</f>
        <v/>
      </c>
      <c r="AB339" s="156" t="str">
        <f>IFERROR(_xlfn.XLOOKUP($A339,'Raw Data'!$G:$G,'Raw Data'!$H:$H),"")</f>
        <v/>
      </c>
      <c r="AC339" s="162">
        <f>IFERROR(_xlfn.XLOOKUP($D339,'Modelling New'!$D:$D,'Modelling New'!$P:$P),"")</f>
        <v>7.7166057064516123</v>
      </c>
      <c r="AD339" s="156">
        <f>IFERROR(_xlfn.XLOOKUP($D339,'Modelling New'!$D:$D,'Modelling New'!$T:$T)*1000,"")</f>
        <v>67607.798406693953</v>
      </c>
      <c r="AE339" s="163">
        <f>IFERROR(_xlfn.XLOOKUP($D339,'Modelling New'!$D:$D,'Modelling New'!$O:$O),"")</f>
        <v>0.74755452089211905</v>
      </c>
      <c r="AF339" s="163">
        <f>IFERROR(_xlfn.XLOOKUP($D339,'Modelling New'!$D:$D,'Modelling New'!$W:$W),"")</f>
        <v>0.24035764507499272</v>
      </c>
      <c r="AG339" s="163">
        <f>IFERROR(_xlfn.XLOOKUP($D339,'Modelling New'!$D:$D,'Modelling New'!AE:AE),"")</f>
        <v>0.995</v>
      </c>
      <c r="AH339" s="163">
        <f>IFERROR(_xlfn.XLOOKUP($D339,'Modelling New'!$D:$D,'Modelling New'!AF:AF),"")</f>
        <v>0.98550000000000004</v>
      </c>
      <c r="AN339" s="164"/>
      <c r="AO339" s="161"/>
      <c r="AP339" s="161"/>
      <c r="AQ339" s="161"/>
      <c r="AR339" s="156">
        <f>IFERROR(_xlfn.XLOOKUP($D339,'Modelling New'!$D:$D,'Modelling New'!$N:$N),"")</f>
        <v>11.72</v>
      </c>
    </row>
    <row r="340" spans="1:44">
      <c r="A340" s="155">
        <f t="shared" si="24"/>
        <v>46083</v>
      </c>
      <c r="B340" s="156">
        <f>YEAR(Table13[[#This Row],[Date]])+IF(MONTH(Table13[[#This Row],[Date]])&gt;=4,1,0)</f>
        <v>2026</v>
      </c>
      <c r="C340" s="129">
        <f>YEAR(Table13[[#This Row],[Date]])</f>
        <v>2026</v>
      </c>
      <c r="D340" s="157">
        <f>Table13[[#This Row],[Date]]-DAY(Table13[[#This Row],[Date]])+1</f>
        <v>46082</v>
      </c>
      <c r="E340" s="129">
        <f t="shared" si="21"/>
        <v>31</v>
      </c>
      <c r="F340" s="130" t="str">
        <f>IFERROR(_xlfn.XLOOKUP($A340,'Raw Data'!$G:$G,'Raw Data'!$AH:$AH),"")</f>
        <v/>
      </c>
      <c r="G340" s="131" t="str">
        <f>IFERROR(_xlfn.XLOOKUP($A340,'Raw Data'!$G:$G,'Raw Data'!$S:$S)/1000,"")</f>
        <v/>
      </c>
      <c r="H340" s="131"/>
      <c r="I340" s="131" t="str">
        <f>IFERROR(_xlfn.XLOOKUP($A340,'Raw Data'!$G:$G,'Raw Data'!$AF:$AF)/1000,"")</f>
        <v/>
      </c>
      <c r="J340" s="131"/>
      <c r="K340" s="131" t="str">
        <f>IFERROR(_xlfn.XLOOKUP($A340,'Raw Data'!$G:$G,'Raw Data'!W:W),"")</f>
        <v/>
      </c>
      <c r="L340" s="131" t="str">
        <f>IFERROR(_xlfn.XLOOKUP($A340,'Raw Data'!$G:$G,'Raw Data'!X:X),"")</f>
        <v/>
      </c>
      <c r="M340" s="131" t="str">
        <f>IFERROR(_xlfn.XLOOKUP($A340,'Raw Data'!$G:$G,'Raw Data'!Y:Y),"")</f>
        <v/>
      </c>
      <c r="N340" s="131" t="str">
        <f>IFERROR(_xlfn.XLOOKUP($A340,'Raw Data'!$G:$G,'Raw Data'!Z:Z),"")</f>
        <v/>
      </c>
      <c r="O340" s="158" t="str">
        <f>IFERROR(1-SUMIF('Plant BD'!$H:$H,$A340,'Plant BD'!AC:AC)/$F340,"")</f>
        <v/>
      </c>
      <c r="P340" s="158"/>
      <c r="Q340" s="159"/>
      <c r="R340" s="158" t="str">
        <f>IFERROR(1-SUMIF('Grid BD'!$H:$H,$A340,'Grid BD'!AB:AB)/$F340,"")</f>
        <v/>
      </c>
      <c r="T340" s="159" t="str">
        <f>IFERROR(1-SUMIF(Tracker_BD!$H:$H,$A340,Tracker_BD!AI:AI)/$F340,"")</f>
        <v/>
      </c>
      <c r="U340" s="160" t="str">
        <f t="shared" si="22"/>
        <v/>
      </c>
      <c r="V340" s="160"/>
      <c r="W340" s="161" t="str">
        <f t="shared" si="23"/>
        <v/>
      </c>
      <c r="X340" s="156" t="str">
        <f>IFERROR(_xlfn.XLOOKUP($A340,'Raw Data'!$G:$G,'Raw Data'!$AB:$AB),"")</f>
        <v/>
      </c>
      <c r="Y340" s="156" t="str">
        <f>IFERROR(_xlfn.XLOOKUP($A340,'Raw Data'!$G:$G,'Raw Data'!AC:AC),"")</f>
        <v/>
      </c>
      <c r="Z340" s="156" t="str">
        <f>IFERROR(_xlfn.XLOOKUP($A340,'Raw Data'!$G:$G,'Raw Data'!AD:AD),"")</f>
        <v/>
      </c>
      <c r="AA340" s="156" t="str">
        <f>IFERROR(_xlfn.XLOOKUP($A340,'Raw Data'!$G:$G,'Raw Data'!AE:AE),"")</f>
        <v/>
      </c>
      <c r="AB340" s="156" t="str">
        <f>IFERROR(_xlfn.XLOOKUP($A340,'Raw Data'!$G:$G,'Raw Data'!$H:$H),"")</f>
        <v/>
      </c>
      <c r="AC340" s="162">
        <f>IFERROR(_xlfn.XLOOKUP($D340,'Modelling New'!$D:$D,'Modelling New'!$P:$P),"")</f>
        <v>7.7166057064516123</v>
      </c>
      <c r="AD340" s="156">
        <f>IFERROR(_xlfn.XLOOKUP($D340,'Modelling New'!$D:$D,'Modelling New'!$T:$T)*1000,"")</f>
        <v>67607.798406693953</v>
      </c>
      <c r="AE340" s="163">
        <f>IFERROR(_xlfn.XLOOKUP($D340,'Modelling New'!$D:$D,'Modelling New'!$O:$O),"")</f>
        <v>0.74755452089211905</v>
      </c>
      <c r="AF340" s="163">
        <f>IFERROR(_xlfn.XLOOKUP($D340,'Modelling New'!$D:$D,'Modelling New'!$W:$W),"")</f>
        <v>0.24035764507499272</v>
      </c>
      <c r="AG340" s="163">
        <f>IFERROR(_xlfn.XLOOKUP($D340,'Modelling New'!$D:$D,'Modelling New'!AE:AE),"")</f>
        <v>0.995</v>
      </c>
      <c r="AH340" s="163">
        <f>IFERROR(_xlfn.XLOOKUP($D340,'Modelling New'!$D:$D,'Modelling New'!AF:AF),"")</f>
        <v>0.98550000000000004</v>
      </c>
      <c r="AN340" s="164"/>
      <c r="AO340" s="161"/>
      <c r="AP340" s="161"/>
      <c r="AQ340" s="161"/>
      <c r="AR340" s="156">
        <f>IFERROR(_xlfn.XLOOKUP($D340,'Modelling New'!$D:$D,'Modelling New'!$N:$N),"")</f>
        <v>11.72</v>
      </c>
    </row>
    <row r="341" spans="1:44">
      <c r="A341" s="155">
        <f t="shared" si="24"/>
        <v>46084</v>
      </c>
      <c r="B341" s="156">
        <f>YEAR(Table13[[#This Row],[Date]])+IF(MONTH(Table13[[#This Row],[Date]])&gt;=4,1,0)</f>
        <v>2026</v>
      </c>
      <c r="C341" s="129">
        <f>YEAR(Table13[[#This Row],[Date]])</f>
        <v>2026</v>
      </c>
      <c r="D341" s="157">
        <f>Table13[[#This Row],[Date]]-DAY(Table13[[#This Row],[Date]])+1</f>
        <v>46082</v>
      </c>
      <c r="E341" s="129">
        <f t="shared" si="21"/>
        <v>31</v>
      </c>
      <c r="F341" s="130" t="str">
        <f>IFERROR(_xlfn.XLOOKUP($A341,'Raw Data'!$G:$G,'Raw Data'!$AH:$AH),"")</f>
        <v/>
      </c>
      <c r="G341" s="131" t="str">
        <f>IFERROR(_xlfn.XLOOKUP($A341,'Raw Data'!$G:$G,'Raw Data'!$S:$S)/1000,"")</f>
        <v/>
      </c>
      <c r="H341" s="131"/>
      <c r="I341" s="131" t="str">
        <f>IFERROR(_xlfn.XLOOKUP($A341,'Raw Data'!$G:$G,'Raw Data'!$AF:$AF)/1000,"")</f>
        <v/>
      </c>
      <c r="J341" s="131"/>
      <c r="K341" s="131" t="str">
        <f>IFERROR(_xlfn.XLOOKUP($A341,'Raw Data'!$G:$G,'Raw Data'!W:W),"")</f>
        <v/>
      </c>
      <c r="L341" s="131" t="str">
        <f>IFERROR(_xlfn.XLOOKUP($A341,'Raw Data'!$G:$G,'Raw Data'!X:X),"")</f>
        <v/>
      </c>
      <c r="M341" s="131" t="str">
        <f>IFERROR(_xlfn.XLOOKUP($A341,'Raw Data'!$G:$G,'Raw Data'!Y:Y),"")</f>
        <v/>
      </c>
      <c r="N341" s="131" t="str">
        <f>IFERROR(_xlfn.XLOOKUP($A341,'Raw Data'!$G:$G,'Raw Data'!Z:Z),"")</f>
        <v/>
      </c>
      <c r="O341" s="158" t="str">
        <f>IFERROR(1-SUMIF('Plant BD'!$H:$H,$A341,'Plant BD'!AC:AC)/$F341,"")</f>
        <v/>
      </c>
      <c r="P341" s="158"/>
      <c r="Q341" s="159"/>
      <c r="R341" s="158" t="str">
        <f>IFERROR(1-SUMIF('Grid BD'!$H:$H,$A341,'Grid BD'!AB:AB)/$F341,"")</f>
        <v/>
      </c>
      <c r="T341" s="159" t="str">
        <f>IFERROR(1-SUMIF(Tracker_BD!$H:$H,$A341,Tracker_BD!AI:AI)/$F341,"")</f>
        <v/>
      </c>
      <c r="U341" s="160" t="str">
        <f t="shared" si="22"/>
        <v/>
      </c>
      <c r="V341" s="160"/>
      <c r="W341" s="161" t="str">
        <f t="shared" si="23"/>
        <v/>
      </c>
      <c r="X341" s="156" t="str">
        <f>IFERROR(_xlfn.XLOOKUP($A341,'Raw Data'!$G:$G,'Raw Data'!$AB:$AB),"")</f>
        <v/>
      </c>
      <c r="Y341" s="156" t="str">
        <f>IFERROR(_xlfn.XLOOKUP($A341,'Raw Data'!$G:$G,'Raw Data'!AC:AC),"")</f>
        <v/>
      </c>
      <c r="Z341" s="156" t="str">
        <f>IFERROR(_xlfn.XLOOKUP($A341,'Raw Data'!$G:$G,'Raw Data'!AD:AD),"")</f>
        <v/>
      </c>
      <c r="AA341" s="156" t="str">
        <f>IFERROR(_xlfn.XLOOKUP($A341,'Raw Data'!$G:$G,'Raw Data'!AE:AE),"")</f>
        <v/>
      </c>
      <c r="AB341" s="156" t="str">
        <f>IFERROR(_xlfn.XLOOKUP($A341,'Raw Data'!$G:$G,'Raw Data'!$H:$H),"")</f>
        <v/>
      </c>
      <c r="AC341" s="162">
        <f>IFERROR(_xlfn.XLOOKUP($D341,'Modelling New'!$D:$D,'Modelling New'!$P:$P),"")</f>
        <v>7.7166057064516123</v>
      </c>
      <c r="AD341" s="156">
        <f>IFERROR(_xlfn.XLOOKUP($D341,'Modelling New'!$D:$D,'Modelling New'!$T:$T)*1000,"")</f>
        <v>67607.798406693953</v>
      </c>
      <c r="AE341" s="163">
        <f>IFERROR(_xlfn.XLOOKUP($D341,'Modelling New'!$D:$D,'Modelling New'!$O:$O),"")</f>
        <v>0.74755452089211905</v>
      </c>
      <c r="AF341" s="163">
        <f>IFERROR(_xlfn.XLOOKUP($D341,'Modelling New'!$D:$D,'Modelling New'!$W:$W),"")</f>
        <v>0.24035764507499272</v>
      </c>
      <c r="AG341" s="163">
        <f>IFERROR(_xlfn.XLOOKUP($D341,'Modelling New'!$D:$D,'Modelling New'!AE:AE),"")</f>
        <v>0.995</v>
      </c>
      <c r="AH341" s="163">
        <f>IFERROR(_xlfn.XLOOKUP($D341,'Modelling New'!$D:$D,'Modelling New'!AF:AF),"")</f>
        <v>0.98550000000000004</v>
      </c>
      <c r="AN341" s="164"/>
      <c r="AO341" s="161"/>
      <c r="AP341" s="161"/>
      <c r="AQ341" s="161"/>
      <c r="AR341" s="156">
        <f>IFERROR(_xlfn.XLOOKUP($D341,'Modelling New'!$D:$D,'Modelling New'!$N:$N),"")</f>
        <v>11.72</v>
      </c>
    </row>
    <row r="342" spans="1:44">
      <c r="A342" s="155">
        <f t="shared" si="24"/>
        <v>46085</v>
      </c>
      <c r="B342" s="156">
        <f>YEAR(Table13[[#This Row],[Date]])+IF(MONTH(Table13[[#This Row],[Date]])&gt;=4,1,0)</f>
        <v>2026</v>
      </c>
      <c r="C342" s="129">
        <f>YEAR(Table13[[#This Row],[Date]])</f>
        <v>2026</v>
      </c>
      <c r="D342" s="157">
        <f>Table13[[#This Row],[Date]]-DAY(Table13[[#This Row],[Date]])+1</f>
        <v>46082</v>
      </c>
      <c r="E342" s="129">
        <f t="shared" si="21"/>
        <v>31</v>
      </c>
      <c r="F342" s="130" t="str">
        <f>IFERROR(_xlfn.XLOOKUP($A342,'Raw Data'!$G:$G,'Raw Data'!$AH:$AH),"")</f>
        <v/>
      </c>
      <c r="G342" s="131" t="str">
        <f>IFERROR(_xlfn.XLOOKUP($A342,'Raw Data'!$G:$G,'Raw Data'!$S:$S)/1000,"")</f>
        <v/>
      </c>
      <c r="H342" s="131"/>
      <c r="I342" s="131" t="str">
        <f>IFERROR(_xlfn.XLOOKUP($A342,'Raw Data'!$G:$G,'Raw Data'!$AF:$AF)/1000,"")</f>
        <v/>
      </c>
      <c r="J342" s="131"/>
      <c r="K342" s="131" t="str">
        <f>IFERROR(_xlfn.XLOOKUP($A342,'Raw Data'!$G:$G,'Raw Data'!W:W),"")</f>
        <v/>
      </c>
      <c r="L342" s="131" t="str">
        <f>IFERROR(_xlfn.XLOOKUP($A342,'Raw Data'!$G:$G,'Raw Data'!X:X),"")</f>
        <v/>
      </c>
      <c r="M342" s="131" t="str">
        <f>IFERROR(_xlfn.XLOOKUP($A342,'Raw Data'!$G:$G,'Raw Data'!Y:Y),"")</f>
        <v/>
      </c>
      <c r="N342" s="131" t="str">
        <f>IFERROR(_xlfn.XLOOKUP($A342,'Raw Data'!$G:$G,'Raw Data'!Z:Z),"")</f>
        <v/>
      </c>
      <c r="O342" s="158" t="str">
        <f>IFERROR(1-SUMIF('Plant BD'!$H:$H,$A342,'Plant BD'!AC:AC)/$F342,"")</f>
        <v/>
      </c>
      <c r="P342" s="158"/>
      <c r="Q342" s="159"/>
      <c r="R342" s="158" t="str">
        <f>IFERROR(1-SUMIF('Grid BD'!$H:$H,$A342,'Grid BD'!AB:AB)/$F342,"")</f>
        <v/>
      </c>
      <c r="T342" s="159" t="str">
        <f>IFERROR(1-SUMIF(Tracker_BD!$H:$H,$A342,Tracker_BD!AI:AI)/$F342,"")</f>
        <v/>
      </c>
      <c r="U342" s="160" t="str">
        <f t="shared" si="22"/>
        <v/>
      </c>
      <c r="V342" s="160"/>
      <c r="W342" s="161" t="str">
        <f t="shared" si="23"/>
        <v/>
      </c>
      <c r="X342" s="156" t="str">
        <f>IFERROR(_xlfn.XLOOKUP($A342,'Raw Data'!$G:$G,'Raw Data'!$AB:$AB),"")</f>
        <v/>
      </c>
      <c r="Y342" s="156" t="str">
        <f>IFERROR(_xlfn.XLOOKUP($A342,'Raw Data'!$G:$G,'Raw Data'!AC:AC),"")</f>
        <v/>
      </c>
      <c r="Z342" s="156" t="str">
        <f>IFERROR(_xlfn.XLOOKUP($A342,'Raw Data'!$G:$G,'Raw Data'!AD:AD),"")</f>
        <v/>
      </c>
      <c r="AA342" s="156" t="str">
        <f>IFERROR(_xlfn.XLOOKUP($A342,'Raw Data'!$G:$G,'Raw Data'!AE:AE),"")</f>
        <v/>
      </c>
      <c r="AB342" s="156" t="str">
        <f>IFERROR(_xlfn.XLOOKUP($A342,'Raw Data'!$G:$G,'Raw Data'!$H:$H),"")</f>
        <v/>
      </c>
      <c r="AC342" s="162">
        <f>IFERROR(_xlfn.XLOOKUP($D342,'Modelling New'!$D:$D,'Modelling New'!$P:$P),"")</f>
        <v>7.7166057064516123</v>
      </c>
      <c r="AD342" s="156">
        <f>IFERROR(_xlfn.XLOOKUP($D342,'Modelling New'!$D:$D,'Modelling New'!$T:$T)*1000,"")</f>
        <v>67607.798406693953</v>
      </c>
      <c r="AE342" s="163">
        <f>IFERROR(_xlfn.XLOOKUP($D342,'Modelling New'!$D:$D,'Modelling New'!$O:$O),"")</f>
        <v>0.74755452089211905</v>
      </c>
      <c r="AF342" s="163">
        <f>IFERROR(_xlfn.XLOOKUP($D342,'Modelling New'!$D:$D,'Modelling New'!$W:$W),"")</f>
        <v>0.24035764507499272</v>
      </c>
      <c r="AG342" s="163">
        <f>IFERROR(_xlfn.XLOOKUP($D342,'Modelling New'!$D:$D,'Modelling New'!AE:AE),"")</f>
        <v>0.995</v>
      </c>
      <c r="AH342" s="163">
        <f>IFERROR(_xlfn.XLOOKUP($D342,'Modelling New'!$D:$D,'Modelling New'!AF:AF),"")</f>
        <v>0.98550000000000004</v>
      </c>
      <c r="AN342" s="164"/>
      <c r="AO342" s="161"/>
      <c r="AP342" s="161"/>
      <c r="AQ342" s="161"/>
      <c r="AR342" s="156">
        <f>IFERROR(_xlfn.XLOOKUP($D342,'Modelling New'!$D:$D,'Modelling New'!$N:$N),"")</f>
        <v>11.72</v>
      </c>
    </row>
    <row r="343" spans="1:44">
      <c r="A343" s="155">
        <f t="shared" si="24"/>
        <v>46086</v>
      </c>
      <c r="B343" s="156">
        <f>YEAR(Table13[[#This Row],[Date]])+IF(MONTH(Table13[[#This Row],[Date]])&gt;=4,1,0)</f>
        <v>2026</v>
      </c>
      <c r="C343" s="129">
        <f>YEAR(Table13[[#This Row],[Date]])</f>
        <v>2026</v>
      </c>
      <c r="D343" s="157">
        <f>Table13[[#This Row],[Date]]-DAY(Table13[[#This Row],[Date]])+1</f>
        <v>46082</v>
      </c>
      <c r="E343" s="129">
        <f t="shared" si="21"/>
        <v>31</v>
      </c>
      <c r="F343" s="130" t="str">
        <f>IFERROR(_xlfn.XLOOKUP($A343,'Raw Data'!$G:$G,'Raw Data'!$AH:$AH),"")</f>
        <v/>
      </c>
      <c r="G343" s="131" t="str">
        <f>IFERROR(_xlfn.XLOOKUP($A343,'Raw Data'!$G:$G,'Raw Data'!$S:$S)/1000,"")</f>
        <v/>
      </c>
      <c r="H343" s="131"/>
      <c r="I343" s="131" t="str">
        <f>IFERROR(_xlfn.XLOOKUP($A343,'Raw Data'!$G:$G,'Raw Data'!$AF:$AF)/1000,"")</f>
        <v/>
      </c>
      <c r="J343" s="131"/>
      <c r="K343" s="131" t="str">
        <f>IFERROR(_xlfn.XLOOKUP($A343,'Raw Data'!$G:$G,'Raw Data'!W:W),"")</f>
        <v/>
      </c>
      <c r="L343" s="131" t="str">
        <f>IFERROR(_xlfn.XLOOKUP($A343,'Raw Data'!$G:$G,'Raw Data'!X:X),"")</f>
        <v/>
      </c>
      <c r="M343" s="131" t="str">
        <f>IFERROR(_xlfn.XLOOKUP($A343,'Raw Data'!$G:$G,'Raw Data'!Y:Y),"")</f>
        <v/>
      </c>
      <c r="N343" s="131" t="str">
        <f>IFERROR(_xlfn.XLOOKUP($A343,'Raw Data'!$G:$G,'Raw Data'!Z:Z),"")</f>
        <v/>
      </c>
      <c r="O343" s="158" t="str">
        <f>IFERROR(1-SUMIF('Plant BD'!$H:$H,$A343,'Plant BD'!AC:AC)/$F343,"")</f>
        <v/>
      </c>
      <c r="P343" s="158"/>
      <c r="Q343" s="159"/>
      <c r="R343" s="158" t="str">
        <f>IFERROR(1-SUMIF('Grid BD'!$H:$H,$A343,'Grid BD'!AB:AB)/$F343,"")</f>
        <v/>
      </c>
      <c r="T343" s="159" t="str">
        <f>IFERROR(1-SUMIF(Tracker_BD!$H:$H,$A343,Tracker_BD!AI:AI)/$F343,"")</f>
        <v/>
      </c>
      <c r="U343" s="160" t="str">
        <f t="shared" si="22"/>
        <v/>
      </c>
      <c r="V343" s="160"/>
      <c r="W343" s="161" t="str">
        <f t="shared" si="23"/>
        <v/>
      </c>
      <c r="X343" s="156" t="str">
        <f>IFERROR(_xlfn.XLOOKUP($A343,'Raw Data'!$G:$G,'Raw Data'!$AB:$AB),"")</f>
        <v/>
      </c>
      <c r="Y343" s="156" t="str">
        <f>IFERROR(_xlfn.XLOOKUP($A343,'Raw Data'!$G:$G,'Raw Data'!AC:AC),"")</f>
        <v/>
      </c>
      <c r="Z343" s="156" t="str">
        <f>IFERROR(_xlfn.XLOOKUP($A343,'Raw Data'!$G:$G,'Raw Data'!AD:AD),"")</f>
        <v/>
      </c>
      <c r="AA343" s="156" t="str">
        <f>IFERROR(_xlfn.XLOOKUP($A343,'Raw Data'!$G:$G,'Raw Data'!AE:AE),"")</f>
        <v/>
      </c>
      <c r="AB343" s="156" t="str">
        <f>IFERROR(_xlfn.XLOOKUP($A343,'Raw Data'!$G:$G,'Raw Data'!$H:$H),"")</f>
        <v/>
      </c>
      <c r="AC343" s="162">
        <f>IFERROR(_xlfn.XLOOKUP($D343,'Modelling New'!$D:$D,'Modelling New'!$P:$P),"")</f>
        <v>7.7166057064516123</v>
      </c>
      <c r="AD343" s="156">
        <f>IFERROR(_xlfn.XLOOKUP($D343,'Modelling New'!$D:$D,'Modelling New'!$T:$T)*1000,"")</f>
        <v>67607.798406693953</v>
      </c>
      <c r="AE343" s="163">
        <f>IFERROR(_xlfn.XLOOKUP($D343,'Modelling New'!$D:$D,'Modelling New'!$O:$O),"")</f>
        <v>0.74755452089211905</v>
      </c>
      <c r="AF343" s="163">
        <f>IFERROR(_xlfn.XLOOKUP($D343,'Modelling New'!$D:$D,'Modelling New'!$W:$W),"")</f>
        <v>0.24035764507499272</v>
      </c>
      <c r="AG343" s="163">
        <f>IFERROR(_xlfn.XLOOKUP($D343,'Modelling New'!$D:$D,'Modelling New'!AE:AE),"")</f>
        <v>0.995</v>
      </c>
      <c r="AH343" s="163">
        <f>IFERROR(_xlfn.XLOOKUP($D343,'Modelling New'!$D:$D,'Modelling New'!AF:AF),"")</f>
        <v>0.98550000000000004</v>
      </c>
      <c r="AN343" s="164"/>
      <c r="AO343" s="161"/>
      <c r="AP343" s="161"/>
      <c r="AQ343" s="161"/>
      <c r="AR343" s="156">
        <f>IFERROR(_xlfn.XLOOKUP($D343,'Modelling New'!$D:$D,'Modelling New'!$N:$N),"")</f>
        <v>11.72</v>
      </c>
    </row>
    <row r="344" spans="1:44">
      <c r="A344" s="155">
        <f t="shared" si="24"/>
        <v>46087</v>
      </c>
      <c r="B344" s="156">
        <f>YEAR(Table13[[#This Row],[Date]])+IF(MONTH(Table13[[#This Row],[Date]])&gt;=4,1,0)</f>
        <v>2026</v>
      </c>
      <c r="C344" s="129">
        <f>YEAR(Table13[[#This Row],[Date]])</f>
        <v>2026</v>
      </c>
      <c r="D344" s="157">
        <f>Table13[[#This Row],[Date]]-DAY(Table13[[#This Row],[Date]])+1</f>
        <v>46082</v>
      </c>
      <c r="E344" s="129">
        <f t="shared" si="21"/>
        <v>31</v>
      </c>
      <c r="F344" s="130" t="str">
        <f>IFERROR(_xlfn.XLOOKUP($A344,'Raw Data'!$G:$G,'Raw Data'!$AH:$AH),"")</f>
        <v/>
      </c>
      <c r="G344" s="131" t="str">
        <f>IFERROR(_xlfn.XLOOKUP($A344,'Raw Data'!$G:$G,'Raw Data'!$S:$S)/1000,"")</f>
        <v/>
      </c>
      <c r="H344" s="131"/>
      <c r="I344" s="131" t="str">
        <f>IFERROR(_xlfn.XLOOKUP($A344,'Raw Data'!$G:$G,'Raw Data'!$AF:$AF)/1000,"")</f>
        <v/>
      </c>
      <c r="J344" s="131"/>
      <c r="K344" s="131" t="str">
        <f>IFERROR(_xlfn.XLOOKUP($A344,'Raw Data'!$G:$G,'Raw Data'!W:W),"")</f>
        <v/>
      </c>
      <c r="L344" s="131" t="str">
        <f>IFERROR(_xlfn.XLOOKUP($A344,'Raw Data'!$G:$G,'Raw Data'!X:X),"")</f>
        <v/>
      </c>
      <c r="M344" s="131" t="str">
        <f>IFERROR(_xlfn.XLOOKUP($A344,'Raw Data'!$G:$G,'Raw Data'!Y:Y),"")</f>
        <v/>
      </c>
      <c r="N344" s="131" t="str">
        <f>IFERROR(_xlfn.XLOOKUP($A344,'Raw Data'!$G:$G,'Raw Data'!Z:Z),"")</f>
        <v/>
      </c>
      <c r="O344" s="158" t="str">
        <f>IFERROR(1-SUMIF('Plant BD'!$H:$H,$A344,'Plant BD'!AC:AC)/$F344,"")</f>
        <v/>
      </c>
      <c r="P344" s="158"/>
      <c r="Q344" s="159"/>
      <c r="R344" s="158" t="str">
        <f>IFERROR(1-SUMIF('Grid BD'!$H:$H,$A344,'Grid BD'!AB:AB)/$F344,"")</f>
        <v/>
      </c>
      <c r="T344" s="159" t="str">
        <f>IFERROR(1-SUMIF(Tracker_BD!$H:$H,$A344,Tracker_BD!AI:AI)/$F344,"")</f>
        <v/>
      </c>
      <c r="U344" s="160" t="str">
        <f t="shared" si="22"/>
        <v/>
      </c>
      <c r="V344" s="160"/>
      <c r="W344" s="161" t="str">
        <f t="shared" si="23"/>
        <v/>
      </c>
      <c r="X344" s="156" t="str">
        <f>IFERROR(_xlfn.XLOOKUP($A344,'Raw Data'!$G:$G,'Raw Data'!$AB:$AB),"")</f>
        <v/>
      </c>
      <c r="Y344" s="156" t="str">
        <f>IFERROR(_xlfn.XLOOKUP($A344,'Raw Data'!$G:$G,'Raw Data'!AC:AC),"")</f>
        <v/>
      </c>
      <c r="Z344" s="156" t="str">
        <f>IFERROR(_xlfn.XLOOKUP($A344,'Raw Data'!$G:$G,'Raw Data'!AD:AD),"")</f>
        <v/>
      </c>
      <c r="AA344" s="156" t="str">
        <f>IFERROR(_xlfn.XLOOKUP($A344,'Raw Data'!$G:$G,'Raw Data'!AE:AE),"")</f>
        <v/>
      </c>
      <c r="AB344" s="156" t="str">
        <f>IFERROR(_xlfn.XLOOKUP($A344,'Raw Data'!$G:$G,'Raw Data'!$H:$H),"")</f>
        <v/>
      </c>
      <c r="AC344" s="162">
        <f>IFERROR(_xlfn.XLOOKUP($D344,'Modelling New'!$D:$D,'Modelling New'!$P:$P),"")</f>
        <v>7.7166057064516123</v>
      </c>
      <c r="AD344" s="156">
        <f>IFERROR(_xlfn.XLOOKUP($D344,'Modelling New'!$D:$D,'Modelling New'!$T:$T)*1000,"")</f>
        <v>67607.798406693953</v>
      </c>
      <c r="AE344" s="163">
        <f>IFERROR(_xlfn.XLOOKUP($D344,'Modelling New'!$D:$D,'Modelling New'!$O:$O),"")</f>
        <v>0.74755452089211905</v>
      </c>
      <c r="AF344" s="163">
        <f>IFERROR(_xlfn.XLOOKUP($D344,'Modelling New'!$D:$D,'Modelling New'!$W:$W),"")</f>
        <v>0.24035764507499272</v>
      </c>
      <c r="AG344" s="163">
        <f>IFERROR(_xlfn.XLOOKUP($D344,'Modelling New'!$D:$D,'Modelling New'!AE:AE),"")</f>
        <v>0.995</v>
      </c>
      <c r="AH344" s="163">
        <f>IFERROR(_xlfn.XLOOKUP($D344,'Modelling New'!$D:$D,'Modelling New'!AF:AF),"")</f>
        <v>0.98550000000000004</v>
      </c>
      <c r="AN344" s="164"/>
      <c r="AO344" s="161"/>
      <c r="AP344" s="161"/>
      <c r="AQ344" s="161"/>
      <c r="AR344" s="156">
        <f>IFERROR(_xlfn.XLOOKUP($D344,'Modelling New'!$D:$D,'Modelling New'!$N:$N),"")</f>
        <v>11.72</v>
      </c>
    </row>
    <row r="345" spans="1:44">
      <c r="A345" s="155">
        <f t="shared" si="24"/>
        <v>46088</v>
      </c>
      <c r="B345" s="156">
        <f>YEAR(Table13[[#This Row],[Date]])+IF(MONTH(Table13[[#This Row],[Date]])&gt;=4,1,0)</f>
        <v>2026</v>
      </c>
      <c r="C345" s="129">
        <f>YEAR(Table13[[#This Row],[Date]])</f>
        <v>2026</v>
      </c>
      <c r="D345" s="157">
        <f>Table13[[#This Row],[Date]]-DAY(Table13[[#This Row],[Date]])+1</f>
        <v>46082</v>
      </c>
      <c r="E345" s="129">
        <f t="shared" si="21"/>
        <v>31</v>
      </c>
      <c r="F345" s="130" t="str">
        <f>IFERROR(_xlfn.XLOOKUP($A345,'Raw Data'!$G:$G,'Raw Data'!$AH:$AH),"")</f>
        <v/>
      </c>
      <c r="G345" s="131" t="str">
        <f>IFERROR(_xlfn.XLOOKUP($A345,'Raw Data'!$G:$G,'Raw Data'!$S:$S)/1000,"")</f>
        <v/>
      </c>
      <c r="H345" s="131"/>
      <c r="I345" s="131" t="str">
        <f>IFERROR(_xlfn.XLOOKUP($A345,'Raw Data'!$G:$G,'Raw Data'!$AF:$AF)/1000,"")</f>
        <v/>
      </c>
      <c r="J345" s="131"/>
      <c r="K345" s="131" t="str">
        <f>IFERROR(_xlfn.XLOOKUP($A345,'Raw Data'!$G:$G,'Raw Data'!W:W),"")</f>
        <v/>
      </c>
      <c r="L345" s="131" t="str">
        <f>IFERROR(_xlfn.XLOOKUP($A345,'Raw Data'!$G:$G,'Raw Data'!X:X),"")</f>
        <v/>
      </c>
      <c r="M345" s="131" t="str">
        <f>IFERROR(_xlfn.XLOOKUP($A345,'Raw Data'!$G:$G,'Raw Data'!Y:Y),"")</f>
        <v/>
      </c>
      <c r="N345" s="131" t="str">
        <f>IFERROR(_xlfn.XLOOKUP($A345,'Raw Data'!$G:$G,'Raw Data'!Z:Z),"")</f>
        <v/>
      </c>
      <c r="O345" s="158" t="str">
        <f>IFERROR(1-SUMIF('Plant BD'!$H:$H,$A345,'Plant BD'!AC:AC)/$F345,"")</f>
        <v/>
      </c>
      <c r="P345" s="158"/>
      <c r="Q345" s="159"/>
      <c r="R345" s="158" t="str">
        <f>IFERROR(1-SUMIF('Grid BD'!$H:$H,$A345,'Grid BD'!AB:AB)/$F345,"")</f>
        <v/>
      </c>
      <c r="T345" s="159" t="str">
        <f>IFERROR(1-SUMIF(Tracker_BD!$H:$H,$A345,Tracker_BD!AI:AI)/$F345,"")</f>
        <v/>
      </c>
      <c r="U345" s="160" t="str">
        <f t="shared" si="22"/>
        <v/>
      </c>
      <c r="V345" s="160"/>
      <c r="W345" s="161" t="str">
        <f t="shared" si="23"/>
        <v/>
      </c>
      <c r="X345" s="156" t="str">
        <f>IFERROR(_xlfn.XLOOKUP($A345,'Raw Data'!$G:$G,'Raw Data'!$AB:$AB),"")</f>
        <v/>
      </c>
      <c r="Y345" s="156" t="str">
        <f>IFERROR(_xlfn.XLOOKUP($A345,'Raw Data'!$G:$G,'Raw Data'!AC:AC),"")</f>
        <v/>
      </c>
      <c r="Z345" s="156" t="str">
        <f>IFERROR(_xlfn.XLOOKUP($A345,'Raw Data'!$G:$G,'Raw Data'!AD:AD),"")</f>
        <v/>
      </c>
      <c r="AA345" s="156" t="str">
        <f>IFERROR(_xlfn.XLOOKUP($A345,'Raw Data'!$G:$G,'Raw Data'!AE:AE),"")</f>
        <v/>
      </c>
      <c r="AB345" s="156" t="str">
        <f>IFERROR(_xlfn.XLOOKUP($A345,'Raw Data'!$G:$G,'Raw Data'!$H:$H),"")</f>
        <v/>
      </c>
      <c r="AC345" s="162">
        <f>IFERROR(_xlfn.XLOOKUP($D345,'Modelling New'!$D:$D,'Modelling New'!$P:$P),"")</f>
        <v>7.7166057064516123</v>
      </c>
      <c r="AD345" s="156">
        <f>IFERROR(_xlfn.XLOOKUP($D345,'Modelling New'!$D:$D,'Modelling New'!$T:$T)*1000,"")</f>
        <v>67607.798406693953</v>
      </c>
      <c r="AE345" s="163">
        <f>IFERROR(_xlfn.XLOOKUP($D345,'Modelling New'!$D:$D,'Modelling New'!$O:$O),"")</f>
        <v>0.74755452089211905</v>
      </c>
      <c r="AF345" s="163">
        <f>IFERROR(_xlfn.XLOOKUP($D345,'Modelling New'!$D:$D,'Modelling New'!$W:$W),"")</f>
        <v>0.24035764507499272</v>
      </c>
      <c r="AG345" s="163">
        <f>IFERROR(_xlfn.XLOOKUP($D345,'Modelling New'!$D:$D,'Modelling New'!AE:AE),"")</f>
        <v>0.995</v>
      </c>
      <c r="AH345" s="163">
        <f>IFERROR(_xlfn.XLOOKUP($D345,'Modelling New'!$D:$D,'Modelling New'!AF:AF),"")</f>
        <v>0.98550000000000004</v>
      </c>
      <c r="AN345" s="164"/>
      <c r="AO345" s="161"/>
      <c r="AP345" s="161"/>
      <c r="AQ345" s="161"/>
      <c r="AR345" s="156">
        <f>IFERROR(_xlfn.XLOOKUP($D345,'Modelling New'!$D:$D,'Modelling New'!$N:$N),"")</f>
        <v>11.72</v>
      </c>
    </row>
    <row r="346" spans="1:44">
      <c r="A346" s="155">
        <f t="shared" si="24"/>
        <v>46089</v>
      </c>
      <c r="B346" s="156">
        <f>YEAR(Table13[[#This Row],[Date]])+IF(MONTH(Table13[[#This Row],[Date]])&gt;=4,1,0)</f>
        <v>2026</v>
      </c>
      <c r="C346" s="129">
        <f>YEAR(Table13[[#This Row],[Date]])</f>
        <v>2026</v>
      </c>
      <c r="D346" s="157">
        <f>Table13[[#This Row],[Date]]-DAY(Table13[[#This Row],[Date]])+1</f>
        <v>46082</v>
      </c>
      <c r="E346" s="129">
        <f t="shared" si="21"/>
        <v>31</v>
      </c>
      <c r="F346" s="130" t="str">
        <f>IFERROR(_xlfn.XLOOKUP($A346,'Raw Data'!$G:$G,'Raw Data'!$AH:$AH),"")</f>
        <v/>
      </c>
      <c r="G346" s="131" t="str">
        <f>IFERROR(_xlfn.XLOOKUP($A346,'Raw Data'!$G:$G,'Raw Data'!$S:$S)/1000,"")</f>
        <v/>
      </c>
      <c r="H346" s="131"/>
      <c r="I346" s="131" t="str">
        <f>IFERROR(_xlfn.XLOOKUP($A346,'Raw Data'!$G:$G,'Raw Data'!$AF:$AF)/1000,"")</f>
        <v/>
      </c>
      <c r="J346" s="131"/>
      <c r="K346" s="131" t="str">
        <f>IFERROR(_xlfn.XLOOKUP($A346,'Raw Data'!$G:$G,'Raw Data'!W:W),"")</f>
        <v/>
      </c>
      <c r="L346" s="131" t="str">
        <f>IFERROR(_xlfn.XLOOKUP($A346,'Raw Data'!$G:$G,'Raw Data'!X:X),"")</f>
        <v/>
      </c>
      <c r="M346" s="131" t="str">
        <f>IFERROR(_xlfn.XLOOKUP($A346,'Raw Data'!$G:$G,'Raw Data'!Y:Y),"")</f>
        <v/>
      </c>
      <c r="N346" s="131" t="str">
        <f>IFERROR(_xlfn.XLOOKUP($A346,'Raw Data'!$G:$G,'Raw Data'!Z:Z),"")</f>
        <v/>
      </c>
      <c r="O346" s="158" t="str">
        <f>IFERROR(1-SUMIF('Plant BD'!$H:$H,$A346,'Plant BD'!AC:AC)/$F346,"")</f>
        <v/>
      </c>
      <c r="P346" s="158"/>
      <c r="Q346" s="159"/>
      <c r="R346" s="158" t="str">
        <f>IFERROR(1-SUMIF('Grid BD'!$H:$H,$A346,'Grid BD'!AB:AB)/$F346,"")</f>
        <v/>
      </c>
      <c r="T346" s="159" t="str">
        <f>IFERROR(1-SUMIF(Tracker_BD!$H:$H,$A346,Tracker_BD!AI:AI)/$F346,"")</f>
        <v/>
      </c>
      <c r="U346" s="160" t="str">
        <f t="shared" si="22"/>
        <v/>
      </c>
      <c r="V346" s="160"/>
      <c r="W346" s="161" t="str">
        <f t="shared" si="23"/>
        <v/>
      </c>
      <c r="X346" s="156" t="str">
        <f>IFERROR(_xlfn.XLOOKUP($A346,'Raw Data'!$G:$G,'Raw Data'!$AB:$AB),"")</f>
        <v/>
      </c>
      <c r="Y346" s="156" t="str">
        <f>IFERROR(_xlfn.XLOOKUP($A346,'Raw Data'!$G:$G,'Raw Data'!AC:AC),"")</f>
        <v/>
      </c>
      <c r="Z346" s="156" t="str">
        <f>IFERROR(_xlfn.XLOOKUP($A346,'Raw Data'!$G:$G,'Raw Data'!AD:AD),"")</f>
        <v/>
      </c>
      <c r="AA346" s="156" t="str">
        <f>IFERROR(_xlfn.XLOOKUP($A346,'Raw Data'!$G:$G,'Raw Data'!AE:AE),"")</f>
        <v/>
      </c>
      <c r="AB346" s="156" t="str">
        <f>IFERROR(_xlfn.XLOOKUP($A346,'Raw Data'!$G:$G,'Raw Data'!$H:$H),"")</f>
        <v/>
      </c>
      <c r="AC346" s="162">
        <f>IFERROR(_xlfn.XLOOKUP($D346,'Modelling New'!$D:$D,'Modelling New'!$P:$P),"")</f>
        <v>7.7166057064516123</v>
      </c>
      <c r="AD346" s="156">
        <f>IFERROR(_xlfn.XLOOKUP($D346,'Modelling New'!$D:$D,'Modelling New'!$T:$T)*1000,"")</f>
        <v>67607.798406693953</v>
      </c>
      <c r="AE346" s="163">
        <f>IFERROR(_xlfn.XLOOKUP($D346,'Modelling New'!$D:$D,'Modelling New'!$O:$O),"")</f>
        <v>0.74755452089211905</v>
      </c>
      <c r="AF346" s="163">
        <f>IFERROR(_xlfn.XLOOKUP($D346,'Modelling New'!$D:$D,'Modelling New'!$W:$W),"")</f>
        <v>0.24035764507499272</v>
      </c>
      <c r="AG346" s="163">
        <f>IFERROR(_xlfn.XLOOKUP($D346,'Modelling New'!$D:$D,'Modelling New'!AE:AE),"")</f>
        <v>0.995</v>
      </c>
      <c r="AH346" s="163">
        <f>IFERROR(_xlfn.XLOOKUP($D346,'Modelling New'!$D:$D,'Modelling New'!AF:AF),"")</f>
        <v>0.98550000000000004</v>
      </c>
      <c r="AN346" s="164"/>
      <c r="AO346" s="161"/>
      <c r="AP346" s="161"/>
      <c r="AQ346" s="161"/>
      <c r="AR346" s="156">
        <f>IFERROR(_xlfn.XLOOKUP($D346,'Modelling New'!$D:$D,'Modelling New'!$N:$N),"")</f>
        <v>11.72</v>
      </c>
    </row>
    <row r="347" spans="1:44">
      <c r="A347" s="155">
        <f t="shared" si="24"/>
        <v>46090</v>
      </c>
      <c r="B347" s="156">
        <f>YEAR(Table13[[#This Row],[Date]])+IF(MONTH(Table13[[#This Row],[Date]])&gt;=4,1,0)</f>
        <v>2026</v>
      </c>
      <c r="C347" s="129">
        <f>YEAR(Table13[[#This Row],[Date]])</f>
        <v>2026</v>
      </c>
      <c r="D347" s="157">
        <f>Table13[[#This Row],[Date]]-DAY(Table13[[#This Row],[Date]])+1</f>
        <v>46082</v>
      </c>
      <c r="E347" s="129">
        <f t="shared" si="21"/>
        <v>31</v>
      </c>
      <c r="F347" s="130" t="str">
        <f>IFERROR(_xlfn.XLOOKUP($A347,'Raw Data'!$G:$G,'Raw Data'!$AH:$AH),"")</f>
        <v/>
      </c>
      <c r="G347" s="131" t="str">
        <f>IFERROR(_xlfn.XLOOKUP($A347,'Raw Data'!$G:$G,'Raw Data'!$S:$S)/1000,"")</f>
        <v/>
      </c>
      <c r="H347" s="131"/>
      <c r="I347" s="131" t="str">
        <f>IFERROR(_xlfn.XLOOKUP($A347,'Raw Data'!$G:$G,'Raw Data'!$AF:$AF)/1000,"")</f>
        <v/>
      </c>
      <c r="J347" s="131"/>
      <c r="K347" s="131" t="str">
        <f>IFERROR(_xlfn.XLOOKUP($A347,'Raw Data'!$G:$G,'Raw Data'!W:W),"")</f>
        <v/>
      </c>
      <c r="L347" s="131" t="str">
        <f>IFERROR(_xlfn.XLOOKUP($A347,'Raw Data'!$G:$G,'Raw Data'!X:X),"")</f>
        <v/>
      </c>
      <c r="M347" s="131" t="str">
        <f>IFERROR(_xlfn.XLOOKUP($A347,'Raw Data'!$G:$G,'Raw Data'!Y:Y),"")</f>
        <v/>
      </c>
      <c r="N347" s="131" t="str">
        <f>IFERROR(_xlfn.XLOOKUP($A347,'Raw Data'!$G:$G,'Raw Data'!Z:Z),"")</f>
        <v/>
      </c>
      <c r="O347" s="158" t="str">
        <f>IFERROR(1-SUMIF('Plant BD'!$H:$H,$A347,'Plant BD'!AC:AC)/$F347,"")</f>
        <v/>
      </c>
      <c r="P347" s="158"/>
      <c r="Q347" s="159"/>
      <c r="R347" s="158" t="str">
        <f>IFERROR(1-SUMIF('Grid BD'!$H:$H,$A347,'Grid BD'!AB:AB)/$F347,"")</f>
        <v/>
      </c>
      <c r="T347" s="159" t="str">
        <f>IFERROR(1-SUMIF(Tracker_BD!$H:$H,$A347,Tracker_BD!AI:AI)/$F347,"")</f>
        <v/>
      </c>
      <c r="U347" s="160" t="str">
        <f t="shared" si="22"/>
        <v/>
      </c>
      <c r="V347" s="160"/>
      <c r="W347" s="161" t="str">
        <f t="shared" si="23"/>
        <v/>
      </c>
      <c r="X347" s="156" t="str">
        <f>IFERROR(_xlfn.XLOOKUP($A347,'Raw Data'!$G:$G,'Raw Data'!$AB:$AB),"")</f>
        <v/>
      </c>
      <c r="Y347" s="156" t="str">
        <f>IFERROR(_xlfn.XLOOKUP($A347,'Raw Data'!$G:$G,'Raw Data'!AC:AC),"")</f>
        <v/>
      </c>
      <c r="Z347" s="156" t="str">
        <f>IFERROR(_xlfn.XLOOKUP($A347,'Raw Data'!$G:$G,'Raw Data'!AD:AD),"")</f>
        <v/>
      </c>
      <c r="AA347" s="156" t="str">
        <f>IFERROR(_xlfn.XLOOKUP($A347,'Raw Data'!$G:$G,'Raw Data'!AE:AE),"")</f>
        <v/>
      </c>
      <c r="AB347" s="156" t="str">
        <f>IFERROR(_xlfn.XLOOKUP($A347,'Raw Data'!$G:$G,'Raw Data'!$H:$H),"")</f>
        <v/>
      </c>
      <c r="AC347" s="162">
        <f>IFERROR(_xlfn.XLOOKUP($D347,'Modelling New'!$D:$D,'Modelling New'!$P:$P),"")</f>
        <v>7.7166057064516123</v>
      </c>
      <c r="AD347" s="156">
        <f>IFERROR(_xlfn.XLOOKUP($D347,'Modelling New'!$D:$D,'Modelling New'!$T:$T)*1000,"")</f>
        <v>67607.798406693953</v>
      </c>
      <c r="AE347" s="163">
        <f>IFERROR(_xlfn.XLOOKUP($D347,'Modelling New'!$D:$D,'Modelling New'!$O:$O),"")</f>
        <v>0.74755452089211905</v>
      </c>
      <c r="AF347" s="163">
        <f>IFERROR(_xlfn.XLOOKUP($D347,'Modelling New'!$D:$D,'Modelling New'!$W:$W),"")</f>
        <v>0.24035764507499272</v>
      </c>
      <c r="AG347" s="163">
        <f>IFERROR(_xlfn.XLOOKUP($D347,'Modelling New'!$D:$D,'Modelling New'!AE:AE),"")</f>
        <v>0.995</v>
      </c>
      <c r="AH347" s="163">
        <f>IFERROR(_xlfn.XLOOKUP($D347,'Modelling New'!$D:$D,'Modelling New'!AF:AF),"")</f>
        <v>0.98550000000000004</v>
      </c>
      <c r="AN347" s="164"/>
      <c r="AO347" s="161"/>
      <c r="AP347" s="161"/>
      <c r="AQ347" s="161"/>
      <c r="AR347" s="156">
        <f>IFERROR(_xlfn.XLOOKUP($D347,'Modelling New'!$D:$D,'Modelling New'!$N:$N),"")</f>
        <v>11.72</v>
      </c>
    </row>
    <row r="348" spans="1:44">
      <c r="A348" s="155">
        <f t="shared" si="24"/>
        <v>46091</v>
      </c>
      <c r="B348" s="156">
        <f>YEAR(Table13[[#This Row],[Date]])+IF(MONTH(Table13[[#This Row],[Date]])&gt;=4,1,0)</f>
        <v>2026</v>
      </c>
      <c r="C348" s="129">
        <f>YEAR(Table13[[#This Row],[Date]])</f>
        <v>2026</v>
      </c>
      <c r="D348" s="157">
        <f>Table13[[#This Row],[Date]]-DAY(Table13[[#This Row],[Date]])+1</f>
        <v>46082</v>
      </c>
      <c r="E348" s="129">
        <f t="shared" si="21"/>
        <v>31</v>
      </c>
      <c r="F348" s="130" t="str">
        <f>IFERROR(_xlfn.XLOOKUP($A348,'Raw Data'!$G:$G,'Raw Data'!$AH:$AH),"")</f>
        <v/>
      </c>
      <c r="G348" s="131" t="str">
        <f>IFERROR(_xlfn.XLOOKUP($A348,'Raw Data'!$G:$G,'Raw Data'!$S:$S)/1000,"")</f>
        <v/>
      </c>
      <c r="H348" s="131"/>
      <c r="I348" s="131" t="str">
        <f>IFERROR(_xlfn.XLOOKUP($A348,'Raw Data'!$G:$G,'Raw Data'!$AF:$AF)/1000,"")</f>
        <v/>
      </c>
      <c r="J348" s="131"/>
      <c r="K348" s="131" t="str">
        <f>IFERROR(_xlfn.XLOOKUP($A348,'Raw Data'!$G:$G,'Raw Data'!W:W),"")</f>
        <v/>
      </c>
      <c r="L348" s="131" t="str">
        <f>IFERROR(_xlfn.XLOOKUP($A348,'Raw Data'!$G:$G,'Raw Data'!X:X),"")</f>
        <v/>
      </c>
      <c r="M348" s="131" t="str">
        <f>IFERROR(_xlfn.XLOOKUP($A348,'Raw Data'!$G:$G,'Raw Data'!Y:Y),"")</f>
        <v/>
      </c>
      <c r="N348" s="131" t="str">
        <f>IFERROR(_xlfn.XLOOKUP($A348,'Raw Data'!$G:$G,'Raw Data'!Z:Z),"")</f>
        <v/>
      </c>
      <c r="O348" s="158" t="str">
        <f>IFERROR(1-SUMIF('Plant BD'!$H:$H,$A348,'Plant BD'!AC:AC)/$F348,"")</f>
        <v/>
      </c>
      <c r="P348" s="158"/>
      <c r="Q348" s="159"/>
      <c r="R348" s="158" t="str">
        <f>IFERROR(1-SUMIF('Grid BD'!$H:$H,$A348,'Grid BD'!AB:AB)/$F348,"")</f>
        <v/>
      </c>
      <c r="T348" s="159" t="str">
        <f>IFERROR(1-SUMIF(Tracker_BD!$H:$H,$A348,Tracker_BD!AI:AI)/$F348,"")</f>
        <v/>
      </c>
      <c r="U348" s="160" t="str">
        <f t="shared" si="22"/>
        <v/>
      </c>
      <c r="V348" s="160"/>
      <c r="W348" s="161" t="str">
        <f t="shared" si="23"/>
        <v/>
      </c>
      <c r="X348" s="156" t="str">
        <f>IFERROR(_xlfn.XLOOKUP($A348,'Raw Data'!$G:$G,'Raw Data'!$AB:$AB),"")</f>
        <v/>
      </c>
      <c r="Y348" s="156" t="str">
        <f>IFERROR(_xlfn.XLOOKUP($A348,'Raw Data'!$G:$G,'Raw Data'!AC:AC),"")</f>
        <v/>
      </c>
      <c r="Z348" s="156" t="str">
        <f>IFERROR(_xlfn.XLOOKUP($A348,'Raw Data'!$G:$G,'Raw Data'!AD:AD),"")</f>
        <v/>
      </c>
      <c r="AA348" s="156" t="str">
        <f>IFERROR(_xlfn.XLOOKUP($A348,'Raw Data'!$G:$G,'Raw Data'!AE:AE),"")</f>
        <v/>
      </c>
      <c r="AB348" s="156" t="str">
        <f>IFERROR(_xlfn.XLOOKUP($A348,'Raw Data'!$G:$G,'Raw Data'!$H:$H),"")</f>
        <v/>
      </c>
      <c r="AC348" s="162">
        <f>IFERROR(_xlfn.XLOOKUP($D348,'Modelling New'!$D:$D,'Modelling New'!$P:$P),"")</f>
        <v>7.7166057064516123</v>
      </c>
      <c r="AD348" s="156">
        <f>IFERROR(_xlfn.XLOOKUP($D348,'Modelling New'!$D:$D,'Modelling New'!$T:$T)*1000,"")</f>
        <v>67607.798406693953</v>
      </c>
      <c r="AE348" s="163">
        <f>IFERROR(_xlfn.XLOOKUP($D348,'Modelling New'!$D:$D,'Modelling New'!$O:$O),"")</f>
        <v>0.74755452089211905</v>
      </c>
      <c r="AF348" s="163">
        <f>IFERROR(_xlfn.XLOOKUP($D348,'Modelling New'!$D:$D,'Modelling New'!$W:$W),"")</f>
        <v>0.24035764507499272</v>
      </c>
      <c r="AG348" s="163">
        <f>IFERROR(_xlfn.XLOOKUP($D348,'Modelling New'!$D:$D,'Modelling New'!AE:AE),"")</f>
        <v>0.995</v>
      </c>
      <c r="AH348" s="163">
        <f>IFERROR(_xlfn.XLOOKUP($D348,'Modelling New'!$D:$D,'Modelling New'!AF:AF),"")</f>
        <v>0.98550000000000004</v>
      </c>
      <c r="AN348" s="164"/>
      <c r="AO348" s="161"/>
      <c r="AP348" s="161"/>
      <c r="AQ348" s="161"/>
      <c r="AR348" s="156">
        <f>IFERROR(_xlfn.XLOOKUP($D348,'Modelling New'!$D:$D,'Modelling New'!$N:$N),"")</f>
        <v>11.72</v>
      </c>
    </row>
    <row r="349" spans="1:44">
      <c r="A349" s="155">
        <f t="shared" si="24"/>
        <v>46092</v>
      </c>
      <c r="B349" s="156">
        <f>YEAR(Table13[[#This Row],[Date]])+IF(MONTH(Table13[[#This Row],[Date]])&gt;=4,1,0)</f>
        <v>2026</v>
      </c>
      <c r="C349" s="129">
        <f>YEAR(Table13[[#This Row],[Date]])</f>
        <v>2026</v>
      </c>
      <c r="D349" s="157">
        <f>Table13[[#This Row],[Date]]-DAY(Table13[[#This Row],[Date]])+1</f>
        <v>46082</v>
      </c>
      <c r="E349" s="129">
        <f t="shared" si="21"/>
        <v>31</v>
      </c>
      <c r="F349" s="130" t="str">
        <f>IFERROR(_xlfn.XLOOKUP($A349,'Raw Data'!$G:$G,'Raw Data'!$AH:$AH),"")</f>
        <v/>
      </c>
      <c r="G349" s="131" t="str">
        <f>IFERROR(_xlfn.XLOOKUP($A349,'Raw Data'!$G:$G,'Raw Data'!$S:$S)/1000,"")</f>
        <v/>
      </c>
      <c r="H349" s="131"/>
      <c r="I349" s="131" t="str">
        <f>IFERROR(_xlfn.XLOOKUP($A349,'Raw Data'!$G:$G,'Raw Data'!$AF:$AF)/1000,"")</f>
        <v/>
      </c>
      <c r="J349" s="131"/>
      <c r="K349" s="131" t="str">
        <f>IFERROR(_xlfn.XLOOKUP($A349,'Raw Data'!$G:$G,'Raw Data'!W:W),"")</f>
        <v/>
      </c>
      <c r="L349" s="131" t="str">
        <f>IFERROR(_xlfn.XLOOKUP($A349,'Raw Data'!$G:$G,'Raw Data'!X:X),"")</f>
        <v/>
      </c>
      <c r="M349" s="131" t="str">
        <f>IFERROR(_xlfn.XLOOKUP($A349,'Raw Data'!$G:$G,'Raw Data'!Y:Y),"")</f>
        <v/>
      </c>
      <c r="N349" s="131" t="str">
        <f>IFERROR(_xlfn.XLOOKUP($A349,'Raw Data'!$G:$G,'Raw Data'!Z:Z),"")</f>
        <v/>
      </c>
      <c r="O349" s="158" t="str">
        <f>IFERROR(1-SUMIF('Plant BD'!$H:$H,$A349,'Plant BD'!AC:AC)/$F349,"")</f>
        <v/>
      </c>
      <c r="P349" s="158"/>
      <c r="Q349" s="159"/>
      <c r="R349" s="158" t="str">
        <f>IFERROR(1-SUMIF('Grid BD'!$H:$H,$A349,'Grid BD'!AB:AB)/$F349,"")</f>
        <v/>
      </c>
      <c r="T349" s="159" t="str">
        <f>IFERROR(1-SUMIF(Tracker_BD!$H:$H,$A349,Tracker_BD!AI:AI)/$F349,"")</f>
        <v/>
      </c>
      <c r="U349" s="160" t="str">
        <f t="shared" si="22"/>
        <v/>
      </c>
      <c r="V349" s="160"/>
      <c r="W349" s="161" t="str">
        <f t="shared" si="23"/>
        <v/>
      </c>
      <c r="X349" s="156" t="str">
        <f>IFERROR(_xlfn.XLOOKUP($A349,'Raw Data'!$G:$G,'Raw Data'!$AB:$AB),"")</f>
        <v/>
      </c>
      <c r="Y349" s="156" t="str">
        <f>IFERROR(_xlfn.XLOOKUP($A349,'Raw Data'!$G:$G,'Raw Data'!AC:AC),"")</f>
        <v/>
      </c>
      <c r="Z349" s="156" t="str">
        <f>IFERROR(_xlfn.XLOOKUP($A349,'Raw Data'!$G:$G,'Raw Data'!AD:AD),"")</f>
        <v/>
      </c>
      <c r="AA349" s="156" t="str">
        <f>IFERROR(_xlfn.XLOOKUP($A349,'Raw Data'!$G:$G,'Raw Data'!AE:AE),"")</f>
        <v/>
      </c>
      <c r="AB349" s="156" t="str">
        <f>IFERROR(_xlfn.XLOOKUP($A349,'Raw Data'!$G:$G,'Raw Data'!$H:$H),"")</f>
        <v/>
      </c>
      <c r="AC349" s="162">
        <f>IFERROR(_xlfn.XLOOKUP($D349,'Modelling New'!$D:$D,'Modelling New'!$P:$P),"")</f>
        <v>7.7166057064516123</v>
      </c>
      <c r="AD349" s="156">
        <f>IFERROR(_xlfn.XLOOKUP($D349,'Modelling New'!$D:$D,'Modelling New'!$T:$T)*1000,"")</f>
        <v>67607.798406693953</v>
      </c>
      <c r="AE349" s="163">
        <f>IFERROR(_xlfn.XLOOKUP($D349,'Modelling New'!$D:$D,'Modelling New'!$O:$O),"")</f>
        <v>0.74755452089211905</v>
      </c>
      <c r="AF349" s="163">
        <f>IFERROR(_xlfn.XLOOKUP($D349,'Modelling New'!$D:$D,'Modelling New'!$W:$W),"")</f>
        <v>0.24035764507499272</v>
      </c>
      <c r="AG349" s="163">
        <f>IFERROR(_xlfn.XLOOKUP($D349,'Modelling New'!$D:$D,'Modelling New'!AE:AE),"")</f>
        <v>0.995</v>
      </c>
      <c r="AH349" s="163">
        <f>IFERROR(_xlfn.XLOOKUP($D349,'Modelling New'!$D:$D,'Modelling New'!AF:AF),"")</f>
        <v>0.98550000000000004</v>
      </c>
      <c r="AN349" s="164"/>
      <c r="AO349" s="161"/>
      <c r="AP349" s="161"/>
      <c r="AQ349" s="161"/>
      <c r="AR349" s="156">
        <f>IFERROR(_xlfn.XLOOKUP($D349,'Modelling New'!$D:$D,'Modelling New'!$N:$N),"")</f>
        <v>11.72</v>
      </c>
    </row>
    <row r="350" spans="1:44">
      <c r="A350" s="155">
        <f t="shared" si="24"/>
        <v>46093</v>
      </c>
      <c r="B350" s="156">
        <f>YEAR(Table13[[#This Row],[Date]])+IF(MONTH(Table13[[#This Row],[Date]])&gt;=4,1,0)</f>
        <v>2026</v>
      </c>
      <c r="C350" s="129">
        <f>YEAR(Table13[[#This Row],[Date]])</f>
        <v>2026</v>
      </c>
      <c r="D350" s="157">
        <f>Table13[[#This Row],[Date]]-DAY(Table13[[#This Row],[Date]])+1</f>
        <v>46082</v>
      </c>
      <c r="E350" s="129">
        <f t="shared" si="21"/>
        <v>31</v>
      </c>
      <c r="F350" s="130" t="str">
        <f>IFERROR(_xlfn.XLOOKUP($A350,'Raw Data'!$G:$G,'Raw Data'!$AH:$AH),"")</f>
        <v/>
      </c>
      <c r="G350" s="131" t="str">
        <f>IFERROR(_xlfn.XLOOKUP($A350,'Raw Data'!$G:$G,'Raw Data'!$S:$S)/1000,"")</f>
        <v/>
      </c>
      <c r="H350" s="131"/>
      <c r="I350" s="131" t="str">
        <f>IFERROR(_xlfn.XLOOKUP($A350,'Raw Data'!$G:$G,'Raw Data'!$AF:$AF)/1000,"")</f>
        <v/>
      </c>
      <c r="J350" s="131"/>
      <c r="K350" s="131" t="str">
        <f>IFERROR(_xlfn.XLOOKUP($A350,'Raw Data'!$G:$G,'Raw Data'!W:W),"")</f>
        <v/>
      </c>
      <c r="L350" s="131" t="str">
        <f>IFERROR(_xlfn.XLOOKUP($A350,'Raw Data'!$G:$G,'Raw Data'!X:X),"")</f>
        <v/>
      </c>
      <c r="M350" s="131" t="str">
        <f>IFERROR(_xlfn.XLOOKUP($A350,'Raw Data'!$G:$G,'Raw Data'!Y:Y),"")</f>
        <v/>
      </c>
      <c r="N350" s="131" t="str">
        <f>IFERROR(_xlfn.XLOOKUP($A350,'Raw Data'!$G:$G,'Raw Data'!Z:Z),"")</f>
        <v/>
      </c>
      <c r="O350" s="158" t="str">
        <f>IFERROR(1-SUMIF('Plant BD'!$H:$H,$A350,'Plant BD'!AC:AC)/$F350,"")</f>
        <v/>
      </c>
      <c r="P350" s="158"/>
      <c r="Q350" s="159"/>
      <c r="R350" s="158" t="str">
        <f>IFERROR(1-SUMIF('Grid BD'!$H:$H,$A350,'Grid BD'!AB:AB)/$F350,"")</f>
        <v/>
      </c>
      <c r="T350" s="159" t="str">
        <f>IFERROR(1-SUMIF(Tracker_BD!$H:$H,$A350,Tracker_BD!AI:AI)/$F350,"")</f>
        <v/>
      </c>
      <c r="U350" s="160" t="str">
        <f t="shared" si="22"/>
        <v/>
      </c>
      <c r="V350" s="160"/>
      <c r="W350" s="161" t="str">
        <f t="shared" si="23"/>
        <v/>
      </c>
      <c r="X350" s="156" t="str">
        <f>IFERROR(_xlfn.XLOOKUP($A350,'Raw Data'!$G:$G,'Raw Data'!$AB:$AB),"")</f>
        <v/>
      </c>
      <c r="Y350" s="156" t="str">
        <f>IFERROR(_xlfn.XLOOKUP($A350,'Raw Data'!$G:$G,'Raw Data'!AC:AC),"")</f>
        <v/>
      </c>
      <c r="Z350" s="156" t="str">
        <f>IFERROR(_xlfn.XLOOKUP($A350,'Raw Data'!$G:$G,'Raw Data'!AD:AD),"")</f>
        <v/>
      </c>
      <c r="AA350" s="156" t="str">
        <f>IFERROR(_xlfn.XLOOKUP($A350,'Raw Data'!$G:$G,'Raw Data'!AE:AE),"")</f>
        <v/>
      </c>
      <c r="AB350" s="156" t="str">
        <f>IFERROR(_xlfn.XLOOKUP($A350,'Raw Data'!$G:$G,'Raw Data'!$H:$H),"")</f>
        <v/>
      </c>
      <c r="AC350" s="162">
        <f>IFERROR(_xlfn.XLOOKUP($D350,'Modelling New'!$D:$D,'Modelling New'!$P:$P),"")</f>
        <v>7.7166057064516123</v>
      </c>
      <c r="AD350" s="156">
        <f>IFERROR(_xlfn.XLOOKUP($D350,'Modelling New'!$D:$D,'Modelling New'!$T:$T)*1000,"")</f>
        <v>67607.798406693953</v>
      </c>
      <c r="AE350" s="163">
        <f>IFERROR(_xlfn.XLOOKUP($D350,'Modelling New'!$D:$D,'Modelling New'!$O:$O),"")</f>
        <v>0.74755452089211905</v>
      </c>
      <c r="AF350" s="163">
        <f>IFERROR(_xlfn.XLOOKUP($D350,'Modelling New'!$D:$D,'Modelling New'!$W:$W),"")</f>
        <v>0.24035764507499272</v>
      </c>
      <c r="AG350" s="163">
        <f>IFERROR(_xlfn.XLOOKUP($D350,'Modelling New'!$D:$D,'Modelling New'!AE:AE),"")</f>
        <v>0.995</v>
      </c>
      <c r="AH350" s="163">
        <f>IFERROR(_xlfn.XLOOKUP($D350,'Modelling New'!$D:$D,'Modelling New'!AF:AF),"")</f>
        <v>0.98550000000000004</v>
      </c>
      <c r="AN350" s="164"/>
      <c r="AO350" s="161"/>
      <c r="AP350" s="161"/>
      <c r="AQ350" s="161"/>
      <c r="AR350" s="156">
        <f>IFERROR(_xlfn.XLOOKUP($D350,'Modelling New'!$D:$D,'Modelling New'!$N:$N),"")</f>
        <v>11.72</v>
      </c>
    </row>
    <row r="351" spans="1:44">
      <c r="A351" s="155">
        <f t="shared" si="24"/>
        <v>46094</v>
      </c>
      <c r="B351" s="156">
        <f>YEAR(Table13[[#This Row],[Date]])+IF(MONTH(Table13[[#This Row],[Date]])&gt;=4,1,0)</f>
        <v>2026</v>
      </c>
      <c r="C351" s="129">
        <f>YEAR(Table13[[#This Row],[Date]])</f>
        <v>2026</v>
      </c>
      <c r="D351" s="157">
        <f>Table13[[#This Row],[Date]]-DAY(Table13[[#This Row],[Date]])+1</f>
        <v>46082</v>
      </c>
      <c r="E351" s="129">
        <f t="shared" si="21"/>
        <v>31</v>
      </c>
      <c r="F351" s="130" t="str">
        <f>IFERROR(_xlfn.XLOOKUP($A351,'Raw Data'!$G:$G,'Raw Data'!$AH:$AH),"")</f>
        <v/>
      </c>
      <c r="G351" s="131" t="str">
        <f>IFERROR(_xlfn.XLOOKUP($A351,'Raw Data'!$G:$G,'Raw Data'!$S:$S)/1000,"")</f>
        <v/>
      </c>
      <c r="H351" s="131"/>
      <c r="I351" s="131" t="str">
        <f>IFERROR(_xlfn.XLOOKUP($A351,'Raw Data'!$G:$G,'Raw Data'!$AF:$AF)/1000,"")</f>
        <v/>
      </c>
      <c r="J351" s="131"/>
      <c r="K351" s="131" t="str">
        <f>IFERROR(_xlfn.XLOOKUP($A351,'Raw Data'!$G:$G,'Raw Data'!W:W),"")</f>
        <v/>
      </c>
      <c r="L351" s="131" t="str">
        <f>IFERROR(_xlfn.XLOOKUP($A351,'Raw Data'!$G:$G,'Raw Data'!X:X),"")</f>
        <v/>
      </c>
      <c r="M351" s="131" t="str">
        <f>IFERROR(_xlfn.XLOOKUP($A351,'Raw Data'!$G:$G,'Raw Data'!Y:Y),"")</f>
        <v/>
      </c>
      <c r="N351" s="131" t="str">
        <f>IFERROR(_xlfn.XLOOKUP($A351,'Raw Data'!$G:$G,'Raw Data'!Z:Z),"")</f>
        <v/>
      </c>
      <c r="O351" s="158" t="str">
        <f>IFERROR(1-SUMIF('Plant BD'!$H:$H,$A351,'Plant BD'!AC:AC)/$F351,"")</f>
        <v/>
      </c>
      <c r="P351" s="158"/>
      <c r="Q351" s="159"/>
      <c r="R351" s="158" t="str">
        <f>IFERROR(1-SUMIF('Grid BD'!$H:$H,$A351,'Grid BD'!AB:AB)/$F351,"")</f>
        <v/>
      </c>
      <c r="T351" s="159" t="str">
        <f>IFERROR(1-SUMIF(Tracker_BD!$H:$H,$A351,Tracker_BD!AI:AI)/$F351,"")</f>
        <v/>
      </c>
      <c r="U351" s="160" t="str">
        <f t="shared" si="22"/>
        <v/>
      </c>
      <c r="V351" s="160"/>
      <c r="W351" s="161" t="str">
        <f t="shared" si="23"/>
        <v/>
      </c>
      <c r="X351" s="156" t="str">
        <f>IFERROR(_xlfn.XLOOKUP($A351,'Raw Data'!$G:$G,'Raw Data'!$AB:$AB),"")</f>
        <v/>
      </c>
      <c r="Y351" s="156" t="str">
        <f>IFERROR(_xlfn.XLOOKUP($A351,'Raw Data'!$G:$G,'Raw Data'!AC:AC),"")</f>
        <v/>
      </c>
      <c r="Z351" s="156" t="str">
        <f>IFERROR(_xlfn.XLOOKUP($A351,'Raw Data'!$G:$G,'Raw Data'!AD:AD),"")</f>
        <v/>
      </c>
      <c r="AA351" s="156" t="str">
        <f>IFERROR(_xlfn.XLOOKUP($A351,'Raw Data'!$G:$G,'Raw Data'!AE:AE),"")</f>
        <v/>
      </c>
      <c r="AB351" s="156" t="str">
        <f>IFERROR(_xlfn.XLOOKUP($A351,'Raw Data'!$G:$G,'Raw Data'!$H:$H),"")</f>
        <v/>
      </c>
      <c r="AC351" s="162">
        <f>IFERROR(_xlfn.XLOOKUP($D351,'Modelling New'!$D:$D,'Modelling New'!$P:$P),"")</f>
        <v>7.7166057064516123</v>
      </c>
      <c r="AD351" s="156">
        <f>IFERROR(_xlfn.XLOOKUP($D351,'Modelling New'!$D:$D,'Modelling New'!$T:$T)*1000,"")</f>
        <v>67607.798406693953</v>
      </c>
      <c r="AE351" s="163">
        <f>IFERROR(_xlfn.XLOOKUP($D351,'Modelling New'!$D:$D,'Modelling New'!$O:$O),"")</f>
        <v>0.74755452089211905</v>
      </c>
      <c r="AF351" s="163">
        <f>IFERROR(_xlfn.XLOOKUP($D351,'Modelling New'!$D:$D,'Modelling New'!$W:$W),"")</f>
        <v>0.24035764507499272</v>
      </c>
      <c r="AG351" s="163">
        <f>IFERROR(_xlfn.XLOOKUP($D351,'Modelling New'!$D:$D,'Modelling New'!AE:AE),"")</f>
        <v>0.995</v>
      </c>
      <c r="AH351" s="163">
        <f>IFERROR(_xlfn.XLOOKUP($D351,'Modelling New'!$D:$D,'Modelling New'!AF:AF),"")</f>
        <v>0.98550000000000004</v>
      </c>
      <c r="AN351" s="164"/>
      <c r="AO351" s="161"/>
      <c r="AP351" s="161"/>
      <c r="AQ351" s="161"/>
      <c r="AR351" s="156">
        <f>IFERROR(_xlfn.XLOOKUP($D351,'Modelling New'!$D:$D,'Modelling New'!$N:$N),"")</f>
        <v>11.72</v>
      </c>
    </row>
    <row r="352" spans="1:44">
      <c r="A352" s="155">
        <f t="shared" si="24"/>
        <v>46095</v>
      </c>
      <c r="B352" s="156">
        <f>YEAR(Table13[[#This Row],[Date]])+IF(MONTH(Table13[[#This Row],[Date]])&gt;=4,1,0)</f>
        <v>2026</v>
      </c>
      <c r="C352" s="129">
        <f>YEAR(Table13[[#This Row],[Date]])</f>
        <v>2026</v>
      </c>
      <c r="D352" s="157">
        <f>Table13[[#This Row],[Date]]-DAY(Table13[[#This Row],[Date]])+1</f>
        <v>46082</v>
      </c>
      <c r="E352" s="129">
        <f t="shared" si="21"/>
        <v>31</v>
      </c>
      <c r="F352" s="130" t="str">
        <f>IFERROR(_xlfn.XLOOKUP($A352,'Raw Data'!$G:$G,'Raw Data'!$AH:$AH),"")</f>
        <v/>
      </c>
      <c r="G352" s="131" t="str">
        <f>IFERROR(_xlfn.XLOOKUP($A352,'Raw Data'!$G:$G,'Raw Data'!$S:$S)/1000,"")</f>
        <v/>
      </c>
      <c r="H352" s="131"/>
      <c r="I352" s="131" t="str">
        <f>IFERROR(_xlfn.XLOOKUP($A352,'Raw Data'!$G:$G,'Raw Data'!$AF:$AF)/1000,"")</f>
        <v/>
      </c>
      <c r="J352" s="131"/>
      <c r="K352" s="131" t="str">
        <f>IFERROR(_xlfn.XLOOKUP($A352,'Raw Data'!$G:$G,'Raw Data'!W:W),"")</f>
        <v/>
      </c>
      <c r="L352" s="131" t="str">
        <f>IFERROR(_xlfn.XLOOKUP($A352,'Raw Data'!$G:$G,'Raw Data'!X:X),"")</f>
        <v/>
      </c>
      <c r="M352" s="131" t="str">
        <f>IFERROR(_xlfn.XLOOKUP($A352,'Raw Data'!$G:$G,'Raw Data'!Y:Y),"")</f>
        <v/>
      </c>
      <c r="N352" s="131" t="str">
        <f>IFERROR(_xlfn.XLOOKUP($A352,'Raw Data'!$G:$G,'Raw Data'!Z:Z),"")</f>
        <v/>
      </c>
      <c r="O352" s="158" t="str">
        <f>IFERROR(1-SUMIF('Plant BD'!$H:$H,$A352,'Plant BD'!AC:AC)/$F352,"")</f>
        <v/>
      </c>
      <c r="P352" s="158"/>
      <c r="Q352" s="159"/>
      <c r="R352" s="158" t="str">
        <f>IFERROR(1-SUMIF('Grid BD'!$H:$H,$A352,'Grid BD'!AB:AB)/$F352,"")</f>
        <v/>
      </c>
      <c r="T352" s="159" t="str">
        <f>IFERROR(1-SUMIF(Tracker_BD!$H:$H,$A352,Tracker_BD!AI:AI)/$F352,"")</f>
        <v/>
      </c>
      <c r="U352" s="160" t="str">
        <f t="shared" si="22"/>
        <v/>
      </c>
      <c r="V352" s="160"/>
      <c r="W352" s="161" t="str">
        <f t="shared" si="23"/>
        <v/>
      </c>
      <c r="X352" s="156" t="str">
        <f>IFERROR(_xlfn.XLOOKUP($A352,'Raw Data'!$G:$G,'Raw Data'!$AB:$AB),"")</f>
        <v/>
      </c>
      <c r="Y352" s="156" t="str">
        <f>IFERROR(_xlfn.XLOOKUP($A352,'Raw Data'!$G:$G,'Raw Data'!AC:AC),"")</f>
        <v/>
      </c>
      <c r="Z352" s="156" t="str">
        <f>IFERROR(_xlfn.XLOOKUP($A352,'Raw Data'!$G:$G,'Raw Data'!AD:AD),"")</f>
        <v/>
      </c>
      <c r="AA352" s="156" t="str">
        <f>IFERROR(_xlfn.XLOOKUP($A352,'Raw Data'!$G:$G,'Raw Data'!AE:AE),"")</f>
        <v/>
      </c>
      <c r="AB352" s="156" t="str">
        <f>IFERROR(_xlfn.XLOOKUP($A352,'Raw Data'!$G:$G,'Raw Data'!$H:$H),"")</f>
        <v/>
      </c>
      <c r="AC352" s="162">
        <f>IFERROR(_xlfn.XLOOKUP($D352,'Modelling New'!$D:$D,'Modelling New'!$P:$P),"")</f>
        <v>7.7166057064516123</v>
      </c>
      <c r="AD352" s="156">
        <f>IFERROR(_xlfn.XLOOKUP($D352,'Modelling New'!$D:$D,'Modelling New'!$T:$T)*1000,"")</f>
        <v>67607.798406693953</v>
      </c>
      <c r="AE352" s="163">
        <f>IFERROR(_xlfn.XLOOKUP($D352,'Modelling New'!$D:$D,'Modelling New'!$O:$O),"")</f>
        <v>0.74755452089211905</v>
      </c>
      <c r="AF352" s="163">
        <f>IFERROR(_xlfn.XLOOKUP($D352,'Modelling New'!$D:$D,'Modelling New'!$W:$W),"")</f>
        <v>0.24035764507499272</v>
      </c>
      <c r="AG352" s="163">
        <f>IFERROR(_xlfn.XLOOKUP($D352,'Modelling New'!$D:$D,'Modelling New'!AE:AE),"")</f>
        <v>0.995</v>
      </c>
      <c r="AH352" s="163">
        <f>IFERROR(_xlfn.XLOOKUP($D352,'Modelling New'!$D:$D,'Modelling New'!AF:AF),"")</f>
        <v>0.98550000000000004</v>
      </c>
      <c r="AN352" s="164"/>
      <c r="AO352" s="161"/>
      <c r="AP352" s="161"/>
      <c r="AQ352" s="161"/>
      <c r="AR352" s="156">
        <f>IFERROR(_xlfn.XLOOKUP($D352,'Modelling New'!$D:$D,'Modelling New'!$N:$N),"")</f>
        <v>11.72</v>
      </c>
    </row>
    <row r="353" spans="1:44">
      <c r="A353" s="155">
        <f t="shared" si="24"/>
        <v>46096</v>
      </c>
      <c r="B353" s="156">
        <f>YEAR(Table13[[#This Row],[Date]])+IF(MONTH(Table13[[#This Row],[Date]])&gt;=4,1,0)</f>
        <v>2026</v>
      </c>
      <c r="C353" s="129">
        <f>YEAR(Table13[[#This Row],[Date]])</f>
        <v>2026</v>
      </c>
      <c r="D353" s="157">
        <f>Table13[[#This Row],[Date]]-DAY(Table13[[#This Row],[Date]])+1</f>
        <v>46082</v>
      </c>
      <c r="E353" s="129">
        <f t="shared" si="21"/>
        <v>31</v>
      </c>
      <c r="F353" s="130" t="str">
        <f>IFERROR(_xlfn.XLOOKUP($A353,'Raw Data'!$G:$G,'Raw Data'!$AH:$AH),"")</f>
        <v/>
      </c>
      <c r="G353" s="131" t="str">
        <f>IFERROR(_xlfn.XLOOKUP($A353,'Raw Data'!$G:$G,'Raw Data'!$S:$S)/1000,"")</f>
        <v/>
      </c>
      <c r="H353" s="131"/>
      <c r="I353" s="131" t="str">
        <f>IFERROR(_xlfn.XLOOKUP($A353,'Raw Data'!$G:$G,'Raw Data'!$AF:$AF)/1000,"")</f>
        <v/>
      </c>
      <c r="J353" s="131"/>
      <c r="K353" s="131" t="str">
        <f>IFERROR(_xlfn.XLOOKUP($A353,'Raw Data'!$G:$G,'Raw Data'!W:W),"")</f>
        <v/>
      </c>
      <c r="L353" s="131" t="str">
        <f>IFERROR(_xlfn.XLOOKUP($A353,'Raw Data'!$G:$G,'Raw Data'!X:X),"")</f>
        <v/>
      </c>
      <c r="M353" s="131" t="str">
        <f>IFERROR(_xlfn.XLOOKUP($A353,'Raw Data'!$G:$G,'Raw Data'!Y:Y),"")</f>
        <v/>
      </c>
      <c r="N353" s="131" t="str">
        <f>IFERROR(_xlfn.XLOOKUP($A353,'Raw Data'!$G:$G,'Raw Data'!Z:Z),"")</f>
        <v/>
      </c>
      <c r="O353" s="158" t="str">
        <f>IFERROR(1-SUMIF('Plant BD'!$H:$H,$A353,'Plant BD'!AC:AC)/$F353,"")</f>
        <v/>
      </c>
      <c r="P353" s="158"/>
      <c r="Q353" s="159"/>
      <c r="R353" s="158" t="str">
        <f>IFERROR(1-SUMIF('Grid BD'!$H:$H,$A353,'Grid BD'!AB:AB)/$F353,"")</f>
        <v/>
      </c>
      <c r="T353" s="159" t="str">
        <f>IFERROR(1-SUMIF(Tracker_BD!$H:$H,$A353,Tracker_BD!AI:AI)/$F353,"")</f>
        <v/>
      </c>
      <c r="U353" s="160" t="str">
        <f t="shared" si="22"/>
        <v/>
      </c>
      <c r="V353" s="160"/>
      <c r="W353" s="161" t="str">
        <f t="shared" si="23"/>
        <v/>
      </c>
      <c r="X353" s="156" t="str">
        <f>IFERROR(_xlfn.XLOOKUP($A353,'Raw Data'!$G:$G,'Raw Data'!$AB:$AB),"")</f>
        <v/>
      </c>
      <c r="Y353" s="156" t="str">
        <f>IFERROR(_xlfn.XLOOKUP($A353,'Raw Data'!$G:$G,'Raw Data'!AC:AC),"")</f>
        <v/>
      </c>
      <c r="Z353" s="156" t="str">
        <f>IFERROR(_xlfn.XLOOKUP($A353,'Raw Data'!$G:$G,'Raw Data'!AD:AD),"")</f>
        <v/>
      </c>
      <c r="AA353" s="156" t="str">
        <f>IFERROR(_xlfn.XLOOKUP($A353,'Raw Data'!$G:$G,'Raw Data'!AE:AE),"")</f>
        <v/>
      </c>
      <c r="AB353" s="156" t="str">
        <f>IFERROR(_xlfn.XLOOKUP($A353,'Raw Data'!$G:$G,'Raw Data'!$H:$H),"")</f>
        <v/>
      </c>
      <c r="AC353" s="162">
        <f>IFERROR(_xlfn.XLOOKUP($D353,'Modelling New'!$D:$D,'Modelling New'!$P:$P),"")</f>
        <v>7.7166057064516123</v>
      </c>
      <c r="AD353" s="156">
        <f>IFERROR(_xlfn.XLOOKUP($D353,'Modelling New'!$D:$D,'Modelling New'!$T:$T)*1000,"")</f>
        <v>67607.798406693953</v>
      </c>
      <c r="AE353" s="163">
        <f>IFERROR(_xlfn.XLOOKUP($D353,'Modelling New'!$D:$D,'Modelling New'!$O:$O),"")</f>
        <v>0.74755452089211905</v>
      </c>
      <c r="AF353" s="163">
        <f>IFERROR(_xlfn.XLOOKUP($D353,'Modelling New'!$D:$D,'Modelling New'!$W:$W),"")</f>
        <v>0.24035764507499272</v>
      </c>
      <c r="AG353" s="163">
        <f>IFERROR(_xlfn.XLOOKUP($D353,'Modelling New'!$D:$D,'Modelling New'!AE:AE),"")</f>
        <v>0.995</v>
      </c>
      <c r="AH353" s="163">
        <f>IFERROR(_xlfn.XLOOKUP($D353,'Modelling New'!$D:$D,'Modelling New'!AF:AF),"")</f>
        <v>0.98550000000000004</v>
      </c>
      <c r="AN353" s="164"/>
      <c r="AO353" s="161"/>
      <c r="AP353" s="161"/>
      <c r="AQ353" s="161"/>
      <c r="AR353" s="156">
        <f>IFERROR(_xlfn.XLOOKUP($D353,'Modelling New'!$D:$D,'Modelling New'!$N:$N),"")</f>
        <v>11.72</v>
      </c>
    </row>
    <row r="354" spans="1:44">
      <c r="A354" s="155">
        <f t="shared" si="24"/>
        <v>46097</v>
      </c>
      <c r="B354" s="156">
        <f>YEAR(Table13[[#This Row],[Date]])+IF(MONTH(Table13[[#This Row],[Date]])&gt;=4,1,0)</f>
        <v>2026</v>
      </c>
      <c r="C354" s="129">
        <f>YEAR(Table13[[#This Row],[Date]])</f>
        <v>2026</v>
      </c>
      <c r="D354" s="157">
        <f>Table13[[#This Row],[Date]]-DAY(Table13[[#This Row],[Date]])+1</f>
        <v>46082</v>
      </c>
      <c r="E354" s="129">
        <f t="shared" si="21"/>
        <v>31</v>
      </c>
      <c r="F354" s="130" t="str">
        <f>IFERROR(_xlfn.XLOOKUP($A354,'Raw Data'!$G:$G,'Raw Data'!$AH:$AH),"")</f>
        <v/>
      </c>
      <c r="G354" s="131" t="str">
        <f>IFERROR(_xlfn.XLOOKUP($A354,'Raw Data'!$G:$G,'Raw Data'!$S:$S)/1000,"")</f>
        <v/>
      </c>
      <c r="H354" s="131"/>
      <c r="I354" s="131" t="str">
        <f>IFERROR(_xlfn.XLOOKUP($A354,'Raw Data'!$G:$G,'Raw Data'!$AF:$AF)/1000,"")</f>
        <v/>
      </c>
      <c r="J354" s="131"/>
      <c r="K354" s="131" t="str">
        <f>IFERROR(_xlfn.XLOOKUP($A354,'Raw Data'!$G:$G,'Raw Data'!W:W),"")</f>
        <v/>
      </c>
      <c r="L354" s="131" t="str">
        <f>IFERROR(_xlfn.XLOOKUP($A354,'Raw Data'!$G:$G,'Raw Data'!X:X),"")</f>
        <v/>
      </c>
      <c r="M354" s="131" t="str">
        <f>IFERROR(_xlfn.XLOOKUP($A354,'Raw Data'!$G:$G,'Raw Data'!Y:Y),"")</f>
        <v/>
      </c>
      <c r="N354" s="131" t="str">
        <f>IFERROR(_xlfn.XLOOKUP($A354,'Raw Data'!$G:$G,'Raw Data'!Z:Z),"")</f>
        <v/>
      </c>
      <c r="O354" s="158" t="str">
        <f>IFERROR(1-SUMIF('Plant BD'!$H:$H,$A354,'Plant BD'!AC:AC)/$F354,"")</f>
        <v/>
      </c>
      <c r="P354" s="158"/>
      <c r="Q354" s="159"/>
      <c r="R354" s="158" t="str">
        <f>IFERROR(1-SUMIF('Grid BD'!$H:$H,$A354,'Grid BD'!AB:AB)/$F354,"")</f>
        <v/>
      </c>
      <c r="T354" s="159" t="str">
        <f>IFERROR(1-SUMIF(Tracker_BD!$H:$H,$A354,Tracker_BD!AI:AI)/$F354,"")</f>
        <v/>
      </c>
      <c r="U354" s="160" t="str">
        <f t="shared" si="22"/>
        <v/>
      </c>
      <c r="V354" s="160"/>
      <c r="W354" s="161" t="str">
        <f t="shared" si="23"/>
        <v/>
      </c>
      <c r="X354" s="156" t="str">
        <f>IFERROR(_xlfn.XLOOKUP($A354,'Raw Data'!$G:$G,'Raw Data'!$AB:$AB),"")</f>
        <v/>
      </c>
      <c r="Y354" s="156" t="str">
        <f>IFERROR(_xlfn.XLOOKUP($A354,'Raw Data'!$G:$G,'Raw Data'!AC:AC),"")</f>
        <v/>
      </c>
      <c r="Z354" s="156" t="str">
        <f>IFERROR(_xlfn.XLOOKUP($A354,'Raw Data'!$G:$G,'Raw Data'!AD:AD),"")</f>
        <v/>
      </c>
      <c r="AA354" s="156" t="str">
        <f>IFERROR(_xlfn.XLOOKUP($A354,'Raw Data'!$G:$G,'Raw Data'!AE:AE),"")</f>
        <v/>
      </c>
      <c r="AB354" s="156" t="str">
        <f>IFERROR(_xlfn.XLOOKUP($A354,'Raw Data'!$G:$G,'Raw Data'!$H:$H),"")</f>
        <v/>
      </c>
      <c r="AC354" s="162">
        <f>IFERROR(_xlfn.XLOOKUP($D354,'Modelling New'!$D:$D,'Modelling New'!$P:$P),"")</f>
        <v>7.7166057064516123</v>
      </c>
      <c r="AD354" s="156">
        <f>IFERROR(_xlfn.XLOOKUP($D354,'Modelling New'!$D:$D,'Modelling New'!$T:$T)*1000,"")</f>
        <v>67607.798406693953</v>
      </c>
      <c r="AE354" s="163">
        <f>IFERROR(_xlfn.XLOOKUP($D354,'Modelling New'!$D:$D,'Modelling New'!$O:$O),"")</f>
        <v>0.74755452089211905</v>
      </c>
      <c r="AF354" s="163">
        <f>IFERROR(_xlfn.XLOOKUP($D354,'Modelling New'!$D:$D,'Modelling New'!$W:$W),"")</f>
        <v>0.24035764507499272</v>
      </c>
      <c r="AG354" s="163">
        <f>IFERROR(_xlfn.XLOOKUP($D354,'Modelling New'!$D:$D,'Modelling New'!AE:AE),"")</f>
        <v>0.995</v>
      </c>
      <c r="AH354" s="163">
        <f>IFERROR(_xlfn.XLOOKUP($D354,'Modelling New'!$D:$D,'Modelling New'!AF:AF),"")</f>
        <v>0.98550000000000004</v>
      </c>
      <c r="AN354" s="164"/>
      <c r="AO354" s="161"/>
      <c r="AP354" s="161"/>
      <c r="AQ354" s="161"/>
      <c r="AR354" s="156">
        <f>IFERROR(_xlfn.XLOOKUP($D354,'Modelling New'!$D:$D,'Modelling New'!$N:$N),"")</f>
        <v>11.72</v>
      </c>
    </row>
    <row r="355" spans="1:44">
      <c r="A355" s="155">
        <f t="shared" si="24"/>
        <v>46098</v>
      </c>
      <c r="B355" s="156">
        <f>YEAR(Table13[[#This Row],[Date]])+IF(MONTH(Table13[[#This Row],[Date]])&gt;=4,1,0)</f>
        <v>2026</v>
      </c>
      <c r="C355" s="129">
        <f>YEAR(Table13[[#This Row],[Date]])</f>
        <v>2026</v>
      </c>
      <c r="D355" s="157">
        <f>Table13[[#This Row],[Date]]-DAY(Table13[[#This Row],[Date]])+1</f>
        <v>46082</v>
      </c>
      <c r="E355" s="129">
        <f t="shared" si="21"/>
        <v>31</v>
      </c>
      <c r="F355" s="130" t="str">
        <f>IFERROR(_xlfn.XLOOKUP($A355,'Raw Data'!$G:$G,'Raw Data'!$AH:$AH),"")</f>
        <v/>
      </c>
      <c r="G355" s="131" t="str">
        <f>IFERROR(_xlfn.XLOOKUP($A355,'Raw Data'!$G:$G,'Raw Data'!$S:$S)/1000,"")</f>
        <v/>
      </c>
      <c r="H355" s="131"/>
      <c r="I355" s="131" t="str">
        <f>IFERROR(_xlfn.XLOOKUP($A355,'Raw Data'!$G:$G,'Raw Data'!$AF:$AF)/1000,"")</f>
        <v/>
      </c>
      <c r="J355" s="131"/>
      <c r="K355" s="131" t="str">
        <f>IFERROR(_xlfn.XLOOKUP($A355,'Raw Data'!$G:$G,'Raw Data'!W:W),"")</f>
        <v/>
      </c>
      <c r="L355" s="131" t="str">
        <f>IFERROR(_xlfn.XLOOKUP($A355,'Raw Data'!$G:$G,'Raw Data'!X:X),"")</f>
        <v/>
      </c>
      <c r="M355" s="131" t="str">
        <f>IFERROR(_xlfn.XLOOKUP($A355,'Raw Data'!$G:$G,'Raw Data'!Y:Y),"")</f>
        <v/>
      </c>
      <c r="N355" s="131" t="str">
        <f>IFERROR(_xlfn.XLOOKUP($A355,'Raw Data'!$G:$G,'Raw Data'!Z:Z),"")</f>
        <v/>
      </c>
      <c r="O355" s="158" t="str">
        <f>IFERROR(1-SUMIF('Plant BD'!$H:$H,$A355,'Plant BD'!AC:AC)/$F355,"")</f>
        <v/>
      </c>
      <c r="P355" s="158"/>
      <c r="Q355" s="159"/>
      <c r="R355" s="158" t="str">
        <f>IFERROR(1-SUMIF('Grid BD'!$H:$H,$A355,'Grid BD'!AB:AB)/$F355,"")</f>
        <v/>
      </c>
      <c r="T355" s="159" t="str">
        <f>IFERROR(1-SUMIF(Tracker_BD!$H:$H,$A355,Tracker_BD!AI:AI)/$F355,"")</f>
        <v/>
      </c>
      <c r="U355" s="160" t="str">
        <f t="shared" si="22"/>
        <v/>
      </c>
      <c r="V355" s="160"/>
      <c r="W355" s="161" t="str">
        <f t="shared" si="23"/>
        <v/>
      </c>
      <c r="X355" s="156" t="str">
        <f>IFERROR(_xlfn.XLOOKUP($A355,'Raw Data'!$G:$G,'Raw Data'!$AB:$AB),"")</f>
        <v/>
      </c>
      <c r="Y355" s="156" t="str">
        <f>IFERROR(_xlfn.XLOOKUP($A355,'Raw Data'!$G:$G,'Raw Data'!AC:AC),"")</f>
        <v/>
      </c>
      <c r="Z355" s="156" t="str">
        <f>IFERROR(_xlfn.XLOOKUP($A355,'Raw Data'!$G:$G,'Raw Data'!AD:AD),"")</f>
        <v/>
      </c>
      <c r="AA355" s="156" t="str">
        <f>IFERROR(_xlfn.XLOOKUP($A355,'Raw Data'!$G:$G,'Raw Data'!AE:AE),"")</f>
        <v/>
      </c>
      <c r="AB355" s="156" t="str">
        <f>IFERROR(_xlfn.XLOOKUP($A355,'Raw Data'!$G:$G,'Raw Data'!$H:$H),"")</f>
        <v/>
      </c>
      <c r="AC355" s="162">
        <f>IFERROR(_xlfn.XLOOKUP($D355,'Modelling New'!$D:$D,'Modelling New'!$P:$P),"")</f>
        <v>7.7166057064516123</v>
      </c>
      <c r="AD355" s="156">
        <f>IFERROR(_xlfn.XLOOKUP($D355,'Modelling New'!$D:$D,'Modelling New'!$T:$T)*1000,"")</f>
        <v>67607.798406693953</v>
      </c>
      <c r="AE355" s="163">
        <f>IFERROR(_xlfn.XLOOKUP($D355,'Modelling New'!$D:$D,'Modelling New'!$O:$O),"")</f>
        <v>0.74755452089211905</v>
      </c>
      <c r="AF355" s="163">
        <f>IFERROR(_xlfn.XLOOKUP($D355,'Modelling New'!$D:$D,'Modelling New'!$W:$W),"")</f>
        <v>0.24035764507499272</v>
      </c>
      <c r="AG355" s="163">
        <f>IFERROR(_xlfn.XLOOKUP($D355,'Modelling New'!$D:$D,'Modelling New'!AE:AE),"")</f>
        <v>0.995</v>
      </c>
      <c r="AH355" s="163">
        <f>IFERROR(_xlfn.XLOOKUP($D355,'Modelling New'!$D:$D,'Modelling New'!AF:AF),"")</f>
        <v>0.98550000000000004</v>
      </c>
      <c r="AN355" s="164"/>
      <c r="AO355" s="161"/>
      <c r="AP355" s="161"/>
      <c r="AQ355" s="161"/>
      <c r="AR355" s="156">
        <f>IFERROR(_xlfn.XLOOKUP($D355,'Modelling New'!$D:$D,'Modelling New'!$N:$N),"")</f>
        <v>11.72</v>
      </c>
    </row>
    <row r="356" spans="1:44">
      <c r="A356" s="155">
        <f t="shared" si="24"/>
        <v>46099</v>
      </c>
      <c r="B356" s="156">
        <f>YEAR(Table13[[#This Row],[Date]])+IF(MONTH(Table13[[#This Row],[Date]])&gt;=4,1,0)</f>
        <v>2026</v>
      </c>
      <c r="C356" s="129">
        <f>YEAR(Table13[[#This Row],[Date]])</f>
        <v>2026</v>
      </c>
      <c r="D356" s="157">
        <f>Table13[[#This Row],[Date]]-DAY(Table13[[#This Row],[Date]])+1</f>
        <v>46082</v>
      </c>
      <c r="E356" s="129">
        <f t="shared" si="21"/>
        <v>31</v>
      </c>
      <c r="F356" s="130" t="str">
        <f>IFERROR(_xlfn.XLOOKUP($A356,'Raw Data'!$G:$G,'Raw Data'!$AH:$AH),"")</f>
        <v/>
      </c>
      <c r="G356" s="131" t="str">
        <f>IFERROR(_xlfn.XLOOKUP($A356,'Raw Data'!$G:$G,'Raw Data'!$S:$S)/1000,"")</f>
        <v/>
      </c>
      <c r="H356" s="131"/>
      <c r="I356" s="131" t="str">
        <f>IFERROR(_xlfn.XLOOKUP($A356,'Raw Data'!$G:$G,'Raw Data'!$AF:$AF)/1000,"")</f>
        <v/>
      </c>
      <c r="J356" s="131"/>
      <c r="K356" s="131" t="str">
        <f>IFERROR(_xlfn.XLOOKUP($A356,'Raw Data'!$G:$G,'Raw Data'!W:W),"")</f>
        <v/>
      </c>
      <c r="L356" s="131" t="str">
        <f>IFERROR(_xlfn.XLOOKUP($A356,'Raw Data'!$G:$G,'Raw Data'!X:X),"")</f>
        <v/>
      </c>
      <c r="M356" s="131" t="str">
        <f>IFERROR(_xlfn.XLOOKUP($A356,'Raw Data'!$G:$G,'Raw Data'!Y:Y),"")</f>
        <v/>
      </c>
      <c r="N356" s="131" t="str">
        <f>IFERROR(_xlfn.XLOOKUP($A356,'Raw Data'!$G:$G,'Raw Data'!Z:Z),"")</f>
        <v/>
      </c>
      <c r="O356" s="158" t="str">
        <f>IFERROR(1-SUMIF('Plant BD'!$H:$H,$A356,'Plant BD'!AC:AC)/$F356,"")</f>
        <v/>
      </c>
      <c r="P356" s="158"/>
      <c r="Q356" s="159"/>
      <c r="R356" s="158" t="str">
        <f>IFERROR(1-SUMIF('Grid BD'!$H:$H,$A356,'Grid BD'!AB:AB)/$F356,"")</f>
        <v/>
      </c>
      <c r="T356" s="159" t="str">
        <f>IFERROR(1-SUMIF(Tracker_BD!$H:$H,$A356,Tracker_BD!AI:AI)/$F356,"")</f>
        <v/>
      </c>
      <c r="U356" s="160" t="str">
        <f t="shared" si="22"/>
        <v/>
      </c>
      <c r="V356" s="160"/>
      <c r="W356" s="161" t="str">
        <f t="shared" si="23"/>
        <v/>
      </c>
      <c r="X356" s="156" t="str">
        <f>IFERROR(_xlfn.XLOOKUP($A356,'Raw Data'!$G:$G,'Raw Data'!$AB:$AB),"")</f>
        <v/>
      </c>
      <c r="Y356" s="156" t="str">
        <f>IFERROR(_xlfn.XLOOKUP($A356,'Raw Data'!$G:$G,'Raw Data'!AC:AC),"")</f>
        <v/>
      </c>
      <c r="Z356" s="156" t="str">
        <f>IFERROR(_xlfn.XLOOKUP($A356,'Raw Data'!$G:$G,'Raw Data'!AD:AD),"")</f>
        <v/>
      </c>
      <c r="AA356" s="156" t="str">
        <f>IFERROR(_xlfn.XLOOKUP($A356,'Raw Data'!$G:$G,'Raw Data'!AE:AE),"")</f>
        <v/>
      </c>
      <c r="AB356" s="156" t="str">
        <f>IFERROR(_xlfn.XLOOKUP($A356,'Raw Data'!$G:$G,'Raw Data'!$H:$H),"")</f>
        <v/>
      </c>
      <c r="AC356" s="162">
        <f>IFERROR(_xlfn.XLOOKUP($D356,'Modelling New'!$D:$D,'Modelling New'!$P:$P),"")</f>
        <v>7.7166057064516123</v>
      </c>
      <c r="AD356" s="156">
        <f>IFERROR(_xlfn.XLOOKUP($D356,'Modelling New'!$D:$D,'Modelling New'!$T:$T)*1000,"")</f>
        <v>67607.798406693953</v>
      </c>
      <c r="AE356" s="163">
        <f>IFERROR(_xlfn.XLOOKUP($D356,'Modelling New'!$D:$D,'Modelling New'!$O:$O),"")</f>
        <v>0.74755452089211905</v>
      </c>
      <c r="AF356" s="163">
        <f>IFERROR(_xlfn.XLOOKUP($D356,'Modelling New'!$D:$D,'Modelling New'!$W:$W),"")</f>
        <v>0.24035764507499272</v>
      </c>
      <c r="AG356" s="163">
        <f>IFERROR(_xlfn.XLOOKUP($D356,'Modelling New'!$D:$D,'Modelling New'!AE:AE),"")</f>
        <v>0.995</v>
      </c>
      <c r="AH356" s="163">
        <f>IFERROR(_xlfn.XLOOKUP($D356,'Modelling New'!$D:$D,'Modelling New'!AF:AF),"")</f>
        <v>0.98550000000000004</v>
      </c>
      <c r="AN356" s="164"/>
      <c r="AO356" s="161"/>
      <c r="AP356" s="161"/>
      <c r="AQ356" s="161"/>
      <c r="AR356" s="156">
        <f>IFERROR(_xlfn.XLOOKUP($D356,'Modelling New'!$D:$D,'Modelling New'!$N:$N),"")</f>
        <v>11.72</v>
      </c>
    </row>
    <row r="357" spans="1:44">
      <c r="A357" s="155">
        <f t="shared" si="24"/>
        <v>46100</v>
      </c>
      <c r="B357" s="156">
        <f>YEAR(Table13[[#This Row],[Date]])+IF(MONTH(Table13[[#This Row],[Date]])&gt;=4,1,0)</f>
        <v>2026</v>
      </c>
      <c r="C357" s="129">
        <f>YEAR(Table13[[#This Row],[Date]])</f>
        <v>2026</v>
      </c>
      <c r="D357" s="157">
        <f>Table13[[#This Row],[Date]]-DAY(Table13[[#This Row],[Date]])+1</f>
        <v>46082</v>
      </c>
      <c r="E357" s="129">
        <f t="shared" si="21"/>
        <v>31</v>
      </c>
      <c r="F357" s="130" t="str">
        <f>IFERROR(_xlfn.XLOOKUP($A357,'Raw Data'!$G:$G,'Raw Data'!$AH:$AH),"")</f>
        <v/>
      </c>
      <c r="G357" s="131" t="str">
        <f>IFERROR(_xlfn.XLOOKUP($A357,'Raw Data'!$G:$G,'Raw Data'!$S:$S)/1000,"")</f>
        <v/>
      </c>
      <c r="H357" s="131"/>
      <c r="I357" s="131" t="str">
        <f>IFERROR(_xlfn.XLOOKUP($A357,'Raw Data'!$G:$G,'Raw Data'!$AF:$AF)/1000,"")</f>
        <v/>
      </c>
      <c r="J357" s="131"/>
      <c r="K357" s="131" t="str">
        <f>IFERROR(_xlfn.XLOOKUP($A357,'Raw Data'!$G:$G,'Raw Data'!W:W),"")</f>
        <v/>
      </c>
      <c r="L357" s="131" t="str">
        <f>IFERROR(_xlfn.XLOOKUP($A357,'Raw Data'!$G:$G,'Raw Data'!X:X),"")</f>
        <v/>
      </c>
      <c r="M357" s="131" t="str">
        <f>IFERROR(_xlfn.XLOOKUP($A357,'Raw Data'!$G:$G,'Raw Data'!Y:Y),"")</f>
        <v/>
      </c>
      <c r="N357" s="131" t="str">
        <f>IFERROR(_xlfn.XLOOKUP($A357,'Raw Data'!$G:$G,'Raw Data'!Z:Z),"")</f>
        <v/>
      </c>
      <c r="O357" s="158" t="str">
        <f>IFERROR(1-SUMIF('Plant BD'!$H:$H,$A357,'Plant BD'!AC:AC)/$F357,"")</f>
        <v/>
      </c>
      <c r="P357" s="158"/>
      <c r="Q357" s="159"/>
      <c r="R357" s="158" t="str">
        <f>IFERROR(1-SUMIF('Grid BD'!$H:$H,$A357,'Grid BD'!AB:AB)/$F357,"")</f>
        <v/>
      </c>
      <c r="T357" s="159" t="str">
        <f>IFERROR(1-SUMIF(Tracker_BD!$H:$H,$A357,Tracker_BD!AI:AI)/$F357,"")</f>
        <v/>
      </c>
      <c r="U357" s="160" t="str">
        <f t="shared" si="22"/>
        <v/>
      </c>
      <c r="V357" s="160"/>
      <c r="W357" s="161" t="str">
        <f t="shared" si="23"/>
        <v/>
      </c>
      <c r="X357" s="156" t="str">
        <f>IFERROR(_xlfn.XLOOKUP($A357,'Raw Data'!$G:$G,'Raw Data'!$AB:$AB),"")</f>
        <v/>
      </c>
      <c r="Y357" s="156" t="str">
        <f>IFERROR(_xlfn.XLOOKUP($A357,'Raw Data'!$G:$G,'Raw Data'!AC:AC),"")</f>
        <v/>
      </c>
      <c r="Z357" s="156" t="str">
        <f>IFERROR(_xlfn.XLOOKUP($A357,'Raw Data'!$G:$G,'Raw Data'!AD:AD),"")</f>
        <v/>
      </c>
      <c r="AA357" s="156" t="str">
        <f>IFERROR(_xlfn.XLOOKUP($A357,'Raw Data'!$G:$G,'Raw Data'!AE:AE),"")</f>
        <v/>
      </c>
      <c r="AB357" s="156" t="str">
        <f>IFERROR(_xlfn.XLOOKUP($A357,'Raw Data'!$G:$G,'Raw Data'!$H:$H),"")</f>
        <v/>
      </c>
      <c r="AC357" s="162">
        <f>IFERROR(_xlfn.XLOOKUP($D357,'Modelling New'!$D:$D,'Modelling New'!$P:$P),"")</f>
        <v>7.7166057064516123</v>
      </c>
      <c r="AD357" s="156">
        <f>IFERROR(_xlfn.XLOOKUP($D357,'Modelling New'!$D:$D,'Modelling New'!$T:$T)*1000,"")</f>
        <v>67607.798406693953</v>
      </c>
      <c r="AE357" s="163">
        <f>IFERROR(_xlfn.XLOOKUP($D357,'Modelling New'!$D:$D,'Modelling New'!$O:$O),"")</f>
        <v>0.74755452089211905</v>
      </c>
      <c r="AF357" s="163">
        <f>IFERROR(_xlfn.XLOOKUP($D357,'Modelling New'!$D:$D,'Modelling New'!$W:$W),"")</f>
        <v>0.24035764507499272</v>
      </c>
      <c r="AG357" s="163">
        <f>IFERROR(_xlfn.XLOOKUP($D357,'Modelling New'!$D:$D,'Modelling New'!AE:AE),"")</f>
        <v>0.995</v>
      </c>
      <c r="AH357" s="163">
        <f>IFERROR(_xlfn.XLOOKUP($D357,'Modelling New'!$D:$D,'Modelling New'!AF:AF),"")</f>
        <v>0.98550000000000004</v>
      </c>
      <c r="AN357" s="164"/>
      <c r="AO357" s="161"/>
      <c r="AP357" s="161"/>
      <c r="AQ357" s="161"/>
      <c r="AR357" s="156">
        <f>IFERROR(_xlfn.XLOOKUP($D357,'Modelling New'!$D:$D,'Modelling New'!$N:$N),"")</f>
        <v>11.72</v>
      </c>
    </row>
    <row r="358" spans="1:44">
      <c r="A358" s="155">
        <f t="shared" si="24"/>
        <v>46101</v>
      </c>
      <c r="B358" s="156">
        <f>YEAR(Table13[[#This Row],[Date]])+IF(MONTH(Table13[[#This Row],[Date]])&gt;=4,1,0)</f>
        <v>2026</v>
      </c>
      <c r="C358" s="129">
        <f>YEAR(Table13[[#This Row],[Date]])</f>
        <v>2026</v>
      </c>
      <c r="D358" s="157">
        <f>Table13[[#This Row],[Date]]-DAY(Table13[[#This Row],[Date]])+1</f>
        <v>46082</v>
      </c>
      <c r="E358" s="129">
        <f t="shared" si="21"/>
        <v>31</v>
      </c>
      <c r="F358" s="130" t="str">
        <f>IFERROR(_xlfn.XLOOKUP($A358,'Raw Data'!$G:$G,'Raw Data'!$AH:$AH),"")</f>
        <v/>
      </c>
      <c r="G358" s="131" t="str">
        <f>IFERROR(_xlfn.XLOOKUP($A358,'Raw Data'!$G:$G,'Raw Data'!$S:$S)/1000,"")</f>
        <v/>
      </c>
      <c r="H358" s="131"/>
      <c r="I358" s="131" t="str">
        <f>IFERROR(_xlfn.XLOOKUP($A358,'Raw Data'!$G:$G,'Raw Data'!$AF:$AF)/1000,"")</f>
        <v/>
      </c>
      <c r="J358" s="131"/>
      <c r="K358" s="131" t="str">
        <f>IFERROR(_xlfn.XLOOKUP($A358,'Raw Data'!$G:$G,'Raw Data'!W:W),"")</f>
        <v/>
      </c>
      <c r="L358" s="131" t="str">
        <f>IFERROR(_xlfn.XLOOKUP($A358,'Raw Data'!$G:$G,'Raw Data'!X:X),"")</f>
        <v/>
      </c>
      <c r="M358" s="131" t="str">
        <f>IFERROR(_xlfn.XLOOKUP($A358,'Raw Data'!$G:$G,'Raw Data'!Y:Y),"")</f>
        <v/>
      </c>
      <c r="N358" s="131" t="str">
        <f>IFERROR(_xlfn.XLOOKUP($A358,'Raw Data'!$G:$G,'Raw Data'!Z:Z),"")</f>
        <v/>
      </c>
      <c r="O358" s="158" t="str">
        <f>IFERROR(1-SUMIF('Plant BD'!$H:$H,$A358,'Plant BD'!AC:AC)/$F358,"")</f>
        <v/>
      </c>
      <c r="P358" s="158"/>
      <c r="Q358" s="159"/>
      <c r="R358" s="158" t="str">
        <f>IFERROR(1-SUMIF('Grid BD'!$H:$H,$A358,'Grid BD'!AB:AB)/$F358,"")</f>
        <v/>
      </c>
      <c r="T358" s="159" t="str">
        <f>IFERROR(1-SUMIF(Tracker_BD!$H:$H,$A358,Tracker_BD!AI:AI)/$F358,"")</f>
        <v/>
      </c>
      <c r="U358" s="160" t="str">
        <f t="shared" si="22"/>
        <v/>
      </c>
      <c r="V358" s="160"/>
      <c r="W358" s="161" t="str">
        <f t="shared" si="23"/>
        <v/>
      </c>
      <c r="X358" s="156" t="str">
        <f>IFERROR(_xlfn.XLOOKUP($A358,'Raw Data'!$G:$G,'Raw Data'!$AB:$AB),"")</f>
        <v/>
      </c>
      <c r="Y358" s="156" t="str">
        <f>IFERROR(_xlfn.XLOOKUP($A358,'Raw Data'!$G:$G,'Raw Data'!AC:AC),"")</f>
        <v/>
      </c>
      <c r="Z358" s="156" t="str">
        <f>IFERROR(_xlfn.XLOOKUP($A358,'Raw Data'!$G:$G,'Raw Data'!AD:AD),"")</f>
        <v/>
      </c>
      <c r="AA358" s="156" t="str">
        <f>IFERROR(_xlfn.XLOOKUP($A358,'Raw Data'!$G:$G,'Raw Data'!AE:AE),"")</f>
        <v/>
      </c>
      <c r="AB358" s="156" t="str">
        <f>IFERROR(_xlfn.XLOOKUP($A358,'Raw Data'!$G:$G,'Raw Data'!$H:$H),"")</f>
        <v/>
      </c>
      <c r="AC358" s="162">
        <f>IFERROR(_xlfn.XLOOKUP($D358,'Modelling New'!$D:$D,'Modelling New'!$P:$P),"")</f>
        <v>7.7166057064516123</v>
      </c>
      <c r="AD358" s="156">
        <f>IFERROR(_xlfn.XLOOKUP($D358,'Modelling New'!$D:$D,'Modelling New'!$T:$T)*1000,"")</f>
        <v>67607.798406693953</v>
      </c>
      <c r="AE358" s="163">
        <f>IFERROR(_xlfn.XLOOKUP($D358,'Modelling New'!$D:$D,'Modelling New'!$O:$O),"")</f>
        <v>0.74755452089211905</v>
      </c>
      <c r="AF358" s="163">
        <f>IFERROR(_xlfn.XLOOKUP($D358,'Modelling New'!$D:$D,'Modelling New'!$W:$W),"")</f>
        <v>0.24035764507499272</v>
      </c>
      <c r="AG358" s="163">
        <f>IFERROR(_xlfn.XLOOKUP($D358,'Modelling New'!$D:$D,'Modelling New'!AE:AE),"")</f>
        <v>0.995</v>
      </c>
      <c r="AH358" s="163">
        <f>IFERROR(_xlfn.XLOOKUP($D358,'Modelling New'!$D:$D,'Modelling New'!AF:AF),"")</f>
        <v>0.98550000000000004</v>
      </c>
      <c r="AN358" s="164"/>
      <c r="AO358" s="161"/>
      <c r="AP358" s="161"/>
      <c r="AQ358" s="161"/>
      <c r="AR358" s="156">
        <f>IFERROR(_xlfn.XLOOKUP($D358,'Modelling New'!$D:$D,'Modelling New'!$N:$N),"")</f>
        <v>11.72</v>
      </c>
    </row>
    <row r="359" spans="1:44">
      <c r="A359" s="155">
        <f t="shared" si="24"/>
        <v>46102</v>
      </c>
      <c r="B359" s="156">
        <f>YEAR(Table13[[#This Row],[Date]])+IF(MONTH(Table13[[#This Row],[Date]])&gt;=4,1,0)</f>
        <v>2026</v>
      </c>
      <c r="C359" s="129">
        <f>YEAR(Table13[[#This Row],[Date]])</f>
        <v>2026</v>
      </c>
      <c r="D359" s="157">
        <f>Table13[[#This Row],[Date]]-DAY(Table13[[#This Row],[Date]])+1</f>
        <v>46082</v>
      </c>
      <c r="E359" s="129">
        <f t="shared" si="21"/>
        <v>31</v>
      </c>
      <c r="F359" s="130" t="str">
        <f>IFERROR(_xlfn.XLOOKUP($A359,'Raw Data'!$G:$G,'Raw Data'!$AH:$AH),"")</f>
        <v/>
      </c>
      <c r="G359" s="131" t="str">
        <f>IFERROR(_xlfn.XLOOKUP($A359,'Raw Data'!$G:$G,'Raw Data'!$S:$S)/1000,"")</f>
        <v/>
      </c>
      <c r="H359" s="131"/>
      <c r="I359" s="131" t="str">
        <f>IFERROR(_xlfn.XLOOKUP($A359,'Raw Data'!$G:$G,'Raw Data'!$AF:$AF)/1000,"")</f>
        <v/>
      </c>
      <c r="J359" s="131"/>
      <c r="K359" s="131" t="str">
        <f>IFERROR(_xlfn.XLOOKUP($A359,'Raw Data'!$G:$G,'Raw Data'!W:W),"")</f>
        <v/>
      </c>
      <c r="L359" s="131" t="str">
        <f>IFERROR(_xlfn.XLOOKUP($A359,'Raw Data'!$G:$G,'Raw Data'!X:X),"")</f>
        <v/>
      </c>
      <c r="M359" s="131" t="str">
        <f>IFERROR(_xlfn.XLOOKUP($A359,'Raw Data'!$G:$G,'Raw Data'!Y:Y),"")</f>
        <v/>
      </c>
      <c r="N359" s="131" t="str">
        <f>IFERROR(_xlfn.XLOOKUP($A359,'Raw Data'!$G:$G,'Raw Data'!Z:Z),"")</f>
        <v/>
      </c>
      <c r="O359" s="158" t="str">
        <f>IFERROR(1-SUMIF('Plant BD'!$H:$H,$A359,'Plant BD'!AC:AC)/$F359,"")</f>
        <v/>
      </c>
      <c r="P359" s="158"/>
      <c r="Q359" s="159"/>
      <c r="R359" s="158" t="str">
        <f>IFERROR(1-SUMIF('Grid BD'!$H:$H,$A359,'Grid BD'!AB:AB)/$F359,"")</f>
        <v/>
      </c>
      <c r="T359" s="159" t="str">
        <f>IFERROR(1-SUMIF(Tracker_BD!$H:$H,$A359,Tracker_BD!AI:AI)/$F359,"")</f>
        <v/>
      </c>
      <c r="U359" s="160" t="str">
        <f t="shared" si="22"/>
        <v/>
      </c>
      <c r="V359" s="160"/>
      <c r="W359" s="161" t="str">
        <f t="shared" si="23"/>
        <v/>
      </c>
      <c r="X359" s="156" t="str">
        <f>IFERROR(_xlfn.XLOOKUP($A359,'Raw Data'!$G:$G,'Raw Data'!$AB:$AB),"")</f>
        <v/>
      </c>
      <c r="Y359" s="156" t="str">
        <f>IFERROR(_xlfn.XLOOKUP($A359,'Raw Data'!$G:$G,'Raw Data'!AC:AC),"")</f>
        <v/>
      </c>
      <c r="Z359" s="156" t="str">
        <f>IFERROR(_xlfn.XLOOKUP($A359,'Raw Data'!$G:$G,'Raw Data'!AD:AD),"")</f>
        <v/>
      </c>
      <c r="AA359" s="156" t="str">
        <f>IFERROR(_xlfn.XLOOKUP($A359,'Raw Data'!$G:$G,'Raw Data'!AE:AE),"")</f>
        <v/>
      </c>
      <c r="AB359" s="156" t="str">
        <f>IFERROR(_xlfn.XLOOKUP($A359,'Raw Data'!$G:$G,'Raw Data'!$H:$H),"")</f>
        <v/>
      </c>
      <c r="AC359" s="162">
        <f>IFERROR(_xlfn.XLOOKUP($D359,'Modelling New'!$D:$D,'Modelling New'!$P:$P),"")</f>
        <v>7.7166057064516123</v>
      </c>
      <c r="AD359" s="156">
        <f>IFERROR(_xlfn.XLOOKUP($D359,'Modelling New'!$D:$D,'Modelling New'!$T:$T)*1000,"")</f>
        <v>67607.798406693953</v>
      </c>
      <c r="AE359" s="163">
        <f>IFERROR(_xlfn.XLOOKUP($D359,'Modelling New'!$D:$D,'Modelling New'!$O:$O),"")</f>
        <v>0.74755452089211905</v>
      </c>
      <c r="AF359" s="163">
        <f>IFERROR(_xlfn.XLOOKUP($D359,'Modelling New'!$D:$D,'Modelling New'!$W:$W),"")</f>
        <v>0.24035764507499272</v>
      </c>
      <c r="AG359" s="163">
        <f>IFERROR(_xlfn.XLOOKUP($D359,'Modelling New'!$D:$D,'Modelling New'!AE:AE),"")</f>
        <v>0.995</v>
      </c>
      <c r="AH359" s="163">
        <f>IFERROR(_xlfn.XLOOKUP($D359,'Modelling New'!$D:$D,'Modelling New'!AF:AF),"")</f>
        <v>0.98550000000000004</v>
      </c>
      <c r="AN359" s="164"/>
      <c r="AO359" s="161"/>
      <c r="AP359" s="161"/>
      <c r="AQ359" s="161"/>
      <c r="AR359" s="156">
        <f>IFERROR(_xlfn.XLOOKUP($D359,'Modelling New'!$D:$D,'Modelling New'!$N:$N),"")</f>
        <v>11.72</v>
      </c>
    </row>
    <row r="360" spans="1:44">
      <c r="A360" s="155">
        <f t="shared" si="24"/>
        <v>46103</v>
      </c>
      <c r="B360" s="156">
        <f>YEAR(Table13[[#This Row],[Date]])+IF(MONTH(Table13[[#This Row],[Date]])&gt;=4,1,0)</f>
        <v>2026</v>
      </c>
      <c r="C360" s="129">
        <f>YEAR(Table13[[#This Row],[Date]])</f>
        <v>2026</v>
      </c>
      <c r="D360" s="157">
        <f>Table13[[#This Row],[Date]]-DAY(Table13[[#This Row],[Date]])+1</f>
        <v>46082</v>
      </c>
      <c r="E360" s="129">
        <f t="shared" si="21"/>
        <v>31</v>
      </c>
      <c r="F360" s="130" t="str">
        <f>IFERROR(_xlfn.XLOOKUP($A360,'Raw Data'!$G:$G,'Raw Data'!$AH:$AH),"")</f>
        <v/>
      </c>
      <c r="G360" s="131" t="str">
        <f>IFERROR(_xlfn.XLOOKUP($A360,'Raw Data'!$G:$G,'Raw Data'!$S:$S)/1000,"")</f>
        <v/>
      </c>
      <c r="H360" s="131"/>
      <c r="I360" s="131" t="str">
        <f>IFERROR(_xlfn.XLOOKUP($A360,'Raw Data'!$G:$G,'Raw Data'!$AF:$AF)/1000,"")</f>
        <v/>
      </c>
      <c r="J360" s="131"/>
      <c r="K360" s="131" t="str">
        <f>IFERROR(_xlfn.XLOOKUP($A360,'Raw Data'!$G:$G,'Raw Data'!W:W),"")</f>
        <v/>
      </c>
      <c r="L360" s="131" t="str">
        <f>IFERROR(_xlfn.XLOOKUP($A360,'Raw Data'!$G:$G,'Raw Data'!X:X),"")</f>
        <v/>
      </c>
      <c r="M360" s="131" t="str">
        <f>IFERROR(_xlfn.XLOOKUP($A360,'Raw Data'!$G:$G,'Raw Data'!Y:Y),"")</f>
        <v/>
      </c>
      <c r="N360" s="131" t="str">
        <f>IFERROR(_xlfn.XLOOKUP($A360,'Raw Data'!$G:$G,'Raw Data'!Z:Z),"")</f>
        <v/>
      </c>
      <c r="O360" s="158" t="str">
        <f>IFERROR(1-SUMIF('Plant BD'!$H:$H,$A360,'Plant BD'!AC:AC)/$F360,"")</f>
        <v/>
      </c>
      <c r="P360" s="158"/>
      <c r="Q360" s="159"/>
      <c r="R360" s="158" t="str">
        <f>IFERROR(1-SUMIF('Grid BD'!$H:$H,$A360,'Grid BD'!AB:AB)/$F360,"")</f>
        <v/>
      </c>
      <c r="T360" s="159" t="str">
        <f>IFERROR(1-SUMIF(Tracker_BD!$H:$H,$A360,Tracker_BD!AI:AI)/$F360,"")</f>
        <v/>
      </c>
      <c r="U360" s="160" t="str">
        <f t="shared" si="22"/>
        <v/>
      </c>
      <c r="V360" s="160"/>
      <c r="W360" s="161" t="str">
        <f t="shared" si="23"/>
        <v/>
      </c>
      <c r="X360" s="156" t="str">
        <f>IFERROR(_xlfn.XLOOKUP($A360,'Raw Data'!$G:$G,'Raw Data'!$AB:$AB),"")</f>
        <v/>
      </c>
      <c r="Y360" s="156" t="str">
        <f>IFERROR(_xlfn.XLOOKUP($A360,'Raw Data'!$G:$G,'Raw Data'!AC:AC),"")</f>
        <v/>
      </c>
      <c r="Z360" s="156" t="str">
        <f>IFERROR(_xlfn.XLOOKUP($A360,'Raw Data'!$G:$G,'Raw Data'!AD:AD),"")</f>
        <v/>
      </c>
      <c r="AA360" s="156" t="str">
        <f>IFERROR(_xlfn.XLOOKUP($A360,'Raw Data'!$G:$G,'Raw Data'!AE:AE),"")</f>
        <v/>
      </c>
      <c r="AB360" s="156" t="str">
        <f>IFERROR(_xlfn.XLOOKUP($A360,'Raw Data'!$G:$G,'Raw Data'!$H:$H),"")</f>
        <v/>
      </c>
      <c r="AC360" s="162">
        <f>IFERROR(_xlfn.XLOOKUP($D360,'Modelling New'!$D:$D,'Modelling New'!$P:$P),"")</f>
        <v>7.7166057064516123</v>
      </c>
      <c r="AD360" s="156">
        <f>IFERROR(_xlfn.XLOOKUP($D360,'Modelling New'!$D:$D,'Modelling New'!$T:$T)*1000,"")</f>
        <v>67607.798406693953</v>
      </c>
      <c r="AE360" s="163">
        <f>IFERROR(_xlfn.XLOOKUP($D360,'Modelling New'!$D:$D,'Modelling New'!$O:$O),"")</f>
        <v>0.74755452089211905</v>
      </c>
      <c r="AF360" s="163">
        <f>IFERROR(_xlfn.XLOOKUP($D360,'Modelling New'!$D:$D,'Modelling New'!$W:$W),"")</f>
        <v>0.24035764507499272</v>
      </c>
      <c r="AG360" s="163">
        <f>IFERROR(_xlfn.XLOOKUP($D360,'Modelling New'!$D:$D,'Modelling New'!AE:AE),"")</f>
        <v>0.995</v>
      </c>
      <c r="AH360" s="163">
        <f>IFERROR(_xlfn.XLOOKUP($D360,'Modelling New'!$D:$D,'Modelling New'!AF:AF),"")</f>
        <v>0.98550000000000004</v>
      </c>
      <c r="AN360" s="164"/>
      <c r="AO360" s="161"/>
      <c r="AP360" s="161"/>
      <c r="AQ360" s="161"/>
      <c r="AR360" s="156">
        <f>IFERROR(_xlfn.XLOOKUP($D360,'Modelling New'!$D:$D,'Modelling New'!$N:$N),"")</f>
        <v>11.72</v>
      </c>
    </row>
    <row r="361" spans="1:44">
      <c r="A361" s="155">
        <f t="shared" si="24"/>
        <v>46104</v>
      </c>
      <c r="B361" s="156">
        <f>YEAR(Table13[[#This Row],[Date]])+IF(MONTH(Table13[[#This Row],[Date]])&gt;=4,1,0)</f>
        <v>2026</v>
      </c>
      <c r="C361" s="129">
        <f>YEAR(Table13[[#This Row],[Date]])</f>
        <v>2026</v>
      </c>
      <c r="D361" s="157">
        <f>Table13[[#This Row],[Date]]-DAY(Table13[[#This Row],[Date]])+1</f>
        <v>46082</v>
      </c>
      <c r="E361" s="129">
        <f t="shared" si="21"/>
        <v>31</v>
      </c>
      <c r="F361" s="130" t="str">
        <f>IFERROR(_xlfn.XLOOKUP($A361,'Raw Data'!$G:$G,'Raw Data'!$AH:$AH),"")</f>
        <v/>
      </c>
      <c r="G361" s="131" t="str">
        <f>IFERROR(_xlfn.XLOOKUP($A361,'Raw Data'!$G:$G,'Raw Data'!$S:$S)/1000,"")</f>
        <v/>
      </c>
      <c r="H361" s="131"/>
      <c r="I361" s="131" t="str">
        <f>IFERROR(_xlfn.XLOOKUP($A361,'Raw Data'!$G:$G,'Raw Data'!$AF:$AF)/1000,"")</f>
        <v/>
      </c>
      <c r="J361" s="131"/>
      <c r="K361" s="131" t="str">
        <f>IFERROR(_xlfn.XLOOKUP($A361,'Raw Data'!$G:$G,'Raw Data'!W:W),"")</f>
        <v/>
      </c>
      <c r="L361" s="131" t="str">
        <f>IFERROR(_xlfn.XLOOKUP($A361,'Raw Data'!$G:$G,'Raw Data'!X:X),"")</f>
        <v/>
      </c>
      <c r="M361" s="131" t="str">
        <f>IFERROR(_xlfn.XLOOKUP($A361,'Raw Data'!$G:$G,'Raw Data'!Y:Y),"")</f>
        <v/>
      </c>
      <c r="N361" s="131" t="str">
        <f>IFERROR(_xlfn.XLOOKUP($A361,'Raw Data'!$G:$G,'Raw Data'!Z:Z),"")</f>
        <v/>
      </c>
      <c r="O361" s="158" t="str">
        <f>IFERROR(1-SUMIF('Plant BD'!$H:$H,$A361,'Plant BD'!AC:AC)/$F361,"")</f>
        <v/>
      </c>
      <c r="P361" s="158"/>
      <c r="Q361" s="159"/>
      <c r="R361" s="158" t="str">
        <f>IFERROR(1-SUMIF('Grid BD'!$H:$H,$A361,'Grid BD'!AB:AB)/$F361,"")</f>
        <v/>
      </c>
      <c r="T361" s="159" t="str">
        <f>IFERROR(1-SUMIF(Tracker_BD!$H:$H,$A361,Tracker_BD!AI:AI)/$F361,"")</f>
        <v/>
      </c>
      <c r="U361" s="160" t="str">
        <f t="shared" si="22"/>
        <v/>
      </c>
      <c r="V361" s="160"/>
      <c r="W361" s="161" t="str">
        <f t="shared" si="23"/>
        <v/>
      </c>
      <c r="X361" s="156" t="str">
        <f>IFERROR(_xlfn.XLOOKUP($A361,'Raw Data'!$G:$G,'Raw Data'!$AB:$AB),"")</f>
        <v/>
      </c>
      <c r="Y361" s="156" t="str">
        <f>IFERROR(_xlfn.XLOOKUP($A361,'Raw Data'!$G:$G,'Raw Data'!AC:AC),"")</f>
        <v/>
      </c>
      <c r="Z361" s="156" t="str">
        <f>IFERROR(_xlfn.XLOOKUP($A361,'Raw Data'!$G:$G,'Raw Data'!AD:AD),"")</f>
        <v/>
      </c>
      <c r="AA361" s="156" t="str">
        <f>IFERROR(_xlfn.XLOOKUP($A361,'Raw Data'!$G:$G,'Raw Data'!AE:AE),"")</f>
        <v/>
      </c>
      <c r="AB361" s="156" t="str">
        <f>IFERROR(_xlfn.XLOOKUP($A361,'Raw Data'!$G:$G,'Raw Data'!$H:$H),"")</f>
        <v/>
      </c>
      <c r="AC361" s="162">
        <f>IFERROR(_xlfn.XLOOKUP($D361,'Modelling New'!$D:$D,'Modelling New'!$P:$P),"")</f>
        <v>7.7166057064516123</v>
      </c>
      <c r="AD361" s="156">
        <f>IFERROR(_xlfn.XLOOKUP($D361,'Modelling New'!$D:$D,'Modelling New'!$T:$T)*1000,"")</f>
        <v>67607.798406693953</v>
      </c>
      <c r="AE361" s="163">
        <f>IFERROR(_xlfn.XLOOKUP($D361,'Modelling New'!$D:$D,'Modelling New'!$O:$O),"")</f>
        <v>0.74755452089211905</v>
      </c>
      <c r="AF361" s="163">
        <f>IFERROR(_xlfn.XLOOKUP($D361,'Modelling New'!$D:$D,'Modelling New'!$W:$W),"")</f>
        <v>0.24035764507499272</v>
      </c>
      <c r="AG361" s="163">
        <f>IFERROR(_xlfn.XLOOKUP($D361,'Modelling New'!$D:$D,'Modelling New'!AE:AE),"")</f>
        <v>0.995</v>
      </c>
      <c r="AH361" s="163">
        <f>IFERROR(_xlfn.XLOOKUP($D361,'Modelling New'!$D:$D,'Modelling New'!AF:AF),"")</f>
        <v>0.98550000000000004</v>
      </c>
      <c r="AN361" s="164"/>
      <c r="AO361" s="161"/>
      <c r="AP361" s="161"/>
      <c r="AQ361" s="161"/>
      <c r="AR361" s="156">
        <f>IFERROR(_xlfn.XLOOKUP($D361,'Modelling New'!$D:$D,'Modelling New'!$N:$N),"")</f>
        <v>11.72</v>
      </c>
    </row>
    <row r="362" spans="1:44">
      <c r="A362" s="155">
        <f t="shared" si="24"/>
        <v>46105</v>
      </c>
      <c r="B362" s="156">
        <f>YEAR(Table13[[#This Row],[Date]])+IF(MONTH(Table13[[#This Row],[Date]])&gt;=4,1,0)</f>
        <v>2026</v>
      </c>
      <c r="C362" s="129">
        <f>YEAR(Table13[[#This Row],[Date]])</f>
        <v>2026</v>
      </c>
      <c r="D362" s="157">
        <f>Table13[[#This Row],[Date]]-DAY(Table13[[#This Row],[Date]])+1</f>
        <v>46082</v>
      </c>
      <c r="E362" s="129">
        <f t="shared" si="21"/>
        <v>31</v>
      </c>
      <c r="F362" s="130" t="str">
        <f>IFERROR(_xlfn.XLOOKUP($A362,'Raw Data'!$G:$G,'Raw Data'!$AH:$AH),"")</f>
        <v/>
      </c>
      <c r="G362" s="131" t="str">
        <f>IFERROR(_xlfn.XLOOKUP($A362,'Raw Data'!$G:$G,'Raw Data'!$S:$S)/1000,"")</f>
        <v/>
      </c>
      <c r="H362" s="131"/>
      <c r="I362" s="131" t="str">
        <f>IFERROR(_xlfn.XLOOKUP($A362,'Raw Data'!$G:$G,'Raw Data'!$AF:$AF)/1000,"")</f>
        <v/>
      </c>
      <c r="J362" s="131"/>
      <c r="K362" s="131" t="str">
        <f>IFERROR(_xlfn.XLOOKUP($A362,'Raw Data'!$G:$G,'Raw Data'!W:W),"")</f>
        <v/>
      </c>
      <c r="L362" s="131" t="str">
        <f>IFERROR(_xlfn.XLOOKUP($A362,'Raw Data'!$G:$G,'Raw Data'!X:X),"")</f>
        <v/>
      </c>
      <c r="M362" s="131" t="str">
        <f>IFERROR(_xlfn.XLOOKUP($A362,'Raw Data'!$G:$G,'Raw Data'!Y:Y),"")</f>
        <v/>
      </c>
      <c r="N362" s="131" t="str">
        <f>IFERROR(_xlfn.XLOOKUP($A362,'Raw Data'!$G:$G,'Raw Data'!Z:Z),"")</f>
        <v/>
      </c>
      <c r="O362" s="158" t="str">
        <f>IFERROR(1-SUMIF('Plant BD'!$H:$H,$A362,'Plant BD'!AC:AC)/$F362,"")</f>
        <v/>
      </c>
      <c r="P362" s="158"/>
      <c r="Q362" s="159"/>
      <c r="R362" s="158" t="str">
        <f>IFERROR(1-SUMIF('Grid BD'!$H:$H,$A362,'Grid BD'!AB:AB)/$F362,"")</f>
        <v/>
      </c>
      <c r="T362" s="159" t="str">
        <f>IFERROR(1-SUMIF(Tracker_BD!$H:$H,$A362,Tracker_BD!AI:AI)/$F362,"")</f>
        <v/>
      </c>
      <c r="U362" s="160" t="str">
        <f t="shared" si="22"/>
        <v/>
      </c>
      <c r="V362" s="160"/>
      <c r="W362" s="161" t="str">
        <f t="shared" si="23"/>
        <v/>
      </c>
      <c r="X362" s="156" t="str">
        <f>IFERROR(_xlfn.XLOOKUP($A362,'Raw Data'!$G:$G,'Raw Data'!$AB:$AB),"")</f>
        <v/>
      </c>
      <c r="Y362" s="156" t="str">
        <f>IFERROR(_xlfn.XLOOKUP($A362,'Raw Data'!$G:$G,'Raw Data'!AC:AC),"")</f>
        <v/>
      </c>
      <c r="Z362" s="156" t="str">
        <f>IFERROR(_xlfn.XLOOKUP($A362,'Raw Data'!$G:$G,'Raw Data'!AD:AD),"")</f>
        <v/>
      </c>
      <c r="AA362" s="156" t="str">
        <f>IFERROR(_xlfn.XLOOKUP($A362,'Raw Data'!$G:$G,'Raw Data'!AE:AE),"")</f>
        <v/>
      </c>
      <c r="AB362" s="156" t="str">
        <f>IFERROR(_xlfn.XLOOKUP($A362,'Raw Data'!$G:$G,'Raw Data'!$H:$H),"")</f>
        <v/>
      </c>
      <c r="AC362" s="162">
        <f>IFERROR(_xlfn.XLOOKUP($D362,'Modelling New'!$D:$D,'Modelling New'!$P:$P),"")</f>
        <v>7.7166057064516123</v>
      </c>
      <c r="AD362" s="156">
        <f>IFERROR(_xlfn.XLOOKUP($D362,'Modelling New'!$D:$D,'Modelling New'!$T:$T)*1000,"")</f>
        <v>67607.798406693953</v>
      </c>
      <c r="AE362" s="163">
        <f>IFERROR(_xlfn.XLOOKUP($D362,'Modelling New'!$D:$D,'Modelling New'!$O:$O),"")</f>
        <v>0.74755452089211905</v>
      </c>
      <c r="AF362" s="163">
        <f>IFERROR(_xlfn.XLOOKUP($D362,'Modelling New'!$D:$D,'Modelling New'!$W:$W),"")</f>
        <v>0.24035764507499272</v>
      </c>
      <c r="AG362" s="163">
        <f>IFERROR(_xlfn.XLOOKUP($D362,'Modelling New'!$D:$D,'Modelling New'!AE:AE),"")</f>
        <v>0.995</v>
      </c>
      <c r="AH362" s="163">
        <f>IFERROR(_xlfn.XLOOKUP($D362,'Modelling New'!$D:$D,'Modelling New'!AF:AF),"")</f>
        <v>0.98550000000000004</v>
      </c>
      <c r="AN362" s="164"/>
      <c r="AO362" s="161"/>
      <c r="AP362" s="161"/>
      <c r="AQ362" s="161"/>
      <c r="AR362" s="156">
        <f>IFERROR(_xlfn.XLOOKUP($D362,'Modelling New'!$D:$D,'Modelling New'!$N:$N),"")</f>
        <v>11.72</v>
      </c>
    </row>
    <row r="363" spans="1:44">
      <c r="A363" s="155">
        <f t="shared" si="24"/>
        <v>46106</v>
      </c>
      <c r="B363" s="156">
        <f>YEAR(Table13[[#This Row],[Date]])+IF(MONTH(Table13[[#This Row],[Date]])&gt;=4,1,0)</f>
        <v>2026</v>
      </c>
      <c r="C363" s="129">
        <f>YEAR(Table13[[#This Row],[Date]])</f>
        <v>2026</v>
      </c>
      <c r="D363" s="157">
        <f>Table13[[#This Row],[Date]]-DAY(Table13[[#This Row],[Date]])+1</f>
        <v>46082</v>
      </c>
      <c r="E363" s="129">
        <f t="shared" si="21"/>
        <v>31</v>
      </c>
      <c r="F363" s="130" t="str">
        <f>IFERROR(_xlfn.XLOOKUP($A363,'Raw Data'!$G:$G,'Raw Data'!$AH:$AH),"")</f>
        <v/>
      </c>
      <c r="G363" s="131" t="str">
        <f>IFERROR(_xlfn.XLOOKUP($A363,'Raw Data'!$G:$G,'Raw Data'!$S:$S)/1000,"")</f>
        <v/>
      </c>
      <c r="H363" s="131"/>
      <c r="I363" s="131" t="str">
        <f>IFERROR(_xlfn.XLOOKUP($A363,'Raw Data'!$G:$G,'Raw Data'!$AF:$AF)/1000,"")</f>
        <v/>
      </c>
      <c r="J363" s="131"/>
      <c r="K363" s="131" t="str">
        <f>IFERROR(_xlfn.XLOOKUP($A363,'Raw Data'!$G:$G,'Raw Data'!W:W),"")</f>
        <v/>
      </c>
      <c r="L363" s="131" t="str">
        <f>IFERROR(_xlfn.XLOOKUP($A363,'Raw Data'!$G:$G,'Raw Data'!X:X),"")</f>
        <v/>
      </c>
      <c r="M363" s="131" t="str">
        <f>IFERROR(_xlfn.XLOOKUP($A363,'Raw Data'!$G:$G,'Raw Data'!Y:Y),"")</f>
        <v/>
      </c>
      <c r="N363" s="131" t="str">
        <f>IFERROR(_xlfn.XLOOKUP($A363,'Raw Data'!$G:$G,'Raw Data'!Z:Z),"")</f>
        <v/>
      </c>
      <c r="O363" s="158" t="str">
        <f>IFERROR(1-SUMIF('Plant BD'!$H:$H,$A363,'Plant BD'!AC:AC)/$F363,"")</f>
        <v/>
      </c>
      <c r="P363" s="158"/>
      <c r="Q363" s="159"/>
      <c r="R363" s="158" t="str">
        <f>IFERROR(1-SUMIF('Grid BD'!$H:$H,$A363,'Grid BD'!AB:AB)/$F363,"")</f>
        <v/>
      </c>
      <c r="T363" s="159" t="str">
        <f>IFERROR(1-SUMIF(Tracker_BD!$H:$H,$A363,Tracker_BD!AI:AI)/$F363,"")</f>
        <v/>
      </c>
      <c r="U363" s="160" t="str">
        <f t="shared" si="22"/>
        <v/>
      </c>
      <c r="V363" s="160"/>
      <c r="W363" s="161" t="str">
        <f t="shared" si="23"/>
        <v/>
      </c>
      <c r="X363" s="156" t="str">
        <f>IFERROR(_xlfn.XLOOKUP($A363,'Raw Data'!$G:$G,'Raw Data'!$AB:$AB),"")</f>
        <v/>
      </c>
      <c r="Y363" s="156" t="str">
        <f>IFERROR(_xlfn.XLOOKUP($A363,'Raw Data'!$G:$G,'Raw Data'!AC:AC),"")</f>
        <v/>
      </c>
      <c r="Z363" s="156" t="str">
        <f>IFERROR(_xlfn.XLOOKUP($A363,'Raw Data'!$G:$G,'Raw Data'!AD:AD),"")</f>
        <v/>
      </c>
      <c r="AA363" s="156" t="str">
        <f>IFERROR(_xlfn.XLOOKUP($A363,'Raw Data'!$G:$G,'Raw Data'!AE:AE),"")</f>
        <v/>
      </c>
      <c r="AB363" s="156" t="str">
        <f>IFERROR(_xlfn.XLOOKUP($A363,'Raw Data'!$G:$G,'Raw Data'!$H:$H),"")</f>
        <v/>
      </c>
      <c r="AC363" s="162">
        <f>IFERROR(_xlfn.XLOOKUP($D363,'Modelling New'!$D:$D,'Modelling New'!$P:$P),"")</f>
        <v>7.7166057064516123</v>
      </c>
      <c r="AD363" s="156">
        <f>IFERROR(_xlfn.XLOOKUP($D363,'Modelling New'!$D:$D,'Modelling New'!$T:$T)*1000,"")</f>
        <v>67607.798406693953</v>
      </c>
      <c r="AE363" s="163">
        <f>IFERROR(_xlfn.XLOOKUP($D363,'Modelling New'!$D:$D,'Modelling New'!$O:$O),"")</f>
        <v>0.74755452089211905</v>
      </c>
      <c r="AF363" s="163">
        <f>IFERROR(_xlfn.XLOOKUP($D363,'Modelling New'!$D:$D,'Modelling New'!$W:$W),"")</f>
        <v>0.24035764507499272</v>
      </c>
      <c r="AG363" s="163">
        <f>IFERROR(_xlfn.XLOOKUP($D363,'Modelling New'!$D:$D,'Modelling New'!AE:AE),"")</f>
        <v>0.995</v>
      </c>
      <c r="AH363" s="163">
        <f>IFERROR(_xlfn.XLOOKUP($D363,'Modelling New'!$D:$D,'Modelling New'!AF:AF),"")</f>
        <v>0.98550000000000004</v>
      </c>
      <c r="AN363" s="164"/>
      <c r="AO363" s="161"/>
      <c r="AP363" s="161"/>
      <c r="AQ363" s="161"/>
      <c r="AR363" s="156">
        <f>IFERROR(_xlfn.XLOOKUP($D363,'Modelling New'!$D:$D,'Modelling New'!$N:$N),"")</f>
        <v>11.72</v>
      </c>
    </row>
    <row r="364" spans="1:44">
      <c r="A364" s="155">
        <f t="shared" si="24"/>
        <v>46107</v>
      </c>
      <c r="B364" s="156">
        <f>YEAR(Table13[[#This Row],[Date]])+IF(MONTH(Table13[[#This Row],[Date]])&gt;=4,1,0)</f>
        <v>2026</v>
      </c>
      <c r="C364" s="129">
        <f>YEAR(Table13[[#This Row],[Date]])</f>
        <v>2026</v>
      </c>
      <c r="D364" s="157">
        <f>Table13[[#This Row],[Date]]-DAY(Table13[[#This Row],[Date]])+1</f>
        <v>46082</v>
      </c>
      <c r="E364" s="129">
        <f t="shared" si="21"/>
        <v>31</v>
      </c>
      <c r="F364" s="130" t="str">
        <f>IFERROR(_xlfn.XLOOKUP($A364,'Raw Data'!$G:$G,'Raw Data'!$AH:$AH),"")</f>
        <v/>
      </c>
      <c r="G364" s="131" t="str">
        <f>IFERROR(_xlfn.XLOOKUP($A364,'Raw Data'!$G:$G,'Raw Data'!$S:$S)/1000,"")</f>
        <v/>
      </c>
      <c r="H364" s="131"/>
      <c r="I364" s="131" t="str">
        <f>IFERROR(_xlfn.XLOOKUP($A364,'Raw Data'!$G:$G,'Raw Data'!$AF:$AF)/1000,"")</f>
        <v/>
      </c>
      <c r="J364" s="131"/>
      <c r="K364" s="131" t="str">
        <f>IFERROR(_xlfn.XLOOKUP($A364,'Raw Data'!$G:$G,'Raw Data'!W:W),"")</f>
        <v/>
      </c>
      <c r="L364" s="131" t="str">
        <f>IFERROR(_xlfn.XLOOKUP($A364,'Raw Data'!$G:$G,'Raw Data'!X:X),"")</f>
        <v/>
      </c>
      <c r="M364" s="131" t="str">
        <f>IFERROR(_xlfn.XLOOKUP($A364,'Raw Data'!$G:$G,'Raw Data'!Y:Y),"")</f>
        <v/>
      </c>
      <c r="N364" s="131" t="str">
        <f>IFERROR(_xlfn.XLOOKUP($A364,'Raw Data'!$G:$G,'Raw Data'!Z:Z),"")</f>
        <v/>
      </c>
      <c r="O364" s="158" t="str">
        <f>IFERROR(1-SUMIF('Plant BD'!$H:$H,$A364,'Plant BD'!AC:AC)/$F364,"")</f>
        <v/>
      </c>
      <c r="P364" s="158"/>
      <c r="Q364" s="159"/>
      <c r="R364" s="158" t="str">
        <f>IFERROR(1-SUMIF('Grid BD'!$H:$H,$A364,'Grid BD'!AB:AB)/$F364,"")</f>
        <v/>
      </c>
      <c r="T364" s="159" t="str">
        <f>IFERROR(1-SUMIF(Tracker_BD!$H:$H,$A364,Tracker_BD!AI:AI)/$F364,"")</f>
        <v/>
      </c>
      <c r="U364" s="160" t="str">
        <f t="shared" si="22"/>
        <v/>
      </c>
      <c r="V364" s="160"/>
      <c r="W364" s="161" t="str">
        <f t="shared" si="23"/>
        <v/>
      </c>
      <c r="X364" s="156" t="str">
        <f>IFERROR(_xlfn.XLOOKUP($A364,'Raw Data'!$G:$G,'Raw Data'!$AB:$AB),"")</f>
        <v/>
      </c>
      <c r="Y364" s="156" t="str">
        <f>IFERROR(_xlfn.XLOOKUP($A364,'Raw Data'!$G:$G,'Raw Data'!AC:AC),"")</f>
        <v/>
      </c>
      <c r="Z364" s="156" t="str">
        <f>IFERROR(_xlfn.XLOOKUP($A364,'Raw Data'!$G:$G,'Raw Data'!AD:AD),"")</f>
        <v/>
      </c>
      <c r="AA364" s="156" t="str">
        <f>IFERROR(_xlfn.XLOOKUP($A364,'Raw Data'!$G:$G,'Raw Data'!AE:AE),"")</f>
        <v/>
      </c>
      <c r="AB364" s="156" t="str">
        <f>IFERROR(_xlfn.XLOOKUP($A364,'Raw Data'!$G:$G,'Raw Data'!$H:$H),"")</f>
        <v/>
      </c>
      <c r="AC364" s="162">
        <f>IFERROR(_xlfn.XLOOKUP($D364,'Modelling New'!$D:$D,'Modelling New'!$P:$P),"")</f>
        <v>7.7166057064516123</v>
      </c>
      <c r="AD364" s="156">
        <f>IFERROR(_xlfn.XLOOKUP($D364,'Modelling New'!$D:$D,'Modelling New'!$T:$T)*1000,"")</f>
        <v>67607.798406693953</v>
      </c>
      <c r="AE364" s="163">
        <f>IFERROR(_xlfn.XLOOKUP($D364,'Modelling New'!$D:$D,'Modelling New'!$O:$O),"")</f>
        <v>0.74755452089211905</v>
      </c>
      <c r="AF364" s="163">
        <f>IFERROR(_xlfn.XLOOKUP($D364,'Modelling New'!$D:$D,'Modelling New'!$W:$W),"")</f>
        <v>0.24035764507499272</v>
      </c>
      <c r="AG364" s="163">
        <f>IFERROR(_xlfn.XLOOKUP($D364,'Modelling New'!$D:$D,'Modelling New'!AE:AE),"")</f>
        <v>0.995</v>
      </c>
      <c r="AH364" s="163">
        <f>IFERROR(_xlfn.XLOOKUP($D364,'Modelling New'!$D:$D,'Modelling New'!AF:AF),"")</f>
        <v>0.98550000000000004</v>
      </c>
      <c r="AN364" s="164"/>
      <c r="AO364" s="161"/>
      <c r="AP364" s="161"/>
      <c r="AQ364" s="161"/>
      <c r="AR364" s="156">
        <f>IFERROR(_xlfn.XLOOKUP($D364,'Modelling New'!$D:$D,'Modelling New'!$N:$N),"")</f>
        <v>11.72</v>
      </c>
    </row>
    <row r="365" spans="1:44">
      <c r="A365" s="155">
        <f t="shared" si="24"/>
        <v>46108</v>
      </c>
      <c r="B365" s="156">
        <f>YEAR(Table13[[#This Row],[Date]])+IF(MONTH(Table13[[#This Row],[Date]])&gt;=4,1,0)</f>
        <v>2026</v>
      </c>
      <c r="C365" s="129">
        <f>YEAR(Table13[[#This Row],[Date]])</f>
        <v>2026</v>
      </c>
      <c r="D365" s="157">
        <f>Table13[[#This Row],[Date]]-DAY(Table13[[#This Row],[Date]])+1</f>
        <v>46082</v>
      </c>
      <c r="E365" s="129">
        <f t="shared" si="21"/>
        <v>31</v>
      </c>
      <c r="F365" s="130" t="str">
        <f>IFERROR(_xlfn.XLOOKUP($A365,'Raw Data'!$G:$G,'Raw Data'!$AH:$AH),"")</f>
        <v/>
      </c>
      <c r="G365" s="131" t="str">
        <f>IFERROR(_xlfn.XLOOKUP($A365,'Raw Data'!$G:$G,'Raw Data'!$S:$S)/1000,"")</f>
        <v/>
      </c>
      <c r="H365" s="131"/>
      <c r="I365" s="131" t="str">
        <f>IFERROR(_xlfn.XLOOKUP($A365,'Raw Data'!$G:$G,'Raw Data'!$AF:$AF)/1000,"")</f>
        <v/>
      </c>
      <c r="J365" s="131"/>
      <c r="K365" s="131" t="str">
        <f>IFERROR(_xlfn.XLOOKUP($A365,'Raw Data'!$G:$G,'Raw Data'!W:W),"")</f>
        <v/>
      </c>
      <c r="L365" s="131" t="str">
        <f>IFERROR(_xlfn.XLOOKUP($A365,'Raw Data'!$G:$G,'Raw Data'!X:X),"")</f>
        <v/>
      </c>
      <c r="M365" s="131" t="str">
        <f>IFERROR(_xlfn.XLOOKUP($A365,'Raw Data'!$G:$G,'Raw Data'!Y:Y),"")</f>
        <v/>
      </c>
      <c r="N365" s="131" t="str">
        <f>IFERROR(_xlfn.XLOOKUP($A365,'Raw Data'!$G:$G,'Raw Data'!Z:Z),"")</f>
        <v/>
      </c>
      <c r="O365" s="158" t="str">
        <f>IFERROR(1-SUMIF('Plant BD'!$H:$H,$A365,'Plant BD'!AC:AC)/$F365,"")</f>
        <v/>
      </c>
      <c r="P365" s="158"/>
      <c r="Q365" s="159"/>
      <c r="R365" s="158" t="str">
        <f>IFERROR(1-SUMIF('Grid BD'!$H:$H,$A365,'Grid BD'!AB:AB)/$F365,"")</f>
        <v/>
      </c>
      <c r="T365" s="159" t="str">
        <f>IFERROR(1-SUMIF(Tracker_BD!$H:$H,$A365,Tracker_BD!AI:AI)/$F365,"")</f>
        <v/>
      </c>
      <c r="U365" s="160" t="str">
        <f t="shared" si="22"/>
        <v/>
      </c>
      <c r="V365" s="160"/>
      <c r="W365" s="161" t="str">
        <f t="shared" si="23"/>
        <v/>
      </c>
      <c r="X365" s="156" t="str">
        <f>IFERROR(_xlfn.XLOOKUP($A365,'Raw Data'!$G:$G,'Raw Data'!$AB:$AB),"")</f>
        <v/>
      </c>
      <c r="Y365" s="156" t="str">
        <f>IFERROR(_xlfn.XLOOKUP($A365,'Raw Data'!$G:$G,'Raw Data'!AC:AC),"")</f>
        <v/>
      </c>
      <c r="Z365" s="156" t="str">
        <f>IFERROR(_xlfn.XLOOKUP($A365,'Raw Data'!$G:$G,'Raw Data'!AD:AD),"")</f>
        <v/>
      </c>
      <c r="AA365" s="156" t="str">
        <f>IFERROR(_xlfn.XLOOKUP($A365,'Raw Data'!$G:$G,'Raw Data'!AE:AE),"")</f>
        <v/>
      </c>
      <c r="AB365" s="156" t="str">
        <f>IFERROR(_xlfn.XLOOKUP($A365,'Raw Data'!$G:$G,'Raw Data'!$H:$H),"")</f>
        <v/>
      </c>
      <c r="AC365" s="162">
        <f>IFERROR(_xlfn.XLOOKUP($D365,'Modelling New'!$D:$D,'Modelling New'!$P:$P),"")</f>
        <v>7.7166057064516123</v>
      </c>
      <c r="AD365" s="156">
        <f>IFERROR(_xlfn.XLOOKUP($D365,'Modelling New'!$D:$D,'Modelling New'!$T:$T)*1000,"")</f>
        <v>67607.798406693953</v>
      </c>
      <c r="AE365" s="163">
        <f>IFERROR(_xlfn.XLOOKUP($D365,'Modelling New'!$D:$D,'Modelling New'!$O:$O),"")</f>
        <v>0.74755452089211905</v>
      </c>
      <c r="AF365" s="163">
        <f>IFERROR(_xlfn.XLOOKUP($D365,'Modelling New'!$D:$D,'Modelling New'!$W:$W),"")</f>
        <v>0.24035764507499272</v>
      </c>
      <c r="AG365" s="163">
        <f>IFERROR(_xlfn.XLOOKUP($D365,'Modelling New'!$D:$D,'Modelling New'!AE:AE),"")</f>
        <v>0.995</v>
      </c>
      <c r="AH365" s="163">
        <f>IFERROR(_xlfn.XLOOKUP($D365,'Modelling New'!$D:$D,'Modelling New'!AF:AF),"")</f>
        <v>0.98550000000000004</v>
      </c>
      <c r="AN365" s="164"/>
      <c r="AO365" s="161"/>
      <c r="AP365" s="161"/>
      <c r="AQ365" s="161"/>
      <c r="AR365" s="156">
        <f>IFERROR(_xlfn.XLOOKUP($D365,'Modelling New'!$D:$D,'Modelling New'!$N:$N),"")</f>
        <v>11.72</v>
      </c>
    </row>
    <row r="366" spans="1:44">
      <c r="A366" s="155">
        <f t="shared" si="24"/>
        <v>46109</v>
      </c>
      <c r="B366" s="156">
        <f>YEAR(Table13[[#This Row],[Date]])+IF(MONTH(Table13[[#This Row],[Date]])&gt;=4,1,0)</f>
        <v>2026</v>
      </c>
      <c r="C366" s="129">
        <f>YEAR(Table13[[#This Row],[Date]])</f>
        <v>2026</v>
      </c>
      <c r="D366" s="157">
        <f>Table13[[#This Row],[Date]]-DAY(Table13[[#This Row],[Date]])+1</f>
        <v>46082</v>
      </c>
      <c r="E366" s="129">
        <f t="shared" si="21"/>
        <v>31</v>
      </c>
      <c r="F366" s="130" t="str">
        <f>IFERROR(_xlfn.XLOOKUP($A366,'Raw Data'!$G:$G,'Raw Data'!$AH:$AH),"")</f>
        <v/>
      </c>
      <c r="G366" s="131" t="str">
        <f>IFERROR(_xlfn.XLOOKUP($A366,'Raw Data'!$G:$G,'Raw Data'!$S:$S)/1000,"")</f>
        <v/>
      </c>
      <c r="H366" s="131"/>
      <c r="I366" s="131" t="str">
        <f>IFERROR(_xlfn.XLOOKUP($A366,'Raw Data'!$G:$G,'Raw Data'!$AF:$AF)/1000,"")</f>
        <v/>
      </c>
      <c r="J366" s="131"/>
      <c r="K366" s="131" t="str">
        <f>IFERROR(_xlfn.XLOOKUP($A366,'Raw Data'!$G:$G,'Raw Data'!W:W),"")</f>
        <v/>
      </c>
      <c r="L366" s="131" t="str">
        <f>IFERROR(_xlfn.XLOOKUP($A366,'Raw Data'!$G:$G,'Raw Data'!X:X),"")</f>
        <v/>
      </c>
      <c r="M366" s="131" t="str">
        <f>IFERROR(_xlfn.XLOOKUP($A366,'Raw Data'!$G:$G,'Raw Data'!Y:Y),"")</f>
        <v/>
      </c>
      <c r="N366" s="131" t="str">
        <f>IFERROR(_xlfn.XLOOKUP($A366,'Raw Data'!$G:$G,'Raw Data'!Z:Z),"")</f>
        <v/>
      </c>
      <c r="O366" s="158" t="str">
        <f>IFERROR(1-SUMIF('Plant BD'!$H:$H,$A366,'Plant BD'!AC:AC)/$F366,"")</f>
        <v/>
      </c>
      <c r="P366" s="158"/>
      <c r="Q366" s="159"/>
      <c r="R366" s="158" t="str">
        <f>IFERROR(1-SUMIF('Grid BD'!$H:$H,$A366,'Grid BD'!AB:AB)/$F366,"")</f>
        <v/>
      </c>
      <c r="T366" s="159" t="str">
        <f>IFERROR(1-SUMIF(Tracker_BD!$H:$H,$A366,Tracker_BD!AI:AI)/$F366,"")</f>
        <v/>
      </c>
      <c r="U366" s="160" t="str">
        <f t="shared" si="22"/>
        <v/>
      </c>
      <c r="V366" s="160"/>
      <c r="W366" s="161" t="str">
        <f t="shared" si="23"/>
        <v/>
      </c>
      <c r="X366" s="156" t="str">
        <f>IFERROR(_xlfn.XLOOKUP($A366,'Raw Data'!$G:$G,'Raw Data'!$AB:$AB),"")</f>
        <v/>
      </c>
      <c r="Y366" s="156" t="str">
        <f>IFERROR(_xlfn.XLOOKUP($A366,'Raw Data'!$G:$G,'Raw Data'!AC:AC),"")</f>
        <v/>
      </c>
      <c r="Z366" s="156" t="str">
        <f>IFERROR(_xlfn.XLOOKUP($A366,'Raw Data'!$G:$G,'Raw Data'!AD:AD),"")</f>
        <v/>
      </c>
      <c r="AA366" s="156" t="str">
        <f>IFERROR(_xlfn.XLOOKUP($A366,'Raw Data'!$G:$G,'Raw Data'!AE:AE),"")</f>
        <v/>
      </c>
      <c r="AB366" s="156" t="str">
        <f>IFERROR(_xlfn.XLOOKUP($A366,'Raw Data'!$G:$G,'Raw Data'!$H:$H),"")</f>
        <v/>
      </c>
      <c r="AC366" s="162">
        <f>IFERROR(_xlfn.XLOOKUP($D366,'Modelling New'!$D:$D,'Modelling New'!$P:$P),"")</f>
        <v>7.7166057064516123</v>
      </c>
      <c r="AD366" s="156">
        <f>IFERROR(_xlfn.XLOOKUP($D366,'Modelling New'!$D:$D,'Modelling New'!$T:$T)*1000,"")</f>
        <v>67607.798406693953</v>
      </c>
      <c r="AE366" s="163">
        <f>IFERROR(_xlfn.XLOOKUP($D366,'Modelling New'!$D:$D,'Modelling New'!$O:$O),"")</f>
        <v>0.74755452089211905</v>
      </c>
      <c r="AF366" s="163">
        <f>IFERROR(_xlfn.XLOOKUP($D366,'Modelling New'!$D:$D,'Modelling New'!$W:$W),"")</f>
        <v>0.24035764507499272</v>
      </c>
      <c r="AG366" s="163">
        <f>IFERROR(_xlfn.XLOOKUP($D366,'Modelling New'!$D:$D,'Modelling New'!AE:AE),"")</f>
        <v>0.995</v>
      </c>
      <c r="AH366" s="163">
        <f>IFERROR(_xlfn.XLOOKUP($D366,'Modelling New'!$D:$D,'Modelling New'!AF:AF),"")</f>
        <v>0.98550000000000004</v>
      </c>
      <c r="AN366" s="164"/>
      <c r="AO366" s="161"/>
      <c r="AP366" s="161"/>
      <c r="AQ366" s="161"/>
      <c r="AR366" s="156">
        <f>IFERROR(_xlfn.XLOOKUP($D366,'Modelling New'!$D:$D,'Modelling New'!$N:$N),"")</f>
        <v>11.72</v>
      </c>
    </row>
    <row r="367" spans="1:44">
      <c r="A367" s="155">
        <f t="shared" si="24"/>
        <v>46110</v>
      </c>
      <c r="B367" s="156">
        <f>YEAR(Table13[[#This Row],[Date]])+IF(MONTH(Table13[[#This Row],[Date]])&gt;=4,1,0)</f>
        <v>2026</v>
      </c>
      <c r="C367" s="129">
        <f>YEAR(Table13[[#This Row],[Date]])</f>
        <v>2026</v>
      </c>
      <c r="D367" s="157">
        <f>Table13[[#This Row],[Date]]-DAY(Table13[[#This Row],[Date]])+1</f>
        <v>46082</v>
      </c>
      <c r="E367" s="129">
        <f t="shared" si="21"/>
        <v>31</v>
      </c>
      <c r="F367" s="130" t="str">
        <f>IFERROR(_xlfn.XLOOKUP($A367,'Raw Data'!$G:$G,'Raw Data'!$AH:$AH),"")</f>
        <v/>
      </c>
      <c r="G367" s="131" t="str">
        <f>IFERROR(_xlfn.XLOOKUP($A367,'Raw Data'!$G:$G,'Raw Data'!$S:$S)/1000,"")</f>
        <v/>
      </c>
      <c r="H367" s="131"/>
      <c r="I367" s="131" t="str">
        <f>IFERROR(_xlfn.XLOOKUP($A367,'Raw Data'!$G:$G,'Raw Data'!$AF:$AF)/1000,"")</f>
        <v/>
      </c>
      <c r="J367" s="131"/>
      <c r="K367" s="131" t="str">
        <f>IFERROR(_xlfn.XLOOKUP($A367,'Raw Data'!$G:$G,'Raw Data'!W:W),"")</f>
        <v/>
      </c>
      <c r="L367" s="131" t="str">
        <f>IFERROR(_xlfn.XLOOKUP($A367,'Raw Data'!$G:$G,'Raw Data'!X:X),"")</f>
        <v/>
      </c>
      <c r="M367" s="131" t="str">
        <f>IFERROR(_xlfn.XLOOKUP($A367,'Raw Data'!$G:$G,'Raw Data'!Y:Y),"")</f>
        <v/>
      </c>
      <c r="N367" s="131" t="str">
        <f>IFERROR(_xlfn.XLOOKUP($A367,'Raw Data'!$G:$G,'Raw Data'!Z:Z),"")</f>
        <v/>
      </c>
      <c r="O367" s="158" t="str">
        <f>IFERROR(1-SUMIF('Plant BD'!$H:$H,$A367,'Plant BD'!AC:AC)/$F367,"")</f>
        <v/>
      </c>
      <c r="P367" s="158"/>
      <c r="Q367" s="159"/>
      <c r="R367" s="158" t="str">
        <f>IFERROR(1-SUMIF('Grid BD'!$H:$H,$A367,'Grid BD'!AB:AB)/$F367,"")</f>
        <v/>
      </c>
      <c r="T367" s="159" t="str">
        <f>IFERROR(1-SUMIF(Tracker_BD!$H:$H,$A367,Tracker_BD!AI:AI)/$F367,"")</f>
        <v/>
      </c>
      <c r="U367" s="160" t="str">
        <f t="shared" si="22"/>
        <v/>
      </c>
      <c r="V367" s="160"/>
      <c r="W367" s="161" t="str">
        <f t="shared" si="23"/>
        <v/>
      </c>
      <c r="X367" s="156" t="str">
        <f>IFERROR(_xlfn.XLOOKUP($A367,'Raw Data'!$G:$G,'Raw Data'!$AB:$AB),"")</f>
        <v/>
      </c>
      <c r="Y367" s="156" t="str">
        <f>IFERROR(_xlfn.XLOOKUP($A367,'Raw Data'!$G:$G,'Raw Data'!AC:AC),"")</f>
        <v/>
      </c>
      <c r="Z367" s="156" t="str">
        <f>IFERROR(_xlfn.XLOOKUP($A367,'Raw Data'!$G:$G,'Raw Data'!AD:AD),"")</f>
        <v/>
      </c>
      <c r="AA367" s="156" t="str">
        <f>IFERROR(_xlfn.XLOOKUP($A367,'Raw Data'!$G:$G,'Raw Data'!AE:AE),"")</f>
        <v/>
      </c>
      <c r="AB367" s="156" t="str">
        <f>IFERROR(_xlfn.XLOOKUP($A367,'Raw Data'!$G:$G,'Raw Data'!$H:$H),"")</f>
        <v/>
      </c>
      <c r="AC367" s="162">
        <f>IFERROR(_xlfn.XLOOKUP($D367,'Modelling New'!$D:$D,'Modelling New'!$P:$P),"")</f>
        <v>7.7166057064516123</v>
      </c>
      <c r="AD367" s="156">
        <f>IFERROR(_xlfn.XLOOKUP($D367,'Modelling New'!$D:$D,'Modelling New'!$T:$T)*1000,"")</f>
        <v>67607.798406693953</v>
      </c>
      <c r="AE367" s="163">
        <f>IFERROR(_xlfn.XLOOKUP($D367,'Modelling New'!$D:$D,'Modelling New'!$O:$O),"")</f>
        <v>0.74755452089211905</v>
      </c>
      <c r="AF367" s="163">
        <f>IFERROR(_xlfn.XLOOKUP($D367,'Modelling New'!$D:$D,'Modelling New'!$W:$W),"")</f>
        <v>0.24035764507499272</v>
      </c>
      <c r="AG367" s="163">
        <f>IFERROR(_xlfn.XLOOKUP($D367,'Modelling New'!$D:$D,'Modelling New'!AE:AE),"")</f>
        <v>0.995</v>
      </c>
      <c r="AH367" s="163">
        <f>IFERROR(_xlfn.XLOOKUP($D367,'Modelling New'!$D:$D,'Modelling New'!AF:AF),"")</f>
        <v>0.98550000000000004</v>
      </c>
      <c r="AN367" s="164"/>
      <c r="AO367" s="161"/>
      <c r="AP367" s="161"/>
      <c r="AQ367" s="161"/>
      <c r="AR367" s="156">
        <f>IFERROR(_xlfn.XLOOKUP($D367,'Modelling New'!$D:$D,'Modelling New'!$N:$N),"")</f>
        <v>11.72</v>
      </c>
    </row>
    <row r="368" spans="1:44">
      <c r="A368" s="155">
        <f t="shared" si="24"/>
        <v>46111</v>
      </c>
      <c r="B368" s="156">
        <f>YEAR(Table13[[#This Row],[Date]])+IF(MONTH(Table13[[#This Row],[Date]])&gt;=4,1,0)</f>
        <v>2026</v>
      </c>
      <c r="C368" s="129">
        <f>YEAR(Table13[[#This Row],[Date]])</f>
        <v>2026</v>
      </c>
      <c r="D368" s="157">
        <f>Table13[[#This Row],[Date]]-DAY(Table13[[#This Row],[Date]])+1</f>
        <v>46082</v>
      </c>
      <c r="E368" s="129">
        <f t="shared" si="21"/>
        <v>31</v>
      </c>
      <c r="F368" s="130" t="str">
        <f>IFERROR(_xlfn.XLOOKUP($A368,'Raw Data'!$G:$G,'Raw Data'!$AH:$AH),"")</f>
        <v/>
      </c>
      <c r="G368" s="131" t="str">
        <f>IFERROR(_xlfn.XLOOKUP($A368,'Raw Data'!$G:$G,'Raw Data'!$S:$S)/1000,"")</f>
        <v/>
      </c>
      <c r="H368" s="131"/>
      <c r="I368" s="131" t="str">
        <f>IFERROR(_xlfn.XLOOKUP($A368,'Raw Data'!$G:$G,'Raw Data'!$AF:$AF)/1000,"")</f>
        <v/>
      </c>
      <c r="J368" s="131"/>
      <c r="K368" s="131" t="str">
        <f>IFERROR(_xlfn.XLOOKUP($A368,'Raw Data'!$G:$G,'Raw Data'!W:W),"")</f>
        <v/>
      </c>
      <c r="L368" s="131" t="str">
        <f>IFERROR(_xlfn.XLOOKUP($A368,'Raw Data'!$G:$G,'Raw Data'!X:X),"")</f>
        <v/>
      </c>
      <c r="M368" s="131" t="str">
        <f>IFERROR(_xlfn.XLOOKUP($A368,'Raw Data'!$G:$G,'Raw Data'!Y:Y),"")</f>
        <v/>
      </c>
      <c r="N368" s="131" t="str">
        <f>IFERROR(_xlfn.XLOOKUP($A368,'Raw Data'!$G:$G,'Raw Data'!Z:Z),"")</f>
        <v/>
      </c>
      <c r="O368" s="158" t="str">
        <f>IFERROR(1-SUMIF('Plant BD'!$H:$H,$A368,'Plant BD'!AC:AC)/$F368,"")</f>
        <v/>
      </c>
      <c r="P368" s="158"/>
      <c r="Q368" s="159"/>
      <c r="R368" s="158" t="str">
        <f>IFERROR(1-SUMIF('Grid BD'!$H:$H,$A368,'Grid BD'!AB:AB)/$F368,"")</f>
        <v/>
      </c>
      <c r="T368" s="159" t="str">
        <f>IFERROR(1-SUMIF(Tracker_BD!$H:$H,$A368,Tracker_BD!AI:AI)/$F368,"")</f>
        <v/>
      </c>
      <c r="U368" s="160" t="str">
        <f t="shared" si="22"/>
        <v/>
      </c>
      <c r="V368" s="160"/>
      <c r="W368" s="161" t="str">
        <f t="shared" si="23"/>
        <v/>
      </c>
      <c r="X368" s="156" t="str">
        <f>IFERROR(_xlfn.XLOOKUP($A368,'Raw Data'!$G:$G,'Raw Data'!$AB:$AB),"")</f>
        <v/>
      </c>
      <c r="Y368" s="156" t="str">
        <f>IFERROR(_xlfn.XLOOKUP($A368,'Raw Data'!$G:$G,'Raw Data'!AC:AC),"")</f>
        <v/>
      </c>
      <c r="Z368" s="156" t="str">
        <f>IFERROR(_xlfn.XLOOKUP($A368,'Raw Data'!$G:$G,'Raw Data'!AD:AD),"")</f>
        <v/>
      </c>
      <c r="AA368" s="156" t="str">
        <f>IFERROR(_xlfn.XLOOKUP($A368,'Raw Data'!$G:$G,'Raw Data'!AE:AE),"")</f>
        <v/>
      </c>
      <c r="AB368" s="156" t="str">
        <f>IFERROR(_xlfn.XLOOKUP($A368,'Raw Data'!$G:$G,'Raw Data'!$H:$H),"")</f>
        <v/>
      </c>
      <c r="AC368" s="162">
        <f>IFERROR(_xlfn.XLOOKUP($D368,'Modelling New'!$D:$D,'Modelling New'!$P:$P),"")</f>
        <v>7.7166057064516123</v>
      </c>
      <c r="AD368" s="156">
        <f>IFERROR(_xlfn.XLOOKUP($D368,'Modelling New'!$D:$D,'Modelling New'!$T:$T)*1000,"")</f>
        <v>67607.798406693953</v>
      </c>
      <c r="AE368" s="163">
        <f>IFERROR(_xlfn.XLOOKUP($D368,'Modelling New'!$D:$D,'Modelling New'!$O:$O),"")</f>
        <v>0.74755452089211905</v>
      </c>
      <c r="AF368" s="163">
        <f>IFERROR(_xlfn.XLOOKUP($D368,'Modelling New'!$D:$D,'Modelling New'!$W:$W),"")</f>
        <v>0.24035764507499272</v>
      </c>
      <c r="AG368" s="163">
        <f>IFERROR(_xlfn.XLOOKUP($D368,'Modelling New'!$D:$D,'Modelling New'!AE:AE),"")</f>
        <v>0.995</v>
      </c>
      <c r="AH368" s="163">
        <f>IFERROR(_xlfn.XLOOKUP($D368,'Modelling New'!$D:$D,'Modelling New'!AF:AF),"")</f>
        <v>0.98550000000000004</v>
      </c>
      <c r="AN368" s="164"/>
      <c r="AO368" s="161"/>
      <c r="AP368" s="161"/>
      <c r="AQ368" s="161"/>
      <c r="AR368" s="156">
        <f>IFERROR(_xlfn.XLOOKUP($D368,'Modelling New'!$D:$D,'Modelling New'!$N:$N),"")</f>
        <v>11.72</v>
      </c>
    </row>
    <row r="369" spans="1:44">
      <c r="A369" s="155">
        <f t="shared" si="24"/>
        <v>46112</v>
      </c>
      <c r="B369" s="156">
        <f>YEAR(Table13[[#This Row],[Date]])+IF(MONTH(Table13[[#This Row],[Date]])&gt;=4,1,0)</f>
        <v>2026</v>
      </c>
      <c r="C369" s="129">
        <f>YEAR(Table13[[#This Row],[Date]])</f>
        <v>2026</v>
      </c>
      <c r="D369" s="157">
        <f>Table13[[#This Row],[Date]]-DAY(Table13[[#This Row],[Date]])+1</f>
        <v>46082</v>
      </c>
      <c r="E369" s="129">
        <f t="shared" si="21"/>
        <v>31</v>
      </c>
      <c r="F369" s="130" t="str">
        <f>IFERROR(_xlfn.XLOOKUP($A369,'Raw Data'!$G:$G,'Raw Data'!$AH:$AH),"")</f>
        <v/>
      </c>
      <c r="G369" s="131" t="str">
        <f>IFERROR(_xlfn.XLOOKUP($A369,'Raw Data'!$G:$G,'Raw Data'!$S:$S)/1000,"")</f>
        <v/>
      </c>
      <c r="H369" s="131"/>
      <c r="I369" s="131" t="str">
        <f>IFERROR(_xlfn.XLOOKUP($A369,'Raw Data'!$G:$G,'Raw Data'!$AF:$AF)/1000,"")</f>
        <v/>
      </c>
      <c r="J369" s="131"/>
      <c r="K369" s="131" t="str">
        <f>IFERROR(_xlfn.XLOOKUP($A369,'Raw Data'!$G:$G,'Raw Data'!W:W),"")</f>
        <v/>
      </c>
      <c r="L369" s="131" t="str">
        <f>IFERROR(_xlfn.XLOOKUP($A369,'Raw Data'!$G:$G,'Raw Data'!X:X),"")</f>
        <v/>
      </c>
      <c r="M369" s="131" t="str">
        <f>IFERROR(_xlfn.XLOOKUP($A369,'Raw Data'!$G:$G,'Raw Data'!Y:Y),"")</f>
        <v/>
      </c>
      <c r="N369" s="131" t="str">
        <f>IFERROR(_xlfn.XLOOKUP($A369,'Raw Data'!$G:$G,'Raw Data'!Z:Z),"")</f>
        <v/>
      </c>
      <c r="O369" s="158" t="str">
        <f>IFERROR(1-SUMIF('Plant BD'!$H:$H,$A369,'Plant BD'!AC:AC)/$F369,"")</f>
        <v/>
      </c>
      <c r="P369" s="158"/>
      <c r="Q369" s="159"/>
      <c r="R369" s="158" t="str">
        <f>IFERROR(1-SUMIF('Grid BD'!$H:$H,$A369,'Grid BD'!AB:AB)/$F369,"")</f>
        <v/>
      </c>
      <c r="T369" s="159" t="str">
        <f>IFERROR(1-SUMIF(Tracker_BD!$H:$H,$A369,Tracker_BD!AI:AI)/$F369,"")</f>
        <v/>
      </c>
      <c r="U369" s="160" t="str">
        <f t="shared" si="22"/>
        <v/>
      </c>
      <c r="V369" s="160"/>
      <c r="W369" s="161" t="str">
        <f t="shared" si="23"/>
        <v/>
      </c>
      <c r="X369" s="156" t="str">
        <f>IFERROR(_xlfn.XLOOKUP($A369,'Raw Data'!$G:$G,'Raw Data'!$AB:$AB),"")</f>
        <v/>
      </c>
      <c r="Y369" s="156" t="str">
        <f>IFERROR(_xlfn.XLOOKUP($A369,'Raw Data'!$G:$G,'Raw Data'!AC:AC),"")</f>
        <v/>
      </c>
      <c r="Z369" s="156" t="str">
        <f>IFERROR(_xlfn.XLOOKUP($A369,'Raw Data'!$G:$G,'Raw Data'!AD:AD),"")</f>
        <v/>
      </c>
      <c r="AA369" s="156" t="str">
        <f>IFERROR(_xlfn.XLOOKUP($A369,'Raw Data'!$G:$G,'Raw Data'!AE:AE),"")</f>
        <v/>
      </c>
      <c r="AB369" s="156" t="str">
        <f>IFERROR(_xlfn.XLOOKUP($A369,'Raw Data'!$G:$G,'Raw Data'!$H:$H),"")</f>
        <v/>
      </c>
      <c r="AC369" s="162">
        <f>IFERROR(_xlfn.XLOOKUP($D369,'Modelling New'!$D:$D,'Modelling New'!$P:$P),"")</f>
        <v>7.7166057064516123</v>
      </c>
      <c r="AD369" s="156">
        <f>IFERROR(_xlfn.XLOOKUP($D369,'Modelling New'!$D:$D,'Modelling New'!$T:$T)*1000,"")</f>
        <v>67607.798406693953</v>
      </c>
      <c r="AE369" s="163">
        <f>IFERROR(_xlfn.XLOOKUP($D369,'Modelling New'!$D:$D,'Modelling New'!$O:$O),"")</f>
        <v>0.74755452089211905</v>
      </c>
      <c r="AF369" s="163">
        <f>IFERROR(_xlfn.XLOOKUP($D369,'Modelling New'!$D:$D,'Modelling New'!$W:$W),"")</f>
        <v>0.24035764507499272</v>
      </c>
      <c r="AG369" s="163">
        <f>IFERROR(_xlfn.XLOOKUP($D369,'Modelling New'!$D:$D,'Modelling New'!AE:AE),"")</f>
        <v>0.995</v>
      </c>
      <c r="AH369" s="163">
        <f>IFERROR(_xlfn.XLOOKUP($D369,'Modelling New'!$D:$D,'Modelling New'!AF:AF),"")</f>
        <v>0.98550000000000004</v>
      </c>
      <c r="AN369" s="164"/>
      <c r="AO369" s="161"/>
      <c r="AP369" s="161"/>
      <c r="AQ369" s="161"/>
      <c r="AR369" s="156">
        <f>IFERROR(_xlfn.XLOOKUP($D369,'Modelling New'!$D:$D,'Modelling New'!$N:$N),"")</f>
        <v>11.72</v>
      </c>
    </row>
  </sheetData>
  <sheetProtection algorithmName="SHA-512" hashValue="HInunWaoirbtrQcwXJZvgcJQGMpJkfxRUanxFHB4N6QlHayutPdMBa8/7PtLXkjl8Sbzuwizkeu1d22nSnSvvA==" saltValue="kT+DmJ8LcsFv48WyBQM3sg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I114"/>
  <sheetViews>
    <sheetView zoomScale="98" zoomScaleNormal="98" workbookViewId="0">
      <pane xSplit="7" ySplit="3" topLeftCell="T102" activePane="bottomRight" state="frozen"/>
      <selection pane="topRight" activeCell="H1" sqref="H1"/>
      <selection pane="bottomLeft" activeCell="A4" sqref="A4"/>
      <selection pane="bottomRight" activeCell="AD114" sqref="AD114"/>
    </sheetView>
  </sheetViews>
  <sheetFormatPr defaultColWidth="9" defaultRowHeight="15"/>
  <cols>
    <col min="1" max="1" width="11.28515625" style="2" customWidth="1"/>
    <col min="2" max="2" width="12.5703125" style="2" customWidth="1"/>
    <col min="3" max="4" width="12.28515625" style="2" customWidth="1"/>
    <col min="5" max="5" width="11.5703125" style="2" customWidth="1"/>
    <col min="6" max="6" width="9" style="2" customWidth="1"/>
    <col min="7" max="7" width="13.7109375" customWidth="1"/>
    <col min="8" max="8" width="9" style="2" customWidth="1"/>
    <col min="9" max="9" width="9.7109375" customWidth="1"/>
    <col min="10" max="10" width="10.7109375" customWidth="1"/>
    <col min="11" max="16" width="9.7109375" style="2" customWidth="1"/>
    <col min="17" max="17" width="12.5703125" style="2" customWidth="1"/>
    <col min="18" max="22" width="9.7109375" style="2" customWidth="1"/>
    <col min="23" max="24" width="10.7109375" style="2" customWidth="1"/>
    <col min="25" max="34" width="9.7109375" style="2" customWidth="1"/>
  </cols>
  <sheetData>
    <row r="2" spans="1:35">
      <c r="H2" s="2">
        <v>2</v>
      </c>
      <c r="I2">
        <f>H2+1</f>
        <v>3</v>
      </c>
      <c r="J2">
        <f t="shared" ref="J2:AG2" si="0">I2+1</f>
        <v>4</v>
      </c>
      <c r="K2">
        <f t="shared" si="0"/>
        <v>5</v>
      </c>
      <c r="L2">
        <f t="shared" si="0"/>
        <v>6</v>
      </c>
      <c r="M2">
        <f t="shared" si="0"/>
        <v>7</v>
      </c>
      <c r="N2">
        <f t="shared" si="0"/>
        <v>8</v>
      </c>
      <c r="O2">
        <f t="shared" si="0"/>
        <v>9</v>
      </c>
      <c r="P2">
        <f t="shared" si="0"/>
        <v>10</v>
      </c>
      <c r="Q2">
        <f t="shared" si="0"/>
        <v>11</v>
      </c>
      <c r="R2">
        <f t="shared" si="0"/>
        <v>12</v>
      </c>
      <c r="S2">
        <f t="shared" si="0"/>
        <v>13</v>
      </c>
      <c r="T2">
        <f t="shared" si="0"/>
        <v>14</v>
      </c>
      <c r="U2">
        <f t="shared" si="0"/>
        <v>15</v>
      </c>
      <c r="V2">
        <f t="shared" si="0"/>
        <v>16</v>
      </c>
      <c r="W2">
        <f t="shared" si="0"/>
        <v>17</v>
      </c>
      <c r="X2">
        <f t="shared" si="0"/>
        <v>18</v>
      </c>
      <c r="Y2">
        <f t="shared" si="0"/>
        <v>19</v>
      </c>
      <c r="Z2">
        <f t="shared" si="0"/>
        <v>20</v>
      </c>
      <c r="AA2">
        <f t="shared" si="0"/>
        <v>21</v>
      </c>
      <c r="AB2">
        <f t="shared" si="0"/>
        <v>22</v>
      </c>
      <c r="AC2">
        <f t="shared" si="0"/>
        <v>23</v>
      </c>
      <c r="AD2">
        <f t="shared" si="0"/>
        <v>24</v>
      </c>
      <c r="AE2">
        <f t="shared" si="0"/>
        <v>25</v>
      </c>
      <c r="AF2">
        <f t="shared" si="0"/>
        <v>26</v>
      </c>
      <c r="AG2">
        <f t="shared" si="0"/>
        <v>27</v>
      </c>
      <c r="AH2">
        <f t="shared" ref="AH2" si="1">AG2+1</f>
        <v>28</v>
      </c>
      <c r="AI2">
        <f t="shared" ref="AI2" si="2">AH2+1</f>
        <v>29</v>
      </c>
    </row>
    <row r="3" spans="1:35" ht="48">
      <c r="A3" s="61" t="s">
        <v>125</v>
      </c>
      <c r="B3" s="61" t="s">
        <v>126</v>
      </c>
      <c r="C3" s="61" t="s">
        <v>127</v>
      </c>
      <c r="D3" s="61" t="s">
        <v>128</v>
      </c>
      <c r="E3" s="61" t="s">
        <v>84</v>
      </c>
      <c r="F3" s="61" t="s">
        <v>63</v>
      </c>
      <c r="G3" s="62" t="s">
        <v>34</v>
      </c>
      <c r="H3" s="62" t="s">
        <v>129</v>
      </c>
      <c r="I3" s="40" t="s">
        <v>130</v>
      </c>
      <c r="J3" s="40" t="s">
        <v>131</v>
      </c>
      <c r="K3" s="40" t="s">
        <v>132</v>
      </c>
      <c r="L3" s="40" t="s">
        <v>133</v>
      </c>
      <c r="M3" s="40" t="s">
        <v>134</v>
      </c>
      <c r="N3" s="40" t="s">
        <v>135</v>
      </c>
      <c r="O3" s="40" t="s">
        <v>136</v>
      </c>
      <c r="P3" s="40" t="s">
        <v>137</v>
      </c>
      <c r="Q3" s="64" t="s">
        <v>138</v>
      </c>
      <c r="R3" s="64" t="s">
        <v>139</v>
      </c>
      <c r="S3" s="64" t="s">
        <v>140</v>
      </c>
      <c r="T3" s="64" t="s">
        <v>141</v>
      </c>
      <c r="U3" s="64" t="s">
        <v>142</v>
      </c>
      <c r="V3" s="64" t="s">
        <v>143</v>
      </c>
      <c r="W3" s="64" t="s">
        <v>144</v>
      </c>
      <c r="X3" s="64" t="s">
        <v>145</v>
      </c>
      <c r="Y3" s="64" t="s">
        <v>146</v>
      </c>
      <c r="Z3" s="64" t="s">
        <v>147</v>
      </c>
      <c r="AA3" s="64" t="s">
        <v>148</v>
      </c>
      <c r="AB3" s="64" t="s">
        <v>149</v>
      </c>
      <c r="AC3" s="64" t="s">
        <v>150</v>
      </c>
      <c r="AD3" s="64" t="s">
        <v>151</v>
      </c>
      <c r="AE3" s="64" t="s">
        <v>152</v>
      </c>
      <c r="AF3" s="64" t="s">
        <v>153</v>
      </c>
      <c r="AG3" s="64" t="s">
        <v>154</v>
      </c>
      <c r="AH3" s="64" t="s">
        <v>85</v>
      </c>
      <c r="AI3" s="64" t="s">
        <v>10</v>
      </c>
    </row>
    <row r="4" spans="1:35">
      <c r="A4" s="156">
        <f>YEAR(Raw_Data[[#This Row],[Date]])+IF(MONTH(Raw_Data[[#This Row],[Date]])&gt;=4,1,0)</f>
        <v>2025</v>
      </c>
      <c r="B4" s="129">
        <f>YEAR(Raw_Data[[#This Row],[Date]])</f>
        <v>2025</v>
      </c>
      <c r="C4" s="2" t="s">
        <v>155</v>
      </c>
      <c r="D4" s="2" t="s">
        <v>155</v>
      </c>
      <c r="E4" s="39">
        <v>45717</v>
      </c>
      <c r="F4" s="2">
        <f>DAY(EOMONTH(Raw_Data[[#This Row],[Month Year]],0))</f>
        <v>31</v>
      </c>
      <c r="G4" s="63">
        <v>45745</v>
      </c>
      <c r="H4" s="2">
        <v>11.72</v>
      </c>
      <c r="I4" s="24">
        <v>0.2590277777777778</v>
      </c>
      <c r="J4" s="24">
        <v>0.76180555555555551</v>
      </c>
      <c r="K4" s="2">
        <v>8514</v>
      </c>
      <c r="L4" s="2">
        <v>8550</v>
      </c>
      <c r="M4" s="2">
        <v>7600</v>
      </c>
      <c r="N4" s="2">
        <v>8095</v>
      </c>
      <c r="O4" s="2">
        <v>8639</v>
      </c>
      <c r="P4" s="2">
        <v>8610</v>
      </c>
      <c r="Q4" s="2">
        <v>127293.966</v>
      </c>
      <c r="R4" s="2">
        <v>549.76480000000004</v>
      </c>
      <c r="S4" s="2">
        <v>0</v>
      </c>
      <c r="T4" s="2">
        <v>6201</v>
      </c>
      <c r="U4" s="2">
        <v>6201</v>
      </c>
      <c r="V4" s="2">
        <v>85</v>
      </c>
      <c r="W4" s="2">
        <v>23</v>
      </c>
      <c r="X4" s="2">
        <v>47</v>
      </c>
      <c r="Y4" s="65">
        <v>3</v>
      </c>
      <c r="Z4" s="65">
        <v>7</v>
      </c>
      <c r="AA4" s="2">
        <v>0</v>
      </c>
      <c r="AB4" s="2">
        <f>SUM(Raw_Data[[#This Row],[IC1_Inv1]:[IC2_Inv2]])</f>
        <v>50008</v>
      </c>
      <c r="AC4" s="2" t="e">
        <f>IF(Raw_Data[[#This Row],[33 kV Outgoinng Export Reading]]-#REF!&gt;0,Raw_Data[[#This Row],[33 kV Outgoinng Export Reading]]-#REF!,0)*1000</f>
        <v>#REF!</v>
      </c>
      <c r="AD4" s="2" t="e">
        <f>IF(Raw_Data[[#This Row],[33 kV Outgoinng Import Reading]]-#REF!&gt;0,Raw_Data[[#This Row],[33 kV Outgoinng Import Reading]]-#REF!,0)*1000</f>
        <v>#REF!</v>
      </c>
      <c r="AE4" s="2" t="e">
        <f>Raw_Data[[#This Row],[Export  (kWh)]]-Raw_Data[[#This Row],[Import (kWh)]]</f>
        <v>#REF!</v>
      </c>
      <c r="AF4" s="2">
        <f>IFERROR(AVERAGE(Raw_Data[[#This Row],[POA1(Wh/m2)]:[POA2(Wh/m2)]]),"")</f>
        <v>6201</v>
      </c>
      <c r="AG4" s="2">
        <f>IFERROR(Raw_Data[[#This Row],[Avg. POA without Exclusion (W/m2)2]]-Raw_Data[[#This Row],[Avg. POA Lost (W/m2)]],"")</f>
        <v>6116</v>
      </c>
      <c r="AH4" s="35">
        <f t="shared" ref="AH4" si="3">IFERROR((J4-I4)*24,"")</f>
        <v>12.066666666666666</v>
      </c>
      <c r="AI4" s="2"/>
    </row>
    <row r="5" spans="1:35">
      <c r="A5" s="156">
        <f>YEAR(Raw_Data[[#This Row],[Date]])+IF(MONTH(Raw_Data[[#This Row],[Date]])&gt;=4,1,0)</f>
        <v>2025</v>
      </c>
      <c r="B5" s="129">
        <f>YEAR(Raw_Data[[#This Row],[Date]])</f>
        <v>2025</v>
      </c>
      <c r="C5" s="2" t="s">
        <v>155</v>
      </c>
      <c r="D5" s="2" t="s">
        <v>155</v>
      </c>
      <c r="E5" s="39">
        <v>45717</v>
      </c>
      <c r="F5" s="2">
        <f>DAY(EOMONTH(Raw_Data[[#This Row],[Month Year]],0))</f>
        <v>31</v>
      </c>
      <c r="G5" s="63">
        <f t="shared" ref="G5:G114" si="4">G4+1</f>
        <v>45746</v>
      </c>
      <c r="H5" s="2">
        <v>11.72</v>
      </c>
      <c r="I5" s="24">
        <v>0.26944444444444443</v>
      </c>
      <c r="J5" s="24">
        <v>0.7583333333333333</v>
      </c>
      <c r="K5" s="2">
        <v>9055</v>
      </c>
      <c r="L5" s="2">
        <v>9136</v>
      </c>
      <c r="M5" s="2">
        <v>8210</v>
      </c>
      <c r="N5" s="2">
        <v>8664</v>
      </c>
      <c r="O5" s="2">
        <v>9336</v>
      </c>
      <c r="P5" s="2">
        <v>9247</v>
      </c>
      <c r="Q5" s="2">
        <v>127347.5989</v>
      </c>
      <c r="R5" s="2">
        <v>549.95950000000005</v>
      </c>
      <c r="S5" s="2">
        <v>0</v>
      </c>
      <c r="T5" s="2">
        <v>6473</v>
      </c>
      <c r="U5" s="2">
        <v>6454</v>
      </c>
      <c r="V5" s="2">
        <v>0</v>
      </c>
      <c r="W5" s="2">
        <v>23</v>
      </c>
      <c r="X5" s="2">
        <v>47</v>
      </c>
      <c r="Y5" s="65">
        <v>3</v>
      </c>
      <c r="Z5" s="65">
        <v>7</v>
      </c>
      <c r="AA5" s="2">
        <v>0</v>
      </c>
      <c r="AB5" s="2">
        <f>SUM(Raw_Data[[#This Row],[IC1_Inv1]:[IC2_Inv2]])</f>
        <v>53648</v>
      </c>
      <c r="AC5" s="2">
        <f>IF(Raw_Data[[#This Row],[33 kV Outgoinng Export Reading]]-Q4&gt;0,Raw_Data[[#This Row],[33 kV Outgoinng Export Reading]]-Q4,0)*1000</f>
        <v>53632.89999999688</v>
      </c>
      <c r="AD5" s="2">
        <f>IF(Raw_Data[[#This Row],[33 kV Outgoinng Import Reading]]-R4&gt;0,Raw_Data[[#This Row],[33 kV Outgoinng Import Reading]]-R4,0)*1000</f>
        <v>194.70000000001164</v>
      </c>
      <c r="AE5" s="2">
        <f>Raw_Data[[#This Row],[Export  (kWh)]]-Raw_Data[[#This Row],[Import (kWh)]]</f>
        <v>53438.199999996868</v>
      </c>
      <c r="AF5" s="2">
        <f>IFERROR(AVERAGE(Raw_Data[[#This Row],[POA1(Wh/m2)]:[POA2(Wh/m2)]]),"")</f>
        <v>6463.5</v>
      </c>
      <c r="AG5" s="2">
        <f>IFERROR(Raw_Data[[#This Row],[Avg. POA without Exclusion (W/m2)2]]-Raw_Data[[#This Row],[Avg. POA Lost (W/m2)]],"")</f>
        <v>6463.5</v>
      </c>
      <c r="AH5" s="35">
        <f t="shared" ref="AH5" si="5">IFERROR((J5-I5)*24,"")</f>
        <v>11.733333333333333</v>
      </c>
      <c r="AI5" s="2"/>
    </row>
    <row r="6" spans="1:35">
      <c r="A6" s="156">
        <f>YEAR(Raw_Data[[#This Row],[Date]])+IF(MONTH(Raw_Data[[#This Row],[Date]])&gt;=4,1,0)</f>
        <v>2025</v>
      </c>
      <c r="B6" s="129">
        <f>YEAR(Raw_Data[[#This Row],[Date]])</f>
        <v>2025</v>
      </c>
      <c r="C6" s="2" t="s">
        <v>155</v>
      </c>
      <c r="D6" s="2" t="s">
        <v>155</v>
      </c>
      <c r="E6" s="39">
        <v>45717</v>
      </c>
      <c r="F6" s="2">
        <f>DAY(EOMONTH(Raw_Data[[#This Row],[Month Year]],0))</f>
        <v>31</v>
      </c>
      <c r="G6" s="63">
        <f t="shared" si="4"/>
        <v>45747</v>
      </c>
      <c r="H6" s="2">
        <v>11.72</v>
      </c>
      <c r="I6" s="24">
        <v>0.27430555555555558</v>
      </c>
      <c r="J6" s="24">
        <v>0.76388888888888884</v>
      </c>
      <c r="K6" s="2">
        <v>9390</v>
      </c>
      <c r="L6" s="2">
        <v>9589</v>
      </c>
      <c r="M6" s="2">
        <v>8520</v>
      </c>
      <c r="N6" s="2">
        <v>8991</v>
      </c>
      <c r="O6" s="2">
        <v>9722</v>
      </c>
      <c r="P6" s="2">
        <v>9648</v>
      </c>
      <c r="Q6" s="2">
        <v>127403.45630000001</v>
      </c>
      <c r="R6" s="2">
        <v>550.17330000000004</v>
      </c>
      <c r="S6" s="2">
        <v>0</v>
      </c>
      <c r="T6" s="2">
        <v>6804</v>
      </c>
      <c r="U6" s="2">
        <v>6714</v>
      </c>
      <c r="V6" s="2">
        <v>0</v>
      </c>
      <c r="W6" s="2">
        <v>23</v>
      </c>
      <c r="X6" s="2">
        <v>45.64</v>
      </c>
      <c r="Y6" s="65">
        <v>7.9</v>
      </c>
      <c r="Z6" s="65">
        <v>10</v>
      </c>
      <c r="AA6" s="2">
        <v>0</v>
      </c>
      <c r="AB6" s="2">
        <f>SUM(Raw_Data[[#This Row],[IC1_Inv1]:[IC2_Inv2]])</f>
        <v>55860</v>
      </c>
      <c r="AC6" s="2">
        <f>IF(Raw_Data[[#This Row],[33 kV Outgoinng Export Reading]]-Q5&gt;0,Raw_Data[[#This Row],[33 kV Outgoinng Export Reading]]-Q5,0)*1000</f>
        <v>55857.400000008056</v>
      </c>
      <c r="AD6" s="2">
        <f>IF(Raw_Data[[#This Row],[33 kV Outgoinng Import Reading]]-R5&gt;0,Raw_Data[[#This Row],[33 kV Outgoinng Import Reading]]-R5,0)*1000</f>
        <v>213.799999999992</v>
      </c>
      <c r="AE6" s="2">
        <f>Raw_Data[[#This Row],[Export  (kWh)]]-Raw_Data[[#This Row],[Import (kWh)]]</f>
        <v>55643.600000008068</v>
      </c>
      <c r="AF6" s="2">
        <f>IFERROR(AVERAGE(Raw_Data[[#This Row],[POA1(Wh/m2)]:[POA2(Wh/m2)]]),"")</f>
        <v>6759</v>
      </c>
      <c r="AG6" s="2">
        <f>IFERROR(Raw_Data[[#This Row],[Avg. POA without Exclusion (W/m2)2]]-Raw_Data[[#This Row],[Avg. POA Lost (W/m2)]],"")</f>
        <v>6759</v>
      </c>
      <c r="AH6" s="35">
        <f t="shared" ref="AH6" si="6">IFERROR((J6-I6)*24,"")</f>
        <v>11.749999999999998</v>
      </c>
      <c r="AI6" s="2"/>
    </row>
    <row r="7" spans="1:35">
      <c r="A7" s="156">
        <f>YEAR(Raw_Data[[#This Row],[Date]])+IF(MONTH(Raw_Data[[#This Row],[Date]])&gt;=4,1,0)</f>
        <v>2026</v>
      </c>
      <c r="B7" s="129">
        <f>YEAR(Raw_Data[[#This Row],[Date]])</f>
        <v>2025</v>
      </c>
      <c r="C7" s="2" t="s">
        <v>155</v>
      </c>
      <c r="D7" s="2" t="s">
        <v>155</v>
      </c>
      <c r="E7" s="39">
        <v>45748</v>
      </c>
      <c r="F7" s="2">
        <f>DAY(EOMONTH(Raw_Data[[#This Row],[Month Year]],0))</f>
        <v>30</v>
      </c>
      <c r="G7" s="63">
        <f t="shared" si="4"/>
        <v>45748</v>
      </c>
      <c r="H7" s="2">
        <v>11.72</v>
      </c>
      <c r="I7" s="24">
        <v>0.26666666666666666</v>
      </c>
      <c r="J7" s="24">
        <v>0.76180555555555551</v>
      </c>
      <c r="K7" s="2">
        <v>8982</v>
      </c>
      <c r="L7" s="2">
        <v>9261</v>
      </c>
      <c r="M7" s="2">
        <v>8262</v>
      </c>
      <c r="N7" s="2">
        <v>8656</v>
      </c>
      <c r="O7" s="2">
        <v>9501</v>
      </c>
      <c r="P7" s="2">
        <v>9272</v>
      </c>
      <c r="Q7" s="2">
        <v>127457.3619</v>
      </c>
      <c r="R7" s="2">
        <v>550.36540000000002</v>
      </c>
      <c r="S7" s="2">
        <v>0</v>
      </c>
      <c r="T7" s="2">
        <v>6522</v>
      </c>
      <c r="U7" s="2">
        <v>6522</v>
      </c>
      <c r="V7" s="2">
        <v>0</v>
      </c>
      <c r="W7" s="2">
        <v>23</v>
      </c>
      <c r="X7" s="2">
        <v>46.3</v>
      </c>
      <c r="Y7" s="46">
        <v>6</v>
      </c>
      <c r="Z7" s="46">
        <v>11</v>
      </c>
      <c r="AA7" s="2">
        <v>0</v>
      </c>
      <c r="AB7" s="2">
        <f>SUM(Raw_Data[[#This Row],[IC1_Inv1]:[IC2_Inv2]])</f>
        <v>53934</v>
      </c>
      <c r="AC7" s="2">
        <f>IF(Raw_Data[[#This Row],[33 kV Outgoinng Export Reading]]-Q6&gt;0,Raw_Data[[#This Row],[33 kV Outgoinng Export Reading]]-Q6,0)*1000</f>
        <v>53905.59999999823</v>
      </c>
      <c r="AD7" s="2">
        <f>IF(Raw_Data[[#This Row],[33 kV Outgoinng Import Reading]]-R6&gt;0,Raw_Data[[#This Row],[33 kV Outgoinng Import Reading]]-R6,0)*1000</f>
        <v>192.09999999998217</v>
      </c>
      <c r="AE7" s="2">
        <f>Raw_Data[[#This Row],[Export  (kWh)]]-Raw_Data[[#This Row],[Import (kWh)]]</f>
        <v>53713.499999998246</v>
      </c>
      <c r="AF7" s="2">
        <f>IFERROR(AVERAGE(Raw_Data[[#This Row],[POA1(Wh/m2)]:[POA2(Wh/m2)]]),"")</f>
        <v>6522</v>
      </c>
      <c r="AG7" s="2">
        <f>IFERROR(Raw_Data[[#This Row],[Avg. POA without Exclusion (W/m2)2]]-Raw_Data[[#This Row],[Avg. POA Lost (W/m2)]],"")</f>
        <v>6522</v>
      </c>
      <c r="AH7" s="35">
        <f t="shared" ref="AH7:AH12" si="7">IFERROR((J7-I7)*24,"")</f>
        <v>11.883333333333333</v>
      </c>
      <c r="AI7" s="2"/>
    </row>
    <row r="8" spans="1:35">
      <c r="A8" s="156">
        <f>YEAR(Raw_Data[[#This Row],[Date]])+IF(MONTH(Raw_Data[[#This Row],[Date]])&gt;=4,1,0)</f>
        <v>2026</v>
      </c>
      <c r="B8" s="129">
        <f>YEAR(Raw_Data[[#This Row],[Date]])</f>
        <v>2025</v>
      </c>
      <c r="C8" s="2" t="s">
        <v>155</v>
      </c>
      <c r="D8" s="2" t="s">
        <v>155</v>
      </c>
      <c r="E8" s="39">
        <v>45748</v>
      </c>
      <c r="F8" s="2">
        <f>DAY(EOMONTH(Raw_Data[[#This Row],[Month Year]],0))</f>
        <v>30</v>
      </c>
      <c r="G8" s="63">
        <f t="shared" si="4"/>
        <v>45749</v>
      </c>
      <c r="H8" s="2">
        <v>11.72</v>
      </c>
      <c r="I8" s="24">
        <v>0.26874999999999999</v>
      </c>
      <c r="J8" s="24">
        <v>0.76249999999999996</v>
      </c>
      <c r="K8" s="2">
        <v>10545</v>
      </c>
      <c r="L8" s="2">
        <v>10967</v>
      </c>
      <c r="M8" s="2">
        <v>9938</v>
      </c>
      <c r="N8" s="2">
        <v>10470</v>
      </c>
      <c r="O8" s="2">
        <v>11401</v>
      </c>
      <c r="P8" s="2">
        <v>11118</v>
      </c>
      <c r="Q8" s="2">
        <v>127521.7659</v>
      </c>
      <c r="R8" s="2">
        <v>550.56820000000005</v>
      </c>
      <c r="S8" s="2">
        <v>0</v>
      </c>
      <c r="T8" s="2">
        <v>7848</v>
      </c>
      <c r="U8" s="2">
        <v>7802</v>
      </c>
      <c r="V8" s="2">
        <v>0</v>
      </c>
      <c r="W8" s="2">
        <v>23</v>
      </c>
      <c r="X8" s="2">
        <v>46.3</v>
      </c>
      <c r="Y8" s="46">
        <v>6</v>
      </c>
      <c r="Z8" s="46">
        <v>11</v>
      </c>
      <c r="AA8" s="2">
        <v>0</v>
      </c>
      <c r="AB8" s="2">
        <f>SUM(Raw_Data[[#This Row],[IC1_Inv1]:[IC2_Inv2]])</f>
        <v>64439</v>
      </c>
      <c r="AC8" s="2">
        <f>IF(Raw_Data[[#This Row],[33 kV Outgoinng Export Reading]]-Q7&gt;0,Raw_Data[[#This Row],[33 kV Outgoinng Export Reading]]-Q7,0)*1000</f>
        <v>64403.999999994994</v>
      </c>
      <c r="AD8" s="2">
        <f>IF(Raw_Data[[#This Row],[33 kV Outgoinng Import Reading]]-R7&gt;0,Raw_Data[[#This Row],[33 kV Outgoinng Import Reading]]-R7,0)*1000</f>
        <v>202.80000000002474</v>
      </c>
      <c r="AE8" s="2">
        <f>Raw_Data[[#This Row],[Export  (kWh)]]-Raw_Data[[#This Row],[Import (kWh)]]</f>
        <v>64201.199999994969</v>
      </c>
      <c r="AF8" s="2">
        <f>IFERROR(AVERAGE(Raw_Data[[#This Row],[POA1(Wh/m2)]:[POA2(Wh/m2)]]),"")</f>
        <v>7825</v>
      </c>
      <c r="AG8" s="2">
        <f>IFERROR(Raw_Data[[#This Row],[Avg. POA without Exclusion (W/m2)2]]-Raw_Data[[#This Row],[Avg. POA Lost (W/m2)]],"")</f>
        <v>7825</v>
      </c>
      <c r="AH8" s="35">
        <f t="shared" si="7"/>
        <v>11.85</v>
      </c>
      <c r="AI8" s="2"/>
    </row>
    <row r="9" spans="1:35">
      <c r="A9" s="156">
        <f>YEAR(Raw_Data[[#This Row],[Date]])+IF(MONTH(Raw_Data[[#This Row],[Date]])&gt;=4,1,0)</f>
        <v>2026</v>
      </c>
      <c r="B9" s="129">
        <f>YEAR(Raw_Data[[#This Row],[Date]])</f>
        <v>2025</v>
      </c>
      <c r="C9" s="2" t="s">
        <v>155</v>
      </c>
      <c r="D9" s="2" t="s">
        <v>155</v>
      </c>
      <c r="E9" s="39">
        <v>45748</v>
      </c>
      <c r="F9" s="2">
        <f>DAY(EOMONTH(Raw_Data[[#This Row],[Month Year]],0))</f>
        <v>30</v>
      </c>
      <c r="G9" s="63">
        <f t="shared" si="4"/>
        <v>45750</v>
      </c>
      <c r="H9" s="2">
        <v>11.72</v>
      </c>
      <c r="I9" s="24">
        <v>0.27638888888888891</v>
      </c>
      <c r="J9" s="24">
        <v>0.76388888888888884</v>
      </c>
      <c r="K9" s="2">
        <v>5999</v>
      </c>
      <c r="L9" s="2">
        <v>6096</v>
      </c>
      <c r="M9" s="2">
        <v>5489</v>
      </c>
      <c r="N9" s="2">
        <v>5687</v>
      </c>
      <c r="O9" s="2">
        <v>6255</v>
      </c>
      <c r="P9" s="2">
        <v>6276</v>
      </c>
      <c r="Q9" s="2">
        <v>127557.5141</v>
      </c>
      <c r="R9" s="2">
        <v>550.76819999999998</v>
      </c>
      <c r="S9" s="2">
        <v>0</v>
      </c>
      <c r="T9" s="2">
        <v>4148</v>
      </c>
      <c r="U9" s="2">
        <v>4120</v>
      </c>
      <c r="V9" s="2">
        <v>0</v>
      </c>
      <c r="W9" s="2">
        <v>23</v>
      </c>
      <c r="X9" s="2">
        <v>35</v>
      </c>
      <c r="Y9" s="46">
        <v>8</v>
      </c>
      <c r="Z9" s="46">
        <v>13</v>
      </c>
      <c r="AA9" s="2">
        <v>0</v>
      </c>
      <c r="AB9" s="2">
        <f>SUM(Raw_Data[[#This Row],[IC1_Inv1]:[IC2_Inv2]])</f>
        <v>35802</v>
      </c>
      <c r="AC9" s="2">
        <f>IF(Raw_Data[[#This Row],[33 kV Outgoinng Export Reading]]-Q8&gt;0,Raw_Data[[#This Row],[33 kV Outgoinng Export Reading]]-Q8,0)*1000</f>
        <v>35748.200000001816</v>
      </c>
      <c r="AD9" s="2">
        <f>IF(Raw_Data[[#This Row],[33 kV Outgoinng Import Reading]]-R8&gt;0,Raw_Data[[#This Row],[33 kV Outgoinng Import Reading]]-R8,0)*1000</f>
        <v>199.99999999993179</v>
      </c>
      <c r="AE9" s="2">
        <f>Raw_Data[[#This Row],[Export  (kWh)]]-Raw_Data[[#This Row],[Import (kWh)]]</f>
        <v>35548.200000001882</v>
      </c>
      <c r="AF9" s="2">
        <f>IFERROR(AVERAGE(Raw_Data[[#This Row],[POA1(Wh/m2)]:[POA2(Wh/m2)]]),"")</f>
        <v>4134</v>
      </c>
      <c r="AG9" s="2">
        <f>IFERROR(Raw_Data[[#This Row],[Avg. POA without Exclusion (W/m2)2]]-Raw_Data[[#This Row],[Avg. POA Lost (W/m2)]],"")</f>
        <v>4134</v>
      </c>
      <c r="AH9" s="35">
        <f t="shared" si="7"/>
        <v>11.7</v>
      </c>
      <c r="AI9" s="2"/>
    </row>
    <row r="10" spans="1:35">
      <c r="A10" s="156">
        <f>YEAR(Raw_Data[[#This Row],[Date]])+IF(MONTH(Raw_Data[[#This Row],[Date]])&gt;=4,1,0)</f>
        <v>2026</v>
      </c>
      <c r="B10" s="129">
        <f>YEAR(Raw_Data[[#This Row],[Date]])</f>
        <v>2025</v>
      </c>
      <c r="C10" s="2" t="s">
        <v>155</v>
      </c>
      <c r="D10" s="2" t="s">
        <v>155</v>
      </c>
      <c r="E10" s="39">
        <v>45748</v>
      </c>
      <c r="F10" s="2">
        <f>DAY(EOMONTH(Raw_Data[[#This Row],[Month Year]],0))</f>
        <v>30</v>
      </c>
      <c r="G10" s="63">
        <f t="shared" si="4"/>
        <v>45751</v>
      </c>
      <c r="H10" s="2">
        <v>11.72</v>
      </c>
      <c r="I10" s="24">
        <v>0.27013888888888887</v>
      </c>
      <c r="J10" s="24">
        <v>0.76458333333333328</v>
      </c>
      <c r="K10" s="2">
        <v>10910</v>
      </c>
      <c r="L10" s="2">
        <v>11202</v>
      </c>
      <c r="M10" s="2">
        <v>10011</v>
      </c>
      <c r="N10" s="2">
        <v>10521</v>
      </c>
      <c r="O10" s="2">
        <v>11635</v>
      </c>
      <c r="P10" s="2">
        <v>11504</v>
      </c>
      <c r="Q10" s="2">
        <v>127623.28019999999</v>
      </c>
      <c r="R10" s="2">
        <v>550.9896</v>
      </c>
      <c r="S10" s="2">
        <v>0</v>
      </c>
      <c r="T10" s="2">
        <v>7974</v>
      </c>
      <c r="U10" s="2">
        <v>7956</v>
      </c>
      <c r="V10" s="2">
        <v>0</v>
      </c>
      <c r="W10" s="2">
        <v>23</v>
      </c>
      <c r="X10" s="2">
        <v>47</v>
      </c>
      <c r="Y10" s="46">
        <v>8</v>
      </c>
      <c r="Z10" s="46">
        <v>15</v>
      </c>
      <c r="AA10" s="2">
        <v>0</v>
      </c>
      <c r="AB10" s="2">
        <f>SUM(Raw_Data[[#This Row],[IC1_Inv1]:[IC2_Inv2]])</f>
        <v>65783</v>
      </c>
      <c r="AC10" s="2">
        <f>IF(Raw_Data[[#This Row],[33 kV Outgoinng Export Reading]]-Q9&gt;0,Raw_Data[[#This Row],[33 kV Outgoinng Export Reading]]-Q9,0)*1000</f>
        <v>65766.099999993457</v>
      </c>
      <c r="AD10" s="2">
        <f>IF(Raw_Data[[#This Row],[33 kV Outgoinng Import Reading]]-R9&gt;0,Raw_Data[[#This Row],[33 kV Outgoinng Import Reading]]-R9,0)*1000</f>
        <v>221.40000000001692</v>
      </c>
      <c r="AE10" s="2">
        <f>Raw_Data[[#This Row],[Export  (kWh)]]-Raw_Data[[#This Row],[Import (kWh)]]</f>
        <v>65544.699999993434</v>
      </c>
      <c r="AF10" s="2">
        <f>IFERROR(AVERAGE(Raw_Data[[#This Row],[POA1(Wh/m2)]:[POA2(Wh/m2)]]),"")</f>
        <v>7965</v>
      </c>
      <c r="AG10" s="2">
        <f>IFERROR(Raw_Data[[#This Row],[Avg. POA without Exclusion (W/m2)2]]-Raw_Data[[#This Row],[Avg. POA Lost (W/m2)]],"")</f>
        <v>7965</v>
      </c>
      <c r="AH10" s="35">
        <f t="shared" si="7"/>
        <v>11.866666666666665</v>
      </c>
      <c r="AI10" s="2"/>
    </row>
    <row r="11" spans="1:35">
      <c r="A11" s="156">
        <f>YEAR(Raw_Data[[#This Row],[Date]])+IF(MONTH(Raw_Data[[#This Row],[Date]])&gt;=4,1,0)</f>
        <v>2026</v>
      </c>
      <c r="B11" s="129">
        <f>YEAR(Raw_Data[[#This Row],[Date]])</f>
        <v>2025</v>
      </c>
      <c r="C11" s="2" t="s">
        <v>155</v>
      </c>
      <c r="D11" s="2" t="s">
        <v>155</v>
      </c>
      <c r="E11" s="39">
        <v>45748</v>
      </c>
      <c r="F11" s="2">
        <f>DAY(EOMONTH(Raw_Data[[#This Row],[Month Year]],0))</f>
        <v>30</v>
      </c>
      <c r="G11" s="63">
        <f t="shared" si="4"/>
        <v>45752</v>
      </c>
      <c r="H11" s="2">
        <v>11.72</v>
      </c>
      <c r="I11" s="24">
        <v>0.26597222222222222</v>
      </c>
      <c r="J11" s="24">
        <v>0.76180555555555551</v>
      </c>
      <c r="K11" s="2">
        <v>9795</v>
      </c>
      <c r="L11" s="2">
        <v>9732</v>
      </c>
      <c r="M11" s="2">
        <v>8715</v>
      </c>
      <c r="N11" s="2">
        <v>9190</v>
      </c>
      <c r="O11" s="2">
        <v>10105</v>
      </c>
      <c r="P11" s="2">
        <v>10073</v>
      </c>
      <c r="Q11" s="2">
        <v>127680.6305</v>
      </c>
      <c r="R11" s="2">
        <v>551.1884</v>
      </c>
      <c r="S11" s="2">
        <v>0</v>
      </c>
      <c r="T11" s="2">
        <v>6891</v>
      </c>
      <c r="U11" s="2">
        <v>6849</v>
      </c>
      <c r="V11" s="2">
        <v>0</v>
      </c>
      <c r="W11" s="2">
        <v>23</v>
      </c>
      <c r="X11" s="2">
        <v>47</v>
      </c>
      <c r="Y11" s="46">
        <v>8</v>
      </c>
      <c r="Z11" s="46">
        <v>15</v>
      </c>
      <c r="AA11" s="2">
        <v>0</v>
      </c>
      <c r="AB11" s="2">
        <f>SUM(Raw_Data[[#This Row],[IC1_Inv1]:[IC2_Inv2]])</f>
        <v>57610</v>
      </c>
      <c r="AC11" s="2">
        <f>IF(Raw_Data[[#This Row],[33 kV Outgoinng Export Reading]]-Q10&gt;0,Raw_Data[[#This Row],[33 kV Outgoinng Export Reading]]-Q10,0)*1000</f>
        <v>57350.300000005518</v>
      </c>
      <c r="AD11" s="2">
        <f>IF(Raw_Data[[#This Row],[33 kV Outgoinng Import Reading]]-R10&gt;0,Raw_Data[[#This Row],[33 kV Outgoinng Import Reading]]-R10,0)*1000</f>
        <v>198.80000000000564</v>
      </c>
      <c r="AE11" s="2">
        <f>Raw_Data[[#This Row],[Export  (kWh)]]-Raw_Data[[#This Row],[Import (kWh)]]</f>
        <v>57151.500000005515</v>
      </c>
      <c r="AF11" s="2">
        <f>IFERROR(AVERAGE(Raw_Data[[#This Row],[POA1(Wh/m2)]:[POA2(Wh/m2)]]),"")</f>
        <v>6870</v>
      </c>
      <c r="AG11" s="2">
        <f>IFERROR(Raw_Data[[#This Row],[Avg. POA without Exclusion (W/m2)2]]-Raw_Data[[#This Row],[Avg. POA Lost (W/m2)]],"")</f>
        <v>6870</v>
      </c>
      <c r="AH11" s="35">
        <f t="shared" si="7"/>
        <v>11.899999999999999</v>
      </c>
      <c r="AI11" s="2"/>
    </row>
    <row r="12" spans="1:35">
      <c r="A12" s="156">
        <f>YEAR(Raw_Data[[#This Row],[Date]])+IF(MONTH(Raw_Data[[#This Row],[Date]])&gt;=4,1,0)</f>
        <v>2026</v>
      </c>
      <c r="B12" s="129">
        <f>YEAR(Raw_Data[[#This Row],[Date]])</f>
        <v>2025</v>
      </c>
      <c r="C12" s="2" t="s">
        <v>155</v>
      </c>
      <c r="D12" s="2" t="s">
        <v>155</v>
      </c>
      <c r="E12" s="39">
        <v>45748</v>
      </c>
      <c r="F12" s="2">
        <f>DAY(EOMONTH(Raw_Data[[#This Row],[Month Year]],0))</f>
        <v>30</v>
      </c>
      <c r="G12" s="63">
        <f t="shared" si="4"/>
        <v>45753</v>
      </c>
      <c r="H12" s="2">
        <v>11.72</v>
      </c>
      <c r="I12" s="24">
        <v>0.27013888888888887</v>
      </c>
      <c r="J12" s="24">
        <v>0.76458333333333328</v>
      </c>
      <c r="K12" s="2">
        <v>10268</v>
      </c>
      <c r="L12" s="2">
        <v>10616</v>
      </c>
      <c r="M12" s="2">
        <v>9296</v>
      </c>
      <c r="N12" s="2">
        <v>9928</v>
      </c>
      <c r="O12" s="2">
        <v>10811</v>
      </c>
      <c r="P12" s="2">
        <v>10779</v>
      </c>
      <c r="Q12" s="2">
        <v>127742.2962</v>
      </c>
      <c r="R12" s="2">
        <v>551.37400000000002</v>
      </c>
      <c r="S12" s="2">
        <v>0</v>
      </c>
      <c r="T12" s="2">
        <v>7489</v>
      </c>
      <c r="U12" s="2">
        <v>7411</v>
      </c>
      <c r="V12" s="2">
        <v>0</v>
      </c>
      <c r="W12" s="2">
        <v>23</v>
      </c>
      <c r="X12" s="2">
        <v>47</v>
      </c>
      <c r="Y12" s="46">
        <v>6</v>
      </c>
      <c r="Z12" s="46">
        <v>11</v>
      </c>
      <c r="AA12" s="2">
        <v>0</v>
      </c>
      <c r="AB12" s="2">
        <f>SUM(Raw_Data[[#This Row],[IC1_Inv1]:[IC2_Inv2]])</f>
        <v>61698</v>
      </c>
      <c r="AC12" s="2">
        <f>IF(Raw_Data[[#This Row],[33 kV Outgoinng Export Reading]]-Q11&gt;0,Raw_Data[[#This Row],[33 kV Outgoinng Export Reading]]-Q11,0)*1000</f>
        <v>61665.699999997742</v>
      </c>
      <c r="AD12" s="2">
        <f>IF(Raw_Data[[#This Row],[33 kV Outgoinng Import Reading]]-R11&gt;0,Raw_Data[[#This Row],[33 kV Outgoinng Import Reading]]-R11,0)*1000</f>
        <v>185.60000000002219</v>
      </c>
      <c r="AE12" s="2">
        <f>Raw_Data[[#This Row],[Export  (kWh)]]-Raw_Data[[#This Row],[Import (kWh)]]</f>
        <v>61480.099999997721</v>
      </c>
      <c r="AF12" s="2">
        <f>IFERROR(AVERAGE(Raw_Data[[#This Row],[POA1(Wh/m2)]:[POA2(Wh/m2)]]),"")</f>
        <v>7450</v>
      </c>
      <c r="AG12" s="2">
        <f>IFERROR(Raw_Data[[#This Row],[Avg. POA without Exclusion (W/m2)2]]-Raw_Data[[#This Row],[Avg. POA Lost (W/m2)]],"")</f>
        <v>7450</v>
      </c>
      <c r="AH12" s="35">
        <f t="shared" si="7"/>
        <v>11.866666666666665</v>
      </c>
      <c r="AI12" s="2"/>
    </row>
    <row r="13" spans="1:35">
      <c r="A13" s="156">
        <f>YEAR(Raw_Data[[#This Row],[Date]])+IF(MONTH(Raw_Data[[#This Row],[Date]])&gt;=4,1,0)</f>
        <v>2026</v>
      </c>
      <c r="B13" s="129">
        <f>YEAR(Raw_Data[[#This Row],[Date]])</f>
        <v>2025</v>
      </c>
      <c r="C13" s="2" t="s">
        <v>155</v>
      </c>
      <c r="D13" s="2" t="s">
        <v>155</v>
      </c>
      <c r="E13" s="39">
        <v>45748</v>
      </c>
      <c r="F13" s="2">
        <f>DAY(EOMONTH(Raw_Data[[#This Row],[Month Year]],0))</f>
        <v>30</v>
      </c>
      <c r="G13" s="63">
        <f t="shared" si="4"/>
        <v>45754</v>
      </c>
      <c r="H13" s="2">
        <v>11.72</v>
      </c>
      <c r="I13" s="24">
        <v>0.2638888888888889</v>
      </c>
      <c r="J13" s="24">
        <v>0.7631944444444444</v>
      </c>
      <c r="K13" s="2">
        <v>9984</v>
      </c>
      <c r="L13" s="2">
        <v>10079</v>
      </c>
      <c r="M13" s="2">
        <v>8999</v>
      </c>
      <c r="N13" s="2">
        <v>9597</v>
      </c>
      <c r="O13" s="2">
        <v>10425</v>
      </c>
      <c r="P13" s="2">
        <v>10461</v>
      </c>
      <c r="Q13" s="2">
        <v>127801.8069</v>
      </c>
      <c r="R13" s="2">
        <v>551.57439999999997</v>
      </c>
      <c r="S13" s="2">
        <v>0</v>
      </c>
      <c r="T13" s="2">
        <v>7329</v>
      </c>
      <c r="U13" s="2">
        <v>7209</v>
      </c>
      <c r="V13" s="2">
        <v>0</v>
      </c>
      <c r="W13" s="2">
        <v>23</v>
      </c>
      <c r="X13" s="2">
        <v>47</v>
      </c>
      <c r="Y13" s="46">
        <v>4.9000000000000004</v>
      </c>
      <c r="Z13" s="46">
        <v>16</v>
      </c>
      <c r="AA13" s="2">
        <v>0</v>
      </c>
      <c r="AB13" s="2">
        <f>SUM(Raw_Data[[#This Row],[IC1_Inv1]:[IC2_Inv2]])</f>
        <v>59545</v>
      </c>
      <c r="AC13" s="2">
        <f>IF(Raw_Data[[#This Row],[33 kV Outgoinng Export Reading]]-Q12&gt;0,Raw_Data[[#This Row],[33 kV Outgoinng Export Reading]]-Q12,0)*1000</f>
        <v>59510.699999998906</v>
      </c>
      <c r="AD13" s="2">
        <f>IF(Raw_Data[[#This Row],[33 kV Outgoinng Import Reading]]-R12&gt;0,Raw_Data[[#This Row],[33 kV Outgoinng Import Reading]]-R12,0)*1000</f>
        <v>200.39999999994507</v>
      </c>
      <c r="AE13" s="2">
        <f>Raw_Data[[#This Row],[Export  (kWh)]]-Raw_Data[[#This Row],[Import (kWh)]]</f>
        <v>59310.299999998962</v>
      </c>
      <c r="AF13" s="2">
        <f>IFERROR(AVERAGE(Raw_Data[[#This Row],[POA1(Wh/m2)]:[POA2(Wh/m2)]]),"")</f>
        <v>7269</v>
      </c>
      <c r="AG13" s="2">
        <f>IFERROR(Raw_Data[[#This Row],[Avg. POA without Exclusion (W/m2)2]]-Raw_Data[[#This Row],[Avg. POA Lost (W/m2)]],"")</f>
        <v>7269</v>
      </c>
      <c r="AH13" s="35">
        <f t="shared" ref="AH13" si="8">IFERROR((J13-I13)*24,"")</f>
        <v>11.983333333333333</v>
      </c>
      <c r="AI13" s="2"/>
    </row>
    <row r="14" spans="1:35">
      <c r="A14" s="156">
        <f>YEAR(Raw_Data[[#This Row],[Date]])+IF(MONTH(Raw_Data[[#This Row],[Date]])&gt;=4,1,0)</f>
        <v>2026</v>
      </c>
      <c r="B14" s="129">
        <f>YEAR(Raw_Data[[#This Row],[Date]])</f>
        <v>2025</v>
      </c>
      <c r="C14" s="2" t="s">
        <v>155</v>
      </c>
      <c r="D14" s="2" t="s">
        <v>155</v>
      </c>
      <c r="E14" s="39">
        <v>45748</v>
      </c>
      <c r="F14" s="2">
        <f>DAY(EOMONTH(Raw_Data[[#This Row],[Month Year]],0))</f>
        <v>30</v>
      </c>
      <c r="G14" s="63">
        <f t="shared" si="4"/>
        <v>45755</v>
      </c>
      <c r="H14" s="2">
        <v>11.72</v>
      </c>
      <c r="I14" s="24">
        <v>0.2638888888888889</v>
      </c>
      <c r="J14" s="24">
        <v>0.76111111111111107</v>
      </c>
      <c r="K14" s="2">
        <v>8819</v>
      </c>
      <c r="L14" s="2">
        <v>8973</v>
      </c>
      <c r="M14" s="2">
        <v>8046</v>
      </c>
      <c r="N14" s="2">
        <v>8590</v>
      </c>
      <c r="O14" s="2">
        <v>9142</v>
      </c>
      <c r="P14" s="2">
        <v>9252</v>
      </c>
      <c r="Q14" s="2">
        <v>127854.5935</v>
      </c>
      <c r="R14" s="2">
        <v>551.74580000000003</v>
      </c>
      <c r="S14" s="2">
        <v>0</v>
      </c>
      <c r="T14" s="2">
        <v>6339</v>
      </c>
      <c r="U14" s="2">
        <v>6255</v>
      </c>
      <c r="V14" s="2">
        <v>0</v>
      </c>
      <c r="W14" s="2">
        <v>23</v>
      </c>
      <c r="X14" s="2">
        <v>44</v>
      </c>
      <c r="Y14" s="46">
        <v>6</v>
      </c>
      <c r="Z14" s="46">
        <v>9</v>
      </c>
      <c r="AA14" s="2">
        <v>0</v>
      </c>
      <c r="AB14" s="2">
        <f>SUM(Raw_Data[[#This Row],[IC1_Inv1]:[IC2_Inv2]])</f>
        <v>52822</v>
      </c>
      <c r="AC14" s="2">
        <f>IF(Raw_Data[[#This Row],[33 kV Outgoinng Export Reading]]-Q13&gt;0,Raw_Data[[#This Row],[33 kV Outgoinng Export Reading]]-Q13,0)*1000</f>
        <v>52786.600000006729</v>
      </c>
      <c r="AD14" s="2">
        <f>IF(Raw_Data[[#This Row],[33 kV Outgoinng Import Reading]]-R13&gt;0,Raw_Data[[#This Row],[33 kV Outgoinng Import Reading]]-R13,0)*1000</f>
        <v>171.40000000006239</v>
      </c>
      <c r="AE14" s="2">
        <f>Raw_Data[[#This Row],[Export  (kWh)]]-Raw_Data[[#This Row],[Import (kWh)]]</f>
        <v>52615.200000006669</v>
      </c>
      <c r="AF14" s="2">
        <f>IFERROR(AVERAGE(Raw_Data[[#This Row],[POA1(Wh/m2)]:[POA2(Wh/m2)]]),"")</f>
        <v>6297</v>
      </c>
      <c r="AG14" s="2">
        <f>IFERROR(Raw_Data[[#This Row],[Avg. POA without Exclusion (W/m2)2]]-Raw_Data[[#This Row],[Avg. POA Lost (W/m2)]],"")</f>
        <v>6297</v>
      </c>
      <c r="AH14" s="35">
        <f t="shared" ref="AH14" si="9">IFERROR((J14-I14)*24,"")</f>
        <v>11.933333333333332</v>
      </c>
      <c r="AI14" s="2"/>
    </row>
    <row r="15" spans="1:35">
      <c r="A15" s="156">
        <f>YEAR(Raw_Data[[#This Row],[Date]])+IF(MONTH(Raw_Data[[#This Row],[Date]])&gt;=4,1,0)</f>
        <v>2026</v>
      </c>
      <c r="B15" s="129">
        <f>YEAR(Raw_Data[[#This Row],[Date]])</f>
        <v>2025</v>
      </c>
      <c r="C15" s="2" t="s">
        <v>155</v>
      </c>
      <c r="D15" s="2" t="s">
        <v>155</v>
      </c>
      <c r="E15" s="39">
        <v>45748</v>
      </c>
      <c r="F15" s="2">
        <f>DAY(EOMONTH(Raw_Data[[#This Row],[Month Year]],0))</f>
        <v>30</v>
      </c>
      <c r="G15" s="63">
        <f t="shared" si="4"/>
        <v>45756</v>
      </c>
      <c r="H15" s="2">
        <v>11.72</v>
      </c>
      <c r="I15" s="24">
        <v>0.26527777777777778</v>
      </c>
      <c r="J15" s="24">
        <v>0.7680555555555556</v>
      </c>
      <c r="K15" s="2">
        <v>8825</v>
      </c>
      <c r="L15" s="2">
        <v>8978</v>
      </c>
      <c r="M15" s="2">
        <v>8139</v>
      </c>
      <c r="N15" s="2">
        <v>8563</v>
      </c>
      <c r="O15" s="2">
        <v>9167</v>
      </c>
      <c r="P15" s="2">
        <v>9111</v>
      </c>
      <c r="Q15" s="2">
        <v>127907.4029</v>
      </c>
      <c r="R15" s="2">
        <v>552.01179999999999</v>
      </c>
      <c r="S15" s="2">
        <v>0</v>
      </c>
      <c r="T15" s="2">
        <v>6485</v>
      </c>
      <c r="U15" s="2">
        <v>6391</v>
      </c>
      <c r="V15" s="2">
        <v>138</v>
      </c>
      <c r="W15" s="2">
        <v>23</v>
      </c>
      <c r="X15" s="2">
        <v>44</v>
      </c>
      <c r="Y15" s="46">
        <v>5</v>
      </c>
      <c r="Z15" s="46">
        <v>9</v>
      </c>
      <c r="AA15" s="2">
        <v>0</v>
      </c>
      <c r="AB15" s="2">
        <f>SUM(Raw_Data[[#This Row],[IC1_Inv1]:[IC2_Inv2]])</f>
        <v>52783</v>
      </c>
      <c r="AC15" s="2">
        <f>IF(Raw_Data[[#This Row],[33 kV Outgoinng Export Reading]]-Q14&gt;0,Raw_Data[[#This Row],[33 kV Outgoinng Export Reading]]-Q14,0)*1000</f>
        <v>52809.399999998277</v>
      </c>
      <c r="AD15" s="2">
        <f>IF(Raw_Data[[#This Row],[33 kV Outgoinng Import Reading]]-R14&gt;0,Raw_Data[[#This Row],[33 kV Outgoinng Import Reading]]-R14,0)*1000</f>
        <v>265.99999999996271</v>
      </c>
      <c r="AE15" s="2">
        <f>Raw_Data[[#This Row],[Export  (kWh)]]-Raw_Data[[#This Row],[Import (kWh)]]</f>
        <v>52543.399999998313</v>
      </c>
      <c r="AF15" s="2">
        <f>IFERROR(AVERAGE(Raw_Data[[#This Row],[POA1(Wh/m2)]:[POA2(Wh/m2)]]),"")</f>
        <v>6438</v>
      </c>
      <c r="AG15" s="2">
        <f>IFERROR(Raw_Data[[#This Row],[Avg. POA without Exclusion (W/m2)2]]-Raw_Data[[#This Row],[Avg. POA Lost (W/m2)]],"")</f>
        <v>6300</v>
      </c>
      <c r="AH15" s="35">
        <f t="shared" ref="AH15" si="10">IFERROR((J15-I15)*24,"")</f>
        <v>12.066666666666666</v>
      </c>
      <c r="AI15" s="2"/>
    </row>
    <row r="16" spans="1:35">
      <c r="A16" s="156">
        <f>YEAR(Raw_Data[[#This Row],[Date]])+IF(MONTH(Raw_Data[[#This Row],[Date]])&gt;=4,1,0)</f>
        <v>2026</v>
      </c>
      <c r="B16" s="129">
        <f>YEAR(Raw_Data[[#This Row],[Date]])</f>
        <v>2025</v>
      </c>
      <c r="C16" s="2" t="s">
        <v>155</v>
      </c>
      <c r="D16" s="2" t="s">
        <v>155</v>
      </c>
      <c r="E16" s="39">
        <v>45748</v>
      </c>
      <c r="F16" s="2">
        <f>DAY(EOMONTH(Raw_Data[[#This Row],[Month Year]],0))</f>
        <v>30</v>
      </c>
      <c r="G16" s="63">
        <f t="shared" si="4"/>
        <v>45757</v>
      </c>
      <c r="H16" s="2">
        <v>11.72</v>
      </c>
      <c r="I16" s="24">
        <v>0.2638888888888889</v>
      </c>
      <c r="J16" s="24">
        <v>0.76041666666666663</v>
      </c>
      <c r="K16" s="2">
        <v>8642</v>
      </c>
      <c r="L16" s="2">
        <v>8802</v>
      </c>
      <c r="M16" s="2">
        <v>7961</v>
      </c>
      <c r="N16" s="2">
        <v>8366</v>
      </c>
      <c r="O16" s="2">
        <v>8966</v>
      </c>
      <c r="P16" s="2">
        <v>9040</v>
      </c>
      <c r="Q16" s="2">
        <v>127959.07399999999</v>
      </c>
      <c r="R16" s="2">
        <v>552.15509999999995</v>
      </c>
      <c r="S16" s="2">
        <v>0</v>
      </c>
      <c r="T16" s="2">
        <v>6319</v>
      </c>
      <c r="U16" s="2">
        <v>6241</v>
      </c>
      <c r="V16" s="2">
        <v>0</v>
      </c>
      <c r="W16" s="2">
        <v>23</v>
      </c>
      <c r="X16" s="2">
        <v>44</v>
      </c>
      <c r="Y16" s="46">
        <v>5</v>
      </c>
      <c r="Z16" s="46">
        <v>9</v>
      </c>
      <c r="AA16" s="2">
        <v>8</v>
      </c>
      <c r="AB16" s="2">
        <f>SUM(Raw_Data[[#This Row],[IC1_Inv1]:[IC2_Inv2]])</f>
        <v>51777</v>
      </c>
      <c r="AC16" s="2">
        <f>IF(Raw_Data[[#This Row],[33 kV Outgoinng Export Reading]]-Q15&gt;0,Raw_Data[[#This Row],[33 kV Outgoinng Export Reading]]-Q15,0)*1000</f>
        <v>51671.099999992293</v>
      </c>
      <c r="AD16" s="2">
        <f>IF(Raw_Data[[#This Row],[33 kV Outgoinng Import Reading]]-R15&gt;0,Raw_Data[[#This Row],[33 kV Outgoinng Import Reading]]-R15,0)*1000</f>
        <v>143.2999999999538</v>
      </c>
      <c r="AE16" s="2">
        <f>Raw_Data[[#This Row],[Export  (kWh)]]-Raw_Data[[#This Row],[Import (kWh)]]</f>
        <v>51527.799999992341</v>
      </c>
      <c r="AF16" s="2">
        <f>IFERROR(AVERAGE(Raw_Data[[#This Row],[POA1(Wh/m2)]:[POA2(Wh/m2)]]),"")</f>
        <v>6280</v>
      </c>
      <c r="AG16" s="2">
        <f>IFERROR(Raw_Data[[#This Row],[Avg. POA without Exclusion (W/m2)2]]-Raw_Data[[#This Row],[Avg. POA Lost (W/m2)]],"")</f>
        <v>6280</v>
      </c>
      <c r="AH16" s="35">
        <f t="shared" ref="AH16" si="11">IFERROR((J16-I16)*24,"")</f>
        <v>11.916666666666666</v>
      </c>
      <c r="AI16" s="2"/>
    </row>
    <row r="17" spans="1:35">
      <c r="A17" s="156">
        <f>YEAR(Raw_Data[[#This Row],[Date]])+IF(MONTH(Raw_Data[[#This Row],[Date]])&gt;=4,1,0)</f>
        <v>2026</v>
      </c>
      <c r="B17" s="129">
        <f>YEAR(Raw_Data[[#This Row],[Date]])</f>
        <v>2025</v>
      </c>
      <c r="C17" s="2" t="s">
        <v>155</v>
      </c>
      <c r="D17" s="2" t="s">
        <v>155</v>
      </c>
      <c r="E17" s="39">
        <v>45748</v>
      </c>
      <c r="F17" s="2">
        <f>DAY(EOMONTH(Raw_Data[[#This Row],[Month Year]],0))</f>
        <v>30</v>
      </c>
      <c r="G17" s="63">
        <f t="shared" si="4"/>
        <v>45758</v>
      </c>
      <c r="H17" s="2">
        <v>11.72</v>
      </c>
      <c r="I17" s="24">
        <v>0.26250000000000001</v>
      </c>
      <c r="J17" s="24">
        <v>0.75555555555555554</v>
      </c>
      <c r="K17" s="2">
        <v>10114</v>
      </c>
      <c r="L17" s="2">
        <v>10308</v>
      </c>
      <c r="M17" s="2">
        <v>9423</v>
      </c>
      <c r="N17" s="2">
        <v>9977</v>
      </c>
      <c r="O17" s="2">
        <v>10898</v>
      </c>
      <c r="P17" s="2">
        <v>10789</v>
      </c>
      <c r="Q17" s="2">
        <v>128020.56110000001</v>
      </c>
      <c r="R17" s="2">
        <v>552.428</v>
      </c>
      <c r="S17" s="2">
        <v>0</v>
      </c>
      <c r="T17" s="2">
        <v>7505</v>
      </c>
      <c r="U17" s="2">
        <v>7472</v>
      </c>
      <c r="V17" s="2">
        <v>154</v>
      </c>
      <c r="W17" s="2">
        <v>23</v>
      </c>
      <c r="X17" s="2">
        <v>44</v>
      </c>
      <c r="Y17" s="46">
        <v>5</v>
      </c>
      <c r="Z17" s="46">
        <v>9</v>
      </c>
      <c r="AA17" s="2">
        <v>0</v>
      </c>
      <c r="AB17" s="2">
        <f>SUM(Raw_Data[[#This Row],[IC1_Inv1]:[IC2_Inv2]])</f>
        <v>61509</v>
      </c>
      <c r="AC17" s="2">
        <f>IF(Raw_Data[[#This Row],[33 kV Outgoinng Export Reading]]-Q16&gt;0,Raw_Data[[#This Row],[33 kV Outgoinng Export Reading]]-Q16,0)*1000</f>
        <v>61487.100000013015</v>
      </c>
      <c r="AD17" s="2">
        <f>IF(Raw_Data[[#This Row],[33 kV Outgoinng Import Reading]]-R16&gt;0,Raw_Data[[#This Row],[33 kV Outgoinng Import Reading]]-R16,0)*1000</f>
        <v>272.90000000004966</v>
      </c>
      <c r="AE17" s="2">
        <f>Raw_Data[[#This Row],[Export  (kWh)]]-Raw_Data[[#This Row],[Import (kWh)]]</f>
        <v>61214.200000012963</v>
      </c>
      <c r="AF17" s="2">
        <f>IFERROR(AVERAGE(Raw_Data[[#This Row],[POA1(Wh/m2)]:[POA2(Wh/m2)]]),"")</f>
        <v>7488.5</v>
      </c>
      <c r="AG17" s="2">
        <f>IFERROR(Raw_Data[[#This Row],[Avg. POA without Exclusion (W/m2)2]]-Raw_Data[[#This Row],[Avg. POA Lost (W/m2)]],"")</f>
        <v>7334.5</v>
      </c>
      <c r="AH17" s="35">
        <f t="shared" ref="AH17" si="12">IFERROR((J17-I17)*24,"")</f>
        <v>11.833333333333332</v>
      </c>
      <c r="AI17" s="2"/>
    </row>
    <row r="18" spans="1:35">
      <c r="A18" s="156">
        <f>YEAR(Raw_Data[[#This Row],[Date]])+IF(MONTH(Raw_Data[[#This Row],[Date]])&gt;=4,1,0)</f>
        <v>2026</v>
      </c>
      <c r="B18" s="129">
        <f>YEAR(Raw_Data[[#This Row],[Date]])</f>
        <v>2025</v>
      </c>
      <c r="C18" s="2" t="s">
        <v>155</v>
      </c>
      <c r="D18" s="2" t="s">
        <v>155</v>
      </c>
      <c r="E18" s="39">
        <v>45748</v>
      </c>
      <c r="F18" s="2">
        <f>DAY(EOMONTH(Raw_Data[[#This Row],[Month Year]],0))</f>
        <v>30</v>
      </c>
      <c r="G18" s="63">
        <f t="shared" si="4"/>
        <v>45759</v>
      </c>
      <c r="H18" s="2">
        <v>11.72</v>
      </c>
      <c r="I18" s="24">
        <v>0.26527777777777778</v>
      </c>
      <c r="J18" s="24">
        <v>0.7631944444444444</v>
      </c>
      <c r="K18" s="2">
        <v>10296</v>
      </c>
      <c r="L18" s="2">
        <v>10494</v>
      </c>
      <c r="M18" s="2">
        <v>9384</v>
      </c>
      <c r="N18" s="2">
        <v>9961</v>
      </c>
      <c r="O18" s="2">
        <v>10794</v>
      </c>
      <c r="P18" s="2">
        <v>10860</v>
      </c>
      <c r="Q18" s="2">
        <v>128082.3386</v>
      </c>
      <c r="R18" s="2">
        <v>552.56809999999996</v>
      </c>
      <c r="S18" s="2">
        <v>0</v>
      </c>
      <c r="T18" s="2">
        <v>7440</v>
      </c>
      <c r="U18" s="2">
        <v>7415</v>
      </c>
      <c r="V18" s="2">
        <v>0</v>
      </c>
      <c r="W18" s="2">
        <v>23</v>
      </c>
      <c r="X18" s="2">
        <v>44</v>
      </c>
      <c r="Y18" s="46">
        <v>8</v>
      </c>
      <c r="Z18" s="46">
        <v>11</v>
      </c>
      <c r="AA18" s="2">
        <v>0</v>
      </c>
      <c r="AB18" s="2">
        <f>SUM(Raw_Data[[#This Row],[IC1_Inv1]:[IC2_Inv2]])</f>
        <v>61789</v>
      </c>
      <c r="AC18" s="2">
        <f>IF(Raw_Data[[#This Row],[33 kV Outgoinng Export Reading]]-Q17&gt;0,Raw_Data[[#This Row],[33 kV Outgoinng Export Reading]]-Q17,0)*1000</f>
        <v>61777.499999996508</v>
      </c>
      <c r="AD18" s="2">
        <f>IF(Raw_Data[[#This Row],[33 kV Outgoinng Import Reading]]-R17&gt;0,Raw_Data[[#This Row],[33 kV Outgoinng Import Reading]]-R17,0)*1000</f>
        <v>140.09999999996126</v>
      </c>
      <c r="AE18" s="2">
        <f>Raw_Data[[#This Row],[Export  (kWh)]]-Raw_Data[[#This Row],[Import (kWh)]]</f>
        <v>61637.399999996545</v>
      </c>
      <c r="AF18" s="2">
        <f>IFERROR(AVERAGE(Raw_Data[[#This Row],[POA1(Wh/m2)]:[POA2(Wh/m2)]]),"")</f>
        <v>7427.5</v>
      </c>
      <c r="AG18" s="2">
        <f>IFERROR(Raw_Data[[#This Row],[Avg. POA without Exclusion (W/m2)2]]-Raw_Data[[#This Row],[Avg. POA Lost (W/m2)]],"")</f>
        <v>7427.5</v>
      </c>
      <c r="AH18" s="35">
        <f t="shared" ref="AH18" si="13">IFERROR((J18-I18)*24,"")</f>
        <v>11.95</v>
      </c>
      <c r="AI18" s="2"/>
    </row>
    <row r="19" spans="1:35">
      <c r="A19" s="156">
        <f>YEAR(Raw_Data[[#This Row],[Date]])+IF(MONTH(Raw_Data[[#This Row],[Date]])&gt;=4,1,0)</f>
        <v>2026</v>
      </c>
      <c r="B19" s="129">
        <f>YEAR(Raw_Data[[#This Row],[Date]])</f>
        <v>2025</v>
      </c>
      <c r="C19" s="2" t="s">
        <v>155</v>
      </c>
      <c r="D19" s="2" t="s">
        <v>155</v>
      </c>
      <c r="E19" s="39">
        <v>45748</v>
      </c>
      <c r="F19" s="2">
        <f>DAY(EOMONTH(Raw_Data[[#This Row],[Month Year]],0))</f>
        <v>30</v>
      </c>
      <c r="G19" s="63">
        <f t="shared" si="4"/>
        <v>45760</v>
      </c>
      <c r="H19" s="2">
        <v>11.72</v>
      </c>
      <c r="I19" s="24">
        <v>0.26111111111111113</v>
      </c>
      <c r="J19" s="24">
        <v>0.76388888888888884</v>
      </c>
      <c r="K19" s="2">
        <v>9772</v>
      </c>
      <c r="L19" s="2">
        <v>10123</v>
      </c>
      <c r="M19" s="2">
        <v>8941</v>
      </c>
      <c r="N19" s="2">
        <v>9477</v>
      </c>
      <c r="O19" s="2">
        <v>10300</v>
      </c>
      <c r="P19" s="2">
        <v>10373</v>
      </c>
      <c r="Q19" s="2">
        <v>128141.29700000001</v>
      </c>
      <c r="R19" s="2">
        <v>552.76020000000005</v>
      </c>
      <c r="S19" s="2">
        <v>0</v>
      </c>
      <c r="T19" s="2">
        <v>7177</v>
      </c>
      <c r="U19" s="2">
        <v>7158</v>
      </c>
      <c r="V19" s="2">
        <v>0</v>
      </c>
      <c r="W19" s="2">
        <v>23</v>
      </c>
      <c r="X19" s="2">
        <v>44</v>
      </c>
      <c r="Y19" s="46">
        <v>8</v>
      </c>
      <c r="Z19" s="46">
        <v>11</v>
      </c>
      <c r="AA19" s="2">
        <v>0</v>
      </c>
      <c r="AB19" s="2">
        <f>SUM(Raw_Data[[#This Row],[IC1_Inv1]:[IC2_Inv2]])</f>
        <v>58986</v>
      </c>
      <c r="AC19" s="2">
        <f>IF(Raw_Data[[#This Row],[33 kV Outgoinng Export Reading]]-Q18&gt;0,Raw_Data[[#This Row],[33 kV Outgoinng Export Reading]]-Q18,0)*1000</f>
        <v>58958.400000003166</v>
      </c>
      <c r="AD19" s="2">
        <f>IF(Raw_Data[[#This Row],[33 kV Outgoinng Import Reading]]-R18&gt;0,Raw_Data[[#This Row],[33 kV Outgoinng Import Reading]]-R18,0)*1000</f>
        <v>192.10000000009586</v>
      </c>
      <c r="AE19" s="2">
        <f>Raw_Data[[#This Row],[Export  (kWh)]]-Raw_Data[[#This Row],[Import (kWh)]]</f>
        <v>58766.300000003073</v>
      </c>
      <c r="AF19" s="2">
        <f>IFERROR(AVERAGE(Raw_Data[[#This Row],[POA1(Wh/m2)]:[POA2(Wh/m2)]]),"")</f>
        <v>7167.5</v>
      </c>
      <c r="AG19" s="2">
        <f>IFERROR(Raw_Data[[#This Row],[Avg. POA without Exclusion (W/m2)2]]-Raw_Data[[#This Row],[Avg. POA Lost (W/m2)]],"")</f>
        <v>7167.5</v>
      </c>
      <c r="AH19" s="35">
        <f t="shared" ref="AH19" si="14">IFERROR((J19-I19)*24,"")</f>
        <v>12.066666666666666</v>
      </c>
      <c r="AI19" s="2"/>
    </row>
    <row r="20" spans="1:35">
      <c r="A20" s="156">
        <f>YEAR(Raw_Data[[#This Row],[Date]])+IF(MONTH(Raw_Data[[#This Row],[Date]])&gt;=4,1,0)</f>
        <v>2026</v>
      </c>
      <c r="B20" s="129">
        <f>YEAR(Raw_Data[[#This Row],[Date]])</f>
        <v>2025</v>
      </c>
      <c r="C20" s="2" t="s">
        <v>155</v>
      </c>
      <c r="D20" s="2" t="s">
        <v>155</v>
      </c>
      <c r="E20" s="39">
        <v>45748</v>
      </c>
      <c r="F20" s="2">
        <f>DAY(EOMONTH(Raw_Data[[#This Row],[Month Year]],0))</f>
        <v>30</v>
      </c>
      <c r="G20" s="63">
        <f t="shared" si="4"/>
        <v>45761</v>
      </c>
      <c r="H20" s="2">
        <v>11.72</v>
      </c>
      <c r="I20" s="24">
        <v>0.26041666666666669</v>
      </c>
      <c r="J20" s="24">
        <v>0.76388888888888884</v>
      </c>
      <c r="K20" s="2">
        <v>10593</v>
      </c>
      <c r="L20" s="2">
        <v>10781</v>
      </c>
      <c r="M20" s="2">
        <v>9579</v>
      </c>
      <c r="N20" s="2">
        <v>10079</v>
      </c>
      <c r="O20" s="2">
        <v>10855</v>
      </c>
      <c r="P20" s="2">
        <v>10963</v>
      </c>
      <c r="Q20" s="2">
        <v>128204.106</v>
      </c>
      <c r="R20" s="2">
        <v>552.97</v>
      </c>
      <c r="S20" s="2">
        <v>0</v>
      </c>
      <c r="T20" s="2">
        <v>7668</v>
      </c>
      <c r="U20" s="2">
        <v>7576</v>
      </c>
      <c r="V20" s="2">
        <v>0</v>
      </c>
      <c r="W20" s="2">
        <v>23</v>
      </c>
      <c r="X20" s="2">
        <v>48.8</v>
      </c>
      <c r="Y20" s="46">
        <v>4.7</v>
      </c>
      <c r="Z20" s="46">
        <v>11</v>
      </c>
      <c r="AA20" s="2">
        <v>0</v>
      </c>
      <c r="AB20" s="2">
        <f>SUM(Raw_Data[[#This Row],[IC1_Inv1]:[IC2_Inv2]])</f>
        <v>62850</v>
      </c>
      <c r="AC20" s="2">
        <f>IF(Raw_Data[[#This Row],[33 kV Outgoinng Export Reading]]-Q19&gt;0,Raw_Data[[#This Row],[33 kV Outgoinng Export Reading]]-Q19,0)*1000</f>
        <v>62808.99999999383</v>
      </c>
      <c r="AD20" s="2">
        <f>IF(Raw_Data[[#This Row],[33 kV Outgoinng Import Reading]]-R19&gt;0,Raw_Data[[#This Row],[33 kV Outgoinng Import Reading]]-R19,0)*1000</f>
        <v>209.7999999999729</v>
      </c>
      <c r="AE20" s="2">
        <f>Raw_Data[[#This Row],[Export  (kWh)]]-Raw_Data[[#This Row],[Import (kWh)]]</f>
        <v>62599.199999993856</v>
      </c>
      <c r="AF20" s="2">
        <f>IFERROR(AVERAGE(Raw_Data[[#This Row],[POA1(Wh/m2)]:[POA2(Wh/m2)]]),"")</f>
        <v>7622</v>
      </c>
      <c r="AG20" s="2">
        <f>IFERROR(Raw_Data[[#This Row],[Avg. POA without Exclusion (W/m2)2]]-Raw_Data[[#This Row],[Avg. POA Lost (W/m2)]],"")</f>
        <v>7622</v>
      </c>
      <c r="AH20" s="35">
        <f t="shared" ref="AH20" si="15">IFERROR((J20-I20)*24,"")</f>
        <v>12.08333333333333</v>
      </c>
      <c r="AI20" s="2"/>
    </row>
    <row r="21" spans="1:35">
      <c r="A21" s="156">
        <f>YEAR(Raw_Data[[#This Row],[Date]])+IF(MONTH(Raw_Data[[#This Row],[Date]])&gt;=4,1,0)</f>
        <v>2026</v>
      </c>
      <c r="B21" s="129">
        <f>YEAR(Raw_Data[[#This Row],[Date]])</f>
        <v>2025</v>
      </c>
      <c r="C21" s="2" t="s">
        <v>155</v>
      </c>
      <c r="D21" s="2" t="s">
        <v>155</v>
      </c>
      <c r="E21" s="39">
        <v>45748</v>
      </c>
      <c r="F21" s="2">
        <f>DAY(EOMONTH(Raw_Data[[#This Row],[Month Year]],0))</f>
        <v>30</v>
      </c>
      <c r="G21" s="63">
        <f t="shared" si="4"/>
        <v>45762</v>
      </c>
      <c r="H21" s="2">
        <v>11.72</v>
      </c>
      <c r="I21" s="24">
        <v>0.2590277777777778</v>
      </c>
      <c r="J21" s="24">
        <v>0.7680555555555556</v>
      </c>
      <c r="K21" s="2">
        <v>10265</v>
      </c>
      <c r="L21" s="2">
        <v>10442</v>
      </c>
      <c r="M21" s="2">
        <v>9257</v>
      </c>
      <c r="N21" s="2">
        <v>9763</v>
      </c>
      <c r="O21" s="2">
        <v>10618</v>
      </c>
      <c r="P21" s="2">
        <v>10714</v>
      </c>
      <c r="Q21" s="2">
        <v>128265.1042</v>
      </c>
      <c r="R21" s="2">
        <v>553.16290000000004</v>
      </c>
      <c r="S21" s="2">
        <v>0</v>
      </c>
      <c r="T21" s="2">
        <v>7536</v>
      </c>
      <c r="U21" s="2">
        <v>7543</v>
      </c>
      <c r="V21" s="2">
        <v>0</v>
      </c>
      <c r="W21" s="2">
        <v>23</v>
      </c>
      <c r="X21" s="2">
        <v>49.6</v>
      </c>
      <c r="Y21" s="46">
        <v>4.7</v>
      </c>
      <c r="Z21" s="46">
        <v>11</v>
      </c>
      <c r="AA21" s="2">
        <v>0</v>
      </c>
      <c r="AB21" s="2">
        <f>SUM(Raw_Data[[#This Row],[IC1_Inv1]:[IC2_Inv2]])</f>
        <v>61059</v>
      </c>
      <c r="AC21" s="2">
        <f>IF(Raw_Data[[#This Row],[33 kV Outgoinng Export Reading]]-Q20&gt;0,Raw_Data[[#This Row],[33 kV Outgoinng Export Reading]]-Q20,0)*1000</f>
        <v>60998.200000001816</v>
      </c>
      <c r="AD21" s="2">
        <f>IF(Raw_Data[[#This Row],[33 kV Outgoinng Import Reading]]-R20&gt;0,Raw_Data[[#This Row],[33 kV Outgoinng Import Reading]]-R20,0)*1000</f>
        <v>192.90000000000873</v>
      </c>
      <c r="AE21" s="2">
        <f>Raw_Data[[#This Row],[Export  (kWh)]]-Raw_Data[[#This Row],[Import (kWh)]]</f>
        <v>60805.300000001807</v>
      </c>
      <c r="AF21" s="2">
        <f>IFERROR(AVERAGE(Raw_Data[[#This Row],[POA1(Wh/m2)]:[POA2(Wh/m2)]]),"")</f>
        <v>7539.5</v>
      </c>
      <c r="AG21" s="2">
        <f>IFERROR(Raw_Data[[#This Row],[Avg. POA without Exclusion (W/m2)2]]-Raw_Data[[#This Row],[Avg. POA Lost (W/m2)]],"")</f>
        <v>7539.5</v>
      </c>
      <c r="AH21" s="35">
        <f t="shared" ref="AH21" si="16">IFERROR((J21-I21)*24,"")</f>
        <v>12.216666666666669</v>
      </c>
      <c r="AI21" s="2"/>
    </row>
    <row r="22" spans="1:35">
      <c r="A22" s="156">
        <f>YEAR(Raw_Data[[#This Row],[Date]])+IF(MONTH(Raw_Data[[#This Row],[Date]])&gt;=4,1,0)</f>
        <v>2026</v>
      </c>
      <c r="B22" s="129">
        <f>YEAR(Raw_Data[[#This Row],[Date]])</f>
        <v>2025</v>
      </c>
      <c r="C22" s="2" t="s">
        <v>155</v>
      </c>
      <c r="D22" s="2" t="s">
        <v>155</v>
      </c>
      <c r="E22" s="39">
        <v>45748</v>
      </c>
      <c r="F22" s="2">
        <f>DAY(EOMONTH(Raw_Data[[#This Row],[Month Year]],0))</f>
        <v>30</v>
      </c>
      <c r="G22" s="63">
        <f t="shared" si="4"/>
        <v>45763</v>
      </c>
      <c r="H22" s="2">
        <v>11.72</v>
      </c>
      <c r="I22" s="24">
        <v>0.26041666666666669</v>
      </c>
      <c r="J22" s="24">
        <v>0.76458333333333328</v>
      </c>
      <c r="K22" s="2">
        <v>8976</v>
      </c>
      <c r="L22" s="2">
        <v>9134</v>
      </c>
      <c r="M22" s="2">
        <v>8180</v>
      </c>
      <c r="N22" s="2">
        <v>8643</v>
      </c>
      <c r="O22" s="2">
        <v>9442</v>
      </c>
      <c r="P22" s="2">
        <v>9354</v>
      </c>
      <c r="Q22" s="2">
        <v>128318.754</v>
      </c>
      <c r="R22" s="2">
        <v>553.34829999999999</v>
      </c>
      <c r="S22" s="2">
        <v>0</v>
      </c>
      <c r="T22" s="2">
        <v>6351</v>
      </c>
      <c r="U22" s="2">
        <v>6400</v>
      </c>
      <c r="V22" s="2">
        <v>0</v>
      </c>
      <c r="W22" s="2">
        <v>23</v>
      </c>
      <c r="X22" s="2">
        <v>48</v>
      </c>
      <c r="Y22" s="46">
        <v>4.7</v>
      </c>
      <c r="Z22" s="46">
        <v>11</v>
      </c>
      <c r="AA22" s="2">
        <v>0</v>
      </c>
      <c r="AB22" s="2">
        <f>SUM(Raw_Data[[#This Row],[IC1_Inv1]:[IC2_Inv2]])</f>
        <v>53729</v>
      </c>
      <c r="AC22" s="2">
        <f>IF(Raw_Data[[#This Row],[33 kV Outgoinng Export Reading]]-Q21&gt;0,Raw_Data[[#This Row],[33 kV Outgoinng Export Reading]]-Q21,0)*1000</f>
        <v>53649.799999999232</v>
      </c>
      <c r="AD22" s="2">
        <f>IF(Raw_Data[[#This Row],[33 kV Outgoinng Import Reading]]-R21&gt;0,Raw_Data[[#This Row],[33 kV Outgoinng Import Reading]]-R21,0)*1000</f>
        <v>185.39999999995871</v>
      </c>
      <c r="AE22" s="2">
        <f>Raw_Data[[#This Row],[Export  (kWh)]]-Raw_Data[[#This Row],[Import (kWh)]]</f>
        <v>53464.399999999274</v>
      </c>
      <c r="AF22" s="2">
        <f>IFERROR(AVERAGE(Raw_Data[[#This Row],[POA1(Wh/m2)]:[POA2(Wh/m2)]]),"")</f>
        <v>6375.5</v>
      </c>
      <c r="AG22" s="2">
        <f>IFERROR(Raw_Data[[#This Row],[Avg. POA without Exclusion (W/m2)2]]-Raw_Data[[#This Row],[Avg. POA Lost (W/m2)]],"")</f>
        <v>6375.5</v>
      </c>
      <c r="AH22" s="35">
        <f t="shared" ref="AH22" si="17">IFERROR((J22-I22)*24,"")</f>
        <v>12.1</v>
      </c>
      <c r="AI22" s="2"/>
    </row>
    <row r="23" spans="1:35">
      <c r="A23" s="156">
        <f>YEAR(Raw_Data[[#This Row],[Date]])+IF(MONTH(Raw_Data[[#This Row],[Date]])&gt;=4,1,0)</f>
        <v>2026</v>
      </c>
      <c r="B23" s="129">
        <f>YEAR(Raw_Data[[#This Row],[Date]])</f>
        <v>2025</v>
      </c>
      <c r="C23" s="2" t="s">
        <v>155</v>
      </c>
      <c r="D23" s="2" t="s">
        <v>155</v>
      </c>
      <c r="E23" s="39">
        <v>45748</v>
      </c>
      <c r="F23" s="2">
        <f>DAY(EOMONTH(Raw_Data[[#This Row],[Month Year]],0))</f>
        <v>30</v>
      </c>
      <c r="G23" s="63">
        <f t="shared" si="4"/>
        <v>45764</v>
      </c>
      <c r="H23" s="2">
        <v>11.72</v>
      </c>
      <c r="I23" s="24">
        <v>0.25833333333333336</v>
      </c>
      <c r="J23" s="24">
        <v>0.76527777777777772</v>
      </c>
      <c r="K23" s="2">
        <v>9880</v>
      </c>
      <c r="L23" s="2">
        <v>10032</v>
      </c>
      <c r="M23" s="2">
        <v>8905</v>
      </c>
      <c r="N23" s="2">
        <v>9439</v>
      </c>
      <c r="O23" s="2">
        <v>10426</v>
      </c>
      <c r="P23" s="2">
        <v>10329</v>
      </c>
      <c r="Q23" s="2">
        <v>128377.70450000001</v>
      </c>
      <c r="R23" s="2">
        <v>553.529</v>
      </c>
      <c r="S23" s="2">
        <v>0</v>
      </c>
      <c r="T23" s="2">
        <v>6973</v>
      </c>
      <c r="U23" s="2">
        <v>6973</v>
      </c>
      <c r="V23" s="2">
        <v>0</v>
      </c>
      <c r="W23" s="2">
        <v>23</v>
      </c>
      <c r="X23" s="2">
        <v>48</v>
      </c>
      <c r="Y23" s="46">
        <v>4.7</v>
      </c>
      <c r="Z23" s="46">
        <v>11</v>
      </c>
      <c r="AA23" s="2">
        <v>0</v>
      </c>
      <c r="AB23" s="2">
        <f>SUM(Raw_Data[[#This Row],[IC1_Inv1]:[IC2_Inv2]])</f>
        <v>59011</v>
      </c>
      <c r="AC23" s="2">
        <f>IF(Raw_Data[[#This Row],[33 kV Outgoinng Export Reading]]-Q22&gt;0,Raw_Data[[#This Row],[33 kV Outgoinng Export Reading]]-Q22,0)*1000</f>
        <v>58950.500000006286</v>
      </c>
      <c r="AD23" s="2">
        <f>IF(Raw_Data[[#This Row],[33 kV Outgoinng Import Reading]]-R22&gt;0,Raw_Data[[#This Row],[33 kV Outgoinng Import Reading]]-R22,0)*1000</f>
        <v>180.70000000000164</v>
      </c>
      <c r="AE23" s="2">
        <f>Raw_Data[[#This Row],[Export  (kWh)]]-Raw_Data[[#This Row],[Import (kWh)]]</f>
        <v>58769.800000006282</v>
      </c>
      <c r="AF23" s="2">
        <f>IFERROR(AVERAGE(Raw_Data[[#This Row],[POA1(Wh/m2)]:[POA2(Wh/m2)]]),"")</f>
        <v>6973</v>
      </c>
      <c r="AG23" s="2">
        <f>IFERROR(Raw_Data[[#This Row],[Avg. POA without Exclusion (W/m2)2]]-Raw_Data[[#This Row],[Avg. POA Lost (W/m2)]],"")</f>
        <v>6973</v>
      </c>
      <c r="AH23" s="35">
        <f t="shared" ref="AH23" si="18">IFERROR((J23-I23)*24,"")</f>
        <v>12.166666666666666</v>
      </c>
      <c r="AI23" s="2"/>
    </row>
    <row r="24" spans="1:35">
      <c r="A24" s="156">
        <f>YEAR(Raw_Data[[#This Row],[Date]])+IF(MONTH(Raw_Data[[#This Row],[Date]])&gt;=4,1,0)</f>
        <v>2026</v>
      </c>
      <c r="B24" s="129">
        <f>YEAR(Raw_Data[[#This Row],[Date]])</f>
        <v>2025</v>
      </c>
      <c r="C24" s="2" t="s">
        <v>155</v>
      </c>
      <c r="D24" s="2" t="s">
        <v>155</v>
      </c>
      <c r="E24" s="39">
        <v>45748</v>
      </c>
      <c r="F24" s="2">
        <f>DAY(EOMONTH(Raw_Data[[#This Row],[Month Year]],0))</f>
        <v>30</v>
      </c>
      <c r="G24" s="63">
        <f t="shared" si="4"/>
        <v>45765</v>
      </c>
      <c r="H24" s="2">
        <v>11.72</v>
      </c>
      <c r="I24" s="24">
        <v>0.26250000000000001</v>
      </c>
      <c r="J24" s="24">
        <v>0.70833333333333337</v>
      </c>
      <c r="K24" s="2">
        <v>6398</v>
      </c>
      <c r="L24" s="2">
        <v>6537</v>
      </c>
      <c r="M24" s="2">
        <v>5828</v>
      </c>
      <c r="N24" s="2">
        <v>6170</v>
      </c>
      <c r="O24" s="2">
        <v>6874</v>
      </c>
      <c r="P24" s="2">
        <v>6777</v>
      </c>
      <c r="Q24" s="2">
        <v>128416.22500000001</v>
      </c>
      <c r="R24" s="2">
        <v>553.72929999999997</v>
      </c>
      <c r="S24" s="2">
        <v>0</v>
      </c>
      <c r="T24" s="2">
        <v>4631</v>
      </c>
      <c r="U24" s="2">
        <v>4578</v>
      </c>
      <c r="V24" s="2">
        <v>0</v>
      </c>
      <c r="W24" s="2">
        <v>23</v>
      </c>
      <c r="X24" s="2">
        <v>39</v>
      </c>
      <c r="Y24" s="46">
        <v>6</v>
      </c>
      <c r="Z24" s="46">
        <v>16</v>
      </c>
      <c r="AA24" s="2">
        <v>0</v>
      </c>
      <c r="AB24" s="2">
        <f>SUM(Raw_Data[[#This Row],[IC1_Inv1]:[IC2_Inv2]])</f>
        <v>38584</v>
      </c>
      <c r="AC24" s="2">
        <f>IF(Raw_Data[[#This Row],[33 kV Outgoinng Export Reading]]-Q23&gt;0,Raw_Data[[#This Row],[33 kV Outgoinng Export Reading]]-Q23,0)*1000</f>
        <v>38520.499999998719</v>
      </c>
      <c r="AD24" s="2">
        <f>IF(Raw_Data[[#This Row],[33 kV Outgoinng Import Reading]]-R23&gt;0,Raw_Data[[#This Row],[33 kV Outgoinng Import Reading]]-R23,0)*1000</f>
        <v>200.29999999997017</v>
      </c>
      <c r="AE24" s="2">
        <f>Raw_Data[[#This Row],[Export  (kWh)]]-Raw_Data[[#This Row],[Import (kWh)]]</f>
        <v>38320.199999998746</v>
      </c>
      <c r="AF24" s="2">
        <f>IFERROR(AVERAGE(Raw_Data[[#This Row],[POA1(Wh/m2)]:[POA2(Wh/m2)]]),"")</f>
        <v>4604.5</v>
      </c>
      <c r="AG24" s="2">
        <f>IFERROR(Raw_Data[[#This Row],[Avg. POA without Exclusion (W/m2)2]]-Raw_Data[[#This Row],[Avg. POA Lost (W/m2)]],"")</f>
        <v>4604.5</v>
      </c>
      <c r="AH24" s="35">
        <f t="shared" ref="AH24" si="19">IFERROR((J24-I24)*24,"")</f>
        <v>10.700000000000001</v>
      </c>
      <c r="AI24" s="2"/>
    </row>
    <row r="25" spans="1:35">
      <c r="A25" s="156">
        <f>YEAR(Raw_Data[[#This Row],[Date]])+IF(MONTH(Raw_Data[[#This Row],[Date]])&gt;=4,1,0)</f>
        <v>2026</v>
      </c>
      <c r="B25" s="129">
        <f>YEAR(Raw_Data[[#This Row],[Date]])</f>
        <v>2025</v>
      </c>
      <c r="C25" s="2" t="s">
        <v>155</v>
      </c>
      <c r="D25" s="2" t="s">
        <v>155</v>
      </c>
      <c r="E25" s="39">
        <v>45748</v>
      </c>
      <c r="F25" s="2">
        <f>DAY(EOMONTH(Raw_Data[[#This Row],[Month Year]],0))</f>
        <v>30</v>
      </c>
      <c r="G25" s="63">
        <f t="shared" si="4"/>
        <v>45766</v>
      </c>
      <c r="H25" s="2">
        <v>11.72</v>
      </c>
      <c r="I25" s="24">
        <v>0.26805555555555555</v>
      </c>
      <c r="J25" s="24">
        <v>0.7729166666666667</v>
      </c>
      <c r="K25" s="2">
        <v>9081</v>
      </c>
      <c r="L25" s="2">
        <v>9266</v>
      </c>
      <c r="M25" s="2">
        <v>8037</v>
      </c>
      <c r="N25" s="2">
        <v>8680</v>
      </c>
      <c r="O25" s="2">
        <v>9572</v>
      </c>
      <c r="P25" s="2">
        <v>9518</v>
      </c>
      <c r="Q25" s="2">
        <v>128470.3043</v>
      </c>
      <c r="R25" s="2">
        <v>553.92269999999996</v>
      </c>
      <c r="S25" s="2">
        <v>0</v>
      </c>
      <c r="T25" s="2">
        <v>6566</v>
      </c>
      <c r="U25" s="2">
        <v>6566</v>
      </c>
      <c r="V25" s="2">
        <v>0</v>
      </c>
      <c r="W25" s="2">
        <v>23</v>
      </c>
      <c r="X25" s="2">
        <v>47</v>
      </c>
      <c r="Y25" s="46">
        <v>7</v>
      </c>
      <c r="Z25" s="46">
        <v>21</v>
      </c>
      <c r="AA25" s="2">
        <v>0</v>
      </c>
      <c r="AB25" s="2">
        <f>SUM(Raw_Data[[#This Row],[IC1_Inv1]:[IC2_Inv2]])</f>
        <v>54154</v>
      </c>
      <c r="AC25" s="2">
        <f>IF(Raw_Data[[#This Row],[33 kV Outgoinng Export Reading]]-Q24&gt;0,Raw_Data[[#This Row],[33 kV Outgoinng Export Reading]]-Q24,0)*1000</f>
        <v>54079.299999997602</v>
      </c>
      <c r="AD25" s="2">
        <f>IF(Raw_Data[[#This Row],[33 kV Outgoinng Import Reading]]-R24&gt;0,Raw_Data[[#This Row],[33 kV Outgoinng Import Reading]]-R24,0)*1000</f>
        <v>193.39999999999691</v>
      </c>
      <c r="AE25" s="2">
        <f>Raw_Data[[#This Row],[Export  (kWh)]]-Raw_Data[[#This Row],[Import (kWh)]]</f>
        <v>53885.899999997608</v>
      </c>
      <c r="AF25" s="2">
        <f>IFERROR(AVERAGE(Raw_Data[[#This Row],[POA1(Wh/m2)]:[POA2(Wh/m2)]]),"")</f>
        <v>6566</v>
      </c>
      <c r="AG25" s="2">
        <f>IFERROR(Raw_Data[[#This Row],[Avg. POA without Exclusion (W/m2)2]]-Raw_Data[[#This Row],[Avg. POA Lost (W/m2)]],"")</f>
        <v>6566</v>
      </c>
      <c r="AH25" s="35">
        <f t="shared" ref="AH25" si="20">IFERROR((J25-I25)*24,"")</f>
        <v>12.116666666666669</v>
      </c>
      <c r="AI25" s="2"/>
    </row>
    <row r="26" spans="1:35">
      <c r="A26" s="156">
        <f>YEAR(Raw_Data[[#This Row],[Date]])+IF(MONTH(Raw_Data[[#This Row],[Date]])&gt;=4,1,0)</f>
        <v>2026</v>
      </c>
      <c r="B26" s="129">
        <f>YEAR(Raw_Data[[#This Row],[Date]])</f>
        <v>2025</v>
      </c>
      <c r="C26" s="2" t="s">
        <v>155</v>
      </c>
      <c r="D26" s="2" t="s">
        <v>155</v>
      </c>
      <c r="E26" s="39">
        <v>45748</v>
      </c>
      <c r="F26" s="2">
        <f>DAY(EOMONTH(Raw_Data[[#This Row],[Month Year]],0))</f>
        <v>30</v>
      </c>
      <c r="G26" s="63">
        <f t="shared" si="4"/>
        <v>45767</v>
      </c>
      <c r="H26" s="2">
        <v>11.72</v>
      </c>
      <c r="I26" s="24">
        <v>0.25833333333333336</v>
      </c>
      <c r="J26" s="24">
        <v>0.76875000000000004</v>
      </c>
      <c r="K26" s="2">
        <v>10575</v>
      </c>
      <c r="L26" s="2">
        <v>10734</v>
      </c>
      <c r="M26" s="2">
        <v>9282</v>
      </c>
      <c r="N26" s="2">
        <v>10224</v>
      </c>
      <c r="O26" s="2">
        <v>11344</v>
      </c>
      <c r="P26" s="2">
        <v>11232</v>
      </c>
      <c r="Q26" s="2">
        <v>128533.6716</v>
      </c>
      <c r="R26" s="2">
        <v>554.10289999999998</v>
      </c>
      <c r="S26" s="2">
        <v>0</v>
      </c>
      <c r="T26" s="2">
        <v>7733</v>
      </c>
      <c r="U26" s="2">
        <v>7733</v>
      </c>
      <c r="V26" s="2">
        <v>0</v>
      </c>
      <c r="W26" s="2">
        <v>23</v>
      </c>
      <c r="X26" s="2">
        <v>47.8</v>
      </c>
      <c r="Y26" s="46">
        <v>6</v>
      </c>
      <c r="Z26" s="46">
        <v>10</v>
      </c>
      <c r="AA26" s="2">
        <v>0</v>
      </c>
      <c r="AB26" s="2">
        <f>SUM(Raw_Data[[#This Row],[IC1_Inv1]:[IC2_Inv2]])</f>
        <v>63391</v>
      </c>
      <c r="AC26" s="2">
        <f>IF(Raw_Data[[#This Row],[33 kV Outgoinng Export Reading]]-Q25&gt;0,Raw_Data[[#This Row],[33 kV Outgoinng Export Reading]]-Q25,0)*1000</f>
        <v>63367.299999998068</v>
      </c>
      <c r="AD26" s="2">
        <f>IF(Raw_Data[[#This Row],[33 kV Outgoinng Import Reading]]-R25&gt;0,Raw_Data[[#This Row],[33 kV Outgoinng Import Reading]]-R25,0)*1000</f>
        <v>180.20000000001346</v>
      </c>
      <c r="AE26" s="2">
        <f>Raw_Data[[#This Row],[Export  (kWh)]]-Raw_Data[[#This Row],[Import (kWh)]]</f>
        <v>63187.099999998056</v>
      </c>
      <c r="AF26" s="2">
        <f>IFERROR(AVERAGE(Raw_Data[[#This Row],[POA1(Wh/m2)]:[POA2(Wh/m2)]]),"")</f>
        <v>7733</v>
      </c>
      <c r="AG26" s="2">
        <f>IFERROR(Raw_Data[[#This Row],[Avg. POA without Exclusion (W/m2)2]]-Raw_Data[[#This Row],[Avg. POA Lost (W/m2)]],"")</f>
        <v>7733</v>
      </c>
      <c r="AH26" s="35">
        <f t="shared" ref="AH26" si="21">IFERROR((J26-I26)*24,"")</f>
        <v>12.250000000000002</v>
      </c>
      <c r="AI26" s="2"/>
    </row>
    <row r="27" spans="1:35">
      <c r="A27" s="156">
        <f>YEAR(Raw_Data[[#This Row],[Date]])+IF(MONTH(Raw_Data[[#This Row],[Date]])&gt;=4,1,0)</f>
        <v>2026</v>
      </c>
      <c r="B27" s="129">
        <f>YEAR(Raw_Data[[#This Row],[Date]])</f>
        <v>2025</v>
      </c>
      <c r="C27" s="2" t="s">
        <v>155</v>
      </c>
      <c r="D27" s="2" t="s">
        <v>155</v>
      </c>
      <c r="E27" s="39">
        <v>45748</v>
      </c>
      <c r="F27" s="2">
        <f>DAY(EOMONTH(Raw_Data[[#This Row],[Month Year]],0))</f>
        <v>30</v>
      </c>
      <c r="G27" s="63">
        <f t="shared" si="4"/>
        <v>45768</v>
      </c>
      <c r="H27" s="2">
        <v>11.72</v>
      </c>
      <c r="I27" s="24">
        <v>0.25555555555555554</v>
      </c>
      <c r="J27" s="24">
        <v>0.75694444444444442</v>
      </c>
      <c r="K27" s="2">
        <v>10217</v>
      </c>
      <c r="L27" s="2">
        <v>10347</v>
      </c>
      <c r="M27" s="2">
        <v>9055</v>
      </c>
      <c r="N27" s="2">
        <v>9872</v>
      </c>
      <c r="O27" s="2">
        <v>10900</v>
      </c>
      <c r="P27" s="2">
        <v>10860</v>
      </c>
      <c r="Q27" s="2">
        <v>128594.9145</v>
      </c>
      <c r="R27" s="2">
        <v>554.28480000000002</v>
      </c>
      <c r="S27" s="2">
        <v>0</v>
      </c>
      <c r="T27" s="2">
        <v>7390</v>
      </c>
      <c r="U27" s="2">
        <v>7390</v>
      </c>
      <c r="V27" s="2">
        <v>0</v>
      </c>
      <c r="W27" s="2">
        <v>23</v>
      </c>
      <c r="X27" s="2">
        <v>47.8</v>
      </c>
      <c r="Y27" s="46">
        <v>6</v>
      </c>
      <c r="Z27" s="46">
        <v>10</v>
      </c>
      <c r="AA27" s="2">
        <v>0</v>
      </c>
      <c r="AB27" s="2">
        <f>SUM(Raw_Data[[#This Row],[IC1_Inv1]:[IC2_Inv2]])</f>
        <v>61251</v>
      </c>
      <c r="AC27" s="2">
        <f>IF(Raw_Data[[#This Row],[33 kV Outgoinng Export Reading]]-Q26&gt;0,Raw_Data[[#This Row],[33 kV Outgoinng Export Reading]]-Q26,0)*1000</f>
        <v>61242.899999997462</v>
      </c>
      <c r="AD27" s="2">
        <f>IF(Raw_Data[[#This Row],[33 kV Outgoinng Import Reading]]-R26&gt;0,Raw_Data[[#This Row],[33 kV Outgoinng Import Reading]]-R26,0)*1000</f>
        <v>181.90000000004147</v>
      </c>
      <c r="AE27" s="2">
        <f>Raw_Data[[#This Row],[Export  (kWh)]]-Raw_Data[[#This Row],[Import (kWh)]]</f>
        <v>61060.999999997424</v>
      </c>
      <c r="AF27" s="2">
        <f>IFERROR(AVERAGE(Raw_Data[[#This Row],[POA1(Wh/m2)]:[POA2(Wh/m2)]]),"")</f>
        <v>7390</v>
      </c>
      <c r="AG27" s="2">
        <f>IFERROR(Raw_Data[[#This Row],[Avg. POA without Exclusion (W/m2)2]]-Raw_Data[[#This Row],[Avg. POA Lost (W/m2)]],"")</f>
        <v>7390</v>
      </c>
      <c r="AH27" s="35">
        <f t="shared" ref="AH27" si="22">IFERROR((J27-I27)*24,"")</f>
        <v>12.033333333333333</v>
      </c>
      <c r="AI27" s="2"/>
    </row>
    <row r="28" spans="1:35">
      <c r="A28" s="156">
        <f>YEAR(Raw_Data[[#This Row],[Date]])+IF(MONTH(Raw_Data[[#This Row],[Date]])&gt;=4,1,0)</f>
        <v>2026</v>
      </c>
      <c r="B28" s="129">
        <f>YEAR(Raw_Data[[#This Row],[Date]])</f>
        <v>2025</v>
      </c>
      <c r="C28" s="2" t="s">
        <v>155</v>
      </c>
      <c r="D28" s="2" t="s">
        <v>155</v>
      </c>
      <c r="E28" s="39">
        <v>45748</v>
      </c>
      <c r="F28" s="2">
        <f>DAY(EOMONTH(Raw_Data[[#This Row],[Month Year]],0))</f>
        <v>30</v>
      </c>
      <c r="G28" s="63">
        <f t="shared" si="4"/>
        <v>45769</v>
      </c>
      <c r="H28" s="2">
        <v>11.72</v>
      </c>
      <c r="I28" s="24">
        <v>0.2638888888888889</v>
      </c>
      <c r="J28" s="24">
        <v>0.7680555555555556</v>
      </c>
      <c r="K28" s="2">
        <v>8225</v>
      </c>
      <c r="L28" s="2">
        <v>8602</v>
      </c>
      <c r="M28" s="2">
        <v>7611</v>
      </c>
      <c r="N28" s="2">
        <v>7945</v>
      </c>
      <c r="O28" s="2">
        <v>8590</v>
      </c>
      <c r="P28" s="2">
        <v>8466</v>
      </c>
      <c r="Q28" s="2">
        <v>128644.34149999999</v>
      </c>
      <c r="R28" s="2">
        <v>554.48030000000006</v>
      </c>
      <c r="S28" s="2">
        <v>0</v>
      </c>
      <c r="T28" s="2">
        <v>6935</v>
      </c>
      <c r="U28" s="2">
        <v>6935</v>
      </c>
      <c r="V28" s="2">
        <v>941</v>
      </c>
      <c r="W28" s="2">
        <v>23</v>
      </c>
      <c r="X28" s="2">
        <v>46</v>
      </c>
      <c r="Y28" s="46">
        <v>5</v>
      </c>
      <c r="Z28" s="46">
        <v>11</v>
      </c>
      <c r="AA28" s="2">
        <v>0</v>
      </c>
      <c r="AB28" s="2">
        <f>SUM(Raw_Data[[#This Row],[IC1_Inv1]:[IC2_Inv2]])</f>
        <v>49439</v>
      </c>
      <c r="AC28" s="2">
        <f>IF(Raw_Data[[#This Row],[33 kV Outgoinng Export Reading]]-Q27&gt;0,Raw_Data[[#This Row],[33 kV Outgoinng Export Reading]]-Q27,0)*1000</f>
        <v>49426.999999996042</v>
      </c>
      <c r="AD28" s="2">
        <f>IF(Raw_Data[[#This Row],[33 kV Outgoinng Import Reading]]-R27&gt;0,Raw_Data[[#This Row],[33 kV Outgoinng Import Reading]]-R27,0)*1000</f>
        <v>195.5000000000382</v>
      </c>
      <c r="AE28" s="2">
        <f>Raw_Data[[#This Row],[Export  (kWh)]]-Raw_Data[[#This Row],[Import (kWh)]]</f>
        <v>49231.499999996005</v>
      </c>
      <c r="AF28" s="2">
        <f>IFERROR(AVERAGE(Raw_Data[[#This Row],[POA1(Wh/m2)]:[POA2(Wh/m2)]]),"")</f>
        <v>6935</v>
      </c>
      <c r="AG28" s="2">
        <f>IFERROR(Raw_Data[[#This Row],[Avg. POA without Exclusion (W/m2)2]]-Raw_Data[[#This Row],[Avg. POA Lost (W/m2)]],"")</f>
        <v>5994</v>
      </c>
      <c r="AH28" s="35">
        <f t="shared" ref="AH28" si="23">IFERROR((J28-I28)*24,"")</f>
        <v>12.1</v>
      </c>
      <c r="AI28" s="2"/>
    </row>
    <row r="29" spans="1:35">
      <c r="A29" s="156">
        <f>YEAR(Raw_Data[[#This Row],[Date]])+IF(MONTH(Raw_Data[[#This Row],[Date]])&gt;=4,1,0)</f>
        <v>2026</v>
      </c>
      <c r="B29" s="129">
        <f>YEAR(Raw_Data[[#This Row],[Date]])</f>
        <v>2025</v>
      </c>
      <c r="C29" s="2" t="s">
        <v>155</v>
      </c>
      <c r="D29" s="2" t="s">
        <v>155</v>
      </c>
      <c r="E29" s="39">
        <v>45748</v>
      </c>
      <c r="F29" s="2">
        <f>DAY(EOMONTH(Raw_Data[[#This Row],[Month Year]],0))</f>
        <v>30</v>
      </c>
      <c r="G29" s="63">
        <f t="shared" si="4"/>
        <v>45770</v>
      </c>
      <c r="H29" s="2">
        <v>11.72</v>
      </c>
      <c r="I29" s="24">
        <v>0.26041666666666669</v>
      </c>
      <c r="J29" s="24">
        <v>0.7631944444444444</v>
      </c>
      <c r="K29" s="2">
        <v>9186</v>
      </c>
      <c r="L29" s="2">
        <v>9198</v>
      </c>
      <c r="M29" s="2">
        <v>8081</v>
      </c>
      <c r="N29" s="2">
        <v>8764</v>
      </c>
      <c r="O29" s="2">
        <v>9711</v>
      </c>
      <c r="P29" s="2">
        <v>9762</v>
      </c>
      <c r="Q29" s="2">
        <v>128698.9719</v>
      </c>
      <c r="R29" s="2">
        <v>554.57339999999999</v>
      </c>
      <c r="S29" s="2">
        <v>0</v>
      </c>
      <c r="T29" s="2">
        <v>6657</v>
      </c>
      <c r="U29" s="2">
        <v>6744</v>
      </c>
      <c r="V29" s="2">
        <v>0</v>
      </c>
      <c r="W29" s="2">
        <v>23</v>
      </c>
      <c r="X29" s="2">
        <v>50</v>
      </c>
      <c r="Y29" s="46">
        <v>6</v>
      </c>
      <c r="Z29" s="46">
        <v>14</v>
      </c>
      <c r="AA29" s="2">
        <v>0</v>
      </c>
      <c r="AB29" s="2">
        <f>SUM(Raw_Data[[#This Row],[IC1_Inv1]:[IC2_Inv2]])</f>
        <v>54702</v>
      </c>
      <c r="AC29" s="2">
        <f>IF(Raw_Data[[#This Row],[33 kV Outgoinng Export Reading]]-Q28&gt;0,Raw_Data[[#This Row],[33 kV Outgoinng Export Reading]]-Q28,0)*1000</f>
        <v>54630.400000009104</v>
      </c>
      <c r="AD29" s="2">
        <f>IF(Raw_Data[[#This Row],[33 kV Outgoinng Import Reading]]-R28&gt;0,Raw_Data[[#This Row],[33 kV Outgoinng Import Reading]]-R28,0)*1000</f>
        <v>93.09999999993579</v>
      </c>
      <c r="AE29" s="2">
        <f>Raw_Data[[#This Row],[Export  (kWh)]]-Raw_Data[[#This Row],[Import (kWh)]]</f>
        <v>54537.300000009171</v>
      </c>
      <c r="AF29" s="2">
        <f>IFERROR(AVERAGE(Raw_Data[[#This Row],[POA1(Wh/m2)]:[POA2(Wh/m2)]]),"")</f>
        <v>6700.5</v>
      </c>
      <c r="AG29" s="2">
        <f>IFERROR(Raw_Data[[#This Row],[Avg. POA without Exclusion (W/m2)2]]-Raw_Data[[#This Row],[Avg. POA Lost (W/m2)]],"")</f>
        <v>6700.5</v>
      </c>
      <c r="AH29" s="35">
        <f t="shared" ref="AH29" si="24">IFERROR((J29-I29)*24,"")</f>
        <v>12.066666666666666</v>
      </c>
      <c r="AI29" s="2"/>
    </row>
    <row r="30" spans="1:35">
      <c r="A30" s="156">
        <f>YEAR(Raw_Data[[#This Row],[Date]])+IF(MONTH(Raw_Data[[#This Row],[Date]])&gt;=4,1,0)</f>
        <v>2026</v>
      </c>
      <c r="B30" s="129">
        <f>YEAR(Raw_Data[[#This Row],[Date]])</f>
        <v>2025</v>
      </c>
      <c r="C30" s="2" t="s">
        <v>155</v>
      </c>
      <c r="D30" s="2" t="s">
        <v>155</v>
      </c>
      <c r="E30" s="39">
        <v>45748</v>
      </c>
      <c r="F30" s="2">
        <f>DAY(EOMONTH(Raw_Data[[#This Row],[Month Year]],0))</f>
        <v>30</v>
      </c>
      <c r="G30" s="63">
        <f t="shared" si="4"/>
        <v>45771</v>
      </c>
      <c r="H30" s="2">
        <v>11.72</v>
      </c>
      <c r="I30" s="24">
        <v>0.26111111111111113</v>
      </c>
      <c r="J30" s="24">
        <v>0.76041666666666663</v>
      </c>
      <c r="K30" s="2">
        <v>9060</v>
      </c>
      <c r="L30" s="2">
        <v>9448</v>
      </c>
      <c r="M30" s="2">
        <v>8069</v>
      </c>
      <c r="N30" s="2">
        <v>8718</v>
      </c>
      <c r="O30" s="2">
        <v>9569</v>
      </c>
      <c r="P30" s="2">
        <v>9573</v>
      </c>
      <c r="Q30" s="2">
        <v>128753.3916</v>
      </c>
      <c r="R30" s="2">
        <v>554.85019999999997</v>
      </c>
      <c r="S30" s="2">
        <v>0</v>
      </c>
      <c r="T30" s="2">
        <v>6654</v>
      </c>
      <c r="U30" s="2">
        <v>6390</v>
      </c>
      <c r="V30" s="2">
        <v>50</v>
      </c>
      <c r="W30" s="2">
        <v>23</v>
      </c>
      <c r="X30" s="2">
        <v>48</v>
      </c>
      <c r="Y30" s="46">
        <v>6</v>
      </c>
      <c r="Z30" s="46">
        <v>14</v>
      </c>
      <c r="AA30" s="2">
        <v>0</v>
      </c>
      <c r="AB30" s="2">
        <f>SUM(Raw_Data[[#This Row],[IC1_Inv1]:[IC2_Inv2]])</f>
        <v>54437</v>
      </c>
      <c r="AC30" s="2">
        <f>IF(Raw_Data[[#This Row],[33 kV Outgoinng Export Reading]]-Q29&gt;0,Raw_Data[[#This Row],[33 kV Outgoinng Export Reading]]-Q29,0)*1000</f>
        <v>54419.699999998556</v>
      </c>
      <c r="AD30" s="2">
        <f>IF(Raw_Data[[#This Row],[33 kV Outgoinng Import Reading]]-R29&gt;0,Raw_Data[[#This Row],[33 kV Outgoinng Import Reading]]-R29,0)*1000</f>
        <v>276.79999999998017</v>
      </c>
      <c r="AE30" s="2">
        <f>Raw_Data[[#This Row],[Export  (kWh)]]-Raw_Data[[#This Row],[Import (kWh)]]</f>
        <v>54142.899999998575</v>
      </c>
      <c r="AF30" s="2">
        <f>IFERROR(AVERAGE(Raw_Data[[#This Row],[POA1(Wh/m2)]:[POA2(Wh/m2)]]),"")</f>
        <v>6522</v>
      </c>
      <c r="AG30" s="2">
        <f>IFERROR(Raw_Data[[#This Row],[Avg. POA without Exclusion (W/m2)2]]-Raw_Data[[#This Row],[Avg. POA Lost (W/m2)]],"")</f>
        <v>6472</v>
      </c>
      <c r="AH30" s="35">
        <f t="shared" ref="AH30" si="25">IFERROR((J30-I30)*24,"")</f>
        <v>11.983333333333333</v>
      </c>
      <c r="AI30" s="2"/>
    </row>
    <row r="31" spans="1:35">
      <c r="A31" s="156">
        <f>YEAR(Raw_Data[[#This Row],[Date]])+IF(MONTH(Raw_Data[[#This Row],[Date]])&gt;=4,1,0)</f>
        <v>2026</v>
      </c>
      <c r="B31" s="129">
        <f>YEAR(Raw_Data[[#This Row],[Date]])</f>
        <v>2025</v>
      </c>
      <c r="C31" s="2" t="s">
        <v>155</v>
      </c>
      <c r="D31" s="2" t="s">
        <v>155</v>
      </c>
      <c r="E31" s="39">
        <v>45748</v>
      </c>
      <c r="F31" s="2">
        <f>DAY(EOMONTH(Raw_Data[[#This Row],[Month Year]],0))</f>
        <v>30</v>
      </c>
      <c r="G31" s="63">
        <f t="shared" si="4"/>
        <v>45772</v>
      </c>
      <c r="H31" s="2">
        <v>11.72</v>
      </c>
      <c r="I31" s="24">
        <v>0.25555555555555554</v>
      </c>
      <c r="J31" s="24">
        <v>0.72083333333333333</v>
      </c>
      <c r="K31" s="2">
        <v>7852</v>
      </c>
      <c r="L31" s="2">
        <v>8144</v>
      </c>
      <c r="M31" s="2">
        <v>6953</v>
      </c>
      <c r="N31" s="2">
        <v>7559</v>
      </c>
      <c r="O31" s="2">
        <v>8367</v>
      </c>
      <c r="P31" s="2">
        <v>8307</v>
      </c>
      <c r="Q31" s="2">
        <v>128800.5212</v>
      </c>
      <c r="R31" s="2">
        <v>555.03380000000004</v>
      </c>
      <c r="S31" s="2">
        <v>0</v>
      </c>
      <c r="T31" s="2">
        <v>5754</v>
      </c>
      <c r="U31" s="2">
        <v>5754</v>
      </c>
      <c r="V31" s="2">
        <v>35</v>
      </c>
      <c r="W31" s="2">
        <v>23</v>
      </c>
      <c r="X31" s="2">
        <v>51</v>
      </c>
      <c r="Y31" s="46">
        <v>7.9</v>
      </c>
      <c r="Z31" s="46">
        <v>22</v>
      </c>
      <c r="AA31" s="2">
        <v>0</v>
      </c>
      <c r="AB31" s="2">
        <f>SUM(Raw_Data[[#This Row],[IC1_Inv1]:[IC2_Inv2]])</f>
        <v>47182</v>
      </c>
      <c r="AC31" s="2">
        <f>IF(Raw_Data[[#This Row],[33 kV Outgoinng Export Reading]]-Q30&gt;0,Raw_Data[[#This Row],[33 kV Outgoinng Export Reading]]-Q30,0)*1000</f>
        <v>47129.60000000021</v>
      </c>
      <c r="AD31" s="2">
        <f>IF(Raw_Data[[#This Row],[33 kV Outgoinng Import Reading]]-R30&gt;0,Raw_Data[[#This Row],[33 kV Outgoinng Import Reading]]-R30,0)*1000</f>
        <v>183.60000000006949</v>
      </c>
      <c r="AE31" s="2">
        <f>Raw_Data[[#This Row],[Export  (kWh)]]-Raw_Data[[#This Row],[Import (kWh)]]</f>
        <v>46946.000000000138</v>
      </c>
      <c r="AF31" s="2">
        <f>IFERROR(AVERAGE(Raw_Data[[#This Row],[POA1(Wh/m2)]:[POA2(Wh/m2)]]),"")</f>
        <v>5754</v>
      </c>
      <c r="AG31" s="2">
        <f>IFERROR(Raw_Data[[#This Row],[Avg. POA without Exclusion (W/m2)2]]-Raw_Data[[#This Row],[Avg. POA Lost (W/m2)]],"")</f>
        <v>5719</v>
      </c>
      <c r="AH31" s="35">
        <f t="shared" ref="AH31" si="26">IFERROR((J31-I31)*24,"")</f>
        <v>11.166666666666668</v>
      </c>
      <c r="AI31" s="2"/>
    </row>
    <row r="32" spans="1:35">
      <c r="A32" s="156">
        <f>YEAR(Raw_Data[[#This Row],[Date]])+IF(MONTH(Raw_Data[[#This Row],[Date]])&gt;=4,1,0)</f>
        <v>2026</v>
      </c>
      <c r="B32" s="129">
        <f>YEAR(Raw_Data[[#This Row],[Date]])</f>
        <v>2025</v>
      </c>
      <c r="C32" s="2" t="s">
        <v>155</v>
      </c>
      <c r="D32" s="2" t="s">
        <v>155</v>
      </c>
      <c r="E32" s="39">
        <v>45748</v>
      </c>
      <c r="F32" s="2">
        <f>DAY(EOMONTH(Raw_Data[[#This Row],[Month Year]],0))</f>
        <v>30</v>
      </c>
      <c r="G32" s="63">
        <f t="shared" si="4"/>
        <v>45773</v>
      </c>
      <c r="H32" s="2">
        <v>11.72</v>
      </c>
      <c r="I32" s="24">
        <v>0.25347222222222221</v>
      </c>
      <c r="J32" s="24">
        <v>0.76736111111111116</v>
      </c>
      <c r="K32" s="2">
        <v>9772</v>
      </c>
      <c r="L32" s="2">
        <v>9884</v>
      </c>
      <c r="M32" s="2">
        <v>8388</v>
      </c>
      <c r="N32" s="2">
        <v>9430</v>
      </c>
      <c r="O32" s="2">
        <v>10193</v>
      </c>
      <c r="P32" s="2">
        <v>10363</v>
      </c>
      <c r="Q32" s="2">
        <v>128858.52370000001</v>
      </c>
      <c r="R32" s="2">
        <v>555.23130000000003</v>
      </c>
      <c r="S32" s="2">
        <v>0</v>
      </c>
      <c r="T32" s="2">
        <v>7150</v>
      </c>
      <c r="U32" s="2">
        <v>7236</v>
      </c>
      <c r="V32" s="2">
        <v>0</v>
      </c>
      <c r="W32" s="2">
        <v>24</v>
      </c>
      <c r="X32" s="2">
        <v>47</v>
      </c>
      <c r="Y32" s="46">
        <v>1.7</v>
      </c>
      <c r="Z32" s="46">
        <v>7</v>
      </c>
      <c r="AA32" s="2">
        <v>5</v>
      </c>
      <c r="AB32" s="2">
        <f>SUM(Raw_Data[[#This Row],[IC1_Inv1]:[IC2_Inv2]])</f>
        <v>58030</v>
      </c>
      <c r="AC32" s="2">
        <f>IF(Raw_Data[[#This Row],[33 kV Outgoinng Export Reading]]-Q31&gt;0,Raw_Data[[#This Row],[33 kV Outgoinng Export Reading]]-Q31,0)*1000</f>
        <v>58002.500000002328</v>
      </c>
      <c r="AD32" s="2">
        <f>IF(Raw_Data[[#This Row],[33 kV Outgoinng Import Reading]]-R31&gt;0,Raw_Data[[#This Row],[33 kV Outgoinng Import Reading]]-R31,0)*1000</f>
        <v>197.49999999999091</v>
      </c>
      <c r="AE32" s="2">
        <f>Raw_Data[[#This Row],[Export  (kWh)]]-Raw_Data[[#This Row],[Import (kWh)]]</f>
        <v>57805.000000002336</v>
      </c>
      <c r="AF32" s="2">
        <f>IFERROR(AVERAGE(Raw_Data[[#This Row],[POA1(Wh/m2)]:[POA2(Wh/m2)]]),"")</f>
        <v>7193</v>
      </c>
      <c r="AG32" s="2">
        <f>IFERROR(Raw_Data[[#This Row],[Avg. POA without Exclusion (W/m2)2]]-Raw_Data[[#This Row],[Avg. POA Lost (W/m2)]],"")</f>
        <v>7193</v>
      </c>
      <c r="AH32" s="35">
        <f t="shared" ref="AH32" si="27">IFERROR((J32-I32)*24,"")</f>
        <v>12.333333333333336</v>
      </c>
      <c r="AI32" s="2"/>
    </row>
    <row r="33" spans="1:35">
      <c r="A33" s="156">
        <f>YEAR(Raw_Data[[#This Row],[Date]])+IF(MONTH(Raw_Data[[#This Row],[Date]])&gt;=4,1,0)</f>
        <v>2026</v>
      </c>
      <c r="B33" s="129">
        <f>YEAR(Raw_Data[[#This Row],[Date]])</f>
        <v>2025</v>
      </c>
      <c r="C33" s="2" t="s">
        <v>155</v>
      </c>
      <c r="D33" s="2" t="s">
        <v>155</v>
      </c>
      <c r="E33" s="39">
        <v>45748</v>
      </c>
      <c r="F33" s="2">
        <f>DAY(EOMONTH(Raw_Data[[#This Row],[Month Year]],0))</f>
        <v>30</v>
      </c>
      <c r="G33" s="63">
        <f t="shared" si="4"/>
        <v>45774</v>
      </c>
      <c r="H33" s="2">
        <v>11.72</v>
      </c>
      <c r="I33" s="24">
        <v>0.27083333333333331</v>
      </c>
      <c r="J33" s="24">
        <v>0.72916666666666663</v>
      </c>
      <c r="K33" s="2">
        <v>7027</v>
      </c>
      <c r="L33" s="2">
        <v>6909</v>
      </c>
      <c r="M33" s="2">
        <v>6065</v>
      </c>
      <c r="N33" s="2">
        <v>6629</v>
      </c>
      <c r="O33" s="2">
        <v>7333</v>
      </c>
      <c r="P33" s="2">
        <v>7348</v>
      </c>
      <c r="Q33" s="2">
        <v>128899.7597</v>
      </c>
      <c r="R33" s="2">
        <v>555.42750000000001</v>
      </c>
      <c r="S33" s="2">
        <v>0</v>
      </c>
      <c r="T33" s="2">
        <v>4748</v>
      </c>
      <c r="U33" s="2">
        <v>4824</v>
      </c>
      <c r="V33" s="2">
        <v>0</v>
      </c>
      <c r="W33" s="2">
        <v>23</v>
      </c>
      <c r="X33" s="2">
        <v>42</v>
      </c>
      <c r="Y33" s="46">
        <v>1.7</v>
      </c>
      <c r="Z33" s="46">
        <v>7</v>
      </c>
      <c r="AA33" s="2">
        <v>5</v>
      </c>
      <c r="AB33" s="2">
        <f>SUM(Raw_Data[[#This Row],[IC1_Inv1]:[IC2_Inv2]])</f>
        <v>41311</v>
      </c>
      <c r="AC33" s="2">
        <f>IF(Raw_Data[[#This Row],[33 kV Outgoinng Export Reading]]-Q32&gt;0,Raw_Data[[#This Row],[33 kV Outgoinng Export Reading]]-Q32,0)*1000</f>
        <v>41235.999999989872</v>
      </c>
      <c r="AD33" s="2">
        <f>IF(Raw_Data[[#This Row],[33 kV Outgoinng Import Reading]]-R32&gt;0,Raw_Data[[#This Row],[33 kV Outgoinng Import Reading]]-R32,0)*1000</f>
        <v>196.19999999997617</v>
      </c>
      <c r="AE33" s="2">
        <f>Raw_Data[[#This Row],[Export  (kWh)]]-Raw_Data[[#This Row],[Import (kWh)]]</f>
        <v>41039.799999989897</v>
      </c>
      <c r="AF33" s="2">
        <f>IFERROR(AVERAGE(Raw_Data[[#This Row],[POA1(Wh/m2)]:[POA2(Wh/m2)]]),"")</f>
        <v>4786</v>
      </c>
      <c r="AG33" s="2">
        <f>IFERROR(Raw_Data[[#This Row],[Avg. POA without Exclusion (W/m2)2]]-Raw_Data[[#This Row],[Avg. POA Lost (W/m2)]],"")</f>
        <v>4786</v>
      </c>
      <c r="AH33" s="35">
        <f t="shared" ref="AH33" si="28">IFERROR((J33-I33)*24,"")</f>
        <v>11</v>
      </c>
      <c r="AI33" s="2"/>
    </row>
    <row r="34" spans="1:35">
      <c r="A34" s="156">
        <f>YEAR(Raw_Data[[#This Row],[Date]])+IF(MONTH(Raw_Data[[#This Row],[Date]])&gt;=4,1,0)</f>
        <v>2026</v>
      </c>
      <c r="B34" s="129">
        <f>YEAR(Raw_Data[[#This Row],[Date]])</f>
        <v>2025</v>
      </c>
      <c r="C34" s="2" t="s">
        <v>155</v>
      </c>
      <c r="D34" s="2" t="s">
        <v>155</v>
      </c>
      <c r="E34" s="39">
        <v>45748</v>
      </c>
      <c r="F34" s="2">
        <f>DAY(EOMONTH(Raw_Data[[#This Row],[Month Year]],0))</f>
        <v>30</v>
      </c>
      <c r="G34" s="63">
        <f t="shared" si="4"/>
        <v>45775</v>
      </c>
      <c r="H34" s="2">
        <v>11.72</v>
      </c>
      <c r="I34" s="24">
        <v>0.25208333333333333</v>
      </c>
      <c r="J34" s="24">
        <v>0.76527777777777772</v>
      </c>
      <c r="K34" s="2">
        <v>10194</v>
      </c>
      <c r="L34" s="2">
        <v>10352</v>
      </c>
      <c r="M34" s="2">
        <v>8736</v>
      </c>
      <c r="N34" s="2">
        <v>9904</v>
      </c>
      <c r="O34" s="2">
        <v>10716</v>
      </c>
      <c r="P34" s="2">
        <v>10815</v>
      </c>
      <c r="Q34" s="2">
        <v>128960.4506</v>
      </c>
      <c r="R34" s="2">
        <v>555.62260000000003</v>
      </c>
      <c r="S34" s="2">
        <v>0</v>
      </c>
      <c r="T34" s="2">
        <v>7477</v>
      </c>
      <c r="U34" s="2">
        <v>7444</v>
      </c>
      <c r="V34" s="2">
        <v>22</v>
      </c>
      <c r="W34" s="2">
        <v>24</v>
      </c>
      <c r="X34" s="2">
        <v>48</v>
      </c>
      <c r="Y34" s="46">
        <v>1.7</v>
      </c>
      <c r="Z34" s="46">
        <v>7</v>
      </c>
      <c r="AA34" s="2">
        <v>5</v>
      </c>
      <c r="AB34" s="2">
        <f>SUM(Raw_Data[[#This Row],[IC1_Inv1]:[IC2_Inv2]])</f>
        <v>60717</v>
      </c>
      <c r="AC34" s="2">
        <f>IF(Raw_Data[[#This Row],[33 kV Outgoinng Export Reading]]-Q33&gt;0,Raw_Data[[#This Row],[33 kV Outgoinng Export Reading]]-Q33,0)*1000</f>
        <v>60690.90000000142</v>
      </c>
      <c r="AD34" s="2">
        <f>IF(Raw_Data[[#This Row],[33 kV Outgoinng Import Reading]]-R33&gt;0,Raw_Data[[#This Row],[33 kV Outgoinng Import Reading]]-R33,0)*1000</f>
        <v>195.10000000002492</v>
      </c>
      <c r="AE34" s="2">
        <f>Raw_Data[[#This Row],[Export  (kWh)]]-Raw_Data[[#This Row],[Import (kWh)]]</f>
        <v>60495.800000001393</v>
      </c>
      <c r="AF34" s="2">
        <f>IFERROR(AVERAGE(Raw_Data[[#This Row],[POA1(Wh/m2)]:[POA2(Wh/m2)]]),"")</f>
        <v>7460.5</v>
      </c>
      <c r="AG34" s="2">
        <f>IFERROR(Raw_Data[[#This Row],[Avg. POA without Exclusion (W/m2)2]]-Raw_Data[[#This Row],[Avg. POA Lost (W/m2)]],"")</f>
        <v>7438.5</v>
      </c>
      <c r="AH34" s="35">
        <f t="shared" ref="AH34" si="29">IFERROR((J34-I34)*24,"")</f>
        <v>12.316666666666666</v>
      </c>
      <c r="AI34" s="2"/>
    </row>
    <row r="35" spans="1:35">
      <c r="A35" s="156">
        <f>YEAR(Raw_Data[[#This Row],[Date]])+IF(MONTH(Raw_Data[[#This Row],[Date]])&gt;=4,1,0)</f>
        <v>2026</v>
      </c>
      <c r="B35" s="129">
        <f>YEAR(Raw_Data[[#This Row],[Date]])</f>
        <v>2025</v>
      </c>
      <c r="C35" s="2" t="s">
        <v>155</v>
      </c>
      <c r="D35" s="2" t="s">
        <v>155</v>
      </c>
      <c r="E35" s="39">
        <v>45748</v>
      </c>
      <c r="F35" s="2">
        <f>DAY(EOMONTH(Raw_Data[[#This Row],[Month Year]],0))</f>
        <v>30</v>
      </c>
      <c r="G35" s="63">
        <f t="shared" si="4"/>
        <v>45776</v>
      </c>
      <c r="H35" s="2">
        <v>11.72</v>
      </c>
      <c r="I35" s="24">
        <v>0.25555555555555554</v>
      </c>
      <c r="J35" s="24">
        <v>0.76527777777777772</v>
      </c>
      <c r="K35" s="2">
        <v>8769</v>
      </c>
      <c r="L35" s="2">
        <v>8872</v>
      </c>
      <c r="M35" s="2">
        <v>7577</v>
      </c>
      <c r="N35" s="2">
        <v>8526</v>
      </c>
      <c r="O35" s="2">
        <v>9216</v>
      </c>
      <c r="P35" s="2">
        <v>9337</v>
      </c>
      <c r="Q35" s="2">
        <v>129012.5852</v>
      </c>
      <c r="R35" s="2">
        <v>555.79229999999995</v>
      </c>
      <c r="S35" s="2">
        <v>0</v>
      </c>
      <c r="T35" s="2">
        <v>6364</v>
      </c>
      <c r="U35" s="2">
        <v>6364</v>
      </c>
      <c r="V35" s="2">
        <v>0</v>
      </c>
      <c r="W35" s="2">
        <v>23</v>
      </c>
      <c r="X35" s="2">
        <v>44</v>
      </c>
      <c r="Y35" s="46">
        <v>1.7</v>
      </c>
      <c r="Z35" s="46">
        <v>13</v>
      </c>
      <c r="AA35" s="2">
        <v>4</v>
      </c>
      <c r="AB35" s="2">
        <f>SUM(Raw_Data[[#This Row],[IC1_Inv1]:[IC2_Inv2]])</f>
        <v>52297</v>
      </c>
      <c r="AC35" s="2">
        <f>IF(Raw_Data[[#This Row],[33 kV Outgoinng Export Reading]]-Q34&gt;0,Raw_Data[[#This Row],[33 kV Outgoinng Export Reading]]-Q34,0)*1000</f>
        <v>52134.600000004866</v>
      </c>
      <c r="AD35" s="2">
        <f>IF(Raw_Data[[#This Row],[33 kV Outgoinng Import Reading]]-R34&gt;0,Raw_Data[[#This Row],[33 kV Outgoinng Import Reading]]-R34,0)*1000</f>
        <v>169.69999999992069</v>
      </c>
      <c r="AE35" s="2">
        <f>Raw_Data[[#This Row],[Export  (kWh)]]-Raw_Data[[#This Row],[Import (kWh)]]</f>
        <v>51964.900000004942</v>
      </c>
      <c r="AF35" s="2">
        <f>IFERROR(AVERAGE(Raw_Data[[#This Row],[POA1(Wh/m2)]:[POA2(Wh/m2)]]),"")</f>
        <v>6364</v>
      </c>
      <c r="AG35" s="2">
        <f>IFERROR(Raw_Data[[#This Row],[Avg. POA without Exclusion (W/m2)2]]-Raw_Data[[#This Row],[Avg. POA Lost (W/m2)]],"")</f>
        <v>6364</v>
      </c>
      <c r="AH35" s="35">
        <f t="shared" ref="AH35" si="30">IFERROR((J35-I35)*24,"")</f>
        <v>12.233333333333333</v>
      </c>
      <c r="AI35" s="2"/>
    </row>
    <row r="36" spans="1:35">
      <c r="A36" s="156">
        <f>YEAR(Raw_Data[[#This Row],[Date]])+IF(MONTH(Raw_Data[[#This Row],[Date]])&gt;=4,1,0)</f>
        <v>2026</v>
      </c>
      <c r="B36" s="129">
        <f>YEAR(Raw_Data[[#This Row],[Date]])</f>
        <v>2025</v>
      </c>
      <c r="C36" s="2" t="s">
        <v>155</v>
      </c>
      <c r="D36" s="2" t="s">
        <v>155</v>
      </c>
      <c r="E36" s="39">
        <v>45748</v>
      </c>
      <c r="F36" s="2">
        <f>DAY(EOMONTH(Raw_Data[[#This Row],[Month Year]],0))</f>
        <v>30</v>
      </c>
      <c r="G36" s="63">
        <f t="shared" si="4"/>
        <v>45777</v>
      </c>
      <c r="H36" s="2">
        <v>11.72</v>
      </c>
      <c r="I36" s="24">
        <v>0.25277777777777777</v>
      </c>
      <c r="J36" s="24">
        <v>0.76944444444444449</v>
      </c>
      <c r="K36" s="2">
        <v>10635</v>
      </c>
      <c r="L36" s="2">
        <v>10738</v>
      </c>
      <c r="M36" s="2">
        <v>9073</v>
      </c>
      <c r="N36" s="2">
        <v>10400</v>
      </c>
      <c r="O36" s="2">
        <v>11159</v>
      </c>
      <c r="P36" s="2">
        <v>11368</v>
      </c>
      <c r="Q36" s="2">
        <v>129076.1079</v>
      </c>
      <c r="R36" s="2">
        <v>555.97540000000004</v>
      </c>
      <c r="S36" s="2">
        <v>0</v>
      </c>
      <c r="T36" s="2">
        <v>7939</v>
      </c>
      <c r="U36" s="2">
        <v>7934</v>
      </c>
      <c r="V36" s="2">
        <v>50</v>
      </c>
      <c r="W36" s="2">
        <v>24</v>
      </c>
      <c r="X36" s="2">
        <v>48</v>
      </c>
      <c r="Y36" s="46">
        <v>1.7</v>
      </c>
      <c r="Z36" s="46">
        <v>13</v>
      </c>
      <c r="AA36" s="2">
        <v>0</v>
      </c>
      <c r="AB36" s="2">
        <f>SUM(Raw_Data[[#This Row],[IC1_Inv1]:[IC2_Inv2]])</f>
        <v>63373</v>
      </c>
      <c r="AC36" s="2">
        <f>IF(Raw_Data[[#This Row],[33 kV Outgoinng Export Reading]]-Q35&gt;0,Raw_Data[[#This Row],[33 kV Outgoinng Export Reading]]-Q35,0)*1000</f>
        <v>63522.70000000135</v>
      </c>
      <c r="AD36" s="2">
        <f>IF(Raw_Data[[#This Row],[33 kV Outgoinng Import Reading]]-R35&gt;0,Raw_Data[[#This Row],[33 kV Outgoinng Import Reading]]-R35,0)*1000</f>
        <v>183.10000000008131</v>
      </c>
      <c r="AE36" s="2">
        <f>Raw_Data[[#This Row],[Export  (kWh)]]-Raw_Data[[#This Row],[Import (kWh)]]</f>
        <v>63339.600000001272</v>
      </c>
      <c r="AF36" s="2">
        <f>IFERROR(AVERAGE(Raw_Data[[#This Row],[POA1(Wh/m2)]:[POA2(Wh/m2)]]),"")</f>
        <v>7936.5</v>
      </c>
      <c r="AG36" s="2">
        <f>IFERROR(Raw_Data[[#This Row],[Avg. POA without Exclusion (W/m2)2]]-Raw_Data[[#This Row],[Avg. POA Lost (W/m2)]],"")</f>
        <v>7886.5</v>
      </c>
      <c r="AH36" s="35">
        <f t="shared" ref="AH36" si="31">IFERROR((J36-I36)*24,"")</f>
        <v>12.400000000000002</v>
      </c>
      <c r="AI36" s="2"/>
    </row>
    <row r="37" spans="1:35">
      <c r="A37" s="156">
        <f>YEAR(Raw_Data[[#This Row],[Date]])+IF(MONTH(Raw_Data[[#This Row],[Date]])&gt;=4,1,0)</f>
        <v>2026</v>
      </c>
      <c r="B37" s="129">
        <f>YEAR(Raw_Data[[#This Row],[Date]])</f>
        <v>2025</v>
      </c>
      <c r="C37" s="2" t="s">
        <v>155</v>
      </c>
      <c r="D37" s="2" t="s">
        <v>155</v>
      </c>
      <c r="E37" s="39">
        <v>45778</v>
      </c>
      <c r="F37" s="2">
        <f>DAY(EOMONTH(Raw_Data[[#This Row],[Month Year]],0))</f>
        <v>31</v>
      </c>
      <c r="G37" s="63">
        <f t="shared" si="4"/>
        <v>45778</v>
      </c>
      <c r="H37" s="2">
        <v>11.72</v>
      </c>
      <c r="I37" s="24">
        <v>0.25486111111111109</v>
      </c>
      <c r="J37" s="24">
        <v>0.76944444444444449</v>
      </c>
      <c r="K37" s="2">
        <v>9992</v>
      </c>
      <c r="L37" s="2">
        <v>10244</v>
      </c>
      <c r="M37" s="2">
        <v>8857</v>
      </c>
      <c r="N37" s="2">
        <v>9880</v>
      </c>
      <c r="O37" s="2">
        <v>10529</v>
      </c>
      <c r="P37" s="2">
        <v>10667</v>
      </c>
      <c r="Q37" s="2">
        <v>129136.2077</v>
      </c>
      <c r="R37" s="2">
        <v>556.17079999999999</v>
      </c>
      <c r="S37" s="2">
        <v>0</v>
      </c>
      <c r="T37" s="2">
        <v>7419</v>
      </c>
      <c r="U37" s="2">
        <v>7376</v>
      </c>
      <c r="V37" s="2">
        <v>0</v>
      </c>
      <c r="W37" s="2">
        <v>24</v>
      </c>
      <c r="X37" s="2">
        <v>48</v>
      </c>
      <c r="Y37" s="46">
        <v>5</v>
      </c>
      <c r="Z37" s="46">
        <v>8</v>
      </c>
      <c r="AA37" s="2">
        <v>0</v>
      </c>
      <c r="AB37" s="2">
        <f>SUM(Raw_Data[[#This Row],[IC1_Inv1]:[IC2_Inv2]])</f>
        <v>60169</v>
      </c>
      <c r="AC37" s="2">
        <f>IF(Raw_Data[[#This Row],[33 kV Outgoinng Export Reading]]-Q36&gt;0,Raw_Data[[#This Row],[33 kV Outgoinng Export Reading]]-Q36,0)*1000</f>
        <v>60099.799999996321</v>
      </c>
      <c r="AD37" s="2">
        <f>IF(Raw_Data[[#This Row],[33 kV Outgoinng Import Reading]]-R36&gt;0,Raw_Data[[#This Row],[33 kV Outgoinng Import Reading]]-R36,0)*1000</f>
        <v>195.39999999994961</v>
      </c>
      <c r="AE37" s="2">
        <f>Raw_Data[[#This Row],[Export  (kWh)]]-Raw_Data[[#This Row],[Import (kWh)]]</f>
        <v>59904.399999996371</v>
      </c>
      <c r="AF37" s="2">
        <f>IFERROR(AVERAGE(Raw_Data[[#This Row],[POA1(Wh/m2)]:[POA2(Wh/m2)]]),"")</f>
        <v>7397.5</v>
      </c>
      <c r="AG37" s="2">
        <f>IFERROR(Raw_Data[[#This Row],[Avg. POA without Exclusion (W/m2)2]]-Raw_Data[[#This Row],[Avg. POA Lost (W/m2)]],"")</f>
        <v>7397.5</v>
      </c>
      <c r="AH37" s="35">
        <f t="shared" ref="AH37" si="32">IFERROR((J37-I37)*24,"")</f>
        <v>12.350000000000001</v>
      </c>
      <c r="AI37" s="2"/>
    </row>
    <row r="38" spans="1:35">
      <c r="A38" s="156">
        <f>YEAR(Raw_Data[[#This Row],[Date]])+IF(MONTH(Raw_Data[[#This Row],[Date]])&gt;=4,1,0)</f>
        <v>2026</v>
      </c>
      <c r="B38" s="129">
        <f>YEAR(Raw_Data[[#This Row],[Date]])</f>
        <v>2025</v>
      </c>
      <c r="C38" s="2" t="s">
        <v>155</v>
      </c>
      <c r="D38" s="2" t="s">
        <v>155</v>
      </c>
      <c r="E38" s="39">
        <v>45778</v>
      </c>
      <c r="F38" s="2">
        <f>DAY(EOMONTH(Raw_Data[[#This Row],[Month Year]],0))</f>
        <v>31</v>
      </c>
      <c r="G38" s="63">
        <f t="shared" si="4"/>
        <v>45779</v>
      </c>
      <c r="H38" s="2">
        <v>11.72</v>
      </c>
      <c r="I38" s="24">
        <v>0.26319444444444445</v>
      </c>
      <c r="J38" s="24">
        <v>0.76875000000000004</v>
      </c>
      <c r="K38" s="2">
        <v>9930</v>
      </c>
      <c r="L38" s="2">
        <v>10194</v>
      </c>
      <c r="M38" s="2">
        <v>8721</v>
      </c>
      <c r="N38" s="2">
        <v>9683</v>
      </c>
      <c r="O38" s="2">
        <v>10388</v>
      </c>
      <c r="P38" s="2">
        <v>10543</v>
      </c>
      <c r="Q38" s="2">
        <v>129195.61900000001</v>
      </c>
      <c r="R38" s="2">
        <v>556.35940000000005</v>
      </c>
      <c r="S38" s="2">
        <v>0</v>
      </c>
      <c r="T38" s="2">
        <v>7258</v>
      </c>
      <c r="U38" s="2">
        <v>7258</v>
      </c>
      <c r="V38" s="2">
        <v>0</v>
      </c>
      <c r="W38" s="2">
        <v>24</v>
      </c>
      <c r="X38" s="2">
        <v>48</v>
      </c>
      <c r="Y38" s="46">
        <v>4</v>
      </c>
      <c r="Z38" s="46">
        <v>7</v>
      </c>
      <c r="AA38" s="2">
        <v>0</v>
      </c>
      <c r="AB38" s="2">
        <f>SUM(Raw_Data[[#This Row],[IC1_Inv1]:[IC2_Inv2]])</f>
        <v>59459</v>
      </c>
      <c r="AC38" s="2">
        <f>IF(Raw_Data[[#This Row],[33 kV Outgoinng Export Reading]]-Q37&gt;0,Raw_Data[[#This Row],[33 kV Outgoinng Export Reading]]-Q37,0)*1000</f>
        <v>59411.300000007031</v>
      </c>
      <c r="AD38" s="2">
        <f>IF(Raw_Data[[#This Row],[33 kV Outgoinng Import Reading]]-R37&gt;0,Raw_Data[[#This Row],[33 kV Outgoinng Import Reading]]-R37,0)*1000</f>
        <v>188.60000000006494</v>
      </c>
      <c r="AE38" s="2">
        <f>Raw_Data[[#This Row],[Export  (kWh)]]-Raw_Data[[#This Row],[Import (kWh)]]</f>
        <v>59222.700000006967</v>
      </c>
      <c r="AF38" s="2">
        <f>IFERROR(AVERAGE(Raw_Data[[#This Row],[POA1(Wh/m2)]:[POA2(Wh/m2)]]),"")</f>
        <v>7258</v>
      </c>
      <c r="AG38" s="2">
        <f>IFERROR(Raw_Data[[#This Row],[Avg. POA without Exclusion (W/m2)2]]-Raw_Data[[#This Row],[Avg. POA Lost (W/m2)]],"")</f>
        <v>7258</v>
      </c>
      <c r="AH38" s="35">
        <f t="shared" ref="AH38" si="33">IFERROR((J38-I38)*24,"")</f>
        <v>12.133333333333333</v>
      </c>
      <c r="AI38" s="2"/>
    </row>
    <row r="39" spans="1:35">
      <c r="A39" s="156">
        <f>YEAR(Raw_Data[[#This Row],[Date]])+IF(MONTH(Raw_Data[[#This Row],[Date]])&gt;=4,1,0)</f>
        <v>2026</v>
      </c>
      <c r="B39" s="129">
        <f>YEAR(Raw_Data[[#This Row],[Date]])</f>
        <v>2025</v>
      </c>
      <c r="C39" s="2" t="s">
        <v>155</v>
      </c>
      <c r="D39" s="2" t="s">
        <v>155</v>
      </c>
      <c r="E39" s="39">
        <v>45778</v>
      </c>
      <c r="F39" s="2">
        <f>DAY(EOMONTH(Raw_Data[[#This Row],[Month Year]],0))</f>
        <v>31</v>
      </c>
      <c r="G39" s="63">
        <f t="shared" si="4"/>
        <v>45780</v>
      </c>
      <c r="H39" s="2">
        <v>11.72</v>
      </c>
      <c r="I39" s="24">
        <v>0.25416666666666665</v>
      </c>
      <c r="J39" s="24">
        <v>0.76944444444444449</v>
      </c>
      <c r="K39" s="2">
        <v>10699</v>
      </c>
      <c r="L39" s="2">
        <v>11261</v>
      </c>
      <c r="M39" s="2">
        <v>9288</v>
      </c>
      <c r="N39" s="2">
        <v>10408</v>
      </c>
      <c r="O39" s="2">
        <v>11344</v>
      </c>
      <c r="P39" s="2">
        <v>11273</v>
      </c>
      <c r="Q39" s="2">
        <v>129259.8128</v>
      </c>
      <c r="R39" s="2">
        <v>556.52949999999998</v>
      </c>
      <c r="S39" s="2">
        <v>0</v>
      </c>
      <c r="T39" s="2">
        <v>7848</v>
      </c>
      <c r="U39" s="2">
        <v>7848</v>
      </c>
      <c r="V39" s="2">
        <v>0</v>
      </c>
      <c r="W39" s="2">
        <v>24</v>
      </c>
      <c r="X39" s="2">
        <v>48.7</v>
      </c>
      <c r="Y39" s="46">
        <v>4.7</v>
      </c>
      <c r="Z39" s="46">
        <v>7</v>
      </c>
      <c r="AA39" s="2">
        <v>0</v>
      </c>
      <c r="AB39" s="2">
        <f>SUM(Raw_Data[[#This Row],[IC1_Inv1]:[IC2_Inv2]])</f>
        <v>64273</v>
      </c>
      <c r="AC39" s="2">
        <f>IF(Raw_Data[[#This Row],[33 kV Outgoinng Export Reading]]-Q38&gt;0,Raw_Data[[#This Row],[33 kV Outgoinng Export Reading]]-Q38,0)*1000</f>
        <v>64193.799999993644</v>
      </c>
      <c r="AD39" s="2">
        <f>IF(Raw_Data[[#This Row],[33 kV Outgoinng Import Reading]]-R38&gt;0,Raw_Data[[#This Row],[33 kV Outgoinng Import Reading]]-R38,0)*1000</f>
        <v>170.09999999993397</v>
      </c>
      <c r="AE39" s="2">
        <f>Raw_Data[[#This Row],[Export  (kWh)]]-Raw_Data[[#This Row],[Import (kWh)]]</f>
        <v>64023.699999993711</v>
      </c>
      <c r="AF39" s="2">
        <f>IFERROR(AVERAGE(Raw_Data[[#This Row],[POA1(Wh/m2)]:[POA2(Wh/m2)]]),"")</f>
        <v>7848</v>
      </c>
      <c r="AG39" s="2">
        <f>IFERROR(Raw_Data[[#This Row],[Avg. POA without Exclusion (W/m2)2]]-Raw_Data[[#This Row],[Avg. POA Lost (W/m2)]],"")</f>
        <v>7848</v>
      </c>
      <c r="AH39" s="35">
        <f t="shared" ref="AH39" si="34">IFERROR((J39-I39)*24,"")</f>
        <v>12.366666666666667</v>
      </c>
      <c r="AI39" s="2"/>
    </row>
    <row r="40" spans="1:35">
      <c r="A40" s="156">
        <f>YEAR(Raw_Data[[#This Row],[Date]])+IF(MONTH(Raw_Data[[#This Row],[Date]])&gt;=4,1,0)</f>
        <v>2026</v>
      </c>
      <c r="B40" s="129">
        <f>YEAR(Raw_Data[[#This Row],[Date]])</f>
        <v>2025</v>
      </c>
      <c r="C40" s="2" t="s">
        <v>155</v>
      </c>
      <c r="D40" s="2" t="s">
        <v>155</v>
      </c>
      <c r="E40" s="39">
        <v>45778</v>
      </c>
      <c r="F40" s="2">
        <f>DAY(EOMONTH(Raw_Data[[#This Row],[Month Year]],0))</f>
        <v>31</v>
      </c>
      <c r="G40" s="63">
        <f t="shared" si="4"/>
        <v>45781</v>
      </c>
      <c r="H40" s="2">
        <v>11.72</v>
      </c>
      <c r="I40" s="24">
        <v>0.25416666666666665</v>
      </c>
      <c r="J40" s="24">
        <v>0.77222222222222225</v>
      </c>
      <c r="K40" s="2">
        <v>11263</v>
      </c>
      <c r="L40" s="2">
        <v>11550</v>
      </c>
      <c r="M40" s="2">
        <v>9651</v>
      </c>
      <c r="N40" s="2">
        <v>10909</v>
      </c>
      <c r="O40" s="2">
        <v>11650</v>
      </c>
      <c r="P40" s="2">
        <v>11781</v>
      </c>
      <c r="Q40" s="2">
        <v>129326.5797</v>
      </c>
      <c r="R40" s="2">
        <v>556.71640000000002</v>
      </c>
      <c r="S40" s="2">
        <v>0</v>
      </c>
      <c r="T40" s="2">
        <v>8324</v>
      </c>
      <c r="U40" s="2">
        <v>8324</v>
      </c>
      <c r="V40" s="2">
        <v>0</v>
      </c>
      <c r="W40" s="2">
        <v>24</v>
      </c>
      <c r="X40" s="2">
        <v>49</v>
      </c>
      <c r="Y40" s="46">
        <v>2</v>
      </c>
      <c r="Z40" s="46">
        <v>4</v>
      </c>
      <c r="AA40" s="2">
        <v>0</v>
      </c>
      <c r="AB40" s="2">
        <f>SUM(Raw_Data[[#This Row],[IC1_Inv1]:[IC2_Inv2]])</f>
        <v>66804</v>
      </c>
      <c r="AC40" s="2">
        <f>IF(Raw_Data[[#This Row],[33 kV Outgoinng Export Reading]]-Q39&gt;0,Raw_Data[[#This Row],[33 kV Outgoinng Export Reading]]-Q39,0)*1000</f>
        <v>66766.900000002352</v>
      </c>
      <c r="AD40" s="2">
        <f>IF(Raw_Data[[#This Row],[33 kV Outgoinng Import Reading]]-R39&gt;0,Raw_Data[[#This Row],[33 kV Outgoinng Import Reading]]-R39,0)*1000</f>
        <v>186.90000000003693</v>
      </c>
      <c r="AE40" s="2">
        <f>Raw_Data[[#This Row],[Export  (kWh)]]-Raw_Data[[#This Row],[Import (kWh)]]</f>
        <v>66580.000000002314</v>
      </c>
      <c r="AF40" s="2">
        <f>IFERROR(AVERAGE(Raw_Data[[#This Row],[POA1(Wh/m2)]:[POA2(Wh/m2)]]),"")</f>
        <v>8324</v>
      </c>
      <c r="AG40" s="2">
        <f>IFERROR(Raw_Data[[#This Row],[Avg. POA without Exclusion (W/m2)2]]-Raw_Data[[#This Row],[Avg. POA Lost (W/m2)]],"")</f>
        <v>8324</v>
      </c>
      <c r="AH40" s="35">
        <f t="shared" ref="AH40" si="35">IFERROR((J40-I40)*24,"")</f>
        <v>12.433333333333334</v>
      </c>
      <c r="AI40" s="2"/>
    </row>
    <row r="41" spans="1:35">
      <c r="A41" s="156">
        <f>YEAR(Raw_Data[[#This Row],[Date]])+IF(MONTH(Raw_Data[[#This Row],[Date]])&gt;=4,1,0)</f>
        <v>2026</v>
      </c>
      <c r="B41" s="129">
        <f>YEAR(Raw_Data[[#This Row],[Date]])</f>
        <v>2025</v>
      </c>
      <c r="C41" s="2" t="s">
        <v>155</v>
      </c>
      <c r="D41" s="2" t="s">
        <v>155</v>
      </c>
      <c r="E41" s="39">
        <v>45778</v>
      </c>
      <c r="F41" s="2">
        <f>DAY(EOMONTH(Raw_Data[[#This Row],[Month Year]],0))</f>
        <v>31</v>
      </c>
      <c r="G41" s="63">
        <f t="shared" si="4"/>
        <v>45782</v>
      </c>
      <c r="H41" s="2">
        <v>11.72</v>
      </c>
      <c r="I41" s="24">
        <v>0.25208333333333333</v>
      </c>
      <c r="J41" s="24">
        <v>0.77152777777777781</v>
      </c>
      <c r="K41" s="2">
        <v>10888</v>
      </c>
      <c r="L41" s="2">
        <v>11026</v>
      </c>
      <c r="M41" s="2">
        <v>9360</v>
      </c>
      <c r="N41" s="2">
        <v>10513</v>
      </c>
      <c r="O41" s="2">
        <v>11387</v>
      </c>
      <c r="P41" s="2">
        <v>11407</v>
      </c>
      <c r="Q41" s="2">
        <v>129391.1811</v>
      </c>
      <c r="R41" s="2">
        <v>556.88760000000002</v>
      </c>
      <c r="S41" s="2">
        <v>0</v>
      </c>
      <c r="T41" s="2">
        <v>8169</v>
      </c>
      <c r="U41" s="2">
        <v>8169</v>
      </c>
      <c r="V41" s="2">
        <v>65</v>
      </c>
      <c r="W41" s="2">
        <v>24</v>
      </c>
      <c r="X41" s="2">
        <v>53</v>
      </c>
      <c r="Y41" s="46">
        <v>2</v>
      </c>
      <c r="Z41" s="46">
        <v>7</v>
      </c>
      <c r="AA41" s="2">
        <v>0</v>
      </c>
      <c r="AB41" s="2">
        <f>SUM(Raw_Data[[#This Row],[IC1_Inv1]:[IC2_Inv2]])</f>
        <v>64581</v>
      </c>
      <c r="AC41" s="2">
        <f>IF(Raw_Data[[#This Row],[33 kV Outgoinng Export Reading]]-Q40&gt;0,Raw_Data[[#This Row],[33 kV Outgoinng Export Reading]]-Q40,0)*1000</f>
        <v>64601.399999999558</v>
      </c>
      <c r="AD41" s="2">
        <f>IF(Raw_Data[[#This Row],[33 kV Outgoinng Import Reading]]-R40&gt;0,Raw_Data[[#This Row],[33 kV Outgoinng Import Reading]]-R40,0)*1000</f>
        <v>171.19999999999891</v>
      </c>
      <c r="AE41" s="2">
        <f>Raw_Data[[#This Row],[Export  (kWh)]]-Raw_Data[[#This Row],[Import (kWh)]]</f>
        <v>64430.199999999561</v>
      </c>
      <c r="AF41" s="2">
        <f>IFERROR(AVERAGE(Raw_Data[[#This Row],[POA1(Wh/m2)]:[POA2(Wh/m2)]]),"")</f>
        <v>8169</v>
      </c>
      <c r="AG41" s="2">
        <f>IFERROR(Raw_Data[[#This Row],[Avg. POA without Exclusion (W/m2)2]]-Raw_Data[[#This Row],[Avg. POA Lost (W/m2)]],"")</f>
        <v>8104</v>
      </c>
      <c r="AH41" s="35">
        <f t="shared" ref="AH41" si="36">IFERROR((J41-I41)*24,"")</f>
        <v>12.466666666666669</v>
      </c>
      <c r="AI41" s="2"/>
    </row>
    <row r="42" spans="1:35">
      <c r="A42" s="156">
        <f>YEAR(Raw_Data[[#This Row],[Date]])+IF(MONTH(Raw_Data[[#This Row],[Date]])&gt;=4,1,0)</f>
        <v>2026</v>
      </c>
      <c r="B42" s="129">
        <f>YEAR(Raw_Data[[#This Row],[Date]])</f>
        <v>2025</v>
      </c>
      <c r="C42" s="2" t="s">
        <v>155</v>
      </c>
      <c r="D42" s="2" t="s">
        <v>155</v>
      </c>
      <c r="E42" s="39">
        <v>45778</v>
      </c>
      <c r="F42" s="2">
        <f>DAY(EOMONTH(Raw_Data[[#This Row],[Month Year]],0))</f>
        <v>31</v>
      </c>
      <c r="G42" s="63">
        <f t="shared" si="4"/>
        <v>45783</v>
      </c>
      <c r="H42" s="2">
        <v>11.72</v>
      </c>
      <c r="I42" s="24">
        <v>0.2638888888888889</v>
      </c>
      <c r="J42" s="24">
        <v>0.76944444444444449</v>
      </c>
      <c r="K42" s="2">
        <v>10307</v>
      </c>
      <c r="L42" s="2">
        <v>10487</v>
      </c>
      <c r="M42" s="2">
        <v>8989</v>
      </c>
      <c r="N42" s="2">
        <v>9958</v>
      </c>
      <c r="O42" s="2">
        <v>10915</v>
      </c>
      <c r="P42" s="2">
        <v>10777</v>
      </c>
      <c r="Q42" s="2">
        <v>129452.511</v>
      </c>
      <c r="R42" s="2">
        <v>557.08669999999995</v>
      </c>
      <c r="S42" s="2">
        <v>0</v>
      </c>
      <c r="T42" s="2">
        <v>7439</v>
      </c>
      <c r="U42" s="2">
        <v>7439</v>
      </c>
      <c r="V42" s="2">
        <v>0</v>
      </c>
      <c r="W42" s="2">
        <v>24</v>
      </c>
      <c r="X42" s="2">
        <v>48</v>
      </c>
      <c r="Y42" s="46">
        <v>3</v>
      </c>
      <c r="Z42" s="46">
        <v>5</v>
      </c>
      <c r="AA42" s="2">
        <v>0</v>
      </c>
      <c r="AB42" s="2">
        <f>SUM(Raw_Data[[#This Row],[IC1_Inv1]:[IC2_Inv2]])</f>
        <v>61433</v>
      </c>
      <c r="AC42" s="2">
        <f>IF(Raw_Data[[#This Row],[33 kV Outgoinng Export Reading]]-Q41&gt;0,Raw_Data[[#This Row],[33 kV Outgoinng Export Reading]]-Q41,0)*1000</f>
        <v>61329.899999996996</v>
      </c>
      <c r="AD42" s="2">
        <f>IF(Raw_Data[[#This Row],[33 kV Outgoinng Import Reading]]-R41&gt;0,Raw_Data[[#This Row],[33 kV Outgoinng Import Reading]]-R41,0)*1000</f>
        <v>199.09999999993033</v>
      </c>
      <c r="AE42" s="2">
        <f>Raw_Data[[#This Row],[Export  (kWh)]]-Raw_Data[[#This Row],[Import (kWh)]]</f>
        <v>61130.799999997063</v>
      </c>
      <c r="AF42" s="2">
        <f>IFERROR(AVERAGE(Raw_Data[[#This Row],[POA1(Wh/m2)]:[POA2(Wh/m2)]]),"")</f>
        <v>7439</v>
      </c>
      <c r="AG42" s="2">
        <f>IFERROR(Raw_Data[[#This Row],[Avg. POA without Exclusion (W/m2)2]]-Raw_Data[[#This Row],[Avg. POA Lost (W/m2)]],"")</f>
        <v>7439</v>
      </c>
      <c r="AH42" s="35">
        <f t="shared" ref="AH42" si="37">IFERROR((J42-I42)*24,"")</f>
        <v>12.133333333333333</v>
      </c>
      <c r="AI42" s="2"/>
    </row>
    <row r="43" spans="1:35">
      <c r="A43" s="156">
        <f>YEAR(Raw_Data[[#This Row],[Date]])+IF(MONTH(Raw_Data[[#This Row],[Date]])&gt;=4,1,0)</f>
        <v>2026</v>
      </c>
      <c r="B43" s="129">
        <f>YEAR(Raw_Data[[#This Row],[Date]])</f>
        <v>2025</v>
      </c>
      <c r="C43" s="2" t="s">
        <v>155</v>
      </c>
      <c r="D43" s="2" t="s">
        <v>155</v>
      </c>
      <c r="E43" s="39">
        <v>45778</v>
      </c>
      <c r="F43" s="2">
        <f>DAY(EOMONTH(Raw_Data[[#This Row],[Month Year]],0))</f>
        <v>31</v>
      </c>
      <c r="G43" s="63">
        <f t="shared" si="4"/>
        <v>45784</v>
      </c>
      <c r="H43" s="2">
        <v>11.72</v>
      </c>
      <c r="I43" s="24">
        <v>0.25208333333333333</v>
      </c>
      <c r="J43" s="24">
        <v>0.76944444444444449</v>
      </c>
      <c r="K43" s="2">
        <v>11808</v>
      </c>
      <c r="L43" s="2">
        <v>11770</v>
      </c>
      <c r="M43" s="2">
        <v>9992</v>
      </c>
      <c r="N43" s="2">
        <v>11218</v>
      </c>
      <c r="O43" s="2">
        <v>12367</v>
      </c>
      <c r="P43" s="2">
        <v>12344</v>
      </c>
      <c r="Q43" s="2">
        <v>129521.6781</v>
      </c>
      <c r="R43" s="2">
        <v>557.25720000000001</v>
      </c>
      <c r="S43" s="2">
        <v>0</v>
      </c>
      <c r="T43" s="2">
        <v>8610</v>
      </c>
      <c r="U43" s="2">
        <v>8610</v>
      </c>
      <c r="V43" s="2">
        <v>0</v>
      </c>
      <c r="W43" s="2">
        <v>24</v>
      </c>
      <c r="X43" s="2">
        <v>50</v>
      </c>
      <c r="Y43" s="46">
        <v>5</v>
      </c>
      <c r="Z43" s="46">
        <v>7</v>
      </c>
      <c r="AA43" s="2">
        <v>0</v>
      </c>
      <c r="AB43" s="2">
        <f>SUM(Raw_Data[[#This Row],[IC1_Inv1]:[IC2_Inv2]])</f>
        <v>69499</v>
      </c>
      <c r="AC43" s="2">
        <f>IF(Raw_Data[[#This Row],[33 kV Outgoinng Export Reading]]-Q42&gt;0,Raw_Data[[#This Row],[33 kV Outgoinng Export Reading]]-Q42,0)*1000</f>
        <v>69167.10000000603</v>
      </c>
      <c r="AD43" s="2">
        <f>IF(Raw_Data[[#This Row],[33 kV Outgoinng Import Reading]]-R42&gt;0,Raw_Data[[#This Row],[33 kV Outgoinng Import Reading]]-R42,0)*1000</f>
        <v>170.50000000006094</v>
      </c>
      <c r="AE43" s="2">
        <f>Raw_Data[[#This Row],[Export  (kWh)]]-Raw_Data[[#This Row],[Import (kWh)]]</f>
        <v>68996.600000005972</v>
      </c>
      <c r="AF43" s="2">
        <f>IFERROR(AVERAGE(Raw_Data[[#This Row],[POA1(Wh/m2)]:[POA2(Wh/m2)]]),"")</f>
        <v>8610</v>
      </c>
      <c r="AG43" s="2">
        <f>IFERROR(Raw_Data[[#This Row],[Avg. POA without Exclusion (W/m2)2]]-Raw_Data[[#This Row],[Avg. POA Lost (W/m2)]],"")</f>
        <v>8610</v>
      </c>
      <c r="AH43" s="35">
        <f t="shared" ref="AH43" si="38">IFERROR((J43-I43)*24,"")</f>
        <v>12.416666666666668</v>
      </c>
      <c r="AI43" s="2"/>
    </row>
    <row r="44" spans="1:35">
      <c r="A44" s="156">
        <f>YEAR(Raw_Data[[#This Row],[Date]])+IF(MONTH(Raw_Data[[#This Row],[Date]])&gt;=4,1,0)</f>
        <v>2026</v>
      </c>
      <c r="B44" s="129">
        <f>YEAR(Raw_Data[[#This Row],[Date]])</f>
        <v>2025</v>
      </c>
      <c r="C44" s="2" t="s">
        <v>155</v>
      </c>
      <c r="D44" s="2" t="s">
        <v>155</v>
      </c>
      <c r="E44" s="39">
        <v>45778</v>
      </c>
      <c r="F44" s="2">
        <f>DAY(EOMONTH(Raw_Data[[#This Row],[Month Year]],0))</f>
        <v>31</v>
      </c>
      <c r="G44" s="63">
        <f t="shared" si="4"/>
        <v>45785</v>
      </c>
      <c r="H44" s="2">
        <v>11.72</v>
      </c>
      <c r="I44" s="24">
        <v>0.25208333333333333</v>
      </c>
      <c r="J44" s="24">
        <v>0.77222222222222225</v>
      </c>
      <c r="K44" s="2">
        <v>10860</v>
      </c>
      <c r="L44" s="2">
        <v>11005</v>
      </c>
      <c r="M44" s="2">
        <v>9393</v>
      </c>
      <c r="N44" s="2">
        <v>10431</v>
      </c>
      <c r="O44" s="2">
        <v>11458</v>
      </c>
      <c r="P44" s="2">
        <v>11411</v>
      </c>
      <c r="Q44" s="2">
        <v>129586.2598</v>
      </c>
      <c r="R44" s="2">
        <v>557.45439999999996</v>
      </c>
      <c r="S44" s="2">
        <v>0</v>
      </c>
      <c r="T44" s="2">
        <v>7948</v>
      </c>
      <c r="U44" s="2">
        <v>7948</v>
      </c>
      <c r="V44" s="2">
        <v>0</v>
      </c>
      <c r="W44" s="2">
        <v>24</v>
      </c>
      <c r="X44" s="2">
        <v>49</v>
      </c>
      <c r="Y44" s="46">
        <v>5</v>
      </c>
      <c r="Z44" s="46">
        <v>9</v>
      </c>
      <c r="AA44" s="2">
        <v>0</v>
      </c>
      <c r="AB44" s="2">
        <f>SUM(Raw_Data[[#This Row],[IC1_Inv1]:[IC2_Inv2]])</f>
        <v>64558</v>
      </c>
      <c r="AC44" s="2">
        <f>IF(Raw_Data[[#This Row],[33 kV Outgoinng Export Reading]]-Q43&gt;0,Raw_Data[[#This Row],[33 kV Outgoinng Export Reading]]-Q43,0)*1000</f>
        <v>64581.69999999518</v>
      </c>
      <c r="AD44" s="2">
        <f>IF(Raw_Data[[#This Row],[33 kV Outgoinng Import Reading]]-R43&gt;0,Raw_Data[[#This Row],[33 kV Outgoinng Import Reading]]-R43,0)*1000</f>
        <v>197.19999999995252</v>
      </c>
      <c r="AE44" s="2">
        <f>Raw_Data[[#This Row],[Export  (kWh)]]-Raw_Data[[#This Row],[Import (kWh)]]</f>
        <v>64384.499999995227</v>
      </c>
      <c r="AF44" s="2">
        <f>IFERROR(AVERAGE(Raw_Data[[#This Row],[POA1(Wh/m2)]:[POA2(Wh/m2)]]),"")</f>
        <v>7948</v>
      </c>
      <c r="AG44" s="2">
        <f>IFERROR(Raw_Data[[#This Row],[Avg. POA without Exclusion (W/m2)2]]-Raw_Data[[#This Row],[Avg. POA Lost (W/m2)]],"")</f>
        <v>7948</v>
      </c>
      <c r="AH44" s="35">
        <f t="shared" ref="AH44" si="39">IFERROR((J44-I44)*24,"")</f>
        <v>12.483333333333334</v>
      </c>
      <c r="AI44" s="2"/>
    </row>
    <row r="45" spans="1:35">
      <c r="A45" s="156">
        <f>YEAR(Raw_Data[[#This Row],[Date]])+IF(MONTH(Raw_Data[[#This Row],[Date]])&gt;=4,1,0)</f>
        <v>2026</v>
      </c>
      <c r="B45" s="129">
        <f>YEAR(Raw_Data[[#This Row],[Date]])</f>
        <v>2025</v>
      </c>
      <c r="C45" s="2" t="s">
        <v>155</v>
      </c>
      <c r="D45" s="2" t="s">
        <v>155</v>
      </c>
      <c r="E45" s="39">
        <v>45778</v>
      </c>
      <c r="F45" s="2">
        <f>DAY(EOMONTH(Raw_Data[[#This Row],[Month Year]],0))</f>
        <v>31</v>
      </c>
      <c r="G45" s="63">
        <f t="shared" si="4"/>
        <v>45786</v>
      </c>
      <c r="H45" s="2">
        <v>11.72</v>
      </c>
      <c r="I45" s="24">
        <v>0.25</v>
      </c>
      <c r="J45" s="24">
        <v>0.77013888888888893</v>
      </c>
      <c r="K45" s="2">
        <v>10288</v>
      </c>
      <c r="L45" s="2">
        <v>10661</v>
      </c>
      <c r="M45" s="2">
        <v>8847</v>
      </c>
      <c r="N45" s="2">
        <v>9858</v>
      </c>
      <c r="O45" s="2">
        <v>10826</v>
      </c>
      <c r="P45" s="2">
        <v>10926</v>
      </c>
      <c r="Q45" s="2">
        <v>129647.6476</v>
      </c>
      <c r="R45" s="2">
        <v>557.62490000000003</v>
      </c>
      <c r="S45" s="2">
        <v>0</v>
      </c>
      <c r="T45" s="2">
        <v>7536</v>
      </c>
      <c r="U45" s="2">
        <v>7536</v>
      </c>
      <c r="V45" s="2">
        <v>100</v>
      </c>
      <c r="W45" s="2">
        <v>24</v>
      </c>
      <c r="X45" s="2">
        <v>48</v>
      </c>
      <c r="Y45" s="46">
        <v>5</v>
      </c>
      <c r="Z45" s="46">
        <v>7</v>
      </c>
      <c r="AA45" s="2">
        <v>0</v>
      </c>
      <c r="AB45" s="2">
        <f>SUM(Raw_Data[[#This Row],[IC1_Inv1]:[IC2_Inv2]])</f>
        <v>61406</v>
      </c>
      <c r="AC45" s="2">
        <f>IF(Raw_Data[[#This Row],[33 kV Outgoinng Export Reading]]-Q44&gt;0,Raw_Data[[#This Row],[33 kV Outgoinng Export Reading]]-Q44,0)*1000</f>
        <v>61387.799999996787</v>
      </c>
      <c r="AD45" s="2">
        <f>IF(Raw_Data[[#This Row],[33 kV Outgoinng Import Reading]]-R44&gt;0,Raw_Data[[#This Row],[33 kV Outgoinng Import Reading]]-R44,0)*1000</f>
        <v>170.50000000006094</v>
      </c>
      <c r="AE45" s="2">
        <f>Raw_Data[[#This Row],[Export  (kWh)]]-Raw_Data[[#This Row],[Import (kWh)]]</f>
        <v>61217.299999996729</v>
      </c>
      <c r="AF45" s="2">
        <f>IFERROR(AVERAGE(Raw_Data[[#This Row],[POA1(Wh/m2)]:[POA2(Wh/m2)]]),"")</f>
        <v>7536</v>
      </c>
      <c r="AG45" s="2">
        <f>IFERROR(Raw_Data[[#This Row],[Avg. POA without Exclusion (W/m2)2]]-Raw_Data[[#This Row],[Avg. POA Lost (W/m2)]],"")</f>
        <v>7436</v>
      </c>
      <c r="AH45" s="35">
        <f t="shared" ref="AH45" si="40">IFERROR((J45-I45)*24,"")</f>
        <v>12.483333333333334</v>
      </c>
      <c r="AI45" s="2"/>
    </row>
    <row r="46" spans="1:35">
      <c r="A46" s="156">
        <f>YEAR(Raw_Data[[#This Row],[Date]])+IF(MONTH(Raw_Data[[#This Row],[Date]])&gt;=4,1,0)</f>
        <v>2026</v>
      </c>
      <c r="B46" s="129">
        <f>YEAR(Raw_Data[[#This Row],[Date]])</f>
        <v>2025</v>
      </c>
      <c r="C46" s="2" t="s">
        <v>155</v>
      </c>
      <c r="D46" s="2" t="s">
        <v>155</v>
      </c>
      <c r="E46" s="39">
        <v>45778</v>
      </c>
      <c r="F46" s="2">
        <f>DAY(EOMONTH(Raw_Data[[#This Row],[Month Year]],0))</f>
        <v>31</v>
      </c>
      <c r="G46" s="63">
        <f t="shared" si="4"/>
        <v>45787</v>
      </c>
      <c r="H46" s="2">
        <v>11.72</v>
      </c>
      <c r="I46" s="24">
        <v>0.25208333333333333</v>
      </c>
      <c r="J46" s="24">
        <v>0.76736111111111116</v>
      </c>
      <c r="K46" s="2">
        <v>9129</v>
      </c>
      <c r="L46" s="2">
        <v>9182</v>
      </c>
      <c r="M46" s="2">
        <v>7890</v>
      </c>
      <c r="N46" s="2">
        <v>8689</v>
      </c>
      <c r="O46" s="2">
        <v>9571</v>
      </c>
      <c r="P46" s="2">
        <v>9411</v>
      </c>
      <c r="Q46" s="2">
        <v>129701.46189999999</v>
      </c>
      <c r="R46" s="2">
        <v>557.82950000000005</v>
      </c>
      <c r="S46" s="2">
        <v>0</v>
      </c>
      <c r="T46" s="2">
        <v>6463</v>
      </c>
      <c r="U46" s="2">
        <v>6463</v>
      </c>
      <c r="V46" s="2">
        <v>0</v>
      </c>
      <c r="W46" s="2">
        <v>24</v>
      </c>
      <c r="X46" s="2">
        <v>46</v>
      </c>
      <c r="Y46" s="46">
        <v>5</v>
      </c>
      <c r="Z46" s="46">
        <v>7</v>
      </c>
      <c r="AA46" s="2">
        <v>0</v>
      </c>
      <c r="AB46" s="2">
        <f>SUM(Raw_Data[[#This Row],[IC1_Inv1]:[IC2_Inv2]])</f>
        <v>53872</v>
      </c>
      <c r="AC46" s="2">
        <f>IF(Raw_Data[[#This Row],[33 kV Outgoinng Export Reading]]-Q45&gt;0,Raw_Data[[#This Row],[33 kV Outgoinng Export Reading]]-Q45,0)*1000</f>
        <v>53814.299999998184</v>
      </c>
      <c r="AD46" s="2">
        <f>IF(Raw_Data[[#This Row],[33 kV Outgoinng Import Reading]]-R45&gt;0,Raw_Data[[#This Row],[33 kV Outgoinng Import Reading]]-R45,0)*1000</f>
        <v>204.60000000002765</v>
      </c>
      <c r="AE46" s="2">
        <f>Raw_Data[[#This Row],[Export  (kWh)]]-Raw_Data[[#This Row],[Import (kWh)]]</f>
        <v>53609.699999998156</v>
      </c>
      <c r="AF46" s="2">
        <f>IFERROR(AVERAGE(Raw_Data[[#This Row],[POA1(Wh/m2)]:[POA2(Wh/m2)]]),"")</f>
        <v>6463</v>
      </c>
      <c r="AG46" s="2">
        <f>IFERROR(Raw_Data[[#This Row],[Avg. POA without Exclusion (W/m2)2]]-Raw_Data[[#This Row],[Avg. POA Lost (W/m2)]],"")</f>
        <v>6463</v>
      </c>
      <c r="AH46" s="35">
        <f t="shared" ref="AH46" si="41">IFERROR((J46-I46)*24,"")</f>
        <v>12.366666666666667</v>
      </c>
      <c r="AI46" s="2"/>
    </row>
    <row r="47" spans="1:35">
      <c r="A47" s="156">
        <f>YEAR(Raw_Data[[#This Row],[Date]])+IF(MONTH(Raw_Data[[#This Row],[Date]])&gt;=4,1,0)</f>
        <v>2026</v>
      </c>
      <c r="B47" s="129">
        <f>YEAR(Raw_Data[[#This Row],[Date]])</f>
        <v>2025</v>
      </c>
      <c r="C47" s="2" t="s">
        <v>155</v>
      </c>
      <c r="D47" s="2" t="s">
        <v>155</v>
      </c>
      <c r="E47" s="39">
        <v>45778</v>
      </c>
      <c r="F47" s="2">
        <f>DAY(EOMONTH(Raw_Data[[#This Row],[Month Year]],0))</f>
        <v>31</v>
      </c>
      <c r="G47" s="63">
        <f t="shared" si="4"/>
        <v>45788</v>
      </c>
      <c r="H47" s="2">
        <v>11.72</v>
      </c>
      <c r="I47" s="24">
        <v>0.25208333333333333</v>
      </c>
      <c r="J47" s="24">
        <v>0.75694444444444442</v>
      </c>
      <c r="K47" s="2">
        <v>8570</v>
      </c>
      <c r="L47" s="2">
        <v>8791</v>
      </c>
      <c r="M47" s="2">
        <v>7523</v>
      </c>
      <c r="N47" s="2">
        <v>8321</v>
      </c>
      <c r="O47" s="2">
        <v>8917</v>
      </c>
      <c r="P47" s="2">
        <v>8945</v>
      </c>
      <c r="Q47" s="2">
        <v>129752.4142</v>
      </c>
      <c r="R47" s="2">
        <v>557.97329999999999</v>
      </c>
      <c r="S47" s="2">
        <v>0</v>
      </c>
      <c r="T47" s="2">
        <v>6073</v>
      </c>
      <c r="U47" s="2">
        <v>6073</v>
      </c>
      <c r="V47" s="2">
        <v>0</v>
      </c>
      <c r="W47" s="2">
        <v>23</v>
      </c>
      <c r="X47" s="2">
        <v>46</v>
      </c>
      <c r="Y47" s="46">
        <v>5</v>
      </c>
      <c r="Z47" s="46">
        <v>8</v>
      </c>
      <c r="AA47" s="2">
        <v>0</v>
      </c>
      <c r="AB47" s="2">
        <f>SUM(Raw_Data[[#This Row],[IC1_Inv1]:[IC2_Inv2]])</f>
        <v>51067</v>
      </c>
      <c r="AC47" s="2">
        <f>IF(Raw_Data[[#This Row],[33 kV Outgoinng Export Reading]]-Q46&gt;0,Raw_Data[[#This Row],[33 kV Outgoinng Export Reading]]-Q46,0)*1000</f>
        <v>50952.30000000447</v>
      </c>
      <c r="AD47" s="2">
        <f>IF(Raw_Data[[#This Row],[33 kV Outgoinng Import Reading]]-R46&gt;0,Raw_Data[[#This Row],[33 kV Outgoinng Import Reading]]-R46,0)*1000</f>
        <v>143.79999999994197</v>
      </c>
      <c r="AE47" s="2">
        <f>Raw_Data[[#This Row],[Export  (kWh)]]-Raw_Data[[#This Row],[Import (kWh)]]</f>
        <v>50808.500000004526</v>
      </c>
      <c r="AF47" s="2">
        <f>IFERROR(AVERAGE(Raw_Data[[#This Row],[POA1(Wh/m2)]:[POA2(Wh/m2)]]),"")</f>
        <v>6073</v>
      </c>
      <c r="AG47" s="2">
        <f>IFERROR(Raw_Data[[#This Row],[Avg. POA without Exclusion (W/m2)2]]-Raw_Data[[#This Row],[Avg. POA Lost (W/m2)]],"")</f>
        <v>6073</v>
      </c>
      <c r="AH47" s="35">
        <f t="shared" ref="AH47" si="42">IFERROR((J47-I47)*24,"")</f>
        <v>12.116666666666667</v>
      </c>
      <c r="AI47" s="2"/>
    </row>
    <row r="48" spans="1:35">
      <c r="A48" s="156">
        <f>YEAR(Raw_Data[[#This Row],[Date]])+IF(MONTH(Raw_Data[[#This Row],[Date]])&gt;=4,1,0)</f>
        <v>2026</v>
      </c>
      <c r="B48" s="129">
        <f>YEAR(Raw_Data[[#This Row],[Date]])</f>
        <v>2025</v>
      </c>
      <c r="C48" s="2" t="s">
        <v>155</v>
      </c>
      <c r="D48" s="2" t="s">
        <v>155</v>
      </c>
      <c r="E48" s="39">
        <v>45778</v>
      </c>
      <c r="F48" s="2">
        <f>DAY(EOMONTH(Raw_Data[[#This Row],[Month Year]],0))</f>
        <v>31</v>
      </c>
      <c r="G48" s="63">
        <f t="shared" si="4"/>
        <v>45789</v>
      </c>
      <c r="H48" s="2">
        <v>11.72</v>
      </c>
      <c r="I48" s="24">
        <v>0.25416666666666665</v>
      </c>
      <c r="J48" s="24">
        <v>0.75</v>
      </c>
      <c r="K48" s="2">
        <v>8287</v>
      </c>
      <c r="L48" s="2">
        <v>8048</v>
      </c>
      <c r="M48" s="2">
        <v>7109</v>
      </c>
      <c r="N48" s="2">
        <v>7943</v>
      </c>
      <c r="O48" s="2">
        <v>8628</v>
      </c>
      <c r="P48" s="2">
        <v>8781</v>
      </c>
      <c r="Q48" s="2">
        <v>129800.81419999999</v>
      </c>
      <c r="R48" s="2">
        <v>558.17330000000004</v>
      </c>
      <c r="S48" s="2">
        <v>0</v>
      </c>
      <c r="T48" s="2">
        <v>5750</v>
      </c>
      <c r="U48" s="2">
        <v>5750</v>
      </c>
      <c r="V48" s="2">
        <v>0</v>
      </c>
      <c r="W48" s="2">
        <v>23</v>
      </c>
      <c r="X48" s="2">
        <v>44</v>
      </c>
      <c r="Y48" s="65">
        <v>6</v>
      </c>
      <c r="Z48" s="46">
        <v>9</v>
      </c>
      <c r="AA48" s="2">
        <v>0</v>
      </c>
      <c r="AB48" s="2">
        <f>SUM(Raw_Data[[#This Row],[IC1_Inv1]:[IC2_Inv2]])</f>
        <v>48796</v>
      </c>
      <c r="AC48" s="2">
        <f>IF(Raw_Data[[#This Row],[33 kV Outgoinng Export Reading]]-Q47&gt;0,Raw_Data[[#This Row],[33 kV Outgoinng Export Reading]]-Q47,0)*1000</f>
        <v>48399.999999994179</v>
      </c>
      <c r="AD48" s="2">
        <f>IF(Raw_Data[[#This Row],[33 kV Outgoinng Import Reading]]-R47&gt;0,Raw_Data[[#This Row],[33 kV Outgoinng Import Reading]]-R47,0)*1000</f>
        <v>200.00000000004547</v>
      </c>
      <c r="AE48" s="2">
        <f>Raw_Data[[#This Row],[Export  (kWh)]]-Raw_Data[[#This Row],[Import (kWh)]]</f>
        <v>48199.999999994136</v>
      </c>
      <c r="AF48" s="2">
        <f>IFERROR(AVERAGE(Raw_Data[[#This Row],[POA1(Wh/m2)]:[POA2(Wh/m2)]]),"")</f>
        <v>5750</v>
      </c>
      <c r="AG48" s="2">
        <f>IFERROR(Raw_Data[[#This Row],[Avg. POA without Exclusion (W/m2)2]]-Raw_Data[[#This Row],[Avg. POA Lost (W/m2)]],"")</f>
        <v>5750</v>
      </c>
      <c r="AH48" s="35">
        <f t="shared" ref="AH48" si="43">IFERROR((J48-I48)*24,"")</f>
        <v>11.9</v>
      </c>
      <c r="AI48" s="2"/>
    </row>
    <row r="49" spans="1:35">
      <c r="A49" s="156">
        <f>YEAR(Raw_Data[[#This Row],[Date]])+IF(MONTH(Raw_Data[[#This Row],[Date]])&gt;=4,1,0)</f>
        <v>2026</v>
      </c>
      <c r="B49" s="129">
        <f>YEAR(Raw_Data[[#This Row],[Date]])</f>
        <v>2025</v>
      </c>
      <c r="C49" s="2" t="s">
        <v>155</v>
      </c>
      <c r="D49" s="2" t="s">
        <v>155</v>
      </c>
      <c r="E49" s="39">
        <v>45778</v>
      </c>
      <c r="F49" s="2">
        <f>DAY(EOMONTH(Raw_Data[[#This Row],[Month Year]],0))</f>
        <v>31</v>
      </c>
      <c r="G49" s="63">
        <f t="shared" si="4"/>
        <v>45790</v>
      </c>
      <c r="H49" s="2">
        <v>11.72</v>
      </c>
      <c r="I49" s="24">
        <v>0.26041666666666669</v>
      </c>
      <c r="J49" s="24">
        <v>0.75486111111111109</v>
      </c>
      <c r="K49" s="2">
        <v>6606</v>
      </c>
      <c r="L49" s="2">
        <v>6860</v>
      </c>
      <c r="M49" s="2">
        <v>5804</v>
      </c>
      <c r="N49" s="2">
        <v>6367</v>
      </c>
      <c r="O49" s="2">
        <v>6985</v>
      </c>
      <c r="P49" s="2">
        <v>6827</v>
      </c>
      <c r="Q49" s="2">
        <v>129840.7</v>
      </c>
      <c r="R49" s="2">
        <v>558.16420000000005</v>
      </c>
      <c r="S49" s="2">
        <v>0</v>
      </c>
      <c r="T49" s="2">
        <v>6262</v>
      </c>
      <c r="U49" s="2">
        <v>6262</v>
      </c>
      <c r="V49" s="2">
        <v>1400</v>
      </c>
      <c r="W49" s="2">
        <v>23</v>
      </c>
      <c r="X49" s="2">
        <v>44</v>
      </c>
      <c r="Y49" s="65">
        <v>6</v>
      </c>
      <c r="Z49" s="46">
        <v>9</v>
      </c>
      <c r="AA49" s="2">
        <v>0</v>
      </c>
      <c r="AB49" s="2">
        <f>SUM(Raw_Data[[#This Row],[IC1_Inv1]:[IC2_Inv2]])</f>
        <v>39449</v>
      </c>
      <c r="AC49" s="2">
        <f>IF(Raw_Data[[#This Row],[33 kV Outgoinng Export Reading]]-Q48&gt;0,Raw_Data[[#This Row],[33 kV Outgoinng Export Reading]]-Q48,0)*1000</f>
        <v>39885.800000003655</v>
      </c>
      <c r="AD49" s="2">
        <f>IF(Raw_Data[[#This Row],[33 kV Outgoinng Import Reading]]-R48&gt;0,Raw_Data[[#This Row],[33 kV Outgoinng Import Reading]]-R48,0)*1000</f>
        <v>0</v>
      </c>
      <c r="AE49" s="2">
        <f>Raw_Data[[#This Row],[Export  (kWh)]]-Raw_Data[[#This Row],[Import (kWh)]]</f>
        <v>39885.800000003655</v>
      </c>
      <c r="AF49" s="2">
        <f>IFERROR(AVERAGE(Raw_Data[[#This Row],[POA1(Wh/m2)]:[POA2(Wh/m2)]]),"")</f>
        <v>6262</v>
      </c>
      <c r="AG49" s="2">
        <f>IFERROR(Raw_Data[[#This Row],[Avg. POA without Exclusion (W/m2)2]]-Raw_Data[[#This Row],[Avg. POA Lost (W/m2)]],"")</f>
        <v>4862</v>
      </c>
      <c r="AH49" s="35">
        <f t="shared" ref="AH49" si="44">IFERROR((J49-I49)*24,"")</f>
        <v>11.866666666666665</v>
      </c>
      <c r="AI49" s="2"/>
    </row>
    <row r="50" spans="1:35">
      <c r="A50" s="156">
        <f>YEAR(Raw_Data[[#This Row],[Date]])+IF(MONTH(Raw_Data[[#This Row],[Date]])&gt;=4,1,0)</f>
        <v>2026</v>
      </c>
      <c r="B50" s="129">
        <f>YEAR(Raw_Data[[#This Row],[Date]])</f>
        <v>2025</v>
      </c>
      <c r="C50" s="2" t="s">
        <v>155</v>
      </c>
      <c r="D50" s="2" t="s">
        <v>155</v>
      </c>
      <c r="E50" s="39">
        <v>45778</v>
      </c>
      <c r="F50" s="2">
        <f>DAY(EOMONTH(Raw_Data[[#This Row],[Month Year]],0))</f>
        <v>31</v>
      </c>
      <c r="G50" s="63">
        <f t="shared" si="4"/>
        <v>45791</v>
      </c>
      <c r="H50" s="2">
        <v>11.72</v>
      </c>
      <c r="I50" s="24">
        <v>0.25486111111111109</v>
      </c>
      <c r="J50" s="24">
        <v>0.73472222222222228</v>
      </c>
      <c r="K50" s="2">
        <v>9103</v>
      </c>
      <c r="L50" s="2">
        <v>9463</v>
      </c>
      <c r="M50" s="2">
        <v>7964</v>
      </c>
      <c r="N50" s="2">
        <v>8886</v>
      </c>
      <c r="O50" s="2">
        <v>9577</v>
      </c>
      <c r="P50" s="2">
        <v>9472</v>
      </c>
      <c r="Q50" s="2">
        <v>129895.1238</v>
      </c>
      <c r="R50" s="2">
        <v>558.35320000000002</v>
      </c>
      <c r="S50" s="2">
        <v>0</v>
      </c>
      <c r="T50" s="2">
        <v>6549</v>
      </c>
      <c r="U50" s="2">
        <v>6549</v>
      </c>
      <c r="V50" s="2">
        <v>0</v>
      </c>
      <c r="W50" s="2">
        <v>23</v>
      </c>
      <c r="X50" s="2">
        <v>43</v>
      </c>
      <c r="Y50" s="65">
        <v>5</v>
      </c>
      <c r="Z50" s="46">
        <v>11</v>
      </c>
      <c r="AA50" s="2">
        <v>0</v>
      </c>
      <c r="AB50" s="2">
        <f>SUM(Raw_Data[[#This Row],[IC1_Inv1]:[IC2_Inv2]])</f>
        <v>54465</v>
      </c>
      <c r="AC50" s="2">
        <f>IF(Raw_Data[[#This Row],[33 kV Outgoinng Export Reading]]-Q49&gt;0,Raw_Data[[#This Row],[33 kV Outgoinng Export Reading]]-Q49,0)*1000</f>
        <v>54423.800000004121</v>
      </c>
      <c r="AD50" s="2">
        <f>IF(Raw_Data[[#This Row],[33 kV Outgoinng Import Reading]]-R49&gt;0,Raw_Data[[#This Row],[33 kV Outgoinng Import Reading]]-R49,0)*1000</f>
        <v>188.99999999996453</v>
      </c>
      <c r="AE50" s="2">
        <f>Raw_Data[[#This Row],[Export  (kWh)]]-Raw_Data[[#This Row],[Import (kWh)]]</f>
        <v>54234.800000004157</v>
      </c>
      <c r="AF50" s="2">
        <f>IFERROR(AVERAGE(Raw_Data[[#This Row],[POA1(Wh/m2)]:[POA2(Wh/m2)]]),"")</f>
        <v>6549</v>
      </c>
      <c r="AG50" s="2">
        <f>IFERROR(Raw_Data[[#This Row],[Avg. POA without Exclusion (W/m2)2]]-Raw_Data[[#This Row],[Avg. POA Lost (W/m2)]],"")</f>
        <v>6549</v>
      </c>
      <c r="AH50" s="35">
        <f t="shared" ref="AH50" si="45">IFERROR((J50-I50)*24,"")</f>
        <v>11.516666666666669</v>
      </c>
      <c r="AI50" s="2"/>
    </row>
    <row r="51" spans="1:35">
      <c r="A51" s="156">
        <f>YEAR(Raw_Data[[#This Row],[Date]])+IF(MONTH(Raw_Data[[#This Row],[Date]])&gt;=4,1,0)</f>
        <v>2026</v>
      </c>
      <c r="B51" s="129">
        <f>YEAR(Raw_Data[[#This Row],[Date]])</f>
        <v>2025</v>
      </c>
      <c r="C51" s="2" t="s">
        <v>155</v>
      </c>
      <c r="D51" s="2" t="s">
        <v>155</v>
      </c>
      <c r="E51" s="39">
        <v>45778</v>
      </c>
      <c r="F51" s="2">
        <f>DAY(EOMONTH(Raw_Data[[#This Row],[Month Year]],0))</f>
        <v>31</v>
      </c>
      <c r="G51" s="63">
        <f t="shared" si="4"/>
        <v>45792</v>
      </c>
      <c r="H51" s="2">
        <v>11.72</v>
      </c>
      <c r="I51" s="24">
        <v>0.30625000000000002</v>
      </c>
      <c r="J51" s="24">
        <v>0.76944444444444449</v>
      </c>
      <c r="K51" s="2">
        <v>6599</v>
      </c>
      <c r="L51" s="2">
        <v>6916</v>
      </c>
      <c r="M51" s="2">
        <v>5895</v>
      </c>
      <c r="N51" s="2">
        <v>6258</v>
      </c>
      <c r="O51" s="2">
        <v>6911</v>
      </c>
      <c r="P51" s="2">
        <v>6892</v>
      </c>
      <c r="Q51" s="2">
        <v>129934.5287</v>
      </c>
      <c r="R51" s="2">
        <v>558.58839999999998</v>
      </c>
      <c r="S51" s="2">
        <v>0</v>
      </c>
      <c r="T51" s="2">
        <v>4469</v>
      </c>
      <c r="U51" s="2">
        <v>4469</v>
      </c>
      <c r="V51" s="2">
        <v>0</v>
      </c>
      <c r="W51" s="2">
        <v>23</v>
      </c>
      <c r="X51" s="2">
        <v>43</v>
      </c>
      <c r="Y51" s="65">
        <v>7</v>
      </c>
      <c r="Z51" s="46">
        <v>11</v>
      </c>
      <c r="AA51" s="2">
        <v>0</v>
      </c>
      <c r="AB51" s="2">
        <f>SUM(Raw_Data[[#This Row],[IC1_Inv1]:[IC2_Inv2]])</f>
        <v>39471</v>
      </c>
      <c r="AC51" s="2">
        <f>IF(Raw_Data[[#This Row],[33 kV Outgoinng Export Reading]]-Q50&gt;0,Raw_Data[[#This Row],[33 kV Outgoinng Export Reading]]-Q50,0)*1000</f>
        <v>39404.899999994086</v>
      </c>
      <c r="AD51" s="2">
        <f>IF(Raw_Data[[#This Row],[33 kV Outgoinng Import Reading]]-R50&gt;0,Raw_Data[[#This Row],[33 kV Outgoinng Import Reading]]-R50,0)*1000</f>
        <v>235.19999999996344</v>
      </c>
      <c r="AE51" s="2">
        <f>Raw_Data[[#This Row],[Export  (kWh)]]-Raw_Data[[#This Row],[Import (kWh)]]</f>
        <v>39169.699999994125</v>
      </c>
      <c r="AF51" s="2">
        <f>IFERROR(AVERAGE(Raw_Data[[#This Row],[POA1(Wh/m2)]:[POA2(Wh/m2)]]),"")</f>
        <v>4469</v>
      </c>
      <c r="AG51" s="2">
        <f>IFERROR(Raw_Data[[#This Row],[Avg. POA without Exclusion (W/m2)2]]-Raw_Data[[#This Row],[Avg. POA Lost (W/m2)]],"")</f>
        <v>4469</v>
      </c>
      <c r="AH51" s="35">
        <f t="shared" ref="AH51" si="46">IFERROR((J51-I51)*24,"")</f>
        <v>11.116666666666667</v>
      </c>
      <c r="AI51" s="2"/>
    </row>
    <row r="52" spans="1:35">
      <c r="A52" s="2">
        <f>YEAR(Raw_Data[[#This Row],[Date]])+IF(MONTH(Raw_Data[[#This Row],[Date]])&gt;=4,1,0)</f>
        <v>2026</v>
      </c>
      <c r="B52" s="2">
        <f>YEAR(Raw_Data[[#This Row],[Date]])</f>
        <v>2025</v>
      </c>
      <c r="C52" s="2" t="s">
        <v>155</v>
      </c>
      <c r="D52" s="2" t="s">
        <v>155</v>
      </c>
      <c r="E52" s="39">
        <v>45778</v>
      </c>
      <c r="F52" s="2">
        <f>DAY(EOMONTH(Raw_Data[[#This Row],[Month Year]],0))</f>
        <v>31</v>
      </c>
      <c r="G52" s="63">
        <f t="shared" si="4"/>
        <v>45793</v>
      </c>
      <c r="H52" s="2">
        <v>11.72</v>
      </c>
      <c r="I52" s="24">
        <v>0.25138888888888888</v>
      </c>
      <c r="J52" s="24">
        <v>0.77222222222222225</v>
      </c>
      <c r="K52" s="2">
        <v>9024</v>
      </c>
      <c r="L52" s="2">
        <v>9310</v>
      </c>
      <c r="M52" s="2">
        <v>7986</v>
      </c>
      <c r="N52" s="2">
        <v>8648</v>
      </c>
      <c r="O52" s="2">
        <v>9616</v>
      </c>
      <c r="P52" s="2">
        <v>9482</v>
      </c>
      <c r="Q52" s="2">
        <v>129988.6933</v>
      </c>
      <c r="R52" s="2">
        <v>558.7672</v>
      </c>
      <c r="S52" s="2">
        <v>0</v>
      </c>
      <c r="T52" s="2">
        <v>6637</v>
      </c>
      <c r="U52" s="2">
        <v>6637</v>
      </c>
      <c r="V52" s="2">
        <v>257</v>
      </c>
      <c r="W52" s="2">
        <v>23</v>
      </c>
      <c r="X52" s="2">
        <v>45</v>
      </c>
      <c r="Y52" s="65">
        <v>5</v>
      </c>
      <c r="Z52" s="2">
        <v>7</v>
      </c>
      <c r="AA52" s="2">
        <v>0</v>
      </c>
      <c r="AB52" s="2">
        <f>SUM(Raw_Data[[#This Row],[IC1_Inv1]:[IC2_Inv2]])</f>
        <v>54066</v>
      </c>
      <c r="AC52" s="2">
        <f>IF(Raw_Data[[#This Row],[33 kV Outgoinng Export Reading]]-Q51&gt;0,Raw_Data[[#This Row],[33 kV Outgoinng Export Reading]]-Q51,0)*1000</f>
        <v>54164.600000003702</v>
      </c>
      <c r="AD52" s="2">
        <f>IF(Raw_Data[[#This Row],[33 kV Outgoinng Import Reading]]-R51&gt;0,Raw_Data[[#This Row],[33 kV Outgoinng Import Reading]]-R51,0)*1000</f>
        <v>178.80000000002383</v>
      </c>
      <c r="AE52" s="2">
        <f>Raw_Data[[#This Row],[Export  (kWh)]]-Raw_Data[[#This Row],[Import (kWh)]]</f>
        <v>53985.800000003677</v>
      </c>
      <c r="AF52" s="2">
        <f>IFERROR(AVERAGE(Raw_Data[[#This Row],[POA1(Wh/m2)]:[POA2(Wh/m2)]]),"")</f>
        <v>6637</v>
      </c>
      <c r="AG52" s="2">
        <f>IFERROR(Raw_Data[[#This Row],[Avg. POA without Exclusion (W/m2)2]]-Raw_Data[[#This Row],[Avg. POA Lost (W/m2)]],"")</f>
        <v>6380</v>
      </c>
      <c r="AH52" s="35">
        <f t="shared" ref="AH52:AH57" si="47">IFERROR((J52-I52)*24,"")</f>
        <v>12.5</v>
      </c>
      <c r="AI52" s="2"/>
    </row>
    <row r="53" spans="1:35">
      <c r="A53" s="2">
        <f>YEAR(Raw_Data[[#This Row],[Date]])+IF(MONTH(Raw_Data[[#This Row],[Date]])&gt;=4,1,0)</f>
        <v>2026</v>
      </c>
      <c r="B53" s="2">
        <f>YEAR(Raw_Data[[#This Row],[Date]])</f>
        <v>2025</v>
      </c>
      <c r="C53" s="2" t="s">
        <v>155</v>
      </c>
      <c r="D53" s="2" t="s">
        <v>155</v>
      </c>
      <c r="E53" s="39">
        <v>45778</v>
      </c>
      <c r="F53" s="2">
        <f>DAY(EOMONTH(Raw_Data[[#This Row],[Month Year]],0))</f>
        <v>31</v>
      </c>
      <c r="G53" s="63">
        <f t="shared" si="4"/>
        <v>45794</v>
      </c>
      <c r="H53" s="2">
        <v>11.72</v>
      </c>
      <c r="I53" s="24">
        <v>0.25138888888888888</v>
      </c>
      <c r="J53" s="24">
        <v>0.76041666666666663</v>
      </c>
      <c r="K53" s="2">
        <v>9089</v>
      </c>
      <c r="L53" s="2">
        <v>9207</v>
      </c>
      <c r="M53" s="2">
        <v>7914</v>
      </c>
      <c r="N53" s="2">
        <v>8761</v>
      </c>
      <c r="O53" s="2">
        <v>9520</v>
      </c>
      <c r="P53" s="2">
        <v>9454</v>
      </c>
      <c r="Q53" s="2">
        <v>130042.57150000001</v>
      </c>
      <c r="R53" s="2">
        <v>558.98829999999998</v>
      </c>
      <c r="S53" s="2">
        <v>0</v>
      </c>
      <c r="T53" s="2">
        <v>6887</v>
      </c>
      <c r="U53" s="2">
        <v>6887</v>
      </c>
      <c r="V53" s="2">
        <v>457</v>
      </c>
      <c r="W53" s="2">
        <v>23</v>
      </c>
      <c r="X53" s="2">
        <v>46.6</v>
      </c>
      <c r="Y53" s="65">
        <v>2.4</v>
      </c>
      <c r="Z53" s="2">
        <v>6</v>
      </c>
      <c r="AA53" s="2">
        <v>0</v>
      </c>
      <c r="AB53" s="2">
        <f>SUM(Raw_Data[[#This Row],[IC1_Inv1]:[IC2_Inv2]])</f>
        <v>53945</v>
      </c>
      <c r="AC53" s="2">
        <f>IF(Raw_Data[[#This Row],[33 kV Outgoinng Export Reading]]-Q52&gt;0,Raw_Data[[#This Row],[33 kV Outgoinng Export Reading]]-Q52,0)*1000</f>
        <v>53878.200000006473</v>
      </c>
      <c r="AD53" s="2">
        <f>IF(Raw_Data[[#This Row],[33 kV Outgoinng Import Reading]]-R52&gt;0,Raw_Data[[#This Row],[33 kV Outgoinng Import Reading]]-R52,0)*1000</f>
        <v>221.09999999997854</v>
      </c>
      <c r="AE53" s="2">
        <f>Raw_Data[[#This Row],[Export  (kWh)]]-Raw_Data[[#This Row],[Import (kWh)]]</f>
        <v>53657.100000006496</v>
      </c>
      <c r="AF53" s="2">
        <f>IFERROR(AVERAGE(Raw_Data[[#This Row],[POA1(Wh/m2)]:[POA2(Wh/m2)]]),"")</f>
        <v>6887</v>
      </c>
      <c r="AG53" s="2">
        <f>IFERROR(Raw_Data[[#This Row],[Avg. POA without Exclusion (W/m2)2]]-Raw_Data[[#This Row],[Avg. POA Lost (W/m2)]],"")</f>
        <v>6430</v>
      </c>
      <c r="AH53" s="35">
        <f t="shared" si="47"/>
        <v>12.216666666666665</v>
      </c>
      <c r="AI53" s="2"/>
    </row>
    <row r="54" spans="1:35">
      <c r="A54" s="2">
        <f>YEAR(Raw_Data[[#This Row],[Date]])+IF(MONTH(Raw_Data[[#This Row],[Date]])&gt;=4,1,0)</f>
        <v>2026</v>
      </c>
      <c r="B54" s="2">
        <f>YEAR(Raw_Data[[#This Row],[Date]])</f>
        <v>2025</v>
      </c>
      <c r="C54" s="2" t="s">
        <v>155</v>
      </c>
      <c r="D54" s="2" t="s">
        <v>155</v>
      </c>
      <c r="E54" s="39">
        <v>45778</v>
      </c>
      <c r="F54" s="2">
        <f>DAY(EOMONTH(Raw_Data[[#This Row],[Month Year]],0))</f>
        <v>31</v>
      </c>
      <c r="G54" s="63">
        <f t="shared" si="4"/>
        <v>45795</v>
      </c>
      <c r="H54" s="2">
        <v>11.72</v>
      </c>
      <c r="I54" s="24">
        <v>0.25208333333333333</v>
      </c>
      <c r="J54" s="24">
        <v>0.7729166666666667</v>
      </c>
      <c r="K54" s="2">
        <v>7538</v>
      </c>
      <c r="L54" s="2">
        <v>7716</v>
      </c>
      <c r="M54" s="2">
        <v>6616</v>
      </c>
      <c r="N54" s="2">
        <v>7163</v>
      </c>
      <c r="O54" s="2">
        <v>7831</v>
      </c>
      <c r="P54" s="2">
        <v>7870</v>
      </c>
      <c r="Q54" s="2">
        <v>130087.3633</v>
      </c>
      <c r="R54" s="2">
        <v>559.07719999999995</v>
      </c>
      <c r="S54" s="2">
        <v>0</v>
      </c>
      <c r="T54" s="2">
        <v>5192</v>
      </c>
      <c r="U54" s="2">
        <v>5192</v>
      </c>
      <c r="V54" s="2">
        <v>0</v>
      </c>
      <c r="W54" s="2">
        <v>23</v>
      </c>
      <c r="X54" s="2">
        <v>40</v>
      </c>
      <c r="Y54" s="65">
        <v>5</v>
      </c>
      <c r="Z54" s="2">
        <v>10</v>
      </c>
      <c r="AA54" s="2">
        <v>0</v>
      </c>
      <c r="AB54" s="2">
        <f>SUM(Raw_Data[[#This Row],[IC1_Inv1]:[IC2_Inv2]])</f>
        <v>44734</v>
      </c>
      <c r="AC54" s="2">
        <f>IF(Raw_Data[[#This Row],[33 kV Outgoinng Export Reading]]-Q53&gt;0,Raw_Data[[#This Row],[33 kV Outgoinng Export Reading]]-Q53,0)*1000</f>
        <v>44791.799999991781</v>
      </c>
      <c r="AD54" s="2">
        <f>IF(Raw_Data[[#This Row],[33 kV Outgoinng Import Reading]]-R53&gt;0,Raw_Data[[#This Row],[33 kV Outgoinng Import Reading]]-R53,0)*1000</f>
        <v>88.899999999966894</v>
      </c>
      <c r="AE54" s="2">
        <f>Raw_Data[[#This Row],[Export  (kWh)]]-Raw_Data[[#This Row],[Import (kWh)]]</f>
        <v>44702.899999991816</v>
      </c>
      <c r="AF54" s="2">
        <f>IFERROR(AVERAGE(Raw_Data[[#This Row],[POA1(Wh/m2)]:[POA2(Wh/m2)]]),"")</f>
        <v>5192</v>
      </c>
      <c r="AG54" s="2">
        <f>IFERROR(Raw_Data[[#This Row],[Avg. POA without Exclusion (W/m2)2]]-Raw_Data[[#This Row],[Avg. POA Lost (W/m2)]],"")</f>
        <v>5192</v>
      </c>
      <c r="AH54" s="35">
        <f t="shared" si="47"/>
        <v>12.5</v>
      </c>
      <c r="AI54" s="2"/>
    </row>
    <row r="55" spans="1:35">
      <c r="A55" s="2">
        <f>YEAR(Raw_Data[[#This Row],[Date]])+IF(MONTH(Raw_Data[[#This Row],[Date]])&gt;=4,1,0)</f>
        <v>2026</v>
      </c>
      <c r="B55" s="2">
        <f>YEAR(Raw_Data[[#This Row],[Date]])</f>
        <v>2025</v>
      </c>
      <c r="C55" s="2" t="s">
        <v>155</v>
      </c>
      <c r="D55" s="2" t="s">
        <v>155</v>
      </c>
      <c r="E55" s="39">
        <v>45778</v>
      </c>
      <c r="F55" s="2">
        <f>DAY(EOMONTH(Raw_Data[[#This Row],[Month Year]],0))</f>
        <v>31</v>
      </c>
      <c r="G55" s="63">
        <f t="shared" si="4"/>
        <v>45796</v>
      </c>
      <c r="H55" s="2">
        <v>11.72</v>
      </c>
      <c r="I55" s="24">
        <v>0.25208333333333333</v>
      </c>
      <c r="J55" s="24">
        <v>0.77083333333333337</v>
      </c>
      <c r="K55" s="2">
        <v>4542</v>
      </c>
      <c r="L55" s="2">
        <v>4783</v>
      </c>
      <c r="M55" s="2">
        <v>4152</v>
      </c>
      <c r="N55" s="2">
        <v>4357</v>
      </c>
      <c r="O55" s="2">
        <v>4672</v>
      </c>
      <c r="P55" s="2">
        <v>4625</v>
      </c>
      <c r="Q55" s="2">
        <v>130114.4142</v>
      </c>
      <c r="R55" s="2">
        <v>559.12639999999999</v>
      </c>
      <c r="S55" s="2">
        <v>0</v>
      </c>
      <c r="T55" s="2">
        <v>4719</v>
      </c>
      <c r="U55" s="2">
        <v>4719</v>
      </c>
      <c r="V55" s="2">
        <v>1551</v>
      </c>
      <c r="W55" s="2">
        <v>23</v>
      </c>
      <c r="X55" s="2">
        <v>42</v>
      </c>
      <c r="Y55" s="65">
        <v>5</v>
      </c>
      <c r="Z55" s="2">
        <v>7</v>
      </c>
      <c r="AA55" s="2">
        <v>0</v>
      </c>
      <c r="AB55" s="2">
        <f>SUM(Raw_Data[[#This Row],[IC1_Inv1]:[IC2_Inv2]])</f>
        <v>27131</v>
      </c>
      <c r="AC55" s="2">
        <f>IF(Raw_Data[[#This Row],[33 kV Outgoinng Export Reading]]-Q54&gt;0,Raw_Data[[#This Row],[33 kV Outgoinng Export Reading]]-Q54,0)*1000</f>
        <v>27050.900000002002</v>
      </c>
      <c r="AD55" s="2">
        <f>IF(Raw_Data[[#This Row],[33 kV Outgoinng Import Reading]]-R54&gt;0,Raw_Data[[#This Row],[33 kV Outgoinng Import Reading]]-R54,0)*1000</f>
        <v>49.200000000041655</v>
      </c>
      <c r="AE55" s="2">
        <f>Raw_Data[[#This Row],[Export  (kWh)]]-Raw_Data[[#This Row],[Import (kWh)]]</f>
        <v>27001.700000001962</v>
      </c>
      <c r="AF55" s="2">
        <f>IFERROR(AVERAGE(Raw_Data[[#This Row],[POA1(Wh/m2)]:[POA2(Wh/m2)]]),"")</f>
        <v>4719</v>
      </c>
      <c r="AG55" s="2">
        <f>IFERROR(Raw_Data[[#This Row],[Avg. POA without Exclusion (W/m2)2]]-Raw_Data[[#This Row],[Avg. POA Lost (W/m2)]],"")</f>
        <v>3168</v>
      </c>
      <c r="AH55" s="35">
        <f t="shared" si="47"/>
        <v>12.450000000000001</v>
      </c>
      <c r="AI55" s="2"/>
    </row>
    <row r="56" spans="1:35">
      <c r="A56" s="2">
        <f>YEAR(Raw_Data[[#This Row],[Date]])+IF(MONTH(Raw_Data[[#This Row],[Date]])&gt;=4,1,0)</f>
        <v>2026</v>
      </c>
      <c r="B56" s="2">
        <f>YEAR(Raw_Data[[#This Row],[Date]])</f>
        <v>2025</v>
      </c>
      <c r="C56" s="2" t="s">
        <v>155</v>
      </c>
      <c r="D56" s="2" t="s">
        <v>155</v>
      </c>
      <c r="E56" s="39">
        <v>45778</v>
      </c>
      <c r="F56" s="2">
        <f>DAY(EOMONTH(Raw_Data[[#This Row],[Month Year]],0))</f>
        <v>31</v>
      </c>
      <c r="G56" s="63">
        <f t="shared" si="4"/>
        <v>45797</v>
      </c>
      <c r="H56" s="2">
        <v>11.72</v>
      </c>
      <c r="I56" s="24">
        <v>0.24791666666666667</v>
      </c>
      <c r="J56" s="24">
        <v>0.76527777777777772</v>
      </c>
      <c r="K56" s="2">
        <v>6667</v>
      </c>
      <c r="L56" s="2">
        <v>6679</v>
      </c>
      <c r="M56" s="2">
        <v>5769</v>
      </c>
      <c r="N56" s="2">
        <v>6318</v>
      </c>
      <c r="O56" s="2">
        <v>6880</v>
      </c>
      <c r="P56" s="2">
        <v>6964</v>
      </c>
      <c r="Q56" s="2">
        <v>130153.6238</v>
      </c>
      <c r="R56" s="2">
        <v>559.30619999999999</v>
      </c>
      <c r="S56" s="2">
        <v>0</v>
      </c>
      <c r="T56" s="2">
        <v>4529</v>
      </c>
      <c r="U56" s="2">
        <v>4529</v>
      </c>
      <c r="V56" s="2">
        <v>0</v>
      </c>
      <c r="W56" s="2">
        <v>23</v>
      </c>
      <c r="X56" s="2">
        <v>38</v>
      </c>
      <c r="Y56" s="65">
        <v>5</v>
      </c>
      <c r="Z56" s="2">
        <v>10</v>
      </c>
      <c r="AA56" s="2">
        <v>0</v>
      </c>
      <c r="AB56" s="2">
        <f>SUM(Raw_Data[[#This Row],[IC1_Inv1]:[IC2_Inv2]])</f>
        <v>39277</v>
      </c>
      <c r="AC56" s="2">
        <f>IF(Raw_Data[[#This Row],[33 kV Outgoinng Export Reading]]-Q55&gt;0,Raw_Data[[#This Row],[33 kV Outgoinng Export Reading]]-Q55,0)*1000</f>
        <v>39209.600000001956</v>
      </c>
      <c r="AD56" s="2">
        <f>IF(Raw_Data[[#This Row],[33 kV Outgoinng Import Reading]]-R55&gt;0,Raw_Data[[#This Row],[33 kV Outgoinng Import Reading]]-R55,0)*1000</f>
        <v>179.80000000000018</v>
      </c>
      <c r="AE56" s="2">
        <f>Raw_Data[[#This Row],[Export  (kWh)]]-Raw_Data[[#This Row],[Import (kWh)]]</f>
        <v>39029.800000001953</v>
      </c>
      <c r="AF56" s="2">
        <f>IFERROR(AVERAGE(Raw_Data[[#This Row],[POA1(Wh/m2)]:[POA2(Wh/m2)]]),"")</f>
        <v>4529</v>
      </c>
      <c r="AG56" s="2">
        <f>IFERROR(Raw_Data[[#This Row],[Avg. POA without Exclusion (W/m2)2]]-Raw_Data[[#This Row],[Avg. POA Lost (W/m2)]],"")</f>
        <v>4529</v>
      </c>
      <c r="AH56" s="35">
        <f t="shared" si="47"/>
        <v>12.416666666666664</v>
      </c>
      <c r="AI56" s="2"/>
    </row>
    <row r="57" spans="1:35">
      <c r="A57" s="2">
        <f>YEAR(Raw_Data[[#This Row],[Date]])+IF(MONTH(Raw_Data[[#This Row],[Date]])&gt;=4,1,0)</f>
        <v>2026</v>
      </c>
      <c r="B57" s="2">
        <f>YEAR(Raw_Data[[#This Row],[Date]])</f>
        <v>2025</v>
      </c>
      <c r="C57" s="2" t="s">
        <v>155</v>
      </c>
      <c r="D57" s="2" t="s">
        <v>155</v>
      </c>
      <c r="E57" s="39">
        <v>45778</v>
      </c>
      <c r="F57" s="2">
        <f>DAY(EOMONTH(Raw_Data[[#This Row],[Month Year]],0))</f>
        <v>31</v>
      </c>
      <c r="G57" s="63">
        <f t="shared" si="4"/>
        <v>45798</v>
      </c>
      <c r="H57" s="2">
        <v>11.72</v>
      </c>
      <c r="I57" s="24">
        <v>0.29444444444444445</v>
      </c>
      <c r="J57" s="24">
        <v>0.69305555555555554</v>
      </c>
      <c r="K57" s="2">
        <v>4247</v>
      </c>
      <c r="L57" s="2">
        <v>4330</v>
      </c>
      <c r="M57" s="2">
        <v>3801</v>
      </c>
      <c r="N57" s="2">
        <v>3965</v>
      </c>
      <c r="O57" s="2">
        <v>4354</v>
      </c>
      <c r="P57" s="2">
        <v>4337</v>
      </c>
      <c r="Q57" s="2">
        <v>130178.6309</v>
      </c>
      <c r="R57" s="2">
        <v>559.38710000000003</v>
      </c>
      <c r="S57" s="2">
        <v>0</v>
      </c>
      <c r="T57" s="2">
        <v>3177</v>
      </c>
      <c r="U57" s="2">
        <v>3211</v>
      </c>
      <c r="V57" s="2">
        <v>460</v>
      </c>
      <c r="W57" s="2">
        <v>23</v>
      </c>
      <c r="X57" s="2">
        <v>36</v>
      </c>
      <c r="Y57" s="65">
        <v>2</v>
      </c>
      <c r="Z57" s="2">
        <v>6</v>
      </c>
      <c r="AA57" s="2">
        <v>0</v>
      </c>
      <c r="AB57" s="2">
        <f>SUM(Raw_Data[[#This Row],[IC1_Inv1]:[IC2_Inv2]])</f>
        <v>25034</v>
      </c>
      <c r="AC57" s="2">
        <f>IF(Raw_Data[[#This Row],[33 kV Outgoinng Export Reading]]-Q56&gt;0,Raw_Data[[#This Row],[33 kV Outgoinng Export Reading]]-Q56,0)*1000</f>
        <v>25007.100000002538</v>
      </c>
      <c r="AD57" s="2">
        <f>IF(Raw_Data[[#This Row],[33 kV Outgoinng Import Reading]]-R56&gt;0,Raw_Data[[#This Row],[33 kV Outgoinng Import Reading]]-R56,0)*1000</f>
        <v>80.900000000042382</v>
      </c>
      <c r="AE57" s="2">
        <f>Raw_Data[[#This Row],[Export  (kWh)]]-Raw_Data[[#This Row],[Import (kWh)]]</f>
        <v>24926.200000002496</v>
      </c>
      <c r="AF57" s="2">
        <f>IFERROR(AVERAGE(Raw_Data[[#This Row],[POA1(Wh/m2)]:[POA2(Wh/m2)]]),"")</f>
        <v>3194</v>
      </c>
      <c r="AG57" s="2">
        <f>IFERROR(Raw_Data[[#This Row],[Avg. POA without Exclusion (W/m2)2]]-Raw_Data[[#This Row],[Avg. POA Lost (W/m2)]],"")</f>
        <v>2734</v>
      </c>
      <c r="AH57" s="35">
        <f t="shared" si="47"/>
        <v>9.5666666666666664</v>
      </c>
      <c r="AI57" s="2"/>
    </row>
    <row r="58" spans="1:35">
      <c r="A58" s="2">
        <f>YEAR(Raw_Data[[#This Row],[Date]])+IF(MONTH(Raw_Data[[#This Row],[Date]])&gt;=4,1,0)</f>
        <v>2026</v>
      </c>
      <c r="B58" s="2">
        <f>YEAR(Raw_Data[[#This Row],[Date]])</f>
        <v>2025</v>
      </c>
      <c r="C58" s="2" t="s">
        <v>155</v>
      </c>
      <c r="D58" s="2" t="s">
        <v>155</v>
      </c>
      <c r="E58" s="39">
        <v>45778</v>
      </c>
      <c r="F58" s="2">
        <f>DAY(EOMONTH(Raw_Data[[#This Row],[Month Year]],0))</f>
        <v>31</v>
      </c>
      <c r="G58" s="63">
        <f t="shared" si="4"/>
        <v>45799</v>
      </c>
      <c r="H58" s="2">
        <v>11.72</v>
      </c>
      <c r="I58" s="24">
        <v>0.27986111111111112</v>
      </c>
      <c r="J58" s="24">
        <v>0.72569444444444442</v>
      </c>
      <c r="K58" s="2">
        <v>7662</v>
      </c>
      <c r="L58" s="2">
        <v>8183</v>
      </c>
      <c r="M58" s="2">
        <v>5863</v>
      </c>
      <c r="N58" s="2">
        <v>7757</v>
      </c>
      <c r="O58" s="2">
        <v>8361</v>
      </c>
      <c r="P58" s="2">
        <v>8328</v>
      </c>
      <c r="Q58" s="2">
        <v>130224.71679999999</v>
      </c>
      <c r="R58" s="2">
        <v>559.57460000000003</v>
      </c>
      <c r="S58" s="2">
        <v>0</v>
      </c>
      <c r="T58" s="2">
        <v>5757</v>
      </c>
      <c r="U58" s="2">
        <v>5813</v>
      </c>
      <c r="V58" s="2">
        <v>211</v>
      </c>
      <c r="W58" s="2">
        <v>23</v>
      </c>
      <c r="X58" s="2">
        <v>44</v>
      </c>
      <c r="Y58" s="65">
        <v>2</v>
      </c>
      <c r="Z58" s="2">
        <v>7</v>
      </c>
      <c r="AA58" s="2">
        <v>0</v>
      </c>
      <c r="AB58" s="2">
        <f>SUM(Raw_Data[[#This Row],[IC1_Inv1]:[IC2_Inv2]])</f>
        <v>46154</v>
      </c>
      <c r="AC58" s="2">
        <f>IF(Raw_Data[[#This Row],[33 kV Outgoinng Export Reading]]-Q57&gt;0,Raw_Data[[#This Row],[33 kV Outgoinng Export Reading]]-Q57,0)*1000</f>
        <v>46085.899999990943</v>
      </c>
      <c r="AD58" s="2">
        <f>IF(Raw_Data[[#This Row],[33 kV Outgoinng Import Reading]]-R57&gt;0,Raw_Data[[#This Row],[33 kV Outgoinng Import Reading]]-R57,0)*1000</f>
        <v>187.5</v>
      </c>
      <c r="AE58" s="2">
        <f>Raw_Data[[#This Row],[Export  (kWh)]]-Raw_Data[[#This Row],[Import (kWh)]]</f>
        <v>45898.399999990943</v>
      </c>
      <c r="AF58" s="2">
        <f>IFERROR(AVERAGE(Raw_Data[[#This Row],[POA1(Wh/m2)]:[POA2(Wh/m2)]]),"")</f>
        <v>5785</v>
      </c>
      <c r="AG58" s="2">
        <f>IFERROR(Raw_Data[[#This Row],[Avg. POA without Exclusion (W/m2)2]]-Raw_Data[[#This Row],[Avg. POA Lost (W/m2)]],"")</f>
        <v>5574</v>
      </c>
      <c r="AH58" s="35">
        <f t="shared" ref="AH58" si="48">IFERROR((J58-I58)*24,"")</f>
        <v>10.7</v>
      </c>
      <c r="AI58" s="2"/>
    </row>
    <row r="59" spans="1:35">
      <c r="A59" s="2">
        <f>YEAR(Raw_Data[[#This Row],[Date]])+IF(MONTH(Raw_Data[[#This Row],[Date]])&gt;=4,1,0)</f>
        <v>2026</v>
      </c>
      <c r="B59" s="2">
        <f>YEAR(Raw_Data[[#This Row],[Date]])</f>
        <v>2025</v>
      </c>
      <c r="C59" s="2" t="s">
        <v>155</v>
      </c>
      <c r="D59" s="2" t="s">
        <v>155</v>
      </c>
      <c r="E59" s="39">
        <v>45778</v>
      </c>
      <c r="F59" s="2">
        <f>DAY(EOMONTH(Raw_Data[[#This Row],[Month Year]],0))</f>
        <v>31</v>
      </c>
      <c r="G59" s="63">
        <f t="shared" si="4"/>
        <v>45800</v>
      </c>
      <c r="H59" s="2">
        <v>11.72</v>
      </c>
      <c r="I59" s="24">
        <v>0.25208333333333333</v>
      </c>
      <c r="J59" s="24">
        <v>0.77777777777777779</v>
      </c>
      <c r="K59" s="2">
        <v>8611</v>
      </c>
      <c r="L59" s="2">
        <v>8431</v>
      </c>
      <c r="M59" s="2">
        <v>7020</v>
      </c>
      <c r="N59" s="2">
        <v>8158</v>
      </c>
      <c r="O59" s="2">
        <v>8758</v>
      </c>
      <c r="P59" s="2">
        <v>9112</v>
      </c>
      <c r="Q59" s="2">
        <v>130274.7408</v>
      </c>
      <c r="R59" s="2">
        <v>559.77149999999995</v>
      </c>
      <c r="S59" s="2">
        <v>0</v>
      </c>
      <c r="T59" s="2">
        <v>5835</v>
      </c>
      <c r="U59" s="2">
        <v>5835</v>
      </c>
      <c r="V59" s="2">
        <v>0</v>
      </c>
      <c r="W59" s="2">
        <v>23</v>
      </c>
      <c r="X59" s="2">
        <v>44</v>
      </c>
      <c r="Y59" s="65">
        <v>2</v>
      </c>
      <c r="Z59" s="2">
        <v>7</v>
      </c>
      <c r="AA59" s="2">
        <v>0</v>
      </c>
      <c r="AB59" s="2">
        <f>SUM(Raw_Data[[#This Row],[IC1_Inv1]:[IC2_Inv2]])</f>
        <v>50090</v>
      </c>
      <c r="AC59" s="2">
        <f>IF(Raw_Data[[#This Row],[33 kV Outgoinng Export Reading]]-Q58&gt;0,Raw_Data[[#This Row],[33 kV Outgoinng Export Reading]]-Q58,0)*1000</f>
        <v>50024.000000004889</v>
      </c>
      <c r="AD59" s="2">
        <f>IF(Raw_Data[[#This Row],[33 kV Outgoinng Import Reading]]-R58&gt;0,Raw_Data[[#This Row],[33 kV Outgoinng Import Reading]]-R58,0)*1000</f>
        <v>196.89999999991414</v>
      </c>
      <c r="AE59" s="2">
        <f>Raw_Data[[#This Row],[Export  (kWh)]]-Raw_Data[[#This Row],[Import (kWh)]]</f>
        <v>49827.100000004975</v>
      </c>
      <c r="AF59" s="2">
        <f>IFERROR(AVERAGE(Raw_Data[[#This Row],[POA1(Wh/m2)]:[POA2(Wh/m2)]]),"")</f>
        <v>5835</v>
      </c>
      <c r="AG59" s="2">
        <f>IFERROR(Raw_Data[[#This Row],[Avg. POA without Exclusion (W/m2)2]]-Raw_Data[[#This Row],[Avg. POA Lost (W/m2)]],"")</f>
        <v>5835</v>
      </c>
      <c r="AH59" s="35">
        <f t="shared" ref="AH59" si="49">IFERROR((J59-I59)*24,"")</f>
        <v>12.616666666666667</v>
      </c>
      <c r="AI59" s="2"/>
    </row>
    <row r="60" spans="1:35">
      <c r="A60" s="2">
        <f>YEAR(Raw_Data[[#This Row],[Date]])+IF(MONTH(Raw_Data[[#This Row],[Date]])&gt;=4,1,0)</f>
        <v>2026</v>
      </c>
      <c r="B60" s="2">
        <f>YEAR(Raw_Data[[#This Row],[Date]])</f>
        <v>2025</v>
      </c>
      <c r="C60" s="2" t="s">
        <v>155</v>
      </c>
      <c r="D60" s="2" t="s">
        <v>155</v>
      </c>
      <c r="E60" s="39">
        <v>45778</v>
      </c>
      <c r="F60" s="2">
        <f>DAY(EOMONTH(Raw_Data[[#This Row],[Month Year]],0))</f>
        <v>31</v>
      </c>
      <c r="G60" s="63">
        <f t="shared" si="4"/>
        <v>45801</v>
      </c>
      <c r="H60" s="2">
        <v>11.72</v>
      </c>
      <c r="I60" s="24">
        <v>0.25208333333333333</v>
      </c>
      <c r="J60" s="24">
        <v>0.77777777777777779</v>
      </c>
      <c r="K60" s="2">
        <v>5128</v>
      </c>
      <c r="L60" s="2">
        <v>5224</v>
      </c>
      <c r="M60" s="2">
        <v>4605</v>
      </c>
      <c r="N60" s="2">
        <v>4775</v>
      </c>
      <c r="O60" s="2">
        <v>5161</v>
      </c>
      <c r="P60" s="2">
        <v>5281</v>
      </c>
      <c r="Q60" s="2">
        <v>130304.8637</v>
      </c>
      <c r="R60" s="2">
        <v>559.91840000000002</v>
      </c>
      <c r="S60" s="2">
        <v>0</v>
      </c>
      <c r="T60" s="2">
        <v>3245</v>
      </c>
      <c r="U60" s="2">
        <v>3245</v>
      </c>
      <c r="V60" s="2">
        <v>0</v>
      </c>
      <c r="W60" s="2">
        <v>23</v>
      </c>
      <c r="X60" s="2">
        <v>31</v>
      </c>
      <c r="Y60" s="65">
        <v>2</v>
      </c>
      <c r="Z60" s="2">
        <v>8</v>
      </c>
      <c r="AA60" s="2">
        <v>0</v>
      </c>
      <c r="AB60" s="2">
        <f>SUM(Raw_Data[[#This Row],[IC1_Inv1]:[IC2_Inv2]])</f>
        <v>30174</v>
      </c>
      <c r="AC60" s="2">
        <f>IF(Raw_Data[[#This Row],[33 kV Outgoinng Export Reading]]-Q59&gt;0,Raw_Data[[#This Row],[33 kV Outgoinng Export Reading]]-Q59,0)*1000</f>
        <v>30122.900000002119</v>
      </c>
      <c r="AD60" s="2">
        <f>IF(Raw_Data[[#This Row],[33 kV Outgoinng Import Reading]]-R59&gt;0,Raw_Data[[#This Row],[33 kV Outgoinng Import Reading]]-R59,0)*1000</f>
        <v>146.90000000007331</v>
      </c>
      <c r="AE60" s="2">
        <f>Raw_Data[[#This Row],[Export  (kWh)]]-Raw_Data[[#This Row],[Import (kWh)]]</f>
        <v>29976.000000002045</v>
      </c>
      <c r="AF60" s="2">
        <f>IFERROR(AVERAGE(Raw_Data[[#This Row],[POA1(Wh/m2)]:[POA2(Wh/m2)]]),"")</f>
        <v>3245</v>
      </c>
      <c r="AG60" s="2">
        <f>IFERROR(Raw_Data[[#This Row],[Avg. POA without Exclusion (W/m2)2]]-Raw_Data[[#This Row],[Avg. POA Lost (W/m2)]],"")</f>
        <v>3245</v>
      </c>
      <c r="AH60" s="35">
        <f t="shared" ref="AH60" si="50">IFERROR((J60-I60)*24,"")</f>
        <v>12.616666666666667</v>
      </c>
      <c r="AI60" s="2"/>
    </row>
    <row r="61" spans="1:35">
      <c r="A61" s="2">
        <f>YEAR(Raw_Data[[#This Row],[Date]])+IF(MONTH(Raw_Data[[#This Row],[Date]])&gt;=4,1,0)</f>
        <v>2026</v>
      </c>
      <c r="B61" s="2">
        <f>YEAR(Raw_Data[[#This Row],[Date]])</f>
        <v>2025</v>
      </c>
      <c r="C61" s="2" t="s">
        <v>155</v>
      </c>
      <c r="D61" s="2" t="s">
        <v>155</v>
      </c>
      <c r="E61" s="39">
        <v>45778</v>
      </c>
      <c r="F61" s="2">
        <f>DAY(EOMONTH(Raw_Data[[#This Row],[Month Year]],0))</f>
        <v>31</v>
      </c>
      <c r="G61" s="63">
        <f t="shared" si="4"/>
        <v>45802</v>
      </c>
      <c r="H61" s="2">
        <v>11.72</v>
      </c>
      <c r="I61" s="24">
        <v>0.24861111111111112</v>
      </c>
      <c r="J61" s="24">
        <v>0.77708333333333335</v>
      </c>
      <c r="K61" s="2">
        <v>6491</v>
      </c>
      <c r="L61" s="2">
        <v>6815</v>
      </c>
      <c r="M61" s="2">
        <v>5851</v>
      </c>
      <c r="N61" s="2">
        <v>6141</v>
      </c>
      <c r="O61" s="2">
        <v>6436</v>
      </c>
      <c r="P61" s="2">
        <v>6679</v>
      </c>
      <c r="Q61" s="2">
        <v>130343.2743</v>
      </c>
      <c r="R61" s="2">
        <v>560.10519999999997</v>
      </c>
      <c r="S61" s="2">
        <v>0</v>
      </c>
      <c r="T61" s="2">
        <v>4460</v>
      </c>
      <c r="U61" s="2">
        <v>4460</v>
      </c>
      <c r="V61" s="2">
        <v>0</v>
      </c>
      <c r="W61" s="2">
        <v>23</v>
      </c>
      <c r="X61" s="2">
        <v>36</v>
      </c>
      <c r="Y61" s="65">
        <v>2</v>
      </c>
      <c r="Z61" s="2">
        <v>8</v>
      </c>
      <c r="AA61" s="2">
        <v>0</v>
      </c>
      <c r="AB61" s="2">
        <f>SUM(Raw_Data[[#This Row],[IC1_Inv1]:[IC2_Inv2]])</f>
        <v>38413</v>
      </c>
      <c r="AC61" s="2">
        <f>IF(Raw_Data[[#This Row],[33 kV Outgoinng Export Reading]]-Q60&gt;0,Raw_Data[[#This Row],[33 kV Outgoinng Export Reading]]-Q60,0)*1000</f>
        <v>38410.600000002887</v>
      </c>
      <c r="AD61" s="2">
        <f>IF(Raw_Data[[#This Row],[33 kV Outgoinng Import Reading]]-R60&gt;0,Raw_Data[[#This Row],[33 kV Outgoinng Import Reading]]-R60,0)*1000</f>
        <v>186.79999999994834</v>
      </c>
      <c r="AE61" s="2">
        <f>Raw_Data[[#This Row],[Export  (kWh)]]-Raw_Data[[#This Row],[Import (kWh)]]</f>
        <v>38223.800000002942</v>
      </c>
      <c r="AF61" s="2">
        <f>IFERROR(AVERAGE(Raw_Data[[#This Row],[POA1(Wh/m2)]:[POA2(Wh/m2)]]),"")</f>
        <v>4460</v>
      </c>
      <c r="AG61" s="2">
        <f>IFERROR(Raw_Data[[#This Row],[Avg. POA without Exclusion (W/m2)2]]-Raw_Data[[#This Row],[Avg. POA Lost (W/m2)]],"")</f>
        <v>4460</v>
      </c>
      <c r="AH61" s="35">
        <f t="shared" ref="AH61" si="51">IFERROR((J61-I61)*24,"")</f>
        <v>12.683333333333334</v>
      </c>
      <c r="AI61" s="2"/>
    </row>
    <row r="62" spans="1:35">
      <c r="A62" s="2">
        <f>YEAR(Raw_Data[[#This Row],[Date]])+IF(MONTH(Raw_Data[[#This Row],[Date]])&gt;=4,1,0)</f>
        <v>2026</v>
      </c>
      <c r="B62" s="2">
        <f>YEAR(Raw_Data[[#This Row],[Date]])</f>
        <v>2025</v>
      </c>
      <c r="C62" s="2" t="s">
        <v>155</v>
      </c>
      <c r="D62" s="2" t="s">
        <v>155</v>
      </c>
      <c r="E62" s="39">
        <v>45778</v>
      </c>
      <c r="F62" s="2">
        <f>DAY(EOMONTH(Raw_Data[[#This Row],[Month Year]],0))</f>
        <v>31</v>
      </c>
      <c r="G62" s="63">
        <f t="shared" si="4"/>
        <v>45803</v>
      </c>
      <c r="H62" s="2">
        <v>11.72</v>
      </c>
      <c r="I62" s="24">
        <v>0.25</v>
      </c>
      <c r="J62" s="24">
        <v>0.76736111111111116</v>
      </c>
      <c r="K62" s="2">
        <v>4388</v>
      </c>
      <c r="L62" s="2">
        <v>4589</v>
      </c>
      <c r="M62" s="2">
        <v>4022</v>
      </c>
      <c r="N62" s="2">
        <v>4116</v>
      </c>
      <c r="O62" s="2">
        <v>4470</v>
      </c>
      <c r="P62" s="2">
        <v>4435</v>
      </c>
      <c r="Q62" s="2">
        <v>130369.232</v>
      </c>
      <c r="R62" s="2">
        <v>560.30169999999998</v>
      </c>
      <c r="S62" s="2">
        <v>0</v>
      </c>
      <c r="T62" s="2">
        <v>3038</v>
      </c>
      <c r="U62" s="2">
        <v>3038</v>
      </c>
      <c r="V62" s="2">
        <v>175</v>
      </c>
      <c r="W62" s="2">
        <v>23</v>
      </c>
      <c r="X62" s="2">
        <v>33</v>
      </c>
      <c r="Y62" s="65">
        <v>2</v>
      </c>
      <c r="Z62" s="2">
        <v>6</v>
      </c>
      <c r="AA62" s="2">
        <v>0</v>
      </c>
      <c r="AB62" s="2">
        <f>SUM(Raw_Data[[#This Row],[IC1_Inv1]:[IC2_Inv2]])</f>
        <v>26020</v>
      </c>
      <c r="AC62" s="2">
        <f>IF(Raw_Data[[#This Row],[33 kV Outgoinng Export Reading]]-Q61&gt;0,Raw_Data[[#This Row],[33 kV Outgoinng Export Reading]]-Q61,0)*1000</f>
        <v>25957.699999999022</v>
      </c>
      <c r="AD62" s="2">
        <f>IF(Raw_Data[[#This Row],[33 kV Outgoinng Import Reading]]-R61&gt;0,Raw_Data[[#This Row],[33 kV Outgoinng Import Reading]]-R61,0)*1000</f>
        <v>196.50000000001455</v>
      </c>
      <c r="AE62" s="2">
        <f>Raw_Data[[#This Row],[Export  (kWh)]]-Raw_Data[[#This Row],[Import (kWh)]]</f>
        <v>25761.199999999008</v>
      </c>
      <c r="AF62" s="2">
        <f>IFERROR(AVERAGE(Raw_Data[[#This Row],[POA1(Wh/m2)]:[POA2(Wh/m2)]]),"")</f>
        <v>3038</v>
      </c>
      <c r="AG62" s="2">
        <f>IFERROR(Raw_Data[[#This Row],[Avg. POA without Exclusion (W/m2)2]]-Raw_Data[[#This Row],[Avg. POA Lost (W/m2)]],"")</f>
        <v>2863</v>
      </c>
      <c r="AH62" s="35">
        <f t="shared" ref="AH62" si="52">IFERROR((J62-I62)*24,"")</f>
        <v>12.416666666666668</v>
      </c>
      <c r="AI62" s="2"/>
    </row>
    <row r="63" spans="1:35">
      <c r="A63" s="2">
        <f>YEAR(Raw_Data[[#This Row],[Date]])+IF(MONTH(Raw_Data[[#This Row],[Date]])&gt;=4,1,0)</f>
        <v>2026</v>
      </c>
      <c r="B63" s="2">
        <f>YEAR(Raw_Data[[#This Row],[Date]])</f>
        <v>2025</v>
      </c>
      <c r="C63" s="2" t="s">
        <v>155</v>
      </c>
      <c r="D63" s="2" t="s">
        <v>155</v>
      </c>
      <c r="E63" s="39">
        <v>45778</v>
      </c>
      <c r="F63" s="2">
        <f>DAY(EOMONTH(Raw_Data[[#This Row],[Month Year]],0))</f>
        <v>31</v>
      </c>
      <c r="G63" s="63">
        <f t="shared" si="4"/>
        <v>45804</v>
      </c>
      <c r="H63" s="2">
        <v>11.72</v>
      </c>
      <c r="I63" s="24">
        <v>0.24513888888888888</v>
      </c>
      <c r="J63" s="24">
        <v>0.72986111111111107</v>
      </c>
      <c r="K63" s="2">
        <v>4397</v>
      </c>
      <c r="L63" s="2">
        <v>4466</v>
      </c>
      <c r="M63" s="2">
        <v>3908</v>
      </c>
      <c r="N63" s="2">
        <v>4107</v>
      </c>
      <c r="O63" s="2">
        <v>4569</v>
      </c>
      <c r="P63" s="2">
        <v>4528</v>
      </c>
      <c r="Q63" s="2">
        <v>130395.1636</v>
      </c>
      <c r="R63" s="2">
        <v>560.49789999999996</v>
      </c>
      <c r="S63" s="2">
        <v>0</v>
      </c>
      <c r="T63" s="2">
        <v>2875</v>
      </c>
      <c r="U63" s="2">
        <v>2875</v>
      </c>
      <c r="V63" s="2">
        <v>72</v>
      </c>
      <c r="W63" s="2">
        <v>23</v>
      </c>
      <c r="X63" s="2">
        <v>33</v>
      </c>
      <c r="Y63" s="65">
        <v>2</v>
      </c>
      <c r="Z63" s="2">
        <v>6</v>
      </c>
      <c r="AA63" s="2">
        <v>0</v>
      </c>
      <c r="AB63" s="2">
        <f>SUM(Raw_Data[[#This Row],[IC1_Inv1]:[IC2_Inv2]])</f>
        <v>25975</v>
      </c>
      <c r="AC63" s="2">
        <f>IF(Raw_Data[[#This Row],[33 kV Outgoinng Export Reading]]-Q62&gt;0,Raw_Data[[#This Row],[33 kV Outgoinng Export Reading]]-Q62,0)*1000</f>
        <v>25931.599999996251</v>
      </c>
      <c r="AD63" s="2">
        <f>IF(Raw_Data[[#This Row],[33 kV Outgoinng Import Reading]]-R62&gt;0,Raw_Data[[#This Row],[33 kV Outgoinng Import Reading]]-R62,0)*1000</f>
        <v>196.19999999997617</v>
      </c>
      <c r="AE63" s="2">
        <f>Raw_Data[[#This Row],[Export  (kWh)]]-Raw_Data[[#This Row],[Import (kWh)]]</f>
        <v>25735.399999996276</v>
      </c>
      <c r="AF63" s="2">
        <f>IFERROR(AVERAGE(Raw_Data[[#This Row],[POA1(Wh/m2)]:[POA2(Wh/m2)]]),"")</f>
        <v>2875</v>
      </c>
      <c r="AG63" s="2">
        <f>IFERROR(Raw_Data[[#This Row],[Avg. POA without Exclusion (W/m2)2]]-Raw_Data[[#This Row],[Avg. POA Lost (W/m2)]],"")</f>
        <v>2803</v>
      </c>
      <c r="AH63" s="35">
        <f t="shared" ref="AH63" si="53">IFERROR((J63-I63)*24,"")</f>
        <v>11.633333333333333</v>
      </c>
      <c r="AI63" s="2"/>
    </row>
    <row r="64" spans="1:35">
      <c r="A64" s="2">
        <f>YEAR(Raw_Data[[#This Row],[Date]])+IF(MONTH(Raw_Data[[#This Row],[Date]])&gt;=4,1,0)</f>
        <v>2026</v>
      </c>
      <c r="B64" s="2">
        <f>YEAR(Raw_Data[[#This Row],[Date]])</f>
        <v>2025</v>
      </c>
      <c r="C64" s="2" t="s">
        <v>155</v>
      </c>
      <c r="D64" s="2" t="s">
        <v>155</v>
      </c>
      <c r="E64" s="39">
        <v>45778</v>
      </c>
      <c r="F64" s="2">
        <f>DAY(EOMONTH(Raw_Data[[#This Row],[Month Year]],0))</f>
        <v>31</v>
      </c>
      <c r="G64" s="63">
        <f t="shared" si="4"/>
        <v>45805</v>
      </c>
      <c r="H64" s="2">
        <v>11.72</v>
      </c>
      <c r="I64" s="24">
        <v>0.25</v>
      </c>
      <c r="J64" s="24">
        <v>0.77013888888888893</v>
      </c>
      <c r="K64" s="2">
        <v>2720</v>
      </c>
      <c r="L64" s="2">
        <v>2762</v>
      </c>
      <c r="M64" s="2">
        <v>2385</v>
      </c>
      <c r="N64" s="2">
        <v>2693</v>
      </c>
      <c r="O64" s="2">
        <v>2957</v>
      </c>
      <c r="P64" s="2">
        <v>2910</v>
      </c>
      <c r="Q64" s="2">
        <v>130411.6005</v>
      </c>
      <c r="R64" s="2">
        <v>560.69960000000003</v>
      </c>
      <c r="S64" s="2">
        <v>0</v>
      </c>
      <c r="T64" s="2">
        <v>4760</v>
      </c>
      <c r="U64" s="2">
        <v>4760</v>
      </c>
      <c r="V64" s="2">
        <v>2803</v>
      </c>
      <c r="W64" s="2">
        <v>23</v>
      </c>
      <c r="X64" s="2">
        <v>32</v>
      </c>
      <c r="Y64" s="65">
        <v>2.5</v>
      </c>
      <c r="Z64" s="2">
        <v>5</v>
      </c>
      <c r="AA64" s="2">
        <v>0</v>
      </c>
      <c r="AB64" s="2">
        <f>SUM(Raw_Data[[#This Row],[IC1_Inv1]:[IC2_Inv2]])</f>
        <v>16427</v>
      </c>
      <c r="AC64" s="2">
        <f>IF(Raw_Data[[#This Row],[33 kV Outgoinng Export Reading]]-Q63&gt;0,Raw_Data[[#This Row],[33 kV Outgoinng Export Reading]]-Q63,0)*1000</f>
        <v>16436.900000000605</v>
      </c>
      <c r="AD64" s="2">
        <f>IF(Raw_Data[[#This Row],[33 kV Outgoinng Import Reading]]-R63&gt;0,Raw_Data[[#This Row],[33 kV Outgoinng Import Reading]]-R63,0)*1000</f>
        <v>201.70000000007349</v>
      </c>
      <c r="AE64" s="2">
        <f>Raw_Data[[#This Row],[Export  (kWh)]]-Raw_Data[[#This Row],[Import (kWh)]]</f>
        <v>16235.200000000532</v>
      </c>
      <c r="AF64" s="2">
        <f>IFERROR(AVERAGE(Raw_Data[[#This Row],[POA1(Wh/m2)]:[POA2(Wh/m2)]]),"")</f>
        <v>4760</v>
      </c>
      <c r="AG64" s="2">
        <f>IFERROR(Raw_Data[[#This Row],[Avg. POA without Exclusion (W/m2)2]]-Raw_Data[[#This Row],[Avg. POA Lost (W/m2)]],"")</f>
        <v>1957</v>
      </c>
      <c r="AH64" s="35">
        <f t="shared" ref="AH64" si="54">IFERROR((J64-I64)*24,"")</f>
        <v>12.483333333333334</v>
      </c>
      <c r="AI64" s="2"/>
    </row>
    <row r="65" spans="1:35">
      <c r="A65" s="2">
        <f>YEAR(Raw_Data[[#This Row],[Date]])+IF(MONTH(Raw_Data[[#This Row],[Date]])&gt;=4,1,0)</f>
        <v>2026</v>
      </c>
      <c r="B65" s="2">
        <f>YEAR(Raw_Data[[#This Row],[Date]])</f>
        <v>2025</v>
      </c>
      <c r="C65" s="2" t="s">
        <v>155</v>
      </c>
      <c r="D65" s="2" t="s">
        <v>155</v>
      </c>
      <c r="E65" s="39">
        <v>45778</v>
      </c>
      <c r="F65" s="2">
        <f>DAY(EOMONTH(Raw_Data[[#This Row],[Month Year]],0))</f>
        <v>31</v>
      </c>
      <c r="G65" s="63">
        <f t="shared" si="4"/>
        <v>45806</v>
      </c>
      <c r="H65" s="2">
        <v>11.72</v>
      </c>
      <c r="I65" s="24">
        <v>0.2638888888888889</v>
      </c>
      <c r="J65" s="24">
        <v>0.77430555555555558</v>
      </c>
      <c r="K65" s="2">
        <v>0</v>
      </c>
      <c r="L65" s="2">
        <v>0</v>
      </c>
      <c r="M65" s="2">
        <v>0</v>
      </c>
      <c r="N65" s="2">
        <v>0</v>
      </c>
      <c r="O65" s="2">
        <v>5112</v>
      </c>
      <c r="P65" s="2">
        <v>5247</v>
      </c>
      <c r="Q65" s="2">
        <v>130421.8996</v>
      </c>
      <c r="R65" s="2">
        <v>560.80499999999995</v>
      </c>
      <c r="S65" s="2">
        <v>0</v>
      </c>
      <c r="T65" s="2">
        <v>3230</v>
      </c>
      <c r="U65" s="2">
        <v>3230</v>
      </c>
      <c r="V65" s="2">
        <v>0</v>
      </c>
      <c r="W65" s="2">
        <v>23</v>
      </c>
      <c r="X65" s="2">
        <v>32</v>
      </c>
      <c r="Y65" s="65">
        <v>2.5</v>
      </c>
      <c r="Z65" s="2">
        <v>5</v>
      </c>
      <c r="AA65" s="2">
        <v>0</v>
      </c>
      <c r="AB65" s="2">
        <f>SUM(Raw_Data[[#This Row],[IC1_Inv1]:[IC2_Inv2]])</f>
        <v>10359</v>
      </c>
      <c r="AC65" s="2">
        <f>IF(Raw_Data[[#This Row],[33 kV Outgoinng Export Reading]]-Q64&gt;0,Raw_Data[[#This Row],[33 kV Outgoinng Export Reading]]-Q64,0)*1000</f>
        <v>10299.100000003818</v>
      </c>
      <c r="AD65" s="2">
        <f>IF(Raw_Data[[#This Row],[33 kV Outgoinng Import Reading]]-R64&gt;0,Raw_Data[[#This Row],[33 kV Outgoinng Import Reading]]-R64,0)*1000</f>
        <v>105.39999999991778</v>
      </c>
      <c r="AE65" s="2">
        <f>Raw_Data[[#This Row],[Export  (kWh)]]-Raw_Data[[#This Row],[Import (kWh)]]</f>
        <v>10193.700000003901</v>
      </c>
      <c r="AF65" s="2">
        <f>IFERROR(AVERAGE(Raw_Data[[#This Row],[POA1(Wh/m2)]:[POA2(Wh/m2)]]),"")</f>
        <v>3230</v>
      </c>
      <c r="AG65" s="2">
        <f>IFERROR(Raw_Data[[#This Row],[Avg. POA without Exclusion (W/m2)2]]-Raw_Data[[#This Row],[Avg. POA Lost (W/m2)]],"")</f>
        <v>3230</v>
      </c>
      <c r="AH65" s="35">
        <f t="shared" ref="AH65" si="55">IFERROR((J65-I65)*24,"")</f>
        <v>12.250000000000002</v>
      </c>
      <c r="AI65" s="2"/>
    </row>
    <row r="66" spans="1:35">
      <c r="A66" s="2">
        <f>YEAR(Raw_Data[[#This Row],[Date]])+IF(MONTH(Raw_Data[[#This Row],[Date]])&gt;=4,1,0)</f>
        <v>2026</v>
      </c>
      <c r="B66" s="2">
        <f>YEAR(Raw_Data[[#This Row],[Date]])</f>
        <v>2025</v>
      </c>
      <c r="C66" s="2" t="s">
        <v>155</v>
      </c>
      <c r="D66" s="2" t="s">
        <v>155</v>
      </c>
      <c r="E66" s="39">
        <v>45778</v>
      </c>
      <c r="F66" s="2">
        <f>DAY(EOMONTH(Raw_Data[[#This Row],[Month Year]],0))</f>
        <v>31</v>
      </c>
      <c r="G66" s="63">
        <f t="shared" si="4"/>
        <v>45807</v>
      </c>
      <c r="H66" s="2">
        <v>11.72</v>
      </c>
      <c r="I66" s="24">
        <v>0.25833333333333336</v>
      </c>
      <c r="J66" s="24">
        <v>0.77638888888888891</v>
      </c>
      <c r="K66" s="2">
        <v>0</v>
      </c>
      <c r="L66" s="2">
        <v>0</v>
      </c>
      <c r="M66" s="2">
        <v>0</v>
      </c>
      <c r="N66" s="2">
        <v>0</v>
      </c>
      <c r="O66" s="2">
        <v>9886</v>
      </c>
      <c r="P66" s="2">
        <v>9887</v>
      </c>
      <c r="Q66" s="2">
        <v>130441.5264</v>
      </c>
      <c r="R66" s="2">
        <v>560.90959999999995</v>
      </c>
      <c r="S66" s="2">
        <v>0</v>
      </c>
      <c r="T66" s="2">
        <v>6501</v>
      </c>
      <c r="U66" s="2">
        <v>6501</v>
      </c>
      <c r="V66" s="2">
        <v>0</v>
      </c>
      <c r="W66" s="2">
        <v>23</v>
      </c>
      <c r="X66" s="2">
        <v>37</v>
      </c>
      <c r="Y66" s="65">
        <v>2</v>
      </c>
      <c r="Z66" s="2">
        <v>6</v>
      </c>
      <c r="AA66" s="2">
        <v>0</v>
      </c>
      <c r="AB66" s="2">
        <f>SUM(Raw_Data[[#This Row],[IC1_Inv1]:[IC2_Inv2]])</f>
        <v>19773</v>
      </c>
      <c r="AC66" s="2">
        <f>IF(Raw_Data[[#This Row],[33 kV Outgoinng Export Reading]]-Q65&gt;0,Raw_Data[[#This Row],[33 kV Outgoinng Export Reading]]-Q65,0)*1000</f>
        <v>19626.799999998184</v>
      </c>
      <c r="AD66" s="2">
        <f>IF(Raw_Data[[#This Row],[33 kV Outgoinng Import Reading]]-R65&gt;0,Raw_Data[[#This Row],[33 kV Outgoinng Import Reading]]-R65,0)*1000</f>
        <v>104.60000000000491</v>
      </c>
      <c r="AE66" s="2">
        <f>Raw_Data[[#This Row],[Export  (kWh)]]-Raw_Data[[#This Row],[Import (kWh)]]</f>
        <v>19522.199999998178</v>
      </c>
      <c r="AF66" s="2">
        <f>IFERROR(AVERAGE(Raw_Data[[#This Row],[POA1(Wh/m2)]:[POA2(Wh/m2)]]),"")</f>
        <v>6501</v>
      </c>
      <c r="AG66" s="2">
        <f>IFERROR(Raw_Data[[#This Row],[Avg. POA without Exclusion (W/m2)2]]-Raw_Data[[#This Row],[Avg. POA Lost (W/m2)]],"")</f>
        <v>6501</v>
      </c>
      <c r="AH66" s="35">
        <f t="shared" ref="AH66" si="56">IFERROR((J66-I66)*24,"")</f>
        <v>12.433333333333332</v>
      </c>
      <c r="AI66" s="2"/>
    </row>
    <row r="67" spans="1:35">
      <c r="A67" s="2">
        <f>YEAR(Raw_Data[[#This Row],[Date]])+IF(MONTH(Raw_Data[[#This Row],[Date]])&gt;=4,1,0)</f>
        <v>2026</v>
      </c>
      <c r="B67" s="2">
        <f>YEAR(Raw_Data[[#This Row],[Date]])</f>
        <v>2025</v>
      </c>
      <c r="C67" s="2" t="s">
        <v>155</v>
      </c>
      <c r="D67" s="2" t="s">
        <v>155</v>
      </c>
      <c r="E67" s="39">
        <v>45778</v>
      </c>
      <c r="F67" s="2">
        <f>DAY(EOMONTH(Raw_Data[[#This Row],[Month Year]],0))</f>
        <v>31</v>
      </c>
      <c r="G67" s="63">
        <f t="shared" si="4"/>
        <v>45808</v>
      </c>
      <c r="H67" s="2">
        <v>11.72</v>
      </c>
      <c r="I67" s="24">
        <v>0.24444444444444444</v>
      </c>
      <c r="J67" s="24">
        <v>0.77569444444444446</v>
      </c>
      <c r="K67" s="2">
        <v>9800</v>
      </c>
      <c r="L67" s="2">
        <v>9837</v>
      </c>
      <c r="M67" s="2">
        <v>8337</v>
      </c>
      <c r="N67" s="2">
        <v>9409</v>
      </c>
      <c r="O67" s="2">
        <v>10797</v>
      </c>
      <c r="P67" s="2">
        <v>10606</v>
      </c>
      <c r="Q67" s="2">
        <v>130500.3472</v>
      </c>
      <c r="R67" s="2">
        <v>561.03959999999995</v>
      </c>
      <c r="S67" s="2">
        <v>0</v>
      </c>
      <c r="T67" s="2">
        <v>8303</v>
      </c>
      <c r="U67" s="2">
        <v>8303</v>
      </c>
      <c r="V67" s="2">
        <v>0</v>
      </c>
      <c r="W67" s="2">
        <v>23</v>
      </c>
      <c r="X67" s="2">
        <v>44</v>
      </c>
      <c r="Y67" s="65">
        <v>3</v>
      </c>
      <c r="Z67" s="2">
        <v>7</v>
      </c>
      <c r="AA67" s="2">
        <v>0</v>
      </c>
      <c r="AB67" s="2">
        <f>SUM(Raw_Data[[#This Row],[IC1_Inv1]:[IC2_Inv2]])</f>
        <v>58786</v>
      </c>
      <c r="AC67" s="2">
        <f>IF(Raw_Data[[#This Row],[33 kV Outgoinng Export Reading]]-Q66&gt;0,Raw_Data[[#This Row],[33 kV Outgoinng Export Reading]]-Q66,0)*1000</f>
        <v>58820.800000001327</v>
      </c>
      <c r="AD67" s="2">
        <f>IF(Raw_Data[[#This Row],[33 kV Outgoinng Import Reading]]-R66&gt;0,Raw_Data[[#This Row],[33 kV Outgoinng Import Reading]]-R66,0)*1000</f>
        <v>129.99999999999545</v>
      </c>
      <c r="AE67" s="2">
        <f>Raw_Data[[#This Row],[Export  (kWh)]]-Raw_Data[[#This Row],[Import (kWh)]]</f>
        <v>58690.800000001334</v>
      </c>
      <c r="AF67" s="2">
        <f>IFERROR(AVERAGE(Raw_Data[[#This Row],[POA1(Wh/m2)]:[POA2(Wh/m2)]]),"")</f>
        <v>8303</v>
      </c>
      <c r="AG67" s="2">
        <f>IFERROR(Raw_Data[[#This Row],[Avg. POA without Exclusion (W/m2)2]]-Raw_Data[[#This Row],[Avg. POA Lost (W/m2)]],"")</f>
        <v>8303</v>
      </c>
      <c r="AH67" s="35">
        <f t="shared" ref="AH67" si="57">IFERROR((J67-I67)*24,"")</f>
        <v>12.75</v>
      </c>
      <c r="AI67" s="2"/>
    </row>
    <row r="68" spans="1:35">
      <c r="A68" s="2">
        <f>YEAR(Raw_Data[[#This Row],[Date]])+IF(MONTH(Raw_Data[[#This Row],[Date]])&gt;=4,1,0)</f>
        <v>2026</v>
      </c>
      <c r="B68" s="2">
        <f>YEAR(Raw_Data[[#This Row],[Date]])</f>
        <v>2025</v>
      </c>
      <c r="C68" s="2" t="s">
        <v>155</v>
      </c>
      <c r="D68" s="2" t="s">
        <v>155</v>
      </c>
      <c r="E68" s="39">
        <v>45809</v>
      </c>
      <c r="F68" s="2">
        <f>DAY(EOMONTH(Raw_Data[[#This Row],[Month Year]],0))</f>
        <v>30</v>
      </c>
      <c r="G68" s="63">
        <f t="shared" si="4"/>
        <v>45809</v>
      </c>
      <c r="H68" s="2">
        <v>11.72</v>
      </c>
      <c r="I68" s="24">
        <v>0.24236111111111111</v>
      </c>
      <c r="J68" s="24">
        <v>0.77361111111111114</v>
      </c>
      <c r="K68" s="2">
        <v>10792</v>
      </c>
      <c r="L68" s="2">
        <v>10969</v>
      </c>
      <c r="M68" s="2">
        <v>9393</v>
      </c>
      <c r="N68" s="2">
        <v>10427</v>
      </c>
      <c r="O68" s="2">
        <v>11444</v>
      </c>
      <c r="P68" s="2">
        <v>11370</v>
      </c>
      <c r="Q68" s="2">
        <v>130564.6697</v>
      </c>
      <c r="R68" s="2">
        <v>561.20039999999995</v>
      </c>
      <c r="S68" s="2">
        <v>0</v>
      </c>
      <c r="T68" s="2">
        <v>7674</v>
      </c>
      <c r="U68" s="2">
        <v>7676</v>
      </c>
      <c r="V68" s="2">
        <v>0</v>
      </c>
      <c r="W68" s="2">
        <v>24</v>
      </c>
      <c r="X68" s="2">
        <v>41</v>
      </c>
      <c r="Y68" s="65">
        <v>3</v>
      </c>
      <c r="Z68" s="2">
        <v>7</v>
      </c>
      <c r="AA68" s="2">
        <v>0</v>
      </c>
      <c r="AB68" s="2">
        <f>SUM(Raw_Data[[#This Row],[IC1_Inv1]:[IC2_Inv2]])</f>
        <v>64395</v>
      </c>
      <c r="AC68" s="2">
        <f>IF(Raw_Data[[#This Row],[33 kV Outgoinng Export Reading]]-Q67&gt;0,Raw_Data[[#This Row],[33 kV Outgoinng Export Reading]]-Q67,0)*1000</f>
        <v>64322.499999994761</v>
      </c>
      <c r="AD68" s="2">
        <f>IF(Raw_Data[[#This Row],[33 kV Outgoinng Import Reading]]-R67&gt;0,Raw_Data[[#This Row],[33 kV Outgoinng Import Reading]]-R67,0)*1000</f>
        <v>160.79999999999472</v>
      </c>
      <c r="AE68" s="2">
        <f>Raw_Data[[#This Row],[Export  (kWh)]]-Raw_Data[[#This Row],[Import (kWh)]]</f>
        <v>64161.699999994766</v>
      </c>
      <c r="AF68" s="2">
        <f>IFERROR(AVERAGE(Raw_Data[[#This Row],[POA1(Wh/m2)]:[POA2(Wh/m2)]]),"")</f>
        <v>7675</v>
      </c>
      <c r="AG68" s="2">
        <f>IFERROR(Raw_Data[[#This Row],[Avg. POA without Exclusion (W/m2)2]]-Raw_Data[[#This Row],[Avg. POA Lost (W/m2)]],"")</f>
        <v>7675</v>
      </c>
      <c r="AH68" s="35">
        <f t="shared" ref="AH68:AH71" si="58">IFERROR((J68-I68)*24,"")</f>
        <v>12.75</v>
      </c>
      <c r="AI68" s="2"/>
    </row>
    <row r="69" spans="1:35">
      <c r="A69" s="2">
        <f>YEAR(Raw_Data[[#This Row],[Date]])+IF(MONTH(Raw_Data[[#This Row],[Date]])&gt;=4,1,0)</f>
        <v>2026</v>
      </c>
      <c r="B69" s="2">
        <f>YEAR(Raw_Data[[#This Row],[Date]])</f>
        <v>2025</v>
      </c>
      <c r="C69" s="2" t="s">
        <v>155</v>
      </c>
      <c r="D69" s="2" t="s">
        <v>155</v>
      </c>
      <c r="E69" s="39">
        <v>45809</v>
      </c>
      <c r="F69" s="2">
        <f>DAY(EOMONTH(Raw_Data[[#This Row],[Month Year]],0))</f>
        <v>30</v>
      </c>
      <c r="G69" s="63">
        <f t="shared" si="4"/>
        <v>45810</v>
      </c>
      <c r="H69" s="2">
        <v>11.72</v>
      </c>
      <c r="I69" s="24">
        <v>0.24166666666666667</v>
      </c>
      <c r="J69" s="24">
        <v>0.77083333333333337</v>
      </c>
      <c r="K69" s="2">
        <v>8316</v>
      </c>
      <c r="L69" s="2">
        <v>8792</v>
      </c>
      <c r="M69" s="2">
        <v>7648</v>
      </c>
      <c r="N69" s="2">
        <v>8519</v>
      </c>
      <c r="O69" s="2">
        <v>9291</v>
      </c>
      <c r="P69" s="2">
        <v>9403</v>
      </c>
      <c r="Q69" s="2">
        <v>130616.6344</v>
      </c>
      <c r="R69" s="2">
        <v>561.38160000000005</v>
      </c>
      <c r="S69" s="2">
        <v>0</v>
      </c>
      <c r="T69" s="2">
        <v>6392</v>
      </c>
      <c r="U69" s="2">
        <v>6416</v>
      </c>
      <c r="V69" s="2">
        <v>174</v>
      </c>
      <c r="W69" s="2">
        <v>23</v>
      </c>
      <c r="X69" s="2">
        <v>41</v>
      </c>
      <c r="Y69" s="65">
        <v>3</v>
      </c>
      <c r="Z69" s="2">
        <v>8</v>
      </c>
      <c r="AA69" s="2">
        <v>0</v>
      </c>
      <c r="AB69" s="2">
        <f>SUM(Raw_Data[[#This Row],[IC1_Inv1]:[IC2_Inv2]])</f>
        <v>51969</v>
      </c>
      <c r="AC69" s="2">
        <f>IF(Raw_Data[[#This Row],[33 kV Outgoinng Export Reading]]-Q68&gt;0,Raw_Data[[#This Row],[33 kV Outgoinng Export Reading]]-Q68,0)*1000</f>
        <v>51964.69999999681</v>
      </c>
      <c r="AD69" s="2">
        <f>IF(Raw_Data[[#This Row],[33 kV Outgoinng Import Reading]]-R68&gt;0,Raw_Data[[#This Row],[33 kV Outgoinng Import Reading]]-R68,0)*1000</f>
        <v>181.2000000001035</v>
      </c>
      <c r="AE69" s="2">
        <f>Raw_Data[[#This Row],[Export  (kWh)]]-Raw_Data[[#This Row],[Import (kWh)]]</f>
        <v>51783.499999996704</v>
      </c>
      <c r="AF69" s="2">
        <f>IFERROR(AVERAGE(Raw_Data[[#This Row],[POA1(Wh/m2)]:[POA2(Wh/m2)]]),"")</f>
        <v>6404</v>
      </c>
      <c r="AG69" s="2">
        <f>IFERROR(Raw_Data[[#This Row],[Avg. POA without Exclusion (W/m2)2]]-Raw_Data[[#This Row],[Avg. POA Lost (W/m2)]],"")</f>
        <v>6230</v>
      </c>
      <c r="AH69" s="35">
        <f t="shared" si="58"/>
        <v>12.7</v>
      </c>
      <c r="AI69" s="2"/>
    </row>
    <row r="70" spans="1:35">
      <c r="A70" s="2">
        <f>YEAR(Raw_Data[[#This Row],[Date]])+IF(MONTH(Raw_Data[[#This Row],[Date]])&gt;=4,1,0)</f>
        <v>2026</v>
      </c>
      <c r="B70" s="2">
        <f>YEAR(Raw_Data[[#This Row],[Date]])</f>
        <v>2025</v>
      </c>
      <c r="C70" s="2" t="s">
        <v>155</v>
      </c>
      <c r="D70" s="2" t="s">
        <v>155</v>
      </c>
      <c r="E70" s="39">
        <v>45809</v>
      </c>
      <c r="F70" s="2">
        <f>DAY(EOMONTH(Raw_Data[[#This Row],[Month Year]],0))</f>
        <v>30</v>
      </c>
      <c r="G70" s="63">
        <f t="shared" si="4"/>
        <v>45811</v>
      </c>
      <c r="H70" s="2">
        <v>11.72</v>
      </c>
      <c r="I70" s="24">
        <v>0.24374999999999999</v>
      </c>
      <c r="J70" s="24">
        <v>0.77361111111111114</v>
      </c>
      <c r="K70" s="2">
        <v>8872</v>
      </c>
      <c r="L70" s="2">
        <v>9166</v>
      </c>
      <c r="M70" s="2">
        <v>7861</v>
      </c>
      <c r="N70" s="2">
        <v>8631</v>
      </c>
      <c r="O70" s="2">
        <v>9342</v>
      </c>
      <c r="P70" s="2">
        <v>9224</v>
      </c>
      <c r="Q70" s="2">
        <v>130669.72380000001</v>
      </c>
      <c r="R70" s="2">
        <v>561.55809999999997</v>
      </c>
      <c r="S70" s="2">
        <v>0</v>
      </c>
      <c r="T70" s="2">
        <v>7152</v>
      </c>
      <c r="U70" s="2">
        <v>6953</v>
      </c>
      <c r="V70" s="2">
        <v>656</v>
      </c>
      <c r="W70" s="2">
        <v>24</v>
      </c>
      <c r="X70" s="2">
        <v>42</v>
      </c>
      <c r="Y70" s="65">
        <v>2</v>
      </c>
      <c r="Z70" s="2">
        <v>7</v>
      </c>
      <c r="AA70" s="2">
        <v>0</v>
      </c>
      <c r="AB70" s="2">
        <f>SUM(Raw_Data[[#This Row],[IC1_Inv1]:[IC2_Inv2]])</f>
        <v>53096</v>
      </c>
      <c r="AC70" s="2">
        <f>IF(Raw_Data[[#This Row],[33 kV Outgoinng Export Reading]]-Q69&gt;0,Raw_Data[[#This Row],[33 kV Outgoinng Export Reading]]-Q69,0)*1000</f>
        <v>53089.400000011665</v>
      </c>
      <c r="AD70" s="2">
        <f>IF(Raw_Data[[#This Row],[33 kV Outgoinng Import Reading]]-R69&gt;0,Raw_Data[[#This Row],[33 kV Outgoinng Import Reading]]-R69,0)*1000</f>
        <v>176.49999999991905</v>
      </c>
      <c r="AE70" s="2">
        <f>Raw_Data[[#This Row],[Export  (kWh)]]-Raw_Data[[#This Row],[Import (kWh)]]</f>
        <v>52912.900000011745</v>
      </c>
      <c r="AF70" s="2">
        <f>IFERROR(AVERAGE(Raw_Data[[#This Row],[POA1(Wh/m2)]:[POA2(Wh/m2)]]),"")</f>
        <v>7052.5</v>
      </c>
      <c r="AG70" s="2">
        <f>IFERROR(Raw_Data[[#This Row],[Avg. POA without Exclusion (W/m2)2]]-Raw_Data[[#This Row],[Avg. POA Lost (W/m2)]],"")</f>
        <v>6396.5</v>
      </c>
      <c r="AH70" s="35">
        <f t="shared" si="58"/>
        <v>12.716666666666667</v>
      </c>
      <c r="AI70" s="2"/>
    </row>
    <row r="71" spans="1:35">
      <c r="A71" s="2">
        <f>YEAR(Raw_Data[[#This Row],[Date]])+IF(MONTH(Raw_Data[[#This Row],[Date]])&gt;=4,1,0)</f>
        <v>2026</v>
      </c>
      <c r="B71" s="2">
        <f>YEAR(Raw_Data[[#This Row],[Date]])</f>
        <v>2025</v>
      </c>
      <c r="C71" s="2" t="s">
        <v>155</v>
      </c>
      <c r="D71" s="2" t="s">
        <v>155</v>
      </c>
      <c r="E71" s="39">
        <v>45809</v>
      </c>
      <c r="F71" s="2">
        <f>DAY(EOMONTH(Raw_Data[[#This Row],[Month Year]],0))</f>
        <v>30</v>
      </c>
      <c r="G71" s="63">
        <f t="shared" si="4"/>
        <v>45812</v>
      </c>
      <c r="H71" s="2">
        <v>11.72</v>
      </c>
      <c r="I71" s="24">
        <v>0.24513888888888888</v>
      </c>
      <c r="J71" s="218">
        <v>0.7680555555555556</v>
      </c>
      <c r="K71" s="2">
        <v>10445</v>
      </c>
      <c r="L71" s="2">
        <v>10516</v>
      </c>
      <c r="M71" s="2">
        <v>9034</v>
      </c>
      <c r="N71" s="2">
        <v>10191</v>
      </c>
      <c r="O71" s="2">
        <v>11346</v>
      </c>
      <c r="P71" s="2">
        <v>11100</v>
      </c>
      <c r="Q71" s="2">
        <v>130732.3512</v>
      </c>
      <c r="R71" s="2">
        <v>561.71349999999995</v>
      </c>
      <c r="S71" s="2">
        <v>0</v>
      </c>
      <c r="T71" s="2">
        <v>7830</v>
      </c>
      <c r="U71" s="2">
        <v>7873</v>
      </c>
      <c r="V71" s="2">
        <v>623</v>
      </c>
      <c r="W71" s="2">
        <v>23</v>
      </c>
      <c r="X71" s="2">
        <v>39</v>
      </c>
      <c r="Y71" s="2">
        <v>2</v>
      </c>
      <c r="Z71" s="2">
        <v>7</v>
      </c>
      <c r="AA71" s="2">
        <v>0</v>
      </c>
      <c r="AB71" s="2">
        <f>SUM(Raw_Data[[#This Row],[IC1_Inv1]:[IC2_Inv2]])</f>
        <v>62632</v>
      </c>
      <c r="AC71" s="2">
        <f>IF(Raw_Data[[#This Row],[33 kV Outgoinng Export Reading]]-Q70&gt;0,Raw_Data[[#This Row],[33 kV Outgoinng Export Reading]]-Q70,0)*1000</f>
        <v>62627.399999997579</v>
      </c>
      <c r="AD71" s="2">
        <f>IF(Raw_Data[[#This Row],[33 kV Outgoinng Import Reading]]-R70&gt;0,Raw_Data[[#This Row],[33 kV Outgoinng Import Reading]]-R70,0)*1000</f>
        <v>155.39999999998599</v>
      </c>
      <c r="AE71" s="2">
        <f>Raw_Data[[#This Row],[Export  (kWh)]]-Raw_Data[[#This Row],[Import (kWh)]]</f>
        <v>62471.999999997592</v>
      </c>
      <c r="AF71" s="2">
        <f>IFERROR(AVERAGE(Raw_Data[[#This Row],[POA1(Wh/m2)]:[POA2(Wh/m2)]]),"")</f>
        <v>7851.5</v>
      </c>
      <c r="AG71" s="2">
        <f>IFERROR(Raw_Data[[#This Row],[Avg. POA without Exclusion (W/m2)2]]-Raw_Data[[#This Row],[Avg. POA Lost (W/m2)]],"")</f>
        <v>7228.5</v>
      </c>
      <c r="AH71" s="35">
        <f t="shared" si="58"/>
        <v>12.55</v>
      </c>
      <c r="AI71" s="2"/>
    </row>
    <row r="72" spans="1:35">
      <c r="A72" s="2">
        <f>YEAR(Raw_Data[[#This Row],[Date]])+IF(MONTH(Raw_Data[[#This Row],[Date]])&gt;=4,1,0)</f>
        <v>2026</v>
      </c>
      <c r="B72" s="2">
        <f>YEAR(Raw_Data[[#This Row],[Date]])</f>
        <v>2025</v>
      </c>
      <c r="C72" s="2" t="s">
        <v>155</v>
      </c>
      <c r="D72" s="2" t="s">
        <v>155</v>
      </c>
      <c r="E72" s="39">
        <v>45809</v>
      </c>
      <c r="F72" s="2">
        <f>DAY(EOMONTH(Raw_Data[[#This Row],[Month Year]],0))</f>
        <v>30</v>
      </c>
      <c r="G72" s="63">
        <f t="shared" si="4"/>
        <v>45813</v>
      </c>
      <c r="H72" s="2">
        <v>11.72</v>
      </c>
      <c r="I72" s="24">
        <v>0.24791666666666667</v>
      </c>
      <c r="J72" s="218">
        <v>0.77152777777777781</v>
      </c>
      <c r="K72" s="2">
        <v>5185</v>
      </c>
      <c r="L72" s="2">
        <v>5348</v>
      </c>
      <c r="M72" s="2">
        <v>4659</v>
      </c>
      <c r="N72" s="2">
        <v>4884</v>
      </c>
      <c r="O72" s="2">
        <v>5228</v>
      </c>
      <c r="P72" s="2">
        <v>5308</v>
      </c>
      <c r="Q72" s="2">
        <v>130762.93520000001</v>
      </c>
      <c r="R72" s="2">
        <v>561.89490000000001</v>
      </c>
      <c r="S72" s="2">
        <v>0</v>
      </c>
      <c r="T72" s="2">
        <v>3373</v>
      </c>
      <c r="U72" s="2">
        <v>3351</v>
      </c>
      <c r="V72" s="2">
        <v>0</v>
      </c>
      <c r="W72" s="2">
        <v>22</v>
      </c>
      <c r="X72" s="2">
        <v>36</v>
      </c>
      <c r="Y72" s="2">
        <v>3</v>
      </c>
      <c r="Z72" s="2">
        <v>6</v>
      </c>
      <c r="AA72" s="2">
        <v>0</v>
      </c>
      <c r="AB72" s="2">
        <f>SUM(Raw_Data[[#This Row],[IC1_Inv1]:[IC2_Inv2]])</f>
        <v>30612</v>
      </c>
      <c r="AC72" s="2">
        <f>IF(Raw_Data[[#This Row],[33 kV Outgoinng Export Reading]]-Q71&gt;0,Raw_Data[[#This Row],[33 kV Outgoinng Export Reading]]-Q71,0)*1000</f>
        <v>30584.000000002561</v>
      </c>
      <c r="AD72" s="2">
        <f>IF(Raw_Data[[#This Row],[33 kV Outgoinng Import Reading]]-R71&gt;0,Raw_Data[[#This Row],[33 kV Outgoinng Import Reading]]-R71,0)*1000</f>
        <v>181.4000000000533</v>
      </c>
      <c r="AE72" s="2">
        <f>Raw_Data[[#This Row],[Export  (kWh)]]-Raw_Data[[#This Row],[Import (kWh)]]</f>
        <v>30402.600000002509</v>
      </c>
      <c r="AF72" s="2">
        <f>IFERROR(AVERAGE(Raw_Data[[#This Row],[POA1(Wh/m2)]:[POA2(Wh/m2)]]),"")</f>
        <v>3362</v>
      </c>
      <c r="AG72" s="2">
        <f>IFERROR(Raw_Data[[#This Row],[Avg. POA without Exclusion (W/m2)2]]-Raw_Data[[#This Row],[Avg. POA Lost (W/m2)]],"")</f>
        <v>3362</v>
      </c>
      <c r="AH72" s="35">
        <f t="shared" ref="AH72:AH81" si="59">IFERROR((J72-I72)*24,"")</f>
        <v>12.566666666666666</v>
      </c>
      <c r="AI72" s="2"/>
    </row>
    <row r="73" spans="1:35">
      <c r="A73" s="2">
        <f>YEAR(Raw_Data[[#This Row],[Date]])+IF(MONTH(Raw_Data[[#This Row],[Date]])&gt;=4,1,0)</f>
        <v>2026</v>
      </c>
      <c r="B73" s="2">
        <f>YEAR(Raw_Data[[#This Row],[Date]])</f>
        <v>2025</v>
      </c>
      <c r="C73" s="2" t="s">
        <v>155</v>
      </c>
      <c r="D73" s="2" t="s">
        <v>155</v>
      </c>
      <c r="E73" s="39">
        <v>45809</v>
      </c>
      <c r="F73" s="2">
        <f>DAY(EOMONTH(Raw_Data[[#This Row],[Month Year]],0))</f>
        <v>30</v>
      </c>
      <c r="G73" s="63">
        <f t="shared" si="4"/>
        <v>45814</v>
      </c>
      <c r="H73" s="2">
        <v>11.72</v>
      </c>
      <c r="I73" s="24">
        <v>0.25069444444444444</v>
      </c>
      <c r="J73" s="218">
        <v>0.77361111111111114</v>
      </c>
      <c r="K73" s="2">
        <v>6600</v>
      </c>
      <c r="L73" s="2">
        <v>6907</v>
      </c>
      <c r="M73" s="2">
        <v>5887</v>
      </c>
      <c r="N73" s="2">
        <v>6560</v>
      </c>
      <c r="O73" s="2">
        <v>7079</v>
      </c>
      <c r="P73" s="2">
        <v>6875</v>
      </c>
      <c r="Q73" s="2">
        <v>130802.8446</v>
      </c>
      <c r="R73" s="2">
        <v>562.07719999999995</v>
      </c>
      <c r="S73" s="2">
        <v>0</v>
      </c>
      <c r="T73" s="2">
        <v>6905</v>
      </c>
      <c r="U73" s="2">
        <v>6900</v>
      </c>
      <c r="V73" s="2">
        <v>2084</v>
      </c>
      <c r="W73" s="2">
        <v>23</v>
      </c>
      <c r="X73" s="2">
        <v>39</v>
      </c>
      <c r="Y73" s="2">
        <v>2</v>
      </c>
      <c r="Z73" s="2">
        <v>5</v>
      </c>
      <c r="AA73" s="2">
        <v>0</v>
      </c>
      <c r="AB73" s="2">
        <f>SUM(Raw_Data[[#This Row],[IC1_Inv1]:[IC2_Inv2]])</f>
        <v>39908</v>
      </c>
      <c r="AC73" s="2">
        <f>IF(Raw_Data[[#This Row],[33 kV Outgoinng Export Reading]]-Q72&gt;0,Raw_Data[[#This Row],[33 kV Outgoinng Export Reading]]-Q72,0)*1000</f>
        <v>39909.399999989546</v>
      </c>
      <c r="AD73" s="2">
        <f>IF(Raw_Data[[#This Row],[33 kV Outgoinng Import Reading]]-R72&gt;0,Raw_Data[[#This Row],[33 kV Outgoinng Import Reading]]-R72,0)*1000</f>
        <v>182.29999999994106</v>
      </c>
      <c r="AE73" s="2">
        <f>Raw_Data[[#This Row],[Export  (kWh)]]-Raw_Data[[#This Row],[Import (kWh)]]</f>
        <v>39727.099999989601</v>
      </c>
      <c r="AF73" s="2">
        <f>IFERROR(AVERAGE(Raw_Data[[#This Row],[POA1(Wh/m2)]:[POA2(Wh/m2)]]),"")</f>
        <v>6902.5</v>
      </c>
      <c r="AG73" s="2">
        <f>IFERROR(Raw_Data[[#This Row],[Avg. POA without Exclusion (W/m2)2]]-Raw_Data[[#This Row],[Avg. POA Lost (W/m2)]],"")</f>
        <v>4818.5</v>
      </c>
      <c r="AH73" s="35">
        <f t="shared" si="59"/>
        <v>12.55</v>
      </c>
      <c r="AI73" s="2"/>
    </row>
    <row r="74" spans="1:35">
      <c r="A74" s="2">
        <f>YEAR(Raw_Data[[#This Row],[Date]])+IF(MONTH(Raw_Data[[#This Row],[Date]])&gt;=4,1,0)</f>
        <v>2026</v>
      </c>
      <c r="B74" s="2">
        <f>YEAR(Raw_Data[[#This Row],[Date]])</f>
        <v>2025</v>
      </c>
      <c r="C74" s="2" t="s">
        <v>155</v>
      </c>
      <c r="D74" s="2" t="s">
        <v>155</v>
      </c>
      <c r="E74" s="39">
        <v>45809</v>
      </c>
      <c r="F74" s="2">
        <f>DAY(EOMONTH(Raw_Data[[#This Row],[Month Year]],0))</f>
        <v>30</v>
      </c>
      <c r="G74" s="63">
        <f t="shared" si="4"/>
        <v>45815</v>
      </c>
      <c r="H74" s="2">
        <v>11.72</v>
      </c>
      <c r="I74" s="219">
        <v>0.24583333333333332</v>
      </c>
      <c r="J74" s="218">
        <v>0.77569444444444446</v>
      </c>
      <c r="K74" s="2">
        <v>8053</v>
      </c>
      <c r="L74" s="2">
        <v>8215</v>
      </c>
      <c r="M74" s="2">
        <v>7044</v>
      </c>
      <c r="N74" s="2">
        <v>7651</v>
      </c>
      <c r="O74" s="2">
        <v>8327</v>
      </c>
      <c r="P74" s="2">
        <v>8342</v>
      </c>
      <c r="Q74" s="2">
        <v>130850.4311</v>
      </c>
      <c r="R74" s="2">
        <v>562.26909999999998</v>
      </c>
      <c r="S74" s="2">
        <v>0</v>
      </c>
      <c r="T74" s="2">
        <v>5708</v>
      </c>
      <c r="U74" s="2">
        <v>5728</v>
      </c>
      <c r="V74" s="2">
        <v>49</v>
      </c>
      <c r="W74" s="2">
        <v>22</v>
      </c>
      <c r="X74" s="2">
        <v>40</v>
      </c>
      <c r="Y74" s="2">
        <v>3</v>
      </c>
      <c r="Z74" s="2">
        <v>6</v>
      </c>
      <c r="AA74" s="2">
        <v>0</v>
      </c>
      <c r="AB74" s="2">
        <f>SUM(Raw_Data[[#This Row],[IC1_Inv1]:[IC2_Inv2]])</f>
        <v>47632</v>
      </c>
      <c r="AC74" s="2">
        <f>IF(Raw_Data[[#This Row],[33 kV Outgoinng Export Reading]]-Q73&gt;0,Raw_Data[[#This Row],[33 kV Outgoinng Export Reading]]-Q73,0)*1000</f>
        <v>47586.500000004889</v>
      </c>
      <c r="AD74" s="2">
        <f>IF(Raw_Data[[#This Row],[33 kV Outgoinng Import Reading]]-R73&gt;0,Raw_Data[[#This Row],[33 kV Outgoinng Import Reading]]-R73,0)*1000</f>
        <v>191.90000000003238</v>
      </c>
      <c r="AE74" s="2">
        <f>Raw_Data[[#This Row],[Export  (kWh)]]-Raw_Data[[#This Row],[Import (kWh)]]</f>
        <v>47394.600000004859</v>
      </c>
      <c r="AF74" s="2">
        <f>IFERROR(AVERAGE(Raw_Data[[#This Row],[POA1(Wh/m2)]:[POA2(Wh/m2)]]),"")</f>
        <v>5718</v>
      </c>
      <c r="AG74" s="2">
        <f>IFERROR(Raw_Data[[#This Row],[Avg. POA without Exclusion (W/m2)2]]-Raw_Data[[#This Row],[Avg. POA Lost (W/m2)]],"")</f>
        <v>5669</v>
      </c>
      <c r="AH74" s="35">
        <f t="shared" si="59"/>
        <v>12.716666666666667</v>
      </c>
      <c r="AI74" s="2"/>
    </row>
    <row r="75" spans="1:35">
      <c r="A75" s="2">
        <f>YEAR(Raw_Data[[#This Row],[Date]])+IF(MONTH(Raw_Data[[#This Row],[Date]])&gt;=4,1,0)</f>
        <v>2026</v>
      </c>
      <c r="B75" s="2">
        <f>YEAR(Raw_Data[[#This Row],[Date]])</f>
        <v>2025</v>
      </c>
      <c r="C75" s="2" t="s">
        <v>155</v>
      </c>
      <c r="D75" s="2" t="s">
        <v>155</v>
      </c>
      <c r="E75" s="39">
        <v>45809</v>
      </c>
      <c r="F75" s="2">
        <f>DAY(EOMONTH(Raw_Data[[#This Row],[Month Year]],0))</f>
        <v>30</v>
      </c>
      <c r="G75" s="63">
        <f t="shared" si="4"/>
        <v>45816</v>
      </c>
      <c r="H75" s="2">
        <v>11.72</v>
      </c>
      <c r="I75" s="219">
        <v>0.24722222222222223</v>
      </c>
      <c r="J75" s="218">
        <v>0.77430555555555558</v>
      </c>
      <c r="K75" s="2">
        <v>8633</v>
      </c>
      <c r="L75" s="2">
        <v>8807</v>
      </c>
      <c r="M75" s="2">
        <v>7414</v>
      </c>
      <c r="N75" s="2">
        <v>8239</v>
      </c>
      <c r="O75" s="2">
        <v>9097</v>
      </c>
      <c r="P75" s="2">
        <v>8999</v>
      </c>
      <c r="Q75" s="2">
        <v>130901.5962</v>
      </c>
      <c r="R75" s="2">
        <v>562.45219999999995</v>
      </c>
      <c r="S75" s="2">
        <v>0</v>
      </c>
      <c r="T75" s="2">
        <v>6019</v>
      </c>
      <c r="U75" s="2">
        <v>6057</v>
      </c>
      <c r="V75" s="2">
        <v>0</v>
      </c>
      <c r="W75" s="2">
        <v>24</v>
      </c>
      <c r="X75" s="2">
        <v>39</v>
      </c>
      <c r="Y75" s="2">
        <v>2</v>
      </c>
      <c r="Z75" s="2">
        <v>5</v>
      </c>
      <c r="AA75" s="2">
        <v>0</v>
      </c>
      <c r="AB75" s="2">
        <f>SUM(Raw_Data[[#This Row],[IC1_Inv1]:[IC2_Inv2]])</f>
        <v>51189</v>
      </c>
      <c r="AC75" s="2">
        <f>IF(Raw_Data[[#This Row],[33 kV Outgoinng Export Reading]]-Q74&gt;0,Raw_Data[[#This Row],[33 kV Outgoinng Export Reading]]-Q74,0)*1000</f>
        <v>51165.099999998347</v>
      </c>
      <c r="AD75" s="2">
        <f>IF(Raw_Data[[#This Row],[33 kV Outgoinng Import Reading]]-R74&gt;0,Raw_Data[[#This Row],[33 kV Outgoinng Import Reading]]-R74,0)*1000</f>
        <v>183.09999999996762</v>
      </c>
      <c r="AE75" s="2">
        <f>Raw_Data[[#This Row],[Export  (kWh)]]-Raw_Data[[#This Row],[Import (kWh)]]</f>
        <v>50981.999999998377</v>
      </c>
      <c r="AF75" s="2">
        <f>IFERROR(AVERAGE(Raw_Data[[#This Row],[POA1(Wh/m2)]:[POA2(Wh/m2)]]),"")</f>
        <v>6038</v>
      </c>
      <c r="AG75" s="2">
        <f>IFERROR(Raw_Data[[#This Row],[Avg. POA without Exclusion (W/m2)2]]-Raw_Data[[#This Row],[Avg. POA Lost (W/m2)]],"")</f>
        <v>6038</v>
      </c>
      <c r="AH75" s="35">
        <f t="shared" si="59"/>
        <v>12.65</v>
      </c>
      <c r="AI75" s="2"/>
    </row>
    <row r="76" spans="1:35">
      <c r="A76" s="2">
        <f>YEAR(Raw_Data[[#This Row],[Date]])+IF(MONTH(Raw_Data[[#This Row],[Date]])&gt;=4,1,0)</f>
        <v>2026</v>
      </c>
      <c r="B76" s="2">
        <f>YEAR(Raw_Data[[#This Row],[Date]])</f>
        <v>2025</v>
      </c>
      <c r="C76" s="2" t="s">
        <v>155</v>
      </c>
      <c r="D76" s="2" t="s">
        <v>155</v>
      </c>
      <c r="E76" s="39">
        <v>45809</v>
      </c>
      <c r="F76" s="2">
        <f>DAY(EOMONTH(Raw_Data[[#This Row],[Month Year]],0))</f>
        <v>30</v>
      </c>
      <c r="G76" s="63">
        <f t="shared" si="4"/>
        <v>45817</v>
      </c>
      <c r="H76" s="2">
        <v>11.72</v>
      </c>
      <c r="I76" s="219">
        <v>0.27847222222222223</v>
      </c>
      <c r="J76" s="218">
        <v>0.77916666666666667</v>
      </c>
      <c r="K76" s="2">
        <v>3488</v>
      </c>
      <c r="L76" s="2">
        <v>3587</v>
      </c>
      <c r="M76" s="2">
        <v>3118</v>
      </c>
      <c r="N76" s="2">
        <v>3243</v>
      </c>
      <c r="O76" s="2">
        <v>3464</v>
      </c>
      <c r="P76" s="2">
        <v>3511</v>
      </c>
      <c r="Q76" s="2">
        <v>130921.90360000001</v>
      </c>
      <c r="R76" s="2">
        <v>562.67589999999996</v>
      </c>
      <c r="S76" s="2">
        <v>0</v>
      </c>
      <c r="T76" s="2">
        <v>2178</v>
      </c>
      <c r="U76" s="2">
        <v>2208</v>
      </c>
      <c r="V76" s="2">
        <v>0</v>
      </c>
      <c r="W76" s="2">
        <v>23</v>
      </c>
      <c r="X76" s="2">
        <v>29</v>
      </c>
      <c r="Y76" s="2">
        <v>8</v>
      </c>
      <c r="Z76" s="2">
        <v>11</v>
      </c>
      <c r="AA76" s="2">
        <v>0</v>
      </c>
      <c r="AB76" s="2">
        <f>SUM(Raw_Data[[#This Row],[IC1_Inv1]:[IC2_Inv2]])</f>
        <v>20411</v>
      </c>
      <c r="AC76" s="2">
        <f>IF(Raw_Data[[#This Row],[33 kV Outgoinng Export Reading]]-Q75&gt;0,Raw_Data[[#This Row],[33 kV Outgoinng Export Reading]]-Q75,0)*1000</f>
        <v>20307.400000005146</v>
      </c>
      <c r="AD76" s="2">
        <f>IF(Raw_Data[[#This Row],[33 kV Outgoinng Import Reading]]-R75&gt;0,Raw_Data[[#This Row],[33 kV Outgoinng Import Reading]]-R75,0)*1000</f>
        <v>223.700000000008</v>
      </c>
      <c r="AE76" s="2">
        <f>Raw_Data[[#This Row],[Export  (kWh)]]-Raw_Data[[#This Row],[Import (kWh)]]</f>
        <v>20083.700000005138</v>
      </c>
      <c r="AF76" s="2">
        <f>IFERROR(AVERAGE(Raw_Data[[#This Row],[POA1(Wh/m2)]:[POA2(Wh/m2)]]),"")</f>
        <v>2193</v>
      </c>
      <c r="AG76" s="2">
        <f>IFERROR(Raw_Data[[#This Row],[Avg. POA without Exclusion (W/m2)2]]-Raw_Data[[#This Row],[Avg. POA Lost (W/m2)]],"")</f>
        <v>2193</v>
      </c>
      <c r="AH76" s="35">
        <f t="shared" si="59"/>
        <v>12.016666666666666</v>
      </c>
      <c r="AI76" s="2"/>
    </row>
    <row r="77" spans="1:35">
      <c r="A77" s="2">
        <f>YEAR(Raw_Data[[#This Row],[Date]])+IF(MONTH(Raw_Data[[#This Row],[Date]])&gt;=4,1,0)</f>
        <v>2026</v>
      </c>
      <c r="B77" s="2">
        <f>YEAR(Raw_Data[[#This Row],[Date]])</f>
        <v>2025</v>
      </c>
      <c r="C77" s="2" t="s">
        <v>155</v>
      </c>
      <c r="D77" s="2" t="s">
        <v>155</v>
      </c>
      <c r="E77" s="39">
        <v>45809</v>
      </c>
      <c r="F77" s="2">
        <f>DAY(EOMONTH(Raw_Data[[#This Row],[Month Year]],0))</f>
        <v>30</v>
      </c>
      <c r="G77" s="63">
        <f t="shared" si="4"/>
        <v>45818</v>
      </c>
      <c r="H77" s="2">
        <v>11.72</v>
      </c>
      <c r="I77" s="219">
        <v>0.25138888888888888</v>
      </c>
      <c r="J77" s="218">
        <v>0.77777777777777779</v>
      </c>
      <c r="K77" s="2">
        <v>2353</v>
      </c>
      <c r="L77" s="2">
        <v>2362</v>
      </c>
      <c r="M77" s="2">
        <v>2106</v>
      </c>
      <c r="N77" s="2">
        <v>2174</v>
      </c>
      <c r="O77" s="2">
        <v>2350</v>
      </c>
      <c r="P77" s="2">
        <v>2392</v>
      </c>
      <c r="Q77" s="2">
        <v>130935.5143</v>
      </c>
      <c r="R77" s="2">
        <v>562.87090000000001</v>
      </c>
      <c r="S77" s="2">
        <v>0</v>
      </c>
      <c r="T77" s="2">
        <v>1384</v>
      </c>
      <c r="U77" s="2">
        <v>1377</v>
      </c>
      <c r="V77" s="2">
        <v>0</v>
      </c>
      <c r="W77" s="2">
        <v>23</v>
      </c>
      <c r="X77" s="2">
        <v>26</v>
      </c>
      <c r="Y77" s="2">
        <v>9</v>
      </c>
      <c r="Z77" s="2">
        <v>13</v>
      </c>
      <c r="AA77" s="2">
        <v>0</v>
      </c>
      <c r="AB77" s="2">
        <f>SUM(Raw_Data[[#This Row],[IC1_Inv1]:[IC2_Inv2]])</f>
        <v>13737</v>
      </c>
      <c r="AC77" s="2">
        <f>IF(Raw_Data[[#This Row],[33 kV Outgoinng Export Reading]]-Q76&gt;0,Raw_Data[[#This Row],[33 kV Outgoinng Export Reading]]-Q76,0)*1000</f>
        <v>13610.699999990175</v>
      </c>
      <c r="AD77" s="2">
        <f>IF(Raw_Data[[#This Row],[33 kV Outgoinng Import Reading]]-R76&gt;0,Raw_Data[[#This Row],[33 kV Outgoinng Import Reading]]-R76,0)*1000</f>
        <v>195.00000000005002</v>
      </c>
      <c r="AE77" s="2">
        <f>Raw_Data[[#This Row],[Export  (kWh)]]-Raw_Data[[#This Row],[Import (kWh)]]</f>
        <v>13415.699999990124</v>
      </c>
      <c r="AF77" s="2">
        <f>IFERROR(AVERAGE(Raw_Data[[#This Row],[POA1(Wh/m2)]:[POA2(Wh/m2)]]),"")</f>
        <v>1380.5</v>
      </c>
      <c r="AG77" s="2">
        <f>IFERROR(Raw_Data[[#This Row],[Avg. POA without Exclusion (W/m2)2]]-Raw_Data[[#This Row],[Avg. POA Lost (W/m2)]],"")</f>
        <v>1380.5</v>
      </c>
      <c r="AH77" s="35">
        <f t="shared" si="59"/>
        <v>12.633333333333333</v>
      </c>
      <c r="AI77" s="2"/>
    </row>
    <row r="78" spans="1:35">
      <c r="A78" s="2">
        <f>YEAR(Raw_Data[[#This Row],[Date]])+IF(MONTH(Raw_Data[[#This Row],[Date]])&gt;=4,1,0)</f>
        <v>2026</v>
      </c>
      <c r="B78" s="2">
        <f>YEAR(Raw_Data[[#This Row],[Date]])</f>
        <v>2025</v>
      </c>
      <c r="C78" s="2" t="s">
        <v>155</v>
      </c>
      <c r="D78" s="2" t="s">
        <v>155</v>
      </c>
      <c r="E78" s="39">
        <v>45809</v>
      </c>
      <c r="F78" s="2">
        <f>DAY(EOMONTH(Raw_Data[[#This Row],[Month Year]],0))</f>
        <v>30</v>
      </c>
      <c r="G78" s="63">
        <f t="shared" si="4"/>
        <v>45819</v>
      </c>
      <c r="H78" s="2">
        <v>11.72</v>
      </c>
      <c r="I78" s="219">
        <v>0.29166666666666669</v>
      </c>
      <c r="J78" s="218">
        <v>0.77708333333333335</v>
      </c>
      <c r="K78" s="2">
        <v>4727</v>
      </c>
      <c r="L78" s="2">
        <v>4836</v>
      </c>
      <c r="M78" s="2">
        <v>4257</v>
      </c>
      <c r="N78" s="2">
        <v>4424</v>
      </c>
      <c r="O78" s="2">
        <v>4784</v>
      </c>
      <c r="P78" s="2">
        <v>4860</v>
      </c>
      <c r="Q78" s="2">
        <v>130963.35550000001</v>
      </c>
      <c r="R78" s="2">
        <v>563.06619999999998</v>
      </c>
      <c r="S78" s="2">
        <v>0</v>
      </c>
      <c r="T78" s="2">
        <v>3055</v>
      </c>
      <c r="U78" s="2">
        <v>3055</v>
      </c>
      <c r="V78" s="2">
        <v>0</v>
      </c>
      <c r="W78" s="2">
        <v>23</v>
      </c>
      <c r="X78" s="2">
        <v>31</v>
      </c>
      <c r="Y78" s="2">
        <v>8</v>
      </c>
      <c r="Z78" s="2">
        <v>11</v>
      </c>
      <c r="AA78" s="2">
        <v>0</v>
      </c>
      <c r="AB78" s="2">
        <f>SUM(Raw_Data[[#This Row],[IC1_Inv1]:[IC2_Inv2]])</f>
        <v>27888</v>
      </c>
      <c r="AC78" s="2">
        <f>IF(Raw_Data[[#This Row],[33 kV Outgoinng Export Reading]]-Q77&gt;0,Raw_Data[[#This Row],[33 kV Outgoinng Export Reading]]-Q77,0)*1000</f>
        <v>27841.200000009849</v>
      </c>
      <c r="AD78" s="2">
        <f>IF(Raw_Data[[#This Row],[33 kV Outgoinng Import Reading]]-R77&gt;0,Raw_Data[[#This Row],[33 kV Outgoinng Import Reading]]-R77,0)*1000</f>
        <v>195.29999999997472</v>
      </c>
      <c r="AE78" s="2">
        <f>Raw_Data[[#This Row],[Export  (kWh)]]-Raw_Data[[#This Row],[Import (kWh)]]</f>
        <v>27645.900000009875</v>
      </c>
      <c r="AF78" s="2">
        <f>IFERROR(AVERAGE(Raw_Data[[#This Row],[POA1(Wh/m2)]:[POA2(Wh/m2)]]),"")</f>
        <v>3055</v>
      </c>
      <c r="AG78" s="2">
        <f>IFERROR(Raw_Data[[#This Row],[Avg. POA without Exclusion (W/m2)2]]-Raw_Data[[#This Row],[Avg. POA Lost (W/m2)]],"")</f>
        <v>3055</v>
      </c>
      <c r="AH78" s="35">
        <f t="shared" si="59"/>
        <v>11.65</v>
      </c>
      <c r="AI78" s="2"/>
    </row>
    <row r="79" spans="1:35">
      <c r="A79" s="2">
        <f>YEAR(Raw_Data[[#This Row],[Date]])+IF(MONTH(Raw_Data[[#This Row],[Date]])&gt;=4,1,0)</f>
        <v>2026</v>
      </c>
      <c r="B79" s="2">
        <f>YEAR(Raw_Data[[#This Row],[Date]])</f>
        <v>2025</v>
      </c>
      <c r="C79" s="2" t="s">
        <v>155</v>
      </c>
      <c r="D79" s="2" t="s">
        <v>155</v>
      </c>
      <c r="E79" s="39">
        <v>45809</v>
      </c>
      <c r="F79" s="2">
        <f>DAY(EOMONTH(Raw_Data[[#This Row],[Month Year]],0))</f>
        <v>30</v>
      </c>
      <c r="G79" s="63">
        <f t="shared" si="4"/>
        <v>45820</v>
      </c>
      <c r="H79" s="2">
        <v>11.72</v>
      </c>
      <c r="I79" s="219">
        <v>0.28125</v>
      </c>
      <c r="J79" s="218">
        <v>0.77430555555555558</v>
      </c>
      <c r="K79" s="2">
        <v>7084</v>
      </c>
      <c r="L79" s="2">
        <v>7338</v>
      </c>
      <c r="M79" s="2">
        <v>6307</v>
      </c>
      <c r="N79" s="2">
        <v>6693</v>
      </c>
      <c r="O79" s="2">
        <v>7282</v>
      </c>
      <c r="P79" s="2">
        <v>7321</v>
      </c>
      <c r="Q79" s="2">
        <v>131005.34570000001</v>
      </c>
      <c r="R79" s="2">
        <v>563.25580000000002</v>
      </c>
      <c r="S79" s="2">
        <v>0</v>
      </c>
      <c r="T79" s="2">
        <v>4709</v>
      </c>
      <c r="U79" s="2">
        <v>4709</v>
      </c>
      <c r="V79" s="2">
        <v>50</v>
      </c>
      <c r="W79" s="2">
        <v>23</v>
      </c>
      <c r="X79" s="2">
        <v>42</v>
      </c>
      <c r="Y79" s="2">
        <v>6</v>
      </c>
      <c r="Z79" s="2">
        <v>11</v>
      </c>
      <c r="AA79" s="2">
        <v>0</v>
      </c>
      <c r="AB79" s="2">
        <f>SUM(Raw_Data[[#This Row],[IC1_Inv1]:[IC2_Inv2]])</f>
        <v>42025</v>
      </c>
      <c r="AC79" s="2">
        <f>IF(Raw_Data[[#This Row],[33 kV Outgoinng Export Reading]]-Q78&gt;0,Raw_Data[[#This Row],[33 kV Outgoinng Export Reading]]-Q78,0)*1000</f>
        <v>41990.200000000186</v>
      </c>
      <c r="AD79" s="2">
        <f>IF(Raw_Data[[#This Row],[33 kV Outgoinng Import Reading]]-R78&gt;0,Raw_Data[[#This Row],[33 kV Outgoinng Import Reading]]-R78,0)*1000</f>
        <v>189.60000000004129</v>
      </c>
      <c r="AE79" s="2">
        <f>Raw_Data[[#This Row],[Export  (kWh)]]-Raw_Data[[#This Row],[Import (kWh)]]</f>
        <v>41800.600000000144</v>
      </c>
      <c r="AF79" s="2">
        <f>IFERROR(AVERAGE(Raw_Data[[#This Row],[POA1(Wh/m2)]:[POA2(Wh/m2)]]),"")</f>
        <v>4709</v>
      </c>
      <c r="AG79" s="2">
        <f>IFERROR(Raw_Data[[#This Row],[Avg. POA without Exclusion (W/m2)2]]-Raw_Data[[#This Row],[Avg. POA Lost (W/m2)]],"")</f>
        <v>4659</v>
      </c>
      <c r="AH79" s="35">
        <f t="shared" si="59"/>
        <v>11.833333333333334</v>
      </c>
      <c r="AI79" s="2"/>
    </row>
    <row r="80" spans="1:35">
      <c r="A80" s="2">
        <f>YEAR(Raw_Data[[#This Row],[Date]])+IF(MONTH(Raw_Data[[#This Row],[Date]])&gt;=4,1,0)</f>
        <v>2026</v>
      </c>
      <c r="B80" s="2">
        <f>YEAR(Raw_Data[[#This Row],[Date]])</f>
        <v>2025</v>
      </c>
      <c r="C80" s="2" t="s">
        <v>155</v>
      </c>
      <c r="D80" s="2" t="s">
        <v>155</v>
      </c>
      <c r="E80" s="39">
        <v>45809</v>
      </c>
      <c r="F80" s="2">
        <f>DAY(EOMONTH(Raw_Data[[#This Row],[Month Year]],0))</f>
        <v>30</v>
      </c>
      <c r="G80" s="63">
        <f t="shared" si="4"/>
        <v>45821</v>
      </c>
      <c r="H80" s="2">
        <v>11.72</v>
      </c>
      <c r="I80" s="219">
        <v>0.24861111111111112</v>
      </c>
      <c r="J80" s="218">
        <v>0.77569444444444446</v>
      </c>
      <c r="K80" s="2">
        <v>4570</v>
      </c>
      <c r="L80" s="2">
        <v>4735</v>
      </c>
      <c r="M80" s="2">
        <v>4070</v>
      </c>
      <c r="N80" s="2">
        <v>4309</v>
      </c>
      <c r="O80" s="2">
        <v>4679</v>
      </c>
      <c r="P80" s="2">
        <v>4701</v>
      </c>
      <c r="Q80" s="2">
        <v>131032.4136</v>
      </c>
      <c r="R80" s="2">
        <v>563.51260000000002</v>
      </c>
      <c r="S80" s="2">
        <v>0</v>
      </c>
      <c r="T80" s="2">
        <v>4165</v>
      </c>
      <c r="U80" s="2">
        <v>3795</v>
      </c>
      <c r="V80" s="2">
        <v>1097</v>
      </c>
      <c r="W80" s="2">
        <v>23</v>
      </c>
      <c r="X80" s="2">
        <v>41</v>
      </c>
      <c r="Y80" s="2">
        <v>3</v>
      </c>
      <c r="Z80" s="2">
        <v>5</v>
      </c>
      <c r="AA80" s="2">
        <v>0</v>
      </c>
      <c r="AB80" s="2">
        <f>SUM(Raw_Data[[#This Row],[IC1_Inv1]:[IC2_Inv2]])</f>
        <v>27064</v>
      </c>
      <c r="AC80" s="2">
        <f>IF(Raw_Data[[#This Row],[33 kV Outgoinng Export Reading]]-Q79&gt;0,Raw_Data[[#This Row],[33 kV Outgoinng Export Reading]]-Q79,0)*1000</f>
        <v>27067.899999994552</v>
      </c>
      <c r="AD80" s="2">
        <f>IF(Raw_Data[[#This Row],[33 kV Outgoinng Import Reading]]-R79&gt;0,Raw_Data[[#This Row],[33 kV Outgoinng Import Reading]]-R79,0)*1000</f>
        <v>256.79999999999836</v>
      </c>
      <c r="AE80" s="2">
        <f>Raw_Data[[#This Row],[Export  (kWh)]]-Raw_Data[[#This Row],[Import (kWh)]]</f>
        <v>26811.099999994552</v>
      </c>
      <c r="AF80" s="2">
        <f>IFERROR(AVERAGE(Raw_Data[[#This Row],[POA1(Wh/m2)]:[POA2(Wh/m2)]]),"")</f>
        <v>3980</v>
      </c>
      <c r="AG80" s="2">
        <f>IFERROR(Raw_Data[[#This Row],[Avg. POA without Exclusion (W/m2)2]]-Raw_Data[[#This Row],[Avg. POA Lost (W/m2)]],"")</f>
        <v>2883</v>
      </c>
      <c r="AH80" s="35">
        <f t="shared" si="59"/>
        <v>12.65</v>
      </c>
      <c r="AI80" s="2"/>
    </row>
    <row r="81" spans="1:35">
      <c r="A81" s="2">
        <f>YEAR(Raw_Data[[#This Row],[Date]])+IF(MONTH(Raw_Data[[#This Row],[Date]])&gt;=4,1,0)</f>
        <v>2026</v>
      </c>
      <c r="B81" s="2">
        <f>YEAR(Raw_Data[[#This Row],[Date]])</f>
        <v>2025</v>
      </c>
      <c r="C81" s="2" t="s">
        <v>155</v>
      </c>
      <c r="D81" s="2" t="s">
        <v>155</v>
      </c>
      <c r="E81" s="39">
        <v>45809</v>
      </c>
      <c r="F81" s="2">
        <f>DAY(EOMONTH(Raw_Data[[#This Row],[Month Year]],0))</f>
        <v>30</v>
      </c>
      <c r="G81" s="63">
        <f t="shared" si="4"/>
        <v>45822</v>
      </c>
      <c r="H81" s="2">
        <v>11.72</v>
      </c>
      <c r="I81" s="219">
        <v>0.25208333333333333</v>
      </c>
      <c r="J81" s="218">
        <v>0.78263888888888888</v>
      </c>
      <c r="K81" s="2">
        <v>6666</v>
      </c>
      <c r="L81" s="2">
        <v>6951</v>
      </c>
      <c r="M81" s="2">
        <v>5888</v>
      </c>
      <c r="N81" s="2">
        <v>6330</v>
      </c>
      <c r="O81" s="2">
        <v>6844</v>
      </c>
      <c r="P81" s="2">
        <v>6909</v>
      </c>
      <c r="Q81" s="2">
        <v>131071.925</v>
      </c>
      <c r="R81" s="2">
        <v>563.65070000000003</v>
      </c>
      <c r="S81" s="2">
        <v>0</v>
      </c>
      <c r="T81" s="2">
        <v>4615</v>
      </c>
      <c r="U81" s="2">
        <v>4615</v>
      </c>
      <c r="V81" s="2">
        <v>0</v>
      </c>
      <c r="W81" s="2">
        <v>23</v>
      </c>
      <c r="X81" s="2">
        <v>41</v>
      </c>
      <c r="Y81" s="2">
        <v>3</v>
      </c>
      <c r="Z81" s="2">
        <v>6</v>
      </c>
      <c r="AA81" s="2">
        <v>0</v>
      </c>
      <c r="AB81" s="2">
        <f>SUM(Raw_Data[[#This Row],[IC1_Inv1]:[IC2_Inv2]])</f>
        <v>39588</v>
      </c>
      <c r="AC81" s="2">
        <f>IF(Raw_Data[[#This Row],[33 kV Outgoinng Export Reading]]-Q80&gt;0,Raw_Data[[#This Row],[33 kV Outgoinng Export Reading]]-Q80,0)*1000</f>
        <v>39511.40000000305</v>
      </c>
      <c r="AD81" s="2">
        <f>IF(Raw_Data[[#This Row],[33 kV Outgoinng Import Reading]]-R80&gt;0,Raw_Data[[#This Row],[33 kV Outgoinng Import Reading]]-R80,0)*1000</f>
        <v>138.10000000000855</v>
      </c>
      <c r="AE81" s="2">
        <f>Raw_Data[[#This Row],[Export  (kWh)]]-Raw_Data[[#This Row],[Import (kWh)]]</f>
        <v>39373.300000003044</v>
      </c>
      <c r="AF81" s="2">
        <f>IFERROR(AVERAGE(Raw_Data[[#This Row],[POA1(Wh/m2)]:[POA2(Wh/m2)]]),"")</f>
        <v>4615</v>
      </c>
      <c r="AG81" s="2">
        <f>IFERROR(Raw_Data[[#This Row],[Avg. POA without Exclusion (W/m2)2]]-Raw_Data[[#This Row],[Avg. POA Lost (W/m2)]],"")</f>
        <v>4615</v>
      </c>
      <c r="AH81" s="35">
        <f t="shared" si="59"/>
        <v>12.733333333333334</v>
      </c>
      <c r="AI81" s="2"/>
    </row>
    <row r="82" spans="1:35">
      <c r="A82" s="2">
        <f>YEAR(Raw_Data[[#This Row],[Date]])+IF(MONTH(Raw_Data[[#This Row],[Date]])&gt;=4,1,0)</f>
        <v>2026</v>
      </c>
      <c r="B82" s="2">
        <f>YEAR(Raw_Data[[#This Row],[Date]])</f>
        <v>2025</v>
      </c>
      <c r="C82" s="2" t="s">
        <v>155</v>
      </c>
      <c r="D82" s="2" t="s">
        <v>155</v>
      </c>
      <c r="E82" s="39">
        <v>45809</v>
      </c>
      <c r="F82" s="2">
        <f>DAY(EOMONTH(Raw_Data[[#This Row],[Month Year]],0))</f>
        <v>30</v>
      </c>
      <c r="G82" s="63">
        <f t="shared" si="4"/>
        <v>45823</v>
      </c>
      <c r="H82" s="2">
        <v>11.72</v>
      </c>
      <c r="I82" s="219">
        <v>0.25</v>
      </c>
      <c r="J82" s="218">
        <v>0.76249999999999996</v>
      </c>
      <c r="K82" s="2">
        <v>3056</v>
      </c>
      <c r="L82" s="2">
        <v>3084</v>
      </c>
      <c r="M82" s="2">
        <v>2725</v>
      </c>
      <c r="N82" s="2">
        <v>2865</v>
      </c>
      <c r="O82" s="2">
        <v>3121</v>
      </c>
      <c r="P82" s="2">
        <v>3083</v>
      </c>
      <c r="Q82" s="2">
        <v>131089.85430000001</v>
      </c>
      <c r="R82" s="2">
        <v>563.8442</v>
      </c>
      <c r="S82" s="2">
        <v>0</v>
      </c>
      <c r="T82" s="2">
        <v>3305</v>
      </c>
      <c r="U82" s="2">
        <v>3305</v>
      </c>
      <c r="V82" s="2">
        <v>1253</v>
      </c>
      <c r="W82" s="2">
        <v>23</v>
      </c>
      <c r="X82" s="2">
        <v>32</v>
      </c>
      <c r="Y82" s="2">
        <v>3</v>
      </c>
      <c r="Z82" s="2">
        <v>7</v>
      </c>
      <c r="AA82" s="2">
        <v>0</v>
      </c>
      <c r="AB82" s="2">
        <f>SUM(Raw_Data[[#This Row],[IC1_Inv1]:[IC2_Inv2]])</f>
        <v>17934</v>
      </c>
      <c r="AC82" s="2">
        <f>IF(Raw_Data[[#This Row],[33 kV Outgoinng Export Reading]]-Q81&gt;0,Raw_Data[[#This Row],[33 kV Outgoinng Export Reading]]-Q81,0)*1000</f>
        <v>17929.300000003423</v>
      </c>
      <c r="AD82" s="2">
        <f>IF(Raw_Data[[#This Row],[33 kV Outgoinng Import Reading]]-R81&gt;0,Raw_Data[[#This Row],[33 kV Outgoinng Import Reading]]-R81,0)*1000</f>
        <v>193.49999999997181</v>
      </c>
      <c r="AE82" s="2">
        <f>Raw_Data[[#This Row],[Export  (kWh)]]-Raw_Data[[#This Row],[Import (kWh)]]</f>
        <v>17735.800000003452</v>
      </c>
      <c r="AF82" s="2">
        <f>IFERROR(AVERAGE(Raw_Data[[#This Row],[POA1(Wh/m2)]:[POA2(Wh/m2)]]),"")</f>
        <v>3305</v>
      </c>
      <c r="AG82" s="2">
        <f>IFERROR(Raw_Data[[#This Row],[Avg. POA without Exclusion (W/m2)2]]-Raw_Data[[#This Row],[Avg. POA Lost (W/m2)]],"")</f>
        <v>2052</v>
      </c>
      <c r="AH82" s="35">
        <f t="shared" ref="AH82" si="60">IFERROR((J82-I82)*24,"")</f>
        <v>12.299999999999999</v>
      </c>
      <c r="AI82" s="2"/>
    </row>
    <row r="83" spans="1:35">
      <c r="A83" s="2">
        <f>YEAR(Raw_Data[[#This Row],[Date]])+IF(MONTH(Raw_Data[[#This Row],[Date]])&gt;=4,1,0)</f>
        <v>2026</v>
      </c>
      <c r="B83" s="2">
        <f>YEAR(Raw_Data[[#This Row],[Date]])</f>
        <v>2025</v>
      </c>
      <c r="C83" s="2" t="s">
        <v>155</v>
      </c>
      <c r="D83" s="2" t="s">
        <v>155</v>
      </c>
      <c r="E83" s="39">
        <v>45809</v>
      </c>
      <c r="F83" s="2">
        <f>DAY(EOMONTH(Raw_Data[[#This Row],[Month Year]],0))</f>
        <v>30</v>
      </c>
      <c r="G83" s="63">
        <f t="shared" si="4"/>
        <v>45824</v>
      </c>
      <c r="H83" s="2">
        <v>11.72</v>
      </c>
      <c r="I83" s="219">
        <v>0.25763888888888886</v>
      </c>
      <c r="J83" s="218">
        <v>0.75416666666666665</v>
      </c>
      <c r="K83" s="2">
        <v>4645</v>
      </c>
      <c r="L83" s="2">
        <v>4734</v>
      </c>
      <c r="M83" s="2">
        <v>4157</v>
      </c>
      <c r="N83" s="2">
        <v>4425</v>
      </c>
      <c r="O83" s="2">
        <v>4739</v>
      </c>
      <c r="P83" s="2">
        <v>4784</v>
      </c>
      <c r="Q83" s="2">
        <v>131117.24849999999</v>
      </c>
      <c r="R83" s="2">
        <v>564.02539999999999</v>
      </c>
      <c r="S83" s="2">
        <v>0</v>
      </c>
      <c r="T83" s="2">
        <v>3659</v>
      </c>
      <c r="U83" s="2">
        <v>3659</v>
      </c>
      <c r="V83" s="2">
        <v>618</v>
      </c>
      <c r="W83" s="2">
        <v>23</v>
      </c>
      <c r="X83" s="2">
        <v>33</v>
      </c>
      <c r="Y83" s="2">
        <v>4</v>
      </c>
      <c r="Z83" s="2">
        <v>9</v>
      </c>
      <c r="AA83" s="2">
        <v>0</v>
      </c>
      <c r="AB83" s="2">
        <f>SUM(Raw_Data[[#This Row],[IC1_Inv1]:[IC2_Inv2]])</f>
        <v>27484</v>
      </c>
      <c r="AC83" s="2">
        <f>IF(Raw_Data[[#This Row],[33 kV Outgoinng Export Reading]]-Q82&gt;0,Raw_Data[[#This Row],[33 kV Outgoinng Export Reading]]-Q82,0)*1000</f>
        <v>27394.199999980628</v>
      </c>
      <c r="AD83" s="2">
        <f>IF(Raw_Data[[#This Row],[33 kV Outgoinng Import Reading]]-R82&gt;0,Raw_Data[[#This Row],[33 kV Outgoinng Import Reading]]-R82,0)*1000</f>
        <v>181.19999999998981</v>
      </c>
      <c r="AE83" s="2">
        <f>Raw_Data[[#This Row],[Export  (kWh)]]-Raw_Data[[#This Row],[Import (kWh)]]</f>
        <v>27212.999999980639</v>
      </c>
      <c r="AF83" s="2">
        <f>IFERROR(AVERAGE(Raw_Data[[#This Row],[POA1(Wh/m2)]:[POA2(Wh/m2)]]),"")</f>
        <v>3659</v>
      </c>
      <c r="AG83" s="2">
        <f>IFERROR(Raw_Data[[#This Row],[Avg. POA without Exclusion (W/m2)2]]-Raw_Data[[#This Row],[Avg. POA Lost (W/m2)]],"")</f>
        <v>3041</v>
      </c>
      <c r="AH83" s="35">
        <f t="shared" ref="AH83" si="61">IFERROR((J83-I83)*24,"")</f>
        <v>11.916666666666668</v>
      </c>
      <c r="AI83" s="2"/>
    </row>
    <row r="84" spans="1:35">
      <c r="A84" s="2">
        <f>YEAR(Raw_Data[[#This Row],[Date]])+IF(MONTH(Raw_Data[[#This Row],[Date]])&gt;=4,1,0)</f>
        <v>2026</v>
      </c>
      <c r="B84" s="2">
        <f>YEAR(Raw_Data[[#This Row],[Date]])</f>
        <v>2025</v>
      </c>
      <c r="C84" s="2" t="s">
        <v>155</v>
      </c>
      <c r="D84" s="2" t="s">
        <v>155</v>
      </c>
      <c r="E84" s="39">
        <v>45809</v>
      </c>
      <c r="F84" s="2">
        <f>DAY(EOMONTH(Raw_Data[[#This Row],[Month Year]],0))</f>
        <v>30</v>
      </c>
      <c r="G84" s="63">
        <f t="shared" si="4"/>
        <v>45825</v>
      </c>
      <c r="H84" s="2">
        <v>11.72</v>
      </c>
      <c r="I84" s="219">
        <v>0.24861111111111112</v>
      </c>
      <c r="J84" s="218">
        <v>0.78333333333333333</v>
      </c>
      <c r="K84" s="2">
        <v>10194</v>
      </c>
      <c r="L84" s="2">
        <v>10275</v>
      </c>
      <c r="M84" s="2">
        <v>8827</v>
      </c>
      <c r="N84" s="2">
        <v>9758</v>
      </c>
      <c r="O84" s="2">
        <v>10751</v>
      </c>
      <c r="P84" s="2">
        <v>10709</v>
      </c>
      <c r="Q84" s="2">
        <v>131177.7047</v>
      </c>
      <c r="R84" s="2">
        <v>564.22739999999999</v>
      </c>
      <c r="S84" s="2">
        <v>0</v>
      </c>
      <c r="T84" s="2">
        <v>7144</v>
      </c>
      <c r="U84" s="2">
        <v>7055</v>
      </c>
      <c r="V84" s="2">
        <v>0</v>
      </c>
      <c r="W84" s="2">
        <v>23</v>
      </c>
      <c r="X84" s="2">
        <v>40</v>
      </c>
      <c r="Y84" s="2">
        <v>5</v>
      </c>
      <c r="Z84" s="2">
        <v>10</v>
      </c>
      <c r="AA84" s="2">
        <v>0</v>
      </c>
      <c r="AB84" s="2">
        <f>SUM(Raw_Data[[#This Row],[IC1_Inv1]:[IC2_Inv2]])</f>
        <v>60514</v>
      </c>
      <c r="AC84" s="2">
        <f>IF(Raw_Data[[#This Row],[33 kV Outgoinng Export Reading]]-Q83&gt;0,Raw_Data[[#This Row],[33 kV Outgoinng Export Reading]]-Q83,0)*1000</f>
        <v>60456.200000015087</v>
      </c>
      <c r="AD84" s="2">
        <f>IF(Raw_Data[[#This Row],[33 kV Outgoinng Import Reading]]-R83&gt;0,Raw_Data[[#This Row],[33 kV Outgoinng Import Reading]]-R83,0)*1000</f>
        <v>201.99999999999818</v>
      </c>
      <c r="AE84" s="2">
        <f>Raw_Data[[#This Row],[Export  (kWh)]]-Raw_Data[[#This Row],[Import (kWh)]]</f>
        <v>60254.200000015087</v>
      </c>
      <c r="AF84" s="2">
        <f>IFERROR(AVERAGE(Raw_Data[[#This Row],[POA1(Wh/m2)]:[POA2(Wh/m2)]]),"")</f>
        <v>7099.5</v>
      </c>
      <c r="AG84" s="2">
        <f>IFERROR(Raw_Data[[#This Row],[Avg. POA without Exclusion (W/m2)2]]-Raw_Data[[#This Row],[Avg. POA Lost (W/m2)]],"")</f>
        <v>7099.5</v>
      </c>
      <c r="AH84" s="35">
        <f t="shared" ref="AH84" si="62">IFERROR((J84-I84)*24,"")</f>
        <v>12.833333333333332</v>
      </c>
      <c r="AI84" s="2"/>
    </row>
    <row r="85" spans="1:35">
      <c r="A85" s="2">
        <f>YEAR(Raw_Data[[#This Row],[Date]])+IF(MONTH(Raw_Data[[#This Row],[Date]])&gt;=4,1,0)</f>
        <v>2026</v>
      </c>
      <c r="B85" s="2">
        <f>YEAR(Raw_Data[[#This Row],[Date]])</f>
        <v>2025</v>
      </c>
      <c r="C85" s="2" t="s">
        <v>155</v>
      </c>
      <c r="D85" s="2" t="s">
        <v>155</v>
      </c>
      <c r="E85" s="39">
        <v>45809</v>
      </c>
      <c r="F85" s="2">
        <f>DAY(EOMONTH(Raw_Data[[#This Row],[Month Year]],0))</f>
        <v>30</v>
      </c>
      <c r="G85" s="63">
        <f t="shared" si="4"/>
        <v>45826</v>
      </c>
      <c r="H85" s="2">
        <v>11.72</v>
      </c>
      <c r="I85" s="219">
        <v>0.24444444444444444</v>
      </c>
      <c r="J85" s="218">
        <v>0.77430555555555558</v>
      </c>
      <c r="K85" s="2">
        <v>6874</v>
      </c>
      <c r="L85" s="2">
        <v>6990</v>
      </c>
      <c r="M85" s="2">
        <v>6089</v>
      </c>
      <c r="N85" s="2">
        <v>6634</v>
      </c>
      <c r="O85" s="2">
        <v>7255</v>
      </c>
      <c r="P85" s="2">
        <v>6840</v>
      </c>
      <c r="Q85" s="2">
        <v>131218.47029999999</v>
      </c>
      <c r="R85" s="2">
        <v>564.42349999999999</v>
      </c>
      <c r="S85" s="2">
        <v>0</v>
      </c>
      <c r="T85" s="2">
        <v>5835</v>
      </c>
      <c r="U85" s="2">
        <v>5850</v>
      </c>
      <c r="V85" s="2">
        <v>1123</v>
      </c>
      <c r="W85" s="2">
        <v>23</v>
      </c>
      <c r="X85" s="2">
        <v>38</v>
      </c>
      <c r="Y85" s="2">
        <v>5</v>
      </c>
      <c r="Z85" s="2">
        <v>10</v>
      </c>
      <c r="AA85" s="2">
        <v>0</v>
      </c>
      <c r="AB85" s="2">
        <f>SUM(Raw_Data[[#This Row],[IC1_Inv1]:[IC2_Inv2]])</f>
        <v>40682</v>
      </c>
      <c r="AC85" s="2">
        <f>IF(Raw_Data[[#This Row],[33 kV Outgoinng Export Reading]]-Q84&gt;0,Raw_Data[[#This Row],[33 kV Outgoinng Export Reading]]-Q84,0)*1000</f>
        <v>40765.599999984261</v>
      </c>
      <c r="AD85" s="2">
        <f>IF(Raw_Data[[#This Row],[33 kV Outgoinng Import Reading]]-R84&gt;0,Raw_Data[[#This Row],[33 kV Outgoinng Import Reading]]-R84,0)*1000</f>
        <v>196.10000000000127</v>
      </c>
      <c r="AE85" s="2">
        <f>Raw_Data[[#This Row],[Export  (kWh)]]-Raw_Data[[#This Row],[Import (kWh)]]</f>
        <v>40569.499999984262</v>
      </c>
      <c r="AF85" s="2">
        <f>IFERROR(AVERAGE(Raw_Data[[#This Row],[POA1(Wh/m2)]:[POA2(Wh/m2)]]),"")</f>
        <v>5842.5</v>
      </c>
      <c r="AG85" s="2">
        <f>IFERROR(Raw_Data[[#This Row],[Avg. POA without Exclusion (W/m2)2]]-Raw_Data[[#This Row],[Avg. POA Lost (W/m2)]],"")</f>
        <v>4719.5</v>
      </c>
      <c r="AH85" s="35">
        <f t="shared" ref="AH85" si="63">IFERROR((J85-I85)*24,"")</f>
        <v>12.716666666666667</v>
      </c>
      <c r="AI85" s="2"/>
    </row>
    <row r="86" spans="1:35">
      <c r="A86" s="2">
        <f>YEAR(Raw_Data[[#This Row],[Date]])+IF(MONTH(Raw_Data[[#This Row],[Date]])&gt;=4,1,0)</f>
        <v>2026</v>
      </c>
      <c r="B86" s="2">
        <f>YEAR(Raw_Data[[#This Row],[Date]])</f>
        <v>2025</v>
      </c>
      <c r="C86" s="2" t="s">
        <v>155</v>
      </c>
      <c r="D86" s="2" t="s">
        <v>155</v>
      </c>
      <c r="E86" s="39">
        <v>45809</v>
      </c>
      <c r="F86" s="2">
        <f>DAY(EOMONTH(Raw_Data[[#This Row],[Month Year]],0))</f>
        <v>30</v>
      </c>
      <c r="G86" s="63">
        <f t="shared" si="4"/>
        <v>45827</v>
      </c>
      <c r="H86" s="2">
        <v>11.72</v>
      </c>
      <c r="I86" s="219">
        <v>0.24861111111111112</v>
      </c>
      <c r="J86" s="218">
        <v>0.77083333333333337</v>
      </c>
      <c r="K86" s="2">
        <v>689</v>
      </c>
      <c r="L86" s="2">
        <v>673</v>
      </c>
      <c r="M86" s="2">
        <v>599</v>
      </c>
      <c r="N86" s="2">
        <v>682</v>
      </c>
      <c r="O86" s="2">
        <v>746</v>
      </c>
      <c r="P86" s="2">
        <v>760</v>
      </c>
      <c r="Q86" s="2">
        <v>131222.6347</v>
      </c>
      <c r="R86" s="2">
        <v>564.61620000000005</v>
      </c>
      <c r="S86" s="2">
        <v>0</v>
      </c>
      <c r="T86" s="2">
        <v>5323</v>
      </c>
      <c r="U86" s="2">
        <v>5323</v>
      </c>
      <c r="V86" s="2">
        <v>4833</v>
      </c>
      <c r="W86" s="2">
        <v>23</v>
      </c>
      <c r="X86" s="2">
        <v>40</v>
      </c>
      <c r="Y86" s="2">
        <v>5</v>
      </c>
      <c r="Z86" s="2">
        <v>9</v>
      </c>
      <c r="AA86" s="2">
        <v>0</v>
      </c>
      <c r="AB86" s="2">
        <f>SUM(Raw_Data[[#This Row],[IC1_Inv1]:[IC2_Inv2]])</f>
        <v>4149</v>
      </c>
      <c r="AC86" s="2">
        <f>IF(Raw_Data[[#This Row],[33 kV Outgoinng Export Reading]]-Q85&gt;0,Raw_Data[[#This Row],[33 kV Outgoinng Export Reading]]-Q85,0)*1000</f>
        <v>4164.4000000087544</v>
      </c>
      <c r="AD86" s="2">
        <f>IF(Raw_Data[[#This Row],[33 kV Outgoinng Import Reading]]-R85&gt;0,Raw_Data[[#This Row],[33 kV Outgoinng Import Reading]]-R85,0)*1000</f>
        <v>192.70000000005894</v>
      </c>
      <c r="AE86" s="2">
        <f>Raw_Data[[#This Row],[Export  (kWh)]]-Raw_Data[[#This Row],[Import (kWh)]]</f>
        <v>3971.7000000086955</v>
      </c>
      <c r="AF86" s="2">
        <f>IFERROR(AVERAGE(Raw_Data[[#This Row],[POA1(Wh/m2)]:[POA2(Wh/m2)]]),"")</f>
        <v>5323</v>
      </c>
      <c r="AG86" s="2">
        <f>IFERROR(Raw_Data[[#This Row],[Avg. POA without Exclusion (W/m2)2]]-Raw_Data[[#This Row],[Avg. POA Lost (W/m2)]],"")</f>
        <v>490</v>
      </c>
      <c r="AH86" s="35">
        <f t="shared" ref="AH86" si="64">IFERROR((J86-I86)*24,"")</f>
        <v>12.533333333333335</v>
      </c>
      <c r="AI86" s="2"/>
    </row>
    <row r="87" spans="1:35">
      <c r="A87" s="2">
        <f>YEAR(Raw_Data[[#This Row],[Date]])+IF(MONTH(Raw_Data[[#This Row],[Date]])&gt;=4,1,0)</f>
        <v>2026</v>
      </c>
      <c r="B87" s="2">
        <f>YEAR(Raw_Data[[#This Row],[Date]])</f>
        <v>2025</v>
      </c>
      <c r="C87" s="2" t="s">
        <v>155</v>
      </c>
      <c r="D87" s="2" t="s">
        <v>155</v>
      </c>
      <c r="E87" s="39">
        <v>45809</v>
      </c>
      <c r="F87" s="2">
        <f>DAY(EOMONTH(Raw_Data[[#This Row],[Month Year]],0))</f>
        <v>30</v>
      </c>
      <c r="G87" s="63">
        <f t="shared" si="4"/>
        <v>45828</v>
      </c>
      <c r="H87" s="2">
        <v>11.72</v>
      </c>
      <c r="I87" s="219">
        <v>0.25138888888888888</v>
      </c>
      <c r="J87" s="218">
        <v>0.77638888888888891</v>
      </c>
      <c r="K87" s="2">
        <v>7548</v>
      </c>
      <c r="L87" s="2">
        <v>8679</v>
      </c>
      <c r="M87" s="2">
        <v>7363</v>
      </c>
      <c r="N87" s="2">
        <v>7892</v>
      </c>
      <c r="O87" s="2">
        <v>8458</v>
      </c>
      <c r="P87" s="2">
        <v>8504</v>
      </c>
      <c r="Q87" s="2">
        <v>131271.00039999999</v>
      </c>
      <c r="R87" s="2">
        <v>564.82209999999998</v>
      </c>
      <c r="S87" s="2">
        <v>0</v>
      </c>
      <c r="T87" s="2">
        <v>5635</v>
      </c>
      <c r="U87" s="2">
        <v>5635</v>
      </c>
      <c r="V87" s="2">
        <v>0</v>
      </c>
      <c r="W87" s="2">
        <v>23</v>
      </c>
      <c r="X87" s="2">
        <v>40</v>
      </c>
      <c r="Y87" s="2">
        <v>5</v>
      </c>
      <c r="Z87" s="2">
        <v>9</v>
      </c>
      <c r="AA87" s="2">
        <v>0</v>
      </c>
      <c r="AB87" s="2">
        <f>SUM(Raw_Data[[#This Row],[IC1_Inv1]:[IC2_Inv2]])</f>
        <v>48444</v>
      </c>
      <c r="AC87" s="2">
        <f>IF(Raw_Data[[#This Row],[33 kV Outgoinng Export Reading]]-Q86&gt;0,Raw_Data[[#This Row],[33 kV Outgoinng Export Reading]]-Q86,0)*1000</f>
        <v>48365.699999994831</v>
      </c>
      <c r="AD87" s="2">
        <f>IF(Raw_Data[[#This Row],[33 kV Outgoinng Import Reading]]-R86&gt;0,Raw_Data[[#This Row],[33 kV Outgoinng Import Reading]]-R86,0)*1000</f>
        <v>205.8999999999287</v>
      </c>
      <c r="AE87" s="2">
        <f>Raw_Data[[#This Row],[Export  (kWh)]]-Raw_Data[[#This Row],[Import (kWh)]]</f>
        <v>48159.799999994902</v>
      </c>
      <c r="AF87" s="2">
        <f>IFERROR(AVERAGE(Raw_Data[[#This Row],[POA1(Wh/m2)]:[POA2(Wh/m2)]]),"")</f>
        <v>5635</v>
      </c>
      <c r="AG87" s="2">
        <f>IFERROR(Raw_Data[[#This Row],[Avg. POA without Exclusion (W/m2)2]]-Raw_Data[[#This Row],[Avg. POA Lost (W/m2)]],"")</f>
        <v>5635</v>
      </c>
      <c r="AH87" s="35">
        <f t="shared" ref="AH87" si="65">IFERROR((J87-I87)*24,"")</f>
        <v>12.600000000000001</v>
      </c>
      <c r="AI87" s="2"/>
    </row>
    <row r="88" spans="1:35">
      <c r="A88" s="2">
        <f>YEAR(Raw_Data[[#This Row],[Date]])+IF(MONTH(Raw_Data[[#This Row],[Date]])&gt;=4,1,0)</f>
        <v>2026</v>
      </c>
      <c r="B88" s="2">
        <f>YEAR(Raw_Data[[#This Row],[Date]])</f>
        <v>2025</v>
      </c>
      <c r="C88" s="2" t="s">
        <v>155</v>
      </c>
      <c r="D88" s="2" t="s">
        <v>155</v>
      </c>
      <c r="E88" s="39">
        <v>45809</v>
      </c>
      <c r="F88" s="2">
        <f>DAY(EOMONTH(Raw_Data[[#This Row],[Month Year]],0))</f>
        <v>30</v>
      </c>
      <c r="G88" s="63">
        <f t="shared" si="4"/>
        <v>45829</v>
      </c>
      <c r="H88" s="2">
        <v>11.72</v>
      </c>
      <c r="I88" s="219">
        <v>0.25069444444444444</v>
      </c>
      <c r="J88" s="218">
        <v>0.77638888888888891</v>
      </c>
      <c r="K88" s="2">
        <v>10663</v>
      </c>
      <c r="L88" s="2">
        <v>11293</v>
      </c>
      <c r="M88" s="2">
        <v>9597</v>
      </c>
      <c r="N88" s="2">
        <v>10359</v>
      </c>
      <c r="O88" s="2">
        <v>11119</v>
      </c>
      <c r="P88" s="2">
        <v>10991</v>
      </c>
      <c r="Q88" s="2">
        <v>131334.96849999999</v>
      </c>
      <c r="R88" s="2">
        <v>565.00909999999999</v>
      </c>
      <c r="S88" s="2">
        <v>0</v>
      </c>
      <c r="T88" s="2">
        <v>7485</v>
      </c>
      <c r="U88" s="2">
        <v>7485</v>
      </c>
      <c r="V88" s="2">
        <v>0</v>
      </c>
      <c r="W88" s="2">
        <v>23</v>
      </c>
      <c r="X88" s="2">
        <v>40</v>
      </c>
      <c r="Y88" s="2">
        <v>5</v>
      </c>
      <c r="Z88" s="2">
        <v>9</v>
      </c>
      <c r="AA88" s="2">
        <v>0</v>
      </c>
      <c r="AB88" s="2">
        <f>SUM(Raw_Data[[#This Row],[IC1_Inv1]:[IC2_Inv2]])</f>
        <v>64022</v>
      </c>
      <c r="AC88" s="2">
        <f>IF(Raw_Data[[#This Row],[33 kV Outgoinng Export Reading]]-Q87&gt;0,Raw_Data[[#This Row],[33 kV Outgoinng Export Reading]]-Q87,0)*1000</f>
        <v>63968.09999999823</v>
      </c>
      <c r="AD88" s="2">
        <f>IF(Raw_Data[[#This Row],[33 kV Outgoinng Import Reading]]-R87&gt;0,Raw_Data[[#This Row],[33 kV Outgoinng Import Reading]]-R87,0)*1000</f>
        <v>187.00000000001182</v>
      </c>
      <c r="AE88" s="2">
        <f>Raw_Data[[#This Row],[Export  (kWh)]]-Raw_Data[[#This Row],[Import (kWh)]]</f>
        <v>63781.099999998216</v>
      </c>
      <c r="AF88" s="2">
        <f>IFERROR(AVERAGE(Raw_Data[[#This Row],[POA1(Wh/m2)]:[POA2(Wh/m2)]]),"")</f>
        <v>7485</v>
      </c>
      <c r="AG88" s="2">
        <f>IFERROR(Raw_Data[[#This Row],[Avg. POA without Exclusion (W/m2)2]]-Raw_Data[[#This Row],[Avg. POA Lost (W/m2)]],"")</f>
        <v>7485</v>
      </c>
      <c r="AH88" s="35">
        <f t="shared" ref="AH88" si="66">IFERROR((J88-I88)*24,"")</f>
        <v>12.616666666666667</v>
      </c>
      <c r="AI88" s="2"/>
    </row>
    <row r="89" spans="1:35">
      <c r="A89" s="2">
        <f>YEAR(Raw_Data[[#This Row],[Date]])+IF(MONTH(Raw_Data[[#This Row],[Date]])&gt;=4,1,0)</f>
        <v>2026</v>
      </c>
      <c r="B89" s="2">
        <f>YEAR(Raw_Data[[#This Row],[Date]])</f>
        <v>2025</v>
      </c>
      <c r="C89" s="2" t="s">
        <v>155</v>
      </c>
      <c r="D89" s="2" t="s">
        <v>155</v>
      </c>
      <c r="E89" s="39">
        <v>45809</v>
      </c>
      <c r="F89" s="2">
        <f>DAY(EOMONTH(Raw_Data[[#This Row],[Month Year]],0))</f>
        <v>30</v>
      </c>
      <c r="G89" s="63">
        <f t="shared" si="4"/>
        <v>45830</v>
      </c>
      <c r="H89" s="2">
        <v>11.72</v>
      </c>
      <c r="I89" s="219">
        <v>0.24652777777777779</v>
      </c>
      <c r="J89" s="218">
        <v>0.77430555555555558</v>
      </c>
      <c r="K89" s="2">
        <v>9675</v>
      </c>
      <c r="L89" s="2">
        <v>10497</v>
      </c>
      <c r="M89" s="2">
        <v>8941</v>
      </c>
      <c r="N89" s="2">
        <v>9548</v>
      </c>
      <c r="O89" s="2">
        <v>10142</v>
      </c>
      <c r="P89" s="2">
        <v>10301</v>
      </c>
      <c r="Q89" s="2">
        <v>131394.02840000001</v>
      </c>
      <c r="R89" s="2">
        <v>565.19460000000004</v>
      </c>
      <c r="S89" s="2">
        <v>0</v>
      </c>
      <c r="T89" s="2">
        <v>6933</v>
      </c>
      <c r="U89" s="2">
        <v>6933</v>
      </c>
      <c r="V89" s="2">
        <v>0</v>
      </c>
      <c r="W89" s="2">
        <v>23</v>
      </c>
      <c r="X89" s="2">
        <v>40</v>
      </c>
      <c r="Y89" s="2">
        <v>5</v>
      </c>
      <c r="Z89" s="2">
        <v>12</v>
      </c>
      <c r="AA89" s="2">
        <v>0</v>
      </c>
      <c r="AB89" s="2">
        <f>SUM(Raw_Data[[#This Row],[IC1_Inv1]:[IC2_Inv2]])</f>
        <v>59104</v>
      </c>
      <c r="AC89" s="2">
        <f>IF(Raw_Data[[#This Row],[33 kV Outgoinng Export Reading]]-Q88&gt;0,Raw_Data[[#This Row],[33 kV Outgoinng Export Reading]]-Q88,0)*1000</f>
        <v>59059.900000022026</v>
      </c>
      <c r="AD89" s="2">
        <f>IF(Raw_Data[[#This Row],[33 kV Outgoinng Import Reading]]-R88&gt;0,Raw_Data[[#This Row],[33 kV Outgoinng Import Reading]]-R88,0)*1000</f>
        <v>185.50000000004729</v>
      </c>
      <c r="AE89" s="2">
        <f>Raw_Data[[#This Row],[Export  (kWh)]]-Raw_Data[[#This Row],[Import (kWh)]]</f>
        <v>58874.400000021982</v>
      </c>
      <c r="AF89" s="2">
        <f>IFERROR(AVERAGE(Raw_Data[[#This Row],[POA1(Wh/m2)]:[POA2(Wh/m2)]]),"")</f>
        <v>6933</v>
      </c>
      <c r="AG89" s="2">
        <f>IFERROR(Raw_Data[[#This Row],[Avg. POA without Exclusion (W/m2)2]]-Raw_Data[[#This Row],[Avg. POA Lost (W/m2)]],"")</f>
        <v>6933</v>
      </c>
      <c r="AH89" s="35">
        <f t="shared" ref="AH89" si="67">IFERROR((J89-I89)*24,"")</f>
        <v>12.666666666666668</v>
      </c>
      <c r="AI89" s="2"/>
    </row>
    <row r="90" spans="1:35">
      <c r="A90" s="2">
        <f>YEAR(Raw_Data[[#This Row],[Date]])+IF(MONTH(Raw_Data[[#This Row],[Date]])&gt;=4,1,0)</f>
        <v>2026</v>
      </c>
      <c r="B90" s="2">
        <f>YEAR(Raw_Data[[#This Row],[Date]])</f>
        <v>2025</v>
      </c>
      <c r="C90" s="2" t="s">
        <v>155</v>
      </c>
      <c r="D90" s="2" t="s">
        <v>155</v>
      </c>
      <c r="E90" s="39">
        <v>45809</v>
      </c>
      <c r="F90" s="2">
        <f>DAY(EOMONTH(Raw_Data[[#This Row],[Month Year]],0))</f>
        <v>30</v>
      </c>
      <c r="G90" s="63">
        <f t="shared" si="4"/>
        <v>45831</v>
      </c>
      <c r="H90" s="2">
        <v>11.72</v>
      </c>
      <c r="I90" s="219">
        <v>0.24791666666666667</v>
      </c>
      <c r="J90" s="218">
        <v>0.77083333333333337</v>
      </c>
      <c r="K90" s="2">
        <v>7336</v>
      </c>
      <c r="L90" s="2">
        <v>7546</v>
      </c>
      <c r="M90" s="2">
        <v>6625</v>
      </c>
      <c r="N90" s="2">
        <v>7011</v>
      </c>
      <c r="O90" s="2">
        <v>7477</v>
      </c>
      <c r="P90" s="2">
        <v>7606</v>
      </c>
      <c r="Q90" s="2">
        <v>131437.56080000001</v>
      </c>
      <c r="R90" s="2">
        <v>565.38</v>
      </c>
      <c r="S90" s="2">
        <v>0</v>
      </c>
      <c r="T90" s="2">
        <v>4910</v>
      </c>
      <c r="U90" s="2">
        <v>4865</v>
      </c>
      <c r="V90" s="2">
        <v>0</v>
      </c>
      <c r="W90" s="2">
        <v>23</v>
      </c>
      <c r="X90" s="2">
        <v>35.5</v>
      </c>
      <c r="Y90" s="2">
        <v>6</v>
      </c>
      <c r="Z90" s="2">
        <v>11</v>
      </c>
      <c r="AA90" s="2">
        <v>0</v>
      </c>
      <c r="AB90" s="2">
        <f>SUM(Raw_Data[[#This Row],[IC1_Inv1]:[IC2_Inv2]])</f>
        <v>43601</v>
      </c>
      <c r="AC90" s="2">
        <f>IF(Raw_Data[[#This Row],[33 kV Outgoinng Export Reading]]-Q89&gt;0,Raw_Data[[#This Row],[33 kV Outgoinng Export Reading]]-Q89,0)*1000</f>
        <v>43532.399999996414</v>
      </c>
      <c r="AD90" s="2">
        <f>IF(Raw_Data[[#This Row],[33 kV Outgoinng Import Reading]]-R89&gt;0,Raw_Data[[#This Row],[33 kV Outgoinng Import Reading]]-R89,0)*1000</f>
        <v>185.39999999995871</v>
      </c>
      <c r="AE90" s="2">
        <f>Raw_Data[[#This Row],[Export  (kWh)]]-Raw_Data[[#This Row],[Import (kWh)]]</f>
        <v>43346.999999996457</v>
      </c>
      <c r="AF90" s="2">
        <f>IFERROR(AVERAGE(Raw_Data[[#This Row],[POA1(Wh/m2)]:[POA2(Wh/m2)]]),"")</f>
        <v>4887.5</v>
      </c>
      <c r="AG90" s="2">
        <f>IFERROR(Raw_Data[[#This Row],[Avg. POA without Exclusion (W/m2)2]]-Raw_Data[[#This Row],[Avg. POA Lost (W/m2)]],"")</f>
        <v>4887.5</v>
      </c>
      <c r="AH90" s="35">
        <f t="shared" ref="AH90" si="68">IFERROR((J90-I90)*24,"")</f>
        <v>12.55</v>
      </c>
      <c r="AI90" s="2"/>
    </row>
    <row r="91" spans="1:35">
      <c r="A91" s="2">
        <f>YEAR(Raw_Data[[#This Row],[Date]])+IF(MONTH(Raw_Data[[#This Row],[Date]])&gt;=4,1,0)</f>
        <v>2026</v>
      </c>
      <c r="B91" s="2">
        <f>YEAR(Raw_Data[[#This Row],[Date]])</f>
        <v>2025</v>
      </c>
      <c r="C91" s="2" t="s">
        <v>155</v>
      </c>
      <c r="D91" s="2" t="s">
        <v>155</v>
      </c>
      <c r="E91" s="39">
        <v>45809</v>
      </c>
      <c r="F91" s="2">
        <f>DAY(EOMONTH(Raw_Data[[#This Row],[Month Year]],0))</f>
        <v>30</v>
      </c>
      <c r="G91" s="63">
        <f t="shared" si="4"/>
        <v>45832</v>
      </c>
      <c r="H91" s="2">
        <v>11.72</v>
      </c>
      <c r="I91" s="219">
        <v>0.25347222222222221</v>
      </c>
      <c r="J91" s="218">
        <v>0.77083333333333337</v>
      </c>
      <c r="K91" s="2">
        <v>6483</v>
      </c>
      <c r="L91" s="2">
        <v>6778</v>
      </c>
      <c r="M91" s="2">
        <v>5859</v>
      </c>
      <c r="N91" s="2">
        <v>6142</v>
      </c>
      <c r="O91" s="2">
        <v>6572</v>
      </c>
      <c r="P91" s="2">
        <v>6646</v>
      </c>
      <c r="Q91" s="2">
        <v>131476.0355</v>
      </c>
      <c r="R91" s="2">
        <v>565.58360000000005</v>
      </c>
      <c r="S91" s="2">
        <v>0</v>
      </c>
      <c r="T91" s="2">
        <v>4114</v>
      </c>
      <c r="U91" s="2">
        <v>4114</v>
      </c>
      <c r="V91" s="2">
        <v>0</v>
      </c>
      <c r="W91" s="2">
        <v>23</v>
      </c>
      <c r="X91" s="2">
        <v>35</v>
      </c>
      <c r="Y91" s="2">
        <v>6</v>
      </c>
      <c r="Z91" s="2">
        <v>11</v>
      </c>
      <c r="AA91" s="2">
        <v>0</v>
      </c>
      <c r="AB91" s="2">
        <f>SUM(Raw_Data[[#This Row],[IC1_Inv1]:[IC2_Inv2]])</f>
        <v>38480</v>
      </c>
      <c r="AC91" s="2">
        <f>IF(Raw_Data[[#This Row],[33 kV Outgoinng Export Reading]]-Q90&gt;0,Raw_Data[[#This Row],[33 kV Outgoinng Export Reading]]-Q90,0)*1000</f>
        <v>38474.699999991572</v>
      </c>
      <c r="AD91" s="2">
        <f>IF(Raw_Data[[#This Row],[33 kV Outgoinng Import Reading]]-R90&gt;0,Raw_Data[[#This Row],[33 kV Outgoinng Import Reading]]-R90,0)*1000</f>
        <v>203.6000000000513</v>
      </c>
      <c r="AE91" s="2">
        <f>Raw_Data[[#This Row],[Export  (kWh)]]-Raw_Data[[#This Row],[Import (kWh)]]</f>
        <v>38271.099999991522</v>
      </c>
      <c r="AF91" s="2">
        <f>IFERROR(AVERAGE(Raw_Data[[#This Row],[POA1(Wh/m2)]:[POA2(Wh/m2)]]),"")</f>
        <v>4114</v>
      </c>
      <c r="AG91" s="2">
        <f>IFERROR(Raw_Data[[#This Row],[Avg. POA without Exclusion (W/m2)2]]-Raw_Data[[#This Row],[Avg. POA Lost (W/m2)]],"")</f>
        <v>4114</v>
      </c>
      <c r="AH91" s="35">
        <f t="shared" ref="AH91" si="69">IFERROR((J91-I91)*24,"")</f>
        <v>12.416666666666668</v>
      </c>
      <c r="AI91" s="2"/>
    </row>
    <row r="92" spans="1:35">
      <c r="A92" s="2">
        <f>YEAR(Raw_Data[[#This Row],[Date]])+IF(MONTH(Raw_Data[[#This Row],[Date]])&gt;=4,1,0)</f>
        <v>2026</v>
      </c>
      <c r="B92" s="2">
        <f>YEAR(Raw_Data[[#This Row],[Date]])</f>
        <v>2025</v>
      </c>
      <c r="C92" s="2" t="s">
        <v>155</v>
      </c>
      <c r="D92" s="2" t="s">
        <v>155</v>
      </c>
      <c r="E92" s="39">
        <v>45809</v>
      </c>
      <c r="F92" s="2">
        <f>DAY(EOMONTH(Raw_Data[[#This Row],[Month Year]],0))</f>
        <v>30</v>
      </c>
      <c r="G92" s="63">
        <f t="shared" si="4"/>
        <v>45833</v>
      </c>
      <c r="H92" s="2">
        <v>11.72</v>
      </c>
      <c r="I92" s="219">
        <v>0.25416666666666665</v>
      </c>
      <c r="J92" s="218">
        <v>0.77777777777777779</v>
      </c>
      <c r="K92" s="2">
        <v>7173</v>
      </c>
      <c r="L92" s="2">
        <v>7290</v>
      </c>
      <c r="M92" s="2">
        <v>6365</v>
      </c>
      <c r="N92" s="2">
        <v>6760</v>
      </c>
      <c r="O92" s="2">
        <v>7350</v>
      </c>
      <c r="P92" s="2">
        <v>7310</v>
      </c>
      <c r="Q92" s="2">
        <v>131518.2003</v>
      </c>
      <c r="R92" s="2">
        <v>565.78779999999995</v>
      </c>
      <c r="S92" s="2">
        <v>0</v>
      </c>
      <c r="T92" s="2">
        <v>4854</v>
      </c>
      <c r="U92" s="2">
        <v>4798</v>
      </c>
      <c r="V92" s="2">
        <v>0</v>
      </c>
      <c r="W92" s="2">
        <v>23</v>
      </c>
      <c r="X92" s="2">
        <v>36</v>
      </c>
      <c r="Y92" s="2">
        <v>4</v>
      </c>
      <c r="Z92" s="2">
        <v>8</v>
      </c>
      <c r="AA92" s="2">
        <v>0</v>
      </c>
      <c r="AB92" s="2">
        <f>SUM(Raw_Data[[#This Row],[IC1_Inv1]:[IC2_Inv2]])</f>
        <v>42248</v>
      </c>
      <c r="AC92" s="2">
        <f>IF(Raw_Data[[#This Row],[33 kV Outgoinng Export Reading]]-Q91&gt;0,Raw_Data[[#This Row],[33 kV Outgoinng Export Reading]]-Q91,0)*1000</f>
        <v>42164.79999999865</v>
      </c>
      <c r="AD92" s="2">
        <f>IF(Raw_Data[[#This Row],[33 kV Outgoinng Import Reading]]-R91&gt;0,Raw_Data[[#This Row],[33 kV Outgoinng Import Reading]]-R91,0)*1000</f>
        <v>204.19999999990068</v>
      </c>
      <c r="AE92" s="2">
        <f>Raw_Data[[#This Row],[Export  (kWh)]]-Raw_Data[[#This Row],[Import (kWh)]]</f>
        <v>41960.599999998747</v>
      </c>
      <c r="AF92" s="2">
        <f>IFERROR(AVERAGE(Raw_Data[[#This Row],[POA1(Wh/m2)]:[POA2(Wh/m2)]]),"")</f>
        <v>4826</v>
      </c>
      <c r="AG92" s="2">
        <f>IFERROR(Raw_Data[[#This Row],[Avg. POA without Exclusion (W/m2)2]]-Raw_Data[[#This Row],[Avg. POA Lost (W/m2)]],"")</f>
        <v>4826</v>
      </c>
      <c r="AH92" s="35">
        <f t="shared" ref="AH92" si="70">IFERROR((J92-I92)*24,"")</f>
        <v>12.566666666666666</v>
      </c>
      <c r="AI92" s="2"/>
    </row>
    <row r="93" spans="1:35">
      <c r="A93" s="2">
        <f>YEAR(Raw_Data[[#This Row],[Date]])+IF(MONTH(Raw_Data[[#This Row],[Date]])&gt;=4,1,0)</f>
        <v>2026</v>
      </c>
      <c r="B93" s="2">
        <f>YEAR(Raw_Data[[#This Row],[Date]])</f>
        <v>2025</v>
      </c>
      <c r="C93" s="2" t="s">
        <v>155</v>
      </c>
      <c r="D93" s="2" t="s">
        <v>155</v>
      </c>
      <c r="E93" s="39">
        <v>45809</v>
      </c>
      <c r="F93" s="2">
        <f>DAY(EOMONTH(Raw_Data[[#This Row],[Month Year]],0))</f>
        <v>30</v>
      </c>
      <c r="G93" s="63">
        <f t="shared" si="4"/>
        <v>45834</v>
      </c>
      <c r="H93" s="2">
        <v>11.72</v>
      </c>
      <c r="I93" s="219">
        <v>0.25694444444444442</v>
      </c>
      <c r="J93" s="218">
        <v>0.78125</v>
      </c>
      <c r="K93" s="2">
        <v>5881</v>
      </c>
      <c r="L93" s="2">
        <v>6003</v>
      </c>
      <c r="M93" s="2">
        <v>5235</v>
      </c>
      <c r="N93" s="2">
        <v>5531</v>
      </c>
      <c r="O93" s="2">
        <v>5952</v>
      </c>
      <c r="P93" s="2">
        <v>6048</v>
      </c>
      <c r="Q93" s="2">
        <v>131552.85769999999</v>
      </c>
      <c r="R93" s="2">
        <v>565.94550000000004</v>
      </c>
      <c r="S93" s="2">
        <v>0</v>
      </c>
      <c r="T93" s="2">
        <v>3733</v>
      </c>
      <c r="U93" s="2">
        <v>3723</v>
      </c>
      <c r="V93" s="2">
        <v>0</v>
      </c>
      <c r="W93" s="2">
        <v>23</v>
      </c>
      <c r="X93" s="2">
        <v>33.5</v>
      </c>
      <c r="Y93" s="2">
        <v>4</v>
      </c>
      <c r="Z93" s="2">
        <v>8</v>
      </c>
      <c r="AA93" s="2">
        <v>0</v>
      </c>
      <c r="AB93" s="2">
        <f>SUM(Raw_Data[[#This Row],[IC1_Inv1]:[IC2_Inv2]])</f>
        <v>34650</v>
      </c>
      <c r="AC93" s="2">
        <f>IF(Raw_Data[[#This Row],[33 kV Outgoinng Export Reading]]-Q92&gt;0,Raw_Data[[#This Row],[33 kV Outgoinng Export Reading]]-Q92,0)*1000</f>
        <v>34657.399999996414</v>
      </c>
      <c r="AD93" s="2">
        <f>IF(Raw_Data[[#This Row],[33 kV Outgoinng Import Reading]]-R92&gt;0,Raw_Data[[#This Row],[33 kV Outgoinng Import Reading]]-R92,0)*1000</f>
        <v>157.70000000009077</v>
      </c>
      <c r="AE93" s="2">
        <f>Raw_Data[[#This Row],[Export  (kWh)]]-Raw_Data[[#This Row],[Import (kWh)]]</f>
        <v>34499.699999996323</v>
      </c>
      <c r="AF93" s="2">
        <f>IFERROR(AVERAGE(Raw_Data[[#This Row],[POA1(Wh/m2)]:[POA2(Wh/m2)]]),"")</f>
        <v>3728</v>
      </c>
      <c r="AG93" s="2">
        <f>IFERROR(Raw_Data[[#This Row],[Avg. POA without Exclusion (W/m2)2]]-Raw_Data[[#This Row],[Avg. POA Lost (W/m2)]],"")</f>
        <v>3728</v>
      </c>
      <c r="AH93" s="35">
        <f t="shared" ref="AH93" si="71">IFERROR((J93-I93)*24,"")</f>
        <v>12.583333333333334</v>
      </c>
      <c r="AI93" s="2"/>
    </row>
    <row r="94" spans="1:35">
      <c r="A94" s="2">
        <f>YEAR(Raw_Data[[#This Row],[Date]])+IF(MONTH(Raw_Data[[#This Row],[Date]])&gt;=4,1,0)</f>
        <v>2026</v>
      </c>
      <c r="B94" s="2">
        <f>YEAR(Raw_Data[[#This Row],[Date]])</f>
        <v>2025</v>
      </c>
      <c r="C94" s="2" t="s">
        <v>155</v>
      </c>
      <c r="D94" s="2" t="s">
        <v>155</v>
      </c>
      <c r="E94" s="39">
        <v>45809</v>
      </c>
      <c r="F94" s="2">
        <f>DAY(EOMONTH(Raw_Data[[#This Row],[Month Year]],0))</f>
        <v>30</v>
      </c>
      <c r="G94" s="63">
        <f t="shared" si="4"/>
        <v>45835</v>
      </c>
      <c r="H94" s="2">
        <v>11.72</v>
      </c>
      <c r="I94" s="219">
        <v>0.25138888888888888</v>
      </c>
      <c r="J94" s="218">
        <v>0.78333333333333333</v>
      </c>
      <c r="K94" s="2">
        <v>9192</v>
      </c>
      <c r="L94" s="2">
        <v>9439</v>
      </c>
      <c r="M94" s="2">
        <v>7982</v>
      </c>
      <c r="N94" s="2">
        <v>8754</v>
      </c>
      <c r="O94" s="2">
        <v>9446</v>
      </c>
      <c r="P94" s="2">
        <v>9445</v>
      </c>
      <c r="Q94" s="2">
        <v>131607.07750000001</v>
      </c>
      <c r="R94" s="2">
        <v>566.1472</v>
      </c>
      <c r="S94" s="2">
        <v>0</v>
      </c>
      <c r="T94" s="2">
        <v>6419</v>
      </c>
      <c r="U94" s="2">
        <v>6314</v>
      </c>
      <c r="V94" s="2">
        <v>0</v>
      </c>
      <c r="W94" s="2">
        <v>24</v>
      </c>
      <c r="X94" s="2">
        <v>39</v>
      </c>
      <c r="Y94" s="2">
        <v>4</v>
      </c>
      <c r="Z94" s="2">
        <v>8</v>
      </c>
      <c r="AA94" s="2">
        <v>0</v>
      </c>
      <c r="AB94" s="2">
        <f>SUM(Raw_Data[[#This Row],[IC1_Inv1]:[IC2_Inv2]])</f>
        <v>54258</v>
      </c>
      <c r="AC94" s="2">
        <f>IF(Raw_Data[[#This Row],[33 kV Outgoinng Export Reading]]-Q93&gt;0,Raw_Data[[#This Row],[33 kV Outgoinng Export Reading]]-Q93,0)*1000</f>
        <v>54219.800000020768</v>
      </c>
      <c r="AD94" s="2">
        <f>IF(Raw_Data[[#This Row],[33 kV Outgoinng Import Reading]]-R93&gt;0,Raw_Data[[#This Row],[33 kV Outgoinng Import Reading]]-R93,0)*1000</f>
        <v>201.6999999999598</v>
      </c>
      <c r="AE94" s="2">
        <f>Raw_Data[[#This Row],[Export  (kWh)]]-Raw_Data[[#This Row],[Import (kWh)]]</f>
        <v>54018.100000020808</v>
      </c>
      <c r="AF94" s="2">
        <f>IFERROR(AVERAGE(Raw_Data[[#This Row],[POA1(Wh/m2)]:[POA2(Wh/m2)]]),"")</f>
        <v>6366.5</v>
      </c>
      <c r="AG94" s="2">
        <f>IFERROR(Raw_Data[[#This Row],[Avg. POA without Exclusion (W/m2)2]]-Raw_Data[[#This Row],[Avg. POA Lost (W/m2)]],"")</f>
        <v>6366.5</v>
      </c>
      <c r="AH94" s="35">
        <f t="shared" ref="AH94" si="72">IFERROR((J94-I94)*24,"")</f>
        <v>12.766666666666666</v>
      </c>
      <c r="AI94" s="2"/>
    </row>
    <row r="95" spans="1:35">
      <c r="A95" s="2">
        <f>YEAR(Raw_Data[[#This Row],[Date]])+IF(MONTH(Raw_Data[[#This Row],[Date]])&gt;=4,1,0)</f>
        <v>2026</v>
      </c>
      <c r="B95" s="2">
        <f>YEAR(Raw_Data[[#This Row],[Date]])</f>
        <v>2025</v>
      </c>
      <c r="C95" s="2" t="s">
        <v>155</v>
      </c>
      <c r="D95" s="2" t="s">
        <v>155</v>
      </c>
      <c r="E95" s="39">
        <v>45809</v>
      </c>
      <c r="F95" s="2">
        <f>DAY(EOMONTH(Raw_Data[[#This Row],[Month Year]],0))</f>
        <v>30</v>
      </c>
      <c r="G95" s="63">
        <f t="shared" si="4"/>
        <v>45836</v>
      </c>
      <c r="H95" s="2">
        <v>11.72</v>
      </c>
      <c r="I95" s="219">
        <v>0.25138888888888888</v>
      </c>
      <c r="J95" s="218">
        <v>0.78472222222222221</v>
      </c>
      <c r="K95" s="2">
        <v>8424</v>
      </c>
      <c r="L95" s="2">
        <v>8524</v>
      </c>
      <c r="M95" s="2">
        <v>7414</v>
      </c>
      <c r="N95" s="2">
        <v>7990</v>
      </c>
      <c r="O95" s="2">
        <v>8708</v>
      </c>
      <c r="P95" s="2">
        <v>8694</v>
      </c>
      <c r="Q95" s="2">
        <v>131656.77499999999</v>
      </c>
      <c r="R95" s="2">
        <v>566.33939999999996</v>
      </c>
      <c r="S95" s="2">
        <v>0</v>
      </c>
      <c r="T95" s="2">
        <v>5742</v>
      </c>
      <c r="U95" s="2">
        <v>5748</v>
      </c>
      <c r="V95" s="2">
        <v>0</v>
      </c>
      <c r="W95" s="2">
        <v>24</v>
      </c>
      <c r="X95" s="2">
        <v>39</v>
      </c>
      <c r="Y95" s="2">
        <v>4</v>
      </c>
      <c r="Z95" s="2">
        <v>9</v>
      </c>
      <c r="AA95" s="2">
        <v>0</v>
      </c>
      <c r="AB95" s="2">
        <f>SUM(Raw_Data[[#This Row],[IC1_Inv1]:[IC2_Inv2]])</f>
        <v>49754</v>
      </c>
      <c r="AC95" s="2">
        <f>IF(Raw_Data[[#This Row],[33 kV Outgoinng Export Reading]]-Q94&gt;0,Raw_Data[[#This Row],[33 kV Outgoinng Export Reading]]-Q94,0)*1000</f>
        <v>49697.499999980209</v>
      </c>
      <c r="AD95" s="2">
        <f>IF(Raw_Data[[#This Row],[33 kV Outgoinng Import Reading]]-R94&gt;0,Raw_Data[[#This Row],[33 kV Outgoinng Import Reading]]-R94,0)*1000</f>
        <v>192.19999999995707</v>
      </c>
      <c r="AE95" s="2">
        <f>Raw_Data[[#This Row],[Export  (kWh)]]-Raw_Data[[#This Row],[Import (kWh)]]</f>
        <v>49505.299999980256</v>
      </c>
      <c r="AF95" s="2">
        <f>IFERROR(AVERAGE(Raw_Data[[#This Row],[POA1(Wh/m2)]:[POA2(Wh/m2)]]),"")</f>
        <v>5745</v>
      </c>
      <c r="AG95" s="2">
        <f>IFERROR(Raw_Data[[#This Row],[Avg. POA without Exclusion (W/m2)2]]-Raw_Data[[#This Row],[Avg. POA Lost (W/m2)]],"")</f>
        <v>5745</v>
      </c>
      <c r="AH95" s="35">
        <f t="shared" ref="AH95" si="73">IFERROR((J95-I95)*24,"")</f>
        <v>12.8</v>
      </c>
      <c r="AI95" s="2"/>
    </row>
    <row r="96" spans="1:35">
      <c r="A96" s="2">
        <f>YEAR(Raw_Data[[#This Row],[Date]])+IF(MONTH(Raw_Data[[#This Row],[Date]])&gt;=4,1,0)</f>
        <v>2026</v>
      </c>
      <c r="B96" s="2">
        <f>YEAR(Raw_Data[[#This Row],[Date]])</f>
        <v>2025</v>
      </c>
      <c r="C96" s="2" t="s">
        <v>155</v>
      </c>
      <c r="D96" s="2" t="s">
        <v>155</v>
      </c>
      <c r="E96" s="39">
        <v>45809</v>
      </c>
      <c r="F96" s="2">
        <f>DAY(EOMONTH(Raw_Data[[#This Row],[Month Year]],0))</f>
        <v>30</v>
      </c>
      <c r="G96" s="63">
        <f t="shared" si="4"/>
        <v>45837</v>
      </c>
      <c r="H96" s="2">
        <v>11.72</v>
      </c>
      <c r="I96" s="219">
        <v>0.24930555555555556</v>
      </c>
      <c r="J96" s="218">
        <v>0.77638888888888891</v>
      </c>
      <c r="K96" s="2">
        <v>6164</v>
      </c>
      <c r="L96" s="2">
        <v>6282</v>
      </c>
      <c r="M96" s="2">
        <v>5521</v>
      </c>
      <c r="N96" s="2">
        <v>5882</v>
      </c>
      <c r="O96" s="2">
        <v>6218</v>
      </c>
      <c r="P96" s="2">
        <v>6359</v>
      </c>
      <c r="Q96" s="2">
        <v>131693.17720000001</v>
      </c>
      <c r="R96" s="2">
        <v>566.55219999999997</v>
      </c>
      <c r="S96" s="2">
        <v>0</v>
      </c>
      <c r="T96" s="2">
        <v>4065</v>
      </c>
      <c r="U96" s="2">
        <v>4010</v>
      </c>
      <c r="V96" s="2">
        <v>0</v>
      </c>
      <c r="W96" s="2">
        <v>23</v>
      </c>
      <c r="X96" s="2">
        <v>32</v>
      </c>
      <c r="Y96" s="2">
        <v>5</v>
      </c>
      <c r="Z96" s="2">
        <v>9</v>
      </c>
      <c r="AA96" s="2">
        <v>0</v>
      </c>
      <c r="AB96" s="2">
        <f>SUM(Raw_Data[[#This Row],[IC1_Inv1]:[IC2_Inv2]])</f>
        <v>36426</v>
      </c>
      <c r="AC96" s="2">
        <f>IF(Raw_Data[[#This Row],[33 kV Outgoinng Export Reading]]-Q95&gt;0,Raw_Data[[#This Row],[33 kV Outgoinng Export Reading]]-Q95,0)*1000</f>
        <v>36402.200000011362</v>
      </c>
      <c r="AD96" s="2">
        <f>IF(Raw_Data[[#This Row],[33 kV Outgoinng Import Reading]]-R95&gt;0,Raw_Data[[#This Row],[33 kV Outgoinng Import Reading]]-R95,0)*1000</f>
        <v>212.80000000001564</v>
      </c>
      <c r="AE96" s="2">
        <f>Raw_Data[[#This Row],[Export  (kWh)]]-Raw_Data[[#This Row],[Import (kWh)]]</f>
        <v>36189.400000011345</v>
      </c>
      <c r="AF96" s="2">
        <f>IFERROR(AVERAGE(Raw_Data[[#This Row],[POA1(Wh/m2)]:[POA2(Wh/m2)]]),"")</f>
        <v>4037.5</v>
      </c>
      <c r="AG96" s="2">
        <f>IFERROR(Raw_Data[[#This Row],[Avg. POA without Exclusion (W/m2)2]]-Raw_Data[[#This Row],[Avg. POA Lost (W/m2)]],"")</f>
        <v>4037.5</v>
      </c>
      <c r="AH96" s="35">
        <f t="shared" ref="AH96" si="74">IFERROR((J96-I96)*24,"")</f>
        <v>12.65</v>
      </c>
      <c r="AI96" s="2"/>
    </row>
    <row r="97" spans="1:35">
      <c r="A97" s="2">
        <f>YEAR(Raw_Data[[#This Row],[Date]])+IF(MONTH(Raw_Data[[#This Row],[Date]])&gt;=4,1,0)</f>
        <v>2026</v>
      </c>
      <c r="B97" s="2">
        <f>YEAR(Raw_Data[[#This Row],[Date]])</f>
        <v>2025</v>
      </c>
      <c r="C97" s="2" t="s">
        <v>155</v>
      </c>
      <c r="D97" s="2" t="s">
        <v>155</v>
      </c>
      <c r="E97" s="39">
        <v>45809</v>
      </c>
      <c r="F97" s="2">
        <f>DAY(EOMONTH(Raw_Data[[#This Row],[Month Year]],0))</f>
        <v>30</v>
      </c>
      <c r="G97" s="63">
        <f t="shared" si="4"/>
        <v>45838</v>
      </c>
      <c r="H97" s="2">
        <v>11.72</v>
      </c>
      <c r="I97" s="219">
        <v>0.26111111111111113</v>
      </c>
      <c r="J97" s="218">
        <v>0.74444444444444446</v>
      </c>
      <c r="K97" s="2">
        <v>5421</v>
      </c>
      <c r="L97" s="2">
        <v>5775</v>
      </c>
      <c r="M97" s="2">
        <v>5104</v>
      </c>
      <c r="N97" s="2">
        <v>5334</v>
      </c>
      <c r="O97" s="2">
        <v>5719</v>
      </c>
      <c r="P97" s="2">
        <v>5864</v>
      </c>
      <c r="Q97" s="2">
        <v>131726.35879999999</v>
      </c>
      <c r="R97" s="2">
        <v>566.68380000000002</v>
      </c>
      <c r="S97" s="2">
        <v>0</v>
      </c>
      <c r="T97" s="2">
        <v>3544</v>
      </c>
      <c r="U97" s="2">
        <v>3528</v>
      </c>
      <c r="V97" s="2">
        <v>0</v>
      </c>
      <c r="W97" s="2">
        <v>23</v>
      </c>
      <c r="X97" s="2">
        <v>33</v>
      </c>
      <c r="Y97" s="2">
        <v>4</v>
      </c>
      <c r="Z97" s="2">
        <v>9</v>
      </c>
      <c r="AA97" s="2">
        <v>0</v>
      </c>
      <c r="AB97" s="2">
        <f>SUM(Raw_Data[[#This Row],[IC1_Inv1]:[IC2_Inv2]])</f>
        <v>33217</v>
      </c>
      <c r="AC97" s="2">
        <f>IF(Raw_Data[[#This Row],[33 kV Outgoinng Export Reading]]-Q96&gt;0,Raw_Data[[#This Row],[33 kV Outgoinng Export Reading]]-Q96,0)*1000</f>
        <v>33181.5999999817</v>
      </c>
      <c r="AD97" s="2">
        <f>IF(Raw_Data[[#This Row],[33 kV Outgoinng Import Reading]]-R96&gt;0,Raw_Data[[#This Row],[33 kV Outgoinng Import Reading]]-R96,0)*1000</f>
        <v>131.60000000004857</v>
      </c>
      <c r="AE97" s="2">
        <f>Raw_Data[[#This Row],[Export  (kWh)]]-Raw_Data[[#This Row],[Import (kWh)]]</f>
        <v>33049.99999998165</v>
      </c>
      <c r="AF97" s="2">
        <f>IFERROR(AVERAGE(Raw_Data[[#This Row],[POA1(Wh/m2)]:[POA2(Wh/m2)]]),"")</f>
        <v>3536</v>
      </c>
      <c r="AG97" s="2">
        <f>IFERROR(Raw_Data[[#This Row],[Avg. POA without Exclusion (W/m2)2]]-Raw_Data[[#This Row],[Avg. POA Lost (W/m2)]],"")</f>
        <v>3536</v>
      </c>
      <c r="AH97" s="35">
        <f t="shared" ref="AH97" si="75">IFERROR((J97-I97)*24,"")</f>
        <v>11.6</v>
      </c>
      <c r="AI97" s="2"/>
    </row>
    <row r="98" spans="1:35">
      <c r="A98" s="2">
        <f>YEAR(Raw_Data[[#This Row],[Date]])+IF(MONTH(Raw_Data[[#This Row],[Date]])&gt;=4,1,0)</f>
        <v>2026</v>
      </c>
      <c r="B98" s="2">
        <f>YEAR(Raw_Data[[#This Row],[Date]])</f>
        <v>2025</v>
      </c>
      <c r="C98" s="2" t="s">
        <v>155</v>
      </c>
      <c r="D98" s="2" t="s">
        <v>155</v>
      </c>
      <c r="E98" s="39">
        <v>45839</v>
      </c>
      <c r="F98" s="2">
        <f>DAY(EOMONTH(Raw_Data[[#This Row],[Month Year]],0))</f>
        <v>31</v>
      </c>
      <c r="G98" s="63">
        <f t="shared" si="4"/>
        <v>45839</v>
      </c>
      <c r="H98" s="2">
        <v>11.72</v>
      </c>
      <c r="I98" s="219">
        <v>0.25833333333333336</v>
      </c>
      <c r="J98" s="218">
        <v>0.77083333333333337</v>
      </c>
      <c r="K98" s="2">
        <v>3989</v>
      </c>
      <c r="L98" s="2">
        <v>4130</v>
      </c>
      <c r="M98" s="2">
        <v>3648</v>
      </c>
      <c r="N98" s="2">
        <v>3721</v>
      </c>
      <c r="O98" s="2">
        <v>3983</v>
      </c>
      <c r="P98" s="2">
        <v>4027</v>
      </c>
      <c r="Q98" s="2">
        <v>131749.84830000001</v>
      </c>
      <c r="R98" s="2">
        <v>566.85350000000005</v>
      </c>
      <c r="S98" s="2">
        <v>0</v>
      </c>
      <c r="T98" s="2">
        <v>2923</v>
      </c>
      <c r="U98" s="2">
        <v>2923</v>
      </c>
      <c r="V98" s="2">
        <v>506</v>
      </c>
      <c r="W98" s="2">
        <v>23</v>
      </c>
      <c r="X98" s="2">
        <v>30</v>
      </c>
      <c r="Y98" s="2">
        <v>4</v>
      </c>
      <c r="Z98" s="2">
        <v>10</v>
      </c>
      <c r="AA98" s="2">
        <v>0</v>
      </c>
      <c r="AB98" s="2">
        <f>SUM(Raw_Data[[#This Row],[IC1_Inv1]:[IC2_Inv2]])</f>
        <v>23498</v>
      </c>
      <c r="AC98" s="2">
        <f>IF(Raw_Data[[#This Row],[33 kV Outgoinng Export Reading]]-Q97&gt;0,Raw_Data[[#This Row],[33 kV Outgoinng Export Reading]]-Q97,0)*1000</f>
        <v>23489.500000025146</v>
      </c>
      <c r="AD98" s="2">
        <f>IF(Raw_Data[[#This Row],[33 kV Outgoinng Import Reading]]-R97&gt;0,Raw_Data[[#This Row],[33 kV Outgoinng Import Reading]]-R97,0)*1000</f>
        <v>169.70000000003438</v>
      </c>
      <c r="AE98" s="2">
        <f>Raw_Data[[#This Row],[Export  (kWh)]]-Raw_Data[[#This Row],[Import (kWh)]]</f>
        <v>23319.800000025112</v>
      </c>
      <c r="AF98" s="2">
        <f>IFERROR(AVERAGE(Raw_Data[[#This Row],[POA1(Wh/m2)]:[POA2(Wh/m2)]]),"")</f>
        <v>2923</v>
      </c>
      <c r="AG98" s="2">
        <f>IFERROR(Raw_Data[[#This Row],[Avg. POA without Exclusion (W/m2)2]]-Raw_Data[[#This Row],[Avg. POA Lost (W/m2)]],"")</f>
        <v>2417</v>
      </c>
      <c r="AH98" s="35">
        <f t="shared" ref="AH98" si="76">IFERROR((J98-I98)*24,"")</f>
        <v>12.299999999999999</v>
      </c>
      <c r="AI98" s="2"/>
    </row>
    <row r="99" spans="1:35">
      <c r="A99" s="2">
        <f>YEAR(Raw_Data[[#This Row],[Date]])+IF(MONTH(Raw_Data[[#This Row],[Date]])&gt;=4,1,0)</f>
        <v>2026</v>
      </c>
      <c r="B99" s="2">
        <f>YEAR(Raw_Data[[#This Row],[Date]])</f>
        <v>2025</v>
      </c>
      <c r="C99" s="2" t="s">
        <v>155</v>
      </c>
      <c r="D99" s="2" t="s">
        <v>155</v>
      </c>
      <c r="E99" s="39">
        <v>45839</v>
      </c>
      <c r="F99" s="2">
        <f>DAY(EOMONTH(Raw_Data[[#This Row],[Month Year]],0))</f>
        <v>31</v>
      </c>
      <c r="G99" s="63">
        <f t="shared" si="4"/>
        <v>45840</v>
      </c>
      <c r="H99" s="2">
        <v>11.72</v>
      </c>
      <c r="I99" s="219">
        <v>0.26319444444444445</v>
      </c>
      <c r="J99" s="218">
        <v>0.78333333333333333</v>
      </c>
      <c r="K99" s="2">
        <v>3170</v>
      </c>
      <c r="L99" s="2">
        <v>3277</v>
      </c>
      <c r="M99" s="2">
        <v>2894</v>
      </c>
      <c r="N99" s="2">
        <v>2948</v>
      </c>
      <c r="O99" s="2">
        <v>3208</v>
      </c>
      <c r="P99" s="2">
        <v>3233</v>
      </c>
      <c r="Q99" s="2">
        <v>131768.5233</v>
      </c>
      <c r="R99" s="2">
        <v>567.04060000000004</v>
      </c>
      <c r="S99" s="2">
        <v>0</v>
      </c>
      <c r="T99" s="2">
        <v>1862</v>
      </c>
      <c r="U99" s="2">
        <v>1862</v>
      </c>
      <c r="V99" s="2">
        <v>0</v>
      </c>
      <c r="W99" s="2">
        <v>23</v>
      </c>
      <c r="X99" s="2">
        <v>27.8</v>
      </c>
      <c r="Y99" s="2">
        <v>4</v>
      </c>
      <c r="Z99" s="2">
        <v>7</v>
      </c>
      <c r="AA99" s="2">
        <v>0</v>
      </c>
      <c r="AB99" s="2">
        <f>SUM(Raw_Data[[#This Row],[IC1_Inv1]:[IC2_Inv2]])</f>
        <v>18730</v>
      </c>
      <c r="AC99" s="2">
        <f>IF(Raw_Data[[#This Row],[33 kV Outgoinng Export Reading]]-Q98&gt;0,Raw_Data[[#This Row],[33 kV Outgoinng Export Reading]]-Q98,0)*1000</f>
        <v>18674.999999988358</v>
      </c>
      <c r="AD99" s="2">
        <f>IF(Raw_Data[[#This Row],[33 kV Outgoinng Import Reading]]-R98&gt;0,Raw_Data[[#This Row],[33 kV Outgoinng Import Reading]]-R98,0)*1000</f>
        <v>187.09999999998672</v>
      </c>
      <c r="AE99" s="2">
        <f>Raw_Data[[#This Row],[Export  (kWh)]]-Raw_Data[[#This Row],[Import (kWh)]]</f>
        <v>18487.899999988371</v>
      </c>
      <c r="AF99" s="2">
        <f>IFERROR(AVERAGE(Raw_Data[[#This Row],[POA1(Wh/m2)]:[POA2(Wh/m2)]]),"")</f>
        <v>1862</v>
      </c>
      <c r="AG99" s="2">
        <f>IFERROR(Raw_Data[[#This Row],[Avg. POA without Exclusion (W/m2)2]]-Raw_Data[[#This Row],[Avg. POA Lost (W/m2)]],"")</f>
        <v>1862</v>
      </c>
      <c r="AH99" s="35">
        <f t="shared" ref="AH99" si="77">IFERROR((J99-I99)*24,"")</f>
        <v>12.483333333333334</v>
      </c>
      <c r="AI99" s="2"/>
    </row>
    <row r="100" spans="1:35">
      <c r="A100" s="2">
        <f>YEAR(Raw_Data[[#This Row],[Date]])+IF(MONTH(Raw_Data[[#This Row],[Date]])&gt;=4,1,0)</f>
        <v>2026</v>
      </c>
      <c r="B100" s="2">
        <f>YEAR(Raw_Data[[#This Row],[Date]])</f>
        <v>2025</v>
      </c>
      <c r="C100" s="2" t="s">
        <v>155</v>
      </c>
      <c r="D100" s="2" t="s">
        <v>155</v>
      </c>
      <c r="E100" s="39">
        <v>45839</v>
      </c>
      <c r="F100" s="2">
        <f>DAY(EOMONTH(Raw_Data[[#This Row],[Month Year]],0))</f>
        <v>31</v>
      </c>
      <c r="G100" s="63">
        <f t="shared" si="4"/>
        <v>45841</v>
      </c>
      <c r="H100" s="2">
        <v>11.72</v>
      </c>
      <c r="I100" s="219">
        <v>0.25763888888888886</v>
      </c>
      <c r="J100" s="218">
        <v>0.77430555555555558</v>
      </c>
      <c r="K100" s="2">
        <v>4873</v>
      </c>
      <c r="L100" s="2">
        <v>4991</v>
      </c>
      <c r="M100" s="2">
        <v>4406</v>
      </c>
      <c r="N100" s="2">
        <v>4502</v>
      </c>
      <c r="O100" s="2">
        <v>4855</v>
      </c>
      <c r="P100" s="2">
        <v>4955</v>
      </c>
      <c r="Q100" s="2">
        <v>131797.04509999999</v>
      </c>
      <c r="R100" s="2">
        <v>567.2201</v>
      </c>
      <c r="S100" s="2">
        <v>0</v>
      </c>
      <c r="T100" s="2">
        <v>2941</v>
      </c>
      <c r="U100" s="2">
        <v>2941</v>
      </c>
      <c r="V100" s="2">
        <v>0</v>
      </c>
      <c r="W100" s="2">
        <v>23</v>
      </c>
      <c r="X100" s="2">
        <v>31</v>
      </c>
      <c r="Y100" s="2">
        <v>4</v>
      </c>
      <c r="Z100" s="2">
        <v>8</v>
      </c>
      <c r="AA100" s="2">
        <v>0</v>
      </c>
      <c r="AB100" s="2">
        <f>SUM(Raw_Data[[#This Row],[IC1_Inv1]:[IC2_Inv2]])</f>
        <v>28582</v>
      </c>
      <c r="AC100" s="2">
        <f>IF(Raw_Data[[#This Row],[33 kV Outgoinng Export Reading]]-Q99&gt;0,Raw_Data[[#This Row],[33 kV Outgoinng Export Reading]]-Q99,0)*1000</f>
        <v>28521.799999987707</v>
      </c>
      <c r="AD100" s="2">
        <f>IF(Raw_Data[[#This Row],[33 kV Outgoinng Import Reading]]-R99&gt;0,Raw_Data[[#This Row],[33 kV Outgoinng Import Reading]]-R99,0)*1000</f>
        <v>179.4999999999618</v>
      </c>
      <c r="AE100" s="2">
        <f>Raw_Data[[#This Row],[Export  (kWh)]]-Raw_Data[[#This Row],[Import (kWh)]]</f>
        <v>28342.299999987743</v>
      </c>
      <c r="AF100" s="2">
        <f>IFERROR(AVERAGE(Raw_Data[[#This Row],[POA1(Wh/m2)]:[POA2(Wh/m2)]]),"")</f>
        <v>2941</v>
      </c>
      <c r="AG100" s="2">
        <f>IFERROR(Raw_Data[[#This Row],[Avg. POA without Exclusion (W/m2)2]]-Raw_Data[[#This Row],[Avg. POA Lost (W/m2)]],"")</f>
        <v>2941</v>
      </c>
      <c r="AH100" s="35">
        <f t="shared" ref="AH100" si="78">IFERROR((J100-I100)*24,"")</f>
        <v>12.400000000000002</v>
      </c>
      <c r="AI100" s="2"/>
    </row>
    <row r="101" spans="1:35">
      <c r="A101" s="2">
        <f>YEAR(Raw_Data[[#This Row],[Date]])+IF(MONTH(Raw_Data[[#This Row],[Date]])&gt;=4,1,0)</f>
        <v>2026</v>
      </c>
      <c r="B101" s="2">
        <f>YEAR(Raw_Data[[#This Row],[Date]])</f>
        <v>2025</v>
      </c>
      <c r="C101" s="2" t="s">
        <v>155</v>
      </c>
      <c r="D101" s="2" t="s">
        <v>155</v>
      </c>
      <c r="E101" s="39">
        <v>45839</v>
      </c>
      <c r="F101" s="2">
        <f>DAY(EOMONTH(Raw_Data[[#This Row],[Month Year]],0))</f>
        <v>31</v>
      </c>
      <c r="G101" s="63">
        <f t="shared" si="4"/>
        <v>45842</v>
      </c>
      <c r="H101" s="2">
        <v>11.72</v>
      </c>
      <c r="I101" s="219">
        <v>0.25347222222222221</v>
      </c>
      <c r="J101" s="218">
        <v>0.7729166666666667</v>
      </c>
      <c r="K101" s="2">
        <v>7804</v>
      </c>
      <c r="L101" s="2">
        <v>7958</v>
      </c>
      <c r="M101" s="2">
        <v>7034</v>
      </c>
      <c r="N101" s="2">
        <v>7349</v>
      </c>
      <c r="O101" s="2">
        <v>8022</v>
      </c>
      <c r="P101" s="2">
        <v>8164</v>
      </c>
      <c r="Q101" s="2">
        <v>131843.3236</v>
      </c>
      <c r="R101" s="2">
        <v>567.40150000000006</v>
      </c>
      <c r="S101" s="2">
        <v>0</v>
      </c>
      <c r="T101" s="2">
        <v>5254</v>
      </c>
      <c r="U101" s="2">
        <v>5254</v>
      </c>
      <c r="V101" s="2">
        <v>0</v>
      </c>
      <c r="W101" s="2">
        <v>23</v>
      </c>
      <c r="X101" s="2">
        <v>36</v>
      </c>
      <c r="Y101" s="2">
        <v>4.7</v>
      </c>
      <c r="Z101" s="2">
        <v>8</v>
      </c>
      <c r="AA101" s="2">
        <v>0</v>
      </c>
      <c r="AB101" s="2">
        <f>SUM(Raw_Data[[#This Row],[IC1_Inv1]:[IC2_Inv2]])</f>
        <v>46331</v>
      </c>
      <c r="AC101" s="2">
        <f>IF(Raw_Data[[#This Row],[33 kV Outgoinng Export Reading]]-Q100&gt;0,Raw_Data[[#This Row],[33 kV Outgoinng Export Reading]]-Q100,0)*1000</f>
        <v>46278.500000014901</v>
      </c>
      <c r="AD101" s="2">
        <f>IF(Raw_Data[[#This Row],[33 kV Outgoinng Import Reading]]-R100&gt;0,Raw_Data[[#This Row],[33 kV Outgoinng Import Reading]]-R100,0)*1000</f>
        <v>181.4000000000533</v>
      </c>
      <c r="AE101" s="2">
        <f>Raw_Data[[#This Row],[Export  (kWh)]]-Raw_Data[[#This Row],[Import (kWh)]]</f>
        <v>46097.100000014849</v>
      </c>
      <c r="AF101" s="2">
        <f>IFERROR(AVERAGE(Raw_Data[[#This Row],[POA1(Wh/m2)]:[POA2(Wh/m2)]]),"")</f>
        <v>5254</v>
      </c>
      <c r="AG101" s="2">
        <f>IFERROR(Raw_Data[[#This Row],[Avg. POA without Exclusion (W/m2)2]]-Raw_Data[[#This Row],[Avg. POA Lost (W/m2)]],"")</f>
        <v>5254</v>
      </c>
      <c r="AH101" s="35">
        <f t="shared" ref="AH101" si="79">IFERROR((J101-I101)*24,"")</f>
        <v>12.466666666666669</v>
      </c>
      <c r="AI101" s="2"/>
    </row>
    <row r="102" spans="1:35">
      <c r="A102" s="2">
        <f>YEAR(Raw_Data[[#This Row],[Date]])+IF(MONTH(Raw_Data[[#This Row],[Date]])&gt;=4,1,0)</f>
        <v>2026</v>
      </c>
      <c r="B102" s="2">
        <f>YEAR(Raw_Data[[#This Row],[Date]])</f>
        <v>2025</v>
      </c>
      <c r="C102" s="2" t="s">
        <v>155</v>
      </c>
      <c r="D102" s="2" t="s">
        <v>155</v>
      </c>
      <c r="E102" s="39">
        <v>45839</v>
      </c>
      <c r="F102" s="2">
        <f>DAY(EOMONTH(Raw_Data[[#This Row],[Month Year]],0))</f>
        <v>31</v>
      </c>
      <c r="G102" s="63">
        <f t="shared" si="4"/>
        <v>45843</v>
      </c>
      <c r="H102" s="2">
        <v>11.72</v>
      </c>
      <c r="I102" s="219">
        <v>0.24930555555555556</v>
      </c>
      <c r="J102" s="218">
        <v>0.77777777777777779</v>
      </c>
      <c r="K102" s="2">
        <v>8113</v>
      </c>
      <c r="L102" s="2">
        <v>8539</v>
      </c>
      <c r="M102" s="2">
        <v>7492</v>
      </c>
      <c r="N102" s="2">
        <v>7853</v>
      </c>
      <c r="O102" s="2">
        <v>8493</v>
      </c>
      <c r="P102" s="2">
        <v>8655</v>
      </c>
      <c r="Q102" s="2">
        <v>131892.40059999999</v>
      </c>
      <c r="R102" s="2">
        <v>567.55759999999998</v>
      </c>
      <c r="S102" s="2">
        <v>0</v>
      </c>
      <c r="T102" s="2">
        <v>5536</v>
      </c>
      <c r="U102" s="2">
        <v>5536</v>
      </c>
      <c r="V102" s="2">
        <v>0</v>
      </c>
      <c r="W102" s="2">
        <v>23</v>
      </c>
      <c r="X102" s="2">
        <v>35</v>
      </c>
      <c r="Y102" s="2">
        <v>5</v>
      </c>
      <c r="Z102" s="2">
        <v>10</v>
      </c>
      <c r="AA102" s="2">
        <v>0</v>
      </c>
      <c r="AB102" s="2">
        <f>SUM(Raw_Data[[#This Row],[IC1_Inv1]:[IC2_Inv2]])</f>
        <v>49145</v>
      </c>
      <c r="AC102" s="2">
        <f>IF(Raw_Data[[#This Row],[33 kV Outgoinng Export Reading]]-Q101&gt;0,Raw_Data[[#This Row],[33 kV Outgoinng Export Reading]]-Q101,0)*1000</f>
        <v>49076.999999990221</v>
      </c>
      <c r="AD102" s="2">
        <f>IF(Raw_Data[[#This Row],[33 kV Outgoinng Import Reading]]-R101&gt;0,Raw_Data[[#This Row],[33 kV Outgoinng Import Reading]]-R101,0)*1000</f>
        <v>156.09999999992397</v>
      </c>
      <c r="AE102" s="2">
        <f>Raw_Data[[#This Row],[Export  (kWh)]]-Raw_Data[[#This Row],[Import (kWh)]]</f>
        <v>48920.899999990295</v>
      </c>
      <c r="AF102" s="2">
        <f>IFERROR(AVERAGE(Raw_Data[[#This Row],[POA1(Wh/m2)]:[POA2(Wh/m2)]]),"")</f>
        <v>5536</v>
      </c>
      <c r="AG102" s="2">
        <f>IFERROR(Raw_Data[[#This Row],[Avg. POA without Exclusion (W/m2)2]]-Raw_Data[[#This Row],[Avg. POA Lost (W/m2)]],"")</f>
        <v>5536</v>
      </c>
      <c r="AH102" s="35">
        <f t="shared" ref="AH102" si="80">IFERROR((J102-I102)*24,"")</f>
        <v>12.683333333333334</v>
      </c>
      <c r="AI102" s="2"/>
    </row>
    <row r="103" spans="1:35">
      <c r="A103" s="2">
        <f>YEAR(Raw_Data[[#This Row],[Date]])+IF(MONTH(Raw_Data[[#This Row],[Date]])&gt;=4,1,0)</f>
        <v>2026</v>
      </c>
      <c r="B103" s="2">
        <f>YEAR(Raw_Data[[#This Row],[Date]])</f>
        <v>2025</v>
      </c>
      <c r="C103" s="2" t="s">
        <v>155</v>
      </c>
      <c r="D103" s="2" t="s">
        <v>155</v>
      </c>
      <c r="E103" s="39">
        <v>45839</v>
      </c>
      <c r="F103" s="2">
        <f>DAY(EOMONTH(Raw_Data[[#This Row],[Month Year]],0))</f>
        <v>31</v>
      </c>
      <c r="G103" s="63">
        <f t="shared" si="4"/>
        <v>45844</v>
      </c>
      <c r="H103" s="2">
        <v>11.72</v>
      </c>
      <c r="I103" s="219">
        <v>0.26041666666666669</v>
      </c>
      <c r="J103" s="218">
        <v>0.77777777777777779</v>
      </c>
      <c r="K103" s="2">
        <v>8647</v>
      </c>
      <c r="L103" s="2">
        <v>8894</v>
      </c>
      <c r="M103" s="2">
        <v>7737</v>
      </c>
      <c r="N103" s="2">
        <v>8141</v>
      </c>
      <c r="O103" s="2">
        <v>8827</v>
      </c>
      <c r="P103" s="2">
        <v>8866</v>
      </c>
      <c r="Q103" s="2">
        <v>131943.495</v>
      </c>
      <c r="R103" s="2">
        <v>567.73220000000003</v>
      </c>
      <c r="S103" s="2">
        <v>0</v>
      </c>
      <c r="T103" s="2">
        <v>5840</v>
      </c>
      <c r="U103" s="2">
        <v>5840</v>
      </c>
      <c r="V103" s="2">
        <v>0</v>
      </c>
      <c r="W103" s="2">
        <v>23</v>
      </c>
      <c r="X103" s="2">
        <v>36.5</v>
      </c>
      <c r="Y103" s="2">
        <v>5</v>
      </c>
      <c r="Z103" s="2">
        <v>10</v>
      </c>
      <c r="AA103" s="2">
        <v>0</v>
      </c>
      <c r="AB103" s="2">
        <f>SUM(Raw_Data[[#This Row],[IC1_Inv1]:[IC2_Inv2]])</f>
        <v>51112</v>
      </c>
      <c r="AC103" s="2">
        <f>IF(Raw_Data[[#This Row],[33 kV Outgoinng Export Reading]]-Q102&gt;0,Raw_Data[[#This Row],[33 kV Outgoinng Export Reading]]-Q102,0)*1000</f>
        <v>51094.40000000177</v>
      </c>
      <c r="AD103" s="2">
        <f>IF(Raw_Data[[#This Row],[33 kV Outgoinng Import Reading]]-R102&gt;0,Raw_Data[[#This Row],[33 kV Outgoinng Import Reading]]-R102,0)*1000</f>
        <v>174.60000000005493</v>
      </c>
      <c r="AE103" s="2">
        <f>Raw_Data[[#This Row],[Export  (kWh)]]-Raw_Data[[#This Row],[Import (kWh)]]</f>
        <v>50919.800000001713</v>
      </c>
      <c r="AF103" s="2">
        <f>IFERROR(AVERAGE(Raw_Data[[#This Row],[POA1(Wh/m2)]:[POA2(Wh/m2)]]),"")</f>
        <v>5840</v>
      </c>
      <c r="AG103" s="2">
        <f>IFERROR(Raw_Data[[#This Row],[Avg. POA without Exclusion (W/m2)2]]-Raw_Data[[#This Row],[Avg. POA Lost (W/m2)]],"")</f>
        <v>5840</v>
      </c>
      <c r="AH103" s="35">
        <f t="shared" ref="AH103" si="81">IFERROR((J103-I103)*24,"")</f>
        <v>12.416666666666668</v>
      </c>
      <c r="AI103" s="2"/>
    </row>
    <row r="104" spans="1:35">
      <c r="A104" s="2">
        <f>YEAR(Raw_Data[[#This Row],[Date]])+IF(MONTH(Raw_Data[[#This Row],[Date]])&gt;=4,1,0)</f>
        <v>2026</v>
      </c>
      <c r="B104" s="2">
        <f>YEAR(Raw_Data[[#This Row],[Date]])</f>
        <v>2025</v>
      </c>
      <c r="C104" s="2" t="s">
        <v>155</v>
      </c>
      <c r="D104" s="2" t="s">
        <v>155</v>
      </c>
      <c r="E104" s="39">
        <v>45839</v>
      </c>
      <c r="F104" s="2">
        <f>DAY(EOMONTH(Raw_Data[[#This Row],[Month Year]],0))</f>
        <v>31</v>
      </c>
      <c r="G104" s="63">
        <f t="shared" si="4"/>
        <v>45845</v>
      </c>
      <c r="H104" s="2">
        <v>11.72</v>
      </c>
      <c r="I104" s="219">
        <v>0.25972222222222224</v>
      </c>
      <c r="J104" s="218">
        <v>0.78125</v>
      </c>
      <c r="K104" s="2">
        <v>3732</v>
      </c>
      <c r="L104" s="2">
        <v>3830</v>
      </c>
      <c r="M104" s="2">
        <v>3398</v>
      </c>
      <c r="N104" s="2">
        <v>3438</v>
      </c>
      <c r="O104" s="2">
        <v>3702</v>
      </c>
      <c r="P104" s="2">
        <v>3791</v>
      </c>
      <c r="Q104" s="2">
        <v>131965.34239999999</v>
      </c>
      <c r="R104" s="2">
        <v>567.9085</v>
      </c>
      <c r="S104" s="2">
        <v>0</v>
      </c>
      <c r="T104" s="2">
        <v>2200</v>
      </c>
      <c r="U104" s="2">
        <v>2200</v>
      </c>
      <c r="V104" s="2">
        <v>0</v>
      </c>
      <c r="W104" s="2">
        <v>23</v>
      </c>
      <c r="X104" s="2">
        <v>29</v>
      </c>
      <c r="Y104" s="2">
        <v>4</v>
      </c>
      <c r="Z104" s="2">
        <v>6</v>
      </c>
      <c r="AA104" s="2">
        <v>0</v>
      </c>
      <c r="AB104" s="2">
        <f>SUM(Raw_Data[[#This Row],[IC1_Inv1]:[IC2_Inv2]])</f>
        <v>21891</v>
      </c>
      <c r="AC104" s="2">
        <f>IF(Raw_Data[[#This Row],[33 kV Outgoinng Export Reading]]-Q103&gt;0,Raw_Data[[#This Row],[33 kV Outgoinng Export Reading]]-Q103,0)*1000</f>
        <v>21847.399999998743</v>
      </c>
      <c r="AD104" s="2">
        <f>IF(Raw_Data[[#This Row],[33 kV Outgoinng Import Reading]]-R103&gt;0,Raw_Data[[#This Row],[33 kV Outgoinng Import Reading]]-R103,0)*1000</f>
        <v>176.29999999996926</v>
      </c>
      <c r="AE104" s="2">
        <f>Raw_Data[[#This Row],[Export  (kWh)]]-Raw_Data[[#This Row],[Import (kWh)]]</f>
        <v>21671.099999998773</v>
      </c>
      <c r="AF104" s="2">
        <f>IFERROR(AVERAGE(Raw_Data[[#This Row],[POA1(Wh/m2)]:[POA2(Wh/m2)]]),"")</f>
        <v>2200</v>
      </c>
      <c r="AG104" s="2">
        <f>IFERROR(Raw_Data[[#This Row],[Avg. POA without Exclusion (W/m2)2]]-Raw_Data[[#This Row],[Avg. POA Lost (W/m2)]],"")</f>
        <v>2200</v>
      </c>
      <c r="AH104" s="35">
        <f t="shared" ref="AH104" si="82">IFERROR((J104-I104)*24,"")</f>
        <v>12.516666666666667</v>
      </c>
      <c r="AI104" s="2"/>
    </row>
    <row r="105" spans="1:35">
      <c r="A105" s="2">
        <f>YEAR(Raw_Data[[#This Row],[Date]])+IF(MONTH(Raw_Data[[#This Row],[Date]])&gt;=4,1,0)</f>
        <v>2026</v>
      </c>
      <c r="B105" s="2">
        <f>YEAR(Raw_Data[[#This Row],[Date]])</f>
        <v>2025</v>
      </c>
      <c r="C105" s="2" t="s">
        <v>155</v>
      </c>
      <c r="D105" s="2" t="s">
        <v>155</v>
      </c>
      <c r="E105" s="39">
        <v>45839</v>
      </c>
      <c r="F105" s="2">
        <f>DAY(EOMONTH(Raw_Data[[#This Row],[Month Year]],0))</f>
        <v>31</v>
      </c>
      <c r="G105" s="63">
        <f t="shared" si="4"/>
        <v>45846</v>
      </c>
      <c r="H105" s="2">
        <v>11.72</v>
      </c>
      <c r="I105" s="219">
        <v>0.25833333333333336</v>
      </c>
      <c r="J105" s="218">
        <v>0.77916666666666667</v>
      </c>
      <c r="K105" s="2">
        <v>5478</v>
      </c>
      <c r="L105" s="2">
        <v>5576</v>
      </c>
      <c r="M105" s="2">
        <v>4900</v>
      </c>
      <c r="N105" s="2">
        <v>5073</v>
      </c>
      <c r="O105" s="2">
        <v>5422</v>
      </c>
      <c r="P105" s="2">
        <v>5579</v>
      </c>
      <c r="Q105" s="2">
        <v>131997.3291</v>
      </c>
      <c r="R105" s="2">
        <v>568.08770000000004</v>
      </c>
      <c r="S105" s="2">
        <v>0</v>
      </c>
      <c r="T105" s="2">
        <v>3411</v>
      </c>
      <c r="U105" s="2">
        <v>3411</v>
      </c>
      <c r="V105" s="2">
        <v>0</v>
      </c>
      <c r="W105" s="2">
        <v>23</v>
      </c>
      <c r="X105" s="2">
        <v>31</v>
      </c>
      <c r="Y105" s="2">
        <v>4</v>
      </c>
      <c r="Z105" s="2">
        <v>8</v>
      </c>
      <c r="AA105" s="2">
        <v>0</v>
      </c>
      <c r="AB105" s="2">
        <f>SUM(Raw_Data[[#This Row],[IC1_Inv1]:[IC2_Inv2]])</f>
        <v>32028</v>
      </c>
      <c r="AC105" s="2">
        <f>IF(Raw_Data[[#This Row],[33 kV Outgoinng Export Reading]]-Q104&gt;0,Raw_Data[[#This Row],[33 kV Outgoinng Export Reading]]-Q104,0)*1000</f>
        <v>31986.700000008568</v>
      </c>
      <c r="AD105" s="2">
        <f>IF(Raw_Data[[#This Row],[33 kV Outgoinng Import Reading]]-R104&gt;0,Raw_Data[[#This Row],[33 kV Outgoinng Import Reading]]-R104,0)*1000</f>
        <v>179.20000000003711</v>
      </c>
      <c r="AE105" s="2">
        <f>Raw_Data[[#This Row],[Export  (kWh)]]-Raw_Data[[#This Row],[Import (kWh)]]</f>
        <v>31807.500000008531</v>
      </c>
      <c r="AF105" s="2">
        <f>IFERROR(AVERAGE(Raw_Data[[#This Row],[POA1(Wh/m2)]:[POA2(Wh/m2)]]),"")</f>
        <v>3411</v>
      </c>
      <c r="AG105" s="2">
        <f>IFERROR(Raw_Data[[#This Row],[Avg. POA without Exclusion (W/m2)2]]-Raw_Data[[#This Row],[Avg. POA Lost (W/m2)]],"")</f>
        <v>3411</v>
      </c>
      <c r="AH105" s="35">
        <f t="shared" ref="AH105" si="83">IFERROR((J105-I105)*24,"")</f>
        <v>12.499999999999998</v>
      </c>
      <c r="AI105" s="2"/>
    </row>
    <row r="106" spans="1:35">
      <c r="A106" s="2">
        <f>YEAR(Raw_Data[[#This Row],[Date]])+IF(MONTH(Raw_Data[[#This Row],[Date]])&gt;=4,1,0)</f>
        <v>2026</v>
      </c>
      <c r="B106" s="2">
        <f>YEAR(Raw_Data[[#This Row],[Date]])</f>
        <v>2025</v>
      </c>
      <c r="C106" s="2" t="s">
        <v>155</v>
      </c>
      <c r="D106" s="2" t="s">
        <v>155</v>
      </c>
      <c r="E106" s="39">
        <v>45839</v>
      </c>
      <c r="F106" s="2">
        <f>DAY(EOMONTH(Raw_Data[[#This Row],[Month Year]],0))</f>
        <v>31</v>
      </c>
      <c r="G106" s="63">
        <f t="shared" si="4"/>
        <v>45847</v>
      </c>
      <c r="H106" s="2">
        <v>11.72</v>
      </c>
      <c r="I106" s="219">
        <v>0.2590277777777778</v>
      </c>
      <c r="J106" s="218">
        <v>0.77222222222222225</v>
      </c>
      <c r="K106" s="2">
        <v>6013</v>
      </c>
      <c r="L106" s="2">
        <v>6047</v>
      </c>
      <c r="M106" s="2">
        <v>5330</v>
      </c>
      <c r="N106" s="2">
        <v>5629</v>
      </c>
      <c r="O106" s="2">
        <v>5965</v>
      </c>
      <c r="P106" s="2">
        <v>6127</v>
      </c>
      <c r="Q106" s="2">
        <v>132032.38149999999</v>
      </c>
      <c r="R106" s="2">
        <v>568.26729999999998</v>
      </c>
      <c r="S106" s="2">
        <v>0</v>
      </c>
      <c r="T106" s="2">
        <v>3799</v>
      </c>
      <c r="U106" s="2">
        <v>3799</v>
      </c>
      <c r="V106" s="2">
        <v>0</v>
      </c>
      <c r="W106" s="2">
        <v>23</v>
      </c>
      <c r="X106" s="2">
        <v>32</v>
      </c>
      <c r="Y106" s="2">
        <v>3</v>
      </c>
      <c r="Z106" s="2">
        <v>7</v>
      </c>
      <c r="AA106" s="2">
        <v>0</v>
      </c>
      <c r="AB106" s="2">
        <f>SUM(Raw_Data[[#This Row],[IC1_Inv1]:[IC2_Inv2]])</f>
        <v>35111</v>
      </c>
      <c r="AC106" s="2">
        <f>IF(Raw_Data[[#This Row],[33 kV Outgoinng Export Reading]]-Q105&gt;0,Raw_Data[[#This Row],[33 kV Outgoinng Export Reading]]-Q105,0)*1000</f>
        <v>35052.399999985937</v>
      </c>
      <c r="AD106" s="2">
        <f>IF(Raw_Data[[#This Row],[33 kV Outgoinng Import Reading]]-R105&gt;0,Raw_Data[[#This Row],[33 kV Outgoinng Import Reading]]-R105,0)*1000</f>
        <v>179.5999999999367</v>
      </c>
      <c r="AE106" s="2">
        <f>Raw_Data[[#This Row],[Export  (kWh)]]-Raw_Data[[#This Row],[Import (kWh)]]</f>
        <v>34872.799999986004</v>
      </c>
      <c r="AF106" s="2">
        <f>IFERROR(AVERAGE(Raw_Data[[#This Row],[POA1(Wh/m2)]:[POA2(Wh/m2)]]),"")</f>
        <v>3799</v>
      </c>
      <c r="AG106" s="2">
        <f>IFERROR(Raw_Data[[#This Row],[Avg. POA without Exclusion (W/m2)2]]-Raw_Data[[#This Row],[Avg. POA Lost (W/m2)]],"")</f>
        <v>3799</v>
      </c>
      <c r="AH106" s="35">
        <f t="shared" ref="AH106" si="84">IFERROR((J106-I106)*24,"")</f>
        <v>12.316666666666668</v>
      </c>
      <c r="AI106" s="2"/>
    </row>
    <row r="107" spans="1:35">
      <c r="A107" s="2">
        <f>YEAR(Raw_Data[[#This Row],[Date]])+IF(MONTH(Raw_Data[[#This Row],[Date]])&gt;=4,1,0)</f>
        <v>2026</v>
      </c>
      <c r="B107" s="2">
        <f>YEAR(Raw_Data[[#This Row],[Date]])</f>
        <v>2025</v>
      </c>
      <c r="C107" s="2" t="s">
        <v>155</v>
      </c>
      <c r="D107" s="2" t="s">
        <v>155</v>
      </c>
      <c r="E107" s="39">
        <v>45839</v>
      </c>
      <c r="F107" s="2">
        <f>DAY(EOMONTH(Raw_Data[[#This Row],[Month Year]],0))</f>
        <v>31</v>
      </c>
      <c r="G107" s="63">
        <f t="shared" si="4"/>
        <v>45848</v>
      </c>
      <c r="H107" s="2">
        <v>11.72</v>
      </c>
      <c r="I107" s="219">
        <v>0.25416666666666665</v>
      </c>
      <c r="J107" s="218">
        <v>0.78680555555555554</v>
      </c>
      <c r="K107" s="2">
        <v>8009</v>
      </c>
      <c r="L107" s="2">
        <v>8107</v>
      </c>
      <c r="M107" s="2">
        <v>7093</v>
      </c>
      <c r="N107" s="2">
        <v>7605</v>
      </c>
      <c r="O107" s="2">
        <v>8216</v>
      </c>
      <c r="P107" s="2">
        <v>8275</v>
      </c>
      <c r="Q107" s="2">
        <v>132079.66159999999</v>
      </c>
      <c r="R107" s="2">
        <v>568.44039999999995</v>
      </c>
      <c r="S107" s="2">
        <v>0</v>
      </c>
      <c r="T107" s="2">
        <v>5343</v>
      </c>
      <c r="U107" s="2">
        <v>5343</v>
      </c>
      <c r="V107" s="2">
        <v>0</v>
      </c>
      <c r="W107" s="2">
        <v>23</v>
      </c>
      <c r="X107" s="2">
        <v>36</v>
      </c>
      <c r="Y107" s="2">
        <v>2</v>
      </c>
      <c r="Z107" s="2">
        <v>5</v>
      </c>
      <c r="AA107" s="2">
        <v>0</v>
      </c>
      <c r="AB107" s="2">
        <f>SUM(Raw_Data[[#This Row],[IC1_Inv1]:[IC2_Inv2]])</f>
        <v>47305</v>
      </c>
      <c r="AC107" s="2">
        <f>IF(Raw_Data[[#This Row],[33 kV Outgoinng Export Reading]]-Q106&gt;0,Raw_Data[[#This Row],[33 kV Outgoinng Export Reading]]-Q106,0)*1000</f>
        <v>47280.100000003586</v>
      </c>
      <c r="AD107" s="2">
        <f>IF(Raw_Data[[#This Row],[33 kV Outgoinng Import Reading]]-R106&gt;0,Raw_Data[[#This Row],[33 kV Outgoinng Import Reading]]-R106,0)*1000</f>
        <v>173.09999999997672</v>
      </c>
      <c r="AE107" s="2">
        <f>Raw_Data[[#This Row],[Export  (kWh)]]-Raw_Data[[#This Row],[Import (kWh)]]</f>
        <v>47107.000000003609</v>
      </c>
      <c r="AF107" s="2">
        <f>IFERROR(AVERAGE(Raw_Data[[#This Row],[POA1(Wh/m2)]:[POA2(Wh/m2)]]),"")</f>
        <v>5343</v>
      </c>
      <c r="AG107" s="2">
        <f>IFERROR(Raw_Data[[#This Row],[Avg. POA without Exclusion (W/m2)2]]-Raw_Data[[#This Row],[Avg. POA Lost (W/m2)]],"")</f>
        <v>5343</v>
      </c>
      <c r="AH107" s="35">
        <f t="shared" ref="AH107" si="85">IFERROR((J107-I107)*24,"")</f>
        <v>12.783333333333333</v>
      </c>
      <c r="AI107" s="2"/>
    </row>
    <row r="108" spans="1:35">
      <c r="A108" s="2">
        <f>YEAR(Raw_Data[[#This Row],[Date]])+IF(MONTH(Raw_Data[[#This Row],[Date]])&gt;=4,1,0)</f>
        <v>2026</v>
      </c>
      <c r="B108" s="2">
        <f>YEAR(Raw_Data[[#This Row],[Date]])</f>
        <v>2025</v>
      </c>
      <c r="C108" s="2" t="s">
        <v>155</v>
      </c>
      <c r="D108" s="2" t="s">
        <v>155</v>
      </c>
      <c r="E108" s="39">
        <v>45839</v>
      </c>
      <c r="F108" s="2">
        <f>DAY(EOMONTH(Raw_Data[[#This Row],[Month Year]],0))</f>
        <v>31</v>
      </c>
      <c r="G108" s="63">
        <f t="shared" si="4"/>
        <v>45849</v>
      </c>
      <c r="H108" s="2">
        <v>11.72</v>
      </c>
      <c r="I108" s="219">
        <v>0.25486111111111109</v>
      </c>
      <c r="J108" s="218">
        <v>0.77777777777777779</v>
      </c>
      <c r="K108" s="2">
        <v>8881</v>
      </c>
      <c r="L108" s="2">
        <v>8919</v>
      </c>
      <c r="M108" s="2">
        <v>7786</v>
      </c>
      <c r="N108" s="2">
        <v>8452</v>
      </c>
      <c r="O108" s="2">
        <v>9361</v>
      </c>
      <c r="P108" s="2">
        <v>9374</v>
      </c>
      <c r="Q108" s="2">
        <v>132132.46669999999</v>
      </c>
      <c r="R108" s="2">
        <v>568.62</v>
      </c>
      <c r="S108" s="2">
        <v>0</v>
      </c>
      <c r="T108" s="2">
        <v>6075</v>
      </c>
      <c r="U108" s="2">
        <v>6075</v>
      </c>
      <c r="V108" s="2">
        <v>0</v>
      </c>
      <c r="W108" s="2">
        <v>24</v>
      </c>
      <c r="X108" s="2">
        <v>39</v>
      </c>
      <c r="Y108" s="2">
        <v>2</v>
      </c>
      <c r="Z108" s="2">
        <v>6</v>
      </c>
      <c r="AA108" s="2">
        <v>0</v>
      </c>
      <c r="AB108" s="2">
        <f>SUM(Raw_Data[[#This Row],[IC1_Inv1]:[IC2_Inv2]])</f>
        <v>52773</v>
      </c>
      <c r="AC108" s="2">
        <f>IF(Raw_Data[[#This Row],[33 kV Outgoinng Export Reading]]-Q107&gt;0,Raw_Data[[#This Row],[33 kV Outgoinng Export Reading]]-Q107,0)*1000</f>
        <v>52805.099999997765</v>
      </c>
      <c r="AD108" s="2">
        <f>IF(Raw_Data[[#This Row],[33 kV Outgoinng Import Reading]]-R107&gt;0,Raw_Data[[#This Row],[33 kV Outgoinng Import Reading]]-R107,0)*1000</f>
        <v>179.60000000005039</v>
      </c>
      <c r="AE108" s="2">
        <f>Raw_Data[[#This Row],[Export  (kWh)]]-Raw_Data[[#This Row],[Import (kWh)]]</f>
        <v>52625.499999997715</v>
      </c>
      <c r="AF108" s="2">
        <f>IFERROR(AVERAGE(Raw_Data[[#This Row],[POA1(Wh/m2)]:[POA2(Wh/m2)]]),"")</f>
        <v>6075</v>
      </c>
      <c r="AG108" s="2">
        <f>IFERROR(Raw_Data[[#This Row],[Avg. POA without Exclusion (W/m2)2]]-Raw_Data[[#This Row],[Avg. POA Lost (W/m2)]],"")</f>
        <v>6075</v>
      </c>
      <c r="AH108" s="35">
        <f t="shared" ref="AH108" si="86">IFERROR((J108-I108)*24,"")</f>
        <v>12.55</v>
      </c>
      <c r="AI108" s="2"/>
    </row>
    <row r="109" spans="1:35">
      <c r="A109" s="2">
        <f>YEAR(Raw_Data[[#This Row],[Date]])+IF(MONTH(Raw_Data[[#This Row],[Date]])&gt;=4,1,0)</f>
        <v>2026</v>
      </c>
      <c r="B109" s="2">
        <f>YEAR(Raw_Data[[#This Row],[Date]])</f>
        <v>2025</v>
      </c>
      <c r="C109" s="2" t="s">
        <v>155</v>
      </c>
      <c r="D109" s="2" t="s">
        <v>155</v>
      </c>
      <c r="E109" s="39">
        <v>45839</v>
      </c>
      <c r="F109" s="2">
        <f>DAY(EOMONTH(Raw_Data[[#This Row],[Month Year]],0))</f>
        <v>31</v>
      </c>
      <c r="G109" s="63">
        <f t="shared" si="4"/>
        <v>45850</v>
      </c>
      <c r="H109" s="2">
        <v>11.72</v>
      </c>
      <c r="I109" s="219">
        <v>0.25416666666666665</v>
      </c>
      <c r="J109" s="218">
        <v>0.78472222222222221</v>
      </c>
      <c r="K109" s="2">
        <v>9247</v>
      </c>
      <c r="L109" s="2">
        <v>9347</v>
      </c>
      <c r="M109" s="2">
        <v>8118</v>
      </c>
      <c r="N109" s="2">
        <v>8901</v>
      </c>
      <c r="O109" s="2">
        <v>9723</v>
      </c>
      <c r="P109" s="2">
        <v>9726</v>
      </c>
      <c r="Q109" s="2">
        <v>132187.50810000001</v>
      </c>
      <c r="R109" s="2">
        <v>568.63779999999997</v>
      </c>
      <c r="S109" s="2">
        <v>0</v>
      </c>
      <c r="T109" s="2">
        <v>6621</v>
      </c>
      <c r="U109" s="2">
        <v>6432</v>
      </c>
      <c r="V109" s="2">
        <v>0</v>
      </c>
      <c r="W109" s="2">
        <v>24</v>
      </c>
      <c r="X109" s="2">
        <v>39</v>
      </c>
      <c r="Y109" s="2">
        <v>3</v>
      </c>
      <c r="Z109" s="2">
        <v>6</v>
      </c>
      <c r="AA109" s="2">
        <v>0</v>
      </c>
      <c r="AB109" s="2">
        <f>SUM(Raw_Data[[#This Row],[IC1_Inv1]:[IC2_Inv2]])</f>
        <v>55062</v>
      </c>
      <c r="AC109" s="2">
        <f>IF(Raw_Data[[#This Row],[33 kV Outgoinng Export Reading]]-Q108&gt;0,Raw_Data[[#This Row],[33 kV Outgoinng Export Reading]]-Q108,0)*1000</f>
        <v>55041.400000016438</v>
      </c>
      <c r="AD109" s="2">
        <f>IF(Raw_Data[[#This Row],[33 kV Outgoinng Import Reading]]-R108&gt;0,Raw_Data[[#This Row],[33 kV Outgoinng Import Reading]]-R108,0)*1000</f>
        <v>17.799999999965621</v>
      </c>
      <c r="AE109" s="2">
        <f>Raw_Data[[#This Row],[Export  (kWh)]]-Raw_Data[[#This Row],[Import (kWh)]]</f>
        <v>55023.600000016471</v>
      </c>
      <c r="AF109" s="2">
        <f>IFERROR(AVERAGE(Raw_Data[[#This Row],[POA1(Wh/m2)]:[POA2(Wh/m2)]]),"")</f>
        <v>6526.5</v>
      </c>
      <c r="AG109" s="2">
        <f>IFERROR(Raw_Data[[#This Row],[Avg. POA without Exclusion (W/m2)2]]-Raw_Data[[#This Row],[Avg. POA Lost (W/m2)]],"")</f>
        <v>6526.5</v>
      </c>
      <c r="AH109" s="35">
        <f t="shared" ref="AH109" si="87">IFERROR((J109-I109)*24,"")</f>
        <v>12.733333333333334</v>
      </c>
      <c r="AI109" s="2"/>
    </row>
    <row r="110" spans="1:35">
      <c r="A110" s="2">
        <f>YEAR(Raw_Data[[#This Row],[Date]])+IF(MONTH(Raw_Data[[#This Row],[Date]])&gt;=4,1,0)</f>
        <v>2026</v>
      </c>
      <c r="B110" s="2">
        <f>YEAR(Raw_Data[[#This Row],[Date]])</f>
        <v>2025</v>
      </c>
      <c r="C110" s="2" t="s">
        <v>155</v>
      </c>
      <c r="D110" s="2" t="s">
        <v>155</v>
      </c>
      <c r="E110" s="39">
        <v>45839</v>
      </c>
      <c r="F110" s="2">
        <f>DAY(EOMONTH(Raw_Data[[#This Row],[Month Year]],0))</f>
        <v>31</v>
      </c>
      <c r="G110" s="63">
        <f t="shared" si="4"/>
        <v>45851</v>
      </c>
      <c r="H110" s="2">
        <v>11.72</v>
      </c>
      <c r="I110" s="219">
        <v>0.25208333333333333</v>
      </c>
      <c r="J110" s="218">
        <v>0.78194444444444444</v>
      </c>
      <c r="K110" s="2">
        <v>8883</v>
      </c>
      <c r="L110" s="2">
        <v>9026</v>
      </c>
      <c r="M110" s="2">
        <v>7836</v>
      </c>
      <c r="N110" s="2">
        <v>8441</v>
      </c>
      <c r="O110" s="2">
        <v>9121</v>
      </c>
      <c r="P110" s="2">
        <v>9203</v>
      </c>
      <c r="Q110" s="2">
        <v>132240.00899999999</v>
      </c>
      <c r="R110" s="2">
        <v>568.84609999999998</v>
      </c>
      <c r="S110" s="2">
        <v>0</v>
      </c>
      <c r="T110" s="2">
        <v>6142</v>
      </c>
      <c r="U110" s="2">
        <v>6142</v>
      </c>
      <c r="V110" s="2">
        <v>0</v>
      </c>
      <c r="W110" s="2">
        <v>24</v>
      </c>
      <c r="X110" s="2">
        <v>38</v>
      </c>
      <c r="Y110" s="2">
        <v>3</v>
      </c>
      <c r="Z110" s="2">
        <v>6</v>
      </c>
      <c r="AA110" s="2">
        <v>0</v>
      </c>
      <c r="AB110" s="2">
        <f>SUM(Raw_Data[[#This Row],[IC1_Inv1]:[IC2_Inv2]])</f>
        <v>52510</v>
      </c>
      <c r="AC110" s="2">
        <f>IF(Raw_Data[[#This Row],[33 kV Outgoinng Export Reading]]-Q109&gt;0,Raw_Data[[#This Row],[33 kV Outgoinng Export Reading]]-Q109,0)*1000</f>
        <v>52500.89999998454</v>
      </c>
      <c r="AD110" s="2">
        <f>IF(Raw_Data[[#This Row],[33 kV Outgoinng Import Reading]]-R109&gt;0,Raw_Data[[#This Row],[33 kV Outgoinng Import Reading]]-R109,0)*1000</f>
        <v>208.30000000000837</v>
      </c>
      <c r="AE110" s="2">
        <f>Raw_Data[[#This Row],[Export  (kWh)]]-Raw_Data[[#This Row],[Import (kWh)]]</f>
        <v>52292.59999998453</v>
      </c>
      <c r="AF110" s="2">
        <f>IFERROR(AVERAGE(Raw_Data[[#This Row],[POA1(Wh/m2)]:[POA2(Wh/m2)]]),"")</f>
        <v>6142</v>
      </c>
      <c r="AG110" s="2">
        <f>IFERROR(Raw_Data[[#This Row],[Avg. POA without Exclusion (W/m2)2]]-Raw_Data[[#This Row],[Avg. POA Lost (W/m2)]],"")</f>
        <v>6142</v>
      </c>
      <c r="AH110" s="35">
        <f t="shared" ref="AH110" si="88">IFERROR((J110-I110)*24,"")</f>
        <v>12.716666666666667</v>
      </c>
      <c r="AI110" s="2"/>
    </row>
    <row r="111" spans="1:35">
      <c r="A111" s="2">
        <f>YEAR(Raw_Data[[#This Row],[Date]])+IF(MONTH(Raw_Data[[#This Row],[Date]])&gt;=4,1,0)</f>
        <v>2026</v>
      </c>
      <c r="B111" s="2">
        <f>YEAR(Raw_Data[[#This Row],[Date]])</f>
        <v>2025</v>
      </c>
      <c r="C111" s="2" t="s">
        <v>155</v>
      </c>
      <c r="D111" s="2" t="s">
        <v>155</v>
      </c>
      <c r="E111" s="39">
        <v>45839</v>
      </c>
      <c r="F111" s="2">
        <f>DAY(EOMONTH(Raw_Data[[#This Row],[Month Year]],0))</f>
        <v>31</v>
      </c>
      <c r="G111" s="63">
        <f t="shared" si="4"/>
        <v>45852</v>
      </c>
      <c r="H111" s="2">
        <v>11.72</v>
      </c>
      <c r="I111" s="219">
        <v>0.25208333333333333</v>
      </c>
      <c r="J111" s="218">
        <v>0.78333333333333333</v>
      </c>
      <c r="K111" s="2">
        <v>9526</v>
      </c>
      <c r="L111" s="2">
        <v>9633</v>
      </c>
      <c r="M111" s="2">
        <v>8376</v>
      </c>
      <c r="N111" s="2">
        <v>9122</v>
      </c>
      <c r="O111" s="2">
        <v>9826</v>
      </c>
      <c r="P111" s="2">
        <v>10047</v>
      </c>
      <c r="Q111" s="2">
        <v>132296.49280000001</v>
      </c>
      <c r="R111" s="2">
        <v>569.02179999999998</v>
      </c>
      <c r="S111" s="2">
        <v>0</v>
      </c>
      <c r="T111" s="2">
        <v>6744</v>
      </c>
      <c r="U111" s="2">
        <v>6601</v>
      </c>
      <c r="V111" s="2">
        <v>0</v>
      </c>
      <c r="W111" s="2">
        <v>24</v>
      </c>
      <c r="X111" s="2">
        <v>37</v>
      </c>
      <c r="Y111" s="2">
        <v>3</v>
      </c>
      <c r="Z111" s="2">
        <v>7</v>
      </c>
      <c r="AA111" s="2">
        <v>0</v>
      </c>
      <c r="AB111" s="2">
        <f>SUM(Raw_Data[[#This Row],[IC1_Inv1]:[IC2_Inv2]])</f>
        <v>56530</v>
      </c>
      <c r="AC111" s="2">
        <f>IF(Raw_Data[[#This Row],[33 kV Outgoinng Export Reading]]-Q110&gt;0,Raw_Data[[#This Row],[33 kV Outgoinng Export Reading]]-Q110,0)*1000</f>
        <v>56483.800000016345</v>
      </c>
      <c r="AD111" s="2">
        <f>IF(Raw_Data[[#This Row],[33 kV Outgoinng Import Reading]]-R110&gt;0,Raw_Data[[#This Row],[33 kV Outgoinng Import Reading]]-R110,0)*1000</f>
        <v>175.70000000000618</v>
      </c>
      <c r="AE111" s="2">
        <f>Raw_Data[[#This Row],[Export  (kWh)]]-Raw_Data[[#This Row],[Import (kWh)]]</f>
        <v>56308.10000001634</v>
      </c>
      <c r="AF111" s="2">
        <f>IFERROR(AVERAGE(Raw_Data[[#This Row],[POA1(Wh/m2)]:[POA2(Wh/m2)]]),"")</f>
        <v>6672.5</v>
      </c>
      <c r="AG111" s="2">
        <f>IFERROR(Raw_Data[[#This Row],[Avg. POA without Exclusion (W/m2)2]]-Raw_Data[[#This Row],[Avg. POA Lost (W/m2)]],"")</f>
        <v>6672.5</v>
      </c>
      <c r="AH111" s="35">
        <f t="shared" ref="AH111" si="89">IFERROR((J111-I111)*24,"")</f>
        <v>12.75</v>
      </c>
      <c r="AI111" s="2"/>
    </row>
    <row r="112" spans="1:35">
      <c r="A112" s="2">
        <f>YEAR(Raw_Data[[#This Row],[Date]])+IF(MONTH(Raw_Data[[#This Row],[Date]])&gt;=4,1,0)</f>
        <v>2026</v>
      </c>
      <c r="B112" s="2">
        <f>YEAR(Raw_Data[[#This Row],[Date]])</f>
        <v>2025</v>
      </c>
      <c r="C112" s="2" t="s">
        <v>155</v>
      </c>
      <c r="D112" s="2" t="s">
        <v>155</v>
      </c>
      <c r="E112" s="39">
        <v>45839</v>
      </c>
      <c r="F112" s="2">
        <f>DAY(EOMONTH(Raw_Data[[#This Row],[Month Year]],0))</f>
        <v>31</v>
      </c>
      <c r="G112" s="63">
        <f t="shared" si="4"/>
        <v>45853</v>
      </c>
      <c r="H112" s="2">
        <v>11.72</v>
      </c>
      <c r="I112" s="219">
        <v>0.25763888888888886</v>
      </c>
      <c r="J112" s="218">
        <v>0.78680555555555554</v>
      </c>
      <c r="K112" s="2">
        <v>6868</v>
      </c>
      <c r="L112" s="2">
        <v>7127</v>
      </c>
      <c r="M112" s="2">
        <v>6151</v>
      </c>
      <c r="N112" s="2">
        <v>6629</v>
      </c>
      <c r="O112" s="2">
        <v>7008</v>
      </c>
      <c r="P112" s="2">
        <v>7198</v>
      </c>
      <c r="Q112" s="2">
        <v>132337.39379999999</v>
      </c>
      <c r="R112" s="2">
        <v>569.1943</v>
      </c>
      <c r="S112" s="2">
        <v>0</v>
      </c>
      <c r="T112" s="2">
        <v>4757</v>
      </c>
      <c r="U112" s="2">
        <v>4757</v>
      </c>
      <c r="V112" s="2">
        <v>114</v>
      </c>
      <c r="W112" s="2">
        <v>24</v>
      </c>
      <c r="X112" s="2">
        <v>36</v>
      </c>
      <c r="Y112" s="2">
        <v>3</v>
      </c>
      <c r="Z112" s="2">
        <v>7</v>
      </c>
      <c r="AA112" s="2">
        <v>0</v>
      </c>
      <c r="AB112" s="2">
        <f>SUM(Raw_Data[[#This Row],[IC1_Inv1]:[IC2_Inv2]])</f>
        <v>40981</v>
      </c>
      <c r="AC112" s="2">
        <f>IF(Raw_Data[[#This Row],[33 kV Outgoinng Export Reading]]-Q111&gt;0,Raw_Data[[#This Row],[33 kV Outgoinng Export Reading]]-Q111,0)*1000</f>
        <v>40900.999999983469</v>
      </c>
      <c r="AD112" s="2">
        <f>IF(Raw_Data[[#This Row],[33 kV Outgoinng Import Reading]]-R111&gt;0,Raw_Data[[#This Row],[33 kV Outgoinng Import Reading]]-R111,0)*1000</f>
        <v>172.50000000001364</v>
      </c>
      <c r="AE112" s="2">
        <f>Raw_Data[[#This Row],[Export  (kWh)]]-Raw_Data[[#This Row],[Import (kWh)]]</f>
        <v>40728.499999983454</v>
      </c>
      <c r="AF112" s="2">
        <f>IFERROR(AVERAGE(Raw_Data[[#This Row],[POA1(Wh/m2)]:[POA2(Wh/m2)]]),"")</f>
        <v>4757</v>
      </c>
      <c r="AG112" s="2">
        <f>IFERROR(Raw_Data[[#This Row],[Avg. POA without Exclusion (W/m2)2]]-Raw_Data[[#This Row],[Avg. POA Lost (W/m2)]],"")</f>
        <v>4643</v>
      </c>
      <c r="AH112" s="35">
        <f t="shared" ref="AH112" si="90">IFERROR((J112-I112)*24,"")</f>
        <v>12.7</v>
      </c>
      <c r="AI112" s="2"/>
    </row>
    <row r="113" spans="1:35">
      <c r="A113" s="2">
        <f>YEAR(Raw_Data[[#This Row],[Date]])+IF(MONTH(Raw_Data[[#This Row],[Date]])&gt;=4,1,0)</f>
        <v>2026</v>
      </c>
      <c r="B113" s="2">
        <f>YEAR(Raw_Data[[#This Row],[Date]])</f>
        <v>2025</v>
      </c>
      <c r="C113" s="2" t="s">
        <v>155</v>
      </c>
      <c r="D113" s="2" t="s">
        <v>155</v>
      </c>
      <c r="E113" s="39">
        <v>45839</v>
      </c>
      <c r="F113" s="2">
        <f>DAY(EOMONTH(Raw_Data[[#This Row],[Month Year]],0))</f>
        <v>31</v>
      </c>
      <c r="G113" s="63">
        <f t="shared" si="4"/>
        <v>45854</v>
      </c>
      <c r="H113" s="2">
        <v>11.72</v>
      </c>
      <c r="I113" s="219">
        <v>0.25347222222222221</v>
      </c>
      <c r="J113" s="218">
        <v>0.76666666666666672</v>
      </c>
      <c r="K113" s="2">
        <v>8126</v>
      </c>
      <c r="L113" s="2">
        <v>8353</v>
      </c>
      <c r="M113" s="2">
        <v>7397</v>
      </c>
      <c r="N113" s="2">
        <v>7802</v>
      </c>
      <c r="O113" s="2">
        <v>8305</v>
      </c>
      <c r="P113" s="2">
        <v>8427</v>
      </c>
      <c r="Q113" s="2">
        <v>132385.78339999999</v>
      </c>
      <c r="R113" s="2">
        <v>569.36879999999996</v>
      </c>
      <c r="S113" s="2">
        <v>0</v>
      </c>
      <c r="T113" s="2">
        <v>5546</v>
      </c>
      <c r="U113" s="2">
        <v>5546</v>
      </c>
      <c r="V113" s="2">
        <v>0</v>
      </c>
      <c r="W113" s="2">
        <v>24</v>
      </c>
      <c r="X113" s="2">
        <v>38</v>
      </c>
      <c r="Y113" s="2">
        <v>2</v>
      </c>
      <c r="Z113" s="2">
        <v>5</v>
      </c>
      <c r="AA113" s="2">
        <v>0</v>
      </c>
      <c r="AB113" s="2">
        <f>SUM(Raw_Data[[#This Row],[IC1_Inv1]:[IC2_Inv2]])</f>
        <v>48410</v>
      </c>
      <c r="AC113" s="2">
        <f>IF(Raw_Data[[#This Row],[33 kV Outgoinng Export Reading]]-Q112&gt;0,Raw_Data[[#This Row],[33 kV Outgoinng Export Reading]]-Q112,0)*1000</f>
        <v>48389.599999994971</v>
      </c>
      <c r="AD113" s="2">
        <f>IF(Raw_Data[[#This Row],[33 kV Outgoinng Import Reading]]-R112&gt;0,Raw_Data[[#This Row],[33 kV Outgoinng Import Reading]]-R112,0)*1000</f>
        <v>174.49999999996635</v>
      </c>
      <c r="AE113" s="2">
        <f>Raw_Data[[#This Row],[Export  (kWh)]]-Raw_Data[[#This Row],[Import (kWh)]]</f>
        <v>48215.099999995007</v>
      </c>
      <c r="AF113" s="2">
        <f>IFERROR(AVERAGE(Raw_Data[[#This Row],[POA1(Wh/m2)]:[POA2(Wh/m2)]]),"")</f>
        <v>5546</v>
      </c>
      <c r="AG113" s="2">
        <f>IFERROR(Raw_Data[[#This Row],[Avg. POA without Exclusion (W/m2)2]]-Raw_Data[[#This Row],[Avg. POA Lost (W/m2)]],"")</f>
        <v>5546</v>
      </c>
      <c r="AH113" s="35">
        <f t="shared" ref="AH113" si="91">IFERROR((J113-I113)*24,"")</f>
        <v>12.316666666666668</v>
      </c>
      <c r="AI113" s="2"/>
    </row>
    <row r="114" spans="1:35">
      <c r="A114" s="2">
        <f>YEAR(Raw_Data[[#This Row],[Date]])+IF(MONTH(Raw_Data[[#This Row],[Date]])&gt;=4,1,0)</f>
        <v>2026</v>
      </c>
      <c r="B114" s="2">
        <f>YEAR(Raw_Data[[#This Row],[Date]])</f>
        <v>2025</v>
      </c>
      <c r="C114" s="2" t="s">
        <v>155</v>
      </c>
      <c r="D114" s="2" t="s">
        <v>155</v>
      </c>
      <c r="E114" s="39">
        <v>45839</v>
      </c>
      <c r="F114" s="233">
        <f>DAY(EOMONTH(Raw_Data[[#This Row],[Month Year]],0))</f>
        <v>31</v>
      </c>
      <c r="G114" s="63">
        <f t="shared" si="4"/>
        <v>45855</v>
      </c>
      <c r="H114" s="233">
        <v>11.72</v>
      </c>
      <c r="I114" s="219">
        <v>0.25833333333333336</v>
      </c>
      <c r="J114" s="218">
        <v>0.77916666666666667</v>
      </c>
      <c r="K114" s="2">
        <v>7486</v>
      </c>
      <c r="L114" s="2">
        <v>7530</v>
      </c>
      <c r="M114" s="2">
        <v>6719</v>
      </c>
      <c r="N114" s="2">
        <v>7033</v>
      </c>
      <c r="O114" s="2">
        <v>7660</v>
      </c>
      <c r="P114" s="2">
        <v>7720</v>
      </c>
      <c r="Q114" s="2">
        <v>132429.86470000001</v>
      </c>
      <c r="R114" s="2">
        <v>569.54629999999997</v>
      </c>
      <c r="S114" s="2">
        <v>0</v>
      </c>
      <c r="T114" s="2">
        <v>4893</v>
      </c>
      <c r="U114" s="2">
        <v>4893</v>
      </c>
      <c r="V114" s="2">
        <v>0</v>
      </c>
      <c r="W114" s="2">
        <v>24</v>
      </c>
      <c r="X114" s="2">
        <v>37</v>
      </c>
      <c r="Y114" s="2">
        <v>2</v>
      </c>
      <c r="Z114" s="2">
        <v>6</v>
      </c>
      <c r="AA114" s="2">
        <v>0</v>
      </c>
      <c r="AB114" s="233">
        <f>SUM(Raw_Data[[#This Row],[IC1_Inv1]:[IC2_Inv2]])</f>
        <v>44148</v>
      </c>
      <c r="AC114" s="233">
        <f>IF(Raw_Data[[#This Row],[33 kV Outgoinng Export Reading]]-Q113&gt;0,Raw_Data[[#This Row],[33 kV Outgoinng Export Reading]]-Q113,0)*1000</f>
        <v>44081.300000019837</v>
      </c>
      <c r="AD114" s="2">
        <f>IF(Raw_Data[[#This Row],[33 kV Outgoinng Import Reading]]-R113&gt;0,Raw_Data[[#This Row],[33 kV Outgoinng Import Reading]]-R113,0)*1000</f>
        <v>177.50000000000909</v>
      </c>
      <c r="AE114" s="233">
        <f>Raw_Data[[#This Row],[Export  (kWh)]]-Raw_Data[[#This Row],[Import (kWh)]]</f>
        <v>43903.80000001983</v>
      </c>
      <c r="AF114" s="233">
        <f>IFERROR(AVERAGE(Raw_Data[[#This Row],[POA1(Wh/m2)]:[POA2(Wh/m2)]]),"")</f>
        <v>4893</v>
      </c>
      <c r="AG114" s="233">
        <f>IFERROR(Raw_Data[[#This Row],[Avg. POA without Exclusion (W/m2)2]]-Raw_Data[[#This Row],[Avg. POA Lost (W/m2)]],"")</f>
        <v>4893</v>
      </c>
      <c r="AH114" s="35">
        <f t="shared" ref="AH114" si="92">IFERROR((J114-I114)*24,"")</f>
        <v>12.499999999999998</v>
      </c>
      <c r="AI114" s="233"/>
    </row>
  </sheetData>
  <phoneticPr fontId="36" type="noConversion"/>
  <pageMargins left="0.7" right="0.7" top="0.75" bottom="0.75" header="0.3" footer="0.3"/>
  <pageSetup orientation="portrait"/>
  <ignoredErrors>
    <ignoredError sqref="AC3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1775-AB3A-45BD-8C41-77ECDE7BABBD}">
  <dimension ref="A1:AQ49"/>
  <sheetViews>
    <sheetView workbookViewId="0">
      <pane xSplit="4" ySplit="1" topLeftCell="Q35" activePane="bottomRight" state="frozen"/>
      <selection pane="topRight" activeCell="C1" sqref="C1"/>
      <selection pane="bottomLeft" activeCell="C1" sqref="C1"/>
      <selection pane="bottomRight" activeCell="U38" sqref="U38:U40"/>
    </sheetView>
  </sheetViews>
  <sheetFormatPr defaultColWidth="8.7109375" defaultRowHeight="15"/>
  <cols>
    <col min="1" max="2" width="9.28515625" style="129" customWidth="1"/>
    <col min="3" max="3" width="15.85546875" style="129" customWidth="1"/>
    <col min="4" max="6" width="8.7109375" style="129"/>
    <col min="7" max="7" width="20.5703125" style="129" customWidth="1"/>
    <col min="8" max="8" width="8.7109375" style="129"/>
    <col min="9" max="9" width="9.42578125" style="129" bestFit="1" customWidth="1"/>
    <col min="10" max="14" width="8.7109375" style="129"/>
    <col min="15" max="15" width="9.85546875" style="129" bestFit="1" customWidth="1"/>
    <col min="16" max="16" width="11" style="129" customWidth="1"/>
    <col min="17" max="17" width="15.28515625" style="129" customWidth="1"/>
    <col min="18" max="19" width="10.85546875" style="129" customWidth="1"/>
    <col min="20" max="20" width="13" style="129" customWidth="1"/>
    <col min="21" max="25" width="12.85546875" style="129" customWidth="1"/>
    <col min="26" max="27" width="14.5703125" style="129" customWidth="1"/>
    <col min="28" max="29" width="15.5703125" style="129" customWidth="1"/>
    <col min="30" max="38" width="9.85546875" style="129" customWidth="1"/>
    <col min="39" max="39" width="12" style="129" bestFit="1" customWidth="1"/>
    <col min="40" max="41" width="12" style="129" customWidth="1"/>
    <col min="42" max="42" width="27.5703125" style="129" bestFit="1" customWidth="1"/>
    <col min="43" max="16384" width="8.7109375" style="129"/>
  </cols>
  <sheetData>
    <row r="1" spans="1:43" ht="45">
      <c r="A1" s="132" t="s">
        <v>5</v>
      </c>
      <c r="B1" s="132" t="s">
        <v>157</v>
      </c>
      <c r="C1" s="132" t="s">
        <v>158</v>
      </c>
      <c r="D1" s="132" t="s">
        <v>159</v>
      </c>
      <c r="E1" s="132" t="s">
        <v>160</v>
      </c>
      <c r="F1" s="132" t="s">
        <v>161</v>
      </c>
      <c r="G1" s="132" t="s">
        <v>162</v>
      </c>
      <c r="H1" s="132" t="s">
        <v>163</v>
      </c>
      <c r="I1" s="132" t="s">
        <v>59</v>
      </c>
      <c r="J1" s="132" t="s">
        <v>164</v>
      </c>
      <c r="K1" s="132" t="s">
        <v>165</v>
      </c>
      <c r="L1" s="132" t="s">
        <v>166</v>
      </c>
      <c r="M1" s="132" t="s">
        <v>167</v>
      </c>
      <c r="N1" s="132" t="s">
        <v>168</v>
      </c>
      <c r="O1" s="132" t="s">
        <v>58</v>
      </c>
      <c r="P1" s="132" t="s">
        <v>169</v>
      </c>
      <c r="Q1" s="132" t="s">
        <v>170</v>
      </c>
      <c r="R1" s="132" t="s">
        <v>171</v>
      </c>
      <c r="S1" s="132" t="s">
        <v>172</v>
      </c>
      <c r="T1" s="132" t="s">
        <v>173</v>
      </c>
      <c r="U1" s="132" t="s">
        <v>174</v>
      </c>
      <c r="V1" s="132" t="s">
        <v>175</v>
      </c>
      <c r="W1" s="132" t="s">
        <v>176</v>
      </c>
      <c r="X1" s="132" t="s">
        <v>177</v>
      </c>
      <c r="Y1" s="132" t="s">
        <v>178</v>
      </c>
      <c r="Z1" s="132" t="s">
        <v>179</v>
      </c>
      <c r="AA1" s="132" t="s">
        <v>180</v>
      </c>
      <c r="AB1" s="132" t="s">
        <v>181</v>
      </c>
      <c r="AC1" s="132" t="s">
        <v>182</v>
      </c>
      <c r="AD1" s="132" t="s">
        <v>183</v>
      </c>
      <c r="AE1" s="132" t="s">
        <v>184</v>
      </c>
      <c r="AF1" s="132" t="s">
        <v>185</v>
      </c>
      <c r="AG1" s="132" t="s">
        <v>186</v>
      </c>
      <c r="AH1" s="132" t="s">
        <v>187</v>
      </c>
      <c r="AI1" s="132" t="s">
        <v>188</v>
      </c>
      <c r="AJ1" s="132" t="s">
        <v>189</v>
      </c>
      <c r="AK1" s="132" t="s">
        <v>190</v>
      </c>
      <c r="AL1" s="132" t="s">
        <v>191</v>
      </c>
      <c r="AM1" s="132" t="s">
        <v>123</v>
      </c>
      <c r="AN1" s="132" t="s">
        <v>124</v>
      </c>
      <c r="AP1" s="129" t="s">
        <v>192</v>
      </c>
      <c r="AQ1" s="133">
        <v>11.72</v>
      </c>
    </row>
    <row r="2" spans="1:43">
      <c r="A2" s="134">
        <v>1</v>
      </c>
      <c r="B2" s="135" t="s">
        <v>193</v>
      </c>
      <c r="C2" s="134">
        <v>4</v>
      </c>
      <c r="D2" s="136">
        <v>44652</v>
      </c>
      <c r="E2" s="137">
        <f t="shared" ref="E2:E3" si="0">YEAR(D2)</f>
        <v>2022</v>
      </c>
      <c r="F2" s="137" t="s">
        <v>194</v>
      </c>
      <c r="G2" s="138">
        <f t="shared" ref="G2:G3" si="1">DAY(EOMONTH(D2,0))</f>
        <v>30</v>
      </c>
      <c r="H2" s="139">
        <v>187.86834831199999</v>
      </c>
      <c r="I2" s="139">
        <v>228.56010069999994</v>
      </c>
      <c r="J2" s="140"/>
      <c r="K2" s="139">
        <v>23.057770000000001</v>
      </c>
      <c r="L2" s="138"/>
      <c r="M2" s="141">
        <v>1844.1035681650928</v>
      </c>
      <c r="N2" s="141">
        <v>11.72</v>
      </c>
      <c r="O2" s="142">
        <f t="shared" ref="O2:O3" si="2">IFERROR(M2/I2/N2,"")</f>
        <v>0.68842602165163946</v>
      </c>
      <c r="P2" s="140">
        <f t="shared" ref="P2:P3" si="3">IFERROR(I2/G2,"")</f>
        <v>7.6186700233333315</v>
      </c>
      <c r="Q2" s="138">
        <f>COUNTIFS('Daily KPI'!$D:$D,D2,'Daily KPI'!$K:$K,"&gt;0")</f>
        <v>0</v>
      </c>
      <c r="R2" s="141">
        <f t="shared" ref="R2:R3" si="4">I2/G2*Q2</f>
        <v>0</v>
      </c>
      <c r="S2" s="141">
        <f>SUMIF($F$2:F2,F2,$R$2:R2)</f>
        <v>0</v>
      </c>
      <c r="T2" s="140">
        <f t="shared" ref="T2:T3" si="5">M2/G2</f>
        <v>61.470118938836428</v>
      </c>
      <c r="U2" s="141">
        <f t="shared" ref="U2:U3" si="6">M2/G2*Q2</f>
        <v>0</v>
      </c>
      <c r="V2" s="141">
        <f>SUMIF($F$2:F2,F2,$U$2:U2)</f>
        <v>0</v>
      </c>
      <c r="W2" s="142">
        <f t="shared" ref="W2:W3" si="7">IFERROR(T2/(24*N2),"")</f>
        <v>0.218537112268332</v>
      </c>
      <c r="X2" s="142" t="str">
        <f t="shared" ref="X2:X49" si="8">IFERROR(U2/(24*N2*Q2),"")</f>
        <v/>
      </c>
      <c r="Y2" s="142" t="str">
        <f t="shared" ref="Y2:Y49" si="9">IFERROR(V2/(24*N2*SUMIFS($Q:$Q,$F:$F,$F2,$D:$D,"&lt;="&amp;D2)),"")</f>
        <v/>
      </c>
      <c r="Z2" s="140" t="str">
        <f>IFERROR(AVERAGEIF('Daily KPI'!D:D,Table14[[#This Row],[Month]],'Daily KPI'!AB:AB),"")</f>
        <v/>
      </c>
      <c r="AA2" s="143" t="str">
        <f>IFERROR(AVERAGEIF($F$2:F2,F2,$Z$2:Z2),"")</f>
        <v/>
      </c>
      <c r="AB2" s="141"/>
      <c r="AC2" s="140"/>
      <c r="AD2" s="140"/>
      <c r="AE2" s="142">
        <v>0.995</v>
      </c>
      <c r="AF2" s="142">
        <v>0.98550000000000004</v>
      </c>
      <c r="AG2" s="142">
        <v>0.995</v>
      </c>
      <c r="AH2" s="142"/>
      <c r="AI2" s="142"/>
      <c r="AJ2" s="142"/>
      <c r="AK2" s="142"/>
      <c r="AL2" s="142"/>
      <c r="AM2" s="183"/>
      <c r="AN2" s="183"/>
    </row>
    <row r="3" spans="1:43">
      <c r="A3" s="135">
        <f t="shared" ref="A3:A49" si="10">A2+1</f>
        <v>2</v>
      </c>
      <c r="B3" s="135" t="s">
        <v>195</v>
      </c>
      <c r="C3" s="134">
        <v>5</v>
      </c>
      <c r="D3" s="136">
        <v>44682</v>
      </c>
      <c r="E3" s="144">
        <f t="shared" si="0"/>
        <v>2022</v>
      </c>
      <c r="F3" s="137" t="s">
        <v>194</v>
      </c>
      <c r="G3" s="145">
        <f t="shared" si="1"/>
        <v>31</v>
      </c>
      <c r="H3" s="143">
        <v>194.13106407199999</v>
      </c>
      <c r="I3" s="143">
        <v>236.95476170000001</v>
      </c>
      <c r="J3" s="146"/>
      <c r="K3" s="143">
        <v>24.803879999999999</v>
      </c>
      <c r="L3" s="145"/>
      <c r="M3" s="147">
        <v>1900.09495955894</v>
      </c>
      <c r="N3" s="141">
        <v>11.72</v>
      </c>
      <c r="O3" s="148">
        <f t="shared" si="2"/>
        <v>0.68419871431972479</v>
      </c>
      <c r="P3" s="146">
        <f t="shared" si="3"/>
        <v>7.6437019903225805</v>
      </c>
      <c r="Q3" s="145">
        <f>COUNTIFS('Daily KPI'!$D:$D,D3,'Daily KPI'!$K:$K,"&gt;0")</f>
        <v>0</v>
      </c>
      <c r="R3" s="147">
        <f t="shared" si="4"/>
        <v>0</v>
      </c>
      <c r="S3" s="147">
        <f>SUMIF($F$2:F3,F3,$R$2:R3)</f>
        <v>0</v>
      </c>
      <c r="T3" s="146">
        <f t="shared" si="5"/>
        <v>61.293385792223873</v>
      </c>
      <c r="U3" s="147">
        <f t="shared" si="6"/>
        <v>0</v>
      </c>
      <c r="V3" s="147">
        <f>SUMIF($F$2:F3,F3,$U$2:U3)</f>
        <v>0</v>
      </c>
      <c r="W3" s="148">
        <f t="shared" si="7"/>
        <v>0.21790879476757632</v>
      </c>
      <c r="X3" s="148" t="str">
        <f t="shared" si="8"/>
        <v/>
      </c>
      <c r="Y3" s="148" t="str">
        <f t="shared" si="9"/>
        <v/>
      </c>
      <c r="Z3" s="146" t="str">
        <f>IFERROR(AVERAGEIF('Daily KPI'!D:D,Table14[[#This Row],[Month]],'Daily KPI'!AB:AB),"")</f>
        <v/>
      </c>
      <c r="AA3" s="143" t="str">
        <f>IFERROR(AVERAGEIF($F$2:F3,F3,$Z$2:Z3),"")</f>
        <v/>
      </c>
      <c r="AB3" s="147"/>
      <c r="AC3" s="146"/>
      <c r="AD3" s="146"/>
      <c r="AE3" s="142">
        <v>0.995</v>
      </c>
      <c r="AF3" s="142">
        <v>0.98550000000000004</v>
      </c>
      <c r="AG3" s="142">
        <v>0.995</v>
      </c>
      <c r="AH3" s="148"/>
      <c r="AI3" s="148"/>
      <c r="AJ3" s="148"/>
      <c r="AK3" s="148"/>
      <c r="AL3" s="148"/>
      <c r="AM3" s="182"/>
      <c r="AN3" s="182"/>
    </row>
    <row r="4" spans="1:43">
      <c r="A4" s="134">
        <f t="shared" si="10"/>
        <v>3</v>
      </c>
      <c r="B4" s="135" t="s">
        <v>196</v>
      </c>
      <c r="C4" s="134">
        <v>6</v>
      </c>
      <c r="D4" s="136">
        <v>44713</v>
      </c>
      <c r="E4" s="137">
        <f>YEAR(D4)</f>
        <v>2022</v>
      </c>
      <c r="F4" s="137" t="s">
        <v>194</v>
      </c>
      <c r="G4" s="138">
        <f>DAY(EOMONTH(D4,0))</f>
        <v>30</v>
      </c>
      <c r="H4" s="143">
        <v>144.327462642</v>
      </c>
      <c r="I4" s="143">
        <v>168.51814360000006</v>
      </c>
      <c r="J4" s="140"/>
      <c r="K4" s="143">
        <v>20.91329</v>
      </c>
      <c r="L4" s="138"/>
      <c r="M4" s="141">
        <v>1378.1106978550106</v>
      </c>
      <c r="N4" s="141">
        <v>11.72</v>
      </c>
      <c r="O4" s="142">
        <f>IFERROR(M4/I4/N4,"")</f>
        <v>0.69776603578930929</v>
      </c>
      <c r="P4" s="140">
        <f>IFERROR(I4/G4,"")</f>
        <v>5.617271453333335</v>
      </c>
      <c r="Q4" s="138">
        <f>COUNTIFS('Daily KPI'!$D:$D,D4,'Daily KPI'!$K:$K,"&gt;0")</f>
        <v>0</v>
      </c>
      <c r="R4" s="141">
        <f>I4/G4*Q4</f>
        <v>0</v>
      </c>
      <c r="S4" s="141">
        <f>SUMIF($F$4:F4,F4,$R$4:R4)</f>
        <v>0</v>
      </c>
      <c r="T4" s="140">
        <f>M4/G4</f>
        <v>45.937023261833687</v>
      </c>
      <c r="U4" s="141">
        <f>M4/G4*Q4</f>
        <v>0</v>
      </c>
      <c r="V4" s="141">
        <f>SUMIF($F$4:F4,F4,$U$4:U4)</f>
        <v>0</v>
      </c>
      <c r="W4" s="142">
        <f>IFERROR(T4/(24*N4),"")</f>
        <v>0.16331421808103555</v>
      </c>
      <c r="X4" s="142" t="str">
        <f t="shared" si="8"/>
        <v/>
      </c>
      <c r="Y4" s="142" t="str">
        <f t="shared" si="9"/>
        <v/>
      </c>
      <c r="Z4" s="140" t="str">
        <f>IFERROR(AVERAGEIF('Daily KPI'!D:D,Table14[[#This Row],[Month]],'Daily KPI'!AB:AB),"")</f>
        <v/>
      </c>
      <c r="AA4" s="143" t="str">
        <f>IFERROR(AVERAGEIF($F$2:F4,F4,$Z$2:Z4),"")</f>
        <v/>
      </c>
      <c r="AB4" s="141"/>
      <c r="AC4" s="140"/>
      <c r="AD4" s="140"/>
      <c r="AE4" s="142">
        <v>0.995</v>
      </c>
      <c r="AF4" s="142">
        <v>0.98550000000000004</v>
      </c>
      <c r="AG4" s="142">
        <v>0.995</v>
      </c>
      <c r="AH4" s="142"/>
      <c r="AI4" s="142"/>
      <c r="AJ4" s="142"/>
      <c r="AK4" s="142"/>
      <c r="AL4" s="142"/>
      <c r="AM4" s="182"/>
      <c r="AN4" s="182"/>
    </row>
    <row r="5" spans="1:43">
      <c r="A5" s="135">
        <f t="shared" si="10"/>
        <v>4</v>
      </c>
      <c r="B5" s="135" t="s">
        <v>197</v>
      </c>
      <c r="C5" s="134">
        <v>7</v>
      </c>
      <c r="D5" s="136">
        <v>44743</v>
      </c>
      <c r="E5" s="144">
        <f>YEAR(D5)</f>
        <v>2022</v>
      </c>
      <c r="F5" s="137" t="s">
        <v>194</v>
      </c>
      <c r="G5" s="145">
        <f>DAY(EOMONTH(D5,0))</f>
        <v>31</v>
      </c>
      <c r="H5" s="143">
        <v>124.81072236599999</v>
      </c>
      <c r="I5" s="143">
        <v>143.43493099999995</v>
      </c>
      <c r="J5" s="146"/>
      <c r="K5" s="143">
        <v>20.391279999999998</v>
      </c>
      <c r="L5" s="145"/>
      <c r="M5" s="147">
        <v>1181.2377410185804</v>
      </c>
      <c r="N5" s="141">
        <v>11.72</v>
      </c>
      <c r="O5" s="148">
        <f>IFERROR(M5/I5/N5,"")</f>
        <v>0.70267543935013965</v>
      </c>
      <c r="P5" s="146">
        <f>IFERROR(I5/G5,"")</f>
        <v>4.6269332580645148</v>
      </c>
      <c r="Q5" s="145">
        <f>COUNTIFS('Daily KPI'!$D:$D,D5,'Daily KPI'!$K:$K,"&gt;0")</f>
        <v>0</v>
      </c>
      <c r="R5" s="147">
        <f>I5/G5*Q5</f>
        <v>0</v>
      </c>
      <c r="S5" s="147">
        <f>SUMIF($F$5:F5,F5,$R$5:R5)</f>
        <v>0</v>
      </c>
      <c r="T5" s="146">
        <f>M5/G5</f>
        <v>38.104443258663885</v>
      </c>
      <c r="U5" s="147">
        <f>M5/G5*Q5</f>
        <v>0</v>
      </c>
      <c r="V5" s="147">
        <f>SUMIF($F$5:F5,F5,$U$5:U5)</f>
        <v>0</v>
      </c>
      <c r="W5" s="148">
        <f>IFERROR(T5/(24*N5),"")</f>
        <v>0.13546801499809399</v>
      </c>
      <c r="X5" s="148" t="str">
        <f t="shared" si="8"/>
        <v/>
      </c>
      <c r="Y5" s="148" t="str">
        <f t="shared" si="9"/>
        <v/>
      </c>
      <c r="Z5" s="146" t="str">
        <f>IFERROR(AVERAGEIF('Daily KPI'!D:D,Table14[[#This Row],[Month]],'Daily KPI'!AB:AB),"")</f>
        <v/>
      </c>
      <c r="AA5" s="143" t="str">
        <f>IFERROR(AVERAGEIF($F$2:F5,F5,$Z$2:Z5),"")</f>
        <v/>
      </c>
      <c r="AB5" s="147"/>
      <c r="AC5" s="146"/>
      <c r="AD5" s="146"/>
      <c r="AE5" s="142">
        <v>0.995</v>
      </c>
      <c r="AF5" s="142">
        <v>0.98550000000000004</v>
      </c>
      <c r="AG5" s="142">
        <v>0.995</v>
      </c>
      <c r="AH5" s="148"/>
      <c r="AI5" s="148"/>
      <c r="AJ5" s="148"/>
      <c r="AK5" s="148"/>
      <c r="AL5" s="148"/>
      <c r="AM5" s="182"/>
      <c r="AN5" s="182"/>
    </row>
    <row r="6" spans="1:43">
      <c r="A6" s="134">
        <f t="shared" si="10"/>
        <v>5</v>
      </c>
      <c r="B6" s="135" t="s">
        <v>198</v>
      </c>
      <c r="C6" s="134">
        <v>8</v>
      </c>
      <c r="D6" s="136">
        <v>44774</v>
      </c>
      <c r="E6" s="137">
        <f t="shared" ref="E6:E13" si="11">YEAR(D6)</f>
        <v>2022</v>
      </c>
      <c r="F6" s="137" t="s">
        <v>194</v>
      </c>
      <c r="G6" s="138">
        <f t="shared" ref="G6:G13" si="12">DAY(EOMONTH(D6,0))</f>
        <v>31</v>
      </c>
      <c r="H6" s="143">
        <v>129.03231213399999</v>
      </c>
      <c r="I6" s="143">
        <v>147.91273230000004</v>
      </c>
      <c r="J6" s="140"/>
      <c r="K6" s="143">
        <v>19.68656</v>
      </c>
      <c r="L6" s="138"/>
      <c r="M6" s="141">
        <v>1220.9735671690526</v>
      </c>
      <c r="N6" s="141">
        <v>11.72</v>
      </c>
      <c r="O6" s="142">
        <f t="shared" ref="O6:O29" si="13">IFERROR(M6/I6/N6,"")</f>
        <v>0.70432497859422794</v>
      </c>
      <c r="P6" s="140">
        <f t="shared" ref="P6:P29" si="14">IFERROR(I6/G6,"")</f>
        <v>4.7713784612903236</v>
      </c>
      <c r="Q6" s="138">
        <f>COUNTIFS('Daily KPI'!$D:$D,D6,'Daily KPI'!$K:$K,"&gt;0")</f>
        <v>0</v>
      </c>
      <c r="R6" s="141">
        <f t="shared" ref="R6:R29" si="15">I6/G6*Q6</f>
        <v>0</v>
      </c>
      <c r="S6" s="141">
        <f>SUMIF($F$6:F6,F6,$R$6:R6)</f>
        <v>0</v>
      </c>
      <c r="T6" s="140">
        <f t="shared" ref="T6:T29" si="16">M6/G6</f>
        <v>39.386244102227501</v>
      </c>
      <c r="U6" s="141">
        <f t="shared" ref="U6:U29" si="17">M6/G6*Q6</f>
        <v>0</v>
      </c>
      <c r="V6" s="141">
        <f>SUMIF($F$6:F6,F6,$U$6:U6)</f>
        <v>0</v>
      </c>
      <c r="W6" s="142">
        <f t="shared" ref="W6:W29" si="18">IFERROR(T6/(24*N6),"")</f>
        <v>0.14002504302555283</v>
      </c>
      <c r="X6" s="142" t="str">
        <f t="shared" si="8"/>
        <v/>
      </c>
      <c r="Y6" s="142" t="str">
        <f t="shared" si="9"/>
        <v/>
      </c>
      <c r="Z6" s="140" t="str">
        <f>IFERROR(AVERAGEIF('Daily KPI'!D:D,Table14[[#This Row],[Month]],'Daily KPI'!AB:AB),"")</f>
        <v/>
      </c>
      <c r="AA6" s="143" t="str">
        <f>IFERROR(AVERAGEIF($F$2:F6,F6,$Z$2:Z6),"")</f>
        <v/>
      </c>
      <c r="AB6" s="141"/>
      <c r="AC6" s="140"/>
      <c r="AD6" s="140"/>
      <c r="AE6" s="142">
        <v>0.995</v>
      </c>
      <c r="AF6" s="142">
        <v>0.98550000000000004</v>
      </c>
      <c r="AG6" s="142">
        <v>0.995</v>
      </c>
      <c r="AH6" s="142"/>
      <c r="AI6" s="142"/>
      <c r="AJ6" s="142"/>
      <c r="AK6" s="142"/>
      <c r="AL6" s="142"/>
      <c r="AM6" s="182"/>
      <c r="AN6" s="182"/>
    </row>
    <row r="7" spans="1:43">
      <c r="A7" s="134">
        <f t="shared" si="10"/>
        <v>6</v>
      </c>
      <c r="B7" s="135" t="s">
        <v>199</v>
      </c>
      <c r="C7" s="134">
        <v>9</v>
      </c>
      <c r="D7" s="136">
        <v>44805</v>
      </c>
      <c r="E7" s="137">
        <f t="shared" si="11"/>
        <v>2022</v>
      </c>
      <c r="F7" s="137" t="s">
        <v>194</v>
      </c>
      <c r="G7" s="145">
        <f t="shared" si="12"/>
        <v>30</v>
      </c>
      <c r="H7" s="143">
        <v>138.860397627</v>
      </c>
      <c r="I7" s="143">
        <v>165.14882880000005</v>
      </c>
      <c r="J7" s="140"/>
      <c r="K7" s="143">
        <v>18.930330000000001</v>
      </c>
      <c r="L7" s="138"/>
      <c r="M7" s="141">
        <v>1365.4674804434967</v>
      </c>
      <c r="N7" s="141">
        <v>11.72</v>
      </c>
      <c r="O7" s="142">
        <f t="shared" si="13"/>
        <v>0.70546951527435531</v>
      </c>
      <c r="P7" s="140">
        <f t="shared" si="14"/>
        <v>5.5049609600000018</v>
      </c>
      <c r="Q7" s="138">
        <f>COUNTIFS('Daily KPI'!$D:$D,D7,'Daily KPI'!$K:$K,"&gt;0")</f>
        <v>0</v>
      </c>
      <c r="R7" s="141">
        <f t="shared" si="15"/>
        <v>0</v>
      </c>
      <c r="S7" s="141">
        <f>SUMIF($F$6:F7,F7,$R$6:R7)</f>
        <v>0</v>
      </c>
      <c r="T7" s="140">
        <f t="shared" si="16"/>
        <v>45.515582681449892</v>
      </c>
      <c r="U7" s="141">
        <f t="shared" si="17"/>
        <v>0</v>
      </c>
      <c r="V7" s="141">
        <f>SUMIF($F$6:F7,F7,$U$6:U7)</f>
        <v>0</v>
      </c>
      <c r="W7" s="142">
        <f t="shared" si="18"/>
        <v>0.16181592250231047</v>
      </c>
      <c r="X7" s="142" t="str">
        <f t="shared" si="8"/>
        <v/>
      </c>
      <c r="Y7" s="142" t="str">
        <f t="shared" si="9"/>
        <v/>
      </c>
      <c r="Z7" s="140" t="str">
        <f>IFERROR(AVERAGEIF('Daily KPI'!D:D,Table14[[#This Row],[Month]],'Daily KPI'!AB:AB),"")</f>
        <v/>
      </c>
      <c r="AA7" s="143" t="str">
        <f>IFERROR(AVERAGEIF($F$2:F7,F7,$Z$2:Z7),"")</f>
        <v/>
      </c>
      <c r="AB7" s="141"/>
      <c r="AC7" s="140"/>
      <c r="AD7" s="140"/>
      <c r="AE7" s="142">
        <v>0.995</v>
      </c>
      <c r="AF7" s="142">
        <v>0.98550000000000004</v>
      </c>
      <c r="AG7" s="142">
        <v>0.995</v>
      </c>
      <c r="AH7" s="142"/>
      <c r="AI7" s="142"/>
      <c r="AJ7" s="142"/>
      <c r="AK7" s="142"/>
      <c r="AL7" s="142"/>
      <c r="AM7" s="182"/>
      <c r="AN7" s="182"/>
    </row>
    <row r="8" spans="1:43">
      <c r="A8" s="135">
        <f t="shared" si="10"/>
        <v>7</v>
      </c>
      <c r="B8" s="135" t="s">
        <v>200</v>
      </c>
      <c r="C8" s="134">
        <v>10</v>
      </c>
      <c r="D8" s="136">
        <v>44835</v>
      </c>
      <c r="E8" s="144">
        <f t="shared" si="11"/>
        <v>2022</v>
      </c>
      <c r="F8" s="137" t="s">
        <v>194</v>
      </c>
      <c r="G8" s="138">
        <f t="shared" si="12"/>
        <v>31</v>
      </c>
      <c r="H8" s="143">
        <v>144.27891666400001</v>
      </c>
      <c r="I8" s="143">
        <v>175.0139135</v>
      </c>
      <c r="J8" s="146"/>
      <c r="K8" s="139">
        <v>19.660550000000001</v>
      </c>
      <c r="L8" s="145"/>
      <c r="M8" s="147">
        <v>1449.4545675342674</v>
      </c>
      <c r="N8" s="147">
        <v>11.72</v>
      </c>
      <c r="O8" s="148">
        <f t="shared" si="13"/>
        <v>0.70665009106536059</v>
      </c>
      <c r="P8" s="146">
        <f t="shared" si="14"/>
        <v>5.6456101129032259</v>
      </c>
      <c r="Q8" s="145">
        <f>COUNTIFS('Daily KPI'!$D:$D,D8,'Daily KPI'!$K:$K,"&gt;0")</f>
        <v>0</v>
      </c>
      <c r="R8" s="147">
        <f t="shared" si="15"/>
        <v>0</v>
      </c>
      <c r="S8" s="147">
        <f>SUMIF($F$6:F8,F8,$R$6:R8)</f>
        <v>0</v>
      </c>
      <c r="T8" s="146">
        <f t="shared" si="16"/>
        <v>46.756598952718306</v>
      </c>
      <c r="U8" s="147">
        <f t="shared" si="17"/>
        <v>0</v>
      </c>
      <c r="V8" s="147">
        <f>SUMIF($F$6:F8,F8,$U$6:U8)</f>
        <v>0</v>
      </c>
      <c r="W8" s="148">
        <f t="shared" si="18"/>
        <v>0.16622795418344105</v>
      </c>
      <c r="X8" s="148" t="str">
        <f t="shared" si="8"/>
        <v/>
      </c>
      <c r="Y8" s="148" t="str">
        <f t="shared" si="9"/>
        <v/>
      </c>
      <c r="Z8" s="146" t="str">
        <f>IFERROR(AVERAGEIF('Daily KPI'!D:D,Table14[[#This Row],[Month]],'Daily KPI'!AB:AB),"")</f>
        <v/>
      </c>
      <c r="AA8" s="143" t="str">
        <f>IFERROR(AVERAGEIF($F$2:F8,F8,$Z$2:Z8),"")</f>
        <v/>
      </c>
      <c r="AB8" s="147"/>
      <c r="AC8" s="146"/>
      <c r="AD8" s="146"/>
      <c r="AE8" s="142">
        <v>0.995</v>
      </c>
      <c r="AF8" s="142">
        <v>0.98550000000000004</v>
      </c>
      <c r="AG8" s="142">
        <v>0.995</v>
      </c>
      <c r="AH8" s="148"/>
      <c r="AI8" s="148"/>
      <c r="AJ8" s="148"/>
      <c r="AK8" s="148"/>
      <c r="AL8" s="148"/>
      <c r="AM8" s="182"/>
      <c r="AN8" s="182"/>
    </row>
    <row r="9" spans="1:43">
      <c r="A9" s="134">
        <f t="shared" si="10"/>
        <v>8</v>
      </c>
      <c r="B9" s="135" t="s">
        <v>201</v>
      </c>
      <c r="C9" s="134">
        <v>11</v>
      </c>
      <c r="D9" s="136">
        <v>44866</v>
      </c>
      <c r="E9" s="137">
        <f t="shared" si="11"/>
        <v>2022</v>
      </c>
      <c r="F9" s="137" t="s">
        <v>194</v>
      </c>
      <c r="G9" s="138">
        <f t="shared" si="12"/>
        <v>30</v>
      </c>
      <c r="H9" s="143">
        <v>136.88678809699999</v>
      </c>
      <c r="I9" s="143">
        <v>168.81198910000003</v>
      </c>
      <c r="J9" s="140"/>
      <c r="K9" s="143">
        <v>17.558019999999999</v>
      </c>
      <c r="L9" s="138"/>
      <c r="M9" s="141">
        <v>1413.3310892156562</v>
      </c>
      <c r="N9" s="141">
        <v>11.72</v>
      </c>
      <c r="O9" s="142">
        <f t="shared" si="13"/>
        <v>0.71435323111666982</v>
      </c>
      <c r="P9" s="140">
        <f t="shared" si="14"/>
        <v>5.6270663033333346</v>
      </c>
      <c r="Q9" s="138">
        <f>COUNTIFS('Daily KPI'!$D:$D,D9,'Daily KPI'!$K:$K,"&gt;0")</f>
        <v>0</v>
      </c>
      <c r="R9" s="141">
        <f t="shared" si="15"/>
        <v>0</v>
      </c>
      <c r="S9" s="141">
        <f>SUMIF($F$6:F9,F9,$R$6:R9)</f>
        <v>0</v>
      </c>
      <c r="T9" s="140">
        <f t="shared" si="16"/>
        <v>47.111036307188542</v>
      </c>
      <c r="U9" s="141">
        <f t="shared" si="17"/>
        <v>0</v>
      </c>
      <c r="V9" s="141">
        <f>SUMIF($F$6:F9,F9,$U$6:U9)</f>
        <v>0</v>
      </c>
      <c r="W9" s="142">
        <f t="shared" si="18"/>
        <v>0.16748804147891261</v>
      </c>
      <c r="X9" s="142" t="str">
        <f t="shared" si="8"/>
        <v/>
      </c>
      <c r="Y9" s="142" t="str">
        <f t="shared" si="9"/>
        <v/>
      </c>
      <c r="Z9" s="140" t="str">
        <f>IFERROR(AVERAGEIF('Daily KPI'!D:D,Table14[[#This Row],[Month]],'Daily KPI'!AB:AB),"")</f>
        <v/>
      </c>
      <c r="AA9" s="143" t="str">
        <f>IFERROR(AVERAGEIF($F$2:F9,F9,$Z$2:Z9),"")</f>
        <v/>
      </c>
      <c r="AB9" s="141"/>
      <c r="AC9" s="140"/>
      <c r="AD9" s="140"/>
      <c r="AE9" s="142">
        <v>0.995</v>
      </c>
      <c r="AF9" s="142">
        <v>0.98550000000000004</v>
      </c>
      <c r="AG9" s="142">
        <v>0.995</v>
      </c>
      <c r="AH9" s="142"/>
      <c r="AI9" s="142"/>
      <c r="AJ9" s="142"/>
      <c r="AK9" s="142"/>
      <c r="AL9" s="142"/>
      <c r="AM9" s="182"/>
      <c r="AN9" s="182"/>
    </row>
    <row r="10" spans="1:43">
      <c r="A10" s="135">
        <f t="shared" si="10"/>
        <v>9</v>
      </c>
      <c r="B10" s="135" t="s">
        <v>202</v>
      </c>
      <c r="C10" s="134">
        <v>12</v>
      </c>
      <c r="D10" s="136">
        <v>44896</v>
      </c>
      <c r="E10" s="144">
        <f t="shared" si="11"/>
        <v>2022</v>
      </c>
      <c r="F10" s="137" t="s">
        <v>194</v>
      </c>
      <c r="G10" s="145">
        <f t="shared" si="12"/>
        <v>31</v>
      </c>
      <c r="H10" s="143">
        <v>132.742847993</v>
      </c>
      <c r="I10" s="143">
        <v>164.93463669999977</v>
      </c>
      <c r="J10" s="146"/>
      <c r="K10" s="139">
        <v>17.196370000000002</v>
      </c>
      <c r="L10" s="145"/>
      <c r="M10" s="147">
        <v>1388.0446543926287</v>
      </c>
      <c r="N10" s="147">
        <v>11.72</v>
      </c>
      <c r="O10" s="148">
        <f t="shared" si="13"/>
        <v>0.71806532939998968</v>
      </c>
      <c r="P10" s="146">
        <f t="shared" si="14"/>
        <v>5.3204721516128961</v>
      </c>
      <c r="Q10" s="145">
        <f>COUNTIFS('Daily KPI'!$D:$D,D10,'Daily KPI'!$K:$K,"&gt;0")</f>
        <v>0</v>
      </c>
      <c r="R10" s="147">
        <f t="shared" si="15"/>
        <v>0</v>
      </c>
      <c r="S10" s="147">
        <f>SUMIF($F$6:F10,F10,$R$6:R10)</f>
        <v>0</v>
      </c>
      <c r="T10" s="146">
        <f t="shared" si="16"/>
        <v>44.775634012665442</v>
      </c>
      <c r="U10" s="147">
        <f t="shared" si="17"/>
        <v>0</v>
      </c>
      <c r="V10" s="147">
        <f>SUMIF($F$6:F10,F10,$U$6:U10)</f>
        <v>0</v>
      </c>
      <c r="W10" s="148">
        <f t="shared" si="18"/>
        <v>0.15918527450464107</v>
      </c>
      <c r="X10" s="148" t="str">
        <f t="shared" si="8"/>
        <v/>
      </c>
      <c r="Y10" s="148" t="str">
        <f t="shared" si="9"/>
        <v/>
      </c>
      <c r="Z10" s="146" t="str">
        <f>IFERROR(AVERAGEIF('Daily KPI'!D:D,Table14[[#This Row],[Month]],'Daily KPI'!AB:AB),"")</f>
        <v/>
      </c>
      <c r="AA10" s="143" t="str">
        <f>IFERROR(AVERAGEIF($F$2:F10,F10,$Z$2:Z10),"")</f>
        <v/>
      </c>
      <c r="AB10" s="147"/>
      <c r="AC10" s="146"/>
      <c r="AD10" s="146"/>
      <c r="AE10" s="142">
        <v>0.995</v>
      </c>
      <c r="AF10" s="142">
        <v>0.98550000000000004</v>
      </c>
      <c r="AG10" s="142">
        <v>0.995</v>
      </c>
      <c r="AH10" s="148"/>
      <c r="AI10" s="148"/>
      <c r="AJ10" s="148"/>
      <c r="AK10" s="148"/>
      <c r="AL10" s="148"/>
      <c r="AM10" s="182"/>
      <c r="AN10" s="182"/>
    </row>
    <row r="11" spans="1:43">
      <c r="A11" s="134">
        <f t="shared" si="10"/>
        <v>10</v>
      </c>
      <c r="B11" s="135" t="s">
        <v>203</v>
      </c>
      <c r="C11" s="134">
        <v>1</v>
      </c>
      <c r="D11" s="136">
        <v>44927</v>
      </c>
      <c r="E11" s="137">
        <f t="shared" si="11"/>
        <v>2023</v>
      </c>
      <c r="F11" s="137" t="s">
        <v>194</v>
      </c>
      <c r="G11" s="138">
        <f t="shared" si="12"/>
        <v>31</v>
      </c>
      <c r="H11" s="143">
        <v>147.17861885299999</v>
      </c>
      <c r="I11" s="143">
        <v>186.54543479999998</v>
      </c>
      <c r="J11" s="140"/>
      <c r="K11" s="143">
        <v>17.42991</v>
      </c>
      <c r="L11" s="138"/>
      <c r="M11" s="141">
        <v>1560.5342633639962</v>
      </c>
      <c r="N11" s="141">
        <v>11.72</v>
      </c>
      <c r="O11" s="142">
        <f t="shared" si="13"/>
        <v>0.71377457079986417</v>
      </c>
      <c r="P11" s="140">
        <f t="shared" si="14"/>
        <v>6.0175946709677417</v>
      </c>
      <c r="Q11" s="138">
        <f>COUNTIFS('Daily KPI'!$D:$D,D11,'Daily KPI'!$K:$K,"&gt;0")</f>
        <v>0</v>
      </c>
      <c r="R11" s="141">
        <f t="shared" si="15"/>
        <v>0</v>
      </c>
      <c r="S11" s="141">
        <f>SUMIF($F$6:F11,F11,$R$6:R11)</f>
        <v>0</v>
      </c>
      <c r="T11" s="140">
        <f t="shared" si="16"/>
        <v>50.339814947225683</v>
      </c>
      <c r="U11" s="141">
        <f t="shared" si="17"/>
        <v>0</v>
      </c>
      <c r="V11" s="141">
        <f>SUMIF($F$6:F11,F11,$U$6:U11)</f>
        <v>0</v>
      </c>
      <c r="W11" s="142">
        <f t="shared" si="18"/>
        <v>0.17896691889656455</v>
      </c>
      <c r="X11" s="142" t="str">
        <f t="shared" si="8"/>
        <v/>
      </c>
      <c r="Y11" s="142" t="str">
        <f t="shared" si="9"/>
        <v/>
      </c>
      <c r="Z11" s="140" t="str">
        <f>IFERROR(AVERAGEIF('Daily KPI'!D:D,Table14[[#This Row],[Month]],'Daily KPI'!AB:AB),"")</f>
        <v/>
      </c>
      <c r="AA11" s="143" t="str">
        <f>IFERROR(AVERAGEIF($F$2:F11,F11,$Z$2:Z11),"")</f>
        <v/>
      </c>
      <c r="AB11" s="141"/>
      <c r="AC11" s="140"/>
      <c r="AD11" s="140"/>
      <c r="AE11" s="142">
        <v>0.995</v>
      </c>
      <c r="AF11" s="142">
        <v>0.98550000000000004</v>
      </c>
      <c r="AG11" s="142">
        <v>0.995</v>
      </c>
      <c r="AH11" s="142"/>
      <c r="AI11" s="142"/>
      <c r="AJ11" s="142"/>
      <c r="AK11" s="142"/>
      <c r="AL11" s="142"/>
      <c r="AM11" s="182"/>
      <c r="AN11" s="182"/>
    </row>
    <row r="12" spans="1:43">
      <c r="A12" s="135">
        <f t="shared" si="10"/>
        <v>11</v>
      </c>
      <c r="B12" s="135" t="s">
        <v>204</v>
      </c>
      <c r="C12" s="134">
        <v>2</v>
      </c>
      <c r="D12" s="136">
        <v>44958</v>
      </c>
      <c r="E12" s="144">
        <f t="shared" si="11"/>
        <v>2023</v>
      </c>
      <c r="F12" s="137" t="s">
        <v>194</v>
      </c>
      <c r="G12" s="145">
        <f t="shared" si="12"/>
        <v>28</v>
      </c>
      <c r="H12" s="143">
        <v>153.83568869499999</v>
      </c>
      <c r="I12" s="143">
        <v>193.23044800000002</v>
      </c>
      <c r="J12" s="146"/>
      <c r="K12" s="139">
        <v>17.77167</v>
      </c>
      <c r="L12" s="145"/>
      <c r="M12" s="147">
        <v>1599.3670025565029</v>
      </c>
      <c r="N12" s="147">
        <v>11.72</v>
      </c>
      <c r="O12" s="148">
        <f t="shared" si="13"/>
        <v>0.70622804388613647</v>
      </c>
      <c r="P12" s="146">
        <f t="shared" si="14"/>
        <v>6.9010874285714294</v>
      </c>
      <c r="Q12" s="145">
        <f>COUNTIFS('Daily KPI'!$D:$D,D12,'Daily KPI'!$K:$K,"&gt;0")</f>
        <v>0</v>
      </c>
      <c r="R12" s="147">
        <f t="shared" si="15"/>
        <v>0</v>
      </c>
      <c r="S12" s="147">
        <f>SUMIF($F$6:F12,F12,$R$6:R12)</f>
        <v>0</v>
      </c>
      <c r="T12" s="146">
        <f t="shared" si="16"/>
        <v>57.120250091303674</v>
      </c>
      <c r="U12" s="147">
        <f t="shared" si="17"/>
        <v>0</v>
      </c>
      <c r="V12" s="147">
        <f>SUMIF($F$6:F12,F12,$U$6:U12)</f>
        <v>0</v>
      </c>
      <c r="W12" s="148">
        <f t="shared" si="18"/>
        <v>0.20307256147363364</v>
      </c>
      <c r="X12" s="148" t="str">
        <f t="shared" si="8"/>
        <v/>
      </c>
      <c r="Y12" s="148" t="str">
        <f t="shared" si="9"/>
        <v/>
      </c>
      <c r="Z12" s="146" t="str">
        <f>IFERROR(AVERAGEIF('Daily KPI'!D:D,Table14[[#This Row],[Month]],'Daily KPI'!AB:AB),"")</f>
        <v/>
      </c>
      <c r="AA12" s="143" t="str">
        <f>IFERROR(AVERAGEIF($F$2:F12,F12,$Z$2:Z12),"")</f>
        <v/>
      </c>
      <c r="AB12" s="147"/>
      <c r="AC12" s="146"/>
      <c r="AD12" s="146"/>
      <c r="AE12" s="142">
        <v>0.995</v>
      </c>
      <c r="AF12" s="142">
        <v>0.98550000000000004</v>
      </c>
      <c r="AG12" s="142">
        <v>0.995</v>
      </c>
      <c r="AH12" s="148"/>
      <c r="AI12" s="148"/>
      <c r="AJ12" s="148"/>
      <c r="AK12" s="148"/>
      <c r="AL12" s="148"/>
      <c r="AM12" s="182"/>
      <c r="AN12" s="182"/>
    </row>
    <row r="13" spans="1:43">
      <c r="A13" s="134">
        <f t="shared" si="10"/>
        <v>12</v>
      </c>
      <c r="B13" s="135" t="s">
        <v>205</v>
      </c>
      <c r="C13" s="134">
        <v>3</v>
      </c>
      <c r="D13" s="136">
        <v>44986</v>
      </c>
      <c r="E13" s="137">
        <f t="shared" si="11"/>
        <v>2023</v>
      </c>
      <c r="F13" s="137" t="s">
        <v>194</v>
      </c>
      <c r="G13" s="138">
        <f t="shared" si="12"/>
        <v>31</v>
      </c>
      <c r="H13" s="143">
        <v>191.24087224799999</v>
      </c>
      <c r="I13" s="143">
        <v>239.21477689999998</v>
      </c>
      <c r="J13" s="140"/>
      <c r="K13" s="143">
        <v>22.15643</v>
      </c>
      <c r="L13" s="138"/>
      <c r="M13" s="141">
        <v>1945.2493074572037</v>
      </c>
      <c r="N13" s="141">
        <v>11.72</v>
      </c>
      <c r="O13" s="142">
        <f t="shared" si="13"/>
        <v>0.6938405123527952</v>
      </c>
      <c r="P13" s="140">
        <f t="shared" si="14"/>
        <v>7.7166057064516123</v>
      </c>
      <c r="Q13" s="138">
        <f>COUNTIFS('Daily KPI'!$D:$D,D13,'Daily KPI'!$K:$K,"&gt;0")</f>
        <v>0</v>
      </c>
      <c r="R13" s="141">
        <f t="shared" si="15"/>
        <v>0</v>
      </c>
      <c r="S13" s="141">
        <f>SUMIF($F$6:F13,F13,$R$6:R13)</f>
        <v>0</v>
      </c>
      <c r="T13" s="140">
        <f t="shared" si="16"/>
        <v>62.749977659909796</v>
      </c>
      <c r="U13" s="141">
        <f t="shared" si="17"/>
        <v>0</v>
      </c>
      <c r="V13" s="141">
        <f>SUMIF($F$6:F13,F13,$U$6:U13)</f>
        <v>0</v>
      </c>
      <c r="W13" s="142">
        <f t="shared" si="18"/>
        <v>0.22308723570787042</v>
      </c>
      <c r="X13" s="142" t="str">
        <f t="shared" si="8"/>
        <v/>
      </c>
      <c r="Y13" s="142" t="str">
        <f t="shared" si="9"/>
        <v/>
      </c>
      <c r="Z13" s="140" t="str">
        <f>IFERROR(AVERAGEIF('Daily KPI'!D:D,Table14[[#This Row],[Month]],'Daily KPI'!AB:AB),"")</f>
        <v/>
      </c>
      <c r="AA13" s="143" t="str">
        <f>IFERROR(AVERAGEIF($F$2:F13,F13,$Z$2:Z13),"")</f>
        <v/>
      </c>
      <c r="AB13" s="141"/>
      <c r="AC13" s="140"/>
      <c r="AD13" s="140"/>
      <c r="AE13" s="142">
        <v>0.995</v>
      </c>
      <c r="AF13" s="142">
        <v>0.98550000000000004</v>
      </c>
      <c r="AG13" s="142">
        <v>0.995</v>
      </c>
      <c r="AH13" s="142"/>
      <c r="AI13" s="142"/>
      <c r="AJ13" s="142"/>
      <c r="AK13" s="142"/>
      <c r="AL13" s="142"/>
      <c r="AM13" s="182"/>
      <c r="AN13" s="182"/>
    </row>
    <row r="14" spans="1:43">
      <c r="A14" s="135">
        <f t="shared" si="10"/>
        <v>13</v>
      </c>
      <c r="B14" s="135" t="str">
        <f>B2</f>
        <v>April</v>
      </c>
      <c r="C14" s="135">
        <f>C2</f>
        <v>4</v>
      </c>
      <c r="D14" s="136">
        <v>45017</v>
      </c>
      <c r="E14" s="144">
        <f>YEAR(D14)</f>
        <v>2023</v>
      </c>
      <c r="F14" s="137" t="s">
        <v>206</v>
      </c>
      <c r="G14" s="145">
        <f>DAY(EOMONTH(D14,0))</f>
        <v>30</v>
      </c>
      <c r="H14" s="143">
        <f>H2</f>
        <v>187.86834831199999</v>
      </c>
      <c r="I14" s="143">
        <f>I2</f>
        <v>228.56010069999994</v>
      </c>
      <c r="J14" s="146"/>
      <c r="K14" s="139">
        <f>K2</f>
        <v>23.057770000000001</v>
      </c>
      <c r="L14" s="145"/>
      <c r="M14" s="147">
        <v>1780</v>
      </c>
      <c r="N14" s="147">
        <v>11.72</v>
      </c>
      <c r="O14" s="148">
        <f t="shared" si="13"/>
        <v>0.66449538935560193</v>
      </c>
      <c r="P14" s="146">
        <f t="shared" si="14"/>
        <v>7.6186700233333315</v>
      </c>
      <c r="Q14" s="145">
        <f>COUNTIFS('Daily KPI'!$D:$D,D14,'Daily KPI'!$K:$K,"&gt;0")</f>
        <v>0</v>
      </c>
      <c r="R14" s="147">
        <f t="shared" si="15"/>
        <v>0</v>
      </c>
      <c r="S14" s="147">
        <f>SUMIF($F$6:F14,F14,$R$6:R14)</f>
        <v>0</v>
      </c>
      <c r="T14" s="146">
        <f t="shared" si="16"/>
        <v>59.333333333333336</v>
      </c>
      <c r="U14" s="147">
        <f t="shared" si="17"/>
        <v>0</v>
      </c>
      <c r="V14" s="147">
        <f>SUMIF($F$6:F14,F14,$U$6:U14)</f>
        <v>0</v>
      </c>
      <c r="W14" s="148">
        <f t="shared" si="18"/>
        <v>0.21094046264694727</v>
      </c>
      <c r="X14" s="148" t="str">
        <f t="shared" si="8"/>
        <v/>
      </c>
      <c r="Y14" s="148" t="str">
        <f t="shared" si="9"/>
        <v/>
      </c>
      <c r="Z14" s="146" t="str">
        <f>IFERROR(AVERAGEIF('Daily KPI'!D:D,Table14[[#This Row],[Month]],'Daily KPI'!AB:AB),"")</f>
        <v/>
      </c>
      <c r="AA14" s="143" t="str">
        <f>IFERROR(AVERAGEIF($F$2:F14,F14,$Z$2:Z14),"")</f>
        <v/>
      </c>
      <c r="AB14" s="147"/>
      <c r="AC14" s="146"/>
      <c r="AD14" s="146"/>
      <c r="AE14" s="142">
        <v>0.995</v>
      </c>
      <c r="AF14" s="142">
        <v>0.98550000000000004</v>
      </c>
      <c r="AG14" s="142">
        <v>0.995</v>
      </c>
      <c r="AH14" s="148"/>
      <c r="AI14" s="148"/>
      <c r="AJ14" s="148"/>
      <c r="AK14" s="148"/>
      <c r="AL14" s="148"/>
      <c r="AM14" s="182"/>
      <c r="AN14" s="182"/>
    </row>
    <row r="15" spans="1:43">
      <c r="A15" s="134">
        <f t="shared" si="10"/>
        <v>14</v>
      </c>
      <c r="B15" s="135" t="str">
        <f t="shared" ref="B15:C29" si="19">B3</f>
        <v>May</v>
      </c>
      <c r="C15" s="135">
        <f t="shared" si="19"/>
        <v>5</v>
      </c>
      <c r="D15" s="136">
        <v>45047</v>
      </c>
      <c r="E15" s="137">
        <f>YEAR(D15)</f>
        <v>2023</v>
      </c>
      <c r="F15" s="137" t="s">
        <v>206</v>
      </c>
      <c r="G15" s="138">
        <f>DAY(EOMONTH(D15,0))</f>
        <v>31</v>
      </c>
      <c r="H15" s="143">
        <f t="shared" ref="H15:I49" si="20">H3</f>
        <v>194.13106407199999</v>
      </c>
      <c r="I15" s="143">
        <f t="shared" si="20"/>
        <v>236.95476170000001</v>
      </c>
      <c r="J15" s="140"/>
      <c r="K15" s="139">
        <f t="shared" ref="K15:K49" si="21">K3</f>
        <v>24.803879999999999</v>
      </c>
      <c r="L15" s="138"/>
      <c r="M15" s="141">
        <v>1900</v>
      </c>
      <c r="N15" s="141">
        <v>11.72</v>
      </c>
      <c r="O15" s="142">
        <f t="shared" si="13"/>
        <v>0.68416452065597544</v>
      </c>
      <c r="P15" s="140">
        <f t="shared" si="14"/>
        <v>7.6437019903225805</v>
      </c>
      <c r="Q15" s="138">
        <f>COUNTIFS('Daily KPI'!$D:$D,D15,'Daily KPI'!$K:$K,"&gt;0")</f>
        <v>0</v>
      </c>
      <c r="R15" s="141">
        <f t="shared" si="15"/>
        <v>0</v>
      </c>
      <c r="S15" s="141">
        <f>SUMIF($F$6:F15,F15,$R$6:R15)</f>
        <v>0</v>
      </c>
      <c r="T15" s="140">
        <f t="shared" si="16"/>
        <v>61.29032258064516</v>
      </c>
      <c r="U15" s="141">
        <f t="shared" si="17"/>
        <v>0</v>
      </c>
      <c r="V15" s="141">
        <f>SUMIF($F$6:F15,F15,$U$6:U15)</f>
        <v>0</v>
      </c>
      <c r="W15" s="142">
        <f t="shared" si="18"/>
        <v>0.21789790451025723</v>
      </c>
      <c r="X15" s="142" t="str">
        <f t="shared" si="8"/>
        <v/>
      </c>
      <c r="Y15" s="142" t="str">
        <f t="shared" si="9"/>
        <v/>
      </c>
      <c r="Z15" s="140" t="str">
        <f>IFERROR(AVERAGEIF('Daily KPI'!D:D,Table14[[#This Row],[Month]],'Daily KPI'!AB:AB),"")</f>
        <v/>
      </c>
      <c r="AA15" s="143" t="str">
        <f>IFERROR(AVERAGEIF($F$2:F15,F15,$Z$2:Z15),"")</f>
        <v/>
      </c>
      <c r="AB15" s="141"/>
      <c r="AC15" s="140"/>
      <c r="AD15" s="140"/>
      <c r="AE15" s="142">
        <v>0.995</v>
      </c>
      <c r="AF15" s="142">
        <v>0.98550000000000004</v>
      </c>
      <c r="AG15" s="142">
        <v>0.995</v>
      </c>
      <c r="AH15" s="142"/>
      <c r="AI15" s="142"/>
      <c r="AJ15" s="142"/>
      <c r="AK15" s="142"/>
      <c r="AL15" s="142"/>
      <c r="AM15" s="182"/>
      <c r="AN15" s="182"/>
    </row>
    <row r="16" spans="1:43">
      <c r="A16" s="134">
        <f t="shared" si="10"/>
        <v>15</v>
      </c>
      <c r="B16" s="135" t="str">
        <f t="shared" si="19"/>
        <v>June</v>
      </c>
      <c r="C16" s="135">
        <f t="shared" si="19"/>
        <v>6</v>
      </c>
      <c r="D16" s="136">
        <v>45078</v>
      </c>
      <c r="E16" s="137">
        <f t="shared" ref="E16:E17" si="22">YEAR(D16)</f>
        <v>2023</v>
      </c>
      <c r="F16" s="137" t="s">
        <v>206</v>
      </c>
      <c r="G16" s="138">
        <f t="shared" ref="G16:G29" si="23">DAY(EOMONTH(D16,0))</f>
        <v>30</v>
      </c>
      <c r="H16" s="143">
        <f t="shared" si="20"/>
        <v>144.327462642</v>
      </c>
      <c r="I16" s="143">
        <f t="shared" si="20"/>
        <v>168.51814360000006</v>
      </c>
      <c r="J16" s="140"/>
      <c r="K16" s="139">
        <f t="shared" si="21"/>
        <v>20.91329</v>
      </c>
      <c r="L16" s="138"/>
      <c r="M16" s="141">
        <v>1330</v>
      </c>
      <c r="N16" s="141">
        <v>11.72</v>
      </c>
      <c r="O16" s="142">
        <f t="shared" si="13"/>
        <v>0.67340659138937919</v>
      </c>
      <c r="P16" s="140">
        <f t="shared" si="14"/>
        <v>5.617271453333335</v>
      </c>
      <c r="Q16" s="138">
        <f>COUNTIFS('Daily KPI'!$D:$D,D16,'Daily KPI'!$K:$K,"&gt;0")</f>
        <v>0</v>
      </c>
      <c r="R16" s="141">
        <f t="shared" si="15"/>
        <v>0</v>
      </c>
      <c r="S16" s="141">
        <f>SUMIF($F$6:F16,F16,$R$6:R16)</f>
        <v>0</v>
      </c>
      <c r="T16" s="140">
        <f t="shared" si="16"/>
        <v>44.333333333333336</v>
      </c>
      <c r="U16" s="141">
        <f t="shared" si="17"/>
        <v>0</v>
      </c>
      <c r="V16" s="149">
        <f>SUMIF($F$2:F49,F16,$U$2:U49)</f>
        <v>0</v>
      </c>
      <c r="W16" s="142">
        <f t="shared" si="18"/>
        <v>0.15761281759575274</v>
      </c>
      <c r="X16" s="142" t="str">
        <f t="shared" si="8"/>
        <v/>
      </c>
      <c r="Y16" s="142" t="str">
        <f t="shared" si="9"/>
        <v/>
      </c>
      <c r="Z16" s="140" t="str">
        <f>IFERROR(AVERAGEIF('Daily KPI'!D:D,Table14[[#This Row],[Month]],'Daily KPI'!AB:AB),"")</f>
        <v/>
      </c>
      <c r="AA16" s="143" t="str">
        <f>IFERROR(AVERAGEIF($F$2:F16,F16,$Z$2:Z16),"")</f>
        <v/>
      </c>
      <c r="AB16" s="141"/>
      <c r="AC16" s="140"/>
      <c r="AD16" s="140"/>
      <c r="AE16" s="142">
        <v>0.995</v>
      </c>
      <c r="AF16" s="142">
        <v>0.98550000000000004</v>
      </c>
      <c r="AG16" s="142">
        <v>0.995</v>
      </c>
      <c r="AH16" s="142"/>
      <c r="AI16" s="142"/>
      <c r="AJ16" s="142"/>
      <c r="AK16" s="142"/>
      <c r="AL16" s="142"/>
      <c r="AM16" s="182"/>
      <c r="AN16" s="182"/>
    </row>
    <row r="17" spans="1:40">
      <c r="A17" s="134">
        <f t="shared" si="10"/>
        <v>16</v>
      </c>
      <c r="B17" s="135" t="str">
        <f t="shared" si="19"/>
        <v>July</v>
      </c>
      <c r="C17" s="135">
        <f t="shared" si="19"/>
        <v>7</v>
      </c>
      <c r="D17" s="136">
        <v>45108</v>
      </c>
      <c r="E17" s="137">
        <f t="shared" si="22"/>
        <v>2023</v>
      </c>
      <c r="F17" s="137" t="s">
        <v>206</v>
      </c>
      <c r="G17" s="138">
        <f t="shared" si="23"/>
        <v>31</v>
      </c>
      <c r="H17" s="143">
        <f t="shared" si="20"/>
        <v>124.81072236599999</v>
      </c>
      <c r="I17" s="143">
        <f t="shared" si="20"/>
        <v>143.43493099999995</v>
      </c>
      <c r="J17" s="140"/>
      <c r="K17" s="139">
        <f t="shared" si="21"/>
        <v>20.391279999999998</v>
      </c>
      <c r="L17" s="138"/>
      <c r="M17" s="141">
        <v>1180</v>
      </c>
      <c r="N17" s="141">
        <v>11.72</v>
      </c>
      <c r="O17" s="142">
        <f t="shared" si="13"/>
        <v>0.70193915216269964</v>
      </c>
      <c r="P17" s="140">
        <f t="shared" si="14"/>
        <v>4.6269332580645148</v>
      </c>
      <c r="Q17" s="138">
        <f>COUNTIFS('Daily KPI'!$D:$D,D17,'Daily KPI'!$K:$K,"&gt;0")</f>
        <v>0</v>
      </c>
      <c r="R17" s="141">
        <f t="shared" si="15"/>
        <v>0</v>
      </c>
      <c r="S17" s="149">
        <f>SUMIF($F$2:F49,F17,$R$2:R49)</f>
        <v>0</v>
      </c>
      <c r="T17" s="140">
        <f t="shared" si="16"/>
        <v>38.064516129032256</v>
      </c>
      <c r="U17" s="141">
        <f t="shared" si="17"/>
        <v>0</v>
      </c>
      <c r="V17" s="149">
        <f>SUMIF($F$2:F49,F17,$U$2:U49)</f>
        <v>0</v>
      </c>
      <c r="W17" s="142">
        <f t="shared" si="18"/>
        <v>0.13532606701163344</v>
      </c>
      <c r="X17" s="142" t="str">
        <f t="shared" si="8"/>
        <v/>
      </c>
      <c r="Y17" s="142" t="str">
        <f t="shared" si="9"/>
        <v/>
      </c>
      <c r="Z17" s="140" t="str">
        <f>IFERROR(AVERAGEIF('Daily KPI'!D:D,Table14[[#This Row],[Month]],'Daily KPI'!AB:AB),"")</f>
        <v/>
      </c>
      <c r="AA17" s="143" t="str">
        <f>IFERROR(AVERAGEIF($F$2:F17,F17,$Z$2:Z17),"")</f>
        <v/>
      </c>
      <c r="AB17" s="141"/>
      <c r="AC17" s="140"/>
      <c r="AD17" s="150"/>
      <c r="AE17" s="142">
        <v>0.995</v>
      </c>
      <c r="AF17" s="142">
        <v>0.98550000000000004</v>
      </c>
      <c r="AG17" s="142">
        <v>0.995</v>
      </c>
      <c r="AH17" s="142"/>
      <c r="AI17" s="142"/>
      <c r="AJ17" s="142"/>
      <c r="AK17" s="142"/>
      <c r="AL17" s="142"/>
      <c r="AM17" s="182"/>
      <c r="AN17" s="182"/>
    </row>
    <row r="18" spans="1:40">
      <c r="A18" s="134">
        <f t="shared" si="10"/>
        <v>17</v>
      </c>
      <c r="B18" s="135" t="str">
        <f t="shared" si="19"/>
        <v>August</v>
      </c>
      <c r="C18" s="135">
        <f t="shared" si="19"/>
        <v>8</v>
      </c>
      <c r="D18" s="136">
        <v>45139</v>
      </c>
      <c r="E18" s="137">
        <v>2025</v>
      </c>
      <c r="F18" s="137" t="s">
        <v>206</v>
      </c>
      <c r="G18" s="138">
        <f t="shared" si="23"/>
        <v>31</v>
      </c>
      <c r="H18" s="143">
        <f t="shared" si="20"/>
        <v>129.03231213399999</v>
      </c>
      <c r="I18" s="143">
        <f t="shared" si="20"/>
        <v>147.91273230000004</v>
      </c>
      <c r="J18" s="140"/>
      <c r="K18" s="139">
        <f t="shared" si="21"/>
        <v>19.68656</v>
      </c>
      <c r="L18" s="138"/>
      <c r="M18" s="141">
        <v>1220</v>
      </c>
      <c r="N18" s="141">
        <v>11.72</v>
      </c>
      <c r="O18" s="142">
        <f t="shared" si="13"/>
        <v>0.70376337128843436</v>
      </c>
      <c r="P18" s="140">
        <f t="shared" si="14"/>
        <v>4.7713784612903236</v>
      </c>
      <c r="Q18" s="138">
        <f>COUNTIFS('Daily KPI'!$D:$D,D18,'Daily KPI'!$K:$K,"&gt;0")</f>
        <v>0</v>
      </c>
      <c r="R18" s="141">
        <f t="shared" si="15"/>
        <v>0</v>
      </c>
      <c r="S18" s="141">
        <f>SUMIF($F$6:F18,F18,$R$6:R18)</f>
        <v>0</v>
      </c>
      <c r="T18" s="140">
        <f t="shared" si="16"/>
        <v>39.354838709677416</v>
      </c>
      <c r="U18" s="141">
        <f t="shared" si="17"/>
        <v>0</v>
      </c>
      <c r="V18" s="149">
        <f>SUMIF($F$6:F18,F18,$U$6:U18)</f>
        <v>0</v>
      </c>
      <c r="W18" s="142">
        <f t="shared" si="18"/>
        <v>0.13991339131711253</v>
      </c>
      <c r="X18" s="142" t="str">
        <f t="shared" si="8"/>
        <v/>
      </c>
      <c r="Y18" s="142" t="str">
        <f t="shared" si="9"/>
        <v/>
      </c>
      <c r="Z18" s="140" t="str">
        <f>IFERROR(AVERAGEIF('Daily KPI'!D:D,Table14[[#This Row],[Month]],'Daily KPI'!AB:AB),"")</f>
        <v/>
      </c>
      <c r="AA18" s="143" t="str">
        <f>IFERROR(AVERAGEIF($F$2:F18,F18,$Z$2:Z18),"")</f>
        <v/>
      </c>
      <c r="AB18" s="141"/>
      <c r="AC18" s="140"/>
      <c r="AD18" s="140"/>
      <c r="AE18" s="142">
        <v>0.995</v>
      </c>
      <c r="AF18" s="142">
        <v>0.98550000000000004</v>
      </c>
      <c r="AG18" s="142">
        <v>0.995</v>
      </c>
      <c r="AH18" s="142"/>
      <c r="AI18" s="142"/>
      <c r="AJ18" s="142"/>
      <c r="AK18" s="142"/>
      <c r="AL18" s="142"/>
      <c r="AM18" s="182"/>
      <c r="AN18" s="182"/>
    </row>
    <row r="19" spans="1:40">
      <c r="A19" s="134">
        <f t="shared" si="10"/>
        <v>18</v>
      </c>
      <c r="B19" s="135" t="str">
        <f t="shared" si="19"/>
        <v>September</v>
      </c>
      <c r="C19" s="135">
        <f t="shared" si="19"/>
        <v>9</v>
      </c>
      <c r="D19" s="136">
        <v>45170</v>
      </c>
      <c r="E19" s="137">
        <v>2025</v>
      </c>
      <c r="F19" s="137" t="s">
        <v>206</v>
      </c>
      <c r="G19" s="138">
        <f t="shared" si="23"/>
        <v>30</v>
      </c>
      <c r="H19" s="143">
        <f t="shared" si="20"/>
        <v>138.860397627</v>
      </c>
      <c r="I19" s="143">
        <f t="shared" si="20"/>
        <v>165.14882880000005</v>
      </c>
      <c r="J19" s="140"/>
      <c r="K19" s="139">
        <f t="shared" si="21"/>
        <v>18.930330000000001</v>
      </c>
      <c r="L19" s="138"/>
      <c r="M19" s="141">
        <v>1320</v>
      </c>
      <c r="N19" s="141">
        <v>11.72</v>
      </c>
      <c r="O19" s="142">
        <f t="shared" si="13"/>
        <v>0.68197871681257016</v>
      </c>
      <c r="P19" s="140">
        <f t="shared" si="14"/>
        <v>5.5049609600000018</v>
      </c>
      <c r="Q19" s="138">
        <f>COUNTIFS('Daily KPI'!$D:$D,D19,'Daily KPI'!$K:$K,"&gt;0")</f>
        <v>0</v>
      </c>
      <c r="R19" s="141">
        <f t="shared" si="15"/>
        <v>0</v>
      </c>
      <c r="S19" s="149">
        <f>SUMIF($F$6:F19,F19,$R$6:R19)</f>
        <v>0</v>
      </c>
      <c r="T19" s="140">
        <f t="shared" si="16"/>
        <v>44</v>
      </c>
      <c r="U19" s="141">
        <f t="shared" si="17"/>
        <v>0</v>
      </c>
      <c r="V19" s="149">
        <f>SUMIF($F$6:F19,F19,$U$6:U19)</f>
        <v>0</v>
      </c>
      <c r="W19" s="142">
        <f t="shared" si="18"/>
        <v>0.15642775881683729</v>
      </c>
      <c r="X19" s="142" t="str">
        <f t="shared" si="8"/>
        <v/>
      </c>
      <c r="Y19" s="142" t="str">
        <f t="shared" si="9"/>
        <v/>
      </c>
      <c r="Z19" s="140" t="str">
        <f>IFERROR(AVERAGEIF('Daily KPI'!D:D,Table14[[#This Row],[Month]],'Daily KPI'!AB:AB),"")</f>
        <v/>
      </c>
      <c r="AA19" s="143" t="str">
        <f>IFERROR(AVERAGEIF($F$2:F19,F19,$Z$2:Z19),"")</f>
        <v/>
      </c>
      <c r="AB19" s="141"/>
      <c r="AC19" s="140"/>
      <c r="AD19" s="150"/>
      <c r="AE19" s="142">
        <v>0.995</v>
      </c>
      <c r="AF19" s="142">
        <v>0.98550000000000004</v>
      </c>
      <c r="AG19" s="142">
        <v>0.995</v>
      </c>
      <c r="AH19" s="142"/>
      <c r="AI19" s="142"/>
      <c r="AJ19" s="142"/>
      <c r="AK19" s="142"/>
      <c r="AL19" s="142"/>
      <c r="AM19" s="182"/>
      <c r="AN19" s="182"/>
    </row>
    <row r="20" spans="1:40">
      <c r="A20" s="134">
        <f t="shared" si="10"/>
        <v>19</v>
      </c>
      <c r="B20" s="135" t="str">
        <f t="shared" si="19"/>
        <v>October</v>
      </c>
      <c r="C20" s="135">
        <f t="shared" si="19"/>
        <v>10</v>
      </c>
      <c r="D20" s="136">
        <v>45200</v>
      </c>
      <c r="E20" s="137">
        <v>2025</v>
      </c>
      <c r="F20" s="137" t="s">
        <v>206</v>
      </c>
      <c r="G20" s="138">
        <f t="shared" si="23"/>
        <v>31</v>
      </c>
      <c r="H20" s="143">
        <f t="shared" si="20"/>
        <v>144.27891666400001</v>
      </c>
      <c r="I20" s="143">
        <f t="shared" si="20"/>
        <v>175.0139135</v>
      </c>
      <c r="J20" s="140"/>
      <c r="K20" s="139">
        <f t="shared" si="21"/>
        <v>19.660550000000001</v>
      </c>
      <c r="L20" s="138"/>
      <c r="M20" s="141">
        <v>1720</v>
      </c>
      <c r="N20" s="141">
        <v>11.72</v>
      </c>
      <c r="O20" s="142">
        <f t="shared" si="13"/>
        <v>0.83854864019646846</v>
      </c>
      <c r="P20" s="140">
        <f t="shared" si="14"/>
        <v>5.6456101129032259</v>
      </c>
      <c r="Q20" s="138">
        <f>COUNTIFS('Daily KPI'!$D:$D,D20,'Daily KPI'!$K:$K,"&gt;0")</f>
        <v>0</v>
      </c>
      <c r="R20" s="141">
        <f t="shared" si="15"/>
        <v>0</v>
      </c>
      <c r="S20" s="141">
        <f>SUMIF($F$6:F20,F20,$R$6:R20)</f>
        <v>0</v>
      </c>
      <c r="T20" s="140">
        <f t="shared" si="16"/>
        <v>55.483870967741936</v>
      </c>
      <c r="U20" s="141">
        <f t="shared" si="17"/>
        <v>0</v>
      </c>
      <c r="V20" s="149">
        <f>SUMIF($F$6:F20,F20,$U$6:U20)</f>
        <v>0</v>
      </c>
      <c r="W20" s="142">
        <f t="shared" si="18"/>
        <v>0.1972549451356013</v>
      </c>
      <c r="X20" s="142" t="str">
        <f t="shared" si="8"/>
        <v/>
      </c>
      <c r="Y20" s="142" t="str">
        <f t="shared" si="9"/>
        <v/>
      </c>
      <c r="Z20" s="140" t="str">
        <f>IFERROR(AVERAGEIF('Daily KPI'!D:D,Table14[[#This Row],[Month]],'Daily KPI'!AB:AB),"")</f>
        <v/>
      </c>
      <c r="AA20" s="143" t="str">
        <f>IFERROR(AVERAGEIF($F$2:F20,F20,$Z$2:Z20),"")</f>
        <v/>
      </c>
      <c r="AB20" s="141"/>
      <c r="AC20" s="140"/>
      <c r="AD20" s="140"/>
      <c r="AE20" s="142">
        <v>0.995</v>
      </c>
      <c r="AF20" s="142">
        <v>0.98550000000000004</v>
      </c>
      <c r="AG20" s="142">
        <v>0.995</v>
      </c>
      <c r="AH20" s="142"/>
      <c r="AI20" s="142"/>
      <c r="AJ20" s="142"/>
      <c r="AK20" s="142"/>
      <c r="AL20" s="142"/>
      <c r="AM20" s="182"/>
      <c r="AN20" s="182"/>
    </row>
    <row r="21" spans="1:40">
      <c r="A21" s="134">
        <f t="shared" si="10"/>
        <v>20</v>
      </c>
      <c r="B21" s="135" t="str">
        <f t="shared" si="19"/>
        <v>November</v>
      </c>
      <c r="C21" s="135">
        <f t="shared" si="19"/>
        <v>11</v>
      </c>
      <c r="D21" s="136">
        <v>45231</v>
      </c>
      <c r="E21" s="137">
        <v>2025</v>
      </c>
      <c r="F21" s="137" t="s">
        <v>206</v>
      </c>
      <c r="G21" s="138">
        <f t="shared" si="23"/>
        <v>30</v>
      </c>
      <c r="H21" s="143">
        <f t="shared" si="20"/>
        <v>136.88678809699999</v>
      </c>
      <c r="I21" s="143">
        <f t="shared" si="20"/>
        <v>168.81198910000003</v>
      </c>
      <c r="J21" s="140"/>
      <c r="K21" s="139">
        <f t="shared" si="21"/>
        <v>17.558019999999999</v>
      </c>
      <c r="L21" s="138"/>
      <c r="M21" s="141">
        <v>1630</v>
      </c>
      <c r="N21" s="141">
        <v>11.72</v>
      </c>
      <c r="O21" s="142">
        <f t="shared" si="13"/>
        <v>0.82386623743369725</v>
      </c>
      <c r="P21" s="140">
        <f t="shared" si="14"/>
        <v>5.6270663033333346</v>
      </c>
      <c r="Q21" s="138">
        <f>COUNTIFS('Daily KPI'!$D:$D,D21,'Daily KPI'!$K:$K,"&gt;0")</f>
        <v>0</v>
      </c>
      <c r="R21" s="141">
        <f t="shared" si="15"/>
        <v>0</v>
      </c>
      <c r="S21" s="149">
        <f>SUMIF($F$6:F21,F21,$R$6:R21)</f>
        <v>0</v>
      </c>
      <c r="T21" s="140">
        <f t="shared" si="16"/>
        <v>54.333333333333336</v>
      </c>
      <c r="U21" s="141">
        <f t="shared" si="17"/>
        <v>0</v>
      </c>
      <c r="V21" s="149">
        <f>SUMIF($F$6:F21,F21,$U$6:U21)</f>
        <v>0</v>
      </c>
      <c r="W21" s="142">
        <f t="shared" si="18"/>
        <v>0.19316458096321576</v>
      </c>
      <c r="X21" s="142" t="str">
        <f t="shared" si="8"/>
        <v/>
      </c>
      <c r="Y21" s="142" t="str">
        <f t="shared" si="9"/>
        <v/>
      </c>
      <c r="Z21" s="140" t="str">
        <f>IFERROR(AVERAGEIF('Daily KPI'!D:D,Table14[[#This Row],[Month]],'Daily KPI'!AB:AB),"")</f>
        <v/>
      </c>
      <c r="AA21" s="143" t="str">
        <f>IFERROR(AVERAGEIF($F$2:F21,F21,$Z$2:Z21),"")</f>
        <v/>
      </c>
      <c r="AB21" s="141"/>
      <c r="AC21" s="140"/>
      <c r="AD21" s="150"/>
      <c r="AE21" s="142">
        <v>0.995</v>
      </c>
      <c r="AF21" s="142">
        <v>0.98550000000000004</v>
      </c>
      <c r="AG21" s="142">
        <v>0.995</v>
      </c>
      <c r="AH21" s="142"/>
      <c r="AI21" s="142"/>
      <c r="AJ21" s="142"/>
      <c r="AK21" s="142"/>
      <c r="AL21" s="142"/>
      <c r="AM21" s="182"/>
      <c r="AN21" s="182"/>
    </row>
    <row r="22" spans="1:40">
      <c r="A22" s="134">
        <f t="shared" si="10"/>
        <v>21</v>
      </c>
      <c r="B22" s="135" t="str">
        <f t="shared" si="19"/>
        <v>December</v>
      </c>
      <c r="C22" s="135">
        <f t="shared" si="19"/>
        <v>12</v>
      </c>
      <c r="D22" s="136">
        <v>45261</v>
      </c>
      <c r="E22" s="137">
        <v>2025</v>
      </c>
      <c r="F22" s="137" t="s">
        <v>206</v>
      </c>
      <c r="G22" s="138">
        <f t="shared" si="23"/>
        <v>31</v>
      </c>
      <c r="H22" s="143">
        <f t="shared" si="20"/>
        <v>132.742847993</v>
      </c>
      <c r="I22" s="143">
        <f t="shared" si="20"/>
        <v>164.93463669999977</v>
      </c>
      <c r="J22" s="140"/>
      <c r="K22" s="139">
        <f t="shared" si="21"/>
        <v>17.196370000000002</v>
      </c>
      <c r="L22" s="138"/>
      <c r="M22" s="141">
        <v>1650</v>
      </c>
      <c r="N22" s="141">
        <v>11.72</v>
      </c>
      <c r="O22" s="142">
        <f t="shared" si="13"/>
        <v>0.85358045921687087</v>
      </c>
      <c r="P22" s="140">
        <f t="shared" si="14"/>
        <v>5.3204721516128961</v>
      </c>
      <c r="Q22" s="138">
        <f>COUNTIFS('Daily KPI'!$D:$D,D22,'Daily KPI'!$K:$K,"&gt;0")</f>
        <v>0</v>
      </c>
      <c r="R22" s="141">
        <f t="shared" si="15"/>
        <v>0</v>
      </c>
      <c r="S22" s="141">
        <f>SUMIF($F$6:F22,F22,$R$6:R22)</f>
        <v>0</v>
      </c>
      <c r="T22" s="140">
        <f t="shared" si="16"/>
        <v>53.225806451612904</v>
      </c>
      <c r="U22" s="141">
        <f t="shared" si="17"/>
        <v>0</v>
      </c>
      <c r="V22" s="149">
        <f>SUMIF($F$6:F22,F22,$U$6:U22)</f>
        <v>0</v>
      </c>
      <c r="W22" s="142">
        <f t="shared" si="18"/>
        <v>0.18922712760101287</v>
      </c>
      <c r="X22" s="142" t="str">
        <f t="shared" si="8"/>
        <v/>
      </c>
      <c r="Y22" s="142" t="str">
        <f t="shared" si="9"/>
        <v/>
      </c>
      <c r="Z22" s="140" t="str">
        <f>IFERROR(AVERAGEIF('Daily KPI'!D:D,Table14[[#This Row],[Month]],'Daily KPI'!AB:AB),"")</f>
        <v/>
      </c>
      <c r="AA22" s="143" t="str">
        <f>IFERROR(AVERAGEIF($F$2:F22,F22,$Z$2:Z22),"")</f>
        <v/>
      </c>
      <c r="AB22" s="141"/>
      <c r="AC22" s="140"/>
      <c r="AD22" s="140"/>
      <c r="AE22" s="142">
        <v>0.995</v>
      </c>
      <c r="AF22" s="142">
        <v>0.98550000000000004</v>
      </c>
      <c r="AG22" s="142">
        <v>0.995</v>
      </c>
      <c r="AH22" s="142"/>
      <c r="AI22" s="142"/>
      <c r="AJ22" s="142"/>
      <c r="AK22" s="142"/>
      <c r="AL22" s="142"/>
      <c r="AM22" s="182"/>
      <c r="AN22" s="182"/>
    </row>
    <row r="23" spans="1:40">
      <c r="A23" s="134">
        <f t="shared" si="10"/>
        <v>22</v>
      </c>
      <c r="B23" s="135" t="str">
        <f t="shared" si="19"/>
        <v>January</v>
      </c>
      <c r="C23" s="135">
        <f t="shared" si="19"/>
        <v>1</v>
      </c>
      <c r="D23" s="136">
        <v>45292</v>
      </c>
      <c r="E23" s="137">
        <v>2025</v>
      </c>
      <c r="F23" s="137" t="s">
        <v>206</v>
      </c>
      <c r="G23" s="138">
        <f t="shared" si="23"/>
        <v>31</v>
      </c>
      <c r="H23" s="143">
        <f t="shared" si="20"/>
        <v>147.17861885299999</v>
      </c>
      <c r="I23" s="143">
        <f t="shared" si="20"/>
        <v>186.54543479999998</v>
      </c>
      <c r="J23" s="140"/>
      <c r="K23" s="139">
        <f t="shared" si="21"/>
        <v>17.42991</v>
      </c>
      <c r="L23" s="138"/>
      <c r="M23" s="141">
        <v>1860</v>
      </c>
      <c r="N23" s="141">
        <v>11.72</v>
      </c>
      <c r="O23" s="142">
        <f t="shared" si="13"/>
        <v>0.85074755028180915</v>
      </c>
      <c r="P23" s="140">
        <f t="shared" si="14"/>
        <v>6.0175946709677417</v>
      </c>
      <c r="Q23" s="138">
        <f>COUNTIFS('Daily KPI'!$D:$D,D23,'Daily KPI'!$K:$K,"&gt;0")</f>
        <v>0</v>
      </c>
      <c r="R23" s="141">
        <f t="shared" si="15"/>
        <v>0</v>
      </c>
      <c r="S23" s="149">
        <f>SUMIF($F$6:F23,F23,$R$6:R23)</f>
        <v>0</v>
      </c>
      <c r="T23" s="140">
        <f t="shared" si="16"/>
        <v>60</v>
      </c>
      <c r="U23" s="141">
        <f t="shared" si="17"/>
        <v>0</v>
      </c>
      <c r="V23" s="149">
        <f>SUMIF($F$6:F23,F23,$U$6:U23)</f>
        <v>0</v>
      </c>
      <c r="W23" s="142">
        <f t="shared" si="18"/>
        <v>0.21331058020477814</v>
      </c>
      <c r="X23" s="142" t="str">
        <f t="shared" si="8"/>
        <v/>
      </c>
      <c r="Y23" s="142" t="str">
        <f t="shared" si="9"/>
        <v/>
      </c>
      <c r="Z23" s="140" t="str">
        <f>IFERROR(AVERAGEIF('Daily KPI'!D:D,Table14[[#This Row],[Month]],'Daily KPI'!AB:AB),"")</f>
        <v/>
      </c>
      <c r="AA23" s="143" t="str">
        <f>IFERROR(AVERAGEIF($F$2:F23,F23,$Z$2:Z23),"")</f>
        <v/>
      </c>
      <c r="AB23" s="141"/>
      <c r="AC23" s="140"/>
      <c r="AD23" s="150"/>
      <c r="AE23" s="142">
        <v>0.995</v>
      </c>
      <c r="AF23" s="142">
        <v>0.98550000000000004</v>
      </c>
      <c r="AG23" s="142">
        <v>0.995</v>
      </c>
      <c r="AH23" s="142"/>
      <c r="AI23" s="142"/>
      <c r="AJ23" s="142"/>
      <c r="AK23" s="142"/>
      <c r="AL23" s="142"/>
      <c r="AM23" s="182"/>
      <c r="AN23" s="182"/>
    </row>
    <row r="24" spans="1:40">
      <c r="A24" s="134">
        <f t="shared" si="10"/>
        <v>23</v>
      </c>
      <c r="B24" s="135" t="str">
        <f t="shared" si="19"/>
        <v>February</v>
      </c>
      <c r="C24" s="135">
        <f t="shared" si="19"/>
        <v>2</v>
      </c>
      <c r="D24" s="136">
        <v>45323</v>
      </c>
      <c r="E24" s="137">
        <v>2025</v>
      </c>
      <c r="F24" s="137" t="s">
        <v>206</v>
      </c>
      <c r="G24" s="138">
        <f t="shared" si="23"/>
        <v>29</v>
      </c>
      <c r="H24" s="143">
        <f t="shared" si="20"/>
        <v>153.83568869499999</v>
      </c>
      <c r="I24" s="143">
        <f t="shared" si="20"/>
        <v>193.23044800000002</v>
      </c>
      <c r="J24" s="140"/>
      <c r="K24" s="139">
        <f t="shared" si="21"/>
        <v>17.77167</v>
      </c>
      <c r="L24" s="138"/>
      <c r="M24" s="141">
        <v>1780</v>
      </c>
      <c r="N24" s="141">
        <v>11.72</v>
      </c>
      <c r="O24" s="142">
        <f t="shared" si="13"/>
        <v>0.78598965472461157</v>
      </c>
      <c r="P24" s="140">
        <f t="shared" si="14"/>
        <v>6.6631188965517252</v>
      </c>
      <c r="Q24" s="138">
        <f>COUNTIFS('Daily KPI'!$D:$D,D24,'Daily KPI'!$K:$K,"&gt;0")</f>
        <v>0</v>
      </c>
      <c r="R24" s="141">
        <f t="shared" si="15"/>
        <v>0</v>
      </c>
      <c r="S24" s="141">
        <f>SUMIF($F$6:F24,F24,$R$6:R24)</f>
        <v>0</v>
      </c>
      <c r="T24" s="140">
        <f t="shared" si="16"/>
        <v>61.379310344827587</v>
      </c>
      <c r="U24" s="141">
        <f t="shared" si="17"/>
        <v>0</v>
      </c>
      <c r="V24" s="149">
        <f>SUMIF($F$6:F24,F24,$U$6:U24)</f>
        <v>0</v>
      </c>
      <c r="W24" s="142">
        <f t="shared" si="18"/>
        <v>0.21821427170373855</v>
      </c>
      <c r="X24" s="142" t="str">
        <f t="shared" si="8"/>
        <v/>
      </c>
      <c r="Y24" s="142" t="str">
        <f t="shared" si="9"/>
        <v/>
      </c>
      <c r="Z24" s="140" t="str">
        <f>IFERROR(AVERAGEIF('Daily KPI'!D:D,Table14[[#This Row],[Month]],'Daily KPI'!AB:AB),"")</f>
        <v/>
      </c>
      <c r="AA24" s="143" t="str">
        <f>IFERROR(AVERAGEIF($F$2:F24,F24,$Z$2:Z24),"")</f>
        <v/>
      </c>
      <c r="AB24" s="141"/>
      <c r="AC24" s="140"/>
      <c r="AD24" s="140"/>
      <c r="AE24" s="142">
        <v>0.995</v>
      </c>
      <c r="AF24" s="142">
        <v>0.98550000000000004</v>
      </c>
      <c r="AG24" s="142">
        <v>0.995</v>
      </c>
      <c r="AH24" s="142"/>
      <c r="AI24" s="142"/>
      <c r="AJ24" s="142"/>
      <c r="AK24" s="142"/>
      <c r="AL24" s="142"/>
      <c r="AM24" s="182"/>
      <c r="AN24" s="182"/>
    </row>
    <row r="25" spans="1:40">
      <c r="A25" s="134">
        <f t="shared" si="10"/>
        <v>24</v>
      </c>
      <c r="B25" s="135" t="str">
        <f t="shared" si="19"/>
        <v>March</v>
      </c>
      <c r="C25" s="135">
        <f t="shared" si="19"/>
        <v>3</v>
      </c>
      <c r="D25" s="136">
        <v>45352</v>
      </c>
      <c r="E25" s="137">
        <v>2025</v>
      </c>
      <c r="F25" s="137" t="s">
        <v>206</v>
      </c>
      <c r="G25" s="138">
        <f t="shared" si="23"/>
        <v>31</v>
      </c>
      <c r="H25" s="143">
        <f t="shared" si="20"/>
        <v>191.24087224799999</v>
      </c>
      <c r="I25" s="143">
        <f t="shared" si="20"/>
        <v>239.21477689999998</v>
      </c>
      <c r="J25" s="140"/>
      <c r="K25" s="139">
        <f t="shared" si="21"/>
        <v>22.15643</v>
      </c>
      <c r="L25" s="138"/>
      <c r="M25" s="141">
        <v>2310</v>
      </c>
      <c r="N25" s="141">
        <v>11.72</v>
      </c>
      <c r="O25" s="142">
        <f t="shared" si="13"/>
        <v>0.82394147495164638</v>
      </c>
      <c r="P25" s="140">
        <f t="shared" si="14"/>
        <v>7.7166057064516123</v>
      </c>
      <c r="Q25" s="138">
        <f>COUNTIFS('Daily KPI'!$D:$D,D25,'Daily KPI'!$K:$K,"&gt;0")</f>
        <v>0</v>
      </c>
      <c r="R25" s="141">
        <f t="shared" si="15"/>
        <v>0</v>
      </c>
      <c r="S25" s="149">
        <f>SUMIF($F$6:F25,F25,$R$6:R25)</f>
        <v>0</v>
      </c>
      <c r="T25" s="140">
        <f t="shared" si="16"/>
        <v>74.516129032258064</v>
      </c>
      <c r="U25" s="141">
        <f t="shared" si="17"/>
        <v>0</v>
      </c>
      <c r="V25" s="149">
        <f>SUMIF($F$6:F25,F25,$U$6:U25)</f>
        <v>0</v>
      </c>
      <c r="W25" s="142">
        <f t="shared" si="18"/>
        <v>0.26491797864141803</v>
      </c>
      <c r="X25" s="142" t="str">
        <f t="shared" si="8"/>
        <v/>
      </c>
      <c r="Y25" s="142" t="str">
        <f t="shared" si="9"/>
        <v/>
      </c>
      <c r="Z25" s="140" t="str">
        <f>IFERROR(AVERAGEIF('Daily KPI'!D:D,Table14[[#This Row],[Month]],'Daily KPI'!AB:AB),"")</f>
        <v/>
      </c>
      <c r="AA25" s="143" t="str">
        <f>IFERROR(AVERAGEIF($F$2:F25,F25,$Z$2:Z25),"")</f>
        <v/>
      </c>
      <c r="AB25" s="141"/>
      <c r="AC25" s="140"/>
      <c r="AD25" s="150"/>
      <c r="AE25" s="142">
        <v>0.995</v>
      </c>
      <c r="AF25" s="142">
        <v>0.98550000000000004</v>
      </c>
      <c r="AG25" s="142">
        <v>0.995</v>
      </c>
      <c r="AH25" s="142"/>
      <c r="AI25" s="142"/>
      <c r="AJ25" s="142"/>
      <c r="AK25" s="142"/>
      <c r="AL25" s="142"/>
      <c r="AM25" s="182"/>
      <c r="AN25" s="182"/>
    </row>
    <row r="26" spans="1:40">
      <c r="A26" s="134">
        <f t="shared" si="10"/>
        <v>25</v>
      </c>
      <c r="B26" s="135" t="str">
        <f t="shared" si="19"/>
        <v>April</v>
      </c>
      <c r="C26" s="135">
        <f t="shared" si="19"/>
        <v>4</v>
      </c>
      <c r="D26" s="136">
        <v>45383</v>
      </c>
      <c r="E26" s="137">
        <v>2025</v>
      </c>
      <c r="F26" s="137" t="s">
        <v>207</v>
      </c>
      <c r="G26" s="138">
        <f t="shared" si="23"/>
        <v>30</v>
      </c>
      <c r="H26" s="143">
        <f t="shared" si="20"/>
        <v>187.86834831199999</v>
      </c>
      <c r="I26" s="143">
        <f t="shared" si="20"/>
        <v>228.56010069999994</v>
      </c>
      <c r="J26" s="140"/>
      <c r="K26" s="139">
        <f t="shared" si="21"/>
        <v>23.057770000000001</v>
      </c>
      <c r="L26" s="138"/>
      <c r="M26" s="141">
        <v>1769</v>
      </c>
      <c r="N26" s="141">
        <v>11.72</v>
      </c>
      <c r="O26" s="142">
        <f t="shared" si="13"/>
        <v>0.66038895717419088</v>
      </c>
      <c r="P26" s="140">
        <f t="shared" si="14"/>
        <v>7.6186700233333315</v>
      </c>
      <c r="Q26" s="138">
        <f>COUNTIFS('Daily KPI'!$D:$D,D26,'Daily KPI'!$K:$K,"&gt;0")</f>
        <v>0</v>
      </c>
      <c r="R26" s="141">
        <f t="shared" si="15"/>
        <v>0</v>
      </c>
      <c r="S26" s="141">
        <f>SUMIF($F$6:F26,F26,$R$6:R26)</f>
        <v>0</v>
      </c>
      <c r="T26" s="140">
        <f t="shared" si="16"/>
        <v>58.966666666666669</v>
      </c>
      <c r="U26" s="141">
        <f t="shared" si="17"/>
        <v>0</v>
      </c>
      <c r="V26" s="149">
        <f>SUMIF($F$6:F26,F26,$U$6:U26)</f>
        <v>0</v>
      </c>
      <c r="W26" s="142">
        <f t="shared" si="18"/>
        <v>0.20963689799014029</v>
      </c>
      <c r="X26" s="142" t="str">
        <f t="shared" si="8"/>
        <v/>
      </c>
      <c r="Y26" s="142" t="str">
        <f t="shared" si="9"/>
        <v/>
      </c>
      <c r="Z26" s="140" t="str">
        <f>IFERROR(AVERAGEIF('Daily KPI'!D:D,Table14[[#This Row],[Month]],'Daily KPI'!AB:AB),"")</f>
        <v/>
      </c>
      <c r="AA26" s="143" t="str">
        <f>IFERROR(AVERAGEIF($F$2:F26,F26,$Z$2:Z26),"")</f>
        <v/>
      </c>
      <c r="AB26" s="141"/>
      <c r="AC26" s="140"/>
      <c r="AD26" s="140"/>
      <c r="AE26" s="142">
        <v>0.995</v>
      </c>
      <c r="AF26" s="142">
        <v>0.98550000000000004</v>
      </c>
      <c r="AG26" s="142">
        <v>0.995</v>
      </c>
      <c r="AH26" s="142"/>
      <c r="AI26" s="142"/>
      <c r="AJ26" s="142"/>
      <c r="AK26" s="142"/>
      <c r="AL26" s="142"/>
      <c r="AM26" s="182"/>
      <c r="AN26" s="182"/>
    </row>
    <row r="27" spans="1:40">
      <c r="A27" s="134">
        <f t="shared" si="10"/>
        <v>26</v>
      </c>
      <c r="B27" s="135" t="str">
        <f t="shared" si="19"/>
        <v>May</v>
      </c>
      <c r="C27" s="135">
        <f t="shared" si="19"/>
        <v>5</v>
      </c>
      <c r="D27" s="136">
        <v>45413</v>
      </c>
      <c r="E27" s="137">
        <v>2026</v>
      </c>
      <c r="F27" s="137" t="s">
        <v>207</v>
      </c>
      <c r="G27" s="138">
        <f t="shared" si="23"/>
        <v>31</v>
      </c>
      <c r="H27" s="143">
        <f t="shared" si="20"/>
        <v>194.13106407199999</v>
      </c>
      <c r="I27" s="143">
        <f t="shared" si="20"/>
        <v>236.95476170000001</v>
      </c>
      <c r="J27" s="140"/>
      <c r="K27" s="139">
        <f t="shared" si="21"/>
        <v>24.803879999999999</v>
      </c>
      <c r="L27" s="138"/>
      <c r="M27" s="141">
        <v>1888</v>
      </c>
      <c r="N27" s="141">
        <v>11.72</v>
      </c>
      <c r="O27" s="142">
        <f t="shared" si="13"/>
        <v>0.67984348157814822</v>
      </c>
      <c r="P27" s="140">
        <f t="shared" si="14"/>
        <v>7.6437019903225805</v>
      </c>
      <c r="Q27" s="138">
        <f>COUNTIFS('Daily KPI'!$D:$D,D27,'Daily KPI'!$K:$K,"&gt;0")</f>
        <v>0</v>
      </c>
      <c r="R27" s="141">
        <f t="shared" si="15"/>
        <v>0</v>
      </c>
      <c r="S27" s="149">
        <f>SUMIF($F$6:F27,F27,$R$6:R27)</f>
        <v>0</v>
      </c>
      <c r="T27" s="140">
        <f t="shared" si="16"/>
        <v>60.903225806451616</v>
      </c>
      <c r="U27" s="141">
        <f t="shared" si="17"/>
        <v>0</v>
      </c>
      <c r="V27" s="149">
        <f>SUMIF($F$6:F27,F27,$U$6:U27)</f>
        <v>0</v>
      </c>
      <c r="W27" s="142">
        <f t="shared" si="18"/>
        <v>0.21652170721861352</v>
      </c>
      <c r="X27" s="142" t="str">
        <f t="shared" si="8"/>
        <v/>
      </c>
      <c r="Y27" s="142" t="str">
        <f t="shared" si="9"/>
        <v/>
      </c>
      <c r="Z27" s="140" t="str">
        <f>IFERROR(AVERAGEIF('Daily KPI'!D:D,Table14[[#This Row],[Month]],'Daily KPI'!AB:AB),"")</f>
        <v/>
      </c>
      <c r="AA27" s="143" t="str">
        <f>IFERROR(AVERAGEIF($F$2:F27,F27,$Z$2:Z27),"")</f>
        <v/>
      </c>
      <c r="AB27" s="141"/>
      <c r="AC27" s="140"/>
      <c r="AD27" s="150"/>
      <c r="AE27" s="142">
        <v>0.995</v>
      </c>
      <c r="AF27" s="142">
        <v>0.98550000000000004</v>
      </c>
      <c r="AG27" s="142">
        <v>0.995</v>
      </c>
      <c r="AH27" s="142"/>
      <c r="AI27" s="142"/>
      <c r="AJ27" s="142"/>
      <c r="AK27" s="142"/>
      <c r="AL27" s="142"/>
      <c r="AM27" s="182"/>
      <c r="AN27" s="182"/>
    </row>
    <row r="28" spans="1:40">
      <c r="A28" s="134">
        <f t="shared" si="10"/>
        <v>27</v>
      </c>
      <c r="B28" s="135" t="str">
        <f t="shared" si="19"/>
        <v>June</v>
      </c>
      <c r="C28" s="135">
        <f t="shared" si="19"/>
        <v>6</v>
      </c>
      <c r="D28" s="136">
        <v>45444</v>
      </c>
      <c r="E28" s="137">
        <v>2026</v>
      </c>
      <c r="F28" s="137" t="s">
        <v>207</v>
      </c>
      <c r="G28" s="138">
        <f t="shared" si="23"/>
        <v>30</v>
      </c>
      <c r="H28" s="143">
        <f t="shared" si="20"/>
        <v>144.327462642</v>
      </c>
      <c r="I28" s="143">
        <f t="shared" si="20"/>
        <v>168.51814360000006</v>
      </c>
      <c r="J28" s="140"/>
      <c r="K28" s="139">
        <f t="shared" si="21"/>
        <v>20.91329</v>
      </c>
      <c r="L28" s="138"/>
      <c r="M28" s="141">
        <v>1321.8</v>
      </c>
      <c r="N28" s="141">
        <v>11.72</v>
      </c>
      <c r="O28" s="142">
        <f t="shared" si="13"/>
        <v>0.66925476127705374</v>
      </c>
      <c r="P28" s="140">
        <f t="shared" si="14"/>
        <v>5.617271453333335</v>
      </c>
      <c r="Q28" s="138">
        <f>COUNTIFS('Daily KPI'!$D:$D,D28,'Daily KPI'!$K:$K,"&gt;0")</f>
        <v>0</v>
      </c>
      <c r="R28" s="141">
        <f t="shared" si="15"/>
        <v>0</v>
      </c>
      <c r="S28" s="141">
        <f>SUMIF($F$6:F28,F28,$R$6:R28)</f>
        <v>0</v>
      </c>
      <c r="T28" s="140">
        <f t="shared" si="16"/>
        <v>44.059999999999995</v>
      </c>
      <c r="U28" s="141">
        <f t="shared" si="17"/>
        <v>0</v>
      </c>
      <c r="V28" s="149">
        <f>SUMIF($F$6:F28,F28,$U$6:U28)</f>
        <v>0</v>
      </c>
      <c r="W28" s="142">
        <f t="shared" si="18"/>
        <v>0.15664106939704206</v>
      </c>
      <c r="X28" s="142" t="str">
        <f t="shared" si="8"/>
        <v/>
      </c>
      <c r="Y28" s="142" t="str">
        <f t="shared" si="9"/>
        <v/>
      </c>
      <c r="Z28" s="140" t="str">
        <f>IFERROR(AVERAGEIF('Daily KPI'!D:D,Table14[[#This Row],[Month]],'Daily KPI'!AB:AB),"")</f>
        <v/>
      </c>
      <c r="AA28" s="143" t="str">
        <f>IFERROR(AVERAGEIF($F$2:F28,F28,$Z$2:Z28),"")</f>
        <v/>
      </c>
      <c r="AB28" s="141"/>
      <c r="AC28" s="140"/>
      <c r="AD28" s="140"/>
      <c r="AE28" s="142">
        <v>0.995</v>
      </c>
      <c r="AF28" s="142">
        <v>0.98550000000000004</v>
      </c>
      <c r="AG28" s="142">
        <v>0.995</v>
      </c>
      <c r="AH28" s="142"/>
      <c r="AI28" s="142"/>
      <c r="AJ28" s="142"/>
      <c r="AK28" s="142"/>
      <c r="AL28" s="142"/>
      <c r="AM28" s="182"/>
      <c r="AN28" s="182"/>
    </row>
    <row r="29" spans="1:40">
      <c r="A29" s="134">
        <f t="shared" si="10"/>
        <v>28</v>
      </c>
      <c r="B29" s="135" t="str">
        <f t="shared" si="19"/>
        <v>July</v>
      </c>
      <c r="C29" s="135">
        <f t="shared" si="19"/>
        <v>7</v>
      </c>
      <c r="D29" s="136">
        <v>45474</v>
      </c>
      <c r="E29" s="137">
        <v>2026</v>
      </c>
      <c r="F29" s="137" t="s">
        <v>207</v>
      </c>
      <c r="G29" s="138">
        <f t="shared" si="23"/>
        <v>31</v>
      </c>
      <c r="H29" s="143">
        <f t="shared" si="20"/>
        <v>124.81072236599999</v>
      </c>
      <c r="I29" s="143">
        <f t="shared" si="20"/>
        <v>143.43493099999995</v>
      </c>
      <c r="J29" s="140"/>
      <c r="K29" s="139">
        <f t="shared" si="21"/>
        <v>20.391279999999998</v>
      </c>
      <c r="L29" s="138"/>
      <c r="M29" s="141">
        <v>1172.5999999999999</v>
      </c>
      <c r="N29" s="141">
        <v>11.72</v>
      </c>
      <c r="O29" s="142">
        <f t="shared" si="13"/>
        <v>0.69753716086947581</v>
      </c>
      <c r="P29" s="140">
        <f t="shared" si="14"/>
        <v>4.6269332580645148</v>
      </c>
      <c r="Q29" s="138">
        <f>COUNTIFS('Daily KPI'!$D:$D,D29,'Daily KPI'!$K:$K,"&gt;0")</f>
        <v>0</v>
      </c>
      <c r="R29" s="141">
        <f t="shared" si="15"/>
        <v>0</v>
      </c>
      <c r="S29" s="149">
        <f>SUMIF($F$2:F49,F29,$R$2:R49)</f>
        <v>23.149817119354836</v>
      </c>
      <c r="T29" s="140">
        <f t="shared" si="16"/>
        <v>37.825806451612898</v>
      </c>
      <c r="U29" s="141">
        <f t="shared" si="17"/>
        <v>0</v>
      </c>
      <c r="V29" s="149">
        <f>SUMIF($F$2:F49,F29,$U$2:U49)</f>
        <v>222.41612903225808</v>
      </c>
      <c r="W29" s="142">
        <f t="shared" si="18"/>
        <v>0.13447741201511978</v>
      </c>
      <c r="X29" s="142" t="str">
        <f t="shared" si="8"/>
        <v/>
      </c>
      <c r="Y29" s="142" t="str">
        <f t="shared" si="9"/>
        <v/>
      </c>
      <c r="Z29" s="140" t="str">
        <f>IFERROR(AVERAGEIF('Daily KPI'!D:D,Table14[[#This Row],[Month]],'Daily KPI'!AB:AB),"")</f>
        <v/>
      </c>
      <c r="AA29" s="143" t="str">
        <f>IFERROR(AVERAGEIF($F$2:F29,F29,$Z$2:Z29),"")</f>
        <v/>
      </c>
      <c r="AB29" s="141"/>
      <c r="AC29" s="140"/>
      <c r="AD29" s="150"/>
      <c r="AE29" s="142">
        <v>0.995</v>
      </c>
      <c r="AF29" s="142">
        <v>0.98550000000000004</v>
      </c>
      <c r="AG29" s="142">
        <v>0.995</v>
      </c>
      <c r="AH29" s="142"/>
      <c r="AI29" s="142"/>
      <c r="AJ29" s="142"/>
      <c r="AK29" s="142"/>
      <c r="AL29" s="142"/>
      <c r="AM29" s="182"/>
      <c r="AN29" s="182"/>
    </row>
    <row r="30" spans="1:40">
      <c r="A30" s="134">
        <f t="shared" si="10"/>
        <v>29</v>
      </c>
      <c r="B30" s="135" t="str">
        <f t="shared" ref="B30:C30" si="24">B18</f>
        <v>August</v>
      </c>
      <c r="C30" s="135">
        <f t="shared" si="24"/>
        <v>8</v>
      </c>
      <c r="D30" s="136">
        <v>45505</v>
      </c>
      <c r="E30" s="137">
        <f t="shared" ref="E30:E34" si="25">YEAR(D30)</f>
        <v>2024</v>
      </c>
      <c r="F30" s="137" t="s">
        <v>207</v>
      </c>
      <c r="G30" s="138">
        <f t="shared" ref="G30:G34" si="26">DAY(EOMONTH(D30,0))</f>
        <v>31</v>
      </c>
      <c r="H30" s="143">
        <f t="shared" si="20"/>
        <v>129.03231213399999</v>
      </c>
      <c r="I30" s="143">
        <f t="shared" si="20"/>
        <v>147.91273230000004</v>
      </c>
      <c r="J30" s="140"/>
      <c r="K30" s="139">
        <f t="shared" si="21"/>
        <v>19.68656</v>
      </c>
      <c r="L30" s="138"/>
      <c r="M30" s="141">
        <v>1212.3</v>
      </c>
      <c r="N30" s="141">
        <v>11.72</v>
      </c>
      <c r="O30" s="142">
        <f t="shared" ref="O30:O34" si="27">IFERROR(M30/I30/N30,"")</f>
        <v>0.69932158607620409</v>
      </c>
      <c r="P30" s="140">
        <f t="shared" ref="P30:P34" si="28">IFERROR(I30/G30,"")</f>
        <v>4.7713784612903236</v>
      </c>
      <c r="Q30" s="138">
        <f>COUNTIFS('Daily KPI'!$D:$D,D30,'Daily KPI'!$K:$K,"&gt;0")</f>
        <v>0</v>
      </c>
      <c r="R30" s="141">
        <f t="shared" ref="R30:R34" si="29">I30/G30*Q30</f>
        <v>0</v>
      </c>
      <c r="S30" s="149">
        <f>SUMIF($F$2:F30,F30,$R$2:R30)</f>
        <v>0</v>
      </c>
      <c r="T30" s="140">
        <f t="shared" ref="T30:T34" si="30">M30/G30</f>
        <v>39.106451612903221</v>
      </c>
      <c r="U30" s="141">
        <f t="shared" ref="U30:U34" si="31">M30/G30*Q30</f>
        <v>0</v>
      </c>
      <c r="V30" s="149">
        <f>SUMIF($F$2:F30,F30,$U$2:U30)</f>
        <v>0</v>
      </c>
      <c r="W30" s="142">
        <f t="shared" ref="W30:W34" si="32">IFERROR(T30/(24*N30),"")</f>
        <v>0.13903033138830781</v>
      </c>
      <c r="X30" s="142" t="str">
        <f t="shared" si="8"/>
        <v/>
      </c>
      <c r="Y30" s="142" t="str">
        <f t="shared" si="9"/>
        <v/>
      </c>
      <c r="Z30" s="140" t="str">
        <f>IFERROR(AVERAGEIF('Daily KPI'!D:D,Table14[[#This Row],[Month]],'Daily KPI'!AB:AB),"")</f>
        <v/>
      </c>
      <c r="AA30" s="143" t="str">
        <f>IFERROR(AVERAGEIF($F$2:F30,F30,$Z$2:Z30),"")</f>
        <v/>
      </c>
      <c r="AB30" s="141"/>
      <c r="AC30" s="140"/>
      <c r="AD30" s="150"/>
      <c r="AE30" s="142">
        <v>0.995</v>
      </c>
      <c r="AF30" s="142">
        <v>0.98550000000000004</v>
      </c>
      <c r="AG30" s="142">
        <v>0.995</v>
      </c>
      <c r="AH30" s="142"/>
      <c r="AI30" s="142"/>
      <c r="AJ30" s="142"/>
      <c r="AK30" s="142"/>
      <c r="AL30" s="142"/>
      <c r="AM30" s="182"/>
      <c r="AN30" s="182"/>
    </row>
    <row r="31" spans="1:40">
      <c r="A31" s="134">
        <f t="shared" si="10"/>
        <v>30</v>
      </c>
      <c r="B31" s="135" t="str">
        <f t="shared" ref="B31:C31" si="33">B19</f>
        <v>September</v>
      </c>
      <c r="C31" s="135">
        <f t="shared" si="33"/>
        <v>9</v>
      </c>
      <c r="D31" s="136">
        <v>45536</v>
      </c>
      <c r="E31" s="137">
        <f t="shared" si="25"/>
        <v>2024</v>
      </c>
      <c r="F31" s="137" t="s">
        <v>207</v>
      </c>
      <c r="G31" s="138">
        <f t="shared" si="26"/>
        <v>30</v>
      </c>
      <c r="H31" s="143">
        <f t="shared" si="20"/>
        <v>138.860397627</v>
      </c>
      <c r="I31" s="143">
        <f t="shared" si="20"/>
        <v>165.14882880000005</v>
      </c>
      <c r="J31" s="140"/>
      <c r="K31" s="139">
        <f t="shared" si="21"/>
        <v>18.930330000000001</v>
      </c>
      <c r="L31" s="138"/>
      <c r="M31" s="141">
        <v>1311.9</v>
      </c>
      <c r="N31" s="141">
        <v>11.72</v>
      </c>
      <c r="O31" s="142">
        <f t="shared" si="27"/>
        <v>0.67779384741394755</v>
      </c>
      <c r="P31" s="140">
        <f t="shared" si="28"/>
        <v>5.5049609600000018</v>
      </c>
      <c r="Q31" s="138">
        <f>COUNTIFS('Daily KPI'!$D:$D,D31,'Daily KPI'!$K:$K,"&gt;0")</f>
        <v>0</v>
      </c>
      <c r="R31" s="141">
        <f t="shared" si="29"/>
        <v>0</v>
      </c>
      <c r="S31" s="149">
        <f>SUMIF($F$2:F31,F31,$R$2:R31)</f>
        <v>0</v>
      </c>
      <c r="T31" s="140">
        <f t="shared" si="30"/>
        <v>43.730000000000004</v>
      </c>
      <c r="U31" s="141">
        <f t="shared" si="31"/>
        <v>0</v>
      </c>
      <c r="V31" s="149">
        <f>SUMIF($F$2:F31,F31,$U$2:U31)</f>
        <v>0</v>
      </c>
      <c r="W31" s="142">
        <f t="shared" si="32"/>
        <v>0.15546786120591582</v>
      </c>
      <c r="X31" s="142" t="str">
        <f t="shared" si="8"/>
        <v/>
      </c>
      <c r="Y31" s="142" t="str">
        <f t="shared" si="9"/>
        <v/>
      </c>
      <c r="Z31" s="140" t="str">
        <f>IFERROR(AVERAGEIF('Daily KPI'!D:D,Table14[[#This Row],[Month]],'Daily KPI'!AB:AB),"")</f>
        <v/>
      </c>
      <c r="AA31" s="143" t="str">
        <f>IFERROR(AVERAGEIF($F$2:F31,F31,$Z$2:Z31),"")</f>
        <v/>
      </c>
      <c r="AB31" s="141"/>
      <c r="AC31" s="140"/>
      <c r="AD31" s="150"/>
      <c r="AE31" s="142">
        <v>0.995</v>
      </c>
      <c r="AF31" s="142">
        <v>0.98550000000000004</v>
      </c>
      <c r="AG31" s="142">
        <v>0.995</v>
      </c>
      <c r="AH31" s="142"/>
      <c r="AI31" s="142"/>
      <c r="AJ31" s="142"/>
      <c r="AK31" s="142"/>
      <c r="AL31" s="142"/>
      <c r="AM31" s="182"/>
      <c r="AN31" s="182"/>
    </row>
    <row r="32" spans="1:40">
      <c r="A32" s="134">
        <f t="shared" si="10"/>
        <v>31</v>
      </c>
      <c r="B32" s="135" t="str">
        <f t="shared" ref="B32:C32" si="34">B20</f>
        <v>October</v>
      </c>
      <c r="C32" s="135">
        <f t="shared" si="34"/>
        <v>10</v>
      </c>
      <c r="D32" s="136">
        <v>45566</v>
      </c>
      <c r="E32" s="137">
        <f t="shared" si="25"/>
        <v>2024</v>
      </c>
      <c r="F32" s="137" t="s">
        <v>207</v>
      </c>
      <c r="G32" s="138">
        <f t="shared" si="26"/>
        <v>31</v>
      </c>
      <c r="H32" s="143">
        <f t="shared" si="20"/>
        <v>144.27891666400001</v>
      </c>
      <c r="I32" s="143">
        <f t="shared" si="20"/>
        <v>175.0139135</v>
      </c>
      <c r="J32" s="140"/>
      <c r="K32" s="139">
        <f t="shared" si="21"/>
        <v>19.660550000000001</v>
      </c>
      <c r="L32" s="138"/>
      <c r="M32" s="141">
        <v>1712</v>
      </c>
      <c r="N32" s="141">
        <v>11.72</v>
      </c>
      <c r="O32" s="142">
        <f t="shared" si="27"/>
        <v>0.8346484139629966</v>
      </c>
      <c r="P32" s="140">
        <f t="shared" si="28"/>
        <v>5.6456101129032259</v>
      </c>
      <c r="Q32" s="138">
        <f>COUNTIFS('Daily KPI'!$D:$D,D32,'Daily KPI'!$K:$K,"&gt;0")</f>
        <v>0</v>
      </c>
      <c r="R32" s="141">
        <f t="shared" si="29"/>
        <v>0</v>
      </c>
      <c r="S32" s="149">
        <f>SUMIF($F$2:F32,F32,$R$2:R32)</f>
        <v>0</v>
      </c>
      <c r="T32" s="140">
        <f t="shared" si="30"/>
        <v>55.225806451612904</v>
      </c>
      <c r="U32" s="141">
        <f t="shared" si="31"/>
        <v>0</v>
      </c>
      <c r="V32" s="149">
        <f>SUMIF($F$2:F32,F32,$U$2:U32)</f>
        <v>0</v>
      </c>
      <c r="W32" s="142">
        <f t="shared" si="32"/>
        <v>0.19633748027450545</v>
      </c>
      <c r="X32" s="142" t="str">
        <f t="shared" si="8"/>
        <v/>
      </c>
      <c r="Y32" s="142" t="str">
        <f t="shared" si="9"/>
        <v/>
      </c>
      <c r="Z32" s="140" t="str">
        <f>IFERROR(AVERAGEIF('Daily KPI'!D:D,Table14[[#This Row],[Month]],'Daily KPI'!AB:AB),"")</f>
        <v/>
      </c>
      <c r="AA32" s="143" t="str">
        <f>IFERROR(AVERAGEIF($F$2:F32,F32,$Z$2:Z32),"")</f>
        <v/>
      </c>
      <c r="AB32" s="141"/>
      <c r="AC32" s="140"/>
      <c r="AD32" s="150"/>
      <c r="AE32" s="142">
        <v>0.995</v>
      </c>
      <c r="AF32" s="142">
        <v>0.98550000000000004</v>
      </c>
      <c r="AG32" s="142">
        <v>0.995</v>
      </c>
      <c r="AH32" s="142"/>
      <c r="AI32" s="142"/>
      <c r="AJ32" s="142"/>
      <c r="AK32" s="142"/>
      <c r="AL32" s="142"/>
      <c r="AM32" s="182"/>
      <c r="AN32" s="182"/>
    </row>
    <row r="33" spans="1:40">
      <c r="A33" s="134">
        <f t="shared" si="10"/>
        <v>32</v>
      </c>
      <c r="B33" s="135" t="str">
        <f t="shared" ref="B33:C33" si="35">B21</f>
        <v>November</v>
      </c>
      <c r="C33" s="135">
        <f t="shared" si="35"/>
        <v>11</v>
      </c>
      <c r="D33" s="136">
        <v>45597</v>
      </c>
      <c r="E33" s="137">
        <f t="shared" si="25"/>
        <v>2024</v>
      </c>
      <c r="F33" s="137" t="s">
        <v>207</v>
      </c>
      <c r="G33" s="138">
        <f t="shared" si="26"/>
        <v>30</v>
      </c>
      <c r="H33" s="143">
        <f t="shared" si="20"/>
        <v>136.88678809699999</v>
      </c>
      <c r="I33" s="143">
        <f t="shared" si="20"/>
        <v>168.81198910000003</v>
      </c>
      <c r="J33" s="140"/>
      <c r="K33" s="139">
        <f t="shared" si="21"/>
        <v>17.558019999999999</v>
      </c>
      <c r="L33" s="138"/>
      <c r="M33" s="141">
        <v>1618.4</v>
      </c>
      <c r="N33" s="141">
        <v>11.72</v>
      </c>
      <c r="O33" s="142">
        <f t="shared" si="27"/>
        <v>0.81800314028386256</v>
      </c>
      <c r="P33" s="140">
        <f t="shared" si="28"/>
        <v>5.6270663033333346</v>
      </c>
      <c r="Q33" s="138">
        <f>COUNTIFS('Daily KPI'!$D:$D,D33,'Daily KPI'!$K:$K,"&gt;0")</f>
        <v>0</v>
      </c>
      <c r="R33" s="141">
        <f t="shared" si="29"/>
        <v>0</v>
      </c>
      <c r="S33" s="149">
        <f>SUMIF($F$2:F33,F33,$R$2:R33)</f>
        <v>0</v>
      </c>
      <c r="T33" s="140">
        <f t="shared" si="30"/>
        <v>53.946666666666673</v>
      </c>
      <c r="U33" s="141">
        <f t="shared" si="31"/>
        <v>0</v>
      </c>
      <c r="V33" s="149">
        <f>SUMIF($F$2:F33,F33,$U$2:U33)</f>
        <v>0</v>
      </c>
      <c r="W33" s="142">
        <f t="shared" si="32"/>
        <v>0.19178991277967386</v>
      </c>
      <c r="X33" s="142" t="str">
        <f t="shared" si="8"/>
        <v/>
      </c>
      <c r="Y33" s="142" t="str">
        <f t="shared" si="9"/>
        <v/>
      </c>
      <c r="Z33" s="140" t="str">
        <f>IFERROR(AVERAGEIF('Daily KPI'!D:D,Table14[[#This Row],[Month]],'Daily KPI'!AB:AB),"")</f>
        <v/>
      </c>
      <c r="AA33" s="143" t="str">
        <f>IFERROR(AVERAGEIF($F$2:F33,F33,$Z$2:Z33),"")</f>
        <v/>
      </c>
      <c r="AB33" s="141"/>
      <c r="AC33" s="140"/>
      <c r="AD33" s="150"/>
      <c r="AE33" s="142">
        <v>0.995</v>
      </c>
      <c r="AF33" s="142">
        <v>0.98550000000000004</v>
      </c>
      <c r="AG33" s="142">
        <v>0.995</v>
      </c>
      <c r="AH33" s="142"/>
      <c r="AI33" s="142"/>
      <c r="AJ33" s="142"/>
      <c r="AK33" s="142"/>
      <c r="AL33" s="142"/>
      <c r="AM33" s="182"/>
      <c r="AN33" s="182"/>
    </row>
    <row r="34" spans="1:40">
      <c r="A34" s="134">
        <f t="shared" si="10"/>
        <v>33</v>
      </c>
      <c r="B34" s="135" t="str">
        <f t="shared" ref="B34:C34" si="36">B22</f>
        <v>December</v>
      </c>
      <c r="C34" s="135">
        <f t="shared" si="36"/>
        <v>12</v>
      </c>
      <c r="D34" s="136">
        <v>45627</v>
      </c>
      <c r="E34" s="137">
        <f t="shared" si="25"/>
        <v>2024</v>
      </c>
      <c r="F34" s="137" t="s">
        <v>207</v>
      </c>
      <c r="G34" s="138">
        <f t="shared" si="26"/>
        <v>31</v>
      </c>
      <c r="H34" s="143">
        <f t="shared" si="20"/>
        <v>132.742847993</v>
      </c>
      <c r="I34" s="143">
        <f t="shared" si="20"/>
        <v>164.93463669999977</v>
      </c>
      <c r="J34" s="140"/>
      <c r="K34" s="139">
        <f t="shared" si="21"/>
        <v>17.196370000000002</v>
      </c>
      <c r="L34" s="138"/>
      <c r="M34" s="141">
        <v>1641.6</v>
      </c>
      <c r="N34" s="141">
        <v>11.72</v>
      </c>
      <c r="O34" s="142">
        <f t="shared" si="27"/>
        <v>0.84923495869722132</v>
      </c>
      <c r="P34" s="140">
        <f t="shared" si="28"/>
        <v>5.3204721516128961</v>
      </c>
      <c r="Q34" s="138">
        <f>COUNTIFS('Daily KPI'!$D:$D,D34,'Daily KPI'!$K:$K,"&gt;0")</f>
        <v>0</v>
      </c>
      <c r="R34" s="141">
        <f t="shared" si="29"/>
        <v>0</v>
      </c>
      <c r="S34" s="149">
        <f>SUMIF($F$2:F49,F34,$R$2:R49)</f>
        <v>23.149817119354836</v>
      </c>
      <c r="T34" s="140">
        <f t="shared" si="30"/>
        <v>52.954838709677418</v>
      </c>
      <c r="U34" s="141">
        <f t="shared" si="31"/>
        <v>0</v>
      </c>
      <c r="V34" s="149">
        <f>SUMIF($F$2:F49,F34,$U$2:U49)</f>
        <v>222.41612903225808</v>
      </c>
      <c r="W34" s="142">
        <f t="shared" si="32"/>
        <v>0.18826378949686223</v>
      </c>
      <c r="X34" s="142" t="str">
        <f t="shared" si="8"/>
        <v/>
      </c>
      <c r="Y34" s="142" t="str">
        <f t="shared" si="9"/>
        <v/>
      </c>
      <c r="Z34" s="140" t="str">
        <f>IFERROR(AVERAGEIF('Daily KPI'!D:D,Table14[[#This Row],[Month]],'Daily KPI'!AB:AB),"")</f>
        <v/>
      </c>
      <c r="AA34" s="143" t="str">
        <f>IFERROR(AVERAGEIF($F$2:F34,F34,$Z$2:Z34),"")</f>
        <v/>
      </c>
      <c r="AB34" s="141"/>
      <c r="AC34" s="140"/>
      <c r="AD34" s="150"/>
      <c r="AE34" s="142">
        <v>0.995</v>
      </c>
      <c r="AF34" s="142">
        <v>0.98550000000000004</v>
      </c>
      <c r="AG34" s="142">
        <v>0.995</v>
      </c>
      <c r="AH34" s="142"/>
      <c r="AI34" s="142"/>
      <c r="AJ34" s="142"/>
      <c r="AK34" s="142"/>
      <c r="AL34" s="142"/>
      <c r="AM34" s="182"/>
      <c r="AN34" s="182"/>
    </row>
    <row r="35" spans="1:40">
      <c r="A35" s="134">
        <f t="shared" si="10"/>
        <v>34</v>
      </c>
      <c r="B35" s="135" t="str">
        <f t="shared" ref="B35:C35" si="37">B23</f>
        <v>January</v>
      </c>
      <c r="C35" s="135">
        <f t="shared" si="37"/>
        <v>1</v>
      </c>
      <c r="D35" s="136">
        <v>45658</v>
      </c>
      <c r="E35" s="137">
        <f t="shared" ref="E35:E43" si="38">YEAR(D35)</f>
        <v>2025</v>
      </c>
      <c r="F35" s="137" t="s">
        <v>207</v>
      </c>
      <c r="G35" s="138">
        <f t="shared" ref="G35:G43" si="39">DAY(EOMONTH(D35,0))</f>
        <v>31</v>
      </c>
      <c r="H35" s="143">
        <f t="shared" si="20"/>
        <v>147.17861885299999</v>
      </c>
      <c r="I35" s="143">
        <f t="shared" si="20"/>
        <v>186.54543479999998</v>
      </c>
      <c r="J35" s="140"/>
      <c r="K35" s="139">
        <f t="shared" si="21"/>
        <v>17.42991</v>
      </c>
      <c r="L35" s="138"/>
      <c r="M35" s="141">
        <v>1841</v>
      </c>
      <c r="N35" s="141">
        <v>11.72</v>
      </c>
      <c r="O35" s="142">
        <f t="shared" ref="O35:O43" si="40">IFERROR(M35/I35/N35,"")</f>
        <v>0.84205711831656493</v>
      </c>
      <c r="P35" s="140">
        <f t="shared" ref="P35:P43" si="41">IFERROR(I35/G35,"")</f>
        <v>6.0175946709677417</v>
      </c>
      <c r="Q35" s="138">
        <f>COUNTIFS('Daily KPI'!$D:$D,D35,'Daily KPI'!$K:$K,"&gt;0")</f>
        <v>0</v>
      </c>
      <c r="R35" s="141">
        <f t="shared" ref="R35:R43" si="42">I35/G35*Q35</f>
        <v>0</v>
      </c>
      <c r="S35" s="149">
        <f>SUMIF($F$2:F35,F35,$R$2:R35)</f>
        <v>0</v>
      </c>
      <c r="T35" s="140">
        <f t="shared" ref="T35:T43" si="43">M35/G35</f>
        <v>59.387096774193552</v>
      </c>
      <c r="U35" s="141">
        <f t="shared" ref="U35:U43" si="44">M35/G35*Q35</f>
        <v>0</v>
      </c>
      <c r="V35" s="149">
        <f>SUMIF($F$2:F35,F35,$U$2:U35)</f>
        <v>0</v>
      </c>
      <c r="W35" s="142">
        <f t="shared" ref="W35:W43" si="45">IFERROR(T35/(24*N35),"")</f>
        <v>0.21113160115967558</v>
      </c>
      <c r="X35" s="142" t="str">
        <f t="shared" si="8"/>
        <v/>
      </c>
      <c r="Y35" s="142" t="str">
        <f t="shared" si="9"/>
        <v/>
      </c>
      <c r="Z35" s="140" t="str">
        <f>IFERROR(AVERAGEIF('Daily KPI'!D:D,Table14[[#This Row],[Month]],'Daily KPI'!AB:AB),"")</f>
        <v/>
      </c>
      <c r="AA35" s="143" t="str">
        <f>IFERROR(AVERAGEIF($F$2:F35,F35,$Z$2:Z35),"")</f>
        <v/>
      </c>
      <c r="AB35" s="141"/>
      <c r="AC35" s="140"/>
      <c r="AD35" s="150"/>
      <c r="AE35" s="142">
        <v>0.995</v>
      </c>
      <c r="AF35" s="142">
        <v>0.98550000000000004</v>
      </c>
      <c r="AG35" s="142">
        <v>0.995</v>
      </c>
      <c r="AH35" s="142"/>
      <c r="AI35" s="142"/>
      <c r="AJ35" s="142"/>
      <c r="AK35" s="142"/>
      <c r="AL35" s="142"/>
      <c r="AM35" s="182"/>
      <c r="AN35" s="182"/>
    </row>
    <row r="36" spans="1:40">
      <c r="A36" s="134">
        <f t="shared" si="10"/>
        <v>35</v>
      </c>
      <c r="B36" s="135" t="str">
        <f t="shared" ref="B36:C36" si="46">B24</f>
        <v>February</v>
      </c>
      <c r="C36" s="135">
        <f t="shared" si="46"/>
        <v>2</v>
      </c>
      <c r="D36" s="136">
        <v>45689</v>
      </c>
      <c r="E36" s="137">
        <f t="shared" si="38"/>
        <v>2025</v>
      </c>
      <c r="F36" s="137" t="s">
        <v>207</v>
      </c>
      <c r="G36" s="138">
        <f t="shared" si="39"/>
        <v>28</v>
      </c>
      <c r="H36" s="143">
        <f t="shared" si="20"/>
        <v>153.83568869499999</v>
      </c>
      <c r="I36" s="143">
        <f t="shared" si="20"/>
        <v>193.23044800000002</v>
      </c>
      <c r="J36" s="140"/>
      <c r="K36" s="139">
        <f t="shared" si="21"/>
        <v>17.77167</v>
      </c>
      <c r="L36" s="138"/>
      <c r="M36" s="141">
        <v>1760</v>
      </c>
      <c r="N36" s="141">
        <v>11.72</v>
      </c>
      <c r="O36" s="142">
        <f t="shared" si="40"/>
        <v>0.77715831028950355</v>
      </c>
      <c r="P36" s="140">
        <f t="shared" si="41"/>
        <v>6.9010874285714294</v>
      </c>
      <c r="Q36" s="138">
        <f>COUNTIFS('Daily KPI'!$D:$D,D36,'Daily KPI'!$K:$K,"&gt;0")</f>
        <v>0</v>
      </c>
      <c r="R36" s="141">
        <f t="shared" si="42"/>
        <v>0</v>
      </c>
      <c r="S36" s="149">
        <f>SUMIF($F$2:F36,F36,$R$2:R36)</f>
        <v>0</v>
      </c>
      <c r="T36" s="140">
        <f t="shared" si="43"/>
        <v>62.857142857142854</v>
      </c>
      <c r="U36" s="141">
        <f t="shared" si="44"/>
        <v>0</v>
      </c>
      <c r="V36" s="149">
        <f>SUMIF($F$2:F36,F36,$U$2:U36)</f>
        <v>0</v>
      </c>
      <c r="W36" s="142">
        <f t="shared" si="45"/>
        <v>0.22346822688119614</v>
      </c>
      <c r="X36" s="142" t="str">
        <f t="shared" si="8"/>
        <v/>
      </c>
      <c r="Y36" s="142" t="str">
        <f t="shared" si="9"/>
        <v/>
      </c>
      <c r="Z36" s="140" t="str">
        <f>IFERROR(AVERAGEIF('Daily KPI'!D:D,Table14[[#This Row],[Month]],'Daily KPI'!AB:AB),"")</f>
        <v/>
      </c>
      <c r="AA36" s="143" t="str">
        <f>IFERROR(AVERAGEIF($F$2:F36,F36,$Z$2:Z36),"")</f>
        <v/>
      </c>
      <c r="AB36" s="141"/>
      <c r="AC36" s="140"/>
      <c r="AD36" s="150"/>
      <c r="AE36" s="142">
        <v>0.995</v>
      </c>
      <c r="AF36" s="142">
        <v>0.98550000000000004</v>
      </c>
      <c r="AG36" s="142">
        <v>0.995</v>
      </c>
      <c r="AH36" s="142"/>
      <c r="AI36" s="142"/>
      <c r="AJ36" s="142"/>
      <c r="AK36" s="142"/>
      <c r="AL36" s="142"/>
      <c r="AM36" s="182"/>
      <c r="AN36" s="182"/>
    </row>
    <row r="37" spans="1:40">
      <c r="A37" s="134">
        <f t="shared" si="10"/>
        <v>36</v>
      </c>
      <c r="B37" s="135" t="str">
        <f t="shared" ref="B37:C37" si="47">B25</f>
        <v>March</v>
      </c>
      <c r="C37" s="135">
        <f t="shared" si="47"/>
        <v>3</v>
      </c>
      <c r="D37" s="136">
        <v>45717</v>
      </c>
      <c r="E37" s="137">
        <f t="shared" si="38"/>
        <v>2025</v>
      </c>
      <c r="F37" s="137" t="s">
        <v>207</v>
      </c>
      <c r="G37" s="138">
        <f t="shared" si="39"/>
        <v>31</v>
      </c>
      <c r="H37" s="143">
        <f t="shared" si="20"/>
        <v>191.24087224799999</v>
      </c>
      <c r="I37" s="143">
        <f t="shared" si="20"/>
        <v>239.21477689999998</v>
      </c>
      <c r="J37" s="140"/>
      <c r="K37" s="139">
        <f t="shared" si="21"/>
        <v>22.15643</v>
      </c>
      <c r="L37" s="138"/>
      <c r="M37" s="141">
        <v>2298.3000000000002</v>
      </c>
      <c r="N37" s="141">
        <v>11.72</v>
      </c>
      <c r="O37" s="142">
        <f t="shared" si="40"/>
        <v>0.81976826488370957</v>
      </c>
      <c r="P37" s="140">
        <f t="shared" si="41"/>
        <v>7.7166057064516123</v>
      </c>
      <c r="Q37" s="138">
        <f>COUNTIFS('Daily KPI'!$D:$D,D37,'Daily KPI'!$K:$K,"&gt;0")</f>
        <v>3</v>
      </c>
      <c r="R37" s="141">
        <f t="shared" si="42"/>
        <v>23.149817119354836</v>
      </c>
      <c r="S37" s="149">
        <f>SUMIF($F$2:F37,F37,$R$2:R37)</f>
        <v>23.149817119354836</v>
      </c>
      <c r="T37" s="140">
        <f t="shared" si="43"/>
        <v>74.138709677419357</v>
      </c>
      <c r="U37" s="141">
        <f t="shared" si="44"/>
        <v>222.41612903225808</v>
      </c>
      <c r="V37" s="149">
        <f>SUMIF($F$2:F37,F37,$U$2:U37)</f>
        <v>222.41612903225808</v>
      </c>
      <c r="W37" s="142">
        <f t="shared" si="45"/>
        <v>0.26357618628206536</v>
      </c>
      <c r="X37" s="142">
        <f t="shared" si="8"/>
        <v>0.26357618628206536</v>
      </c>
      <c r="Y37" s="142">
        <f t="shared" si="9"/>
        <v>0.26357618628206536</v>
      </c>
      <c r="Z37" s="140">
        <f>IFERROR(AVERAGEIF('Daily KPI'!D:D,Table14[[#This Row],[Month]],'Daily KPI'!AB:AB),"")</f>
        <v>11.72</v>
      </c>
      <c r="AA37" s="143">
        <f>IFERROR(AVERAGEIF($F$2:F37,F37,$Z$2:Z37),"")</f>
        <v>11.72</v>
      </c>
      <c r="AB37" s="141"/>
      <c r="AC37" s="140"/>
      <c r="AD37" s="150"/>
      <c r="AE37" s="142">
        <v>0.995</v>
      </c>
      <c r="AF37" s="142">
        <v>0.98550000000000004</v>
      </c>
      <c r="AG37" s="142">
        <v>0.995</v>
      </c>
      <c r="AH37" s="142"/>
      <c r="AI37" s="142"/>
      <c r="AJ37" s="142"/>
      <c r="AK37" s="142"/>
      <c r="AL37" s="142"/>
      <c r="AM37" s="182"/>
      <c r="AN37" s="182"/>
    </row>
    <row r="38" spans="1:40">
      <c r="A38" s="134">
        <f t="shared" si="10"/>
        <v>37</v>
      </c>
      <c r="B38" s="135" t="str">
        <f t="shared" ref="B38:C38" si="48">B26</f>
        <v>April</v>
      </c>
      <c r="C38" s="135">
        <f t="shared" si="48"/>
        <v>4</v>
      </c>
      <c r="D38" s="136">
        <v>45748</v>
      </c>
      <c r="E38" s="137">
        <f t="shared" si="38"/>
        <v>2025</v>
      </c>
      <c r="F38" s="137" t="s">
        <v>208</v>
      </c>
      <c r="G38" s="138">
        <f t="shared" si="39"/>
        <v>30</v>
      </c>
      <c r="H38" s="143">
        <f t="shared" si="20"/>
        <v>187.86834831199999</v>
      </c>
      <c r="I38" s="143">
        <f t="shared" si="20"/>
        <v>228.56010069999994</v>
      </c>
      <c r="J38" s="140"/>
      <c r="K38" s="139">
        <f t="shared" si="21"/>
        <v>23.057770000000001</v>
      </c>
      <c r="L38" s="138"/>
      <c r="M38" s="141">
        <v>1903.6714096083219</v>
      </c>
      <c r="N38" s="141">
        <v>11.72</v>
      </c>
      <c r="O38" s="142">
        <f t="shared" si="40"/>
        <v>0.71066341265888178</v>
      </c>
      <c r="P38" s="140">
        <f t="shared" si="41"/>
        <v>7.6186700233333315</v>
      </c>
      <c r="Q38" s="138">
        <f>COUNTIFS('Daily KPI'!$D:$D,D38,'Daily KPI'!$K:$K,"&gt;0")</f>
        <v>30</v>
      </c>
      <c r="R38" s="141">
        <f t="shared" si="42"/>
        <v>228.56010069999994</v>
      </c>
      <c r="S38" s="149">
        <f>SUMIF($F$2:F38,F38,$R$2:R38)</f>
        <v>228.56010069999994</v>
      </c>
      <c r="T38" s="140">
        <f t="shared" si="43"/>
        <v>63.455713653610729</v>
      </c>
      <c r="U38" s="141">
        <f t="shared" si="44"/>
        <v>1903.6714096083219</v>
      </c>
      <c r="V38" s="149">
        <f>SUMIF($F$2:F38,F38,$U$2:U38)</f>
        <v>1903.6714096083219</v>
      </c>
      <c r="W38" s="142">
        <f t="shared" si="45"/>
        <v>0.22559625161266611</v>
      </c>
      <c r="X38" s="142">
        <f t="shared" si="8"/>
        <v>0.22559625161266611</v>
      </c>
      <c r="Y38" s="142">
        <f t="shared" si="9"/>
        <v>0.22559625161266611</v>
      </c>
      <c r="Z38" s="140">
        <f>IFERROR(AVERAGEIF('Daily KPI'!D:D,Table14[[#This Row],[Month]],'Daily KPI'!AB:AB),"")</f>
        <v>11.720000000000008</v>
      </c>
      <c r="AA38" s="143">
        <f>IFERROR(AVERAGEIF($F$2:F38,F38,$Z$2:Z38),"")</f>
        <v>11.720000000000008</v>
      </c>
      <c r="AB38" s="141"/>
      <c r="AC38" s="140"/>
      <c r="AD38" s="150"/>
      <c r="AE38" s="142">
        <v>0.995</v>
      </c>
      <c r="AF38" s="142">
        <v>0.98550000000000004</v>
      </c>
      <c r="AG38" s="142">
        <v>0.995</v>
      </c>
      <c r="AH38" s="142"/>
      <c r="AI38" s="142"/>
      <c r="AJ38" s="142"/>
      <c r="AK38" s="142"/>
      <c r="AL38" s="142"/>
      <c r="AM38" s="182"/>
      <c r="AN38" s="182"/>
    </row>
    <row r="39" spans="1:40">
      <c r="A39" s="134">
        <f t="shared" si="10"/>
        <v>38</v>
      </c>
      <c r="B39" s="135" t="str">
        <f t="shared" ref="B39:C39" si="49">B27</f>
        <v>May</v>
      </c>
      <c r="C39" s="135">
        <f t="shared" si="49"/>
        <v>5</v>
      </c>
      <c r="D39" s="136">
        <v>45778</v>
      </c>
      <c r="E39" s="137">
        <f t="shared" si="38"/>
        <v>2025</v>
      </c>
      <c r="F39" s="137" t="s">
        <v>208</v>
      </c>
      <c r="G39" s="138">
        <f t="shared" si="39"/>
        <v>31</v>
      </c>
      <c r="H39" s="143">
        <f t="shared" si="20"/>
        <v>194.13106407199999</v>
      </c>
      <c r="I39" s="143">
        <f t="shared" si="20"/>
        <v>236.95476170000001</v>
      </c>
      <c r="J39" s="140"/>
      <c r="K39" s="139">
        <f t="shared" si="21"/>
        <v>24.803879999999999</v>
      </c>
      <c r="L39" s="138"/>
      <c r="M39" s="141">
        <v>2031.6833296705479</v>
      </c>
      <c r="N39" s="141">
        <v>11.72</v>
      </c>
      <c r="O39" s="142">
        <f t="shared" si="40"/>
        <v>0.73158192177304548</v>
      </c>
      <c r="P39" s="140">
        <f t="shared" si="41"/>
        <v>7.6437019903225805</v>
      </c>
      <c r="Q39" s="138">
        <f>COUNTIFS('Daily KPI'!$D:$D,D39,'Daily KPI'!$K:$K,"&gt;0")</f>
        <v>31</v>
      </c>
      <c r="R39" s="141">
        <f t="shared" si="42"/>
        <v>236.95476170000001</v>
      </c>
      <c r="S39" s="149">
        <f>SUMIF($F$2:F39,F39,$R$2:R39)</f>
        <v>465.51486239999997</v>
      </c>
      <c r="T39" s="140">
        <f t="shared" si="43"/>
        <v>65.538171924856385</v>
      </c>
      <c r="U39" s="141">
        <f t="shared" si="44"/>
        <v>2031.6833296705479</v>
      </c>
      <c r="V39" s="149">
        <f>SUMIF($F$2:F39,F39,$U$2:U39)</f>
        <v>3935.3547392788696</v>
      </c>
      <c r="W39" s="142">
        <f t="shared" si="45"/>
        <v>0.23299975798086028</v>
      </c>
      <c r="X39" s="142">
        <f t="shared" si="8"/>
        <v>0.23299975798086028</v>
      </c>
      <c r="Y39" s="142">
        <f t="shared" si="9"/>
        <v>0.22935868927519101</v>
      </c>
      <c r="Z39" s="140">
        <f>IFERROR(AVERAGEIF('Daily KPI'!D:D,Table14[[#This Row],[Month]],'Daily KPI'!AB:AB),"")</f>
        <v>11.72000000000001</v>
      </c>
      <c r="AA39" s="143">
        <f>IFERROR(AVERAGEIF($F$2:F39,F39,$Z$2:Z39),"")</f>
        <v>11.72000000000001</v>
      </c>
      <c r="AB39" s="141"/>
      <c r="AC39" s="140"/>
      <c r="AD39" s="150"/>
      <c r="AE39" s="142">
        <v>0.995</v>
      </c>
      <c r="AF39" s="142">
        <v>0.98550000000000004</v>
      </c>
      <c r="AG39" s="142">
        <v>0.995</v>
      </c>
      <c r="AH39" s="142"/>
      <c r="AI39" s="142"/>
      <c r="AJ39" s="142"/>
      <c r="AK39" s="142"/>
      <c r="AL39" s="142"/>
      <c r="AM39" s="182"/>
      <c r="AN39" s="182"/>
    </row>
    <row r="40" spans="1:40">
      <c r="A40" s="134">
        <f t="shared" si="10"/>
        <v>39</v>
      </c>
      <c r="B40" s="135" t="str">
        <f t="shared" ref="B40:C40" si="50">B28</f>
        <v>June</v>
      </c>
      <c r="C40" s="135">
        <f t="shared" si="50"/>
        <v>6</v>
      </c>
      <c r="D40" s="136">
        <v>45809</v>
      </c>
      <c r="E40" s="137">
        <f t="shared" si="38"/>
        <v>2025</v>
      </c>
      <c r="F40" s="137" t="s">
        <v>208</v>
      </c>
      <c r="G40" s="138">
        <f t="shared" si="39"/>
        <v>30</v>
      </c>
      <c r="H40" s="143">
        <f t="shared" si="20"/>
        <v>144.327462642</v>
      </c>
      <c r="I40" s="143">
        <f t="shared" si="20"/>
        <v>168.51814360000006</v>
      </c>
      <c r="J40" s="140"/>
      <c r="K40" s="139">
        <f t="shared" si="21"/>
        <v>20.91329</v>
      </c>
      <c r="L40" s="138"/>
      <c r="M40" s="141">
        <v>1422.4061656062181</v>
      </c>
      <c r="N40" s="141">
        <v>11.72</v>
      </c>
      <c r="O40" s="142">
        <f t="shared" si="40"/>
        <v>0.72019375003918806</v>
      </c>
      <c r="P40" s="140">
        <f t="shared" si="41"/>
        <v>5.617271453333335</v>
      </c>
      <c r="Q40" s="138">
        <f>COUNTIFS('Daily KPI'!$D:$D,D40,'Daily KPI'!$K:$K,"&gt;0")</f>
        <v>30</v>
      </c>
      <c r="R40" s="141">
        <f t="shared" si="42"/>
        <v>168.51814360000006</v>
      </c>
      <c r="S40" s="149">
        <f>SUMIF($F$2:F40,F40,$R$2:R40)</f>
        <v>634.033006</v>
      </c>
      <c r="T40" s="140">
        <f t="shared" si="43"/>
        <v>47.413538853540601</v>
      </c>
      <c r="U40" s="141">
        <f t="shared" si="44"/>
        <v>1422.4061656062181</v>
      </c>
      <c r="V40" s="149">
        <f>SUMIF($F$2:F40,F40,$U$2:U40)</f>
        <v>5357.7609048850882</v>
      </c>
      <c r="W40" s="142">
        <f t="shared" si="45"/>
        <v>0.16856349137350896</v>
      </c>
      <c r="X40" s="142">
        <f t="shared" si="8"/>
        <v>0.16856349137350896</v>
      </c>
      <c r="Y40" s="142">
        <f t="shared" si="9"/>
        <v>0.20931631634057055</v>
      </c>
      <c r="Z40" s="140">
        <f>IFERROR(AVERAGEIF('Daily KPI'!D:D,Table14[[#This Row],[Month]],'Daily KPI'!AB:AB),"")</f>
        <v>11.720000000000008</v>
      </c>
      <c r="AA40" s="143">
        <f>IFERROR(AVERAGEIF($F$2:F40,F40,$Z$2:Z40),"")</f>
        <v>11.720000000000008</v>
      </c>
      <c r="AB40" s="141"/>
      <c r="AC40" s="140"/>
      <c r="AD40" s="150"/>
      <c r="AE40" s="142">
        <v>0.995</v>
      </c>
      <c r="AF40" s="142">
        <v>0.98550000000000004</v>
      </c>
      <c r="AG40" s="142">
        <v>0.995</v>
      </c>
      <c r="AH40" s="142"/>
      <c r="AI40" s="142"/>
      <c r="AJ40" s="142"/>
      <c r="AK40" s="142"/>
      <c r="AL40" s="142"/>
      <c r="AM40" s="182"/>
      <c r="AN40" s="182"/>
    </row>
    <row r="41" spans="1:40">
      <c r="A41" s="134">
        <f t="shared" si="10"/>
        <v>40</v>
      </c>
      <c r="B41" s="135" t="str">
        <f t="shared" ref="B41:C41" si="51">B29</f>
        <v>July</v>
      </c>
      <c r="C41" s="135">
        <f t="shared" si="51"/>
        <v>7</v>
      </c>
      <c r="D41" s="136">
        <v>45839</v>
      </c>
      <c r="E41" s="137">
        <f t="shared" si="38"/>
        <v>2025</v>
      </c>
      <c r="F41" s="137" t="s">
        <v>208</v>
      </c>
      <c r="G41" s="138">
        <f t="shared" si="39"/>
        <v>31</v>
      </c>
      <c r="H41" s="143">
        <f t="shared" si="20"/>
        <v>124.81072236599999</v>
      </c>
      <c r="I41" s="143">
        <f t="shared" si="20"/>
        <v>143.43493099999995</v>
      </c>
      <c r="J41" s="140"/>
      <c r="K41" s="139">
        <f t="shared" si="21"/>
        <v>20.391279999999998</v>
      </c>
      <c r="L41" s="138"/>
      <c r="M41" s="141">
        <v>1261.7822784269715</v>
      </c>
      <c r="N41" s="141">
        <v>11.72</v>
      </c>
      <c r="O41" s="142">
        <f t="shared" si="40"/>
        <v>0.75058845994317613</v>
      </c>
      <c r="P41" s="140">
        <f t="shared" si="41"/>
        <v>4.6269332580645148</v>
      </c>
      <c r="Q41" s="138">
        <f>COUNTIFS('Daily KPI'!$D:$D,D41,'Daily KPI'!$K:$K,"&gt;0")</f>
        <v>17</v>
      </c>
      <c r="R41" s="141">
        <f t="shared" si="42"/>
        <v>78.657865387096749</v>
      </c>
      <c r="S41" s="149">
        <f>SUMIF($F$2:F41,F41,$R$2:R41)</f>
        <v>712.69087138709676</v>
      </c>
      <c r="T41" s="140">
        <f t="shared" si="43"/>
        <v>40.702654142805535</v>
      </c>
      <c r="U41" s="141">
        <f t="shared" si="44"/>
        <v>691.94512042769406</v>
      </c>
      <c r="V41" s="149">
        <f>SUMIF($F$2:F41,F41,$U$2:U41)</f>
        <v>6049.706025312782</v>
      </c>
      <c r="W41" s="142">
        <f t="shared" si="45"/>
        <v>0.14470511285127108</v>
      </c>
      <c r="X41" s="142">
        <f t="shared" si="8"/>
        <v>0.14470511285127108</v>
      </c>
      <c r="Y41" s="142">
        <f t="shared" si="9"/>
        <v>0.19914603430984751</v>
      </c>
      <c r="Z41" s="140">
        <f>IFERROR(AVERAGEIF('Daily KPI'!D:D,Table14[[#This Row],[Month]],'Daily KPI'!AB:AB),"")</f>
        <v>11.72</v>
      </c>
      <c r="AA41" s="143">
        <f>IFERROR(AVERAGEIF($F$2:F41,F41,$Z$2:Z41),"")</f>
        <v>11.720000000000006</v>
      </c>
      <c r="AB41" s="141"/>
      <c r="AC41" s="140"/>
      <c r="AD41" s="150"/>
      <c r="AE41" s="142">
        <v>0.995</v>
      </c>
      <c r="AF41" s="142">
        <v>0.98550000000000004</v>
      </c>
      <c r="AG41" s="142">
        <v>0.995</v>
      </c>
      <c r="AH41" s="142"/>
      <c r="AI41" s="142"/>
      <c r="AJ41" s="142"/>
      <c r="AK41" s="142"/>
      <c r="AL41" s="142"/>
      <c r="AM41" s="182"/>
      <c r="AN41" s="182"/>
    </row>
    <row r="42" spans="1:40">
      <c r="A42" s="134">
        <f t="shared" si="10"/>
        <v>41</v>
      </c>
      <c r="B42" s="135" t="str">
        <f t="shared" ref="B42:C42" si="52">B30</f>
        <v>August</v>
      </c>
      <c r="C42" s="135">
        <f t="shared" si="52"/>
        <v>8</v>
      </c>
      <c r="D42" s="136">
        <v>45870</v>
      </c>
      <c r="E42" s="137">
        <f t="shared" si="38"/>
        <v>2025</v>
      </c>
      <c r="F42" s="137" t="s">
        <v>208</v>
      </c>
      <c r="G42" s="138">
        <f t="shared" si="39"/>
        <v>31</v>
      </c>
      <c r="H42" s="143">
        <f t="shared" si="20"/>
        <v>129.03231213399999</v>
      </c>
      <c r="I42" s="143">
        <f t="shared" si="20"/>
        <v>147.91273230000004</v>
      </c>
      <c r="J42" s="140"/>
      <c r="K42" s="139">
        <f t="shared" si="21"/>
        <v>19.68656</v>
      </c>
      <c r="L42" s="138"/>
      <c r="M42" s="141">
        <v>1304.5545590516153</v>
      </c>
      <c r="N42" s="141">
        <v>11.72</v>
      </c>
      <c r="O42" s="142">
        <f t="shared" si="40"/>
        <v>0.75253911025234577</v>
      </c>
      <c r="P42" s="140">
        <f t="shared" si="41"/>
        <v>4.7713784612903236</v>
      </c>
      <c r="Q42" s="138">
        <f>COUNTIFS('Daily KPI'!$D:$D,D42,'Daily KPI'!$K:$K,"&gt;0")</f>
        <v>0</v>
      </c>
      <c r="R42" s="141">
        <f t="shared" si="42"/>
        <v>0</v>
      </c>
      <c r="S42" s="149">
        <f>SUMIF($F$2:F42,F42,$R$2:R42)</f>
        <v>712.69087138709676</v>
      </c>
      <c r="T42" s="140">
        <f t="shared" si="43"/>
        <v>42.082405130697268</v>
      </c>
      <c r="U42" s="141">
        <f t="shared" si="44"/>
        <v>0</v>
      </c>
      <c r="V42" s="149">
        <f>SUMIF($F$2:F42,F42,$U$2:U42)</f>
        <v>6049.706025312782</v>
      </c>
      <c r="W42" s="142">
        <f t="shared" si="45"/>
        <v>0.1496103709140261</v>
      </c>
      <c r="X42" s="142" t="str">
        <f t="shared" si="8"/>
        <v/>
      </c>
      <c r="Y42" s="142">
        <f t="shared" si="9"/>
        <v>0.19914603430984751</v>
      </c>
      <c r="Z42" s="140" t="str">
        <f>IFERROR(AVERAGEIF('Daily KPI'!D:D,Table14[[#This Row],[Month]],'Daily KPI'!AB:AB),"")</f>
        <v/>
      </c>
      <c r="AA42" s="143">
        <f>IFERROR(AVERAGEIF($F$2:F42,F42,$Z$2:Z42),"")</f>
        <v>11.720000000000006</v>
      </c>
      <c r="AB42" s="141"/>
      <c r="AC42" s="140"/>
      <c r="AD42" s="150"/>
      <c r="AE42" s="142">
        <v>0.995</v>
      </c>
      <c r="AF42" s="142">
        <v>0.98550000000000004</v>
      </c>
      <c r="AG42" s="142">
        <v>0.995</v>
      </c>
      <c r="AH42" s="142"/>
      <c r="AI42" s="142"/>
      <c r="AJ42" s="142"/>
      <c r="AK42" s="142"/>
      <c r="AL42" s="142"/>
      <c r="AM42" s="182"/>
      <c r="AN42" s="182"/>
    </row>
    <row r="43" spans="1:40">
      <c r="A43" s="134">
        <f t="shared" si="10"/>
        <v>42</v>
      </c>
      <c r="B43" s="135" t="str">
        <f t="shared" ref="B43:C43" si="53">B31</f>
        <v>September</v>
      </c>
      <c r="C43" s="135">
        <f t="shared" si="53"/>
        <v>9</v>
      </c>
      <c r="D43" s="136">
        <v>45901</v>
      </c>
      <c r="E43" s="137">
        <f t="shared" si="38"/>
        <v>2025</v>
      </c>
      <c r="F43" s="137" t="s">
        <v>208</v>
      </c>
      <c r="G43" s="138">
        <f t="shared" si="39"/>
        <v>30</v>
      </c>
      <c r="H43" s="143">
        <f t="shared" si="20"/>
        <v>138.860397627</v>
      </c>
      <c r="I43" s="143">
        <f t="shared" si="20"/>
        <v>165.14882880000005</v>
      </c>
      <c r="J43" s="140"/>
      <c r="K43" s="139">
        <f t="shared" si="21"/>
        <v>18.930330000000001</v>
      </c>
      <c r="L43" s="138"/>
      <c r="M43" s="141">
        <v>1411.7113824061717</v>
      </c>
      <c r="N43" s="141">
        <v>11.72</v>
      </c>
      <c r="O43" s="142">
        <f t="shared" si="40"/>
        <v>0.72936145233565186</v>
      </c>
      <c r="P43" s="140">
        <f t="shared" si="41"/>
        <v>5.5049609600000018</v>
      </c>
      <c r="Q43" s="138">
        <f>COUNTIFS('Daily KPI'!$D:$D,D43,'Daily KPI'!$K:$K,"&gt;0")</f>
        <v>0</v>
      </c>
      <c r="R43" s="141">
        <f t="shared" si="42"/>
        <v>0</v>
      </c>
      <c r="S43" s="149">
        <f>SUMIF($F$2:F49,F43,$R$2:R49)</f>
        <v>712.69087138709676</v>
      </c>
      <c r="T43" s="140">
        <f t="shared" si="43"/>
        <v>47.057046080205723</v>
      </c>
      <c r="U43" s="141">
        <f t="shared" si="44"/>
        <v>0</v>
      </c>
      <c r="V43" s="149">
        <f>SUMIF($F$2:F49,F43,$U$2:U49)</f>
        <v>6049.706025312782</v>
      </c>
      <c r="W43" s="142">
        <f t="shared" si="45"/>
        <v>0.16729609670152773</v>
      </c>
      <c r="X43" s="142" t="str">
        <f t="shared" si="8"/>
        <v/>
      </c>
      <c r="Y43" s="142">
        <f t="shared" si="9"/>
        <v>0.19914603430984751</v>
      </c>
      <c r="Z43" s="140" t="str">
        <f>IFERROR(AVERAGEIF('Daily KPI'!D:D,Table14[[#This Row],[Month]],'Daily KPI'!AB:AB),"")</f>
        <v/>
      </c>
      <c r="AA43" s="143">
        <f>IFERROR(AVERAGEIF($F$2:F43,F43,$Z$2:Z43),"")</f>
        <v>11.720000000000006</v>
      </c>
      <c r="AB43" s="141"/>
      <c r="AC43" s="140"/>
      <c r="AD43" s="150"/>
      <c r="AE43" s="142">
        <v>0.995</v>
      </c>
      <c r="AF43" s="142">
        <v>0.98550000000000004</v>
      </c>
      <c r="AG43" s="142">
        <v>0.995</v>
      </c>
      <c r="AH43" s="142"/>
      <c r="AI43" s="142"/>
      <c r="AJ43" s="142"/>
      <c r="AK43" s="142"/>
      <c r="AL43" s="142"/>
      <c r="AM43" s="182"/>
      <c r="AN43" s="182"/>
    </row>
    <row r="44" spans="1:40">
      <c r="A44" s="134">
        <f t="shared" si="10"/>
        <v>43</v>
      </c>
      <c r="B44" s="135" t="str">
        <f t="shared" ref="B44:C44" si="54">B32</f>
        <v>October</v>
      </c>
      <c r="C44" s="135">
        <f t="shared" si="54"/>
        <v>10</v>
      </c>
      <c r="D44" s="136">
        <v>45931</v>
      </c>
      <c r="E44" s="137">
        <f t="shared" ref="E44:E49" si="55">YEAR(D44)</f>
        <v>2025</v>
      </c>
      <c r="F44" s="137" t="s">
        <v>208</v>
      </c>
      <c r="G44" s="138">
        <f t="shared" ref="G44:G49" si="56">DAY(EOMONTH(D44,0))</f>
        <v>31</v>
      </c>
      <c r="H44" s="143">
        <f t="shared" si="20"/>
        <v>144.27891666400001</v>
      </c>
      <c r="I44" s="143">
        <f t="shared" si="20"/>
        <v>175.0139135</v>
      </c>
      <c r="J44" s="140"/>
      <c r="K44" s="139">
        <f t="shared" si="21"/>
        <v>19.660550000000001</v>
      </c>
      <c r="L44" s="138"/>
      <c r="M44" s="141">
        <v>1561.1882427994742</v>
      </c>
      <c r="N44" s="141">
        <v>11.72</v>
      </c>
      <c r="O44" s="142">
        <f t="shared" ref="O44:O49" si="57">IFERROR(M44/I44/N44,"")</f>
        <v>0.76112341749431001</v>
      </c>
      <c r="P44" s="140">
        <f t="shared" ref="P44:P49" si="58">IFERROR(I44/G44,"")</f>
        <v>5.6456101129032259</v>
      </c>
      <c r="Q44" s="138">
        <f>COUNTIFS('Daily KPI'!$D:$D,D44,'Daily KPI'!$K:$K,"&gt;0")</f>
        <v>0</v>
      </c>
      <c r="R44" s="141">
        <f t="shared" ref="R44:R49" si="59">I44/G44*Q44</f>
        <v>0</v>
      </c>
      <c r="S44" s="149">
        <f>SUMIF($F$2:F44,F44,$R$2:R44)</f>
        <v>712.69087138709676</v>
      </c>
      <c r="T44" s="140">
        <f t="shared" ref="T44:T49" si="60">M44/G44</f>
        <v>50.360911058047556</v>
      </c>
      <c r="U44" s="141">
        <f t="shared" ref="U44:U49" si="61">M44/G44*Q44</f>
        <v>0</v>
      </c>
      <c r="V44" s="149">
        <f>SUMIF($F$2:F44,F44,$U$2:U44)</f>
        <v>6049.706025312782</v>
      </c>
      <c r="W44" s="142">
        <f t="shared" ref="W44:W49" si="62">IFERROR(T44/(24*N44),"")</f>
        <v>0.17904191929055585</v>
      </c>
      <c r="X44" s="142" t="str">
        <f t="shared" si="8"/>
        <v/>
      </c>
      <c r="Y44" s="142">
        <f t="shared" si="9"/>
        <v>0.19914603430984751</v>
      </c>
      <c r="Z44" s="140" t="str">
        <f>IFERROR(AVERAGEIF('Daily KPI'!D:D,Table14[[#This Row],[Month]],'Daily KPI'!AB:AB),"")</f>
        <v/>
      </c>
      <c r="AA44" s="143">
        <f>IFERROR(AVERAGEIF($F$2:F44,F44,$Z$2:Z44),"")</f>
        <v>11.720000000000006</v>
      </c>
      <c r="AB44" s="141"/>
      <c r="AC44" s="140"/>
      <c r="AD44" s="150"/>
      <c r="AE44" s="142">
        <v>0.995</v>
      </c>
      <c r="AF44" s="142">
        <v>0.98550000000000004</v>
      </c>
      <c r="AG44" s="142">
        <v>0.995</v>
      </c>
      <c r="AH44" s="142"/>
      <c r="AI44" s="142"/>
      <c r="AJ44" s="142"/>
      <c r="AK44" s="142"/>
      <c r="AL44" s="142"/>
      <c r="AM44" s="182"/>
      <c r="AN44" s="182"/>
    </row>
    <row r="45" spans="1:40">
      <c r="A45" s="134">
        <f t="shared" si="10"/>
        <v>44</v>
      </c>
      <c r="B45" s="135" t="str">
        <f t="shared" ref="B45:C45" si="63">B33</f>
        <v>November</v>
      </c>
      <c r="C45" s="135">
        <f t="shared" si="63"/>
        <v>11</v>
      </c>
      <c r="D45" s="136">
        <v>45962</v>
      </c>
      <c r="E45" s="137">
        <f t="shared" si="55"/>
        <v>2025</v>
      </c>
      <c r="F45" s="137" t="s">
        <v>208</v>
      </c>
      <c r="G45" s="138">
        <f t="shared" si="56"/>
        <v>30</v>
      </c>
      <c r="H45" s="143">
        <f t="shared" si="20"/>
        <v>136.88678809699999</v>
      </c>
      <c r="I45" s="143">
        <f t="shared" si="20"/>
        <v>168.81198910000003</v>
      </c>
      <c r="J45" s="140"/>
      <c r="K45" s="139">
        <f t="shared" si="21"/>
        <v>17.558019999999999</v>
      </c>
      <c r="L45" s="138"/>
      <c r="M45" s="141">
        <v>1475.8800816064518</v>
      </c>
      <c r="N45" s="141">
        <v>11.72</v>
      </c>
      <c r="O45" s="142">
        <f t="shared" si="57"/>
        <v>0.7459679568935248</v>
      </c>
      <c r="P45" s="140">
        <f t="shared" si="58"/>
        <v>5.6270663033333346</v>
      </c>
      <c r="Q45" s="138">
        <f>COUNTIFS('Daily KPI'!$D:$D,D45,'Daily KPI'!$K:$K,"&gt;0")</f>
        <v>0</v>
      </c>
      <c r="R45" s="141">
        <f t="shared" si="59"/>
        <v>0</v>
      </c>
      <c r="S45" s="149">
        <f>SUMIF($F$2:F45,F45,$R$2:R45)</f>
        <v>712.69087138709676</v>
      </c>
      <c r="T45" s="140">
        <f t="shared" si="60"/>
        <v>49.196002720215056</v>
      </c>
      <c r="U45" s="141">
        <f t="shared" si="61"/>
        <v>0</v>
      </c>
      <c r="V45" s="149">
        <f>SUMIF($F$2:F45,F45,$U$2:U45)</f>
        <v>6049.706025312782</v>
      </c>
      <c r="W45" s="142">
        <f t="shared" si="62"/>
        <v>0.17490046473341528</v>
      </c>
      <c r="X45" s="142" t="str">
        <f t="shared" si="8"/>
        <v/>
      </c>
      <c r="Y45" s="142">
        <f t="shared" si="9"/>
        <v>0.19914603430984751</v>
      </c>
      <c r="Z45" s="140" t="str">
        <f>IFERROR(AVERAGEIF('Daily KPI'!D:D,Table14[[#This Row],[Month]],'Daily KPI'!AB:AB),"")</f>
        <v/>
      </c>
      <c r="AA45" s="143">
        <f>IFERROR(AVERAGEIF($F$2:F45,F45,$Z$2:Z45),"")</f>
        <v>11.720000000000006</v>
      </c>
      <c r="AB45" s="141"/>
      <c r="AC45" s="140"/>
      <c r="AD45" s="150"/>
      <c r="AE45" s="142">
        <v>0.995</v>
      </c>
      <c r="AF45" s="142">
        <v>0.98550000000000004</v>
      </c>
      <c r="AG45" s="142">
        <v>0.995</v>
      </c>
      <c r="AH45" s="142"/>
      <c r="AI45" s="142"/>
      <c r="AJ45" s="142"/>
      <c r="AK45" s="142"/>
      <c r="AL45" s="142"/>
      <c r="AM45" s="182"/>
      <c r="AN45" s="182"/>
    </row>
    <row r="46" spans="1:40">
      <c r="A46" s="134">
        <f t="shared" si="10"/>
        <v>45</v>
      </c>
      <c r="B46" s="135" t="str">
        <f t="shared" ref="B46:C46" si="64">B34</f>
        <v>December</v>
      </c>
      <c r="C46" s="135">
        <f t="shared" si="64"/>
        <v>12</v>
      </c>
      <c r="D46" s="136">
        <v>45992</v>
      </c>
      <c r="E46" s="137">
        <f t="shared" si="55"/>
        <v>2025</v>
      </c>
      <c r="F46" s="137" t="s">
        <v>208</v>
      </c>
      <c r="G46" s="138">
        <f t="shared" si="56"/>
        <v>31</v>
      </c>
      <c r="H46" s="143">
        <f t="shared" si="20"/>
        <v>132.742847993</v>
      </c>
      <c r="I46" s="143">
        <f t="shared" si="20"/>
        <v>164.93463669999977</v>
      </c>
      <c r="J46" s="140"/>
      <c r="K46" s="139">
        <f t="shared" si="21"/>
        <v>17.196370000000002</v>
      </c>
      <c r="L46" s="138"/>
      <c r="M46" s="141">
        <v>1497.0298218625085</v>
      </c>
      <c r="N46" s="141">
        <v>11.72</v>
      </c>
      <c r="O46" s="142">
        <f t="shared" si="57"/>
        <v>0.77444569867075785</v>
      </c>
      <c r="P46" s="140">
        <f t="shared" si="58"/>
        <v>5.3204721516128961</v>
      </c>
      <c r="Q46" s="138">
        <f>COUNTIFS('Daily KPI'!$D:$D,D46,'Daily KPI'!$K:$K,"&gt;0")</f>
        <v>0</v>
      </c>
      <c r="R46" s="141">
        <f t="shared" si="59"/>
        <v>0</v>
      </c>
      <c r="S46" s="149">
        <f>SUMIF($F$2:F46,F46,$R$2:R46)</f>
        <v>712.69087138709676</v>
      </c>
      <c r="T46" s="140">
        <f t="shared" si="60"/>
        <v>48.291284576209954</v>
      </c>
      <c r="U46" s="141">
        <f t="shared" si="61"/>
        <v>0</v>
      </c>
      <c r="V46" s="149">
        <f>SUMIF($F$2:F46,F46,$U$2:U46)</f>
        <v>6049.706025312782</v>
      </c>
      <c r="W46" s="142">
        <f t="shared" si="62"/>
        <v>0.17168403219642331</v>
      </c>
      <c r="X46" s="142" t="str">
        <f t="shared" si="8"/>
        <v/>
      </c>
      <c r="Y46" s="142">
        <f t="shared" si="9"/>
        <v>0.19914603430984751</v>
      </c>
      <c r="Z46" s="140" t="str">
        <f>IFERROR(AVERAGEIF('Daily KPI'!D:D,Table14[[#This Row],[Month]],'Daily KPI'!AB:AB),"")</f>
        <v/>
      </c>
      <c r="AA46" s="143">
        <f>IFERROR(AVERAGEIF($F$2:F46,F46,$Z$2:Z46),"")</f>
        <v>11.720000000000006</v>
      </c>
      <c r="AB46" s="141"/>
      <c r="AC46" s="140"/>
      <c r="AD46" s="150"/>
      <c r="AE46" s="142">
        <v>0.995</v>
      </c>
      <c r="AF46" s="142">
        <v>0.98550000000000004</v>
      </c>
      <c r="AG46" s="142">
        <v>0.995</v>
      </c>
      <c r="AH46" s="142"/>
      <c r="AI46" s="142"/>
      <c r="AJ46" s="142"/>
      <c r="AK46" s="142"/>
      <c r="AL46" s="142"/>
      <c r="AM46" s="182"/>
      <c r="AN46" s="182"/>
    </row>
    <row r="47" spans="1:40">
      <c r="A47" s="134">
        <f t="shared" si="10"/>
        <v>46</v>
      </c>
      <c r="B47" s="135" t="str">
        <f t="shared" ref="B47:C47" si="65">B35</f>
        <v>January</v>
      </c>
      <c r="C47" s="135">
        <f t="shared" si="65"/>
        <v>1</v>
      </c>
      <c r="D47" s="136">
        <v>46023</v>
      </c>
      <c r="E47" s="137">
        <f t="shared" si="55"/>
        <v>2026</v>
      </c>
      <c r="F47" s="137" t="s">
        <v>208</v>
      </c>
      <c r="G47" s="138">
        <f t="shared" si="56"/>
        <v>31</v>
      </c>
      <c r="H47" s="143">
        <f t="shared" si="20"/>
        <v>147.17861885299999</v>
      </c>
      <c r="I47" s="143">
        <f t="shared" si="20"/>
        <v>186.54543479999998</v>
      </c>
      <c r="J47" s="140"/>
      <c r="K47" s="139">
        <f t="shared" si="21"/>
        <v>17.42991</v>
      </c>
      <c r="L47" s="138"/>
      <c r="M47" s="141">
        <v>1678.8120145172416</v>
      </c>
      <c r="N47" s="141">
        <v>11.72</v>
      </c>
      <c r="O47" s="142">
        <f t="shared" si="57"/>
        <v>0.76787376813667318</v>
      </c>
      <c r="P47" s="140">
        <f t="shared" si="58"/>
        <v>6.0175946709677417</v>
      </c>
      <c r="Q47" s="138">
        <f>COUNTIFS('Daily KPI'!$D:$D,D47,'Daily KPI'!$K:$K,"&gt;0")</f>
        <v>0</v>
      </c>
      <c r="R47" s="141">
        <f t="shared" si="59"/>
        <v>0</v>
      </c>
      <c r="S47" s="149">
        <f>SUMIF($F$2:F47,F47,$R$2:R47)</f>
        <v>712.69087138709676</v>
      </c>
      <c r="T47" s="140">
        <f t="shared" si="60"/>
        <v>54.155226274749729</v>
      </c>
      <c r="U47" s="141">
        <f t="shared" si="61"/>
        <v>0</v>
      </c>
      <c r="V47" s="149">
        <f>SUMIF($F$2:F47,F47,$U$2:U47)</f>
        <v>6049.706025312782</v>
      </c>
      <c r="W47" s="142">
        <f t="shared" si="62"/>
        <v>0.19253137896313183</v>
      </c>
      <c r="X47" s="142" t="str">
        <f t="shared" si="8"/>
        <v/>
      </c>
      <c r="Y47" s="142">
        <f t="shared" si="9"/>
        <v>0.19914603430984751</v>
      </c>
      <c r="Z47" s="140" t="str">
        <f>IFERROR(AVERAGEIF('Daily KPI'!D:D,Table14[[#This Row],[Month]],'Daily KPI'!AB:AB),"")</f>
        <v/>
      </c>
      <c r="AA47" s="143">
        <f>IFERROR(AVERAGEIF($F$2:F47,F47,$Z$2:Z47),"")</f>
        <v>11.720000000000006</v>
      </c>
      <c r="AB47" s="141"/>
      <c r="AC47" s="140"/>
      <c r="AD47" s="150"/>
      <c r="AE47" s="142">
        <v>0.995</v>
      </c>
      <c r="AF47" s="142">
        <v>0.98550000000000004</v>
      </c>
      <c r="AG47" s="142">
        <v>0.995</v>
      </c>
      <c r="AH47" s="142"/>
      <c r="AI47" s="142"/>
      <c r="AJ47" s="142"/>
      <c r="AK47" s="142"/>
      <c r="AL47" s="142"/>
      <c r="AM47" s="182"/>
      <c r="AN47" s="182"/>
    </row>
    <row r="48" spans="1:40">
      <c r="A48" s="134">
        <f t="shared" si="10"/>
        <v>47</v>
      </c>
      <c r="B48" s="135" t="str">
        <f t="shared" ref="B48:C48" si="66">B36</f>
        <v>February</v>
      </c>
      <c r="C48" s="135">
        <f t="shared" si="66"/>
        <v>2</v>
      </c>
      <c r="D48" s="136">
        <v>46054</v>
      </c>
      <c r="E48" s="137">
        <f t="shared" si="55"/>
        <v>2026</v>
      </c>
      <c r="F48" s="137" t="s">
        <v>208</v>
      </c>
      <c r="G48" s="138">
        <f t="shared" si="56"/>
        <v>28</v>
      </c>
      <c r="H48" s="143">
        <f t="shared" si="20"/>
        <v>153.83568869499999</v>
      </c>
      <c r="I48" s="143">
        <f t="shared" si="20"/>
        <v>193.23044800000002</v>
      </c>
      <c r="J48" s="140"/>
      <c r="K48" s="139">
        <f t="shared" si="21"/>
        <v>17.77167</v>
      </c>
      <c r="L48" s="138"/>
      <c r="M48" s="141">
        <v>1604.9607485766858</v>
      </c>
      <c r="N48" s="141">
        <v>11.72</v>
      </c>
      <c r="O48" s="142">
        <f t="shared" si="57"/>
        <v>0.70869805877547398</v>
      </c>
      <c r="P48" s="140">
        <f t="shared" si="58"/>
        <v>6.9010874285714294</v>
      </c>
      <c r="Q48" s="138">
        <f>COUNTIFS('Daily KPI'!$D:$D,D48,'Daily KPI'!$K:$K,"&gt;0")</f>
        <v>0</v>
      </c>
      <c r="R48" s="141">
        <f t="shared" si="59"/>
        <v>0</v>
      </c>
      <c r="S48" s="149">
        <f>SUMIF($F$2:F48,F48,$R$2:R48)</f>
        <v>712.69087138709676</v>
      </c>
      <c r="T48" s="140">
        <f t="shared" si="60"/>
        <v>57.320026734881637</v>
      </c>
      <c r="U48" s="141">
        <f t="shared" si="61"/>
        <v>0</v>
      </c>
      <c r="V48" s="149">
        <f>SUMIF($F$2:F48,F48,$U$2:U48)</f>
        <v>6049.706025312782</v>
      </c>
      <c r="W48" s="142">
        <f t="shared" si="62"/>
        <v>0.20378280266951659</v>
      </c>
      <c r="X48" s="142" t="str">
        <f t="shared" si="8"/>
        <v/>
      </c>
      <c r="Y48" s="142">
        <f t="shared" si="9"/>
        <v>0.19914603430984751</v>
      </c>
      <c r="Z48" s="140" t="str">
        <f>IFERROR(AVERAGEIF('Daily KPI'!D:D,Table14[[#This Row],[Month]],'Daily KPI'!AB:AB),"")</f>
        <v/>
      </c>
      <c r="AA48" s="143">
        <f>IFERROR(AVERAGEIF($F$2:F48,F48,$Z$2:Z48),"")</f>
        <v>11.720000000000006</v>
      </c>
      <c r="AB48" s="141"/>
      <c r="AC48" s="140"/>
      <c r="AD48" s="150"/>
      <c r="AE48" s="142">
        <v>0.995</v>
      </c>
      <c r="AF48" s="142">
        <v>0.98550000000000004</v>
      </c>
      <c r="AG48" s="142">
        <v>0.995</v>
      </c>
      <c r="AH48" s="142"/>
      <c r="AI48" s="142"/>
      <c r="AJ48" s="142"/>
      <c r="AK48" s="142"/>
      <c r="AL48" s="142"/>
      <c r="AM48" s="182"/>
      <c r="AN48" s="182"/>
    </row>
    <row r="49" spans="1:40">
      <c r="A49" s="134">
        <f t="shared" si="10"/>
        <v>48</v>
      </c>
      <c r="B49" s="135" t="str">
        <f t="shared" ref="B49:C49" si="67">B37</f>
        <v>March</v>
      </c>
      <c r="C49" s="135">
        <f t="shared" si="67"/>
        <v>3</v>
      </c>
      <c r="D49" s="136">
        <v>46082</v>
      </c>
      <c r="E49" s="137">
        <f t="shared" si="55"/>
        <v>2026</v>
      </c>
      <c r="F49" s="137" t="s">
        <v>208</v>
      </c>
      <c r="G49" s="138">
        <f t="shared" si="56"/>
        <v>31</v>
      </c>
      <c r="H49" s="143">
        <f t="shared" si="20"/>
        <v>191.24087224799999</v>
      </c>
      <c r="I49" s="143">
        <f t="shared" si="20"/>
        <v>239.21477689999998</v>
      </c>
      <c r="J49" s="140"/>
      <c r="K49" s="139">
        <f t="shared" si="21"/>
        <v>22.15643</v>
      </c>
      <c r="L49" s="138"/>
      <c r="M49" s="141">
        <v>2095.8417506075129</v>
      </c>
      <c r="N49" s="141">
        <v>11.72</v>
      </c>
      <c r="O49" s="142">
        <f t="shared" si="57"/>
        <v>0.74755452089211905</v>
      </c>
      <c r="P49" s="140">
        <f t="shared" si="58"/>
        <v>7.7166057064516123</v>
      </c>
      <c r="Q49" s="138">
        <f>COUNTIFS('Daily KPI'!$D:$D,D49,'Daily KPI'!$K:$K,"&gt;0")</f>
        <v>0</v>
      </c>
      <c r="R49" s="141">
        <f t="shared" si="59"/>
        <v>0</v>
      </c>
      <c r="S49" s="149">
        <f>SUMIF($F$2:F49,F49,$R$2:R49)</f>
        <v>712.69087138709676</v>
      </c>
      <c r="T49" s="140">
        <f t="shared" si="60"/>
        <v>67.607798406693959</v>
      </c>
      <c r="U49" s="141">
        <f t="shared" si="61"/>
        <v>0</v>
      </c>
      <c r="V49" s="149">
        <f>SUMIF($F$2:F49,F49,$U$2:U49)</f>
        <v>6049.706025312782</v>
      </c>
      <c r="W49" s="142">
        <f t="shared" si="62"/>
        <v>0.24035764507499272</v>
      </c>
      <c r="X49" s="142" t="str">
        <f t="shared" si="8"/>
        <v/>
      </c>
      <c r="Y49" s="142">
        <f t="shared" si="9"/>
        <v>0.19914603430984751</v>
      </c>
      <c r="Z49" s="140" t="str">
        <f>IFERROR(AVERAGEIF('Daily KPI'!D:D,Table14[[#This Row],[Month]],'Daily KPI'!AB:AB),"")</f>
        <v/>
      </c>
      <c r="AA49" s="143">
        <f>IFERROR(AVERAGEIF($F$2:F49,F49,$Z$2:Z49),"")</f>
        <v>11.720000000000006</v>
      </c>
      <c r="AB49" s="141"/>
      <c r="AC49" s="140"/>
      <c r="AD49" s="150"/>
      <c r="AE49" s="142">
        <v>0.995</v>
      </c>
      <c r="AF49" s="142">
        <v>0.98550000000000004</v>
      </c>
      <c r="AG49" s="142">
        <v>0.995</v>
      </c>
      <c r="AH49" s="142"/>
      <c r="AI49" s="142"/>
      <c r="AJ49" s="142"/>
      <c r="AK49" s="142"/>
      <c r="AL49" s="142"/>
      <c r="AM49" s="184"/>
      <c r="AN49" s="184"/>
    </row>
  </sheetData>
  <phoneticPr fontId="3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13"/>
  <sheetViews>
    <sheetView topLeftCell="A2" workbookViewId="0">
      <pane xSplit="1" ySplit="1" topLeftCell="B97" activePane="bottomRight" state="frozen"/>
      <selection pane="topRight" activeCell="B2" sqref="B2"/>
      <selection pane="bottomLeft" activeCell="A3" sqref="A3"/>
      <selection pane="bottomRight" activeCell="B113" sqref="B113"/>
    </sheetView>
  </sheetViews>
  <sheetFormatPr defaultColWidth="9" defaultRowHeight="15"/>
  <cols>
    <col min="1" max="2" width="11.28515625" customWidth="1"/>
    <col min="4" max="4" width="14.28515625" customWidth="1"/>
    <col min="5" max="5" width="13" customWidth="1"/>
    <col min="6" max="6" width="14" style="2" customWidth="1"/>
    <col min="8" max="8" width="14" customWidth="1"/>
    <col min="9" max="15" width="10.28515625" style="2" customWidth="1"/>
    <col min="16" max="17" width="8.7109375" style="2"/>
  </cols>
  <sheetData>
    <row r="1" spans="1:17" hidden="1">
      <c r="J1" s="2">
        <f>VLOOKUP(J2,'Basic Data'!$A$1:$B$7,2,0)</f>
        <v>1987.7249999999999</v>
      </c>
      <c r="K1" s="2">
        <f>VLOOKUP(K2,'Basic Data'!$A$1:$B$7,2,0)</f>
        <v>2031.2049999999999</v>
      </c>
      <c r="L1" s="2">
        <f>VLOOKUP(L2,'Basic Data'!$A$1:$B$7,2,0)</f>
        <v>1806.68</v>
      </c>
      <c r="M1" s="2">
        <f>VLOOKUP(M2,'Basic Data'!$A$1:$B$7,2,0)</f>
        <v>1844.7249999999999</v>
      </c>
      <c r="N1" s="2">
        <f>VLOOKUP(N2,'Basic Data'!$A$1:$B$7,2,0)</f>
        <v>2020.105</v>
      </c>
      <c r="O1" s="2">
        <f>VLOOKUP(O2,'Basic Data'!$A$1:$B$7,2,0)</f>
        <v>2020</v>
      </c>
    </row>
    <row r="2" spans="1:17" ht="36">
      <c r="A2" s="200" t="s">
        <v>125</v>
      </c>
      <c r="B2" s="50" t="s">
        <v>209</v>
      </c>
      <c r="C2" s="50" t="s">
        <v>126</v>
      </c>
      <c r="D2" s="50" t="s">
        <v>127</v>
      </c>
      <c r="E2" s="50" t="s">
        <v>128</v>
      </c>
      <c r="F2" s="2" t="s">
        <v>84</v>
      </c>
      <c r="G2" s="50" t="s">
        <v>63</v>
      </c>
      <c r="H2" s="51" t="s">
        <v>34</v>
      </c>
      <c r="I2" s="52" t="s">
        <v>129</v>
      </c>
      <c r="J2" s="52" t="s">
        <v>132</v>
      </c>
      <c r="K2" s="52" t="s">
        <v>133</v>
      </c>
      <c r="L2" s="52" t="s">
        <v>134</v>
      </c>
      <c r="M2" s="52" t="s">
        <v>135</v>
      </c>
      <c r="N2" s="52" t="s">
        <v>136</v>
      </c>
      <c r="O2" s="52" t="s">
        <v>137</v>
      </c>
      <c r="P2" s="53" t="s">
        <v>210</v>
      </c>
      <c r="Q2" s="53" t="s">
        <v>211</v>
      </c>
    </row>
    <row r="3" spans="1:17">
      <c r="A3" s="156">
        <f>YEAR(H3)+IF(MONTH(H3)&gt;=4,1,0)</f>
        <v>2025</v>
      </c>
      <c r="B3" s="129">
        <f>YEAR(H3)</f>
        <v>2025</v>
      </c>
      <c r="C3" s="54">
        <f>YEAR(Table12[[#This Row],[Date]])</f>
        <v>2025</v>
      </c>
      <c r="D3" s="54" t="s">
        <v>155</v>
      </c>
      <c r="E3" s="54" t="s">
        <v>155</v>
      </c>
      <c r="F3" s="60">
        <v>45717</v>
      </c>
      <c r="G3" s="54">
        <f t="shared" ref="G3" si="0">DAY(EOMONTH(F3,0))</f>
        <v>31</v>
      </c>
      <c r="H3" s="55">
        <v>45745</v>
      </c>
      <c r="I3" s="56">
        <f>'Modelling New'!$AQ$1</f>
        <v>11.72</v>
      </c>
      <c r="J3" s="30">
        <f>'Raw Data'!K4/J$1</f>
        <v>4.2832886842998912</v>
      </c>
      <c r="K3" s="30">
        <f>'Raw Data'!L4/K$1</f>
        <v>4.2093240219475634</v>
      </c>
      <c r="L3" s="30">
        <f>'Raw Data'!M4/L$1</f>
        <v>4.2066110213208754</v>
      </c>
      <c r="M3" s="30">
        <f>'Raw Data'!N4/M$1</f>
        <v>4.3881879412920624</v>
      </c>
      <c r="N3" s="30">
        <f>'Raw Data'!O4/N$1</f>
        <v>4.2765103794109711</v>
      </c>
      <c r="O3" s="30">
        <f>'Raw Data'!P4/O$1</f>
        <v>4.2623762376237622</v>
      </c>
      <c r="P3" s="30">
        <f t="shared" ref="P3" si="1">IFERROR(AVERAGEIF(J3:O3,"&gt;"&amp;0,J3:O3),"")</f>
        <v>4.271049714315855</v>
      </c>
      <c r="Q3" s="30">
        <f t="shared" ref="Q3" si="2">MAXA(J3:O3)</f>
        <v>4.3881879412920624</v>
      </c>
    </row>
    <row r="4" spans="1:17">
      <c r="A4" s="156">
        <f t="shared" ref="A4:A41" si="3">YEAR(H4)+IF(MONTH(H4)&gt;=4,1,0)</f>
        <v>2025</v>
      </c>
      <c r="B4" s="129">
        <f t="shared" ref="B4:B41" si="4">YEAR(H4)</f>
        <v>2025</v>
      </c>
      <c r="C4" s="54">
        <f>YEAR(Table12[[#This Row],[Date]])</f>
        <v>2025</v>
      </c>
      <c r="D4" s="54" t="s">
        <v>155</v>
      </c>
      <c r="E4" s="54" t="s">
        <v>155</v>
      </c>
      <c r="F4" s="60">
        <v>45717</v>
      </c>
      <c r="G4" s="54">
        <f t="shared" ref="G4" si="5">DAY(EOMONTH(F4,0))</f>
        <v>31</v>
      </c>
      <c r="H4" s="55">
        <f t="shared" ref="H4:H23" si="6">H3+1</f>
        <v>45746</v>
      </c>
      <c r="I4" s="56">
        <f>'Modelling New'!$AQ$1</f>
        <v>11.72</v>
      </c>
      <c r="J4" s="30">
        <f>'Raw Data'!K5/J$1</f>
        <v>4.5554591304129097</v>
      </c>
      <c r="K4" s="30">
        <f>'Raw Data'!L5/K$1</f>
        <v>4.4978227209956652</v>
      </c>
      <c r="L4" s="30">
        <f>'Raw Data'!M5/L$1</f>
        <v>4.5442469059268937</v>
      </c>
      <c r="M4" s="30">
        <f>'Raw Data'!N5/M$1</f>
        <v>4.6966349997967178</v>
      </c>
      <c r="N4" s="30">
        <f>'Raw Data'!O5/N$1</f>
        <v>4.6215419495521273</v>
      </c>
      <c r="O4" s="30">
        <f>'Raw Data'!P5/O$1</f>
        <v>4.5777227722772276</v>
      </c>
      <c r="P4" s="30">
        <f t="shared" ref="P4" si="7">IFERROR(AVERAGEIF(J4:O4,"&gt;"&amp;0,J4:O4),"")</f>
        <v>4.5822380798269231</v>
      </c>
      <c r="Q4" s="30">
        <f t="shared" ref="Q4" si="8">MAXA(J4:O4)</f>
        <v>4.6966349997967178</v>
      </c>
    </row>
    <row r="5" spans="1:17">
      <c r="A5" s="156">
        <f t="shared" si="3"/>
        <v>2025</v>
      </c>
      <c r="B5" s="129">
        <f t="shared" si="4"/>
        <v>2025</v>
      </c>
      <c r="C5" s="54">
        <f>YEAR(Table12[[#This Row],[Date]])</f>
        <v>2025</v>
      </c>
      <c r="D5" s="54" t="s">
        <v>155</v>
      </c>
      <c r="E5" s="54" t="s">
        <v>155</v>
      </c>
      <c r="F5" s="60">
        <v>45717</v>
      </c>
      <c r="G5" s="54">
        <f t="shared" ref="G5" si="9">DAY(EOMONTH(F5,0))</f>
        <v>31</v>
      </c>
      <c r="H5" s="55">
        <f t="shared" si="6"/>
        <v>45747</v>
      </c>
      <c r="I5" s="56">
        <f>'Modelling New'!$AQ$1</f>
        <v>11.72</v>
      </c>
      <c r="J5" s="30">
        <f>'Raw Data'!K6/J$1</f>
        <v>4.7239935101686603</v>
      </c>
      <c r="K5" s="30">
        <f>'Raw Data'!L6/K$1</f>
        <v>4.7208430463690272</v>
      </c>
      <c r="L5" s="30">
        <f>'Raw Data'!M6/L$1</f>
        <v>4.7158323554807708</v>
      </c>
      <c r="M5" s="30">
        <f>'Raw Data'!N6/M$1</f>
        <v>4.8738971933486024</v>
      </c>
      <c r="N5" s="30">
        <f>'Raw Data'!O6/N$1</f>
        <v>4.8126211261295824</v>
      </c>
      <c r="O5" s="30">
        <f>'Raw Data'!P6/O$1</f>
        <v>4.776237623762376</v>
      </c>
      <c r="P5" s="30">
        <f t="shared" ref="P5" si="10">IFERROR(AVERAGEIF(J5:O5,"&gt;"&amp;0,J5:O5),"")</f>
        <v>4.7705708092098371</v>
      </c>
      <c r="Q5" s="30">
        <f t="shared" ref="Q5" si="11">MAXA(J5:O5)</f>
        <v>4.8738971933486024</v>
      </c>
    </row>
    <row r="6" spans="1:17">
      <c r="A6" s="156">
        <f t="shared" si="3"/>
        <v>2026</v>
      </c>
      <c r="B6" s="129">
        <f t="shared" si="4"/>
        <v>2025</v>
      </c>
      <c r="C6" s="54">
        <f>YEAR(Table12[[#This Row],[Date]])</f>
        <v>2025</v>
      </c>
      <c r="D6" s="54" t="s">
        <v>155</v>
      </c>
      <c r="E6" s="54" t="s">
        <v>155</v>
      </c>
      <c r="F6" s="60">
        <v>45748</v>
      </c>
      <c r="G6" s="54">
        <f t="shared" ref="G6" si="12">DAY(EOMONTH(F6,0))</f>
        <v>30</v>
      </c>
      <c r="H6" s="55">
        <f t="shared" si="6"/>
        <v>45748</v>
      </c>
      <c r="I6" s="56">
        <f>'Modelling New'!$AQ$1</f>
        <v>11.72</v>
      </c>
      <c r="J6" s="30">
        <f>'Raw Data'!K7/J$1</f>
        <v>4.5187337282571782</v>
      </c>
      <c r="K6" s="30">
        <f>'Raw Data'!L7/K$1</f>
        <v>4.5593625458779394</v>
      </c>
      <c r="L6" s="30">
        <f>'Raw Data'!M7/L$1</f>
        <v>4.5730289813359306</v>
      </c>
      <c r="M6" s="30">
        <f>'Raw Data'!N7/M$1</f>
        <v>4.6922983100462128</v>
      </c>
      <c r="N6" s="30">
        <f>'Raw Data'!O7/N$1</f>
        <v>4.7032208721823867</v>
      </c>
      <c r="O6" s="30">
        <f>'Raw Data'!P7/O$1</f>
        <v>4.5900990099009897</v>
      </c>
      <c r="P6" s="30">
        <f t="shared" ref="P6" si="13">IFERROR(AVERAGEIF(J6:O6,"&gt;"&amp;0,J6:O6),"")</f>
        <v>4.6061239079334397</v>
      </c>
      <c r="Q6" s="30">
        <f t="shared" ref="Q6" si="14">MAXA(J6:O6)</f>
        <v>4.7032208721823867</v>
      </c>
    </row>
    <row r="7" spans="1:17">
      <c r="A7" s="156">
        <f t="shared" si="3"/>
        <v>2026</v>
      </c>
      <c r="B7" s="129">
        <f t="shared" si="4"/>
        <v>2025</v>
      </c>
      <c r="C7" s="54">
        <f>YEAR(Table12[[#This Row],[Date]])</f>
        <v>2025</v>
      </c>
      <c r="D7" s="54" t="s">
        <v>155</v>
      </c>
      <c r="E7" s="54" t="s">
        <v>155</v>
      </c>
      <c r="F7" s="60">
        <v>45748</v>
      </c>
      <c r="G7" s="54">
        <f t="shared" ref="G7" si="15">DAY(EOMONTH(F7,0))</f>
        <v>30</v>
      </c>
      <c r="H7" s="55">
        <f t="shared" si="6"/>
        <v>45749</v>
      </c>
      <c r="I7" s="56">
        <f>'Modelling New'!$AQ$1</f>
        <v>11.72</v>
      </c>
      <c r="J7" s="30">
        <f>'Raw Data'!K8/J$1</f>
        <v>5.3050598045504289</v>
      </c>
      <c r="K7" s="30">
        <f>'Raw Data'!L8/K$1</f>
        <v>5.3992580758712192</v>
      </c>
      <c r="L7" s="30">
        <f>'Raw Data'!M8/L$1</f>
        <v>5.5006974118272192</v>
      </c>
      <c r="M7" s="30">
        <f>'Raw Data'!N8/M$1</f>
        <v>5.6756427109731806</v>
      </c>
      <c r="N7" s="30">
        <f>'Raw Data'!O8/N$1</f>
        <v>5.6437660418641604</v>
      </c>
      <c r="O7" s="30">
        <f>'Raw Data'!P8/O$1</f>
        <v>5.503960396039604</v>
      </c>
      <c r="P7" s="30">
        <f t="shared" ref="P7" si="16">IFERROR(AVERAGEIF(J7:O7,"&gt;"&amp;0,J7:O7),"")</f>
        <v>5.5047307401876351</v>
      </c>
      <c r="Q7" s="30">
        <f t="shared" ref="Q7" si="17">MAXA(J7:O7)</f>
        <v>5.6756427109731806</v>
      </c>
    </row>
    <row r="8" spans="1:17">
      <c r="A8" s="156">
        <f t="shared" si="3"/>
        <v>2026</v>
      </c>
      <c r="B8" s="129">
        <f t="shared" si="4"/>
        <v>2025</v>
      </c>
      <c r="C8" s="54">
        <f>YEAR(Table12[[#This Row],[Date]])</f>
        <v>2025</v>
      </c>
      <c r="D8" s="54" t="s">
        <v>155</v>
      </c>
      <c r="E8" s="54" t="s">
        <v>155</v>
      </c>
      <c r="F8" s="60">
        <v>45748</v>
      </c>
      <c r="G8" s="54">
        <f t="shared" ref="G8" si="18">DAY(EOMONTH(F8,0))</f>
        <v>30</v>
      </c>
      <c r="H8" s="55">
        <f t="shared" si="6"/>
        <v>45750</v>
      </c>
      <c r="I8" s="56">
        <f>'Modelling New'!$AQ$1</f>
        <v>11.72</v>
      </c>
      <c r="J8" s="30">
        <f>'Raw Data'!K9/J$1</f>
        <v>3.0180231168798501</v>
      </c>
      <c r="K8" s="30">
        <f>'Raw Data'!L9/K$1</f>
        <v>3.0011741798587539</v>
      </c>
      <c r="L8" s="30">
        <f>'Raw Data'!M9/L$1</f>
        <v>3.038169460003985</v>
      </c>
      <c r="M8" s="30">
        <f>'Raw Data'!N9/M$1</f>
        <v>3.0828443263901124</v>
      </c>
      <c r="N8" s="30">
        <f>'Raw Data'!O9/N$1</f>
        <v>3.096373703347103</v>
      </c>
      <c r="O8" s="30">
        <f>'Raw Data'!P9/O$1</f>
        <v>3.106930693069307</v>
      </c>
      <c r="P8" s="30">
        <f t="shared" ref="P8" si="19">IFERROR(AVERAGEIF(J8:O8,"&gt;"&amp;0,J8:O8),"")</f>
        <v>3.0572525799248518</v>
      </c>
      <c r="Q8" s="30">
        <f t="shared" ref="Q8" si="20">MAXA(J8:O8)</f>
        <v>3.106930693069307</v>
      </c>
    </row>
    <row r="9" spans="1:17">
      <c r="A9" s="156">
        <f t="shared" si="3"/>
        <v>2026</v>
      </c>
      <c r="B9" s="129">
        <f t="shared" si="4"/>
        <v>2025</v>
      </c>
      <c r="C9" s="54">
        <f>YEAR(Table12[[#This Row],[Date]])</f>
        <v>2025</v>
      </c>
      <c r="D9" s="54" t="s">
        <v>155</v>
      </c>
      <c r="E9" s="54" t="s">
        <v>155</v>
      </c>
      <c r="F9" s="60">
        <v>45748</v>
      </c>
      <c r="G9" s="54">
        <f t="shared" ref="G9" si="21">DAY(EOMONTH(F9,0))</f>
        <v>30</v>
      </c>
      <c r="H9" s="55">
        <f t="shared" si="6"/>
        <v>45751</v>
      </c>
      <c r="I9" s="56">
        <f>'Modelling New'!$AQ$1</f>
        <v>11.72</v>
      </c>
      <c r="J9" s="30">
        <f>'Raw Data'!K10/J$1</f>
        <v>5.4886868153290829</v>
      </c>
      <c r="K9" s="30">
        <f>'Raw Data'!L10/K$1</f>
        <v>5.5149529466498954</v>
      </c>
      <c r="L9" s="30">
        <f>'Raw Data'!M10/L$1</f>
        <v>5.5411030176899061</v>
      </c>
      <c r="M9" s="30">
        <f>'Raw Data'!N10/M$1</f>
        <v>5.7032891081326484</v>
      </c>
      <c r="N9" s="30">
        <f>'Raw Data'!O10/N$1</f>
        <v>5.7596016048670737</v>
      </c>
      <c r="O9" s="30">
        <f>'Raw Data'!P10/O$1</f>
        <v>5.6950495049504948</v>
      </c>
      <c r="P9" s="30">
        <f t="shared" ref="P9" si="22">IFERROR(AVERAGEIF(J9:O9,"&gt;"&amp;0,J9:O9),"")</f>
        <v>5.6171138329365169</v>
      </c>
      <c r="Q9" s="30">
        <f t="shared" ref="Q9" si="23">MAXA(J9:O9)</f>
        <v>5.7596016048670737</v>
      </c>
    </row>
    <row r="10" spans="1:17">
      <c r="A10" s="156">
        <f t="shared" si="3"/>
        <v>2026</v>
      </c>
      <c r="B10" s="129">
        <f t="shared" si="4"/>
        <v>2025</v>
      </c>
      <c r="C10" s="54">
        <f>YEAR(Table12[[#This Row],[Date]])</f>
        <v>2025</v>
      </c>
      <c r="D10" s="54" t="s">
        <v>155</v>
      </c>
      <c r="E10" s="54" t="s">
        <v>155</v>
      </c>
      <c r="F10" s="60">
        <v>45748</v>
      </c>
      <c r="G10" s="54">
        <f t="shared" ref="G10" si="24">DAY(EOMONTH(F10,0))</f>
        <v>30</v>
      </c>
      <c r="H10" s="55">
        <f t="shared" si="6"/>
        <v>45752</v>
      </c>
      <c r="I10" s="56">
        <f>'Modelling New'!$AQ$1</f>
        <v>11.72</v>
      </c>
      <c r="J10" s="30">
        <f>'Raw Data'!K11/J$1</f>
        <v>4.9277440289778518</v>
      </c>
      <c r="K10" s="30">
        <f>'Raw Data'!L11/K$1</f>
        <v>4.7912446060343497</v>
      </c>
      <c r="L10" s="30">
        <f>'Raw Data'!M11/L$1</f>
        <v>4.8237651382646618</v>
      </c>
      <c r="M10" s="30">
        <f>'Raw Data'!N11/M$1</f>
        <v>4.9817723508924097</v>
      </c>
      <c r="N10" s="30">
        <f>'Raw Data'!O11/N$1</f>
        <v>5.0022152313864874</v>
      </c>
      <c r="O10" s="30">
        <f>'Raw Data'!P11/O$1</f>
        <v>4.9866336633663364</v>
      </c>
      <c r="P10" s="30">
        <f t="shared" ref="P10" si="25">IFERROR(AVERAGEIF(J10:O10,"&gt;"&amp;0,J10:O10),"")</f>
        <v>4.9188958364870166</v>
      </c>
      <c r="Q10" s="30">
        <f t="shared" ref="Q10" si="26">MAXA(J10:O10)</f>
        <v>5.0022152313864874</v>
      </c>
    </row>
    <row r="11" spans="1:17">
      <c r="A11" s="156">
        <f t="shared" si="3"/>
        <v>2026</v>
      </c>
      <c r="B11" s="129">
        <f t="shared" si="4"/>
        <v>2025</v>
      </c>
      <c r="C11" s="54">
        <f>YEAR(Table12[[#This Row],[Date]])</f>
        <v>2025</v>
      </c>
      <c r="D11" s="54" t="s">
        <v>155</v>
      </c>
      <c r="E11" s="54" t="s">
        <v>155</v>
      </c>
      <c r="F11" s="60">
        <v>45748</v>
      </c>
      <c r="G11" s="54">
        <f t="shared" ref="G11" si="27">DAY(EOMONTH(F11,0))</f>
        <v>30</v>
      </c>
      <c r="H11" s="55">
        <f t="shared" si="6"/>
        <v>45753</v>
      </c>
      <c r="I11" s="56">
        <f>'Modelling New'!$AQ$1</f>
        <v>11.72</v>
      </c>
      <c r="J11" s="30">
        <f>'Raw Data'!K12/J$1</f>
        <v>5.1657045114389568</v>
      </c>
      <c r="K11" s="30">
        <f>'Raw Data'!L12/K$1</f>
        <v>5.2264542476017928</v>
      </c>
      <c r="L11" s="30">
        <f>'Raw Data'!M12/L$1</f>
        <v>5.1453494808156393</v>
      </c>
      <c r="M11" s="30">
        <f>'Raw Data'!N12/M$1</f>
        <v>5.3818319803764796</v>
      </c>
      <c r="N11" s="30">
        <f>'Raw Data'!O12/N$1</f>
        <v>5.3517020154892938</v>
      </c>
      <c r="O11" s="30">
        <f>'Raw Data'!P12/O$1</f>
        <v>5.3361386138613858</v>
      </c>
      <c r="P11" s="30">
        <f t="shared" ref="P11" si="28">IFERROR(AVERAGEIF(J11:O11,"&gt;"&amp;0,J11:O11),"")</f>
        <v>5.2678634749305919</v>
      </c>
      <c r="Q11" s="30">
        <f t="shared" ref="Q11" si="29">MAXA(J11:O11)</f>
        <v>5.3818319803764796</v>
      </c>
    </row>
    <row r="12" spans="1:17">
      <c r="A12" s="156">
        <f t="shared" si="3"/>
        <v>2026</v>
      </c>
      <c r="B12" s="129">
        <f t="shared" si="4"/>
        <v>2025</v>
      </c>
      <c r="C12" s="54">
        <f>YEAR(Table12[[#This Row],[Date]])</f>
        <v>2025</v>
      </c>
      <c r="D12" s="54" t="s">
        <v>155</v>
      </c>
      <c r="E12" s="54" t="s">
        <v>155</v>
      </c>
      <c r="F12" s="60">
        <v>45748</v>
      </c>
      <c r="G12" s="54">
        <f t="shared" ref="G12" si="30">DAY(EOMONTH(F12,0))</f>
        <v>30</v>
      </c>
      <c r="H12" s="55">
        <f t="shared" si="6"/>
        <v>45754</v>
      </c>
      <c r="I12" s="56">
        <f>'Modelling New'!$AQ$1</f>
        <v>11.72</v>
      </c>
      <c r="J12" s="30">
        <f>'Raw Data'!K13/J$1</f>
        <v>5.0228276044221412</v>
      </c>
      <c r="K12" s="30">
        <f>'Raw Data'!L13/K$1</f>
        <v>4.9620791599075424</v>
      </c>
      <c r="L12" s="30">
        <f>'Raw Data'!M13/L$1</f>
        <v>4.9809595501140214</v>
      </c>
      <c r="M12" s="30">
        <f>'Raw Data'!N13/M$1</f>
        <v>5.2024014419493421</v>
      </c>
      <c r="N12" s="30">
        <f>'Raw Data'!O13/N$1</f>
        <v>5.1606228389118387</v>
      </c>
      <c r="O12" s="30">
        <f>'Raw Data'!P13/O$1</f>
        <v>5.1787128712871286</v>
      </c>
      <c r="P12" s="30">
        <f t="shared" ref="P12" si="31">IFERROR(AVERAGEIF(J12:O12,"&gt;"&amp;0,J12:O12),"")</f>
        <v>5.0846005777653351</v>
      </c>
      <c r="Q12" s="30">
        <f t="shared" ref="Q12" si="32">MAXA(J12:O12)</f>
        <v>5.2024014419493421</v>
      </c>
    </row>
    <row r="13" spans="1:17">
      <c r="A13" s="156">
        <f t="shared" si="3"/>
        <v>2026</v>
      </c>
      <c r="B13" s="129">
        <f t="shared" si="4"/>
        <v>2025</v>
      </c>
      <c r="C13" s="54">
        <f>YEAR(Table12[[#This Row],[Date]])</f>
        <v>2025</v>
      </c>
      <c r="D13" s="54" t="s">
        <v>155</v>
      </c>
      <c r="E13" s="54" t="s">
        <v>155</v>
      </c>
      <c r="F13" s="60">
        <v>45748</v>
      </c>
      <c r="G13" s="54">
        <f t="shared" ref="G13" si="33">DAY(EOMONTH(F13,0))</f>
        <v>30</v>
      </c>
      <c r="H13" s="55">
        <f t="shared" si="6"/>
        <v>45755</v>
      </c>
      <c r="I13" s="56">
        <f>'Modelling New'!$AQ$1</f>
        <v>11.72</v>
      </c>
      <c r="J13" s="30">
        <f>'Raw Data'!K14/J$1</f>
        <v>4.4367304330327384</v>
      </c>
      <c r="K13" s="30">
        <f>'Raw Data'!L14/K$1</f>
        <v>4.4175747893491799</v>
      </c>
      <c r="L13" s="30">
        <f>'Raw Data'!M14/L$1</f>
        <v>4.4534726680983905</v>
      </c>
      <c r="M13" s="30">
        <f>'Raw Data'!N14/M$1</f>
        <v>4.6565206196045485</v>
      </c>
      <c r="N13" s="30">
        <f>'Raw Data'!O14/N$1</f>
        <v>4.5255073374898833</v>
      </c>
      <c r="O13" s="30">
        <f>'Raw Data'!P14/O$1</f>
        <v>4.5801980198019798</v>
      </c>
      <c r="P13" s="30">
        <f t="shared" ref="P13" si="34">IFERROR(AVERAGEIF(J13:O13,"&gt;"&amp;0,J13:O13),"")</f>
        <v>4.511667311229453</v>
      </c>
      <c r="Q13" s="30">
        <f t="shared" ref="Q13" si="35">MAXA(J13:O13)</f>
        <v>4.6565206196045485</v>
      </c>
    </row>
    <row r="14" spans="1:17">
      <c r="A14" s="156">
        <f t="shared" si="3"/>
        <v>2026</v>
      </c>
      <c r="B14" s="129">
        <f t="shared" si="4"/>
        <v>2025</v>
      </c>
      <c r="C14" s="54">
        <f>YEAR(Table12[[#This Row],[Date]])</f>
        <v>2025</v>
      </c>
      <c r="D14" s="54" t="s">
        <v>155</v>
      </c>
      <c r="E14" s="54" t="s">
        <v>155</v>
      </c>
      <c r="F14" s="60">
        <v>45748</v>
      </c>
      <c r="G14" s="54">
        <f t="shared" ref="G14" si="36">DAY(EOMONTH(F14,0))</f>
        <v>30</v>
      </c>
      <c r="H14" s="55">
        <f t="shared" si="6"/>
        <v>45756</v>
      </c>
      <c r="I14" s="56">
        <f>'Modelling New'!$AQ$1</f>
        <v>11.72</v>
      </c>
      <c r="J14" s="30">
        <f>'Raw Data'!K15/J$1</f>
        <v>4.4397489592373196</v>
      </c>
      <c r="K14" s="30">
        <f>'Raw Data'!L15/K$1</f>
        <v>4.4200363823444704</v>
      </c>
      <c r="L14" s="30">
        <f>'Raw Data'!M15/L$1</f>
        <v>4.5049483029645536</v>
      </c>
      <c r="M14" s="30">
        <f>'Raw Data'!N15/M$1</f>
        <v>4.641884291696595</v>
      </c>
      <c r="N14" s="30">
        <f>'Raw Data'!O15/N$1</f>
        <v>4.5378829318278013</v>
      </c>
      <c r="O14" s="30">
        <f>'Raw Data'!P15/O$1</f>
        <v>4.5103960396039602</v>
      </c>
      <c r="P14" s="30">
        <f t="shared" ref="P14" si="37">IFERROR(AVERAGEIF(J14:O14,"&gt;"&amp;0,J14:O14),"")</f>
        <v>4.5091494846124505</v>
      </c>
      <c r="Q14" s="30">
        <f t="shared" ref="Q14" si="38">MAXA(J14:O14)</f>
        <v>4.641884291696595</v>
      </c>
    </row>
    <row r="15" spans="1:17">
      <c r="A15" s="156">
        <f t="shared" si="3"/>
        <v>2026</v>
      </c>
      <c r="B15" s="129">
        <f t="shared" si="4"/>
        <v>2025</v>
      </c>
      <c r="C15" s="54">
        <f>YEAR(Table12[[#This Row],[Date]])</f>
        <v>2025</v>
      </c>
      <c r="D15" s="54" t="s">
        <v>155</v>
      </c>
      <c r="E15" s="54" t="s">
        <v>155</v>
      </c>
      <c r="F15" s="60">
        <v>45748</v>
      </c>
      <c r="G15" s="54">
        <f t="shared" ref="G15" si="39">DAY(EOMONTH(F15,0))</f>
        <v>30</v>
      </c>
      <c r="H15" s="55">
        <f t="shared" si="6"/>
        <v>45757</v>
      </c>
      <c r="I15" s="56">
        <f>'Modelling New'!$AQ$1</f>
        <v>11.72</v>
      </c>
      <c r="J15" s="30">
        <f>'Raw Data'!K16/J$1</f>
        <v>4.3476839099976106</v>
      </c>
      <c r="K15" s="30">
        <f>'Raw Data'!L16/K$1</f>
        <v>4.3333883089102283</v>
      </c>
      <c r="L15" s="30">
        <f>'Raw Data'!M16/L$1</f>
        <v>4.4064250448336173</v>
      </c>
      <c r="M15" s="30">
        <f>'Raw Data'!N16/M$1</f>
        <v>4.5350933065904133</v>
      </c>
      <c r="N15" s="30">
        <f>'Raw Data'!O16/N$1</f>
        <v>4.4383831533509399</v>
      </c>
      <c r="O15" s="30">
        <f>'Raw Data'!P16/O$1</f>
        <v>4.4752475247524757</v>
      </c>
      <c r="P15" s="30">
        <f t="shared" ref="P15" si="40">IFERROR(AVERAGEIF(J15:O15,"&gt;"&amp;0,J15:O15),"")</f>
        <v>4.4227035414058813</v>
      </c>
      <c r="Q15" s="30">
        <f t="shared" ref="Q15" si="41">MAXA(J15:O15)</f>
        <v>4.5350933065904133</v>
      </c>
    </row>
    <row r="16" spans="1:17">
      <c r="A16" s="156">
        <f t="shared" si="3"/>
        <v>2026</v>
      </c>
      <c r="B16" s="129">
        <f t="shared" si="4"/>
        <v>2025</v>
      </c>
      <c r="C16" s="54">
        <f>YEAR(Table12[[#This Row],[Date]])</f>
        <v>2025</v>
      </c>
      <c r="D16" s="54" t="s">
        <v>155</v>
      </c>
      <c r="E16" s="54" t="s">
        <v>155</v>
      </c>
      <c r="F16" s="60">
        <v>45748</v>
      </c>
      <c r="G16" s="54">
        <f t="shared" ref="G16" si="42">DAY(EOMONTH(F16,0))</f>
        <v>30</v>
      </c>
      <c r="H16" s="55">
        <f t="shared" si="6"/>
        <v>45758</v>
      </c>
      <c r="I16" s="56">
        <f>'Modelling New'!$AQ$1</f>
        <v>11.72</v>
      </c>
      <c r="J16" s="30">
        <f>'Raw Data'!K17/J$1</f>
        <v>5.0882290055213879</v>
      </c>
      <c r="K16" s="30">
        <f>'Raw Data'!L17/K$1</f>
        <v>5.0748201190918696</v>
      </c>
      <c r="L16" s="30">
        <f>'Raw Data'!M17/L$1</f>
        <v>5.2156441649877117</v>
      </c>
      <c r="M16" s="30">
        <f>'Raw Data'!N17/M$1</f>
        <v>5.4083942050983209</v>
      </c>
      <c r="N16" s="30">
        <f>'Raw Data'!O17/N$1</f>
        <v>5.3947690837852491</v>
      </c>
      <c r="O16" s="30">
        <f>'Raw Data'!P17/O$1</f>
        <v>5.3410891089108912</v>
      </c>
      <c r="P16" s="30">
        <f t="shared" ref="P16" si="43">IFERROR(AVERAGEIF(J16:O16,"&gt;"&amp;0,J16:O16),"")</f>
        <v>5.2538242812325713</v>
      </c>
      <c r="Q16" s="30">
        <f t="shared" ref="Q16" si="44">MAXA(J16:O16)</f>
        <v>5.4083942050983209</v>
      </c>
    </row>
    <row r="17" spans="1:17">
      <c r="A17" s="156">
        <f t="shared" si="3"/>
        <v>2026</v>
      </c>
      <c r="B17" s="129">
        <f t="shared" si="4"/>
        <v>2025</v>
      </c>
      <c r="C17" s="54">
        <f>YEAR(Table12[[#This Row],[Date]])</f>
        <v>2025</v>
      </c>
      <c r="D17" s="54" t="s">
        <v>155</v>
      </c>
      <c r="E17" s="54" t="s">
        <v>155</v>
      </c>
      <c r="F17" s="60">
        <v>45748</v>
      </c>
      <c r="G17" s="54">
        <f t="shared" ref="G17" si="45">DAY(EOMONTH(F17,0))</f>
        <v>30</v>
      </c>
      <c r="H17" s="55">
        <f t="shared" si="6"/>
        <v>45759</v>
      </c>
      <c r="I17" s="56">
        <f>'Modelling New'!$AQ$1</f>
        <v>11.72</v>
      </c>
      <c r="J17" s="30">
        <f>'Raw Data'!K18/J$1</f>
        <v>5.1797909670603328</v>
      </c>
      <c r="K17" s="30">
        <f>'Raw Data'!L18/K$1</f>
        <v>5.1663913785166935</v>
      </c>
      <c r="L17" s="30">
        <f>'Raw Data'!M18/L$1</f>
        <v>5.194057608430934</v>
      </c>
      <c r="M17" s="30">
        <f>'Raw Data'!N18/M$1</f>
        <v>5.3997208255973117</v>
      </c>
      <c r="N17" s="30">
        <f>'Raw Data'!O18/N$1</f>
        <v>5.3432866113395097</v>
      </c>
      <c r="O17" s="30">
        <f>'Raw Data'!P18/O$1</f>
        <v>5.3762376237623766</v>
      </c>
      <c r="P17" s="30">
        <f t="shared" ref="P17" si="46">IFERROR(AVERAGEIF(J17:O17,"&gt;"&amp;0,J17:O17),"")</f>
        <v>5.2765808357845261</v>
      </c>
      <c r="Q17" s="30">
        <f t="shared" ref="Q17" si="47">MAXA(J17:O17)</f>
        <v>5.3997208255973117</v>
      </c>
    </row>
    <row r="18" spans="1:17">
      <c r="A18" s="156">
        <f t="shared" si="3"/>
        <v>2026</v>
      </c>
      <c r="B18" s="129">
        <f t="shared" si="4"/>
        <v>2025</v>
      </c>
      <c r="C18" s="54">
        <f>YEAR(Table12[[#This Row],[Date]])</f>
        <v>2025</v>
      </c>
      <c r="D18" s="54" t="s">
        <v>155</v>
      </c>
      <c r="E18" s="54" t="s">
        <v>155</v>
      </c>
      <c r="F18" s="60">
        <v>45748</v>
      </c>
      <c r="G18" s="54">
        <f t="shared" ref="G18" si="48">DAY(EOMONTH(F18,0))</f>
        <v>30</v>
      </c>
      <c r="H18" s="55">
        <f t="shared" si="6"/>
        <v>45760</v>
      </c>
      <c r="I18" s="56">
        <f>'Modelling New'!$AQ$1</f>
        <v>11.72</v>
      </c>
      <c r="J18" s="30">
        <f>'Raw Data'!K19/J$1</f>
        <v>4.9161730118602929</v>
      </c>
      <c r="K18" s="30">
        <f>'Raw Data'!L19/K$1</f>
        <v>4.9837411782661034</v>
      </c>
      <c r="L18" s="30">
        <f>'Raw Data'!M19/L$1</f>
        <v>4.9488564660039405</v>
      </c>
      <c r="M18" s="30">
        <f>'Raw Data'!N19/M$1</f>
        <v>5.1373510956917698</v>
      </c>
      <c r="N18" s="30">
        <f>'Raw Data'!O19/N$1</f>
        <v>5.0987448672222486</v>
      </c>
      <c r="O18" s="30">
        <f>'Raw Data'!P19/O$1</f>
        <v>5.135148514851485</v>
      </c>
      <c r="P18" s="30">
        <f t="shared" ref="P18" si="49">IFERROR(AVERAGEIF(J18:O18,"&gt;"&amp;0,J18:O18),"")</f>
        <v>5.0366691889826392</v>
      </c>
      <c r="Q18" s="30">
        <f t="shared" ref="Q18" si="50">MAXA(J18:O18)</f>
        <v>5.1373510956917698</v>
      </c>
    </row>
    <row r="19" spans="1:17">
      <c r="A19" s="156">
        <f t="shared" si="3"/>
        <v>2026</v>
      </c>
      <c r="B19" s="129">
        <f t="shared" si="4"/>
        <v>2025</v>
      </c>
      <c r="C19" s="54">
        <f>YEAR(Table12[[#This Row],[Date]])</f>
        <v>2025</v>
      </c>
      <c r="D19" s="54" t="s">
        <v>155</v>
      </c>
      <c r="E19" s="54" t="s">
        <v>155</v>
      </c>
      <c r="F19" s="60">
        <v>45748</v>
      </c>
      <c r="G19" s="54">
        <f t="shared" ref="G19" si="51">DAY(EOMONTH(F19,0))</f>
        <v>30</v>
      </c>
      <c r="H19" s="55">
        <f t="shared" si="6"/>
        <v>45761</v>
      </c>
      <c r="I19" s="56">
        <f>'Modelling New'!$AQ$1</f>
        <v>11.72</v>
      </c>
      <c r="J19" s="30">
        <f>'Raw Data'!K20/J$1</f>
        <v>5.3292080141870732</v>
      </c>
      <c r="K19" s="30">
        <f>'Raw Data'!L20/K$1</f>
        <v>5.3076868164463953</v>
      </c>
      <c r="L19" s="30">
        <f>'Raw Data'!M20/L$1</f>
        <v>5.301990391214825</v>
      </c>
      <c r="M19" s="30">
        <f>'Raw Data'!N20/M$1</f>
        <v>5.4636869994172574</v>
      </c>
      <c r="N19" s="30">
        <f>'Raw Data'!O20/N$1</f>
        <v>5.3734830615240297</v>
      </c>
      <c r="O19" s="30">
        <f>'Raw Data'!P20/O$1</f>
        <v>5.4272277227722769</v>
      </c>
      <c r="P19" s="30">
        <f t="shared" ref="P19" si="52">IFERROR(AVERAGEIF(J19:O19,"&gt;"&amp;0,J19:O19),"")</f>
        <v>5.3672138342603093</v>
      </c>
      <c r="Q19" s="30">
        <f t="shared" ref="Q19" si="53">MAXA(J19:O19)</f>
        <v>5.4636869994172574</v>
      </c>
    </row>
    <row r="20" spans="1:17">
      <c r="A20" s="156">
        <f t="shared" si="3"/>
        <v>2026</v>
      </c>
      <c r="B20" s="129">
        <f t="shared" si="4"/>
        <v>2025</v>
      </c>
      <c r="C20" s="54">
        <f>YEAR(Table12[[#This Row],[Date]])</f>
        <v>2025</v>
      </c>
      <c r="D20" s="54" t="s">
        <v>155</v>
      </c>
      <c r="E20" s="54" t="s">
        <v>155</v>
      </c>
      <c r="F20" s="60">
        <v>45748</v>
      </c>
      <c r="G20" s="54">
        <f t="shared" ref="G20" si="54">DAY(EOMONTH(F20,0))</f>
        <v>30</v>
      </c>
      <c r="H20" s="55">
        <f t="shared" si="6"/>
        <v>45762</v>
      </c>
      <c r="I20" s="56">
        <f>'Modelling New'!$AQ$1</f>
        <v>11.72</v>
      </c>
      <c r="J20" s="30">
        <f>'Raw Data'!K21/J$1</f>
        <v>5.1641952483366662</v>
      </c>
      <c r="K20" s="30">
        <f>'Raw Data'!L21/K$1</f>
        <v>5.1407908113656671</v>
      </c>
      <c r="L20" s="30">
        <f>'Raw Data'!M21/L$1</f>
        <v>5.1237629242588616</v>
      </c>
      <c r="M20" s="30">
        <f>'Raw Data'!N21/M$1</f>
        <v>5.2923877542723172</v>
      </c>
      <c r="N20" s="30">
        <f>'Raw Data'!O21/N$1</f>
        <v>5.2561624272005663</v>
      </c>
      <c r="O20" s="30">
        <f>'Raw Data'!P21/O$1</f>
        <v>5.3039603960396038</v>
      </c>
      <c r="P20" s="30">
        <f t="shared" ref="P20" si="55">IFERROR(AVERAGEIF(J20:O20,"&gt;"&amp;0,J20:O20),"")</f>
        <v>5.2135432602456131</v>
      </c>
      <c r="Q20" s="30">
        <f t="shared" ref="Q20" si="56">MAXA(J20:O20)</f>
        <v>5.3039603960396038</v>
      </c>
    </row>
    <row r="21" spans="1:17">
      <c r="A21" s="156">
        <f t="shared" si="3"/>
        <v>2026</v>
      </c>
      <c r="B21" s="129">
        <f t="shared" si="4"/>
        <v>2025</v>
      </c>
      <c r="C21" s="54">
        <f>YEAR(Table12[[#This Row],[Date]])</f>
        <v>2025</v>
      </c>
      <c r="D21" s="54" t="s">
        <v>155</v>
      </c>
      <c r="E21" s="54" t="s">
        <v>155</v>
      </c>
      <c r="F21" s="60">
        <v>45748</v>
      </c>
      <c r="G21" s="54">
        <f t="shared" ref="G21" si="57">DAY(EOMONTH(F21,0))</f>
        <v>30</v>
      </c>
      <c r="H21" s="55">
        <f t="shared" si="6"/>
        <v>45763</v>
      </c>
      <c r="I21" s="56">
        <f>'Modelling New'!$AQ$1</f>
        <v>11.72</v>
      </c>
      <c r="J21" s="30">
        <f>'Raw Data'!K22/J$1</f>
        <v>4.5157152020525979</v>
      </c>
      <c r="K21" s="30">
        <f>'Raw Data'!L22/K$1</f>
        <v>4.4968380837975488</v>
      </c>
      <c r="L21" s="30">
        <f>'Raw Data'!M22/L$1</f>
        <v>4.527641862421679</v>
      </c>
      <c r="M21" s="30">
        <f>'Raw Data'!N22/M$1</f>
        <v>4.6852511892016429</v>
      </c>
      <c r="N21" s="30">
        <f>'Raw Data'!O22/N$1</f>
        <v>4.6740144695448995</v>
      </c>
      <c r="O21" s="30">
        <f>'Raw Data'!P22/O$1</f>
        <v>4.6306930693069308</v>
      </c>
      <c r="P21" s="30">
        <f t="shared" ref="P21" si="58">IFERROR(AVERAGEIF(J21:O21,"&gt;"&amp;0,J21:O21),"")</f>
        <v>4.5883589793875501</v>
      </c>
      <c r="Q21" s="30">
        <f t="shared" ref="Q21" si="59">MAXA(J21:O21)</f>
        <v>4.6852511892016429</v>
      </c>
    </row>
    <row r="22" spans="1:17">
      <c r="A22" s="156">
        <f t="shared" si="3"/>
        <v>2026</v>
      </c>
      <c r="B22" s="129">
        <f t="shared" si="4"/>
        <v>2025</v>
      </c>
      <c r="C22" s="54">
        <f>YEAR(Table12[[#This Row],[Date]])</f>
        <v>2025</v>
      </c>
      <c r="D22" s="54" t="s">
        <v>155</v>
      </c>
      <c r="E22" s="54" t="s">
        <v>155</v>
      </c>
      <c r="F22" s="60">
        <v>45748</v>
      </c>
      <c r="G22" s="54">
        <f t="shared" ref="G22" si="60">DAY(EOMONTH(F22,0))</f>
        <v>30</v>
      </c>
      <c r="H22" s="55">
        <f t="shared" si="6"/>
        <v>45764</v>
      </c>
      <c r="I22" s="56">
        <f>'Modelling New'!$AQ$1</f>
        <v>11.72</v>
      </c>
      <c r="J22" s="30">
        <f>'Raw Data'!K23/J$1</f>
        <v>4.9705064835427439</v>
      </c>
      <c r="K22" s="30">
        <f>'Raw Data'!L23/K$1</f>
        <v>4.9389401857518074</v>
      </c>
      <c r="L22" s="30">
        <f>'Raw Data'!M23/L$1</f>
        <v>4.9289304137976844</v>
      </c>
      <c r="M22" s="30">
        <f>'Raw Data'!N23/M$1</f>
        <v>5.116751819376872</v>
      </c>
      <c r="N22" s="30">
        <f>'Raw Data'!O23/N$1</f>
        <v>5.1611178626853551</v>
      </c>
      <c r="O22" s="30">
        <f>'Raw Data'!P23/O$1</f>
        <v>5.1133663366336632</v>
      </c>
      <c r="P22" s="30">
        <f t="shared" ref="P22" si="61">IFERROR(AVERAGEIF(J22:O22,"&gt;"&amp;0,J22:O22),"")</f>
        <v>5.0382688502980217</v>
      </c>
      <c r="Q22" s="30">
        <f t="shared" ref="Q22" si="62">MAXA(J22:O22)</f>
        <v>5.1611178626853551</v>
      </c>
    </row>
    <row r="23" spans="1:17">
      <c r="A23" s="156">
        <f t="shared" si="3"/>
        <v>2026</v>
      </c>
      <c r="B23" s="129">
        <f t="shared" si="4"/>
        <v>2025</v>
      </c>
      <c r="C23" s="54">
        <f>YEAR(Table12[[#This Row],[Date]])</f>
        <v>2025</v>
      </c>
      <c r="D23" s="54" t="s">
        <v>155</v>
      </c>
      <c r="E23" s="54" t="s">
        <v>155</v>
      </c>
      <c r="F23" s="60">
        <v>45748</v>
      </c>
      <c r="G23" s="54">
        <f t="shared" ref="G23" si="63">DAY(EOMONTH(F23,0))</f>
        <v>30</v>
      </c>
      <c r="H23" s="55">
        <f t="shared" si="6"/>
        <v>45765</v>
      </c>
      <c r="I23" s="56">
        <f>'Modelling New'!$AQ$1</f>
        <v>11.72</v>
      </c>
      <c r="J23" s="30">
        <f>'Raw Data'!K24/J$1</f>
        <v>3.2187551094844609</v>
      </c>
      <c r="K23" s="30">
        <f>'Raw Data'!L24/K$1</f>
        <v>3.2182866820434177</v>
      </c>
      <c r="L23" s="30">
        <f>'Raw Data'!M24/L$1</f>
        <v>3.225806451612903</v>
      </c>
      <c r="M23" s="30">
        <f>'Raw Data'!N24/M$1</f>
        <v>3.344671970076841</v>
      </c>
      <c r="N23" s="30">
        <f>'Raw Data'!O24/N$1</f>
        <v>3.4027934191539551</v>
      </c>
      <c r="O23" s="30">
        <f>'Raw Data'!P24/O$1</f>
        <v>3.354950495049505</v>
      </c>
      <c r="P23" s="30">
        <f t="shared" ref="P23" si="64">IFERROR(AVERAGEIF(J23:O23,"&gt;"&amp;0,J23:O23),"")</f>
        <v>3.2942106879035138</v>
      </c>
      <c r="Q23" s="30">
        <f t="shared" ref="Q23" si="65">MAXA(J23:O23)</f>
        <v>3.4027934191539551</v>
      </c>
    </row>
    <row r="24" spans="1:17">
      <c r="A24" s="156">
        <f t="shared" si="3"/>
        <v>2026</v>
      </c>
      <c r="B24" s="129">
        <f t="shared" si="4"/>
        <v>2025</v>
      </c>
      <c r="C24" s="57">
        <f>YEAR(Table12[[#This Row],[Date]])</f>
        <v>2025</v>
      </c>
      <c r="D24" s="54" t="s">
        <v>155</v>
      </c>
      <c r="E24" s="54" t="s">
        <v>155</v>
      </c>
      <c r="F24" s="60">
        <v>45748</v>
      </c>
      <c r="G24" s="57">
        <f t="shared" ref="G24:G30" si="66">DAY(EOMONTH(F24,0))</f>
        <v>30</v>
      </c>
      <c r="H24" s="58">
        <f t="shared" ref="H24:H29" si="67">H23+1</f>
        <v>45766</v>
      </c>
      <c r="I24" s="59">
        <f>'Modelling New'!$AQ$1</f>
        <v>11.72</v>
      </c>
      <c r="J24" s="30">
        <f>'Raw Data'!K25/J$1</f>
        <v>4.5685394106327584</v>
      </c>
      <c r="K24" s="30">
        <f>'Raw Data'!L25/K$1</f>
        <v>4.5618241388732308</v>
      </c>
      <c r="L24" s="30">
        <f>'Raw Data'!M25/L$1</f>
        <v>4.4484911550468258</v>
      </c>
      <c r="M24" s="30">
        <f>'Raw Data'!N25/M$1</f>
        <v>4.7053083792977279</v>
      </c>
      <c r="N24" s="30">
        <f>'Raw Data'!O25/N$1</f>
        <v>4.7383675601020743</v>
      </c>
      <c r="O24" s="30">
        <f>'Raw Data'!P25/O$1</f>
        <v>4.7118811881188121</v>
      </c>
      <c r="P24" s="30">
        <f t="shared" ref="P24:P29" si="68">IFERROR(AVERAGEIF(J24:O24,"&gt;"&amp;0,J24:O24),"")</f>
        <v>4.6224019720119047</v>
      </c>
      <c r="Q24" s="30">
        <f t="shared" ref="Q24:Q29" si="69">MAXA(J24:O24)</f>
        <v>4.7383675601020743</v>
      </c>
    </row>
    <row r="25" spans="1:17">
      <c r="A25" s="156">
        <f t="shared" si="3"/>
        <v>2026</v>
      </c>
      <c r="B25" s="129">
        <f t="shared" si="4"/>
        <v>2025</v>
      </c>
      <c r="C25" s="54">
        <f>YEAR(Table12[[#This Row],[Date]])</f>
        <v>2025</v>
      </c>
      <c r="D25" s="54" t="s">
        <v>155</v>
      </c>
      <c r="E25" s="54" t="s">
        <v>155</v>
      </c>
      <c r="F25" s="60">
        <v>45748</v>
      </c>
      <c r="G25" s="54">
        <f t="shared" si="66"/>
        <v>30</v>
      </c>
      <c r="H25" s="55">
        <f t="shared" si="67"/>
        <v>45767</v>
      </c>
      <c r="I25" s="56">
        <f>'Modelling New'!$AQ$1</f>
        <v>11.72</v>
      </c>
      <c r="J25" s="30">
        <f>'Raw Data'!K26/J$1</f>
        <v>5.3201524355733314</v>
      </c>
      <c r="K25" s="30">
        <f>'Raw Data'!L26/K$1</f>
        <v>5.2845478422906602</v>
      </c>
      <c r="L25" s="30">
        <f>'Raw Data'!M26/L$1</f>
        <v>5.1376004605132062</v>
      </c>
      <c r="M25" s="30">
        <f>'Raw Data'!N26/M$1</f>
        <v>5.5422895011451576</v>
      </c>
      <c r="N25" s="30">
        <f>'Raw Data'!O26/N$1</f>
        <v>5.6155496867737069</v>
      </c>
      <c r="O25" s="30">
        <f>'Raw Data'!P26/O$1</f>
        <v>5.56039603960396</v>
      </c>
      <c r="P25" s="30">
        <f t="shared" si="68"/>
        <v>5.4100893276500033</v>
      </c>
      <c r="Q25" s="30">
        <f t="shared" si="69"/>
        <v>5.6155496867737069</v>
      </c>
    </row>
    <row r="26" spans="1:17">
      <c r="A26" s="156">
        <f t="shared" si="3"/>
        <v>2026</v>
      </c>
      <c r="B26" s="129">
        <f t="shared" si="4"/>
        <v>2025</v>
      </c>
      <c r="C26" s="54">
        <f>YEAR(Table12[[#This Row],[Date]])</f>
        <v>2025</v>
      </c>
      <c r="D26" s="54" t="s">
        <v>155</v>
      </c>
      <c r="E26" s="54" t="s">
        <v>155</v>
      </c>
      <c r="F26" s="60">
        <v>45748</v>
      </c>
      <c r="G26" s="54">
        <f t="shared" si="66"/>
        <v>30</v>
      </c>
      <c r="H26" s="55">
        <f t="shared" si="67"/>
        <v>45768</v>
      </c>
      <c r="I26" s="56">
        <f>'Modelling New'!$AQ$1</f>
        <v>11.72</v>
      </c>
      <c r="J26" s="30">
        <f>'Raw Data'!K27/J$1</f>
        <v>5.1400470387000219</v>
      </c>
      <c r="K26" s="30">
        <f>'Raw Data'!L27/K$1</f>
        <v>5.0940205444551392</v>
      </c>
      <c r="L26" s="30">
        <f>'Raw Data'!M27/L$1</f>
        <v>5.0119556313237537</v>
      </c>
      <c r="M26" s="30">
        <f>'Raw Data'!N27/M$1</f>
        <v>5.3514751521229451</v>
      </c>
      <c r="N26" s="30">
        <f>'Raw Data'!O27/N$1</f>
        <v>5.3957591313322819</v>
      </c>
      <c r="O26" s="30">
        <f>'Raw Data'!P27/O$1</f>
        <v>5.3762376237623766</v>
      </c>
      <c r="P26" s="30">
        <f t="shared" si="68"/>
        <v>5.2282491869494194</v>
      </c>
      <c r="Q26" s="30">
        <f t="shared" si="69"/>
        <v>5.3957591313322819</v>
      </c>
    </row>
    <row r="27" spans="1:17">
      <c r="A27" s="156">
        <f t="shared" si="3"/>
        <v>2026</v>
      </c>
      <c r="B27" s="129">
        <f t="shared" si="4"/>
        <v>2025</v>
      </c>
      <c r="C27" s="54">
        <f>YEAR(Table12[[#This Row],[Date]])</f>
        <v>2025</v>
      </c>
      <c r="D27" s="54" t="s">
        <v>155</v>
      </c>
      <c r="E27" s="54" t="s">
        <v>155</v>
      </c>
      <c r="F27" s="60">
        <v>45748</v>
      </c>
      <c r="G27" s="54">
        <f t="shared" si="66"/>
        <v>30</v>
      </c>
      <c r="H27" s="55">
        <f t="shared" si="67"/>
        <v>45769</v>
      </c>
      <c r="I27" s="56">
        <f>'Modelling New'!$AQ$1</f>
        <v>11.72</v>
      </c>
      <c r="J27" s="30">
        <f>'Raw Data'!K28/J$1</f>
        <v>4.1378963387792576</v>
      </c>
      <c r="K27" s="30">
        <f>'Raw Data'!L28/K$1</f>
        <v>4.2349245890985898</v>
      </c>
      <c r="L27" s="30">
        <f>'Raw Data'!M28/L$1</f>
        <v>4.2126995372727878</v>
      </c>
      <c r="M27" s="30">
        <f>'Raw Data'!N28/M$1</f>
        <v>4.3068750084700973</v>
      </c>
      <c r="N27" s="30">
        <f>'Raw Data'!O28/N$1</f>
        <v>4.2522542145086515</v>
      </c>
      <c r="O27" s="30">
        <f>'Raw Data'!P28/O$1</f>
        <v>4.1910891089108908</v>
      </c>
      <c r="P27" s="30">
        <f t="shared" si="68"/>
        <v>4.2226231328400461</v>
      </c>
      <c r="Q27" s="30">
        <f t="shared" si="69"/>
        <v>4.3068750084700973</v>
      </c>
    </row>
    <row r="28" spans="1:17">
      <c r="A28" s="156">
        <f t="shared" si="3"/>
        <v>2026</v>
      </c>
      <c r="B28" s="129">
        <f t="shared" si="4"/>
        <v>2025</v>
      </c>
      <c r="C28" s="54">
        <f>YEAR(Table12[[#This Row],[Date]])</f>
        <v>2025</v>
      </c>
      <c r="D28" s="54" t="s">
        <v>155</v>
      </c>
      <c r="E28" s="54" t="s">
        <v>155</v>
      </c>
      <c r="F28" s="60">
        <v>45748</v>
      </c>
      <c r="G28" s="54">
        <f t="shared" si="66"/>
        <v>30</v>
      </c>
      <c r="H28" s="55">
        <f t="shared" si="67"/>
        <v>45770</v>
      </c>
      <c r="I28" s="56">
        <f>'Modelling New'!$AQ$1</f>
        <v>11.72</v>
      </c>
      <c r="J28" s="30">
        <f>'Raw Data'!K29/J$1</f>
        <v>4.6213636192129197</v>
      </c>
      <c r="K28" s="30">
        <f>'Raw Data'!L29/K$1</f>
        <v>4.5283464741372734</v>
      </c>
      <c r="L28" s="30">
        <f>'Raw Data'!M29/L$1</f>
        <v>4.4728452188544736</v>
      </c>
      <c r="M28" s="30">
        <f>'Raw Data'!N29/M$1</f>
        <v>4.7508436216780279</v>
      </c>
      <c r="N28" s="30">
        <f>'Raw Data'!O29/N$1</f>
        <v>4.8071758646208984</v>
      </c>
      <c r="O28" s="30">
        <f>'Raw Data'!P29/O$1</f>
        <v>4.832673267326733</v>
      </c>
      <c r="P28" s="30">
        <f t="shared" si="68"/>
        <v>4.6688746776383878</v>
      </c>
      <c r="Q28" s="30">
        <f t="shared" si="69"/>
        <v>4.832673267326733</v>
      </c>
    </row>
    <row r="29" spans="1:17">
      <c r="A29" s="156">
        <f t="shared" si="3"/>
        <v>2026</v>
      </c>
      <c r="B29" s="129">
        <f t="shared" si="4"/>
        <v>2025</v>
      </c>
      <c r="C29" s="54">
        <f>YEAR(Table12[[#This Row],[Date]])</f>
        <v>2025</v>
      </c>
      <c r="D29" s="54" t="s">
        <v>155</v>
      </c>
      <c r="E29" s="54" t="s">
        <v>155</v>
      </c>
      <c r="F29" s="60">
        <v>45748</v>
      </c>
      <c r="G29" s="54">
        <f t="shared" si="66"/>
        <v>30</v>
      </c>
      <c r="H29" s="55">
        <f t="shared" si="67"/>
        <v>45771</v>
      </c>
      <c r="I29" s="56">
        <f>'Modelling New'!$AQ$1</f>
        <v>11.72</v>
      </c>
      <c r="J29" s="30">
        <f>'Raw Data'!K30/J$1</f>
        <v>4.5579745689167268</v>
      </c>
      <c r="K29" s="30">
        <f>'Raw Data'!L30/K$1</f>
        <v>4.651426123901822</v>
      </c>
      <c r="L29" s="30">
        <f>'Raw Data'!M30/L$1</f>
        <v>4.4662032014523874</v>
      </c>
      <c r="M29" s="30">
        <f>'Raw Data'!N30/M$1</f>
        <v>4.7259076556126258</v>
      </c>
      <c r="N29" s="30">
        <f>'Raw Data'!O30/N$1</f>
        <v>4.7368824887815233</v>
      </c>
      <c r="O29" s="30">
        <f>'Raw Data'!P30/O$1</f>
        <v>4.7391089108910895</v>
      </c>
      <c r="P29" s="30">
        <f t="shared" si="68"/>
        <v>4.6462504915926957</v>
      </c>
      <c r="Q29" s="30">
        <f t="shared" si="69"/>
        <v>4.7391089108910895</v>
      </c>
    </row>
    <row r="30" spans="1:17">
      <c r="A30" s="156">
        <f t="shared" si="3"/>
        <v>2026</v>
      </c>
      <c r="B30" s="129">
        <f t="shared" si="4"/>
        <v>2025</v>
      </c>
      <c r="C30" s="54">
        <f>YEAR(Table12[[#This Row],[Date]])</f>
        <v>2025</v>
      </c>
      <c r="D30" s="54" t="s">
        <v>155</v>
      </c>
      <c r="E30" s="54" t="s">
        <v>155</v>
      </c>
      <c r="F30" s="60">
        <v>45748</v>
      </c>
      <c r="G30" s="54">
        <f t="shared" si="66"/>
        <v>30</v>
      </c>
      <c r="H30" s="55">
        <f t="shared" ref="H30:H67" si="70">H29+1</f>
        <v>45772</v>
      </c>
      <c r="I30" s="56">
        <f>'Modelling New'!$AQ$1</f>
        <v>11.72</v>
      </c>
      <c r="J30" s="30">
        <f>'Raw Data'!K31/J$1</f>
        <v>3.9502446263944964</v>
      </c>
      <c r="K30" s="30">
        <f>'Raw Data'!L31/K$1</f>
        <v>4.0094426707299364</v>
      </c>
      <c r="L30" s="30">
        <f>'Raw Data'!M31/L$1</f>
        <v>3.8484955830584275</v>
      </c>
      <c r="M30" s="30">
        <f>'Raw Data'!N31/M$1</f>
        <v>4.0976297280082399</v>
      </c>
      <c r="N30" s="30">
        <f>'Raw Data'!O31/N$1</f>
        <v>4.1418639130144221</v>
      </c>
      <c r="O30" s="30">
        <f>'Raw Data'!P31/O$1</f>
        <v>4.1123762376237627</v>
      </c>
      <c r="P30" s="30">
        <f t="shared" ref="P30" si="71">IFERROR(AVERAGEIF(J30:O30,"&gt;"&amp;0,J30:O30),"")</f>
        <v>4.0266754598048813</v>
      </c>
      <c r="Q30" s="30">
        <f t="shared" ref="Q30" si="72">MAXA(J30:O30)</f>
        <v>4.1418639130144221</v>
      </c>
    </row>
    <row r="31" spans="1:17">
      <c r="A31" s="156">
        <f t="shared" si="3"/>
        <v>2026</v>
      </c>
      <c r="B31" s="129">
        <f t="shared" si="4"/>
        <v>2025</v>
      </c>
      <c r="C31" s="54">
        <f>YEAR(Table12[[#This Row],[Date]])</f>
        <v>2025</v>
      </c>
      <c r="D31" s="54" t="s">
        <v>155</v>
      </c>
      <c r="E31" s="54" t="s">
        <v>155</v>
      </c>
      <c r="F31" s="60">
        <v>45748</v>
      </c>
      <c r="G31" s="54">
        <f t="shared" ref="G31" si="73">DAY(EOMONTH(F31,0))</f>
        <v>30</v>
      </c>
      <c r="H31" s="55">
        <f t="shared" si="70"/>
        <v>45773</v>
      </c>
      <c r="I31" s="56">
        <f>'Modelling New'!$AQ$1</f>
        <v>11.72</v>
      </c>
      <c r="J31" s="30">
        <f>'Raw Data'!K32/J$1</f>
        <v>4.9161730118602929</v>
      </c>
      <c r="K31" s="30">
        <f>'Raw Data'!L32/K$1</f>
        <v>4.8660770330911944</v>
      </c>
      <c r="L31" s="30">
        <f>'Raw Data'!M32/L$1</f>
        <v>4.6427701640578301</v>
      </c>
      <c r="M31" s="30">
        <f>'Raw Data'!N32/M$1</f>
        <v>5.1118730434075541</v>
      </c>
      <c r="N31" s="30">
        <f>'Raw Data'!O32/N$1</f>
        <v>5.0457773234559591</v>
      </c>
      <c r="O31" s="30">
        <f>'Raw Data'!P32/O$1</f>
        <v>5.1301980198019805</v>
      </c>
      <c r="P31" s="30">
        <f t="shared" ref="P31" si="74">IFERROR(AVERAGEIF(J31:O31,"&gt;"&amp;0,J31:O31),"")</f>
        <v>4.9521447659458024</v>
      </c>
      <c r="Q31" s="30">
        <f t="shared" ref="Q31" si="75">MAXA(J31:O31)</f>
        <v>5.1301980198019805</v>
      </c>
    </row>
    <row r="32" spans="1:17">
      <c r="A32" s="156">
        <f t="shared" si="3"/>
        <v>2026</v>
      </c>
      <c r="B32" s="129">
        <f t="shared" si="4"/>
        <v>2025</v>
      </c>
      <c r="C32" s="54">
        <f>YEAR(Table12[[#This Row],[Date]])</f>
        <v>2025</v>
      </c>
      <c r="D32" s="54" t="s">
        <v>155</v>
      </c>
      <c r="E32" s="54" t="s">
        <v>155</v>
      </c>
      <c r="F32" s="60">
        <v>45748</v>
      </c>
      <c r="G32" s="54">
        <f t="shared" ref="G32" si="76">DAY(EOMONTH(F32,0))</f>
        <v>30</v>
      </c>
      <c r="H32" s="55">
        <f t="shared" si="70"/>
        <v>45774</v>
      </c>
      <c r="I32" s="56">
        <f>'Modelling New'!$AQ$1</f>
        <v>11.72</v>
      </c>
      <c r="J32" s="30">
        <f>'Raw Data'!K33/J$1</f>
        <v>3.5351972732646622</v>
      </c>
      <c r="K32" s="30">
        <f>'Raw Data'!L33/K$1</f>
        <v>3.401429200893066</v>
      </c>
      <c r="L32" s="30">
        <f>'Raw Data'!M33/L$1</f>
        <v>3.3569862953040936</v>
      </c>
      <c r="M32" s="30">
        <f>'Raw Data'!N33/M$1</f>
        <v>3.5934895445120549</v>
      </c>
      <c r="N32" s="30">
        <f>'Raw Data'!O33/N$1</f>
        <v>3.630009331198131</v>
      </c>
      <c r="O32" s="30">
        <f>'Raw Data'!P33/O$1</f>
        <v>3.6376237623762377</v>
      </c>
      <c r="P32" s="30">
        <f t="shared" ref="P32" si="77">IFERROR(AVERAGEIF(J32:O32,"&gt;"&amp;0,J32:O32),"")</f>
        <v>3.5257892345913739</v>
      </c>
      <c r="Q32" s="30">
        <f t="shared" ref="Q32" si="78">MAXA(J32:O32)</f>
        <v>3.6376237623762377</v>
      </c>
    </row>
    <row r="33" spans="1:17">
      <c r="A33" s="156">
        <f t="shared" si="3"/>
        <v>2026</v>
      </c>
      <c r="B33" s="129">
        <f t="shared" si="4"/>
        <v>2025</v>
      </c>
      <c r="C33" s="54">
        <f>YEAR(Table12[[#This Row],[Date]])</f>
        <v>2025</v>
      </c>
      <c r="D33" s="54" t="s">
        <v>155</v>
      </c>
      <c r="E33" s="54" t="s">
        <v>155</v>
      </c>
      <c r="F33" s="60">
        <v>45748</v>
      </c>
      <c r="G33" s="54">
        <f t="shared" ref="G33" si="79">DAY(EOMONTH(F33,0))</f>
        <v>30</v>
      </c>
      <c r="H33" s="55">
        <f t="shared" si="70"/>
        <v>45775</v>
      </c>
      <c r="I33" s="56">
        <f>'Modelling New'!$AQ$1</f>
        <v>11.72</v>
      </c>
      <c r="J33" s="30">
        <f>'Raw Data'!K34/J$1</f>
        <v>5.128476021582463</v>
      </c>
      <c r="K33" s="30">
        <f>'Raw Data'!L34/K$1</f>
        <v>5.0964821374504297</v>
      </c>
      <c r="L33" s="30">
        <f>'Raw Data'!M34/L$1</f>
        <v>4.8353886687183119</v>
      </c>
      <c r="M33" s="30">
        <f>'Raw Data'!N34/M$1</f>
        <v>5.3688219111249644</v>
      </c>
      <c r="N33" s="30">
        <f>'Raw Data'!O34/N$1</f>
        <v>5.3046747570052055</v>
      </c>
      <c r="O33" s="30">
        <f>'Raw Data'!P34/O$1</f>
        <v>5.3539603960396036</v>
      </c>
      <c r="P33" s="30">
        <f t="shared" ref="P33" si="80">IFERROR(AVERAGEIF(J33:O33,"&gt;"&amp;0,J33:O33),"")</f>
        <v>5.1813006486534965</v>
      </c>
      <c r="Q33" s="30">
        <f t="shared" ref="Q33" si="81">MAXA(J33:O33)</f>
        <v>5.3688219111249644</v>
      </c>
    </row>
    <row r="34" spans="1:17">
      <c r="A34" s="156">
        <f t="shared" si="3"/>
        <v>2026</v>
      </c>
      <c r="B34" s="129">
        <f t="shared" si="4"/>
        <v>2025</v>
      </c>
      <c r="C34" s="54">
        <f>YEAR(Table12[[#This Row],[Date]])</f>
        <v>2025</v>
      </c>
      <c r="D34" s="54" t="s">
        <v>155</v>
      </c>
      <c r="E34" s="54" t="s">
        <v>155</v>
      </c>
      <c r="F34" s="60">
        <v>45748</v>
      </c>
      <c r="G34" s="54">
        <f t="shared" ref="G34" si="82">DAY(EOMONTH(F34,0))</f>
        <v>30</v>
      </c>
      <c r="H34" s="55">
        <f t="shared" si="70"/>
        <v>45776</v>
      </c>
      <c r="I34" s="56">
        <f>'Modelling New'!$AQ$1</f>
        <v>11.72</v>
      </c>
      <c r="J34" s="30">
        <f>'Raw Data'!K35/J$1</f>
        <v>4.4115760479945667</v>
      </c>
      <c r="K34" s="30">
        <f>'Raw Data'!L35/K$1</f>
        <v>4.367850610844302</v>
      </c>
      <c r="L34" s="30">
        <f>'Raw Data'!M35/L$1</f>
        <v>4.1938804879668785</v>
      </c>
      <c r="M34" s="30">
        <f>'Raw Data'!N35/M$1</f>
        <v>4.6218271016005099</v>
      </c>
      <c r="N34" s="30">
        <f>'Raw Data'!O35/N$1</f>
        <v>4.5621390967301201</v>
      </c>
      <c r="O34" s="30">
        <f>'Raw Data'!P35/O$1</f>
        <v>4.6222772277227726</v>
      </c>
      <c r="P34" s="30">
        <f t="shared" ref="P34" si="83">IFERROR(AVERAGEIF(J34:O34,"&gt;"&amp;0,J34:O34),"")</f>
        <v>4.4632584288098585</v>
      </c>
      <c r="Q34" s="30">
        <f t="shared" ref="Q34" si="84">MAXA(J34:O34)</f>
        <v>4.6222772277227726</v>
      </c>
    </row>
    <row r="35" spans="1:17">
      <c r="A35" s="156">
        <f t="shared" si="3"/>
        <v>2026</v>
      </c>
      <c r="B35" s="129">
        <f t="shared" si="4"/>
        <v>2025</v>
      </c>
      <c r="C35" s="54">
        <f>YEAR(Table12[[#This Row],[Date]])</f>
        <v>2025</v>
      </c>
      <c r="D35" s="54" t="s">
        <v>155</v>
      </c>
      <c r="E35" s="54" t="s">
        <v>155</v>
      </c>
      <c r="F35" s="60">
        <v>45748</v>
      </c>
      <c r="G35" s="54">
        <f t="shared" ref="G35" si="85">DAY(EOMONTH(F35,0))</f>
        <v>30</v>
      </c>
      <c r="H35" s="55">
        <f t="shared" si="70"/>
        <v>45777</v>
      </c>
      <c r="I35" s="56">
        <f>'Modelling New'!$AQ$1</f>
        <v>11.72</v>
      </c>
      <c r="J35" s="30">
        <f>'Raw Data'!K36/J$1</f>
        <v>5.3503376976191381</v>
      </c>
      <c r="K35" s="30">
        <f>'Raw Data'!L36/K$1</f>
        <v>5.2865171166868929</v>
      </c>
      <c r="L35" s="30">
        <f>'Raw Data'!M36/L$1</f>
        <v>5.0219186574268821</v>
      </c>
      <c r="M35" s="30">
        <f>'Raw Data'!N36/M$1</f>
        <v>5.6376966756562634</v>
      </c>
      <c r="N35" s="30">
        <f>'Raw Data'!O36/N$1</f>
        <v>5.5239702886731132</v>
      </c>
      <c r="O35" s="30">
        <f>'Raw Data'!P36/O$1</f>
        <v>5.6277227722772274</v>
      </c>
      <c r="P35" s="30">
        <f t="shared" ref="P35" si="86">IFERROR(AVERAGEIF(J35:O35,"&gt;"&amp;0,J35:O35),"")</f>
        <v>5.4080272013899195</v>
      </c>
      <c r="Q35" s="30">
        <f t="shared" ref="Q35" si="87">MAXA(J35:O35)</f>
        <v>5.6376966756562634</v>
      </c>
    </row>
    <row r="36" spans="1:17">
      <c r="A36" s="156">
        <f t="shared" si="3"/>
        <v>2026</v>
      </c>
      <c r="B36" s="129">
        <f t="shared" si="4"/>
        <v>2025</v>
      </c>
      <c r="C36" s="54">
        <f>YEAR(Table12[[#This Row],[Date]])</f>
        <v>2025</v>
      </c>
      <c r="D36" s="54" t="s">
        <v>155</v>
      </c>
      <c r="E36" s="54" t="s">
        <v>155</v>
      </c>
      <c r="F36" s="60">
        <v>45778</v>
      </c>
      <c r="G36" s="54">
        <f t="shared" ref="G36" si="88">DAY(EOMONTH(F36,0))</f>
        <v>31</v>
      </c>
      <c r="H36" s="55">
        <f t="shared" si="70"/>
        <v>45778</v>
      </c>
      <c r="I36" s="56">
        <f>'Modelling New'!$AQ$1</f>
        <v>11.72</v>
      </c>
      <c r="J36" s="30">
        <f>'Raw Data'!K37/J$1</f>
        <v>5.0268523060282488</v>
      </c>
      <c r="K36" s="30">
        <f>'Raw Data'!L37/K$1</f>
        <v>5.043311728752145</v>
      </c>
      <c r="L36" s="30">
        <f>'Raw Data'!M37/L$1</f>
        <v>4.902362344189342</v>
      </c>
      <c r="M36" s="30">
        <f>'Raw Data'!N37/M$1</f>
        <v>5.3558118418734502</v>
      </c>
      <c r="N36" s="30">
        <f>'Raw Data'!O37/N$1</f>
        <v>5.2121053113575782</v>
      </c>
      <c r="O36" s="30">
        <f>'Raw Data'!P37/O$1</f>
        <v>5.2806930693069303</v>
      </c>
      <c r="P36" s="30">
        <f t="shared" ref="P36" si="89">IFERROR(AVERAGEIF(J36:O36,"&gt;"&amp;0,J36:O36),"")</f>
        <v>5.1368561002512827</v>
      </c>
      <c r="Q36" s="30">
        <f t="shared" ref="Q36" si="90">MAXA(J36:O36)</f>
        <v>5.3558118418734502</v>
      </c>
    </row>
    <row r="37" spans="1:17">
      <c r="A37" s="156">
        <f t="shared" si="3"/>
        <v>2026</v>
      </c>
      <c r="B37" s="129">
        <f t="shared" si="4"/>
        <v>2025</v>
      </c>
      <c r="C37" s="196">
        <f>YEAR(Table12[[#This Row],[Date]])</f>
        <v>2025</v>
      </c>
      <c r="D37" s="196" t="s">
        <v>155</v>
      </c>
      <c r="E37" s="196" t="s">
        <v>155</v>
      </c>
      <c r="F37" s="197">
        <v>45778</v>
      </c>
      <c r="G37" s="196">
        <f t="shared" ref="G37" si="91">DAY(EOMONTH(F37,0))</f>
        <v>31</v>
      </c>
      <c r="H37" s="198">
        <f t="shared" si="70"/>
        <v>45779</v>
      </c>
      <c r="I37" s="199">
        <f>'Modelling New'!$AQ$1</f>
        <v>11.72</v>
      </c>
      <c r="J37" s="30">
        <f>'Raw Data'!K38/J$1</f>
        <v>4.9956608685809156</v>
      </c>
      <c r="K37" s="30">
        <f>'Raw Data'!L38/K$1</f>
        <v>5.0186957987992349</v>
      </c>
      <c r="L37" s="30">
        <f>'Raw Data'!M38/L$1</f>
        <v>4.8270861469657049</v>
      </c>
      <c r="M37" s="30">
        <f>'Raw Data'!N38/M$1</f>
        <v>5.2490208567672694</v>
      </c>
      <c r="N37" s="30">
        <f>'Raw Data'!O38/N$1</f>
        <v>5.1423069592917203</v>
      </c>
      <c r="O37" s="30">
        <f>'Raw Data'!P38/O$1</f>
        <v>5.2193069306930697</v>
      </c>
      <c r="P37" s="30">
        <f t="shared" ref="P37" si="92">IFERROR(AVERAGEIF(J37:O37,"&gt;"&amp;0,J37:O37),"")</f>
        <v>5.0753462601829851</v>
      </c>
      <c r="Q37" s="30">
        <f t="shared" ref="Q37" si="93">MAXA(J37:O37)</f>
        <v>5.2490208567672694</v>
      </c>
    </row>
    <row r="38" spans="1:17">
      <c r="A38" s="156">
        <f t="shared" si="3"/>
        <v>2026</v>
      </c>
      <c r="B38" s="129">
        <f t="shared" si="4"/>
        <v>2025</v>
      </c>
      <c r="C38" s="196">
        <f>YEAR(Table12[[#This Row],[Date]])</f>
        <v>2025</v>
      </c>
      <c r="D38" s="196" t="s">
        <v>155</v>
      </c>
      <c r="E38" s="196" t="s">
        <v>155</v>
      </c>
      <c r="F38" s="197">
        <v>45778</v>
      </c>
      <c r="G38" s="196">
        <f t="shared" ref="G38" si="94">DAY(EOMONTH(F38,0))</f>
        <v>31</v>
      </c>
      <c r="H38" s="198">
        <f t="shared" si="70"/>
        <v>45780</v>
      </c>
      <c r="I38" s="199">
        <f>'Modelling New'!$AQ$1</f>
        <v>11.72</v>
      </c>
      <c r="J38" s="30">
        <f>'Raw Data'!K39/J$1</f>
        <v>5.3825353104679978</v>
      </c>
      <c r="K38" s="30">
        <f>'Raw Data'!L39/K$1</f>
        <v>5.5439997439943287</v>
      </c>
      <c r="L38" s="30">
        <f>'Raw Data'!M39/L$1</f>
        <v>5.1409214692142493</v>
      </c>
      <c r="M38" s="30">
        <f>'Raw Data'!N39/M$1</f>
        <v>5.6420333654067685</v>
      </c>
      <c r="N38" s="30">
        <f>'Raw Data'!O39/N$1</f>
        <v>5.6155496867737069</v>
      </c>
      <c r="O38" s="30">
        <f>'Raw Data'!P39/O$1</f>
        <v>5.580693069306931</v>
      </c>
      <c r="P38" s="30">
        <f t="shared" ref="P38" si="95">IFERROR(AVERAGEIF(J38:O38,"&gt;"&amp;0,J38:O38),"")</f>
        <v>5.4842887741939963</v>
      </c>
      <c r="Q38" s="30">
        <f t="shared" ref="Q38" si="96">MAXA(J38:O38)</f>
        <v>5.6420333654067685</v>
      </c>
    </row>
    <row r="39" spans="1:17">
      <c r="A39" s="156">
        <f t="shared" si="3"/>
        <v>2026</v>
      </c>
      <c r="B39" s="129">
        <f t="shared" si="4"/>
        <v>2025</v>
      </c>
      <c r="C39" s="196">
        <f>YEAR(Table12[[#This Row],[Date]])</f>
        <v>2025</v>
      </c>
      <c r="D39" s="196" t="s">
        <v>155</v>
      </c>
      <c r="E39" s="196" t="s">
        <v>155</v>
      </c>
      <c r="F39" s="197">
        <v>45778</v>
      </c>
      <c r="G39" s="196">
        <f t="shared" ref="G39" si="97">DAY(EOMONTH(F39,0))</f>
        <v>31</v>
      </c>
      <c r="H39" s="198">
        <f t="shared" si="70"/>
        <v>45781</v>
      </c>
      <c r="I39" s="199">
        <f>'Modelling New'!$AQ$1</f>
        <v>11.72</v>
      </c>
      <c r="J39" s="30">
        <f>'Raw Data'!K40/J$1</f>
        <v>5.6662767736985753</v>
      </c>
      <c r="K39" s="30">
        <f>'Raw Data'!L40/K$1</f>
        <v>5.6862798191221469</v>
      </c>
      <c r="L39" s="30">
        <f>'Raw Data'!M40/L$1</f>
        <v>5.341842495627338</v>
      </c>
      <c r="M39" s="30">
        <f>'Raw Data'!N40/M$1</f>
        <v>5.9136185610321323</v>
      </c>
      <c r="N39" s="30">
        <f>'Raw Data'!O40/N$1</f>
        <v>5.7670269614698242</v>
      </c>
      <c r="O39" s="30">
        <f>'Raw Data'!P40/O$1</f>
        <v>5.8321782178217818</v>
      </c>
      <c r="P39" s="30">
        <f t="shared" ref="P39" si="98">IFERROR(AVERAGEIF(J39:O39,"&gt;"&amp;0,J39:O39),"")</f>
        <v>5.7012038047952993</v>
      </c>
      <c r="Q39" s="30">
        <f t="shared" ref="Q39" si="99">MAXA(J39:O39)</f>
        <v>5.9136185610321323</v>
      </c>
    </row>
    <row r="40" spans="1:17">
      <c r="A40" s="156">
        <f t="shared" si="3"/>
        <v>2026</v>
      </c>
      <c r="B40" s="129">
        <f t="shared" si="4"/>
        <v>2025</v>
      </c>
      <c r="C40" s="196">
        <f>YEAR(Table12[[#This Row],[Date]])</f>
        <v>2025</v>
      </c>
      <c r="D40" s="196" t="s">
        <v>155</v>
      </c>
      <c r="E40" s="196" t="s">
        <v>155</v>
      </c>
      <c r="F40" s="197">
        <v>45778</v>
      </c>
      <c r="G40" s="196">
        <f t="shared" ref="G40" si="100">DAY(EOMONTH(F40,0))</f>
        <v>31</v>
      </c>
      <c r="H40" s="198">
        <f t="shared" si="70"/>
        <v>45782</v>
      </c>
      <c r="I40" s="199">
        <f>'Modelling New'!$AQ$1</f>
        <v>11.72</v>
      </c>
      <c r="J40" s="30">
        <f>'Raw Data'!K41/J$1</f>
        <v>5.4776188859122872</v>
      </c>
      <c r="K40" s="30">
        <f>'Raw Data'!L41/K$1</f>
        <v>5.4283048732156534</v>
      </c>
      <c r="L40" s="30">
        <f>'Raw Data'!M41/L$1</f>
        <v>5.1807735736267624</v>
      </c>
      <c r="M40" s="30">
        <f>'Raw Data'!N41/M$1</f>
        <v>5.6989524183821443</v>
      </c>
      <c r="N40" s="30">
        <f>'Raw Data'!O41/N$1</f>
        <v>5.6368357090349264</v>
      </c>
      <c r="O40" s="30">
        <f>'Raw Data'!P41/O$1</f>
        <v>5.6470297029702969</v>
      </c>
      <c r="P40" s="30">
        <f t="shared" ref="P40" si="101">IFERROR(AVERAGEIF(J40:O40,"&gt;"&amp;0,J40:O40),"")</f>
        <v>5.5115858605236783</v>
      </c>
      <c r="Q40" s="30">
        <f t="shared" ref="Q40" si="102">MAXA(J40:O40)</f>
        <v>5.6989524183821443</v>
      </c>
    </row>
    <row r="41" spans="1:17">
      <c r="A41" s="156">
        <f t="shared" si="3"/>
        <v>2026</v>
      </c>
      <c r="B41" s="129">
        <f t="shared" si="4"/>
        <v>2025</v>
      </c>
      <c r="C41" s="196">
        <f>YEAR(Table12[[#This Row],[Date]])</f>
        <v>2025</v>
      </c>
      <c r="D41" s="196" t="s">
        <v>155</v>
      </c>
      <c r="E41" s="196" t="s">
        <v>155</v>
      </c>
      <c r="F41" s="197">
        <v>45778</v>
      </c>
      <c r="G41" s="196">
        <f t="shared" ref="G41" si="103">DAY(EOMONTH(F41,0))</f>
        <v>31</v>
      </c>
      <c r="H41" s="198">
        <f t="shared" si="70"/>
        <v>45783</v>
      </c>
      <c r="I41" s="199">
        <f>'Modelling New'!$AQ$1</f>
        <v>11.72</v>
      </c>
      <c r="J41" s="30">
        <f>'Raw Data'!K42/J$1</f>
        <v>5.1853249317687311</v>
      </c>
      <c r="K41" s="30">
        <f>'Raw Data'!L42/K$1</f>
        <v>5.1629451483232858</v>
      </c>
      <c r="L41" s="30">
        <f>'Raw Data'!M42/L$1</f>
        <v>4.9754245356122828</v>
      </c>
      <c r="M41" s="30">
        <f>'Raw Data'!N42/M$1</f>
        <v>5.3980945669408724</v>
      </c>
      <c r="N41" s="30">
        <f>'Raw Data'!O42/N$1</f>
        <v>5.4031844879350333</v>
      </c>
      <c r="O41" s="30">
        <f>'Raw Data'!P42/O$1</f>
        <v>5.3351485148514852</v>
      </c>
      <c r="P41" s="30">
        <f t="shared" ref="P41" si="104">IFERROR(AVERAGEIF(J41:O41,"&gt;"&amp;0,J41:O41),"")</f>
        <v>5.2433536975719486</v>
      </c>
      <c r="Q41" s="30">
        <f t="shared" ref="Q41" si="105">MAXA(J41:O41)</f>
        <v>5.4031844879350333</v>
      </c>
    </row>
    <row r="42" spans="1:17">
      <c r="A42" s="214">
        <f t="shared" ref="A42" si="106">YEAR(H42)+IF(MONTH(H42)&gt;=4,1,0)</f>
        <v>2026</v>
      </c>
      <c r="B42" s="215">
        <f t="shared" ref="B42" si="107">YEAR(H42)</f>
        <v>2025</v>
      </c>
      <c r="C42" s="196">
        <f>YEAR(Table12[[#This Row],[Date]])</f>
        <v>2025</v>
      </c>
      <c r="D42" s="196" t="s">
        <v>155</v>
      </c>
      <c r="E42" s="196" t="s">
        <v>155</v>
      </c>
      <c r="F42" s="197">
        <v>45778</v>
      </c>
      <c r="G42" s="196">
        <f t="shared" ref="G42" si="108">DAY(EOMONTH(F42,0))</f>
        <v>31</v>
      </c>
      <c r="H42" s="198">
        <f t="shared" si="70"/>
        <v>45784</v>
      </c>
      <c r="I42" s="199">
        <f>'Modelling New'!$AQ$1</f>
        <v>11.72</v>
      </c>
      <c r="J42" s="30">
        <f>'Raw Data'!K43/J$1</f>
        <v>5.9404595706146477</v>
      </c>
      <c r="K42" s="30">
        <f>'Raw Data'!L43/K$1</f>
        <v>5.7945899109149499</v>
      </c>
      <c r="L42" s="30">
        <f>'Raw Data'!M43/L$1</f>
        <v>5.5305864901366038</v>
      </c>
      <c r="M42" s="30">
        <f>'Raw Data'!N43/M$1</f>
        <v>6.0811232026453812</v>
      </c>
      <c r="N42" s="30">
        <f>'Raw Data'!O43/N$1</f>
        <v>6.1219590070813155</v>
      </c>
      <c r="O42" s="30">
        <f>'Raw Data'!P43/O$1</f>
        <v>6.110891089108911</v>
      </c>
      <c r="P42" s="30">
        <f t="shared" ref="P42" si="109">IFERROR(AVERAGEIF(J42:O42,"&gt;"&amp;0,J42:O42),"")</f>
        <v>5.9299348784169679</v>
      </c>
      <c r="Q42" s="30">
        <f t="shared" ref="Q42" si="110">MAXA(J42:O42)</f>
        <v>6.1219590070813155</v>
      </c>
    </row>
    <row r="43" spans="1:17">
      <c r="A43" s="214">
        <f t="shared" ref="A43" si="111">YEAR(H43)+IF(MONTH(H43)&gt;=4,1,0)</f>
        <v>2026</v>
      </c>
      <c r="B43" s="215">
        <f t="shared" ref="B43" si="112">YEAR(H43)</f>
        <v>2025</v>
      </c>
      <c r="C43" s="196">
        <f>YEAR(Table12[[#This Row],[Date]])</f>
        <v>2025</v>
      </c>
      <c r="D43" s="196" t="s">
        <v>155</v>
      </c>
      <c r="E43" s="196" t="s">
        <v>155</v>
      </c>
      <c r="F43" s="197">
        <v>45778</v>
      </c>
      <c r="G43" s="196">
        <f t="shared" ref="G43" si="113">DAY(EOMONTH(F43,0))</f>
        <v>31</v>
      </c>
      <c r="H43" s="198">
        <f t="shared" si="70"/>
        <v>45785</v>
      </c>
      <c r="I43" s="199">
        <f>'Modelling New'!$AQ$1</f>
        <v>11.72</v>
      </c>
      <c r="J43" s="30">
        <f>'Raw Data'!K44/J$1</f>
        <v>5.4635324302909103</v>
      </c>
      <c r="K43" s="30">
        <f>'Raw Data'!L44/K$1</f>
        <v>5.4179661826354311</v>
      </c>
      <c r="L43" s="30">
        <f>'Raw Data'!M44/L$1</f>
        <v>5.1990391214824978</v>
      </c>
      <c r="M43" s="30">
        <f>'Raw Data'!N44/M$1</f>
        <v>5.6545013484394699</v>
      </c>
      <c r="N43" s="30">
        <f>'Raw Data'!O44/N$1</f>
        <v>5.6719823969546139</v>
      </c>
      <c r="O43" s="30">
        <f>'Raw Data'!P44/O$1</f>
        <v>5.6490099009900989</v>
      </c>
      <c r="P43" s="30">
        <f t="shared" ref="P43" si="114">IFERROR(AVERAGEIF(J43:O43,"&gt;"&amp;0,J43:O43),"")</f>
        <v>5.5093385634655041</v>
      </c>
      <c r="Q43" s="30">
        <f t="shared" ref="Q43" si="115">MAXA(J43:O43)</f>
        <v>5.6719823969546139</v>
      </c>
    </row>
    <row r="44" spans="1:17">
      <c r="A44" s="214">
        <f t="shared" ref="A44" si="116">YEAR(H44)+IF(MONTH(H44)&gt;=4,1,0)</f>
        <v>2026</v>
      </c>
      <c r="B44" s="215">
        <f t="shared" ref="B44" si="117">YEAR(H44)</f>
        <v>2025</v>
      </c>
      <c r="C44" s="196">
        <f>YEAR(Table12[[#This Row],[Date]])</f>
        <v>2025</v>
      </c>
      <c r="D44" s="196" t="s">
        <v>155</v>
      </c>
      <c r="E44" s="196" t="s">
        <v>155</v>
      </c>
      <c r="F44" s="197">
        <v>45778</v>
      </c>
      <c r="G44" s="196">
        <f t="shared" ref="G44" si="118">DAY(EOMONTH(F44,0))</f>
        <v>31</v>
      </c>
      <c r="H44" s="198">
        <f t="shared" si="70"/>
        <v>45786</v>
      </c>
      <c r="I44" s="199">
        <f>'Modelling New'!$AQ$1</f>
        <v>11.72</v>
      </c>
      <c r="J44" s="30">
        <f>'Raw Data'!K45/J$1</f>
        <v>5.1757662654542251</v>
      </c>
      <c r="K44" s="30">
        <f>'Raw Data'!L45/K$1</f>
        <v>5.2486085845594124</v>
      </c>
      <c r="L44" s="30">
        <f>'Raw Data'!M45/L$1</f>
        <v>4.8968273296876035</v>
      </c>
      <c r="M44" s="30">
        <f>'Raw Data'!N45/M$1</f>
        <v>5.3438859450595624</v>
      </c>
      <c r="N44" s="30">
        <f>'Raw Data'!O45/N$1</f>
        <v>5.3591273720920443</v>
      </c>
      <c r="O44" s="30">
        <f>'Raw Data'!P45/O$1</f>
        <v>5.4089108910891088</v>
      </c>
      <c r="P44" s="30">
        <f t="shared" ref="P44" si="119">IFERROR(AVERAGEIF(J44:O44,"&gt;"&amp;0,J44:O44),"")</f>
        <v>5.2388543979903259</v>
      </c>
      <c r="Q44" s="30">
        <f t="shared" ref="Q44" si="120">MAXA(J44:O44)</f>
        <v>5.4089108910891088</v>
      </c>
    </row>
    <row r="45" spans="1:17">
      <c r="A45" s="214">
        <f t="shared" ref="A45" si="121">YEAR(H45)+IF(MONTH(H45)&gt;=4,1,0)</f>
        <v>2026</v>
      </c>
      <c r="B45" s="215">
        <f t="shared" ref="B45" si="122">YEAR(H45)</f>
        <v>2025</v>
      </c>
      <c r="C45" s="196">
        <f>YEAR(Table12[[#This Row],[Date]])</f>
        <v>2025</v>
      </c>
      <c r="D45" s="196" t="s">
        <v>155</v>
      </c>
      <c r="E45" s="196" t="s">
        <v>155</v>
      </c>
      <c r="F45" s="197">
        <v>45778</v>
      </c>
      <c r="G45" s="196">
        <f t="shared" ref="G45" si="123">DAY(EOMONTH(F45,0))</f>
        <v>31</v>
      </c>
      <c r="H45" s="198">
        <f t="shared" si="70"/>
        <v>45787</v>
      </c>
      <c r="I45" s="199">
        <f>'Modelling New'!$AQ$1</f>
        <v>11.72</v>
      </c>
      <c r="J45" s="30">
        <f>'Raw Data'!K46/J$1</f>
        <v>4.5926876202694036</v>
      </c>
      <c r="K45" s="30">
        <f>'Raw Data'!L46/K$1</f>
        <v>4.5204693765523425</v>
      </c>
      <c r="L45" s="30">
        <f>'Raw Data'!M46/L$1</f>
        <v>4.3671264418712772</v>
      </c>
      <c r="M45" s="30">
        <f>'Raw Data'!N46/M$1</f>
        <v>4.7101871552670458</v>
      </c>
      <c r="N45" s="30">
        <f>'Raw Data'!O46/N$1</f>
        <v>4.737872536328557</v>
      </c>
      <c r="O45" s="30">
        <f>'Raw Data'!P46/O$1</f>
        <v>4.6589108910891088</v>
      </c>
      <c r="P45" s="30">
        <f t="shared" ref="P45" si="124">IFERROR(AVERAGEIF(J45:O45,"&gt;"&amp;0,J45:O45),"")</f>
        <v>4.5978756702296231</v>
      </c>
      <c r="Q45" s="30">
        <f t="shared" ref="Q45" si="125">MAXA(J45:O45)</f>
        <v>4.737872536328557</v>
      </c>
    </row>
    <row r="46" spans="1:17">
      <c r="A46" s="214">
        <f t="shared" ref="A46" si="126">YEAR(H46)+IF(MONTH(H46)&gt;=4,1,0)</f>
        <v>2026</v>
      </c>
      <c r="B46" s="215">
        <f t="shared" ref="B46" si="127">YEAR(H46)</f>
        <v>2025</v>
      </c>
      <c r="C46" s="196">
        <f>YEAR(Table12[[#This Row],[Date]])</f>
        <v>2025</v>
      </c>
      <c r="D46" s="196" t="s">
        <v>155</v>
      </c>
      <c r="E46" s="196" t="s">
        <v>155</v>
      </c>
      <c r="F46" s="197">
        <v>45778</v>
      </c>
      <c r="G46" s="196">
        <f t="shared" ref="G46" si="128">DAY(EOMONTH(F46,0))</f>
        <v>31</v>
      </c>
      <c r="H46" s="198">
        <f t="shared" si="70"/>
        <v>45788</v>
      </c>
      <c r="I46" s="199">
        <f>'Modelling New'!$AQ$1</f>
        <v>11.72</v>
      </c>
      <c r="J46" s="30">
        <f>'Raw Data'!K47/J$1</f>
        <v>4.3114615955426432</v>
      </c>
      <c r="K46" s="30">
        <f>'Raw Data'!L47/K$1</f>
        <v>4.3279728043205878</v>
      </c>
      <c r="L46" s="30">
        <f>'Raw Data'!M47/L$1</f>
        <v>4.163991409657493</v>
      </c>
      <c r="M46" s="30">
        <f>'Raw Data'!N47/M$1</f>
        <v>4.5106994267438241</v>
      </c>
      <c r="N46" s="30">
        <f>'Raw Data'!O47/N$1</f>
        <v>4.4141269884486203</v>
      </c>
      <c r="O46" s="30">
        <f>'Raw Data'!P47/O$1</f>
        <v>4.4282178217821784</v>
      </c>
      <c r="P46" s="30">
        <f t="shared" ref="P46" si="129">IFERROR(AVERAGEIF(J46:O46,"&gt;"&amp;0,J46:O46),"")</f>
        <v>4.3594116744158908</v>
      </c>
      <c r="Q46" s="30">
        <f t="shared" ref="Q46" si="130">MAXA(J46:O46)</f>
        <v>4.5106994267438241</v>
      </c>
    </row>
    <row r="47" spans="1:17">
      <c r="A47" s="214">
        <f t="shared" ref="A47" si="131">YEAR(H47)+IF(MONTH(H47)&gt;=4,1,0)</f>
        <v>2026</v>
      </c>
      <c r="B47" s="215">
        <f t="shared" ref="B47" si="132">YEAR(H47)</f>
        <v>2025</v>
      </c>
      <c r="C47" s="196">
        <f>YEAR(Table12[[#This Row],[Date]])</f>
        <v>2025</v>
      </c>
      <c r="D47" s="196" t="s">
        <v>155</v>
      </c>
      <c r="E47" s="196" t="s">
        <v>155</v>
      </c>
      <c r="F47" s="197">
        <v>45778</v>
      </c>
      <c r="G47" s="196">
        <f t="shared" ref="G47" si="133">DAY(EOMONTH(F47,0))</f>
        <v>31</v>
      </c>
      <c r="H47" s="198">
        <f t="shared" si="70"/>
        <v>45789</v>
      </c>
      <c r="I47" s="199">
        <f>'Modelling New'!$AQ$1</f>
        <v>11.72</v>
      </c>
      <c r="J47" s="30">
        <f>'Raw Data'!K48/J$1</f>
        <v>4.1690877762265908</v>
      </c>
      <c r="K47" s="30">
        <f>'Raw Data'!L48/K$1</f>
        <v>3.9621800852203495</v>
      </c>
      <c r="L47" s="30">
        <f>'Raw Data'!M48/L$1</f>
        <v>3.9348418092855404</v>
      </c>
      <c r="M47" s="30">
        <f>'Raw Data'!N48/M$1</f>
        <v>4.3057908360324708</v>
      </c>
      <c r="N47" s="30">
        <f>'Raw Data'!O48/N$1</f>
        <v>4.2710651179022872</v>
      </c>
      <c r="O47" s="30">
        <f>'Raw Data'!P48/O$1</f>
        <v>4.3470297029702971</v>
      </c>
      <c r="P47" s="30">
        <f t="shared" ref="P47" si="134">IFERROR(AVERAGEIF(J47:O47,"&gt;"&amp;0,J47:O47),"")</f>
        <v>4.1649992212729225</v>
      </c>
      <c r="Q47" s="30">
        <f t="shared" ref="Q47" si="135">MAXA(J47:O47)</f>
        <v>4.3470297029702971</v>
      </c>
    </row>
    <row r="48" spans="1:17">
      <c r="A48" s="214">
        <f t="shared" ref="A48" si="136">YEAR(H48)+IF(MONTH(H48)&gt;=4,1,0)</f>
        <v>2026</v>
      </c>
      <c r="B48" s="215">
        <f t="shared" ref="B48" si="137">YEAR(H48)</f>
        <v>2025</v>
      </c>
      <c r="C48" s="196">
        <f>YEAR(Table12[[#This Row],[Date]])</f>
        <v>2025</v>
      </c>
      <c r="D48" s="196" t="s">
        <v>155</v>
      </c>
      <c r="E48" s="196" t="s">
        <v>155</v>
      </c>
      <c r="F48" s="197">
        <v>45778</v>
      </c>
      <c r="G48" s="196">
        <f t="shared" ref="G48" si="138">DAY(EOMONTH(F48,0))</f>
        <v>31</v>
      </c>
      <c r="H48" s="198">
        <f t="shared" si="70"/>
        <v>45790</v>
      </c>
      <c r="I48" s="199">
        <f>'Modelling New'!$AQ$1</f>
        <v>11.72</v>
      </c>
      <c r="J48" s="30">
        <f>'Raw Data'!K49/J$1</f>
        <v>3.3233973512432557</v>
      </c>
      <c r="K48" s="30">
        <f>'Raw Data'!L49/K$1</f>
        <v>3.3773055895392146</v>
      </c>
      <c r="L48" s="30">
        <f>'Raw Data'!M49/L$1</f>
        <v>3.2125224168087319</v>
      </c>
      <c r="M48" s="30">
        <f>'Raw Data'!N49/M$1</f>
        <v>3.4514629551830218</v>
      </c>
      <c r="N48" s="30">
        <f>'Raw Data'!O49/N$1</f>
        <v>3.4577410580143111</v>
      </c>
      <c r="O48" s="30">
        <f>'Raw Data'!P49/O$1</f>
        <v>3.3797029702970298</v>
      </c>
      <c r="P48" s="30">
        <f t="shared" ref="P48" si="139">IFERROR(AVERAGEIF(J48:O48,"&gt;"&amp;0,J48:O48),"")</f>
        <v>3.3670220568475937</v>
      </c>
      <c r="Q48" s="30">
        <f t="shared" ref="Q48" si="140">MAXA(J48:O48)</f>
        <v>3.4577410580143111</v>
      </c>
    </row>
    <row r="49" spans="1:17">
      <c r="A49" s="214">
        <f t="shared" ref="A49" si="141">YEAR(H49)+IF(MONTH(H49)&gt;=4,1,0)</f>
        <v>2026</v>
      </c>
      <c r="B49" s="215">
        <f t="shared" ref="B49" si="142">YEAR(H49)</f>
        <v>2025</v>
      </c>
      <c r="C49" s="196">
        <f>YEAR(Table12[[#This Row],[Date]])</f>
        <v>2025</v>
      </c>
      <c r="D49" s="196" t="s">
        <v>155</v>
      </c>
      <c r="E49" s="196" t="s">
        <v>155</v>
      </c>
      <c r="F49" s="197">
        <v>45778</v>
      </c>
      <c r="G49" s="196">
        <f t="shared" ref="G49" si="143">DAY(EOMONTH(F49,0))</f>
        <v>31</v>
      </c>
      <c r="H49" s="198">
        <f t="shared" si="70"/>
        <v>45791</v>
      </c>
      <c r="I49" s="199">
        <f>'Modelling New'!$AQ$1</f>
        <v>11.72</v>
      </c>
      <c r="J49" s="30">
        <f>'Raw Data'!K50/J$1</f>
        <v>4.5796073400495541</v>
      </c>
      <c r="K49" s="30">
        <f>'Raw Data'!L50/K$1</f>
        <v>4.6588109028876952</v>
      </c>
      <c r="L49" s="30">
        <f>'Raw Data'!M50/L$1</f>
        <v>4.4080855491841389</v>
      </c>
      <c r="M49" s="30">
        <f>'Raw Data'!N50/M$1</f>
        <v>4.8169781403732266</v>
      </c>
      <c r="N49" s="30">
        <f>'Raw Data'!O50/N$1</f>
        <v>4.7408426789696572</v>
      </c>
      <c r="O49" s="30">
        <f>'Raw Data'!P50/O$1</f>
        <v>4.6891089108910888</v>
      </c>
      <c r="P49" s="30">
        <f t="shared" ref="P49" si="144">IFERROR(AVERAGEIF(J49:O49,"&gt;"&amp;0,J49:O49),"")</f>
        <v>4.6489055870592271</v>
      </c>
      <c r="Q49" s="30">
        <f t="shared" ref="Q49" si="145">MAXA(J49:O49)</f>
        <v>4.8169781403732266</v>
      </c>
    </row>
    <row r="50" spans="1:17">
      <c r="A50" s="214">
        <f t="shared" ref="A50" si="146">YEAR(H50)+IF(MONTH(H50)&gt;=4,1,0)</f>
        <v>2026</v>
      </c>
      <c r="B50" s="215">
        <f t="shared" ref="B50" si="147">YEAR(H50)</f>
        <v>2025</v>
      </c>
      <c r="C50" s="196">
        <f>YEAR(Table12[[#This Row],[Date]])</f>
        <v>2025</v>
      </c>
      <c r="D50" s="196" t="s">
        <v>155</v>
      </c>
      <c r="E50" s="196" t="s">
        <v>155</v>
      </c>
      <c r="F50" s="197">
        <v>45778</v>
      </c>
      <c r="G50" s="196">
        <f t="shared" ref="G50" si="148">DAY(EOMONTH(F50,0))</f>
        <v>31</v>
      </c>
      <c r="H50" s="198">
        <f t="shared" si="70"/>
        <v>45792</v>
      </c>
      <c r="I50" s="199">
        <f>'Modelling New'!$AQ$1</f>
        <v>11.72</v>
      </c>
      <c r="J50" s="30">
        <f>'Raw Data'!K51/J$1</f>
        <v>3.3198757373379117</v>
      </c>
      <c r="K50" s="30">
        <f>'Raw Data'!L51/K$1</f>
        <v>3.4048754310864733</v>
      </c>
      <c r="L50" s="30">
        <f>'Raw Data'!M51/L$1</f>
        <v>3.2628910487745477</v>
      </c>
      <c r="M50" s="30">
        <f>'Raw Data'!N51/M$1</f>
        <v>3.3923755573323939</v>
      </c>
      <c r="N50" s="30">
        <f>'Raw Data'!O51/N$1</f>
        <v>3.4211092987740734</v>
      </c>
      <c r="O50" s="30">
        <f>'Raw Data'!P51/O$1</f>
        <v>3.4118811881188118</v>
      </c>
      <c r="P50" s="30">
        <f t="shared" ref="P50" si="149">IFERROR(AVERAGEIF(J50:O50,"&gt;"&amp;0,J50:O50),"")</f>
        <v>3.3688347102373686</v>
      </c>
      <c r="Q50" s="30">
        <f t="shared" ref="Q50" si="150">MAXA(J50:O50)</f>
        <v>3.4211092987740734</v>
      </c>
    </row>
    <row r="51" spans="1:17">
      <c r="A51" s="214">
        <f t="shared" ref="A51" si="151">YEAR(H51)+IF(MONTH(H51)&gt;=4,1,0)</f>
        <v>2026</v>
      </c>
      <c r="B51" s="215">
        <f t="shared" ref="B51" si="152">YEAR(H51)</f>
        <v>2025</v>
      </c>
      <c r="C51" s="196">
        <f>YEAR(Table12[[#This Row],[Date]])</f>
        <v>2025</v>
      </c>
      <c r="D51" s="196" t="s">
        <v>155</v>
      </c>
      <c r="E51" s="196" t="s">
        <v>155</v>
      </c>
      <c r="F51" s="197">
        <v>45778</v>
      </c>
      <c r="G51" s="196">
        <f t="shared" ref="G51" si="153">DAY(EOMONTH(F51,0))</f>
        <v>31</v>
      </c>
      <c r="H51" s="198">
        <f t="shared" si="70"/>
        <v>45793</v>
      </c>
      <c r="I51" s="199">
        <f>'Modelling New'!$AQ$1</f>
        <v>11.72</v>
      </c>
      <c r="J51" s="30">
        <f>'Raw Data'!K52/J$1</f>
        <v>4.5398634116892431</v>
      </c>
      <c r="K51" s="30">
        <f>'Raw Data'!L52/K$1</f>
        <v>4.5834861572317909</v>
      </c>
      <c r="L51" s="30">
        <f>'Raw Data'!M52/L$1</f>
        <v>4.4202625810879619</v>
      </c>
      <c r="M51" s="30">
        <f>'Raw Data'!N52/M$1</f>
        <v>4.6879616202957086</v>
      </c>
      <c r="N51" s="30">
        <f>'Raw Data'!O52/N$1</f>
        <v>4.7601486061368092</v>
      </c>
      <c r="O51" s="30">
        <f>'Raw Data'!P52/O$1</f>
        <v>4.6940594059405942</v>
      </c>
      <c r="P51" s="30">
        <f t="shared" ref="P51" si="154">IFERROR(AVERAGEIF(J51:O51,"&gt;"&amp;0,J51:O51),"")</f>
        <v>4.614296963730351</v>
      </c>
      <c r="Q51" s="30">
        <f t="shared" ref="Q51" si="155">MAXA(J51:O51)</f>
        <v>4.7601486061368092</v>
      </c>
    </row>
    <row r="52" spans="1:17">
      <c r="A52" s="214">
        <f t="shared" ref="A52" si="156">YEAR(H52)+IF(MONTH(H52)&gt;=4,1,0)</f>
        <v>2026</v>
      </c>
      <c r="B52" s="215">
        <f t="shared" ref="B52" si="157">YEAR(H52)</f>
        <v>2025</v>
      </c>
      <c r="C52" s="196">
        <f>YEAR(Table12[[#This Row],[Date]])</f>
        <v>2025</v>
      </c>
      <c r="D52" s="196" t="s">
        <v>155</v>
      </c>
      <c r="E52" s="196" t="s">
        <v>155</v>
      </c>
      <c r="F52" s="197">
        <v>45778</v>
      </c>
      <c r="G52" s="196">
        <f t="shared" ref="G52" si="158">DAY(EOMONTH(F52,0))</f>
        <v>31</v>
      </c>
      <c r="H52" s="198">
        <f t="shared" si="70"/>
        <v>45794</v>
      </c>
      <c r="I52" s="199">
        <f>'Modelling New'!$AQ$1</f>
        <v>11.72</v>
      </c>
      <c r="J52" s="30">
        <f>'Raw Data'!K53/J$1</f>
        <v>4.5725641122388661</v>
      </c>
      <c r="K52" s="30">
        <f>'Raw Data'!L53/K$1</f>
        <v>4.5327773415287975</v>
      </c>
      <c r="L52" s="30">
        <f>'Raw Data'!M53/L$1</f>
        <v>4.3804104766754488</v>
      </c>
      <c r="M52" s="30">
        <f>'Raw Data'!N53/M$1</f>
        <v>4.7492173630215886</v>
      </c>
      <c r="N52" s="30">
        <f>'Raw Data'!O53/N$1</f>
        <v>4.7126263238792045</v>
      </c>
      <c r="O52" s="30">
        <f>'Raw Data'!P53/O$1</f>
        <v>4.6801980198019804</v>
      </c>
      <c r="P52" s="30">
        <f t="shared" ref="P52" si="159">IFERROR(AVERAGEIF(J52:O52,"&gt;"&amp;0,J52:O52),"")</f>
        <v>4.6046322728576481</v>
      </c>
      <c r="Q52" s="30">
        <f t="shared" ref="Q52" si="160">MAXA(J52:O52)</f>
        <v>4.7492173630215886</v>
      </c>
    </row>
    <row r="53" spans="1:17">
      <c r="A53" s="214">
        <f t="shared" ref="A53" si="161">YEAR(H53)+IF(MONTH(H53)&gt;=4,1,0)</f>
        <v>2026</v>
      </c>
      <c r="B53" s="215">
        <f t="shared" ref="B53" si="162">YEAR(H53)</f>
        <v>2025</v>
      </c>
      <c r="C53" s="196">
        <f>YEAR(Table12[[#This Row],[Date]])</f>
        <v>2025</v>
      </c>
      <c r="D53" s="196" t="s">
        <v>155</v>
      </c>
      <c r="E53" s="196" t="s">
        <v>155</v>
      </c>
      <c r="F53" s="197">
        <v>45778</v>
      </c>
      <c r="G53" s="196">
        <f t="shared" ref="G53" si="163">DAY(EOMONTH(F53,0))</f>
        <v>31</v>
      </c>
      <c r="H53" s="198">
        <f t="shared" si="70"/>
        <v>45795</v>
      </c>
      <c r="I53" s="199">
        <f>'Modelling New'!$AQ$1</f>
        <v>11.72</v>
      </c>
      <c r="J53" s="30">
        <f>'Raw Data'!K54/J$1</f>
        <v>3.7922750883547778</v>
      </c>
      <c r="K53" s="30">
        <f>'Raw Data'!L54/K$1</f>
        <v>3.798730310333029</v>
      </c>
      <c r="L53" s="30">
        <f>'Raw Data'!M54/L$1</f>
        <v>3.6619655943498572</v>
      </c>
      <c r="M53" s="30">
        <f>'Raw Data'!N54/M$1</f>
        <v>3.8829635853582514</v>
      </c>
      <c r="N53" s="30">
        <f>'Raw Data'!O54/N$1</f>
        <v>3.8765311704094589</v>
      </c>
      <c r="O53" s="30">
        <f>'Raw Data'!P54/O$1</f>
        <v>3.8960396039603959</v>
      </c>
      <c r="P53" s="30">
        <f t="shared" ref="P53" si="164">IFERROR(AVERAGEIF(J53:O53,"&gt;"&amp;0,J53:O53),"")</f>
        <v>3.8180842254609622</v>
      </c>
      <c r="Q53" s="30">
        <f t="shared" ref="Q53" si="165">MAXA(J53:O53)</f>
        <v>3.8960396039603959</v>
      </c>
    </row>
    <row r="54" spans="1:17">
      <c r="A54" s="214">
        <f t="shared" ref="A54" si="166">YEAR(H54)+IF(MONTH(H54)&gt;=4,1,0)</f>
        <v>2026</v>
      </c>
      <c r="B54" s="215">
        <f t="shared" ref="B54" si="167">YEAR(H54)</f>
        <v>2025</v>
      </c>
      <c r="C54" s="196">
        <f>YEAR(Table12[[#This Row],[Date]])</f>
        <v>2025</v>
      </c>
      <c r="D54" s="196" t="s">
        <v>155</v>
      </c>
      <c r="E54" s="196" t="s">
        <v>155</v>
      </c>
      <c r="F54" s="197">
        <v>45778</v>
      </c>
      <c r="G54" s="196">
        <f t="shared" ref="G54" si="168">DAY(EOMONTH(F54,0))</f>
        <v>31</v>
      </c>
      <c r="H54" s="198">
        <f t="shared" si="70"/>
        <v>45796</v>
      </c>
      <c r="I54" s="199">
        <f>'Modelling New'!$AQ$1</f>
        <v>11.72</v>
      </c>
      <c r="J54" s="30">
        <f>'Raw Data'!K55/J$1</f>
        <v>2.2850243368675245</v>
      </c>
      <c r="K54" s="30">
        <f>'Raw Data'!L55/K$1</f>
        <v>2.3547598592953443</v>
      </c>
      <c r="L54" s="30">
        <f>'Raw Data'!M55/L$1</f>
        <v>2.2981380211216154</v>
      </c>
      <c r="M54" s="30">
        <f>'Raw Data'!N55/M$1</f>
        <v>2.3618696553686864</v>
      </c>
      <c r="N54" s="30">
        <f>'Raw Data'!O55/N$1</f>
        <v>2.3127510698701306</v>
      </c>
      <c r="O54" s="30">
        <f>'Raw Data'!P55/O$1</f>
        <v>2.2896039603960396</v>
      </c>
      <c r="P54" s="30">
        <f t="shared" ref="P54" si="169">IFERROR(AVERAGEIF(J54:O54,"&gt;"&amp;0,J54:O54),"")</f>
        <v>2.3170244838198903</v>
      </c>
      <c r="Q54" s="30">
        <f t="shared" ref="Q54" si="170">MAXA(J54:O54)</f>
        <v>2.3618696553686864</v>
      </c>
    </row>
    <row r="55" spans="1:17">
      <c r="A55" s="214">
        <f t="shared" ref="A55" si="171">YEAR(H55)+IF(MONTH(H55)&gt;=4,1,0)</f>
        <v>2026</v>
      </c>
      <c r="B55" s="215">
        <f t="shared" ref="B55" si="172">YEAR(H55)</f>
        <v>2025</v>
      </c>
      <c r="C55" s="196">
        <f>YEAR(Table12[[#This Row],[Date]])</f>
        <v>2025</v>
      </c>
      <c r="D55" s="196" t="s">
        <v>155</v>
      </c>
      <c r="E55" s="196" t="s">
        <v>155</v>
      </c>
      <c r="F55" s="197">
        <v>45778</v>
      </c>
      <c r="G55" s="196">
        <f t="shared" ref="G55" si="173">DAY(EOMONTH(F55,0))</f>
        <v>31</v>
      </c>
      <c r="H55" s="198">
        <f t="shared" si="70"/>
        <v>45797</v>
      </c>
      <c r="I55" s="199">
        <f>'Modelling New'!$AQ$1</f>
        <v>11.72</v>
      </c>
      <c r="J55" s="30">
        <f>'Raw Data'!K56/J$1</f>
        <v>3.3540857009898253</v>
      </c>
      <c r="K55" s="30">
        <f>'Raw Data'!L56/K$1</f>
        <v>3.2881959231096811</v>
      </c>
      <c r="L55" s="30">
        <f>'Raw Data'!M56/L$1</f>
        <v>3.1931498660526492</v>
      </c>
      <c r="M55" s="30">
        <f>'Raw Data'!N56/M$1</f>
        <v>3.42490073046118</v>
      </c>
      <c r="N55" s="30">
        <f>'Raw Data'!O56/N$1</f>
        <v>3.4057635617950552</v>
      </c>
      <c r="O55" s="30">
        <f>'Raw Data'!P56/O$1</f>
        <v>3.4475247524752475</v>
      </c>
      <c r="P55" s="30">
        <f t="shared" ref="P55" si="174">IFERROR(AVERAGEIF(J55:O55,"&gt;"&amp;0,J55:O55),"")</f>
        <v>3.352270089147273</v>
      </c>
      <c r="Q55" s="30">
        <f t="shared" ref="Q55" si="175">MAXA(J55:O55)</f>
        <v>3.4475247524752475</v>
      </c>
    </row>
    <row r="56" spans="1:17">
      <c r="A56" s="214">
        <f t="shared" ref="A56" si="176">YEAR(H56)+IF(MONTH(H56)&gt;=4,1,0)</f>
        <v>2026</v>
      </c>
      <c r="B56" s="215">
        <f t="shared" ref="B56" si="177">YEAR(H56)</f>
        <v>2025</v>
      </c>
      <c r="C56" s="196">
        <f>YEAR(Table12[[#This Row],[Date]])</f>
        <v>2025</v>
      </c>
      <c r="D56" s="196" t="s">
        <v>155</v>
      </c>
      <c r="E56" s="196" t="s">
        <v>155</v>
      </c>
      <c r="F56" s="197">
        <v>45778</v>
      </c>
      <c r="G56" s="196">
        <f t="shared" ref="G56" si="178">DAY(EOMONTH(F56,0))</f>
        <v>31</v>
      </c>
      <c r="H56" s="198">
        <f t="shared" si="70"/>
        <v>45798</v>
      </c>
      <c r="I56" s="199">
        <f>'Modelling New'!$AQ$1</f>
        <v>11.72</v>
      </c>
      <c r="J56" s="30">
        <f>'Raw Data'!K57/J$1</f>
        <v>2.136613465142311</v>
      </c>
      <c r="K56" s="30">
        <f>'Raw Data'!L57/K$1</f>
        <v>2.1317395339219822</v>
      </c>
      <c r="L56" s="30">
        <f>'Raw Data'!M57/L$1</f>
        <v>2.1038590121106115</v>
      </c>
      <c r="M56" s="30">
        <f>'Raw Data'!N57/M$1</f>
        <v>2.1493718575939504</v>
      </c>
      <c r="N56" s="30">
        <f>'Raw Data'!O57/N$1</f>
        <v>2.1553335098918125</v>
      </c>
      <c r="O56" s="30">
        <f>'Raw Data'!P57/O$1</f>
        <v>2.1470297029702969</v>
      </c>
      <c r="P56" s="30">
        <f t="shared" ref="P56" si="179">IFERROR(AVERAGEIF(J56:O56,"&gt;"&amp;0,J56:O56),"")</f>
        <v>2.1373245136051606</v>
      </c>
      <c r="Q56" s="30">
        <f t="shared" ref="Q56" si="180">MAXA(J56:O56)</f>
        <v>2.1553335098918125</v>
      </c>
    </row>
    <row r="57" spans="1:17">
      <c r="A57" s="214">
        <f t="shared" ref="A57" si="181">YEAR(H57)+IF(MONTH(H57)&gt;=4,1,0)</f>
        <v>2026</v>
      </c>
      <c r="B57" s="215">
        <f t="shared" ref="B57" si="182">YEAR(H57)</f>
        <v>2025</v>
      </c>
      <c r="C57" s="196">
        <f>YEAR(Table12[[#This Row],[Date]])</f>
        <v>2025</v>
      </c>
      <c r="D57" s="196" t="s">
        <v>155</v>
      </c>
      <c r="E57" s="196" t="s">
        <v>155</v>
      </c>
      <c r="F57" s="197">
        <v>45778</v>
      </c>
      <c r="G57" s="196">
        <f t="shared" ref="G57" si="183">DAY(EOMONTH(F57,0))</f>
        <v>31</v>
      </c>
      <c r="H57" s="198">
        <f t="shared" si="70"/>
        <v>45799</v>
      </c>
      <c r="I57" s="199">
        <f>'Modelling New'!$AQ$1</f>
        <v>11.72</v>
      </c>
      <c r="J57" s="30">
        <f>'Raw Data'!K58/J$1</f>
        <v>3.8546579632494438</v>
      </c>
      <c r="K57" s="30">
        <f>'Raw Data'!L58/K$1</f>
        <v>4.028643096093206</v>
      </c>
      <c r="L57" s="30">
        <f>'Raw Data'!M58/L$1</f>
        <v>3.2451790023689862</v>
      </c>
      <c r="M57" s="30">
        <f>'Raw Data'!N58/M$1</f>
        <v>4.2049627993332344</v>
      </c>
      <c r="N57" s="30">
        <f>'Raw Data'!O58/N$1</f>
        <v>4.138893770373322</v>
      </c>
      <c r="O57" s="30">
        <f>'Raw Data'!P58/O$1</f>
        <v>4.1227722772277229</v>
      </c>
      <c r="P57" s="30">
        <f t="shared" ref="P57" si="184">IFERROR(AVERAGEIF(J57:O57,"&gt;"&amp;0,J57:O57),"")</f>
        <v>3.9325181514409855</v>
      </c>
      <c r="Q57" s="30">
        <f t="shared" ref="Q57" si="185">MAXA(J57:O57)</f>
        <v>4.2049627993332344</v>
      </c>
    </row>
    <row r="58" spans="1:17">
      <c r="A58" s="214">
        <f t="shared" ref="A58" si="186">YEAR(H58)+IF(MONTH(H58)&gt;=4,1,0)</f>
        <v>2026</v>
      </c>
      <c r="B58" s="215">
        <f t="shared" ref="B58" si="187">YEAR(H58)</f>
        <v>2025</v>
      </c>
      <c r="C58" s="196">
        <f>YEAR(Table12[[#This Row],[Date]])</f>
        <v>2025</v>
      </c>
      <c r="D58" s="196" t="s">
        <v>155</v>
      </c>
      <c r="E58" s="196" t="s">
        <v>155</v>
      </c>
      <c r="F58" s="197">
        <v>45778</v>
      </c>
      <c r="G58" s="196">
        <f t="shared" ref="G58" si="188">DAY(EOMONTH(F58,0))</f>
        <v>31</v>
      </c>
      <c r="H58" s="198">
        <f t="shared" si="70"/>
        <v>45800</v>
      </c>
      <c r="I58" s="199">
        <f>'Modelling New'!$AQ$1</f>
        <v>11.72</v>
      </c>
      <c r="J58" s="30">
        <f>'Raw Data'!K59/J$1</f>
        <v>4.332088191273944</v>
      </c>
      <c r="K58" s="30">
        <f>'Raw Data'!L59/K$1</f>
        <v>4.1507381086596382</v>
      </c>
      <c r="L58" s="30">
        <f>'Raw Data'!M59/L$1</f>
        <v>3.8855801802200722</v>
      </c>
      <c r="M58" s="30">
        <f>'Raw Data'!N59/M$1</f>
        <v>4.4223393730772882</v>
      </c>
      <c r="N58" s="30">
        <f>'Raw Data'!O59/N$1</f>
        <v>4.335418208459461</v>
      </c>
      <c r="O58" s="30">
        <f>'Raw Data'!P59/O$1</f>
        <v>4.5108910891089105</v>
      </c>
      <c r="P58" s="30">
        <f t="shared" ref="P58" si="189">IFERROR(AVERAGEIF(J58:O58,"&gt;"&amp;0,J58:O58),"")</f>
        <v>4.2728425251332185</v>
      </c>
      <c r="Q58" s="30">
        <f t="shared" ref="Q58" si="190">MAXA(J58:O58)</f>
        <v>4.5108910891089105</v>
      </c>
    </row>
    <row r="59" spans="1:17">
      <c r="A59" s="214">
        <f t="shared" ref="A59" si="191">YEAR(H59)+IF(MONTH(H59)&gt;=4,1,0)</f>
        <v>2026</v>
      </c>
      <c r="B59" s="215">
        <f t="shared" ref="B59" si="192">YEAR(H59)</f>
        <v>2025</v>
      </c>
      <c r="C59" s="196">
        <f>YEAR(Table12[[#This Row],[Date]])</f>
        <v>2025</v>
      </c>
      <c r="D59" s="196" t="s">
        <v>155</v>
      </c>
      <c r="E59" s="196" t="s">
        <v>155</v>
      </c>
      <c r="F59" s="197">
        <v>45778</v>
      </c>
      <c r="G59" s="196">
        <f t="shared" ref="G59" si="193">DAY(EOMONTH(F59,0))</f>
        <v>31</v>
      </c>
      <c r="H59" s="198">
        <f t="shared" si="70"/>
        <v>45801</v>
      </c>
      <c r="I59" s="199">
        <f>'Modelling New'!$AQ$1</f>
        <v>11.72</v>
      </c>
      <c r="J59" s="30">
        <f>'Raw Data'!K60/J$1</f>
        <v>2.5798337295148976</v>
      </c>
      <c r="K59" s="30">
        <f>'Raw Data'!L60/K$1</f>
        <v>2.5718723614800081</v>
      </c>
      <c r="L59" s="30">
        <f>'Raw Data'!M60/L$1</f>
        <v>2.5488741780503466</v>
      </c>
      <c r="M59" s="30">
        <f>'Raw Data'!N60/M$1</f>
        <v>2.5884616948325632</v>
      </c>
      <c r="N59" s="30">
        <f>'Raw Data'!O60/N$1</f>
        <v>2.5548176951198083</v>
      </c>
      <c r="O59" s="30">
        <f>'Raw Data'!P60/O$1</f>
        <v>2.6143564356435642</v>
      </c>
      <c r="P59" s="30">
        <f t="shared" ref="P59" si="194">IFERROR(AVERAGEIF(J59:O59,"&gt;"&amp;0,J59:O59),"")</f>
        <v>2.5763693491068649</v>
      </c>
      <c r="Q59" s="30">
        <f t="shared" ref="Q59" si="195">MAXA(J59:O59)</f>
        <v>2.6143564356435642</v>
      </c>
    </row>
    <row r="60" spans="1:17">
      <c r="A60" s="214">
        <f t="shared" ref="A60" si="196">YEAR(H60)+IF(MONTH(H60)&gt;=4,1,0)</f>
        <v>2026</v>
      </c>
      <c r="B60" s="215">
        <f t="shared" ref="B60" si="197">YEAR(H60)</f>
        <v>2025</v>
      </c>
      <c r="C60" s="196">
        <f>YEAR(Table12[[#This Row],[Date]])</f>
        <v>2025</v>
      </c>
      <c r="D60" s="196" t="s">
        <v>155</v>
      </c>
      <c r="E60" s="196" t="s">
        <v>155</v>
      </c>
      <c r="F60" s="197">
        <v>45778</v>
      </c>
      <c r="G60" s="196">
        <f t="shared" ref="G60" si="198">DAY(EOMONTH(F60,0))</f>
        <v>31</v>
      </c>
      <c r="H60" s="198">
        <f t="shared" si="70"/>
        <v>45802</v>
      </c>
      <c r="I60" s="199">
        <f>'Modelling New'!$AQ$1</f>
        <v>11.72</v>
      </c>
      <c r="J60" s="30">
        <f>'Raw Data'!K61/J$1</f>
        <v>3.2655422656554607</v>
      </c>
      <c r="K60" s="30">
        <f>'Raw Data'!L61/K$1</f>
        <v>3.3551512525815959</v>
      </c>
      <c r="L60" s="30">
        <f>'Raw Data'!M61/L$1</f>
        <v>3.2385369849669003</v>
      </c>
      <c r="M60" s="30">
        <f>'Raw Data'!N61/M$1</f>
        <v>3.328951469731261</v>
      </c>
      <c r="N60" s="30">
        <f>'Raw Data'!O61/N$1</f>
        <v>3.1859730063536302</v>
      </c>
      <c r="O60" s="30">
        <f>'Raw Data'!P61/O$1</f>
        <v>3.3064356435643565</v>
      </c>
      <c r="P60" s="30">
        <f t="shared" ref="P60" si="199">IFERROR(AVERAGEIF(J60:O60,"&gt;"&amp;0,J60:O60),"")</f>
        <v>3.2800984371422008</v>
      </c>
      <c r="Q60" s="30">
        <f t="shared" ref="Q60" si="200">MAXA(J60:O60)</f>
        <v>3.3551512525815959</v>
      </c>
    </row>
    <row r="61" spans="1:17">
      <c r="A61" s="214">
        <f t="shared" ref="A61" si="201">YEAR(H61)+IF(MONTH(H61)&gt;=4,1,0)</f>
        <v>2026</v>
      </c>
      <c r="B61" s="215">
        <f t="shared" ref="B61" si="202">YEAR(H61)</f>
        <v>2025</v>
      </c>
      <c r="C61" s="196">
        <f>YEAR(Table12[[#This Row],[Date]])</f>
        <v>2025</v>
      </c>
      <c r="D61" s="196" t="s">
        <v>155</v>
      </c>
      <c r="E61" s="196" t="s">
        <v>155</v>
      </c>
      <c r="F61" s="197">
        <v>45778</v>
      </c>
      <c r="G61" s="196">
        <f t="shared" ref="G61" si="203">DAY(EOMONTH(F61,0))</f>
        <v>31</v>
      </c>
      <c r="H61" s="198">
        <f t="shared" si="70"/>
        <v>45803</v>
      </c>
      <c r="I61" s="199">
        <f>'Modelling New'!$AQ$1</f>
        <v>11.72</v>
      </c>
      <c r="J61" s="30">
        <f>'Raw Data'!K62/J$1</f>
        <v>2.2075488309499556</v>
      </c>
      <c r="K61" s="30">
        <f>'Raw Data'!L62/K$1</f>
        <v>2.2592500510780549</v>
      </c>
      <c r="L61" s="30">
        <f>'Raw Data'!M62/L$1</f>
        <v>2.2261828325990214</v>
      </c>
      <c r="M61" s="30">
        <f>'Raw Data'!N62/M$1</f>
        <v>2.2312268766347287</v>
      </c>
      <c r="N61" s="30">
        <f>'Raw Data'!O62/N$1</f>
        <v>2.2127562676197523</v>
      </c>
      <c r="O61" s="30">
        <f>'Raw Data'!P62/O$1</f>
        <v>2.1955445544554455</v>
      </c>
      <c r="P61" s="30">
        <f t="shared" ref="P61" si="204">IFERROR(AVERAGEIF(J61:O61,"&gt;"&amp;0,J61:O61),"")</f>
        <v>2.2220849022228264</v>
      </c>
      <c r="Q61" s="30">
        <f t="shared" ref="Q61" si="205">MAXA(J61:O61)</f>
        <v>2.2592500510780549</v>
      </c>
    </row>
    <row r="62" spans="1:17">
      <c r="A62" s="214">
        <f t="shared" ref="A62" si="206">YEAR(H62)+IF(MONTH(H62)&gt;=4,1,0)</f>
        <v>2026</v>
      </c>
      <c r="B62" s="215">
        <f t="shared" ref="B62" si="207">YEAR(H62)</f>
        <v>2025</v>
      </c>
      <c r="C62" s="196">
        <f>YEAR(Table12[[#This Row],[Date]])</f>
        <v>2025</v>
      </c>
      <c r="D62" s="196" t="s">
        <v>155</v>
      </c>
      <c r="E62" s="196" t="s">
        <v>155</v>
      </c>
      <c r="F62" s="197">
        <v>45778</v>
      </c>
      <c r="G62" s="196">
        <f t="shared" ref="G62" si="208">DAY(EOMONTH(F62,0))</f>
        <v>31</v>
      </c>
      <c r="H62" s="198">
        <f t="shared" si="70"/>
        <v>45804</v>
      </c>
      <c r="I62" s="199">
        <f>'Modelling New'!$AQ$1</f>
        <v>11.72</v>
      </c>
      <c r="J62" s="30">
        <f>'Raw Data'!K63/J$1</f>
        <v>2.2120766202568265</v>
      </c>
      <c r="K62" s="30">
        <f>'Raw Data'!L63/K$1</f>
        <v>2.198694863393897</v>
      </c>
      <c r="L62" s="30">
        <f>'Raw Data'!M63/L$1</f>
        <v>2.1630836672792082</v>
      </c>
      <c r="M62" s="30">
        <f>'Raw Data'!N63/M$1</f>
        <v>2.2263481006654109</v>
      </c>
      <c r="N62" s="30">
        <f>'Raw Data'!O63/N$1</f>
        <v>2.261763621197908</v>
      </c>
      <c r="O62" s="30">
        <f>'Raw Data'!P63/O$1</f>
        <v>2.2415841584158418</v>
      </c>
      <c r="P62" s="30">
        <f t="shared" ref="P62" si="209">IFERROR(AVERAGEIF(J62:O62,"&gt;"&amp;0,J62:O62),"")</f>
        <v>2.217258505201515</v>
      </c>
      <c r="Q62" s="30">
        <f t="shared" ref="Q62" si="210">MAXA(J62:O62)</f>
        <v>2.261763621197908</v>
      </c>
    </row>
    <row r="63" spans="1:17">
      <c r="A63" s="214">
        <f t="shared" ref="A63" si="211">YEAR(H63)+IF(MONTH(H63)&gt;=4,1,0)</f>
        <v>2026</v>
      </c>
      <c r="B63" s="215">
        <f t="shared" ref="B63" si="212">YEAR(H63)</f>
        <v>2025</v>
      </c>
      <c r="C63" s="196">
        <f>YEAR(Table12[[#This Row],[Date]])</f>
        <v>2025</v>
      </c>
      <c r="D63" s="196" t="s">
        <v>155</v>
      </c>
      <c r="E63" s="196" t="s">
        <v>155</v>
      </c>
      <c r="F63" s="197">
        <v>45778</v>
      </c>
      <c r="G63" s="196">
        <f t="shared" ref="G63" si="213">DAY(EOMONTH(F63,0))</f>
        <v>31</v>
      </c>
      <c r="H63" s="198">
        <f t="shared" si="70"/>
        <v>45805</v>
      </c>
      <c r="I63" s="199">
        <f>'Modelling New'!$AQ$1</f>
        <v>11.72</v>
      </c>
      <c r="J63" s="30">
        <f>'Raw Data'!K64/J$1</f>
        <v>1.3683985460765449</v>
      </c>
      <c r="K63" s="30">
        <f>'Raw Data'!L64/K$1</f>
        <v>1.3597839705987333</v>
      </c>
      <c r="L63" s="30">
        <f>'Raw Data'!M64/L$1</f>
        <v>1.3201009586645116</v>
      </c>
      <c r="M63" s="30">
        <f>'Raw Data'!N64/M$1</f>
        <v>1.4598381872636843</v>
      </c>
      <c r="N63" s="30">
        <f>'Raw Data'!O64/N$1</f>
        <v>1.4637852982889503</v>
      </c>
      <c r="O63" s="30">
        <f>'Raw Data'!P64/O$1</f>
        <v>1.4405940594059405</v>
      </c>
      <c r="P63" s="30">
        <f t="shared" ref="P63" si="214">IFERROR(AVERAGEIF(J63:O63,"&gt;"&amp;0,J63:O63),"")</f>
        <v>1.4020835033830608</v>
      </c>
      <c r="Q63" s="30">
        <f t="shared" ref="Q63" si="215">MAXA(J63:O63)</f>
        <v>1.4637852982889503</v>
      </c>
    </row>
    <row r="64" spans="1:17">
      <c r="A64" s="214">
        <f t="shared" ref="A64" si="216">YEAR(H64)+IF(MONTH(H64)&gt;=4,1,0)</f>
        <v>2026</v>
      </c>
      <c r="B64" s="215">
        <f t="shared" ref="B64" si="217">YEAR(H64)</f>
        <v>2025</v>
      </c>
      <c r="C64" s="196">
        <f>YEAR(Table12[[#This Row],[Date]])</f>
        <v>2025</v>
      </c>
      <c r="D64" s="196" t="s">
        <v>155</v>
      </c>
      <c r="E64" s="196" t="s">
        <v>155</v>
      </c>
      <c r="F64" s="197">
        <v>45778</v>
      </c>
      <c r="G64" s="196">
        <f t="shared" ref="G64" si="218">DAY(EOMONTH(F64,0))</f>
        <v>31</v>
      </c>
      <c r="H64" s="198">
        <f t="shared" si="70"/>
        <v>45806</v>
      </c>
      <c r="I64" s="199">
        <f>'Modelling New'!$AQ$1</f>
        <v>11.72</v>
      </c>
      <c r="J64" s="30">
        <f>'Raw Data'!K65/J$1</f>
        <v>0</v>
      </c>
      <c r="K64" s="30">
        <f>'Raw Data'!L65/K$1</f>
        <v>0</v>
      </c>
      <c r="L64" s="30">
        <f>'Raw Data'!M65/L$1</f>
        <v>0</v>
      </c>
      <c r="M64" s="30">
        <f>'Raw Data'!N65/M$1</f>
        <v>0</v>
      </c>
      <c r="N64" s="30">
        <f>'Raw Data'!O65/N$1</f>
        <v>2.5305615302174886</v>
      </c>
      <c r="O64" s="30">
        <f>'Raw Data'!P65/O$1</f>
        <v>2.5975247524752474</v>
      </c>
      <c r="P64" s="30">
        <f t="shared" ref="P64" si="219">IFERROR(AVERAGEIF(J64:O64,"&gt;"&amp;0,J64:O64),"")</f>
        <v>2.5640431413463682</v>
      </c>
      <c r="Q64" s="30">
        <f t="shared" ref="Q64" si="220">MAXA(J64:O64)</f>
        <v>2.5975247524752474</v>
      </c>
    </row>
    <row r="65" spans="1:17">
      <c r="A65" s="214">
        <f t="shared" ref="A65" si="221">YEAR(H65)+IF(MONTH(H65)&gt;=4,1,0)</f>
        <v>2026</v>
      </c>
      <c r="B65" s="215">
        <f t="shared" ref="B65" si="222">YEAR(H65)</f>
        <v>2025</v>
      </c>
      <c r="C65" s="196">
        <f>YEAR(Table12[[#This Row],[Date]])</f>
        <v>2025</v>
      </c>
      <c r="D65" s="196" t="s">
        <v>155</v>
      </c>
      <c r="E65" s="196" t="s">
        <v>155</v>
      </c>
      <c r="F65" s="197">
        <v>45778</v>
      </c>
      <c r="G65" s="196">
        <f t="shared" ref="G65" si="223">DAY(EOMONTH(F65,0))</f>
        <v>31</v>
      </c>
      <c r="H65" s="198">
        <f t="shared" si="70"/>
        <v>45807</v>
      </c>
      <c r="I65" s="199">
        <f>'Modelling New'!$AQ$1</f>
        <v>11.72</v>
      </c>
      <c r="J65" s="30">
        <f>'Raw Data'!K66/J$1</f>
        <v>0</v>
      </c>
      <c r="K65" s="30">
        <f>'Raw Data'!L66/K$1</f>
        <v>0</v>
      </c>
      <c r="L65" s="30">
        <f>'Raw Data'!M66/L$1</f>
        <v>0</v>
      </c>
      <c r="M65" s="30">
        <f>'Raw Data'!N66/M$1</f>
        <v>0</v>
      </c>
      <c r="N65" s="30">
        <f>'Raw Data'!O66/N$1</f>
        <v>4.8938050249863245</v>
      </c>
      <c r="O65" s="30">
        <f>'Raw Data'!P66/O$1</f>
        <v>4.8945544554455447</v>
      </c>
      <c r="P65" s="30">
        <f t="shared" ref="P65" si="224">IFERROR(AVERAGEIF(J65:O65,"&gt;"&amp;0,J65:O65),"")</f>
        <v>4.8941797402159342</v>
      </c>
      <c r="Q65" s="30">
        <f t="shared" ref="Q65" si="225">MAXA(J65:O65)</f>
        <v>4.8945544554455447</v>
      </c>
    </row>
    <row r="66" spans="1:17">
      <c r="A66" s="214">
        <f t="shared" ref="A66" si="226">YEAR(H66)+IF(MONTH(H66)&gt;=4,1,0)</f>
        <v>2026</v>
      </c>
      <c r="B66" s="215">
        <f t="shared" ref="B66" si="227">YEAR(H66)</f>
        <v>2025</v>
      </c>
      <c r="C66" s="196">
        <f>YEAR(Table12[[#This Row],[Date]])</f>
        <v>2025</v>
      </c>
      <c r="D66" s="196" t="s">
        <v>155</v>
      </c>
      <c r="E66" s="196" t="s">
        <v>155</v>
      </c>
      <c r="F66" s="197">
        <v>45778</v>
      </c>
      <c r="G66" s="196">
        <f t="shared" ref="G66" si="228">DAY(EOMONTH(F66,0))</f>
        <v>31</v>
      </c>
      <c r="H66" s="198">
        <f t="shared" si="70"/>
        <v>45808</v>
      </c>
      <c r="I66" s="199">
        <f>'Modelling New'!$AQ$1</f>
        <v>11.72</v>
      </c>
      <c r="J66" s="30">
        <f>'Raw Data'!K67/J$1</f>
        <v>4.9302594674816689</v>
      </c>
      <c r="K66" s="30">
        <f>'Raw Data'!L67/K$1</f>
        <v>4.8429380589354594</v>
      </c>
      <c r="L66" s="30">
        <f>'Raw Data'!M67/L$1</f>
        <v>4.6145415900989661</v>
      </c>
      <c r="M66" s="30">
        <f>'Raw Data'!N67/M$1</f>
        <v>5.1004892328124791</v>
      </c>
      <c r="N66" s="30">
        <f>'Raw Data'!O67/N$1</f>
        <v>5.3447716826600598</v>
      </c>
      <c r="O66" s="30">
        <f>'Raw Data'!P67/O$1</f>
        <v>5.2504950495049503</v>
      </c>
      <c r="P66" s="30">
        <f t="shared" ref="P66" si="229">IFERROR(AVERAGEIF(J66:O66,"&gt;"&amp;0,J66:O66),"")</f>
        <v>5.0139158469155971</v>
      </c>
      <c r="Q66" s="30">
        <f t="shared" ref="Q66" si="230">MAXA(J66:O66)</f>
        <v>5.3447716826600598</v>
      </c>
    </row>
    <row r="67" spans="1:17">
      <c r="A67" s="214">
        <f t="shared" ref="A67" si="231">YEAR(H67)+IF(MONTH(H67)&gt;=4,1,0)</f>
        <v>2026</v>
      </c>
      <c r="B67" s="215">
        <f t="shared" ref="B67" si="232">YEAR(H67)</f>
        <v>2025</v>
      </c>
      <c r="C67" s="196">
        <f>YEAR(Table12[[#This Row],[Date]])</f>
        <v>2025</v>
      </c>
      <c r="D67" s="196" t="s">
        <v>155</v>
      </c>
      <c r="E67" s="196" t="s">
        <v>155</v>
      </c>
      <c r="F67" s="197">
        <v>45809</v>
      </c>
      <c r="G67" s="196">
        <f t="shared" ref="G67" si="233">DAY(EOMONTH(F67,0))</f>
        <v>30</v>
      </c>
      <c r="H67" s="198">
        <f t="shared" si="70"/>
        <v>45809</v>
      </c>
      <c r="I67" s="199">
        <f>'Modelling New'!$AQ$1</f>
        <v>11.72</v>
      </c>
      <c r="J67" s="30">
        <f>'Raw Data'!K68/J$1</f>
        <v>5.4293224666389968</v>
      </c>
      <c r="K67" s="30">
        <f>'Raw Data'!L68/K$1</f>
        <v>5.4002427130693356</v>
      </c>
      <c r="L67" s="30">
        <f>'Raw Data'!M68/L$1</f>
        <v>5.1990391214824978</v>
      </c>
      <c r="M67" s="30">
        <f>'Raw Data'!N68/M$1</f>
        <v>5.652333003564217</v>
      </c>
      <c r="N67" s="30">
        <f>'Raw Data'!O68/N$1</f>
        <v>5.6650520641253799</v>
      </c>
      <c r="O67" s="30">
        <f>'Raw Data'!P68/O$1</f>
        <v>5.6287128712871288</v>
      </c>
      <c r="P67" s="30">
        <f t="shared" ref="P67" si="234">IFERROR(AVERAGEIF(J67:O67,"&gt;"&amp;0,J67:O67),"")</f>
        <v>5.4957837066945929</v>
      </c>
      <c r="Q67" s="30">
        <f t="shared" ref="Q67" si="235">MAXA(J67:O67)</f>
        <v>5.6650520641253799</v>
      </c>
    </row>
    <row r="68" spans="1:17">
      <c r="A68" s="214">
        <f t="shared" ref="A68:A84" si="236">YEAR(H68)+IF(MONTH(H68)&gt;=4,1,0)</f>
        <v>2026</v>
      </c>
      <c r="B68" s="215">
        <f t="shared" ref="B68:B84" si="237">YEAR(H68)</f>
        <v>2025</v>
      </c>
      <c r="C68" s="196">
        <f>YEAR(Table12[[#This Row],[Date]])</f>
        <v>2025</v>
      </c>
      <c r="D68" s="196" t="s">
        <v>155</v>
      </c>
      <c r="E68" s="196" t="s">
        <v>155</v>
      </c>
      <c r="F68" s="197">
        <v>45809</v>
      </c>
      <c r="G68" s="196">
        <f t="shared" ref="G68:G84" si="238">DAY(EOMONTH(F68,0))</f>
        <v>30</v>
      </c>
      <c r="H68" s="198">
        <f t="shared" ref="H68:H113" si="239">H67+1</f>
        <v>45810</v>
      </c>
      <c r="I68" s="199">
        <f>'Modelling New'!$AQ$1</f>
        <v>11.72</v>
      </c>
      <c r="J68" s="30">
        <f>'Raw Data'!K69/J$1</f>
        <v>4.1836773195487309</v>
      </c>
      <c r="K68" s="30">
        <f>'Raw Data'!L69/K$1</f>
        <v>4.3284651229196465</v>
      </c>
      <c r="L68" s="30">
        <f>'Raw Data'!M69/L$1</f>
        <v>4.2331790909292177</v>
      </c>
      <c r="M68" s="30">
        <f>'Raw Data'!N69/M$1</f>
        <v>4.6180324980688177</v>
      </c>
      <c r="N68" s="30">
        <f>'Raw Data'!O69/N$1</f>
        <v>4.599265879743875</v>
      </c>
      <c r="O68" s="30">
        <f>'Raw Data'!P69/O$1</f>
        <v>4.6549504950495049</v>
      </c>
      <c r="P68" s="30">
        <f t="shared" ref="P68" si="240">IFERROR(AVERAGEIF(J68:O68,"&gt;"&amp;0,J68:O68),"")</f>
        <v>4.4362617343766324</v>
      </c>
      <c r="Q68" s="30">
        <f t="shared" ref="Q68" si="241">MAXA(J68:O68)</f>
        <v>4.6549504950495049</v>
      </c>
    </row>
    <row r="69" spans="1:17">
      <c r="A69" s="214">
        <f t="shared" si="236"/>
        <v>2026</v>
      </c>
      <c r="B69" s="215">
        <f t="shared" si="237"/>
        <v>2025</v>
      </c>
      <c r="C69" s="196">
        <f>YEAR(Table12[[#This Row],[Date]])</f>
        <v>2025</v>
      </c>
      <c r="D69" s="196" t="s">
        <v>155</v>
      </c>
      <c r="E69" s="196" t="s">
        <v>155</v>
      </c>
      <c r="F69" s="197">
        <v>45809</v>
      </c>
      <c r="G69" s="196">
        <f t="shared" si="238"/>
        <v>30</v>
      </c>
      <c r="H69" s="198">
        <f t="shared" si="239"/>
        <v>45811</v>
      </c>
      <c r="I69" s="199">
        <f>'Modelling New'!$AQ$1</f>
        <v>11.72</v>
      </c>
      <c r="J69" s="30">
        <f>'Raw Data'!K70/J$1</f>
        <v>4.4633940811732007</v>
      </c>
      <c r="K69" s="30">
        <f>'Raw Data'!L70/K$1</f>
        <v>4.5125922789674116</v>
      </c>
      <c r="L69" s="30">
        <f>'Raw Data'!M70/L$1</f>
        <v>4.3510748998162372</v>
      </c>
      <c r="M69" s="30">
        <f>'Raw Data'!N70/M$1</f>
        <v>4.6787461545758857</v>
      </c>
      <c r="N69" s="30">
        <f>'Raw Data'!O70/N$1</f>
        <v>4.6245120921932275</v>
      </c>
      <c r="O69" s="30">
        <f>'Raw Data'!P70/O$1</f>
        <v>4.566336633663366</v>
      </c>
      <c r="P69" s="30">
        <f t="shared" ref="P69" si="242">IFERROR(AVERAGEIF(J69:O69,"&gt;"&amp;0,J69:O69),"")</f>
        <v>4.5327760233982213</v>
      </c>
      <c r="Q69" s="30">
        <f t="shared" ref="Q69" si="243">MAXA(J69:O69)</f>
        <v>4.6787461545758857</v>
      </c>
    </row>
    <row r="70" spans="1:17">
      <c r="A70" s="220">
        <f t="shared" si="236"/>
        <v>2026</v>
      </c>
      <c r="B70" s="221">
        <f t="shared" si="237"/>
        <v>2025</v>
      </c>
      <c r="C70" s="54">
        <f>YEAR(Table12[[#This Row],[Date]])</f>
        <v>2025</v>
      </c>
      <c r="D70" s="54" t="s">
        <v>155</v>
      </c>
      <c r="E70" s="54" t="s">
        <v>155</v>
      </c>
      <c r="F70" s="60">
        <v>45809</v>
      </c>
      <c r="G70" s="54">
        <f t="shared" si="238"/>
        <v>30</v>
      </c>
      <c r="H70" s="55">
        <f t="shared" si="239"/>
        <v>45812</v>
      </c>
      <c r="I70" s="56">
        <f>'Modelling New'!$AQ$1</f>
        <v>11.72</v>
      </c>
      <c r="J70" s="30">
        <f>'Raw Data'!K71/J$1</f>
        <v>5.2547510344740846</v>
      </c>
      <c r="K70" s="30">
        <f>'Raw Data'!L71/K$1</f>
        <v>5.1772223876959735</v>
      </c>
      <c r="L70" s="30">
        <f>'Raw Data'!M71/L$1</f>
        <v>5.0003321008701045</v>
      </c>
      <c r="M70" s="30">
        <f>'Raw Data'!N71/M$1</f>
        <v>5.5244006559243246</v>
      </c>
      <c r="N70" s="30">
        <f>'Raw Data'!O71/N$1</f>
        <v>5.6165397343207406</v>
      </c>
      <c r="O70" s="30">
        <f>'Raw Data'!P71/O$1</f>
        <v>5.4950495049504955</v>
      </c>
      <c r="P70" s="30">
        <f t="shared" ref="P70" si="244">IFERROR(AVERAGEIF(J70:O70,"&gt;"&amp;0,J70:O70),"")</f>
        <v>5.3447159030392868</v>
      </c>
      <c r="Q70" s="30">
        <f t="shared" ref="Q70" si="245">MAXA(J70:O70)</f>
        <v>5.6165397343207406</v>
      </c>
    </row>
    <row r="71" spans="1:17">
      <c r="A71" s="220">
        <f t="shared" si="236"/>
        <v>2026</v>
      </c>
      <c r="B71" s="221">
        <f t="shared" si="237"/>
        <v>2025</v>
      </c>
      <c r="C71" s="54">
        <f>YEAR(Table12[[#This Row],[Date]])</f>
        <v>2025</v>
      </c>
      <c r="D71" s="54" t="s">
        <v>155</v>
      </c>
      <c r="E71" s="54" t="s">
        <v>155</v>
      </c>
      <c r="F71" s="60">
        <v>45809</v>
      </c>
      <c r="G71" s="54">
        <f t="shared" si="238"/>
        <v>30</v>
      </c>
      <c r="H71" s="55">
        <f t="shared" si="239"/>
        <v>45813</v>
      </c>
      <c r="I71" s="56">
        <f>'Modelling New'!$AQ$1</f>
        <v>11.72</v>
      </c>
      <c r="J71" s="30">
        <f>'Raw Data'!K72/J$1</f>
        <v>2.6085097284584138</v>
      </c>
      <c r="K71" s="30">
        <f>'Raw Data'!L72/K$1</f>
        <v>2.6329198677632242</v>
      </c>
      <c r="L71" s="30">
        <f>'Raw Data'!M72/L$1</f>
        <v>2.5787632563597316</v>
      </c>
      <c r="M71" s="30">
        <f>'Raw Data'!N72/M$1</f>
        <v>2.6475490926831915</v>
      </c>
      <c r="N71" s="30">
        <f>'Raw Data'!O72/N$1</f>
        <v>2.5879842879454285</v>
      </c>
      <c r="O71" s="30">
        <f>'Raw Data'!P72/O$1</f>
        <v>2.6277227722772278</v>
      </c>
      <c r="P71" s="30">
        <f t="shared" ref="P71" si="246">IFERROR(AVERAGEIF(J71:O71,"&gt;"&amp;0,J71:O71),"")</f>
        <v>2.6139081675812026</v>
      </c>
      <c r="Q71" s="30">
        <f t="shared" ref="Q71" si="247">MAXA(J71:O71)</f>
        <v>2.6475490926831915</v>
      </c>
    </row>
    <row r="72" spans="1:17">
      <c r="A72" s="220">
        <f t="shared" si="236"/>
        <v>2026</v>
      </c>
      <c r="B72" s="221">
        <f t="shared" si="237"/>
        <v>2025</v>
      </c>
      <c r="C72" s="54">
        <f>YEAR(Table12[[#This Row],[Date]])</f>
        <v>2025</v>
      </c>
      <c r="D72" s="54" t="s">
        <v>155</v>
      </c>
      <c r="E72" s="54" t="s">
        <v>155</v>
      </c>
      <c r="F72" s="60">
        <v>45809</v>
      </c>
      <c r="G72" s="54">
        <f t="shared" si="238"/>
        <v>30</v>
      </c>
      <c r="H72" s="55">
        <f t="shared" si="239"/>
        <v>45814</v>
      </c>
      <c r="I72" s="56">
        <f>'Modelling New'!$AQ$1</f>
        <v>11.72</v>
      </c>
      <c r="J72" s="30">
        <f>'Raw Data'!K73/J$1</f>
        <v>3.320378825038675</v>
      </c>
      <c r="K72" s="30">
        <f>'Raw Data'!L73/K$1</f>
        <v>3.4004445636949496</v>
      </c>
      <c r="L72" s="30">
        <f>'Raw Data'!M73/L$1</f>
        <v>3.2584630371731573</v>
      </c>
      <c r="M72" s="30">
        <f>'Raw Data'!N73/M$1</f>
        <v>3.556085595413951</v>
      </c>
      <c r="N72" s="30">
        <f>'Raw Data'!O73/N$1</f>
        <v>3.504273292724883</v>
      </c>
      <c r="O72" s="30">
        <f>'Raw Data'!P73/O$1</f>
        <v>3.4034653465346536</v>
      </c>
      <c r="P72" s="30">
        <f t="shared" ref="P72" si="248">IFERROR(AVERAGEIF(J72:O72,"&gt;"&amp;0,J72:O72),"")</f>
        <v>3.407185110096711</v>
      </c>
      <c r="Q72" s="30">
        <f t="shared" ref="Q72" si="249">MAXA(J72:O72)</f>
        <v>3.556085595413951</v>
      </c>
    </row>
    <row r="73" spans="1:17">
      <c r="A73" s="220">
        <f t="shared" si="236"/>
        <v>2026</v>
      </c>
      <c r="B73" s="221">
        <f t="shared" si="237"/>
        <v>2025</v>
      </c>
      <c r="C73" s="54">
        <f>YEAR(Table12[[#This Row],[Date]])</f>
        <v>2025</v>
      </c>
      <c r="D73" s="54" t="s">
        <v>155</v>
      </c>
      <c r="E73" s="54" t="s">
        <v>155</v>
      </c>
      <c r="F73" s="60">
        <v>45809</v>
      </c>
      <c r="G73" s="54">
        <f t="shared" si="238"/>
        <v>30</v>
      </c>
      <c r="H73" s="55">
        <f t="shared" si="239"/>
        <v>45815</v>
      </c>
      <c r="I73" s="56">
        <f>'Modelling New'!$AQ$1</f>
        <v>11.72</v>
      </c>
      <c r="J73" s="30">
        <f>'Raw Data'!K74/J$1</f>
        <v>4.0513652542479468</v>
      </c>
      <c r="K73" s="30">
        <f>'Raw Data'!L74/K$1</f>
        <v>4.0443972912630679</v>
      </c>
      <c r="L73" s="30">
        <f>'Raw Data'!M74/L$1</f>
        <v>3.8988642150242434</v>
      </c>
      <c r="M73" s="30">
        <f>'Raw Data'!N74/M$1</f>
        <v>4.1475016601390458</v>
      </c>
      <c r="N73" s="30">
        <f>'Raw Data'!O74/N$1</f>
        <v>4.1220629620737537</v>
      </c>
      <c r="O73" s="30">
        <f>'Raw Data'!P74/O$1</f>
        <v>4.1297029702970294</v>
      </c>
      <c r="P73" s="30">
        <f t="shared" ref="P73" si="250">IFERROR(AVERAGEIF(J73:O73,"&gt;"&amp;0,J73:O73),"")</f>
        <v>4.0656490588408483</v>
      </c>
      <c r="Q73" s="30">
        <f t="shared" ref="Q73" si="251">MAXA(J73:O73)</f>
        <v>4.1475016601390458</v>
      </c>
    </row>
    <row r="74" spans="1:17">
      <c r="A74" s="220">
        <f t="shared" si="236"/>
        <v>2026</v>
      </c>
      <c r="B74" s="221">
        <f t="shared" si="237"/>
        <v>2025</v>
      </c>
      <c r="C74" s="54">
        <f>YEAR(Table12[[#This Row],[Date]])</f>
        <v>2025</v>
      </c>
      <c r="D74" s="54" t="s">
        <v>155</v>
      </c>
      <c r="E74" s="54" t="s">
        <v>155</v>
      </c>
      <c r="F74" s="60">
        <v>45809</v>
      </c>
      <c r="G74" s="54">
        <f t="shared" si="238"/>
        <v>30</v>
      </c>
      <c r="H74" s="55">
        <f t="shared" si="239"/>
        <v>45816</v>
      </c>
      <c r="I74" s="56">
        <f>'Modelling New'!$AQ$1</f>
        <v>11.72</v>
      </c>
      <c r="J74" s="30">
        <f>'Raw Data'!K75/J$1</f>
        <v>4.3431561206907396</v>
      </c>
      <c r="K74" s="30">
        <f>'Raw Data'!L75/K$1</f>
        <v>4.3358499019055197</v>
      </c>
      <c r="L74" s="30">
        <f>'Raw Data'!M75/L$1</f>
        <v>4.1036597515885491</v>
      </c>
      <c r="M74" s="30">
        <f>'Raw Data'!N75/M$1</f>
        <v>4.4662483568011497</v>
      </c>
      <c r="N74" s="30">
        <f>'Raw Data'!O75/N$1</f>
        <v>4.5032312676816302</v>
      </c>
      <c r="O74" s="30">
        <f>'Raw Data'!P75/O$1</f>
        <v>4.4549504950495047</v>
      </c>
      <c r="P74" s="30">
        <f t="shared" ref="P74" si="252">IFERROR(AVERAGEIF(J74:O74,"&gt;"&amp;0,J74:O74),"")</f>
        <v>4.3678493156195151</v>
      </c>
      <c r="Q74" s="30">
        <f t="shared" ref="Q74" si="253">MAXA(J74:O74)</f>
        <v>4.5032312676816302</v>
      </c>
    </row>
    <row r="75" spans="1:17">
      <c r="A75" s="220">
        <f t="shared" si="236"/>
        <v>2026</v>
      </c>
      <c r="B75" s="221">
        <f t="shared" si="237"/>
        <v>2025</v>
      </c>
      <c r="C75" s="54">
        <f>YEAR(Table12[[#This Row],[Date]])</f>
        <v>2025</v>
      </c>
      <c r="D75" s="54" t="s">
        <v>155</v>
      </c>
      <c r="E75" s="54" t="s">
        <v>155</v>
      </c>
      <c r="F75" s="60">
        <v>45809</v>
      </c>
      <c r="G75" s="54">
        <f t="shared" si="238"/>
        <v>30</v>
      </c>
      <c r="H75" s="55">
        <f t="shared" si="239"/>
        <v>45817</v>
      </c>
      <c r="I75" s="56">
        <f>'Modelling New'!$AQ$1</f>
        <v>11.72</v>
      </c>
      <c r="J75" s="30">
        <f>'Raw Data'!K76/J$1</f>
        <v>1.7547699002628634</v>
      </c>
      <c r="K75" s="30">
        <f>'Raw Data'!L76/K$1</f>
        <v>1.7659468148217439</v>
      </c>
      <c r="L75" s="30">
        <f>'Raw Data'!M76/L$1</f>
        <v>1.7258175216419067</v>
      </c>
      <c r="M75" s="30">
        <f>'Raw Data'!N76/M$1</f>
        <v>1.7579856076108906</v>
      </c>
      <c r="N75" s="30">
        <f>'Raw Data'!O76/N$1</f>
        <v>1.714762351461929</v>
      </c>
      <c r="O75" s="30">
        <f>'Raw Data'!P76/O$1</f>
        <v>1.7381188118811881</v>
      </c>
      <c r="P75" s="30">
        <f t="shared" ref="P75" si="254">IFERROR(AVERAGEIF(J75:O75,"&gt;"&amp;0,J75:O75),"")</f>
        <v>1.7429001679467537</v>
      </c>
      <c r="Q75" s="30">
        <f t="shared" ref="Q75" si="255">MAXA(J75:O75)</f>
        <v>1.7659468148217439</v>
      </c>
    </row>
    <row r="76" spans="1:17">
      <c r="A76" s="220">
        <f t="shared" si="236"/>
        <v>2026</v>
      </c>
      <c r="B76" s="221">
        <f t="shared" si="237"/>
        <v>2025</v>
      </c>
      <c r="C76" s="54">
        <f>YEAR(Table12[[#This Row],[Date]])</f>
        <v>2025</v>
      </c>
      <c r="D76" s="54" t="s">
        <v>155</v>
      </c>
      <c r="E76" s="54" t="s">
        <v>155</v>
      </c>
      <c r="F76" s="60">
        <v>45809</v>
      </c>
      <c r="G76" s="54">
        <f t="shared" si="238"/>
        <v>30</v>
      </c>
      <c r="H76" s="55">
        <f t="shared" si="239"/>
        <v>45818</v>
      </c>
      <c r="I76" s="56">
        <f>'Modelling New'!$AQ$1</f>
        <v>11.72</v>
      </c>
      <c r="J76" s="30">
        <f>'Raw Data'!K77/J$1</f>
        <v>1.183765359896364</v>
      </c>
      <c r="K76" s="30">
        <f>'Raw Data'!L77/K$1</f>
        <v>1.1628565309754555</v>
      </c>
      <c r="L76" s="30">
        <f>'Raw Data'!M77/L$1</f>
        <v>1.1656740540660215</v>
      </c>
      <c r="M76" s="30">
        <f>'Raw Data'!N77/M$1</f>
        <v>1.1784954396996843</v>
      </c>
      <c r="N76" s="30">
        <f>'Raw Data'!O77/N$1</f>
        <v>1.1633058677642993</v>
      </c>
      <c r="O76" s="30">
        <f>'Raw Data'!P77/O$1</f>
        <v>1.1841584158415841</v>
      </c>
      <c r="P76" s="30">
        <f t="shared" ref="P76" si="256">IFERROR(AVERAGEIF(J76:O76,"&gt;"&amp;0,J76:O76),"")</f>
        <v>1.1730426113739016</v>
      </c>
      <c r="Q76" s="30">
        <f t="shared" ref="Q76" si="257">MAXA(J76:O76)</f>
        <v>1.1841584158415841</v>
      </c>
    </row>
    <row r="77" spans="1:17">
      <c r="A77" s="220">
        <f t="shared" si="236"/>
        <v>2026</v>
      </c>
      <c r="B77" s="221">
        <f t="shared" si="237"/>
        <v>2025</v>
      </c>
      <c r="C77" s="54">
        <f>YEAR(Table12[[#This Row],[Date]])</f>
        <v>2025</v>
      </c>
      <c r="D77" s="54" t="s">
        <v>155</v>
      </c>
      <c r="E77" s="54" t="s">
        <v>155</v>
      </c>
      <c r="F77" s="60">
        <v>45809</v>
      </c>
      <c r="G77" s="54">
        <f t="shared" si="238"/>
        <v>30</v>
      </c>
      <c r="H77" s="55">
        <f t="shared" si="239"/>
        <v>45819</v>
      </c>
      <c r="I77" s="56">
        <f>'Modelling New'!$AQ$1</f>
        <v>11.72</v>
      </c>
      <c r="J77" s="30">
        <f>'Raw Data'!K78/J$1</f>
        <v>2.37809556150876</v>
      </c>
      <c r="K77" s="30">
        <f>'Raw Data'!L78/K$1</f>
        <v>2.3808527450454289</v>
      </c>
      <c r="L77" s="30">
        <f>'Raw Data'!M78/L$1</f>
        <v>2.3562556733898643</v>
      </c>
      <c r="M77" s="30">
        <f>'Raw Data'!N78/M$1</f>
        <v>2.3981894320291643</v>
      </c>
      <c r="N77" s="30">
        <f>'Raw Data'!O78/N$1</f>
        <v>2.3681937325040034</v>
      </c>
      <c r="O77" s="30">
        <f>'Raw Data'!P78/O$1</f>
        <v>2.4059405940594059</v>
      </c>
      <c r="P77" s="30">
        <f t="shared" ref="P77" si="258">IFERROR(AVERAGEIF(J77:O77,"&gt;"&amp;0,J77:O77),"")</f>
        <v>2.3812546230894376</v>
      </c>
      <c r="Q77" s="30">
        <f t="shared" ref="Q77" si="259">MAXA(J77:O77)</f>
        <v>2.4059405940594059</v>
      </c>
    </row>
    <row r="78" spans="1:17">
      <c r="A78" s="220">
        <f t="shared" si="236"/>
        <v>2026</v>
      </c>
      <c r="B78" s="221">
        <f t="shared" si="237"/>
        <v>2025</v>
      </c>
      <c r="C78" s="54">
        <f>YEAR(Table12[[#This Row],[Date]])</f>
        <v>2025</v>
      </c>
      <c r="D78" s="54" t="s">
        <v>155</v>
      </c>
      <c r="E78" s="54" t="s">
        <v>155</v>
      </c>
      <c r="F78" s="60">
        <v>45809</v>
      </c>
      <c r="G78" s="54">
        <f t="shared" si="238"/>
        <v>30</v>
      </c>
      <c r="H78" s="55">
        <f t="shared" si="239"/>
        <v>45820</v>
      </c>
      <c r="I78" s="56">
        <f>'Modelling New'!$AQ$1</f>
        <v>11.72</v>
      </c>
      <c r="J78" s="30">
        <f>'Raw Data'!K79/J$1</f>
        <v>3.5638732722081778</v>
      </c>
      <c r="K78" s="30">
        <f>'Raw Data'!L79/K$1</f>
        <v>3.6126338798890316</v>
      </c>
      <c r="L78" s="30">
        <f>'Raw Data'!M79/L$1</f>
        <v>3.4909336462461531</v>
      </c>
      <c r="M78" s="30">
        <f>'Raw Data'!N79/M$1</f>
        <v>3.6281830625160936</v>
      </c>
      <c r="N78" s="30">
        <f>'Raw Data'!O79/N$1</f>
        <v>3.6047631187487781</v>
      </c>
      <c r="O78" s="30">
        <f>'Raw Data'!P79/O$1</f>
        <v>3.6242574257425741</v>
      </c>
      <c r="P78" s="30">
        <f t="shared" ref="P78" si="260">IFERROR(AVERAGEIF(J78:O78,"&gt;"&amp;0,J78:O78),"")</f>
        <v>3.5874407342251349</v>
      </c>
      <c r="Q78" s="30">
        <f t="shared" ref="Q78" si="261">MAXA(J78:O78)</f>
        <v>3.6281830625160936</v>
      </c>
    </row>
    <row r="79" spans="1:17">
      <c r="A79" s="220">
        <f t="shared" si="236"/>
        <v>2026</v>
      </c>
      <c r="B79" s="221">
        <f t="shared" si="237"/>
        <v>2025</v>
      </c>
      <c r="C79" s="54">
        <f>YEAR(Table12[[#This Row],[Date]])</f>
        <v>2025</v>
      </c>
      <c r="D79" s="54" t="s">
        <v>155</v>
      </c>
      <c r="E79" s="54" t="s">
        <v>155</v>
      </c>
      <c r="F79" s="60">
        <v>45809</v>
      </c>
      <c r="G79" s="54">
        <f t="shared" si="238"/>
        <v>30</v>
      </c>
      <c r="H79" s="55">
        <f t="shared" si="239"/>
        <v>45821</v>
      </c>
      <c r="I79" s="56">
        <f>'Modelling New'!$AQ$1</f>
        <v>11.72</v>
      </c>
      <c r="J79" s="30">
        <f>'Raw Data'!K80/J$1</f>
        <v>2.2991107924889009</v>
      </c>
      <c r="K79" s="30">
        <f>'Raw Data'!L80/K$1</f>
        <v>2.331128566540551</v>
      </c>
      <c r="L79" s="30">
        <f>'Raw Data'!M80/L$1</f>
        <v>2.2527509022073637</v>
      </c>
      <c r="M79" s="30">
        <f>'Raw Data'!N80/M$1</f>
        <v>2.3358495168656574</v>
      </c>
      <c r="N79" s="30">
        <f>'Raw Data'!O80/N$1</f>
        <v>2.3162162362847476</v>
      </c>
      <c r="O79" s="30">
        <f>'Raw Data'!P80/O$1</f>
        <v>2.3272277227722773</v>
      </c>
      <c r="P79" s="30">
        <f t="shared" ref="P79" si="262">IFERROR(AVERAGEIF(J79:O79,"&gt;"&amp;0,J79:O79),"")</f>
        <v>2.3103806228599164</v>
      </c>
      <c r="Q79" s="30">
        <f t="shared" ref="Q79" si="263">MAXA(J79:O79)</f>
        <v>2.3358495168656574</v>
      </c>
    </row>
    <row r="80" spans="1:17">
      <c r="A80" s="220">
        <f t="shared" si="236"/>
        <v>2026</v>
      </c>
      <c r="B80" s="221">
        <f t="shared" si="237"/>
        <v>2025</v>
      </c>
      <c r="C80" s="54">
        <f>YEAR(Table12[[#This Row],[Date]])</f>
        <v>2025</v>
      </c>
      <c r="D80" s="54" t="s">
        <v>155</v>
      </c>
      <c r="E80" s="54" t="s">
        <v>155</v>
      </c>
      <c r="F80" s="60">
        <v>45809</v>
      </c>
      <c r="G80" s="54">
        <f t="shared" si="238"/>
        <v>30</v>
      </c>
      <c r="H80" s="55">
        <f t="shared" si="239"/>
        <v>45822</v>
      </c>
      <c r="I80" s="56">
        <f>'Modelling New'!$AQ$1</f>
        <v>11.72</v>
      </c>
      <c r="J80" s="30">
        <f>'Raw Data'!K81/J$1</f>
        <v>3.3535826132890616</v>
      </c>
      <c r="K80" s="30">
        <f>'Raw Data'!L81/K$1</f>
        <v>3.4221065820535101</v>
      </c>
      <c r="L80" s="30">
        <f>'Raw Data'!M81/L$1</f>
        <v>3.2590165386233312</v>
      </c>
      <c r="M80" s="30">
        <f>'Raw Data'!N81/M$1</f>
        <v>3.4314057650869372</v>
      </c>
      <c r="N80" s="30">
        <f>'Raw Data'!O81/N$1</f>
        <v>3.3879427059484533</v>
      </c>
      <c r="O80" s="30">
        <f>'Raw Data'!P81/O$1</f>
        <v>3.4202970297029704</v>
      </c>
      <c r="P80" s="30">
        <f t="shared" ref="P80" si="264">IFERROR(AVERAGEIF(J80:O80,"&gt;"&amp;0,J80:O80),"")</f>
        <v>3.3790585391173771</v>
      </c>
      <c r="Q80" s="30">
        <f t="shared" ref="Q80" si="265">MAXA(J80:O80)</f>
        <v>3.4314057650869372</v>
      </c>
    </row>
    <row r="81" spans="1:17">
      <c r="A81" s="220">
        <f t="shared" si="236"/>
        <v>2026</v>
      </c>
      <c r="B81" s="221">
        <f t="shared" si="237"/>
        <v>2025</v>
      </c>
      <c r="C81" s="54">
        <f>YEAR(Table12[[#This Row],[Date]])</f>
        <v>2025</v>
      </c>
      <c r="D81" s="54" t="s">
        <v>155</v>
      </c>
      <c r="E81" s="54" t="s">
        <v>155</v>
      </c>
      <c r="F81" s="60">
        <v>45809</v>
      </c>
      <c r="G81" s="54">
        <f t="shared" si="238"/>
        <v>30</v>
      </c>
      <c r="H81" s="55">
        <f t="shared" si="239"/>
        <v>45823</v>
      </c>
      <c r="I81" s="56">
        <f>'Modelling New'!$AQ$1</f>
        <v>11.72</v>
      </c>
      <c r="J81" s="30">
        <f>'Raw Data'!K82/J$1</f>
        <v>1.5374360135330591</v>
      </c>
      <c r="K81" s="30">
        <f>'Raw Data'!L82/K$1</f>
        <v>1.518310559495472</v>
      </c>
      <c r="L81" s="30">
        <f>'Raw Data'!M82/L$1</f>
        <v>1.5082914517236035</v>
      </c>
      <c r="M81" s="30">
        <f>'Raw Data'!N82/M$1</f>
        <v>1.553077016899538</v>
      </c>
      <c r="N81" s="30">
        <f>'Raw Data'!O82/N$1</f>
        <v>1.5449691971456929</v>
      </c>
      <c r="O81" s="30">
        <f>'Raw Data'!P82/O$1</f>
        <v>1.5262376237623763</v>
      </c>
      <c r="P81" s="30">
        <f t="shared" ref="P81" si="266">IFERROR(AVERAGEIF(J81:O81,"&gt;"&amp;0,J81:O81),"")</f>
        <v>1.5313869770932902</v>
      </c>
      <c r="Q81" s="30">
        <f t="shared" ref="Q81" si="267">MAXA(J81:O81)</f>
        <v>1.553077016899538</v>
      </c>
    </row>
    <row r="82" spans="1:17">
      <c r="A82" s="220">
        <f t="shared" si="236"/>
        <v>2026</v>
      </c>
      <c r="B82" s="221">
        <f t="shared" si="237"/>
        <v>2025</v>
      </c>
      <c r="C82" s="54">
        <f>YEAR(Table12[[#This Row],[Date]])</f>
        <v>2025</v>
      </c>
      <c r="D82" s="54" t="s">
        <v>155</v>
      </c>
      <c r="E82" s="54" t="s">
        <v>155</v>
      </c>
      <c r="F82" s="60">
        <v>45809</v>
      </c>
      <c r="G82" s="54">
        <f t="shared" si="238"/>
        <v>30</v>
      </c>
      <c r="H82" s="55">
        <f t="shared" si="239"/>
        <v>45824</v>
      </c>
      <c r="I82" s="56">
        <f>'Modelling New'!$AQ$1</f>
        <v>11.72</v>
      </c>
      <c r="J82" s="30">
        <f>'Raw Data'!K83/J$1</f>
        <v>2.3368423700461585</v>
      </c>
      <c r="K82" s="30">
        <f>'Raw Data'!L83/K$1</f>
        <v>2.3306362479414928</v>
      </c>
      <c r="L82" s="30">
        <f>'Raw Data'!M83/L$1</f>
        <v>2.3009055283724842</v>
      </c>
      <c r="M82" s="30">
        <f>'Raw Data'!N83/M$1</f>
        <v>2.3987315182479776</v>
      </c>
      <c r="N82" s="30">
        <f>'Raw Data'!O83/N$1</f>
        <v>2.3459176626957507</v>
      </c>
      <c r="O82" s="30">
        <f>'Raw Data'!P83/O$1</f>
        <v>2.3683168316831682</v>
      </c>
      <c r="P82" s="30">
        <f t="shared" ref="P82" si="268">IFERROR(AVERAGEIF(J82:O82,"&gt;"&amp;0,J82:O82),"")</f>
        <v>2.3468916931645052</v>
      </c>
      <c r="Q82" s="30">
        <f t="shared" ref="Q82" si="269">MAXA(J82:O82)</f>
        <v>2.3987315182479776</v>
      </c>
    </row>
    <row r="83" spans="1:17">
      <c r="A83" s="220">
        <f t="shared" si="236"/>
        <v>2026</v>
      </c>
      <c r="B83" s="221">
        <f t="shared" si="237"/>
        <v>2025</v>
      </c>
      <c r="C83" s="54">
        <f>YEAR(Table12[[#This Row],[Date]])</f>
        <v>2025</v>
      </c>
      <c r="D83" s="54" t="s">
        <v>155</v>
      </c>
      <c r="E83" s="54" t="s">
        <v>155</v>
      </c>
      <c r="F83" s="60">
        <v>45809</v>
      </c>
      <c r="G83" s="54">
        <f t="shared" si="238"/>
        <v>30</v>
      </c>
      <c r="H83" s="55">
        <f t="shared" si="239"/>
        <v>45825</v>
      </c>
      <c r="I83" s="56">
        <f>'Modelling New'!$AQ$1</f>
        <v>11.72</v>
      </c>
      <c r="J83" s="30">
        <f>'Raw Data'!K84/J$1</f>
        <v>5.128476021582463</v>
      </c>
      <c r="K83" s="30">
        <f>'Raw Data'!L84/K$1</f>
        <v>5.0585736053229491</v>
      </c>
      <c r="L83" s="30">
        <f>'Raw Data'!M84/L$1</f>
        <v>4.8857573006841273</v>
      </c>
      <c r="M83" s="30">
        <f>'Raw Data'!N84/M$1</f>
        <v>5.2896773231782515</v>
      </c>
      <c r="N83" s="30">
        <f>'Raw Data'!O84/N$1</f>
        <v>5.3220005890782902</v>
      </c>
      <c r="O83" s="30">
        <f>'Raw Data'!P84/O$1</f>
        <v>5.3014851485148515</v>
      </c>
      <c r="P83" s="30">
        <f t="shared" ref="P83" si="270">IFERROR(AVERAGEIF(J83:O83,"&gt;"&amp;0,J83:O83),"")</f>
        <v>5.1643283313934889</v>
      </c>
      <c r="Q83" s="30">
        <f t="shared" ref="Q83" si="271">MAXA(J83:O83)</f>
        <v>5.3220005890782902</v>
      </c>
    </row>
    <row r="84" spans="1:17">
      <c r="A84" s="220">
        <f t="shared" si="236"/>
        <v>2026</v>
      </c>
      <c r="B84" s="221">
        <f t="shared" si="237"/>
        <v>2025</v>
      </c>
      <c r="C84" s="54">
        <f>YEAR(Table12[[#This Row],[Date]])</f>
        <v>2025</v>
      </c>
      <c r="D84" s="54" t="s">
        <v>155</v>
      </c>
      <c r="E84" s="54" t="s">
        <v>155</v>
      </c>
      <c r="F84" s="60">
        <v>45809</v>
      </c>
      <c r="G84" s="54">
        <f t="shared" si="238"/>
        <v>30</v>
      </c>
      <c r="H84" s="55">
        <f t="shared" si="239"/>
        <v>45826</v>
      </c>
      <c r="I84" s="56">
        <f>'Modelling New'!$AQ$1</f>
        <v>11.72</v>
      </c>
      <c r="J84" s="30">
        <f>'Raw Data'!K85/J$1</f>
        <v>3.4582248550478565</v>
      </c>
      <c r="K84" s="30">
        <f>'Raw Data'!L85/K$1</f>
        <v>3.4413070074167798</v>
      </c>
      <c r="L84" s="30">
        <f>'Raw Data'!M85/L$1</f>
        <v>3.3702703301082648</v>
      </c>
      <c r="M84" s="30">
        <f>'Raw Data'!N85/M$1</f>
        <v>3.5961999756061203</v>
      </c>
      <c r="N84" s="30">
        <f>'Raw Data'!O85/N$1</f>
        <v>3.5913974768638264</v>
      </c>
      <c r="O84" s="30">
        <f>'Raw Data'!P85/O$1</f>
        <v>3.386138613861386</v>
      </c>
      <c r="P84" s="30">
        <f t="shared" ref="P84" si="272">IFERROR(AVERAGEIF(J84:O84,"&gt;"&amp;0,J84:O84),"")</f>
        <v>3.4739230431507058</v>
      </c>
      <c r="Q84" s="30">
        <f t="shared" ref="Q84" si="273">MAXA(J84:O84)</f>
        <v>3.5961999756061203</v>
      </c>
    </row>
    <row r="85" spans="1:17">
      <c r="A85" s="214">
        <f t="shared" ref="A85" si="274">YEAR(H85)+IF(MONTH(H85)&gt;=4,1,0)</f>
        <v>2026</v>
      </c>
      <c r="B85" s="215">
        <f t="shared" ref="B85" si="275">YEAR(H85)</f>
        <v>2025</v>
      </c>
      <c r="C85" s="196">
        <f>YEAR(Table12[[#This Row],[Date]])</f>
        <v>2025</v>
      </c>
      <c r="D85" s="196" t="s">
        <v>155</v>
      </c>
      <c r="E85" s="196" t="s">
        <v>155</v>
      </c>
      <c r="F85" s="197">
        <v>45809</v>
      </c>
      <c r="G85" s="196">
        <f t="shared" ref="G85" si="276">DAY(EOMONTH(F85,0))</f>
        <v>30</v>
      </c>
      <c r="H85" s="198">
        <f t="shared" si="239"/>
        <v>45827</v>
      </c>
      <c r="I85" s="199">
        <f>'Modelling New'!$AQ$1</f>
        <v>11.72</v>
      </c>
      <c r="J85" s="30">
        <f>'Raw Data'!K86/J$1</f>
        <v>0.34662742582600714</v>
      </c>
      <c r="K85" s="30">
        <f>'Raw Data'!L86/K$1</f>
        <v>0.3313304171661649</v>
      </c>
      <c r="L85" s="30">
        <f>'Raw Data'!M86/L$1</f>
        <v>0.33154736865410589</v>
      </c>
      <c r="M85" s="30">
        <f>'Raw Data'!N86/M$1</f>
        <v>0.36970280123053573</v>
      </c>
      <c r="N85" s="30">
        <f>'Raw Data'!O86/N$1</f>
        <v>0.36928773504347545</v>
      </c>
      <c r="O85" s="30">
        <f>'Raw Data'!P86/O$1</f>
        <v>0.37623762376237624</v>
      </c>
      <c r="P85" s="30">
        <f t="shared" ref="P85" si="277">IFERROR(AVERAGEIF(J85:O85,"&gt;"&amp;0,J85:O85),"")</f>
        <v>0.35412222861377751</v>
      </c>
      <c r="Q85" s="30">
        <f t="shared" ref="Q85" si="278">MAXA(J85:O85)</f>
        <v>0.37623762376237624</v>
      </c>
    </row>
    <row r="86" spans="1:17">
      <c r="A86" s="214">
        <f t="shared" ref="A86" si="279">YEAR(H86)+IF(MONTH(H86)&gt;=4,1,0)</f>
        <v>2026</v>
      </c>
      <c r="B86" s="215">
        <f t="shared" ref="B86" si="280">YEAR(H86)</f>
        <v>2025</v>
      </c>
      <c r="C86" s="196">
        <f>YEAR(Table12[[#This Row],[Date]])</f>
        <v>2025</v>
      </c>
      <c r="D86" s="196" t="s">
        <v>155</v>
      </c>
      <c r="E86" s="196" t="s">
        <v>155</v>
      </c>
      <c r="F86" s="197">
        <v>45809</v>
      </c>
      <c r="G86" s="196">
        <f t="shared" ref="G86" si="281">DAY(EOMONTH(F86,0))</f>
        <v>30</v>
      </c>
      <c r="H86" s="198">
        <f t="shared" si="239"/>
        <v>45828</v>
      </c>
      <c r="I86" s="199">
        <f>'Modelling New'!$AQ$1</f>
        <v>11.72</v>
      </c>
      <c r="J86" s="30">
        <f>'Raw Data'!K87/J$1</f>
        <v>3.7973059653624119</v>
      </c>
      <c r="K86" s="30">
        <f>'Raw Data'!L87/K$1</f>
        <v>4.2728331212260704</v>
      </c>
      <c r="L86" s="30">
        <f>'Raw Data'!M87/L$1</f>
        <v>4.0754311776296852</v>
      </c>
      <c r="M86" s="30">
        <f>'Raw Data'!N87/M$1</f>
        <v>4.278144438873003</v>
      </c>
      <c r="N86" s="30">
        <f>'Raw Data'!O87/N$1</f>
        <v>4.1869110764044439</v>
      </c>
      <c r="O86" s="30">
        <f>'Raw Data'!P87/O$1</f>
        <v>4.2099009900990101</v>
      </c>
      <c r="P86" s="30">
        <f t="shared" ref="P86" si="282">IFERROR(AVERAGEIF(J86:O86,"&gt;"&amp;0,J86:O86),"")</f>
        <v>4.1367544615991036</v>
      </c>
      <c r="Q86" s="30">
        <f t="shared" ref="Q86" si="283">MAXA(J86:O86)</f>
        <v>4.278144438873003</v>
      </c>
    </row>
    <row r="87" spans="1:17">
      <c r="A87" s="214">
        <f t="shared" ref="A87" si="284">YEAR(H87)+IF(MONTH(H87)&gt;=4,1,0)</f>
        <v>2026</v>
      </c>
      <c r="B87" s="215">
        <f t="shared" ref="B87" si="285">YEAR(H87)</f>
        <v>2025</v>
      </c>
      <c r="C87" s="196">
        <f>YEAR(Table12[[#This Row],[Date]])</f>
        <v>2025</v>
      </c>
      <c r="D87" s="196" t="s">
        <v>155</v>
      </c>
      <c r="E87" s="196" t="s">
        <v>155</v>
      </c>
      <c r="F87" s="197">
        <v>45809</v>
      </c>
      <c r="G87" s="196">
        <f t="shared" ref="G87" si="286">DAY(EOMONTH(F87,0))</f>
        <v>30</v>
      </c>
      <c r="H87" s="198">
        <f t="shared" si="239"/>
        <v>45829</v>
      </c>
      <c r="I87" s="199">
        <f>'Modelling New'!$AQ$1</f>
        <v>11.72</v>
      </c>
      <c r="J87" s="30">
        <f>'Raw Data'!K88/J$1</f>
        <v>5.3644241532405141</v>
      </c>
      <c r="K87" s="30">
        <f>'Raw Data'!L88/K$1</f>
        <v>5.5597539391641906</v>
      </c>
      <c r="L87" s="30">
        <f>'Raw Data'!M88/L$1</f>
        <v>5.3119534173179535</v>
      </c>
      <c r="M87" s="30">
        <f>'Raw Data'!N88/M$1</f>
        <v>5.6154711406849263</v>
      </c>
      <c r="N87" s="30">
        <f>'Raw Data'!O88/N$1</f>
        <v>5.5041693377324448</v>
      </c>
      <c r="O87" s="30">
        <f>'Raw Data'!P88/O$1</f>
        <v>5.4410891089108908</v>
      </c>
      <c r="P87" s="30">
        <f t="shared" ref="P87" si="287">IFERROR(AVERAGEIF(J87:O87,"&gt;"&amp;0,J87:O87),"")</f>
        <v>5.4661435161751539</v>
      </c>
      <c r="Q87" s="30">
        <f t="shared" ref="Q87" si="288">MAXA(J87:O87)</f>
        <v>5.6154711406849263</v>
      </c>
    </row>
    <row r="88" spans="1:17">
      <c r="A88" s="214">
        <f t="shared" ref="A88" si="289">YEAR(H88)+IF(MONTH(H88)&gt;=4,1,0)</f>
        <v>2026</v>
      </c>
      <c r="B88" s="215">
        <f t="shared" ref="B88" si="290">YEAR(H88)</f>
        <v>2025</v>
      </c>
      <c r="C88" s="196">
        <f>YEAR(Table12[[#This Row],[Date]])</f>
        <v>2025</v>
      </c>
      <c r="D88" s="196" t="s">
        <v>155</v>
      </c>
      <c r="E88" s="196" t="s">
        <v>155</v>
      </c>
      <c r="F88" s="197">
        <v>45809</v>
      </c>
      <c r="G88" s="196">
        <f t="shared" ref="G88" si="291">DAY(EOMONTH(F88,0))</f>
        <v>30</v>
      </c>
      <c r="H88" s="198">
        <f t="shared" si="239"/>
        <v>45830</v>
      </c>
      <c r="I88" s="199">
        <f>'Modelling New'!$AQ$1</f>
        <v>11.72</v>
      </c>
      <c r="J88" s="30">
        <f>'Raw Data'!K89/J$1</f>
        <v>4.8673735048862392</v>
      </c>
      <c r="K88" s="30">
        <f>'Raw Data'!L89/K$1</f>
        <v>5.1678683343138685</v>
      </c>
      <c r="L88" s="30">
        <f>'Raw Data'!M89/L$1</f>
        <v>4.9488564660039405</v>
      </c>
      <c r="M88" s="30">
        <f>'Raw Data'!N89/M$1</f>
        <v>5.1758392172275007</v>
      </c>
      <c r="N88" s="30">
        <f>'Raw Data'!O89/N$1</f>
        <v>5.0205311110066058</v>
      </c>
      <c r="O88" s="30">
        <f>'Raw Data'!P89/O$1</f>
        <v>5.0995049504950494</v>
      </c>
      <c r="P88" s="30">
        <f t="shared" ref="P88" si="292">IFERROR(AVERAGEIF(J88:O88,"&gt;"&amp;0,J88:O88),"")</f>
        <v>5.0466622639888667</v>
      </c>
      <c r="Q88" s="30">
        <f t="shared" ref="Q88" si="293">MAXA(J88:O88)</f>
        <v>5.1758392172275007</v>
      </c>
    </row>
    <row r="89" spans="1:17">
      <c r="A89" s="214">
        <f t="shared" ref="A89" si="294">YEAR(H89)+IF(MONTH(H89)&gt;=4,1,0)</f>
        <v>2026</v>
      </c>
      <c r="B89" s="215">
        <f t="shared" ref="B89" si="295">YEAR(H89)</f>
        <v>2025</v>
      </c>
      <c r="C89" s="196">
        <f>YEAR(Table12[[#This Row],[Date]])</f>
        <v>2025</v>
      </c>
      <c r="D89" s="196" t="s">
        <v>155</v>
      </c>
      <c r="E89" s="196" t="s">
        <v>155</v>
      </c>
      <c r="F89" s="197">
        <v>45809</v>
      </c>
      <c r="G89" s="196">
        <f t="shared" ref="G89" si="296">DAY(EOMONTH(F89,0))</f>
        <v>30</v>
      </c>
      <c r="H89" s="198">
        <f t="shared" si="239"/>
        <v>45831</v>
      </c>
      <c r="I89" s="199">
        <f>'Modelling New'!$AQ$1</f>
        <v>11.72</v>
      </c>
      <c r="J89" s="30">
        <f>'Raw Data'!K90/J$1</f>
        <v>3.6906513728005637</v>
      </c>
      <c r="K89" s="30">
        <f>'Raw Data'!L90/K$1</f>
        <v>3.715036148493136</v>
      </c>
      <c r="L89" s="30">
        <f>'Raw Data'!M90/L$1</f>
        <v>3.666947107401421</v>
      </c>
      <c r="M89" s="30">
        <f>'Raw Data'!N90/M$1</f>
        <v>3.8005664800986598</v>
      </c>
      <c r="N89" s="30">
        <f>'Raw Data'!O90/N$1</f>
        <v>3.7012927545845389</v>
      </c>
      <c r="O89" s="30">
        <f>'Raw Data'!P90/O$1</f>
        <v>3.7653465346534651</v>
      </c>
      <c r="P89" s="30">
        <f t="shared" ref="P89" si="297">IFERROR(AVERAGEIF(J89:O89,"&gt;"&amp;0,J89:O89),"")</f>
        <v>3.7233067330052969</v>
      </c>
      <c r="Q89" s="30">
        <f t="shared" ref="Q89" si="298">MAXA(J89:O89)</f>
        <v>3.8005664800986598</v>
      </c>
    </row>
    <row r="90" spans="1:17">
      <c r="A90" s="214">
        <f t="shared" ref="A90" si="299">YEAR(H90)+IF(MONTH(H90)&gt;=4,1,0)</f>
        <v>2026</v>
      </c>
      <c r="B90" s="215">
        <f t="shared" ref="B90" si="300">YEAR(H90)</f>
        <v>2025</v>
      </c>
      <c r="C90" s="196">
        <f>YEAR(Table12[[#This Row],[Date]])</f>
        <v>2025</v>
      </c>
      <c r="D90" s="196" t="s">
        <v>155</v>
      </c>
      <c r="E90" s="196" t="s">
        <v>155</v>
      </c>
      <c r="F90" s="197">
        <v>45809</v>
      </c>
      <c r="G90" s="196">
        <f t="shared" ref="G90" si="301">DAY(EOMONTH(F90,0))</f>
        <v>30</v>
      </c>
      <c r="H90" s="198">
        <f t="shared" si="239"/>
        <v>45832</v>
      </c>
      <c r="I90" s="199">
        <f>'Modelling New'!$AQ$1</f>
        <v>11.72</v>
      </c>
      <c r="J90" s="30">
        <f>'Raw Data'!K91/J$1</f>
        <v>3.261517564049353</v>
      </c>
      <c r="K90" s="30">
        <f>'Raw Data'!L91/K$1</f>
        <v>3.3369354644164426</v>
      </c>
      <c r="L90" s="30">
        <f>'Raw Data'!M91/L$1</f>
        <v>3.2429649965682907</v>
      </c>
      <c r="M90" s="30">
        <f>'Raw Data'!N91/M$1</f>
        <v>3.3294935559500742</v>
      </c>
      <c r="N90" s="30">
        <f>'Raw Data'!O91/N$1</f>
        <v>3.2532962395519043</v>
      </c>
      <c r="O90" s="30">
        <f>'Raw Data'!P91/O$1</f>
        <v>3.2900990099009899</v>
      </c>
      <c r="P90" s="30">
        <f t="shared" ref="P90" si="302">IFERROR(AVERAGEIF(J90:O90,"&gt;"&amp;0,J90:O90),"")</f>
        <v>3.2857178050728435</v>
      </c>
      <c r="Q90" s="30">
        <f t="shared" ref="Q90" si="303">MAXA(J90:O90)</f>
        <v>3.3369354644164426</v>
      </c>
    </row>
    <row r="91" spans="1:17">
      <c r="A91" s="214">
        <f t="shared" ref="A91" si="304">YEAR(H91)+IF(MONTH(H91)&gt;=4,1,0)</f>
        <v>2026</v>
      </c>
      <c r="B91" s="215">
        <f t="shared" ref="B91" si="305">YEAR(H91)</f>
        <v>2025</v>
      </c>
      <c r="C91" s="196">
        <f>YEAR(Table12[[#This Row],[Date]])</f>
        <v>2025</v>
      </c>
      <c r="D91" s="196" t="s">
        <v>155</v>
      </c>
      <c r="E91" s="196" t="s">
        <v>155</v>
      </c>
      <c r="F91" s="197">
        <v>45809</v>
      </c>
      <c r="G91" s="196">
        <f t="shared" ref="G91" si="306">DAY(EOMONTH(F91,0))</f>
        <v>30</v>
      </c>
      <c r="H91" s="198">
        <f t="shared" si="239"/>
        <v>45833</v>
      </c>
      <c r="I91" s="199">
        <f>'Modelling New'!$AQ$1</f>
        <v>11.72</v>
      </c>
      <c r="J91" s="30">
        <f>'Raw Data'!K92/J$1</f>
        <v>3.6086480775761238</v>
      </c>
      <c r="K91" s="30">
        <f>'Raw Data'!L92/K$1</f>
        <v>3.5890025871342384</v>
      </c>
      <c r="L91" s="30">
        <f>'Raw Data'!M92/L$1</f>
        <v>3.5230367303562335</v>
      </c>
      <c r="M91" s="30">
        <f>'Raw Data'!N92/M$1</f>
        <v>3.664502839176571</v>
      </c>
      <c r="N91" s="30">
        <f>'Raw Data'!O92/N$1</f>
        <v>3.6384247353479151</v>
      </c>
      <c r="O91" s="30">
        <f>'Raw Data'!P92/O$1</f>
        <v>3.6188118811881189</v>
      </c>
      <c r="P91" s="30">
        <f t="shared" ref="P91" si="307">IFERROR(AVERAGEIF(J91:O91,"&gt;"&amp;0,J91:O91),"")</f>
        <v>3.6070711417965335</v>
      </c>
      <c r="Q91" s="30">
        <f t="shared" ref="Q91" si="308">MAXA(J91:O91)</f>
        <v>3.664502839176571</v>
      </c>
    </row>
    <row r="92" spans="1:17">
      <c r="A92" s="214">
        <f t="shared" ref="A92" si="309">YEAR(H92)+IF(MONTH(H92)&gt;=4,1,0)</f>
        <v>2026</v>
      </c>
      <c r="B92" s="215">
        <f t="shared" ref="B92" si="310">YEAR(H92)</f>
        <v>2025</v>
      </c>
      <c r="C92" s="196">
        <f>YEAR(Table12[[#This Row],[Date]])</f>
        <v>2025</v>
      </c>
      <c r="D92" s="196" t="s">
        <v>155</v>
      </c>
      <c r="E92" s="196" t="s">
        <v>155</v>
      </c>
      <c r="F92" s="197">
        <v>45809</v>
      </c>
      <c r="G92" s="196">
        <f t="shared" ref="G92" si="311">DAY(EOMONTH(F92,0))</f>
        <v>30</v>
      </c>
      <c r="H92" s="198">
        <f t="shared" si="239"/>
        <v>45834</v>
      </c>
      <c r="I92" s="199">
        <f>'Modelling New'!$AQ$1</f>
        <v>11.72</v>
      </c>
      <c r="J92" s="30">
        <f>'Raw Data'!K93/J$1</f>
        <v>2.9586587681897649</v>
      </c>
      <c r="K92" s="30">
        <f>'Raw Data'!L93/K$1</f>
        <v>2.9553885501463419</v>
      </c>
      <c r="L92" s="30">
        <f>'Raw Data'!M93/L$1</f>
        <v>2.8975800916598402</v>
      </c>
      <c r="M92" s="30">
        <f>'Raw Data'!N93/M$1</f>
        <v>2.9982788762552683</v>
      </c>
      <c r="N92" s="30">
        <f>'Raw Data'!O93/N$1</f>
        <v>2.9463814999715363</v>
      </c>
      <c r="O92" s="30">
        <f>'Raw Data'!P93/O$1</f>
        <v>2.9940594059405941</v>
      </c>
      <c r="P92" s="30">
        <f t="shared" ref="P92" si="312">IFERROR(AVERAGEIF(J92:O92,"&gt;"&amp;0,J92:O92),"")</f>
        <v>2.9583911986938909</v>
      </c>
      <c r="Q92" s="30">
        <f t="shared" ref="Q92" si="313">MAXA(J92:O92)</f>
        <v>2.9982788762552683</v>
      </c>
    </row>
    <row r="93" spans="1:17">
      <c r="A93" s="214">
        <f t="shared" ref="A93" si="314">YEAR(H93)+IF(MONTH(H93)&gt;=4,1,0)</f>
        <v>2026</v>
      </c>
      <c r="B93" s="215">
        <f t="shared" ref="B93" si="315">YEAR(H93)</f>
        <v>2025</v>
      </c>
      <c r="C93" s="196">
        <f>YEAR(Table12[[#This Row],[Date]])</f>
        <v>2025</v>
      </c>
      <c r="D93" s="196" t="s">
        <v>155</v>
      </c>
      <c r="E93" s="196" t="s">
        <v>155</v>
      </c>
      <c r="F93" s="197">
        <v>45809</v>
      </c>
      <c r="G93" s="196">
        <f t="shared" ref="G93" si="316">DAY(EOMONTH(F93,0))</f>
        <v>30</v>
      </c>
      <c r="H93" s="198">
        <f t="shared" si="239"/>
        <v>45835</v>
      </c>
      <c r="I93" s="199">
        <f>'Modelling New'!$AQ$1</f>
        <v>11.72</v>
      </c>
      <c r="J93" s="30">
        <f>'Raw Data'!K94/J$1</f>
        <v>4.6243821454175</v>
      </c>
      <c r="K93" s="30">
        <f>'Raw Data'!L94/K$1</f>
        <v>4.6469952565102979</v>
      </c>
      <c r="L93" s="30">
        <f>'Raw Data'!M94/L$1</f>
        <v>4.4180485752872674</v>
      </c>
      <c r="M93" s="30">
        <f>'Raw Data'!N94/M$1</f>
        <v>4.7454227594898972</v>
      </c>
      <c r="N93" s="30">
        <f>'Raw Data'!O94/N$1</f>
        <v>4.6759945646389669</v>
      </c>
      <c r="O93" s="30">
        <f>'Raw Data'!P94/O$1</f>
        <v>4.6757425742574261</v>
      </c>
      <c r="P93" s="30">
        <f t="shared" ref="P93" si="317">IFERROR(AVERAGEIF(J93:O93,"&gt;"&amp;0,J93:O93),"")</f>
        <v>4.6310976459335587</v>
      </c>
      <c r="Q93" s="30">
        <f t="shared" ref="Q93" si="318">MAXA(J93:O93)</f>
        <v>4.7454227594898972</v>
      </c>
    </row>
    <row r="94" spans="1:17">
      <c r="A94" s="214">
        <f t="shared" ref="A94" si="319">YEAR(H94)+IF(MONTH(H94)&gt;=4,1,0)</f>
        <v>2026</v>
      </c>
      <c r="B94" s="215">
        <f t="shared" ref="B94" si="320">YEAR(H94)</f>
        <v>2025</v>
      </c>
      <c r="C94" s="196">
        <f>YEAR(Table12[[#This Row],[Date]])</f>
        <v>2025</v>
      </c>
      <c r="D94" s="196" t="s">
        <v>155</v>
      </c>
      <c r="E94" s="196" t="s">
        <v>155</v>
      </c>
      <c r="F94" s="197">
        <v>45809</v>
      </c>
      <c r="G94" s="196">
        <f t="shared" ref="G94" si="321">DAY(EOMONTH(F94,0))</f>
        <v>30</v>
      </c>
      <c r="H94" s="198">
        <f t="shared" si="239"/>
        <v>45836</v>
      </c>
      <c r="I94" s="199">
        <f>'Modelling New'!$AQ$1</f>
        <v>11.72</v>
      </c>
      <c r="J94" s="30">
        <f>'Raw Data'!K95/J$1</f>
        <v>4.238010791231182</v>
      </c>
      <c r="K94" s="30">
        <f>'Raw Data'!L95/K$1</f>
        <v>4.1965237383720506</v>
      </c>
      <c r="L94" s="30">
        <f>'Raw Data'!M95/L$1</f>
        <v>4.1036597515885491</v>
      </c>
      <c r="M94" s="30">
        <f>'Raw Data'!N95/M$1</f>
        <v>4.3312688883166865</v>
      </c>
      <c r="N94" s="30">
        <f>'Raw Data'!O95/N$1</f>
        <v>4.310667019783625</v>
      </c>
      <c r="O94" s="30">
        <f>'Raw Data'!P95/O$1</f>
        <v>4.3039603960396038</v>
      </c>
      <c r="P94" s="30">
        <f t="shared" ref="P94" si="322">IFERROR(AVERAGEIF(J94:O94,"&gt;"&amp;0,J94:O94),"")</f>
        <v>4.247348430888616</v>
      </c>
      <c r="Q94" s="30">
        <f t="shared" ref="Q94" si="323">MAXA(J94:O94)</f>
        <v>4.3312688883166865</v>
      </c>
    </row>
    <row r="95" spans="1:17">
      <c r="A95" s="214">
        <f t="shared" ref="A95" si="324">YEAR(H95)+IF(MONTH(H95)&gt;=4,1,0)</f>
        <v>2026</v>
      </c>
      <c r="B95" s="215">
        <f t="shared" ref="B95" si="325">YEAR(H95)</f>
        <v>2025</v>
      </c>
      <c r="C95" s="196">
        <f>YEAR(Table12[[#This Row],[Date]])</f>
        <v>2025</v>
      </c>
      <c r="D95" s="196" t="s">
        <v>155</v>
      </c>
      <c r="E95" s="196" t="s">
        <v>155</v>
      </c>
      <c r="F95" s="197">
        <v>45809</v>
      </c>
      <c r="G95" s="196">
        <f t="shared" ref="G95" si="326">DAY(EOMONTH(F95,0))</f>
        <v>30</v>
      </c>
      <c r="H95" s="198">
        <f t="shared" si="239"/>
        <v>45837</v>
      </c>
      <c r="I95" s="199">
        <f>'Modelling New'!$AQ$1</f>
        <v>11.72</v>
      </c>
      <c r="J95" s="30">
        <f>'Raw Data'!K96/J$1</f>
        <v>3.1010325875058169</v>
      </c>
      <c r="K95" s="30">
        <f>'Raw Data'!L96/K$1</f>
        <v>3.0927454392835783</v>
      </c>
      <c r="L95" s="30">
        <f>'Raw Data'!M96/L$1</f>
        <v>3.0558815064095466</v>
      </c>
      <c r="M95" s="30">
        <f>'Raw Data'!N96/M$1</f>
        <v>3.1885511390586676</v>
      </c>
      <c r="N95" s="30">
        <f>'Raw Data'!O96/N$1</f>
        <v>3.0780578237269847</v>
      </c>
      <c r="O95" s="30">
        <f>'Raw Data'!P96/O$1</f>
        <v>3.1480198019801979</v>
      </c>
      <c r="P95" s="30">
        <f t="shared" ref="P95" si="327">IFERROR(AVERAGEIF(J95:O95,"&gt;"&amp;0,J95:O95),"")</f>
        <v>3.1107147163274651</v>
      </c>
      <c r="Q95" s="30">
        <f t="shared" ref="Q95" si="328">MAXA(J95:O95)</f>
        <v>3.1885511390586676</v>
      </c>
    </row>
    <row r="96" spans="1:17">
      <c r="A96" s="214">
        <f t="shared" ref="A96" si="329">YEAR(H96)+IF(MONTH(H96)&gt;=4,1,0)</f>
        <v>2026</v>
      </c>
      <c r="B96" s="215">
        <f t="shared" ref="B96" si="330">YEAR(H96)</f>
        <v>2025</v>
      </c>
      <c r="C96" s="196">
        <f>YEAR(Table12[[#This Row],[Date]])</f>
        <v>2025</v>
      </c>
      <c r="D96" s="196" t="s">
        <v>155</v>
      </c>
      <c r="E96" s="196" t="s">
        <v>155</v>
      </c>
      <c r="F96" s="197">
        <v>45809</v>
      </c>
      <c r="G96" s="196">
        <f t="shared" ref="G96" si="331">DAY(EOMONTH(F96,0))</f>
        <v>30</v>
      </c>
      <c r="H96" s="198">
        <f t="shared" si="239"/>
        <v>45838</v>
      </c>
      <c r="I96" s="199">
        <f>'Modelling New'!$AQ$1</f>
        <v>11.72</v>
      </c>
      <c r="J96" s="30">
        <f>'Raw Data'!K97/J$1</f>
        <v>2.7272384258385842</v>
      </c>
      <c r="K96" s="30">
        <f>'Raw Data'!L97/K$1</f>
        <v>2.8431399095610734</v>
      </c>
      <c r="L96" s="30">
        <f>'Raw Data'!M97/L$1</f>
        <v>2.8250714016870724</v>
      </c>
      <c r="M96" s="30">
        <f>'Raw Data'!N97/M$1</f>
        <v>2.8914878911490876</v>
      </c>
      <c r="N96" s="30">
        <f>'Raw Data'!O97/N$1</f>
        <v>2.8310409607421394</v>
      </c>
      <c r="O96" s="30">
        <f>'Raw Data'!P97/O$1</f>
        <v>2.9029702970297029</v>
      </c>
      <c r="P96" s="30">
        <f t="shared" ref="P96" si="332">IFERROR(AVERAGEIF(J96:O96,"&gt;"&amp;0,J96:O96),"")</f>
        <v>2.8368248143346104</v>
      </c>
      <c r="Q96" s="30">
        <f t="shared" ref="Q96" si="333">MAXA(J96:O96)</f>
        <v>2.9029702970297029</v>
      </c>
    </row>
    <row r="97" spans="1:17">
      <c r="A97" s="214">
        <f t="shared" ref="A97" si="334">YEAR(H97)+IF(MONTH(H97)&gt;=4,1,0)</f>
        <v>2026</v>
      </c>
      <c r="B97" s="215">
        <f t="shared" ref="B97" si="335">YEAR(H97)</f>
        <v>2025</v>
      </c>
      <c r="C97" s="196">
        <f>YEAR(Table12[[#This Row],[Date]])</f>
        <v>2025</v>
      </c>
      <c r="D97" s="196" t="s">
        <v>155</v>
      </c>
      <c r="E97" s="196" t="s">
        <v>155</v>
      </c>
      <c r="F97" s="197">
        <v>45839</v>
      </c>
      <c r="G97" s="196">
        <f t="shared" ref="G97" si="336">DAY(EOMONTH(F97,0))</f>
        <v>31</v>
      </c>
      <c r="H97" s="198">
        <f t="shared" si="239"/>
        <v>45839</v>
      </c>
      <c r="I97" s="199">
        <f>'Modelling New'!$AQ$1</f>
        <v>11.72</v>
      </c>
      <c r="J97" s="30">
        <f>'Raw Data'!K98/J$1</f>
        <v>2.0068168383453449</v>
      </c>
      <c r="K97" s="30">
        <f>'Raw Data'!L98/K$1</f>
        <v>2.0332758141103433</v>
      </c>
      <c r="L97" s="30">
        <f>'Raw Data'!M98/L$1</f>
        <v>2.0191732902340203</v>
      </c>
      <c r="M97" s="30">
        <f>'Raw Data'!N98/M$1</f>
        <v>2.0171028202035535</v>
      </c>
      <c r="N97" s="30">
        <f>'Raw Data'!O98/N$1</f>
        <v>1.9716796899171083</v>
      </c>
      <c r="O97" s="30">
        <f>'Raw Data'!P98/O$1</f>
        <v>1.9935643564356436</v>
      </c>
      <c r="P97" s="30">
        <f t="shared" ref="P97" si="337">IFERROR(AVERAGEIF(J97:O97,"&gt;"&amp;0,J97:O97),"")</f>
        <v>2.006935468207669</v>
      </c>
      <c r="Q97" s="30">
        <f t="shared" ref="Q97" si="338">MAXA(J97:O97)</f>
        <v>2.0332758141103433</v>
      </c>
    </row>
    <row r="98" spans="1:17">
      <c r="A98" s="214">
        <f t="shared" ref="A98" si="339">YEAR(H98)+IF(MONTH(H98)&gt;=4,1,0)</f>
        <v>2026</v>
      </c>
      <c r="B98" s="215">
        <f t="shared" ref="B98" si="340">YEAR(H98)</f>
        <v>2025</v>
      </c>
      <c r="C98" s="196">
        <f>YEAR(Table12[[#This Row],[Date]])</f>
        <v>2025</v>
      </c>
      <c r="D98" s="196" t="s">
        <v>155</v>
      </c>
      <c r="E98" s="196" t="s">
        <v>155</v>
      </c>
      <c r="F98" s="197">
        <v>45839</v>
      </c>
      <c r="G98" s="196">
        <f t="shared" ref="G98" si="341">DAY(EOMONTH(F98,0))</f>
        <v>31</v>
      </c>
      <c r="H98" s="198">
        <f t="shared" si="239"/>
        <v>45840</v>
      </c>
      <c r="I98" s="199">
        <f>'Modelling New'!$AQ$1</f>
        <v>11.72</v>
      </c>
      <c r="J98" s="30">
        <f>'Raw Data'!K99/J$1</f>
        <v>1.594788011420091</v>
      </c>
      <c r="K98" s="30">
        <f>'Raw Data'!L99/K$1</f>
        <v>1.6133280491137034</v>
      </c>
      <c r="L98" s="30">
        <f>'Raw Data'!M99/L$1</f>
        <v>1.6018331968029755</v>
      </c>
      <c r="M98" s="30">
        <f>'Raw Data'!N99/M$1</f>
        <v>1.5980701730610254</v>
      </c>
      <c r="N98" s="30">
        <f>'Raw Data'!O99/N$1</f>
        <v>1.5880362654416478</v>
      </c>
      <c r="O98" s="30">
        <f>'Raw Data'!P99/O$1</f>
        <v>1.6004950495049506</v>
      </c>
      <c r="P98" s="30">
        <f t="shared" ref="P98" si="342">IFERROR(AVERAGEIF(J98:O98,"&gt;"&amp;0,J98:O98),"")</f>
        <v>1.5994251242240656</v>
      </c>
      <c r="Q98" s="30">
        <f t="shared" ref="Q98" si="343">MAXA(J98:O98)</f>
        <v>1.6133280491137034</v>
      </c>
    </row>
    <row r="99" spans="1:17">
      <c r="A99" s="214">
        <f t="shared" ref="A99" si="344">YEAR(H99)+IF(MONTH(H99)&gt;=4,1,0)</f>
        <v>2026</v>
      </c>
      <c r="B99" s="215">
        <f t="shared" ref="B99" si="345">YEAR(H99)</f>
        <v>2025</v>
      </c>
      <c r="C99" s="196">
        <f>YEAR(Table12[[#This Row],[Date]])</f>
        <v>2025</v>
      </c>
      <c r="D99" s="196" t="s">
        <v>155</v>
      </c>
      <c r="E99" s="196" t="s">
        <v>155</v>
      </c>
      <c r="F99" s="197">
        <v>45839</v>
      </c>
      <c r="G99" s="196">
        <f t="shared" ref="G99" si="346">DAY(EOMONTH(F99,0))</f>
        <v>31</v>
      </c>
      <c r="H99" s="198">
        <f t="shared" si="239"/>
        <v>45841</v>
      </c>
      <c r="I99" s="199">
        <f>'Modelling New'!$AQ$1</f>
        <v>11.72</v>
      </c>
      <c r="J99" s="30">
        <f>'Raw Data'!K100/J$1</f>
        <v>2.4515463658202217</v>
      </c>
      <c r="K99" s="30">
        <f>'Raw Data'!L100/K$1</f>
        <v>2.4571621278994491</v>
      </c>
      <c r="L99" s="30">
        <f>'Raw Data'!M100/L$1</f>
        <v>2.4387273894657602</v>
      </c>
      <c r="M99" s="30">
        <f>'Raw Data'!N100/M$1</f>
        <v>2.4404721570965862</v>
      </c>
      <c r="N99" s="30">
        <f>'Raw Data'!O100/N$1</f>
        <v>2.403340420423691</v>
      </c>
      <c r="O99" s="30">
        <f>'Raw Data'!P100/O$1</f>
        <v>2.4529702970297032</v>
      </c>
      <c r="P99" s="30">
        <f t="shared" ref="P99" si="347">IFERROR(AVERAGEIF(J99:O99,"&gt;"&amp;0,J99:O99),"")</f>
        <v>2.4407031262892347</v>
      </c>
      <c r="Q99" s="30">
        <f t="shared" ref="Q99" si="348">MAXA(J99:O99)</f>
        <v>2.4571621278994491</v>
      </c>
    </row>
    <row r="100" spans="1:17">
      <c r="A100" s="214">
        <f t="shared" ref="A100" si="349">YEAR(H100)+IF(MONTH(H100)&gt;=4,1,0)</f>
        <v>2026</v>
      </c>
      <c r="B100" s="215">
        <f t="shared" ref="B100" si="350">YEAR(H100)</f>
        <v>2025</v>
      </c>
      <c r="C100" s="196">
        <f>YEAR(Table12[[#This Row],[Date]])</f>
        <v>2025</v>
      </c>
      <c r="D100" s="196" t="s">
        <v>155</v>
      </c>
      <c r="E100" s="196" t="s">
        <v>155</v>
      </c>
      <c r="F100" s="197">
        <v>45839</v>
      </c>
      <c r="G100" s="196">
        <f t="shared" ref="G100" si="351">DAY(EOMONTH(F100,0))</f>
        <v>31</v>
      </c>
      <c r="H100" s="198">
        <f t="shared" si="239"/>
        <v>45842</v>
      </c>
      <c r="I100" s="199">
        <f>'Modelling New'!$AQ$1</f>
        <v>11.72</v>
      </c>
      <c r="J100" s="30">
        <f>'Raw Data'!K101/J$1</f>
        <v>3.9260964167578516</v>
      </c>
      <c r="K100" s="30">
        <f>'Raw Data'!L101/K$1</f>
        <v>3.9178714113051121</v>
      </c>
      <c r="L100" s="30">
        <f>'Raw Data'!M101/L$1</f>
        <v>3.8933292005225053</v>
      </c>
      <c r="M100" s="30">
        <f>'Raw Data'!N101/M$1</f>
        <v>3.9837916220574883</v>
      </c>
      <c r="N100" s="30">
        <f>'Raw Data'!O101/N$1</f>
        <v>3.9710807111511528</v>
      </c>
      <c r="O100" s="30">
        <f>'Raw Data'!P101/O$1</f>
        <v>4.0415841584158416</v>
      </c>
      <c r="P100" s="30">
        <f t="shared" ref="P100" si="352">IFERROR(AVERAGEIF(J100:O100,"&gt;"&amp;0,J100:O100),"")</f>
        <v>3.9556255867016579</v>
      </c>
      <c r="Q100" s="30">
        <f t="shared" ref="Q100" si="353">MAXA(J100:O100)</f>
        <v>4.0415841584158416</v>
      </c>
    </row>
    <row r="101" spans="1:17">
      <c r="A101" s="214">
        <f t="shared" ref="A101" si="354">YEAR(H101)+IF(MONTH(H101)&gt;=4,1,0)</f>
        <v>2026</v>
      </c>
      <c r="B101" s="215">
        <f t="shared" ref="B101" si="355">YEAR(H101)</f>
        <v>2025</v>
      </c>
      <c r="C101" s="196">
        <f>YEAR(Table12[[#This Row],[Date]])</f>
        <v>2025</v>
      </c>
      <c r="D101" s="196" t="s">
        <v>155</v>
      </c>
      <c r="E101" s="196" t="s">
        <v>155</v>
      </c>
      <c r="F101" s="197">
        <v>45839</v>
      </c>
      <c r="G101" s="196">
        <f t="shared" ref="G101" si="356">DAY(EOMONTH(F101,0))</f>
        <v>31</v>
      </c>
      <c r="H101" s="198">
        <f t="shared" si="239"/>
        <v>45843</v>
      </c>
      <c r="I101" s="199">
        <f>'Modelling New'!$AQ$1</f>
        <v>11.72</v>
      </c>
      <c r="J101" s="30">
        <f>'Raw Data'!K102/J$1</f>
        <v>4.0815505162937535</v>
      </c>
      <c r="K101" s="30">
        <f>'Raw Data'!L102/K$1</f>
        <v>4.2039085173579229</v>
      </c>
      <c r="L101" s="30">
        <f>'Raw Data'!M102/L$1</f>
        <v>4.1468328647021053</v>
      </c>
      <c r="M101" s="30">
        <f>'Raw Data'!N102/M$1</f>
        <v>4.2570030763392923</v>
      </c>
      <c r="N101" s="30">
        <f>'Raw Data'!O102/N$1</f>
        <v>4.2042369084775295</v>
      </c>
      <c r="O101" s="30">
        <f>'Raw Data'!P102/O$1</f>
        <v>4.2846534653465342</v>
      </c>
      <c r="P101" s="30">
        <f t="shared" ref="P101" si="357">IFERROR(AVERAGEIF(J101:O101,"&gt;"&amp;0,J101:O101),"")</f>
        <v>4.1963642247528563</v>
      </c>
      <c r="Q101" s="30">
        <f t="shared" ref="Q101" si="358">MAXA(J101:O101)</f>
        <v>4.2846534653465342</v>
      </c>
    </row>
    <row r="102" spans="1:17">
      <c r="A102" s="214">
        <f t="shared" ref="A102" si="359">YEAR(H102)+IF(MONTH(H102)&gt;=4,1,0)</f>
        <v>2026</v>
      </c>
      <c r="B102" s="215">
        <f t="shared" ref="B102" si="360">YEAR(H102)</f>
        <v>2025</v>
      </c>
      <c r="C102" s="196">
        <f>YEAR(Table12[[#This Row],[Date]])</f>
        <v>2025</v>
      </c>
      <c r="D102" s="196" t="s">
        <v>155</v>
      </c>
      <c r="E102" s="196" t="s">
        <v>155</v>
      </c>
      <c r="F102" s="197">
        <v>45839</v>
      </c>
      <c r="G102" s="196">
        <f t="shared" ref="G102" si="361">DAY(EOMONTH(F102,0))</f>
        <v>31</v>
      </c>
      <c r="H102" s="198">
        <f t="shared" si="239"/>
        <v>45844</v>
      </c>
      <c r="I102" s="199">
        <f>'Modelling New'!$AQ$1</f>
        <v>11.72</v>
      </c>
      <c r="J102" s="30">
        <f>'Raw Data'!K103/J$1</f>
        <v>4.3501993485014276</v>
      </c>
      <c r="K102" s="30">
        <f>'Raw Data'!L103/K$1</f>
        <v>4.3786816200235821</v>
      </c>
      <c r="L102" s="30">
        <f>'Raw Data'!M103/L$1</f>
        <v>4.2824407199946863</v>
      </c>
      <c r="M102" s="30">
        <f>'Raw Data'!N103/M$1</f>
        <v>4.4131239073574653</v>
      </c>
      <c r="N102" s="30">
        <f>'Raw Data'!O103/N$1</f>
        <v>4.3695748488321149</v>
      </c>
      <c r="O102" s="30">
        <f>'Raw Data'!P103/O$1</f>
        <v>4.389108910891089</v>
      </c>
      <c r="P102" s="30">
        <f t="shared" ref="P102" si="362">IFERROR(AVERAGEIF(J102:O102,"&gt;"&amp;0,J102:O102),"")</f>
        <v>4.3638548926000613</v>
      </c>
      <c r="Q102" s="30">
        <f t="shared" ref="Q102" si="363">MAXA(J102:O102)</f>
        <v>4.4131239073574653</v>
      </c>
    </row>
    <row r="103" spans="1:17">
      <c r="A103" s="214">
        <f t="shared" ref="A103" si="364">YEAR(H103)+IF(MONTH(H103)&gt;=4,1,0)</f>
        <v>2026</v>
      </c>
      <c r="B103" s="215">
        <f t="shared" ref="B103" si="365">YEAR(H103)</f>
        <v>2025</v>
      </c>
      <c r="C103" s="196">
        <f>YEAR(Table12[[#This Row],[Date]])</f>
        <v>2025</v>
      </c>
      <c r="D103" s="196" t="s">
        <v>155</v>
      </c>
      <c r="E103" s="196" t="s">
        <v>155</v>
      </c>
      <c r="F103" s="197">
        <v>45839</v>
      </c>
      <c r="G103" s="196">
        <f t="shared" ref="G103" si="366">DAY(EOMONTH(F103,0))</f>
        <v>31</v>
      </c>
      <c r="H103" s="198">
        <f t="shared" si="239"/>
        <v>45845</v>
      </c>
      <c r="I103" s="199">
        <f>'Modelling New'!$AQ$1</f>
        <v>11.72</v>
      </c>
      <c r="J103" s="30">
        <f>'Raw Data'!K104/J$1</f>
        <v>1.8775232992491417</v>
      </c>
      <c r="K103" s="30">
        <f>'Raw Data'!L104/K$1</f>
        <v>1.8855802343928851</v>
      </c>
      <c r="L103" s="30">
        <f>'Raw Data'!M104/L$1</f>
        <v>1.8807979276905704</v>
      </c>
      <c r="M103" s="30">
        <f>'Raw Data'!N104/M$1</f>
        <v>1.8636924202794456</v>
      </c>
      <c r="N103" s="30">
        <f>'Raw Data'!O104/N$1</f>
        <v>1.832578009558909</v>
      </c>
      <c r="O103" s="30">
        <f>'Raw Data'!P104/O$1</f>
        <v>1.8767326732673266</v>
      </c>
      <c r="P103" s="30">
        <f t="shared" ref="P103" si="367">IFERROR(AVERAGEIF(J103:O103,"&gt;"&amp;0,J103:O103),"")</f>
        <v>1.8694840940730462</v>
      </c>
      <c r="Q103" s="30">
        <f t="shared" ref="Q103" si="368">MAXA(J103:O103)</f>
        <v>1.8855802343928851</v>
      </c>
    </row>
    <row r="104" spans="1:17">
      <c r="A104" s="214">
        <f t="shared" ref="A104" si="369">YEAR(H104)+IF(MONTH(H104)&gt;=4,1,0)</f>
        <v>2026</v>
      </c>
      <c r="B104" s="215">
        <f t="shared" ref="B104" si="370">YEAR(H104)</f>
        <v>2025</v>
      </c>
      <c r="C104" s="196">
        <f>YEAR(Table12[[#This Row],[Date]])</f>
        <v>2025</v>
      </c>
      <c r="D104" s="196" t="s">
        <v>155</v>
      </c>
      <c r="E104" s="196" t="s">
        <v>155</v>
      </c>
      <c r="F104" s="197">
        <v>45839</v>
      </c>
      <c r="G104" s="196">
        <f t="shared" ref="G104" si="371">DAY(EOMONTH(F104,0))</f>
        <v>31</v>
      </c>
      <c r="H104" s="198">
        <f t="shared" si="239"/>
        <v>45846</v>
      </c>
      <c r="I104" s="199">
        <f>'Modelling New'!$AQ$1</f>
        <v>11.72</v>
      </c>
      <c r="J104" s="30">
        <f>'Raw Data'!K105/J$1</f>
        <v>2.7559144247821004</v>
      </c>
      <c r="K104" s="30">
        <f>'Raw Data'!L105/K$1</f>
        <v>2.7451685083484927</v>
      </c>
      <c r="L104" s="30">
        <f>'Raw Data'!M105/L$1</f>
        <v>2.7121571058516172</v>
      </c>
      <c r="M104" s="30">
        <f>'Raw Data'!N105/M$1</f>
        <v>2.7500033880388677</v>
      </c>
      <c r="N104" s="30">
        <f>'Raw Data'!O105/N$1</f>
        <v>2.6840189000076728</v>
      </c>
      <c r="O104" s="30">
        <f>'Raw Data'!P105/O$1</f>
        <v>2.7618811881188119</v>
      </c>
      <c r="P104" s="30">
        <f t="shared" ref="P104" si="372">IFERROR(AVERAGEIF(J104:O104,"&gt;"&amp;0,J104:O104),"")</f>
        <v>2.7348572525245936</v>
      </c>
      <c r="Q104" s="30">
        <f t="shared" ref="Q104" si="373">MAXA(J104:O104)</f>
        <v>2.7618811881188119</v>
      </c>
    </row>
    <row r="105" spans="1:17">
      <c r="A105" s="214">
        <f t="shared" ref="A105" si="374">YEAR(H105)+IF(MONTH(H105)&gt;=4,1,0)</f>
        <v>2026</v>
      </c>
      <c r="B105" s="215">
        <f t="shared" ref="B105" si="375">YEAR(H105)</f>
        <v>2025</v>
      </c>
      <c r="C105" s="196">
        <f>YEAR(Table12[[#This Row],[Date]])</f>
        <v>2025</v>
      </c>
      <c r="D105" s="196" t="s">
        <v>155</v>
      </c>
      <c r="E105" s="196" t="s">
        <v>155</v>
      </c>
      <c r="F105" s="197">
        <v>45839</v>
      </c>
      <c r="G105" s="196">
        <f t="shared" ref="G105" si="376">DAY(EOMONTH(F105,0))</f>
        <v>31</v>
      </c>
      <c r="H105" s="198">
        <f t="shared" si="239"/>
        <v>45847</v>
      </c>
      <c r="I105" s="199">
        <f>'Modelling New'!$AQ$1</f>
        <v>11.72</v>
      </c>
      <c r="J105" s="30">
        <f>'Raw Data'!K106/J$1</f>
        <v>3.0250663446905381</v>
      </c>
      <c r="K105" s="30">
        <f>'Raw Data'!L106/K$1</f>
        <v>2.9770505685049025</v>
      </c>
      <c r="L105" s="30">
        <f>'Raw Data'!M106/L$1</f>
        <v>2.950162729426351</v>
      </c>
      <c r="M105" s="30">
        <f>'Raw Data'!N106/M$1</f>
        <v>3.0514033256989528</v>
      </c>
      <c r="N105" s="30">
        <f>'Raw Data'!O106/N$1</f>
        <v>2.9528168090272535</v>
      </c>
      <c r="O105" s="30">
        <f>'Raw Data'!P106/O$1</f>
        <v>3.033168316831683</v>
      </c>
      <c r="P105" s="30">
        <f t="shared" ref="P105" si="377">IFERROR(AVERAGEIF(J105:O105,"&gt;"&amp;0,J105:O105),"")</f>
        <v>2.9982780156966133</v>
      </c>
      <c r="Q105" s="30">
        <f t="shared" ref="Q105" si="378">MAXA(J105:O105)</f>
        <v>3.0514033256989528</v>
      </c>
    </row>
    <row r="106" spans="1:17">
      <c r="A106" s="214">
        <f t="shared" ref="A106" si="379">YEAR(H106)+IF(MONTH(H106)&gt;=4,1,0)</f>
        <v>2026</v>
      </c>
      <c r="B106" s="215">
        <f t="shared" ref="B106" si="380">YEAR(H106)</f>
        <v>2025</v>
      </c>
      <c r="C106" s="196">
        <f>YEAR(Table12[[#This Row],[Date]])</f>
        <v>2025</v>
      </c>
      <c r="D106" s="196" t="s">
        <v>155</v>
      </c>
      <c r="E106" s="196" t="s">
        <v>155</v>
      </c>
      <c r="F106" s="197">
        <v>45839</v>
      </c>
      <c r="G106" s="196">
        <f t="shared" ref="G106" si="381">DAY(EOMONTH(F106,0))</f>
        <v>31</v>
      </c>
      <c r="H106" s="198">
        <f t="shared" si="239"/>
        <v>45848</v>
      </c>
      <c r="I106" s="199">
        <f>'Modelling New'!$AQ$1</f>
        <v>11.72</v>
      </c>
      <c r="J106" s="30">
        <f>'Raw Data'!K107/J$1</f>
        <v>4.0292293954143554</v>
      </c>
      <c r="K106" s="30">
        <f>'Raw Data'!L107/K$1</f>
        <v>3.9912268825647832</v>
      </c>
      <c r="L106" s="30">
        <f>'Raw Data'!M107/L$1</f>
        <v>3.9259857860827596</v>
      </c>
      <c r="M106" s="30">
        <f>'Raw Data'!N107/M$1</f>
        <v>4.1225656940736428</v>
      </c>
      <c r="N106" s="30">
        <f>'Raw Data'!O107/N$1</f>
        <v>4.0671153232133976</v>
      </c>
      <c r="O106" s="30">
        <f>'Raw Data'!P107/O$1</f>
        <v>4.0965346534653468</v>
      </c>
      <c r="P106" s="30">
        <f t="shared" ref="P106" si="382">IFERROR(AVERAGEIF(J106:O106,"&gt;"&amp;0,J106:O106),"")</f>
        <v>4.038776289135714</v>
      </c>
      <c r="Q106" s="30">
        <f t="shared" ref="Q106" si="383">MAXA(J106:O106)</f>
        <v>4.1225656940736428</v>
      </c>
    </row>
    <row r="107" spans="1:17">
      <c r="A107" s="214">
        <f t="shared" ref="A107" si="384">YEAR(H107)+IF(MONTH(H107)&gt;=4,1,0)</f>
        <v>2026</v>
      </c>
      <c r="B107" s="215">
        <f t="shared" ref="B107" si="385">YEAR(H107)</f>
        <v>2025</v>
      </c>
      <c r="C107" s="196">
        <f>YEAR(Table12[[#This Row],[Date]])</f>
        <v>2025</v>
      </c>
      <c r="D107" s="196" t="s">
        <v>155</v>
      </c>
      <c r="E107" s="196" t="s">
        <v>155</v>
      </c>
      <c r="F107" s="197">
        <v>45839</v>
      </c>
      <c r="G107" s="196">
        <f t="shared" ref="G107" si="386">DAY(EOMONTH(F107,0))</f>
        <v>31</v>
      </c>
      <c r="H107" s="198">
        <f t="shared" si="239"/>
        <v>45849</v>
      </c>
      <c r="I107" s="199">
        <f>'Modelling New'!$AQ$1</f>
        <v>11.72</v>
      </c>
      <c r="J107" s="30">
        <f>'Raw Data'!K108/J$1</f>
        <v>4.4679218704800716</v>
      </c>
      <c r="K107" s="30">
        <f>'Raw Data'!L108/K$1</f>
        <v>4.3909895850000371</v>
      </c>
      <c r="L107" s="30">
        <f>'Raw Data'!M108/L$1</f>
        <v>4.3095622910532025</v>
      </c>
      <c r="M107" s="30">
        <f>'Raw Data'!N108/M$1</f>
        <v>4.5817127214083406</v>
      </c>
      <c r="N107" s="30">
        <f>'Raw Data'!O108/N$1</f>
        <v>4.6339175438900453</v>
      </c>
      <c r="O107" s="30">
        <f>'Raw Data'!P108/O$1</f>
        <v>4.6405940594059407</v>
      </c>
      <c r="P107" s="30">
        <f t="shared" ref="P107" si="387">IFERROR(AVERAGEIF(J107:O107,"&gt;"&amp;0,J107:O107),"")</f>
        <v>4.5041163452062731</v>
      </c>
      <c r="Q107" s="30">
        <f t="shared" ref="Q107" si="388">MAXA(J107:O107)</f>
        <v>4.6405940594059407</v>
      </c>
    </row>
    <row r="108" spans="1:17">
      <c r="A108" s="214">
        <f t="shared" ref="A108" si="389">YEAR(H108)+IF(MONTH(H108)&gt;=4,1,0)</f>
        <v>2026</v>
      </c>
      <c r="B108" s="215">
        <f t="shared" ref="B108" si="390">YEAR(H108)</f>
        <v>2025</v>
      </c>
      <c r="C108" s="196">
        <f>YEAR(Table12[[#This Row],[Date]])</f>
        <v>2025</v>
      </c>
      <c r="D108" s="196" t="s">
        <v>155</v>
      </c>
      <c r="E108" s="196" t="s">
        <v>155</v>
      </c>
      <c r="F108" s="197">
        <v>45839</v>
      </c>
      <c r="G108" s="196">
        <f t="shared" ref="G108" si="391">DAY(EOMONTH(F108,0))</f>
        <v>31</v>
      </c>
      <c r="H108" s="198">
        <f t="shared" si="239"/>
        <v>45850</v>
      </c>
      <c r="I108" s="199">
        <f>'Modelling New'!$AQ$1</f>
        <v>11.72</v>
      </c>
      <c r="J108" s="30">
        <f>'Raw Data'!K109/J$1</f>
        <v>4.6520519689594888</v>
      </c>
      <c r="K108" s="30">
        <f>'Raw Data'!L109/K$1</f>
        <v>4.6017019453969441</v>
      </c>
      <c r="L108" s="30">
        <f>'Raw Data'!M109/L$1</f>
        <v>4.4933247725109036</v>
      </c>
      <c r="M108" s="30">
        <f>'Raw Data'!N109/M$1</f>
        <v>4.825109433655423</v>
      </c>
      <c r="N108" s="30">
        <f>'Raw Data'!O109/N$1</f>
        <v>4.8131161499030988</v>
      </c>
      <c r="O108" s="30">
        <f>'Raw Data'!P109/O$1</f>
        <v>4.8148514851485151</v>
      </c>
      <c r="P108" s="30">
        <f t="shared" ref="P108" si="392">IFERROR(AVERAGEIF(J108:O108,"&gt;"&amp;0,J108:O108),"")</f>
        <v>4.7000259592623959</v>
      </c>
      <c r="Q108" s="30">
        <f t="shared" ref="Q108" si="393">MAXA(J108:O108)</f>
        <v>4.825109433655423</v>
      </c>
    </row>
    <row r="109" spans="1:17">
      <c r="A109" s="214">
        <f t="shared" ref="A109" si="394">YEAR(H109)+IF(MONTH(H109)&gt;=4,1,0)</f>
        <v>2026</v>
      </c>
      <c r="B109" s="215">
        <f t="shared" ref="B109" si="395">YEAR(H109)</f>
        <v>2025</v>
      </c>
      <c r="C109" s="196">
        <f>YEAR(Table12[[#This Row],[Date]])</f>
        <v>2025</v>
      </c>
      <c r="D109" s="196" t="s">
        <v>155</v>
      </c>
      <c r="E109" s="196" t="s">
        <v>155</v>
      </c>
      <c r="F109" s="197">
        <v>45839</v>
      </c>
      <c r="G109" s="196">
        <f t="shared" ref="G109" si="396">DAY(EOMONTH(F109,0))</f>
        <v>31</v>
      </c>
      <c r="H109" s="198">
        <f t="shared" si="239"/>
        <v>45851</v>
      </c>
      <c r="I109" s="199">
        <f>'Modelling New'!$AQ$1</f>
        <v>11.72</v>
      </c>
      <c r="J109" s="30">
        <f>'Raw Data'!K110/J$1</f>
        <v>4.4689280458815981</v>
      </c>
      <c r="K109" s="30">
        <f>'Raw Data'!L110/K$1</f>
        <v>4.4436676750992641</v>
      </c>
      <c r="L109" s="30">
        <f>'Raw Data'!M110/L$1</f>
        <v>4.3372373635618926</v>
      </c>
      <c r="M109" s="30">
        <f>'Raw Data'!N110/M$1</f>
        <v>4.5757497730013963</v>
      </c>
      <c r="N109" s="30">
        <f>'Raw Data'!O110/N$1</f>
        <v>4.5151118382460318</v>
      </c>
      <c r="O109" s="30">
        <f>'Raw Data'!P110/O$1</f>
        <v>4.5559405940594058</v>
      </c>
      <c r="P109" s="30">
        <f t="shared" ref="P109" si="397">IFERROR(AVERAGEIF(J109:O109,"&gt;"&amp;0,J109:O109),"")</f>
        <v>4.4827725483082643</v>
      </c>
      <c r="Q109" s="30">
        <f t="shared" ref="Q109" si="398">MAXA(J109:O109)</f>
        <v>4.5757497730013963</v>
      </c>
    </row>
    <row r="110" spans="1:17">
      <c r="A110" s="214">
        <f t="shared" ref="A110" si="399">YEAR(H110)+IF(MONTH(H110)&gt;=4,1,0)</f>
        <v>2026</v>
      </c>
      <c r="B110" s="215">
        <f t="shared" ref="B110" si="400">YEAR(H110)</f>
        <v>2025</v>
      </c>
      <c r="C110" s="196">
        <f>YEAR(Table12[[#This Row],[Date]])</f>
        <v>2025</v>
      </c>
      <c r="D110" s="196" t="s">
        <v>155</v>
      </c>
      <c r="E110" s="196" t="s">
        <v>155</v>
      </c>
      <c r="F110" s="197">
        <v>45839</v>
      </c>
      <c r="G110" s="196">
        <f t="shared" ref="G110" si="401">DAY(EOMONTH(F110,0))</f>
        <v>31</v>
      </c>
      <c r="H110" s="198">
        <f t="shared" si="239"/>
        <v>45852</v>
      </c>
      <c r="I110" s="199">
        <f>'Modelling New'!$AQ$1</f>
        <v>11.72</v>
      </c>
      <c r="J110" s="30">
        <f>'Raw Data'!K111/J$1</f>
        <v>4.7924134374724874</v>
      </c>
      <c r="K110" s="30">
        <f>'Raw Data'!L111/K$1</f>
        <v>4.7425050647275881</v>
      </c>
      <c r="L110" s="30">
        <f>'Raw Data'!M111/L$1</f>
        <v>4.6361281466557438</v>
      </c>
      <c r="M110" s="30">
        <f>'Raw Data'!N111/M$1</f>
        <v>4.9449104880131189</v>
      </c>
      <c r="N110" s="30">
        <f>'Raw Data'!O111/N$1</f>
        <v>4.8641035985753218</v>
      </c>
      <c r="O110" s="30">
        <f>'Raw Data'!P111/O$1</f>
        <v>4.973762376237624</v>
      </c>
      <c r="P110" s="30">
        <f t="shared" ref="P110" si="402">IFERROR(AVERAGEIF(J110:O110,"&gt;"&amp;0,J110:O110),"")</f>
        <v>4.8256371852803133</v>
      </c>
      <c r="Q110" s="30">
        <f t="shared" ref="Q110" si="403">MAXA(J110:O110)</f>
        <v>4.973762376237624</v>
      </c>
    </row>
    <row r="111" spans="1:17">
      <c r="A111" s="214">
        <f t="shared" ref="A111" si="404">YEAR(H111)+IF(MONTH(H111)&gt;=4,1,0)</f>
        <v>2026</v>
      </c>
      <c r="B111" s="215">
        <f t="shared" ref="B111" si="405">YEAR(H111)</f>
        <v>2025</v>
      </c>
      <c r="C111" s="196">
        <f>YEAR(Table12[[#This Row],[Date]])</f>
        <v>2025</v>
      </c>
      <c r="D111" s="196" t="s">
        <v>155</v>
      </c>
      <c r="E111" s="196" t="s">
        <v>155</v>
      </c>
      <c r="F111" s="197">
        <v>45839</v>
      </c>
      <c r="G111" s="196">
        <f t="shared" ref="G111" si="406">DAY(EOMONTH(F111,0))</f>
        <v>31</v>
      </c>
      <c r="H111" s="198">
        <f t="shared" si="239"/>
        <v>45853</v>
      </c>
      <c r="I111" s="199">
        <f>'Modelling New'!$AQ$1</f>
        <v>11.72</v>
      </c>
      <c r="J111" s="30">
        <f>'Raw Data'!K112/J$1</f>
        <v>3.4552063288432757</v>
      </c>
      <c r="K111" s="30">
        <f>'Raw Data'!L112/K$1</f>
        <v>3.5087546554877527</v>
      </c>
      <c r="L111" s="30">
        <f>'Raw Data'!M112/L$1</f>
        <v>3.4045874200190402</v>
      </c>
      <c r="M111" s="30">
        <f>'Raw Data'!N112/M$1</f>
        <v>3.5934895445120549</v>
      </c>
      <c r="N111" s="30">
        <f>'Raw Data'!O112/N$1</f>
        <v>3.4691266048051959</v>
      </c>
      <c r="O111" s="30">
        <f>'Raw Data'!P112/O$1</f>
        <v>3.5633663366336634</v>
      </c>
      <c r="P111" s="30">
        <f t="shared" ref="P111" si="407">IFERROR(AVERAGEIF(J111:O111,"&gt;"&amp;0,J111:O111),"")</f>
        <v>3.4990884817168304</v>
      </c>
      <c r="Q111" s="30">
        <f t="shared" ref="Q111" si="408">MAXA(J111:O111)</f>
        <v>3.5934895445120549</v>
      </c>
    </row>
    <row r="112" spans="1:17">
      <c r="A112" s="214">
        <f t="shared" ref="A112" si="409">YEAR(H112)+IF(MONTH(H112)&gt;=4,1,0)</f>
        <v>2026</v>
      </c>
      <c r="B112" s="215">
        <f t="shared" ref="B112" si="410">YEAR(H112)</f>
        <v>2025</v>
      </c>
      <c r="C112" s="196">
        <f>YEAR(Table12[[#This Row],[Date]])</f>
        <v>2025</v>
      </c>
      <c r="D112" s="196" t="s">
        <v>155</v>
      </c>
      <c r="E112" s="196" t="s">
        <v>155</v>
      </c>
      <c r="F112" s="197">
        <v>45839</v>
      </c>
      <c r="G112" s="196">
        <f t="shared" ref="G112" si="411">DAY(EOMONTH(F112,0))</f>
        <v>31</v>
      </c>
      <c r="H112" s="198">
        <f t="shared" si="239"/>
        <v>45854</v>
      </c>
      <c r="I112" s="199">
        <f>'Modelling New'!$AQ$1</f>
        <v>11.72</v>
      </c>
      <c r="J112" s="30">
        <f>'Raw Data'!K113/J$1</f>
        <v>4.0880906564036774</v>
      </c>
      <c r="K112" s="30">
        <f>'Raw Data'!L113/K$1</f>
        <v>4.112337257933099</v>
      </c>
      <c r="L112" s="30">
        <f>'Raw Data'!M113/L$1</f>
        <v>4.0942502269355945</v>
      </c>
      <c r="M112" s="30">
        <f>'Raw Data'!N113/M$1</f>
        <v>4.2293566791798236</v>
      </c>
      <c r="N112" s="30">
        <f>'Raw Data'!O113/N$1</f>
        <v>4.1111724390563857</v>
      </c>
      <c r="O112" s="30">
        <f>'Raw Data'!P113/O$1</f>
        <v>4.1717821782178222</v>
      </c>
      <c r="P112" s="30">
        <f t="shared" ref="P112" si="412">IFERROR(AVERAGEIF(J112:O112,"&gt;"&amp;0,J112:O112),"")</f>
        <v>4.1344982396210668</v>
      </c>
      <c r="Q112" s="30">
        <f t="shared" ref="Q112" si="413">MAXA(J112:O112)</f>
        <v>4.2293566791798236</v>
      </c>
    </row>
    <row r="113" spans="1:17">
      <c r="A113" s="214">
        <f t="shared" ref="A113" si="414">YEAR(H113)+IF(MONTH(H113)&gt;=4,1,0)</f>
        <v>2026</v>
      </c>
      <c r="B113" s="215">
        <f t="shared" ref="B113" si="415">YEAR(H113)</f>
        <v>2025</v>
      </c>
      <c r="C113" s="196">
        <f>YEAR(Table12[[#This Row],[Date]])</f>
        <v>2025</v>
      </c>
      <c r="D113" s="196" t="s">
        <v>155</v>
      </c>
      <c r="E113" s="196" t="s">
        <v>155</v>
      </c>
      <c r="F113" s="197">
        <v>45839</v>
      </c>
      <c r="G113" s="196">
        <f t="shared" ref="G113" si="416">DAY(EOMONTH(F113,0))</f>
        <v>31</v>
      </c>
      <c r="H113" s="198">
        <f t="shared" si="239"/>
        <v>45855</v>
      </c>
      <c r="I113" s="199">
        <f>'Modelling New'!$AQ$1</f>
        <v>11.72</v>
      </c>
      <c r="J113" s="30">
        <f>'Raw Data'!K114/J$1</f>
        <v>3.7661145279150792</v>
      </c>
      <c r="K113" s="30">
        <f>'Raw Data'!L114/K$1</f>
        <v>3.7071590509082051</v>
      </c>
      <c r="L113" s="30">
        <f>'Raw Data'!M114/L$1</f>
        <v>3.7189762437177585</v>
      </c>
      <c r="M113" s="30">
        <f>'Raw Data'!N114/M$1</f>
        <v>3.8124923769125481</v>
      </c>
      <c r="N113" s="30">
        <f>'Raw Data'!O114/N$1</f>
        <v>3.7918821051380993</v>
      </c>
      <c r="O113" s="30">
        <f>'Raw Data'!P114/O$1</f>
        <v>3.8217821782178216</v>
      </c>
      <c r="P113" s="30">
        <f t="shared" ref="P113" si="417">IFERROR(AVERAGEIF(J113:O113,"&gt;"&amp;0,J113:O113),"")</f>
        <v>3.7697344138015851</v>
      </c>
      <c r="Q113" s="30">
        <f t="shared" ref="Q113" si="418">MAXA(J113:O113)</f>
        <v>3.8217821782178216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2"/>
  <sheetViews>
    <sheetView zoomScale="106" zoomScaleNormal="106" workbookViewId="0">
      <pane xSplit="1" ySplit="1" topLeftCell="F97" activePane="bottomRight" state="frozen"/>
      <selection pane="topRight" activeCell="B1" sqref="B1"/>
      <selection pane="bottomLeft" activeCell="A2" sqref="A2"/>
      <selection pane="bottomRight" activeCell="K113" sqref="K113"/>
    </sheetView>
  </sheetViews>
  <sheetFormatPr defaultColWidth="9" defaultRowHeight="15"/>
  <cols>
    <col min="1" max="2" width="11.28515625" customWidth="1"/>
    <col min="3" max="3" width="12.28515625" customWidth="1"/>
    <col min="4" max="4" width="14.28515625" customWidth="1"/>
    <col min="5" max="5" width="13" customWidth="1"/>
    <col min="6" max="6" width="10.7109375" customWidth="1"/>
    <col min="7" max="7" width="9" customWidth="1"/>
    <col min="8" max="8" width="15" customWidth="1"/>
    <col min="9" max="9" width="18.42578125" style="2" customWidth="1"/>
    <col min="10" max="10" width="9.5703125" customWidth="1"/>
    <col min="11" max="15" width="8.7109375" customWidth="1"/>
    <col min="16" max="16" width="8.5703125" customWidth="1"/>
    <col min="17" max="21" width="9.5703125" customWidth="1"/>
  </cols>
  <sheetData>
    <row r="1" spans="1:21" ht="24">
      <c r="A1" s="201" t="s">
        <v>125</v>
      </c>
      <c r="B1" s="201" t="s">
        <v>209</v>
      </c>
      <c r="C1" s="201" t="s">
        <v>126</v>
      </c>
      <c r="D1" s="201" t="s">
        <v>127</v>
      </c>
      <c r="E1" s="201" t="s">
        <v>128</v>
      </c>
      <c r="F1" s="201" t="s">
        <v>84</v>
      </c>
      <c r="G1" s="201" t="s">
        <v>63</v>
      </c>
      <c r="H1" s="202" t="s">
        <v>34</v>
      </c>
      <c r="I1" s="202" t="s">
        <v>129</v>
      </c>
      <c r="J1" s="201" t="s">
        <v>212</v>
      </c>
      <c r="K1" s="201" t="s">
        <v>213</v>
      </c>
      <c r="L1" s="201" t="s">
        <v>214</v>
      </c>
      <c r="M1" s="201" t="s">
        <v>215</v>
      </c>
      <c r="N1" s="201" t="s">
        <v>216</v>
      </c>
      <c r="O1" s="201" t="s">
        <v>217</v>
      </c>
      <c r="P1" s="201" t="s">
        <v>218</v>
      </c>
      <c r="Q1" s="201" t="s">
        <v>219</v>
      </c>
      <c r="R1" s="201" t="s">
        <v>220</v>
      </c>
      <c r="S1" s="201" t="s">
        <v>221</v>
      </c>
      <c r="T1" s="201" t="s">
        <v>222</v>
      </c>
      <c r="U1" s="203" t="s">
        <v>223</v>
      </c>
    </row>
    <row r="2" spans="1:21">
      <c r="A2" s="204" t="s">
        <v>156</v>
      </c>
      <c r="B2" s="204">
        <v>4</v>
      </c>
      <c r="C2" s="204" t="str">
        <f>TEXT(Table5[[#This Row],[Date]],"yyyy")</f>
        <v>2025</v>
      </c>
      <c r="D2" s="15" t="s">
        <v>224</v>
      </c>
      <c r="E2" s="15" t="s">
        <v>224</v>
      </c>
      <c r="F2" s="205" t="str">
        <f>TEXT(Table5[[#This Row],[Date]],"mmm-yy")</f>
        <v>Mar-25</v>
      </c>
      <c r="G2" s="204">
        <f t="shared" ref="G2" si="0">DAY(EOMONTH(F2,0))</f>
        <v>31</v>
      </c>
      <c r="H2" s="206">
        <v>45745</v>
      </c>
      <c r="I2" s="204">
        <v>11.72</v>
      </c>
      <c r="J2" s="207">
        <f>IFERROR(Inv_SY!J3/Inv_SY!$P3-1,"")</f>
        <v>2.8655648617277318E-3</v>
      </c>
      <c r="K2" s="207">
        <f>IFERROR(Inv_SY!K3/Inv_SY!$P3-1,"")</f>
        <v>-1.4452112828702846E-2</v>
      </c>
      <c r="L2" s="207">
        <f>IFERROR(Inv_SY!L3/Inv_SY!$P3-1,"")</f>
        <v>-1.5087319817184919E-2</v>
      </c>
      <c r="M2" s="207">
        <f>IFERROR(Inv_SY!M3/Inv_SY!$P3-1,"")</f>
        <v>2.7426097753809664E-2</v>
      </c>
      <c r="N2" s="207">
        <f>IFERROR(Inv_SY!N3/Inv_SY!$P3-1,"")</f>
        <v>1.2785299774931147E-3</v>
      </c>
      <c r="O2" s="207">
        <f>IFERROR(Inv_SY!O3/Inv_SY!$P3-1,"")</f>
        <v>-2.0307599471438564E-3</v>
      </c>
      <c r="P2" s="207">
        <f>IFERROR(Inv_SY!P3/Inv_SY!$P3-1,"")</f>
        <v>0</v>
      </c>
      <c r="Q2" s="207">
        <f>IFERROR(Inv_SY!Q3/Inv_SY!$P3-1,"")</f>
        <v>2.7426097753809664E-2</v>
      </c>
      <c r="R2" s="207">
        <f>IFERROR(Inv_SY!L3/Inv_SY!$Q3-1,"")</f>
        <v>-4.1378565002328282E-2</v>
      </c>
      <c r="S2" s="207">
        <f>IFERROR(Inv_SY!M3/Inv_SY!$Q3-1,"")</f>
        <v>0</v>
      </c>
      <c r="T2" s="207">
        <f>IFERROR(Inv_SY!N3/Inv_SY!$Q3-1,"")</f>
        <v>-2.5449584971105166E-2</v>
      </c>
      <c r="U2" s="208">
        <f>IFERROR(Inv_SY!O3/Inv_SY!$Q3-1,"")</f>
        <v>-2.8670536757196441E-2</v>
      </c>
    </row>
    <row r="3" spans="1:21">
      <c r="A3" s="156">
        <f t="shared" ref="A3" si="1">YEAR(H3)+IF(MONTH(H3)&gt;=4,1,0)</f>
        <v>2025</v>
      </c>
      <c r="B3" s="129">
        <f t="shared" ref="B3" si="2">YEAR(H3)</f>
        <v>2025</v>
      </c>
      <c r="C3" s="204" t="str">
        <f>TEXT(Table5[[#This Row],[Date]],"yyyy")</f>
        <v>2025</v>
      </c>
      <c r="D3" s="15" t="s">
        <v>224</v>
      </c>
      <c r="E3" s="15" t="s">
        <v>224</v>
      </c>
      <c r="F3" s="205" t="str">
        <f>TEXT(Table5[[#This Row],[Date]],"mmm-yy")</f>
        <v>Mar-25</v>
      </c>
      <c r="G3" s="204">
        <f t="shared" ref="G3" si="3">DAY(EOMONTH(F3,0))</f>
        <v>31</v>
      </c>
      <c r="H3" s="206">
        <f t="shared" ref="H3:H66" si="4">H2+1</f>
        <v>45746</v>
      </c>
      <c r="I3" s="204">
        <v>11.72</v>
      </c>
      <c r="J3" s="207">
        <f>IFERROR(Inv_SY!J4/Inv_SY!$P4-1,"")</f>
        <v>-5.8440763983665933E-3</v>
      </c>
      <c r="K3" s="207">
        <f>IFERROR(Inv_SY!K4/Inv_SY!$P4-1,"")</f>
        <v>-1.842229874586665E-2</v>
      </c>
      <c r="L3" s="207">
        <f>IFERROR(Inv_SY!L4/Inv_SY!$P4-1,"")</f>
        <v>-8.2909646417727023E-3</v>
      </c>
      <c r="M3" s="207">
        <f>IFERROR(Inv_SY!M4/Inv_SY!$P4-1,"")</f>
        <v>2.4965293809900757E-2</v>
      </c>
      <c r="N3" s="207">
        <f>IFERROR(Inv_SY!N4/Inv_SY!$P4-1,"")</f>
        <v>8.5774394609126059E-3</v>
      </c>
      <c r="O3" s="207">
        <f>IFERROR(Inv_SY!O4/Inv_SY!$P4-1,"")</f>
        <v>-9.853934848068624E-4</v>
      </c>
      <c r="P3" s="207">
        <f>IFERROR(Inv_SY!P4/Inv_SY!$P4-1,"")</f>
        <v>0</v>
      </c>
      <c r="Q3" s="207">
        <f>IFERROR(Inv_SY!Q4/Inv_SY!$P4-1,"")</f>
        <v>2.4965293809900757E-2</v>
      </c>
      <c r="R3" s="207">
        <f>IFERROR(Inv_SY!L4/Inv_SY!$Q4-1,"")</f>
        <v>-3.2446228816252476E-2</v>
      </c>
      <c r="S3" s="207">
        <f>IFERROR(Inv_SY!M4/Inv_SY!$Q4-1,"")</f>
        <v>0</v>
      </c>
      <c r="T3" s="207">
        <f>IFERROR(Inv_SY!N4/Inv_SY!$Q4-1,"")</f>
        <v>-1.59886919566542E-2</v>
      </c>
      <c r="U3" s="208">
        <f>IFERROR(Inv_SY!O4/Inv_SY!$Q4-1,"")</f>
        <v>-2.5318600982328188E-2</v>
      </c>
    </row>
    <row r="4" spans="1:21">
      <c r="A4" s="156">
        <f t="shared" ref="A4:A40" si="5">YEAR(H4)+IF(MONTH(H4)&gt;=4,1,0)</f>
        <v>2025</v>
      </c>
      <c r="B4" s="129">
        <f t="shared" ref="B4:B40" si="6">YEAR(H4)</f>
        <v>2025</v>
      </c>
      <c r="C4" s="204" t="str">
        <f>TEXT(Table5[[#This Row],[Date]],"yyyy")</f>
        <v>2025</v>
      </c>
      <c r="D4" s="15" t="s">
        <v>224</v>
      </c>
      <c r="E4" s="15" t="s">
        <v>224</v>
      </c>
      <c r="F4" s="205" t="str">
        <f>TEXT(Table5[[#This Row],[Date]],"mmm-yy")</f>
        <v>Mar-25</v>
      </c>
      <c r="G4" s="204">
        <f t="shared" ref="G4" si="7">DAY(EOMONTH(F4,0))</f>
        <v>31</v>
      </c>
      <c r="H4" s="206">
        <f t="shared" si="4"/>
        <v>45747</v>
      </c>
      <c r="I4" s="204">
        <v>11.72</v>
      </c>
      <c r="J4" s="207">
        <f>IFERROR(Inv_SY!J5/Inv_SY!$P5-1,"")</f>
        <v>-9.7634645630365613E-3</v>
      </c>
      <c r="K4" s="207">
        <f>IFERROR(Inv_SY!K5/Inv_SY!$P5-1,"")</f>
        <v>-1.0423860126928197E-2</v>
      </c>
      <c r="L4" s="207">
        <f>IFERROR(Inv_SY!L5/Inv_SY!$P5-1,"")</f>
        <v>-1.1474193742893601E-2</v>
      </c>
      <c r="M4" s="207">
        <f>IFERROR(Inv_SY!M5/Inv_SY!$P5-1,"")</f>
        <v>2.1659123880791942E-2</v>
      </c>
      <c r="N4" s="207">
        <f>IFERROR(Inv_SY!N5/Inv_SY!$P5-1,"")</f>
        <v>8.8145252636362414E-3</v>
      </c>
      <c r="O4" s="207">
        <f>IFERROR(Inv_SY!O5/Inv_SY!$P5-1,"")</f>
        <v>1.1878692884295106E-3</v>
      </c>
      <c r="P4" s="207">
        <f>IFERROR(Inv_SY!P5/Inv_SY!$P5-1,"")</f>
        <v>0</v>
      </c>
      <c r="Q4" s="207">
        <f>IFERROR(Inv_SY!Q5/Inv_SY!$P5-1,"")</f>
        <v>2.1659123880791942E-2</v>
      </c>
      <c r="R4" s="207">
        <f>IFERROR(Inv_SY!L5/Inv_SY!$Q5-1,"")</f>
        <v>-3.2430892896867514E-2</v>
      </c>
      <c r="S4" s="207">
        <f>IFERROR(Inv_SY!M5/Inv_SY!$Q5-1,"")</f>
        <v>0</v>
      </c>
      <c r="T4" s="207">
        <f>IFERROR(Inv_SY!N5/Inv_SY!$Q5-1,"")</f>
        <v>-1.2572293749372299E-2</v>
      </c>
      <c r="U4" s="208">
        <f>IFERROR(Inv_SY!O5/Inv_SY!$Q5-1,"")</f>
        <v>-2.0037264987760151E-2</v>
      </c>
    </row>
    <row r="5" spans="1:21">
      <c r="A5" s="156">
        <f t="shared" si="5"/>
        <v>2026</v>
      </c>
      <c r="B5" s="129">
        <f t="shared" si="6"/>
        <v>2025</v>
      </c>
      <c r="C5" s="204" t="str">
        <f>TEXT(Table5[[#This Row],[Date]],"yyyy")</f>
        <v>2025</v>
      </c>
      <c r="D5" s="15" t="s">
        <v>224</v>
      </c>
      <c r="E5" s="15" t="s">
        <v>224</v>
      </c>
      <c r="F5" s="205" t="str">
        <f>TEXT(Table5[[#This Row],[Date]],"mmm-yy")</f>
        <v>Apr-25</v>
      </c>
      <c r="G5" s="204">
        <f t="shared" ref="G5" si="8">DAY(EOMONTH(F5,0))</f>
        <v>30</v>
      </c>
      <c r="H5" s="206">
        <f t="shared" si="4"/>
        <v>45748</v>
      </c>
      <c r="I5" s="204">
        <v>11.72</v>
      </c>
      <c r="J5" s="207">
        <f>IFERROR(Inv_SY!J6/Inv_SY!$P6-1,"")</f>
        <v>-1.8972607212268788E-2</v>
      </c>
      <c r="K5" s="207">
        <f>IFERROR(Inv_SY!K6/Inv_SY!$P6-1,"")</f>
        <v>-1.0151998294045006E-2</v>
      </c>
      <c r="L5" s="207">
        <f>IFERROR(Inv_SY!L6/Inv_SY!$P6-1,"")</f>
        <v>-7.1849840036884993E-3</v>
      </c>
      <c r="M5" s="207">
        <f>IFERROR(Inv_SY!M6/Inv_SY!$P6-1,"")</f>
        <v>1.870865913188946E-2</v>
      </c>
      <c r="N5" s="207">
        <f>IFERROR(Inv_SY!N6/Inv_SY!$P6-1,"")</f>
        <v>2.1079972269462788E-2</v>
      </c>
      <c r="O5" s="207">
        <f>IFERROR(Inv_SY!O6/Inv_SY!$P6-1,"")</f>
        <v>-3.4790418913501764E-3</v>
      </c>
      <c r="P5" s="207">
        <f>IFERROR(Inv_SY!P6/Inv_SY!$P6-1,"")</f>
        <v>0</v>
      </c>
      <c r="Q5" s="207">
        <f>IFERROR(Inv_SY!Q6/Inv_SY!$P6-1,"")</f>
        <v>2.1079972269462788E-2</v>
      </c>
      <c r="R5" s="207">
        <f>IFERROR(Inv_SY!L6/Inv_SY!$Q6-1,"")</f>
        <v>-2.7681432444835341E-2</v>
      </c>
      <c r="S5" s="207">
        <f>IFERROR(Inv_SY!M6/Inv_SY!$Q6-1,"")</f>
        <v>-2.3223578974945758E-3</v>
      </c>
      <c r="T5" s="207">
        <f>IFERROR(Inv_SY!N6/Inv_SY!$Q6-1,"")</f>
        <v>0</v>
      </c>
      <c r="U5" s="208">
        <f>IFERROR(Inv_SY!O6/Inv_SY!$Q6-1,"")</f>
        <v>-2.4051998695291177E-2</v>
      </c>
    </row>
    <row r="6" spans="1:21">
      <c r="A6" s="156">
        <f t="shared" si="5"/>
        <v>2026</v>
      </c>
      <c r="B6" s="129">
        <f t="shared" si="6"/>
        <v>2025</v>
      </c>
      <c r="C6" s="204" t="str">
        <f>TEXT(Table5[[#This Row],[Date]],"yyyy")</f>
        <v>2025</v>
      </c>
      <c r="D6" s="15" t="s">
        <v>224</v>
      </c>
      <c r="E6" s="15" t="s">
        <v>224</v>
      </c>
      <c r="F6" s="205" t="str">
        <f>TEXT(Table5[[#This Row],[Date]],"mmm-yy")</f>
        <v>Apr-25</v>
      </c>
      <c r="G6" s="204">
        <f t="shared" ref="G6" si="9">DAY(EOMONTH(F6,0))</f>
        <v>30</v>
      </c>
      <c r="H6" s="206">
        <f t="shared" si="4"/>
        <v>45749</v>
      </c>
      <c r="I6" s="204">
        <v>11.72</v>
      </c>
      <c r="J6" s="207">
        <f>IFERROR(Inv_SY!J7/Inv_SY!$P7-1,"")</f>
        <v>-3.6272607155786174E-2</v>
      </c>
      <c r="K6" s="207">
        <f>IFERROR(Inv_SY!K7/Inv_SY!$P7-1,"")</f>
        <v>-1.9160367562832126E-2</v>
      </c>
      <c r="L6" s="207">
        <f>IFERROR(Inv_SY!L7/Inv_SY!$P7-1,"")</f>
        <v>-7.3270220666210584E-4</v>
      </c>
      <c r="M6" s="207">
        <f>IFERROR(Inv_SY!M7/Inv_SY!$P7-1,"")</f>
        <v>3.1048198150327666E-2</v>
      </c>
      <c r="N6" s="207">
        <f>IFERROR(Inv_SY!N7/Inv_SY!$P7-1,"")</f>
        <v>2.5257420978194167E-2</v>
      </c>
      <c r="O6" s="207">
        <f>IFERROR(Inv_SY!O7/Inv_SY!$P7-1,"")</f>
        <v>-1.3994220324109463E-4</v>
      </c>
      <c r="P6" s="207">
        <f>IFERROR(Inv_SY!P7/Inv_SY!$P7-1,"")</f>
        <v>0</v>
      </c>
      <c r="Q6" s="207">
        <f>IFERROR(Inv_SY!Q7/Inv_SY!$P7-1,"")</f>
        <v>3.1048198150327666E-2</v>
      </c>
      <c r="R6" s="207">
        <f>IFERROR(Inv_SY!L7/Inv_SY!$Q7-1,"")</f>
        <v>-3.0823874590929723E-2</v>
      </c>
      <c r="S6" s="207">
        <f>IFERROR(Inv_SY!M7/Inv_SY!$Q7-1,"")</f>
        <v>0</v>
      </c>
      <c r="T6" s="207">
        <f>IFERROR(Inv_SY!N7/Inv_SY!$Q7-1,"")</f>
        <v>-5.6163981300990651E-3</v>
      </c>
      <c r="U6" s="208">
        <f>IFERROR(Inv_SY!O7/Inv_SY!$Q7-1,"")</f>
        <v>-3.0248964509631548E-2</v>
      </c>
    </row>
    <row r="7" spans="1:21">
      <c r="A7" s="156">
        <f t="shared" si="5"/>
        <v>2026</v>
      </c>
      <c r="B7" s="129">
        <f t="shared" si="6"/>
        <v>2025</v>
      </c>
      <c r="C7" s="204" t="str">
        <f>TEXT(Table5[[#This Row],[Date]],"yyyy")</f>
        <v>2025</v>
      </c>
      <c r="D7" s="15" t="s">
        <v>224</v>
      </c>
      <c r="E7" s="15" t="s">
        <v>224</v>
      </c>
      <c r="F7" s="205" t="str">
        <f>TEXT(Table5[[#This Row],[Date]],"mmm-yy")</f>
        <v>Apr-25</v>
      </c>
      <c r="G7" s="204">
        <f t="shared" ref="G7" si="10">DAY(EOMONTH(F7,0))</f>
        <v>30</v>
      </c>
      <c r="H7" s="206">
        <f t="shared" si="4"/>
        <v>45750</v>
      </c>
      <c r="I7" s="204">
        <v>11.72</v>
      </c>
      <c r="J7" s="207">
        <f>IFERROR(Inv_SY!J8/Inv_SY!$P8-1,"")</f>
        <v>-1.283160681672102E-2</v>
      </c>
      <c r="K7" s="207">
        <f>IFERROR(Inv_SY!K8/Inv_SY!$P8-1,"")</f>
        <v>-1.8342743558164343E-2</v>
      </c>
      <c r="L7" s="207">
        <f>IFERROR(Inv_SY!L8/Inv_SY!$P8-1,"")</f>
        <v>-6.2419180038227884E-3</v>
      </c>
      <c r="M7" s="207">
        <f>IFERROR(Inv_SY!M8/Inv_SY!$P8-1,"")</f>
        <v>8.3708315869308603E-3</v>
      </c>
      <c r="N7" s="207">
        <f>IFERROR(Inv_SY!N8/Inv_SY!$P8-1,"")</f>
        <v>1.2796169894216947E-2</v>
      </c>
      <c r="O7" s="207">
        <f>IFERROR(Inv_SY!O8/Inv_SY!$P8-1,"")</f>
        <v>1.6249266897560899E-2</v>
      </c>
      <c r="P7" s="207">
        <f>IFERROR(Inv_SY!P8/Inv_SY!$P8-1,"")</f>
        <v>0</v>
      </c>
      <c r="Q7" s="207">
        <f>IFERROR(Inv_SY!Q8/Inv_SY!$P8-1,"")</f>
        <v>1.6249266897560899E-2</v>
      </c>
      <c r="R7" s="207">
        <f>IFERROR(Inv_SY!L8/Inv_SY!$Q8-1,"")</f>
        <v>-2.2131563223701467E-2</v>
      </c>
      <c r="S7" s="207">
        <f>IFERROR(Inv_SY!M8/Inv_SY!$Q8-1,"")</f>
        <v>-7.7524634627108568E-3</v>
      </c>
      <c r="T7" s="207">
        <f>IFERROR(Inv_SY!N8/Inv_SY!$Q8-1,"")</f>
        <v>-3.3978838812702694E-3</v>
      </c>
      <c r="U7" s="208">
        <f>IFERROR(Inv_SY!O8/Inv_SY!$Q8-1,"")</f>
        <v>0</v>
      </c>
    </row>
    <row r="8" spans="1:21">
      <c r="A8" s="156">
        <f t="shared" si="5"/>
        <v>2026</v>
      </c>
      <c r="B8" s="129">
        <f t="shared" si="6"/>
        <v>2025</v>
      </c>
      <c r="C8" s="204" t="str">
        <f>TEXT(Table5[[#This Row],[Date]],"yyyy")</f>
        <v>2025</v>
      </c>
      <c r="D8" s="15" t="s">
        <v>224</v>
      </c>
      <c r="E8" s="15" t="s">
        <v>224</v>
      </c>
      <c r="F8" s="205" t="str">
        <f>TEXT(Table5[[#This Row],[Date]],"mmm-yy")</f>
        <v>Apr-25</v>
      </c>
      <c r="G8" s="204">
        <f t="shared" ref="G8" si="11">DAY(EOMONTH(F8,0))</f>
        <v>30</v>
      </c>
      <c r="H8" s="206">
        <f t="shared" si="4"/>
        <v>45751</v>
      </c>
      <c r="I8" s="204">
        <v>11.72</v>
      </c>
      <c r="J8" s="207">
        <f>IFERROR(Inv_SY!J9/Inv_SY!$P9-1,"")</f>
        <v>-2.286352412058823E-2</v>
      </c>
      <c r="K8" s="207">
        <f>IFERROR(Inv_SY!K9/Inv_SY!$P9-1,"")</f>
        <v>-1.8187433853946611E-2</v>
      </c>
      <c r="L8" s="207">
        <f>IFERROR(Inv_SY!L9/Inv_SY!$P9-1,"")</f>
        <v>-1.3532005493802512E-2</v>
      </c>
      <c r="M8" s="207">
        <f>IFERROR(Inv_SY!M9/Inv_SY!$P9-1,"")</f>
        <v>1.5341557561257435E-2</v>
      </c>
      <c r="N8" s="207">
        <f>IFERROR(Inv_SY!N9/Inv_SY!$P9-1,"")</f>
        <v>2.5366723226270649E-2</v>
      </c>
      <c r="O8" s="207">
        <f>IFERROR(Inv_SY!O9/Inv_SY!$P9-1,"")</f>
        <v>1.3874682680809158E-2</v>
      </c>
      <c r="P8" s="207">
        <f>IFERROR(Inv_SY!P9/Inv_SY!$P9-1,"")</f>
        <v>0</v>
      </c>
      <c r="Q8" s="207">
        <f>IFERROR(Inv_SY!Q9/Inv_SY!$P9-1,"")</f>
        <v>2.5366723226270649E-2</v>
      </c>
      <c r="R8" s="207">
        <f>IFERROR(Inv_SY!L9/Inv_SY!$Q9-1,"")</f>
        <v>-3.7936406398756506E-2</v>
      </c>
      <c r="S8" s="207">
        <f>IFERROR(Inv_SY!M9/Inv_SY!$Q9-1,"")</f>
        <v>-9.7771513722128001E-3</v>
      </c>
      <c r="T8" s="207">
        <f>IFERROR(Inv_SY!N9/Inv_SY!$Q9-1,"")</f>
        <v>0</v>
      </c>
      <c r="U8" s="208">
        <f>IFERROR(Inv_SY!O9/Inv_SY!$Q9-1,"")</f>
        <v>-1.1207736983410488E-2</v>
      </c>
    </row>
    <row r="9" spans="1:21">
      <c r="A9" s="156">
        <f t="shared" si="5"/>
        <v>2026</v>
      </c>
      <c r="B9" s="129">
        <f t="shared" si="6"/>
        <v>2025</v>
      </c>
      <c r="C9" s="204" t="str">
        <f>TEXT(Table5[[#This Row],[Date]],"yyyy")</f>
        <v>2025</v>
      </c>
      <c r="D9" s="15" t="s">
        <v>224</v>
      </c>
      <c r="E9" s="15" t="s">
        <v>224</v>
      </c>
      <c r="F9" s="205" t="str">
        <f>TEXT(Table5[[#This Row],[Date]],"mmm-yy")</f>
        <v>Apr-25</v>
      </c>
      <c r="G9" s="204">
        <f t="shared" ref="G9" si="12">DAY(EOMONTH(F9,0))</f>
        <v>30</v>
      </c>
      <c r="H9" s="206">
        <f t="shared" si="4"/>
        <v>45752</v>
      </c>
      <c r="I9" s="204">
        <v>11.72</v>
      </c>
      <c r="J9" s="207">
        <f>IFERROR(Inv_SY!J10/Inv_SY!$P10-1,"")</f>
        <v>1.7988168046174646E-3</v>
      </c>
      <c r="K9" s="207">
        <f>IFERROR(Inv_SY!K10/Inv_SY!$P10-1,"")</f>
        <v>-2.5951196100918672E-2</v>
      </c>
      <c r="L9" s="207">
        <f>IFERROR(Inv_SY!L10/Inv_SY!$P10-1,"")</f>
        <v>-1.9339848084747313E-2</v>
      </c>
      <c r="M9" s="207">
        <f>IFERROR(Inv_SY!M10/Inv_SY!$P10-1,"")</f>
        <v>1.2782648077032333E-2</v>
      </c>
      <c r="N9" s="207">
        <f>IFERROR(Inv_SY!N10/Inv_SY!$P10-1,"")</f>
        <v>1.6938637789690514E-2</v>
      </c>
      <c r="O9" s="207">
        <f>IFERROR(Inv_SY!O10/Inv_SY!$P10-1,"")</f>
        <v>1.3770941514325008E-2</v>
      </c>
      <c r="P9" s="207">
        <f>IFERROR(Inv_SY!P10/Inv_SY!$P10-1,"")</f>
        <v>0</v>
      </c>
      <c r="Q9" s="207">
        <f>IFERROR(Inv_SY!Q10/Inv_SY!$P10-1,"")</f>
        <v>1.6938637789690514E-2</v>
      </c>
      <c r="R9" s="207">
        <f>IFERROR(Inv_SY!L10/Inv_SY!$Q10-1,"")</f>
        <v>-3.5674213296968404E-2</v>
      </c>
      <c r="S9" s="207">
        <f>IFERROR(Inv_SY!M10/Inv_SY!$Q10-1,"")</f>
        <v>-4.0867654725866842E-3</v>
      </c>
      <c r="T9" s="207">
        <f>IFERROR(Inv_SY!N10/Inv_SY!$Q10-1,"")</f>
        <v>0</v>
      </c>
      <c r="U9" s="208">
        <f>IFERROR(Inv_SY!O10/Inv_SY!$Q10-1,"")</f>
        <v>-3.1149335443193538E-3</v>
      </c>
    </row>
    <row r="10" spans="1:21">
      <c r="A10" s="156">
        <f t="shared" si="5"/>
        <v>2026</v>
      </c>
      <c r="B10" s="129">
        <f t="shared" si="6"/>
        <v>2025</v>
      </c>
      <c r="C10" s="204" t="str">
        <f>TEXT(Table5[[#This Row],[Date]],"yyyy")</f>
        <v>2025</v>
      </c>
      <c r="D10" s="15" t="s">
        <v>224</v>
      </c>
      <c r="E10" s="15" t="s">
        <v>224</v>
      </c>
      <c r="F10" s="205" t="str">
        <f>TEXT(Table5[[#This Row],[Date]],"mmm-yy")</f>
        <v>Apr-25</v>
      </c>
      <c r="G10" s="204">
        <f t="shared" ref="G10" si="13">DAY(EOMONTH(F10,0))</f>
        <v>30</v>
      </c>
      <c r="H10" s="206">
        <f t="shared" si="4"/>
        <v>45753</v>
      </c>
      <c r="I10" s="204">
        <v>11.72</v>
      </c>
      <c r="J10" s="207">
        <f>IFERROR(Inv_SY!J11/Inv_SY!$P11-1,"")</f>
        <v>-1.9392864674227517E-2</v>
      </c>
      <c r="K10" s="207">
        <f>IFERROR(Inv_SY!K11/Inv_SY!$P11-1,"")</f>
        <v>-7.8607252306106545E-3</v>
      </c>
      <c r="L10" s="207">
        <f>IFERROR(Inv_SY!L11/Inv_SY!$P11-1,"")</f>
        <v>-2.3256865842858021E-2</v>
      </c>
      <c r="M10" s="207">
        <f>IFERROR(Inv_SY!M11/Inv_SY!$P11-1,"")</f>
        <v>2.1634673333554622E-2</v>
      </c>
      <c r="N10" s="207">
        <f>IFERROR(Inv_SY!N11/Inv_SY!$P11-1,"")</f>
        <v>1.5915093653752432E-2</v>
      </c>
      <c r="O10" s="207">
        <f>IFERROR(Inv_SY!O11/Inv_SY!$P11-1,"")</f>
        <v>1.2960688760388361E-2</v>
      </c>
      <c r="P10" s="207">
        <f>IFERROR(Inv_SY!P11/Inv_SY!$P11-1,"")</f>
        <v>0</v>
      </c>
      <c r="Q10" s="207">
        <f>IFERROR(Inv_SY!Q11/Inv_SY!$P11-1,"")</f>
        <v>2.1634673333554622E-2</v>
      </c>
      <c r="R10" s="207">
        <f>IFERROR(Inv_SY!L11/Inv_SY!$Q11-1,"")</f>
        <v>-4.3940892324976999E-2</v>
      </c>
      <c r="S10" s="207">
        <f>IFERROR(Inv_SY!M11/Inv_SY!$Q11-1,"")</f>
        <v>0</v>
      </c>
      <c r="T10" s="207">
        <f>IFERROR(Inv_SY!N11/Inv_SY!$Q11-1,"")</f>
        <v>-5.5984588513813272E-3</v>
      </c>
      <c r="U10" s="208">
        <f>IFERROR(Inv_SY!O11/Inv_SY!$Q11-1,"")</f>
        <v>-8.4902997123847967E-3</v>
      </c>
    </row>
    <row r="11" spans="1:21">
      <c r="A11" s="156">
        <f t="shared" si="5"/>
        <v>2026</v>
      </c>
      <c r="B11" s="129">
        <f t="shared" si="6"/>
        <v>2025</v>
      </c>
      <c r="C11" s="204" t="str">
        <f>TEXT(Table5[[#This Row],[Date]],"yyyy")</f>
        <v>2025</v>
      </c>
      <c r="D11" s="15" t="s">
        <v>224</v>
      </c>
      <c r="E11" s="15" t="s">
        <v>224</v>
      </c>
      <c r="F11" s="205" t="str">
        <f>TEXT(Table5[[#This Row],[Date]],"mmm-yy")</f>
        <v>Apr-25</v>
      </c>
      <c r="G11" s="204">
        <f t="shared" ref="G11" si="14">DAY(EOMONTH(F11,0))</f>
        <v>30</v>
      </c>
      <c r="H11" s="206">
        <f t="shared" si="4"/>
        <v>45754</v>
      </c>
      <c r="I11" s="204">
        <v>11.72</v>
      </c>
      <c r="J11" s="207">
        <f>IFERROR(Inv_SY!J12/Inv_SY!$P12-1,"")</f>
        <v>-1.2149031649275166E-2</v>
      </c>
      <c r="K11" s="207">
        <f>IFERROR(Inv_SY!K12/Inv_SY!$P12-1,"")</f>
        <v>-2.4096566875591363E-2</v>
      </c>
      <c r="L11" s="207">
        <f>IFERROR(Inv_SY!L12/Inv_SY!$P12-1,"")</f>
        <v>-2.0383317443759541E-2</v>
      </c>
      <c r="M11" s="207">
        <f>IFERROR(Inv_SY!M12/Inv_SY!$P12-1,"")</f>
        <v>2.3168164811045999E-2</v>
      </c>
      <c r="N11" s="207">
        <f>IFERROR(Inv_SY!N12/Inv_SY!$P12-1,"")</f>
        <v>1.4951471602104638E-2</v>
      </c>
      <c r="O11" s="207">
        <f>IFERROR(Inv_SY!O12/Inv_SY!$P12-1,"")</f>
        <v>1.8509279555475988E-2</v>
      </c>
      <c r="P11" s="207">
        <f>IFERROR(Inv_SY!P12/Inv_SY!$P12-1,"")</f>
        <v>0</v>
      </c>
      <c r="Q11" s="207">
        <f>IFERROR(Inv_SY!Q12/Inv_SY!$P12-1,"")</f>
        <v>2.3168164811045999E-2</v>
      </c>
      <c r="R11" s="207">
        <f>IFERROR(Inv_SY!L12/Inv_SY!$Q12-1,"")</f>
        <v>-4.2565321862656269E-2</v>
      </c>
      <c r="S11" s="207">
        <f>IFERROR(Inv_SY!M12/Inv_SY!$Q12-1,"")</f>
        <v>0</v>
      </c>
      <c r="T11" s="207">
        <f>IFERROR(Inv_SY!N12/Inv_SY!$Q12-1,"")</f>
        <v>-8.0306380627652718E-3</v>
      </c>
      <c r="U11" s="208">
        <f>IFERROR(Inv_SY!O12/Inv_SY!$Q12-1,"")</f>
        <v>-4.5533915301502192E-3</v>
      </c>
    </row>
    <row r="12" spans="1:21">
      <c r="A12" s="156">
        <f t="shared" si="5"/>
        <v>2026</v>
      </c>
      <c r="B12" s="129">
        <f t="shared" si="6"/>
        <v>2025</v>
      </c>
      <c r="C12" s="204" t="str">
        <f>TEXT(Table5[[#This Row],[Date]],"yyyy")</f>
        <v>2025</v>
      </c>
      <c r="D12" s="15" t="s">
        <v>224</v>
      </c>
      <c r="E12" s="15" t="s">
        <v>224</v>
      </c>
      <c r="F12" s="205" t="str">
        <f>TEXT(Table5[[#This Row],[Date]],"mmm-yy")</f>
        <v>Apr-25</v>
      </c>
      <c r="G12" s="204">
        <f t="shared" ref="G12" si="15">DAY(EOMONTH(F12,0))</f>
        <v>30</v>
      </c>
      <c r="H12" s="206">
        <f t="shared" si="4"/>
        <v>45755</v>
      </c>
      <c r="I12" s="204">
        <v>11.72</v>
      </c>
      <c r="J12" s="207">
        <f>IFERROR(Inv_SY!J13/Inv_SY!$P13-1,"")</f>
        <v>-1.6609575358138229E-2</v>
      </c>
      <c r="K12" s="207">
        <f>IFERROR(Inv_SY!K13/Inv_SY!$P13-1,"")</f>
        <v>-2.0855376824013283E-2</v>
      </c>
      <c r="L12" s="207">
        <f>IFERROR(Inv_SY!L13/Inv_SY!$P13-1,"")</f>
        <v>-1.2898699996388707E-2</v>
      </c>
      <c r="M12" s="207">
        <f>IFERROR(Inv_SY!M13/Inv_SY!$P13-1,"")</f>
        <v>3.2106380719730376E-2</v>
      </c>
      <c r="N12" s="207">
        <f>IFERROR(Inv_SY!N13/Inv_SY!$P13-1,"")</f>
        <v>3.0676078943105978E-3</v>
      </c>
      <c r="O12" s="207">
        <f>IFERROR(Inv_SY!O13/Inv_SY!$P13-1,"")</f>
        <v>1.5189663564499911E-2</v>
      </c>
      <c r="P12" s="207">
        <f>IFERROR(Inv_SY!P13/Inv_SY!$P13-1,"")</f>
        <v>0</v>
      </c>
      <c r="Q12" s="207">
        <f>IFERROR(Inv_SY!Q13/Inv_SY!$P13-1,"")</f>
        <v>3.2106380719730376E-2</v>
      </c>
      <c r="R12" s="207">
        <f>IFERROR(Inv_SY!L13/Inv_SY!$Q13-1,"")</f>
        <v>-4.3605079434481664E-2</v>
      </c>
      <c r="S12" s="207">
        <f>IFERROR(Inv_SY!M13/Inv_SY!$Q13-1,"")</f>
        <v>0</v>
      </c>
      <c r="T12" s="207">
        <f>IFERROR(Inv_SY!N13/Inv_SY!$Q13-1,"")</f>
        <v>-2.8135445500462875E-2</v>
      </c>
      <c r="U12" s="208">
        <f>IFERROR(Inv_SY!O13/Inv_SY!$Q13-1,"")</f>
        <v>-1.6390478221279814E-2</v>
      </c>
    </row>
    <row r="13" spans="1:21">
      <c r="A13" s="156">
        <f t="shared" si="5"/>
        <v>2026</v>
      </c>
      <c r="B13" s="129">
        <f t="shared" si="6"/>
        <v>2025</v>
      </c>
      <c r="C13" s="204" t="str">
        <f>TEXT(Table5[[#This Row],[Date]],"yyyy")</f>
        <v>2025</v>
      </c>
      <c r="D13" s="15" t="s">
        <v>224</v>
      </c>
      <c r="E13" s="15" t="s">
        <v>224</v>
      </c>
      <c r="F13" s="205" t="str">
        <f>TEXT(Table5[[#This Row],[Date]],"mmm-yy")</f>
        <v>Apr-25</v>
      </c>
      <c r="G13" s="204">
        <f t="shared" ref="G13" si="16">DAY(EOMONTH(F13,0))</f>
        <v>30</v>
      </c>
      <c r="H13" s="206">
        <f t="shared" si="4"/>
        <v>45756</v>
      </c>
      <c r="I13" s="204">
        <v>11.72</v>
      </c>
      <c r="J13" s="207">
        <f>IFERROR(Inv_SY!J14/Inv_SY!$P14-1,"")</f>
        <v>-1.5391045608925014E-2</v>
      </c>
      <c r="K13" s="207">
        <f>IFERROR(Inv_SY!K14/Inv_SY!$P14-1,"")</f>
        <v>-1.9762729661564782E-2</v>
      </c>
      <c r="L13" s="207">
        <f>IFERROR(Inv_SY!L14/Inv_SY!$P14-1,"")</f>
        <v>-9.3170156860700182E-4</v>
      </c>
      <c r="M13" s="207">
        <f>IFERROR(Inv_SY!M14/Inv_SY!$P14-1,"")</f>
        <v>2.9436772397345434E-2</v>
      </c>
      <c r="N13" s="207">
        <f>IFERROR(Inv_SY!N14/Inv_SY!$P14-1,"")</f>
        <v>6.3722543050312996E-3</v>
      </c>
      <c r="O13" s="207">
        <f>IFERROR(Inv_SY!O14/Inv_SY!$P14-1,"")</f>
        <v>2.7645013671939722E-4</v>
      </c>
      <c r="P13" s="207">
        <f>IFERROR(Inv_SY!P14/Inv_SY!$P14-1,"")</f>
        <v>0</v>
      </c>
      <c r="Q13" s="207">
        <f>IFERROR(Inv_SY!Q14/Inv_SY!$P14-1,"")</f>
        <v>2.9436772397345434E-2</v>
      </c>
      <c r="R13" s="207">
        <f>IFERROR(Inv_SY!L14/Inv_SY!$Q14-1,"")</f>
        <v>-2.9500086630119715E-2</v>
      </c>
      <c r="S13" s="207">
        <f>IFERROR(Inv_SY!M14/Inv_SY!$Q14-1,"")</f>
        <v>0</v>
      </c>
      <c r="T13" s="207">
        <f>IFERROR(Inv_SY!N14/Inv_SY!$Q14-1,"")</f>
        <v>-2.240498757257503E-2</v>
      </c>
      <c r="U13" s="208">
        <f>IFERROR(Inv_SY!O14/Inv_SY!$Q14-1,"")</f>
        <v>-2.832648205553967E-2</v>
      </c>
    </row>
    <row r="14" spans="1:21">
      <c r="A14" s="156">
        <f t="shared" si="5"/>
        <v>2026</v>
      </c>
      <c r="B14" s="129">
        <f t="shared" si="6"/>
        <v>2025</v>
      </c>
      <c r="C14" s="204" t="str">
        <f>TEXT(Table5[[#This Row],[Date]],"yyyy")</f>
        <v>2025</v>
      </c>
      <c r="D14" s="204" t="s">
        <v>224</v>
      </c>
      <c r="E14" s="204" t="s">
        <v>224</v>
      </c>
      <c r="F14" s="205" t="str">
        <f>TEXT(Table5[[#This Row],[Date]],"mmm-yy")</f>
        <v>Apr-25</v>
      </c>
      <c r="G14" s="204">
        <f t="shared" ref="G14" si="17">DAY(EOMONTH(F14,0))</f>
        <v>30</v>
      </c>
      <c r="H14" s="206">
        <f t="shared" si="4"/>
        <v>45757</v>
      </c>
      <c r="I14" s="204">
        <v>11.72</v>
      </c>
      <c r="J14" s="207">
        <f>IFERROR(Inv_SY!J15/Inv_SY!$P15-1,"")</f>
        <v>-1.6962392054074571E-2</v>
      </c>
      <c r="K14" s="207">
        <f>IFERROR(Inv_SY!K15/Inv_SY!$P15-1,"")</f>
        <v>-2.0194713857592528E-2</v>
      </c>
      <c r="L14" s="207">
        <f>IFERROR(Inv_SY!L15/Inv_SY!$P15-1,"")</f>
        <v>-3.6806664565831593E-3</v>
      </c>
      <c r="M14" s="207">
        <f>IFERROR(Inv_SY!M15/Inv_SY!$P15-1,"")</f>
        <v>2.5412005153030437E-2</v>
      </c>
      <c r="N14" s="207">
        <f>IFERROR(Inv_SY!N15/Inv_SY!$P15-1,"")</f>
        <v>3.5452550229206903E-3</v>
      </c>
      <c r="O14" s="207">
        <f>IFERROR(Inv_SY!O15/Inv_SY!$P15-1,"")</f>
        <v>1.1880512192298465E-2</v>
      </c>
      <c r="P14" s="207">
        <f>IFERROR(Inv_SY!P15/Inv_SY!$P15-1,"")</f>
        <v>0</v>
      </c>
      <c r="Q14" s="207">
        <f>IFERROR(Inv_SY!Q15/Inv_SY!$P15-1,"")</f>
        <v>2.5412005153030437E-2</v>
      </c>
      <c r="R14" s="207">
        <f>IFERROR(Inv_SY!L15/Inv_SY!$Q15-1,"")</f>
        <v>-2.8371690075221778E-2</v>
      </c>
      <c r="S14" s="207">
        <f>IFERROR(Inv_SY!M15/Inv_SY!$Q15-1,"")</f>
        <v>0</v>
      </c>
      <c r="T14" s="207">
        <f>IFERROR(Inv_SY!N15/Inv_SY!$Q15-1,"")</f>
        <v>-2.1324843107182301E-2</v>
      </c>
      <c r="U14" s="208">
        <f>IFERROR(Inv_SY!O15/Inv_SY!$Q15-1,"")</f>
        <v>-1.3196152271215622E-2</v>
      </c>
    </row>
    <row r="15" spans="1:21">
      <c r="A15" s="156">
        <f t="shared" si="5"/>
        <v>2026</v>
      </c>
      <c r="B15" s="129">
        <f t="shared" si="6"/>
        <v>2025</v>
      </c>
      <c r="C15" s="204" t="str">
        <f>TEXT(Table5[[#This Row],[Date]],"yyyy")</f>
        <v>2025</v>
      </c>
      <c r="D15" s="204" t="s">
        <v>224</v>
      </c>
      <c r="E15" s="204" t="s">
        <v>224</v>
      </c>
      <c r="F15" s="205" t="str">
        <f>TEXT(Table5[[#This Row],[Date]],"mmm-yy")</f>
        <v>Apr-25</v>
      </c>
      <c r="G15" s="204">
        <f t="shared" ref="G15" si="18">DAY(EOMONTH(F15,0))</f>
        <v>30</v>
      </c>
      <c r="H15" s="206">
        <f t="shared" si="4"/>
        <v>45758</v>
      </c>
      <c r="I15" s="204">
        <v>11.72</v>
      </c>
      <c r="J15" s="207">
        <f>IFERROR(Inv_SY!J16/Inv_SY!$P16-1,"")</f>
        <v>-3.1518997752306599E-2</v>
      </c>
      <c r="K15" s="207">
        <f>IFERROR(Inv_SY!K16/Inv_SY!$P16-1,"")</f>
        <v>-3.407121223679499E-2</v>
      </c>
      <c r="L15" s="207">
        <f>IFERROR(Inv_SY!L16/Inv_SY!$P16-1,"")</f>
        <v>-7.2671094808489656E-3</v>
      </c>
      <c r="M15" s="207">
        <f>IFERROR(Inv_SY!M16/Inv_SY!$P16-1,"")</f>
        <v>2.9420459381920283E-2</v>
      </c>
      <c r="N15" s="207">
        <f>IFERROR(Inv_SY!N16/Inv_SY!$P16-1,"")</f>
        <v>2.6827087281193096E-2</v>
      </c>
      <c r="O15" s="207">
        <f>IFERROR(Inv_SY!O16/Inv_SY!$P16-1,"")</f>
        <v>1.6609772806837508E-2</v>
      </c>
      <c r="P15" s="207">
        <f>IFERROR(Inv_SY!P16/Inv_SY!$P16-1,"")</f>
        <v>0</v>
      </c>
      <c r="Q15" s="207">
        <f>IFERROR(Inv_SY!Q16/Inv_SY!$P16-1,"")</f>
        <v>2.9420459381920283E-2</v>
      </c>
      <c r="R15" s="207">
        <f>IFERROR(Inv_SY!L16/Inv_SY!$Q16-1,"")</f>
        <v>-3.5639051592968207E-2</v>
      </c>
      <c r="S15" s="207">
        <f>IFERROR(Inv_SY!M16/Inv_SY!$Q16-1,"")</f>
        <v>0</v>
      </c>
      <c r="T15" s="207">
        <f>IFERROR(Inv_SY!N16/Inv_SY!$Q16-1,"")</f>
        <v>-2.519254476722077E-3</v>
      </c>
      <c r="U15" s="208">
        <f>IFERROR(Inv_SY!O16/Inv_SY!$Q16-1,"")</f>
        <v>-1.2444561848687585E-2</v>
      </c>
    </row>
    <row r="16" spans="1:21">
      <c r="A16" s="156">
        <f t="shared" si="5"/>
        <v>2026</v>
      </c>
      <c r="B16" s="129">
        <f t="shared" si="6"/>
        <v>2025</v>
      </c>
      <c r="C16" s="204" t="str">
        <f>TEXT(Table5[[#This Row],[Date]],"yyyy")</f>
        <v>2025</v>
      </c>
      <c r="D16" s="204" t="s">
        <v>224</v>
      </c>
      <c r="E16" s="204" t="s">
        <v>224</v>
      </c>
      <c r="F16" s="205" t="str">
        <f>TEXT(Table5[[#This Row],[Date]],"mmm-yy")</f>
        <v>Apr-25</v>
      </c>
      <c r="G16" s="204">
        <f t="shared" ref="G16" si="19">DAY(EOMONTH(F16,0))</f>
        <v>30</v>
      </c>
      <c r="H16" s="206">
        <f t="shared" si="4"/>
        <v>45759</v>
      </c>
      <c r="I16" s="204">
        <v>11.72</v>
      </c>
      <c r="J16" s="207">
        <f>IFERROR(Inv_SY!J17/Inv_SY!$P17-1,"")</f>
        <v>-1.834329307868976E-2</v>
      </c>
      <c r="K16" s="207">
        <f>IFERROR(Inv_SY!K17/Inv_SY!$P17-1,"")</f>
        <v>-2.0882738405247903E-2</v>
      </c>
      <c r="L16" s="207">
        <f>IFERROR(Inv_SY!L17/Inv_SY!$P17-1,"")</f>
        <v>-1.5639526792414316E-2</v>
      </c>
      <c r="M16" s="207">
        <f>IFERROR(Inv_SY!M17/Inv_SY!$P17-1,"")</f>
        <v>2.3337080136758059E-2</v>
      </c>
      <c r="N16" s="207">
        <f>IFERROR(Inv_SY!N17/Inv_SY!$P17-1,"")</f>
        <v>1.2641856086540226E-2</v>
      </c>
      <c r="O16" s="207">
        <f>IFERROR(Inv_SY!O17/Inv_SY!$P17-1,"")</f>
        <v>1.8886622053054136E-2</v>
      </c>
      <c r="P16" s="207">
        <f>IFERROR(Inv_SY!P17/Inv_SY!$P17-1,"")</f>
        <v>0</v>
      </c>
      <c r="Q16" s="207">
        <f>IFERROR(Inv_SY!Q17/Inv_SY!$P17-1,"")</f>
        <v>2.3337080136758059E-2</v>
      </c>
      <c r="R16" s="207">
        <f>IFERROR(Inv_SY!L17/Inv_SY!$Q17-1,"")</f>
        <v>-3.8087750053934943E-2</v>
      </c>
      <c r="S16" s="207">
        <f>IFERROR(Inv_SY!M17/Inv_SY!$Q17-1,"")</f>
        <v>0</v>
      </c>
      <c r="T16" s="207">
        <f>IFERROR(Inv_SY!N17/Inv_SY!$Q17-1,"")</f>
        <v>-1.0451320740560543E-2</v>
      </c>
      <c r="U16" s="208">
        <f>IFERROR(Inv_SY!O17/Inv_SY!$Q17-1,"")</f>
        <v>-4.3489659175736106E-3</v>
      </c>
    </row>
    <row r="17" spans="1:21">
      <c r="A17" s="156">
        <f t="shared" si="5"/>
        <v>2026</v>
      </c>
      <c r="B17" s="129">
        <f t="shared" si="6"/>
        <v>2025</v>
      </c>
      <c r="C17" s="204" t="str">
        <f>TEXT(Table5[[#This Row],[Date]],"yyyy")</f>
        <v>2025</v>
      </c>
      <c r="D17" s="204" t="s">
        <v>224</v>
      </c>
      <c r="E17" s="204" t="s">
        <v>224</v>
      </c>
      <c r="F17" s="205" t="str">
        <f>TEXT(Table5[[#This Row],[Date]],"mmm-yy")</f>
        <v>Apr-25</v>
      </c>
      <c r="G17" s="204">
        <f t="shared" ref="G17" si="20">DAY(EOMONTH(F17,0))</f>
        <v>30</v>
      </c>
      <c r="H17" s="206">
        <f t="shared" si="4"/>
        <v>45760</v>
      </c>
      <c r="I17" s="204">
        <v>11.72</v>
      </c>
      <c r="J17" s="207">
        <f>IFERROR(Inv_SY!J18/Inv_SY!$P18-1,"")</f>
        <v>-2.3923782285706463E-2</v>
      </c>
      <c r="K17" s="207">
        <f>IFERROR(Inv_SY!K18/Inv_SY!$P18-1,"")</f>
        <v>-1.0508534257582802E-2</v>
      </c>
      <c r="L17" s="207">
        <f>IFERROR(Inv_SY!L18/Inv_SY!$P18-1,"")</f>
        <v>-1.743468146980609E-2</v>
      </c>
      <c r="M17" s="207">
        <f>IFERROR(Inv_SY!M18/Inv_SY!$P18-1,"")</f>
        <v>1.9989779541083497E-2</v>
      </c>
      <c r="N17" s="207">
        <f>IFERROR(Inv_SY!N18/Inv_SY!$P18-1,"")</f>
        <v>1.2324747945605674E-2</v>
      </c>
      <c r="O17" s="207">
        <f>IFERROR(Inv_SY!O18/Inv_SY!$P18-1,"")</f>
        <v>1.9552470526407184E-2</v>
      </c>
      <c r="P17" s="207">
        <f>IFERROR(Inv_SY!P18/Inv_SY!$P18-1,"")</f>
        <v>0</v>
      </c>
      <c r="Q17" s="207">
        <f>IFERROR(Inv_SY!Q18/Inv_SY!$P18-1,"")</f>
        <v>1.9989779541083497E-2</v>
      </c>
      <c r="R17" s="207">
        <f>IFERROR(Inv_SY!L18/Inv_SY!$Q18-1,"")</f>
        <v>-3.6691015695988316E-2</v>
      </c>
      <c r="S17" s="207">
        <f>IFERROR(Inv_SY!M18/Inv_SY!$Q18-1,"")</f>
        <v>0</v>
      </c>
      <c r="T17" s="207">
        <f>IFERROR(Inv_SY!N18/Inv_SY!$Q18-1,"")</f>
        <v>-7.5148121571634308E-3</v>
      </c>
      <c r="U17" s="208">
        <f>IFERROR(Inv_SY!O18/Inv_SY!$Q18-1,"")</f>
        <v>-4.2873862409986696E-4</v>
      </c>
    </row>
    <row r="18" spans="1:21">
      <c r="A18" s="156">
        <f t="shared" si="5"/>
        <v>2026</v>
      </c>
      <c r="B18" s="129">
        <f t="shared" si="6"/>
        <v>2025</v>
      </c>
      <c r="C18" s="204" t="str">
        <f>TEXT(Table5[[#This Row],[Date]],"yyyy")</f>
        <v>2025</v>
      </c>
      <c r="D18" s="204" t="s">
        <v>224</v>
      </c>
      <c r="E18" s="204" t="s">
        <v>224</v>
      </c>
      <c r="F18" s="205" t="str">
        <f>TEXT(Table5[[#This Row],[Date]],"mmm-yy")</f>
        <v>Apr-25</v>
      </c>
      <c r="G18" s="204">
        <f t="shared" ref="G18" si="21">DAY(EOMONTH(F18,0))</f>
        <v>30</v>
      </c>
      <c r="H18" s="206">
        <f t="shared" si="4"/>
        <v>45761</v>
      </c>
      <c r="I18" s="204">
        <v>11.72</v>
      </c>
      <c r="J18" s="207">
        <f>IFERROR(Inv_SY!J19/Inv_SY!$P19-1,"")</f>
        <v>-7.0811078609603895E-3</v>
      </c>
      <c r="K18" s="207">
        <f>IFERROR(Inv_SY!K19/Inv_SY!$P19-1,"")</f>
        <v>-1.1090860109567058E-2</v>
      </c>
      <c r="L18" s="207">
        <f>IFERROR(Inv_SY!L19/Inv_SY!$P19-1,"")</f>
        <v>-1.2152197594428982E-2</v>
      </c>
      <c r="M18" s="207">
        <f>IFERROR(Inv_SY!M19/Inv_SY!$P19-1,"")</f>
        <v>1.7974533554287575E-2</v>
      </c>
      <c r="N18" s="207">
        <f>IFERROR(Inv_SY!N19/Inv_SY!$P19-1,"")</f>
        <v>1.1680599017132032E-3</v>
      </c>
      <c r="O18" s="207">
        <f>IFERROR(Inv_SY!O19/Inv_SY!$P19-1,"")</f>
        <v>1.1181572108955873E-2</v>
      </c>
      <c r="P18" s="207">
        <f>IFERROR(Inv_SY!P19/Inv_SY!$P19-1,"")</f>
        <v>0</v>
      </c>
      <c r="Q18" s="207">
        <f>IFERROR(Inv_SY!Q19/Inv_SY!$P19-1,"")</f>
        <v>1.7974533554287575E-2</v>
      </c>
      <c r="R18" s="207">
        <f>IFERROR(Inv_SY!L19/Inv_SY!$Q19-1,"")</f>
        <v>-2.959477880407102E-2</v>
      </c>
      <c r="S18" s="207">
        <f>IFERROR(Inv_SY!M19/Inv_SY!$Q19-1,"")</f>
        <v>0</v>
      </c>
      <c r="T18" s="207">
        <f>IFERROR(Inv_SY!N19/Inv_SY!$Q19-1,"")</f>
        <v>-1.6509719151709956E-2</v>
      </c>
      <c r="U18" s="208">
        <f>IFERROR(Inv_SY!O19/Inv_SY!$Q19-1,"")</f>
        <v>-6.6730170759908836E-3</v>
      </c>
    </row>
    <row r="19" spans="1:21">
      <c r="A19" s="156">
        <f t="shared" si="5"/>
        <v>2026</v>
      </c>
      <c r="B19" s="129">
        <f t="shared" si="6"/>
        <v>2025</v>
      </c>
      <c r="C19" s="204" t="str">
        <f>TEXT(Table5[[#This Row],[Date]],"yyyy")</f>
        <v>2025</v>
      </c>
      <c r="D19" s="204" t="s">
        <v>224</v>
      </c>
      <c r="E19" s="204" t="s">
        <v>224</v>
      </c>
      <c r="F19" s="205" t="str">
        <f>TEXT(Table5[[#This Row],[Date]],"mmm-yy")</f>
        <v>Apr-25</v>
      </c>
      <c r="G19" s="204">
        <f t="shared" ref="G19" si="22">DAY(EOMONTH(F19,0))</f>
        <v>30</v>
      </c>
      <c r="H19" s="206">
        <f t="shared" si="4"/>
        <v>45762</v>
      </c>
      <c r="I19" s="204">
        <v>11.72</v>
      </c>
      <c r="J19" s="207">
        <f>IFERROR(Inv_SY!J20/Inv_SY!$P20-1,"")</f>
        <v>-9.4653500403911739E-3</v>
      </c>
      <c r="K19" s="207">
        <f>IFERROR(Inv_SY!K20/Inv_SY!$P20-1,"")</f>
        <v>-1.3954511403923564E-2</v>
      </c>
      <c r="L19" s="207">
        <f>IFERROR(Inv_SY!L20/Inv_SY!$P20-1,"")</f>
        <v>-1.722059864187675E-2</v>
      </c>
      <c r="M19" s="207">
        <f>IFERROR(Inv_SY!M20/Inv_SY!$P20-1,"")</f>
        <v>1.5123015210770419E-2</v>
      </c>
      <c r="N19" s="207">
        <f>IFERROR(Inv_SY!N20/Inv_SY!$P20-1,"")</f>
        <v>8.1747028513090569E-3</v>
      </c>
      <c r="O19" s="207">
        <f>IFERROR(Inv_SY!O20/Inv_SY!$P20-1,"")</f>
        <v>1.7342742024112567E-2</v>
      </c>
      <c r="P19" s="207">
        <f>IFERROR(Inv_SY!P20/Inv_SY!$P20-1,"")</f>
        <v>0</v>
      </c>
      <c r="Q19" s="207">
        <f>IFERROR(Inv_SY!Q20/Inv_SY!$P20-1,"")</f>
        <v>1.7342742024112567E-2</v>
      </c>
      <c r="R19" s="207">
        <f>IFERROR(Inv_SY!L20/Inv_SY!$Q20-1,"")</f>
        <v>-3.3974135990022303E-2</v>
      </c>
      <c r="S19" s="207">
        <f>IFERROR(Inv_SY!M20/Inv_SY!$Q20-1,"")</f>
        <v>-2.1818869115101114E-3</v>
      </c>
      <c r="T19" s="207">
        <f>IFERROR(Inv_SY!N20/Inv_SY!$Q20-1,"")</f>
        <v>-9.0117507051387102E-3</v>
      </c>
      <c r="U19" s="208">
        <f>IFERROR(Inv_SY!O20/Inv_SY!$Q20-1,"")</f>
        <v>0</v>
      </c>
    </row>
    <row r="20" spans="1:21">
      <c r="A20" s="156">
        <f t="shared" si="5"/>
        <v>2026</v>
      </c>
      <c r="B20" s="129">
        <f t="shared" si="6"/>
        <v>2025</v>
      </c>
      <c r="C20" s="204" t="str">
        <f>TEXT(Table5[[#This Row],[Date]],"yyyy")</f>
        <v>2025</v>
      </c>
      <c r="D20" s="204" t="s">
        <v>224</v>
      </c>
      <c r="E20" s="204" t="s">
        <v>224</v>
      </c>
      <c r="F20" s="205" t="str">
        <f>TEXT(Table5[[#This Row],[Date]],"mmm-yy")</f>
        <v>Apr-25</v>
      </c>
      <c r="G20" s="204">
        <f t="shared" ref="G20" si="23">DAY(EOMONTH(F20,0))</f>
        <v>30</v>
      </c>
      <c r="H20" s="206">
        <f t="shared" si="4"/>
        <v>45763</v>
      </c>
      <c r="I20" s="204">
        <v>11.72</v>
      </c>
      <c r="J20" s="207">
        <f>IFERROR(Inv_SY!J21/Inv_SY!$P21-1,"")</f>
        <v>-1.5832191347994407E-2</v>
      </c>
      <c r="K20" s="207">
        <f>IFERROR(Inv_SY!K21/Inv_SY!$P21-1,"")</f>
        <v>-1.9946324165381113E-2</v>
      </c>
      <c r="L20" s="207">
        <f>IFERROR(Inv_SY!L21/Inv_SY!$P21-1,"")</f>
        <v>-1.3232861081408975E-2</v>
      </c>
      <c r="M20" s="207">
        <f>IFERROR(Inv_SY!M21/Inv_SY!$P21-1,"")</f>
        <v>2.1116963657238808E-2</v>
      </c>
      <c r="N20" s="207">
        <f>IFERROR(Inv_SY!N21/Inv_SY!$P21-1,"")</f>
        <v>1.8668001030900827E-2</v>
      </c>
      <c r="O20" s="207">
        <f>IFERROR(Inv_SY!O21/Inv_SY!$P21-1,"")</f>
        <v>9.2264119066445271E-3</v>
      </c>
      <c r="P20" s="207">
        <f>IFERROR(Inv_SY!P21/Inv_SY!$P21-1,"")</f>
        <v>0</v>
      </c>
      <c r="Q20" s="207">
        <f>IFERROR(Inv_SY!Q21/Inv_SY!$P21-1,"")</f>
        <v>2.1116963657238808E-2</v>
      </c>
      <c r="R20" s="207">
        <f>IFERROR(Inv_SY!L21/Inv_SY!$Q21-1,"")</f>
        <v>-3.3639461453681463E-2</v>
      </c>
      <c r="S20" s="207">
        <f>IFERROR(Inv_SY!M21/Inv_SY!$Q21-1,"")</f>
        <v>0</v>
      </c>
      <c r="T20" s="207">
        <f>IFERROR(Inv_SY!N21/Inv_SY!$Q21-1,"")</f>
        <v>-2.3983174440339594E-3</v>
      </c>
      <c r="U20" s="208">
        <f>IFERROR(Inv_SY!O21/Inv_SY!$Q21-1,"")</f>
        <v>-1.1644652056319926E-2</v>
      </c>
    </row>
    <row r="21" spans="1:21">
      <c r="A21" s="156">
        <f t="shared" si="5"/>
        <v>2026</v>
      </c>
      <c r="B21" s="129">
        <f t="shared" si="6"/>
        <v>2025</v>
      </c>
      <c r="C21" s="204" t="str">
        <f>TEXT(Table5[[#This Row],[Date]],"yyyy")</f>
        <v>2025</v>
      </c>
      <c r="D21" s="204" t="s">
        <v>224</v>
      </c>
      <c r="E21" s="204" t="s">
        <v>224</v>
      </c>
      <c r="F21" s="205" t="str">
        <f>TEXT(Table5[[#This Row],[Date]],"mmm-yy")</f>
        <v>Apr-25</v>
      </c>
      <c r="G21" s="204">
        <f t="shared" ref="G21" si="24">DAY(EOMONTH(F21,0))</f>
        <v>30</v>
      </c>
      <c r="H21" s="206">
        <f t="shared" si="4"/>
        <v>45764</v>
      </c>
      <c r="I21" s="204">
        <v>11.72</v>
      </c>
      <c r="J21" s="207">
        <f>IFERROR(Inv_SY!J22/Inv_SY!$P22-1,"")</f>
        <v>-1.3449533712610373E-2</v>
      </c>
      <c r="K21" s="207">
        <f>IFERROR(Inv_SY!K22/Inv_SY!$P22-1,"")</f>
        <v>-1.9714840056687111E-2</v>
      </c>
      <c r="L21" s="207">
        <f>IFERROR(Inv_SY!L22/Inv_SY!$P22-1,"")</f>
        <v>-2.1701588333038258E-2</v>
      </c>
      <c r="M21" s="207">
        <f>IFERROR(Inv_SY!M22/Inv_SY!$P22-1,"")</f>
        <v>1.557736822127076E-2</v>
      </c>
      <c r="N21" s="207">
        <f>IFERROR(Inv_SY!N22/Inv_SY!$P22-1,"")</f>
        <v>2.4383179230315744E-2</v>
      </c>
      <c r="O21" s="207">
        <f>IFERROR(Inv_SY!O22/Inv_SY!$P22-1,"")</f>
        <v>1.490541465074835E-2</v>
      </c>
      <c r="P21" s="207">
        <f>IFERROR(Inv_SY!P22/Inv_SY!$P22-1,"")</f>
        <v>0</v>
      </c>
      <c r="Q21" s="207">
        <f>IFERROR(Inv_SY!Q22/Inv_SY!$P22-1,"")</f>
        <v>2.4383179230315744E-2</v>
      </c>
      <c r="R21" s="207">
        <f>IFERROR(Inv_SY!L22/Inv_SY!$Q22-1,"")</f>
        <v>-4.4987821449762877E-2</v>
      </c>
      <c r="S21" s="207">
        <f>IFERROR(Inv_SY!M22/Inv_SY!$Q22-1,"")</f>
        <v>-8.5962081256170109E-3</v>
      </c>
      <c r="T21" s="207">
        <f>IFERROR(Inv_SY!N22/Inv_SY!$Q22-1,"")</f>
        <v>0</v>
      </c>
      <c r="U21" s="208">
        <f>IFERROR(Inv_SY!O22/Inv_SY!$Q22-1,"")</f>
        <v>-9.2521673254031267E-3</v>
      </c>
    </row>
    <row r="22" spans="1:21">
      <c r="A22" s="156">
        <f t="shared" si="5"/>
        <v>2026</v>
      </c>
      <c r="B22" s="129">
        <f t="shared" si="6"/>
        <v>2025</v>
      </c>
      <c r="C22" s="204" t="str">
        <f>TEXT(Table5[[#This Row],[Date]],"yyyy")</f>
        <v>2025</v>
      </c>
      <c r="D22" s="204" t="s">
        <v>224</v>
      </c>
      <c r="E22" s="204" t="s">
        <v>224</v>
      </c>
      <c r="F22" s="205" t="str">
        <f>TEXT(Table5[[#This Row],[Date]],"mmm-yy")</f>
        <v>Apr-25</v>
      </c>
      <c r="G22" s="204">
        <f t="shared" ref="G22" si="25">DAY(EOMONTH(F22,0))</f>
        <v>30</v>
      </c>
      <c r="H22" s="206">
        <f t="shared" si="4"/>
        <v>45765</v>
      </c>
      <c r="I22" s="204">
        <v>11.72</v>
      </c>
      <c r="J22" s="207">
        <f>IFERROR(Inv_SY!J23/Inv_SY!$P23-1,"")</f>
        <v>-2.2905510778690963E-2</v>
      </c>
      <c r="K22" s="207">
        <f>IFERROR(Inv_SY!K23/Inv_SY!$P23-1,"")</f>
        <v>-2.3047707949856555E-2</v>
      </c>
      <c r="L22" s="207">
        <f>IFERROR(Inv_SY!L23/Inv_SY!$P23-1,"")</f>
        <v>-2.0764985233577837E-2</v>
      </c>
      <c r="M22" s="207">
        <f>IFERROR(Inv_SY!M23/Inv_SY!$P23-1,"")</f>
        <v>1.5318170862180569E-2</v>
      </c>
      <c r="N22" s="207">
        <f>IFERROR(Inv_SY!N23/Inv_SY!$P23-1,"")</f>
        <v>3.2961683856215229E-2</v>
      </c>
      <c r="O22" s="207">
        <f>IFERROR(Inv_SY!O23/Inv_SY!$P23-1,"")</f>
        <v>1.8438349243729446E-2</v>
      </c>
      <c r="P22" s="207">
        <f>IFERROR(Inv_SY!P23/Inv_SY!$P23-1,"")</f>
        <v>0</v>
      </c>
      <c r="Q22" s="207">
        <f>IFERROR(Inv_SY!Q23/Inv_SY!$P23-1,"")</f>
        <v>3.2961683856215229E-2</v>
      </c>
      <c r="R22" s="207">
        <f>IFERROR(Inv_SY!L23/Inv_SY!$Q23-1,"")</f>
        <v>-5.2012257501384496E-2</v>
      </c>
      <c r="S22" s="207">
        <f>IFERROR(Inv_SY!M23/Inv_SY!$Q23-1,"")</f>
        <v>-1.7080510603422083E-2</v>
      </c>
      <c r="T22" s="207">
        <f>IFERROR(Inv_SY!N23/Inv_SY!$Q23-1,"")</f>
        <v>0</v>
      </c>
      <c r="U22" s="208">
        <f>IFERROR(Inv_SY!O23/Inv_SY!$Q23-1,"")</f>
        <v>-1.4059896741056122E-2</v>
      </c>
    </row>
    <row r="23" spans="1:21">
      <c r="A23" s="156">
        <f t="shared" si="5"/>
        <v>2026</v>
      </c>
      <c r="B23" s="129">
        <f t="shared" si="6"/>
        <v>2025</v>
      </c>
      <c r="C23" s="204" t="str">
        <f>TEXT(Table5[[#This Row],[Date]],"yyyy")</f>
        <v>2025</v>
      </c>
      <c r="D23" s="204" t="s">
        <v>224</v>
      </c>
      <c r="E23" s="204" t="s">
        <v>224</v>
      </c>
      <c r="F23" s="205" t="str">
        <f>TEXT(Table5[[#This Row],[Date]],"mmm-yy")</f>
        <v>Apr-25</v>
      </c>
      <c r="G23" s="204">
        <f t="shared" ref="G23" si="26">DAY(EOMONTH(F23,0))</f>
        <v>30</v>
      </c>
      <c r="H23" s="206">
        <f t="shared" si="4"/>
        <v>45766</v>
      </c>
      <c r="I23" s="204">
        <v>11.72</v>
      </c>
      <c r="J23" s="207">
        <f>IFERROR(Inv_SY!J24/Inv_SY!$P24-1,"")</f>
        <v>-1.1652504846025424E-2</v>
      </c>
      <c r="K23" s="207">
        <f>IFERROR(Inv_SY!K24/Inv_SY!$P24-1,"")</f>
        <v>-1.3105271567783516E-2</v>
      </c>
      <c r="L23" s="207">
        <f>IFERROR(Inv_SY!L24/Inv_SY!$P24-1,"")</f>
        <v>-3.7623473254400741E-2</v>
      </c>
      <c r="M23" s="207">
        <f>IFERROR(Inv_SY!M24/Inv_SY!$P24-1,"")</f>
        <v>1.7935784855538595E-2</v>
      </c>
      <c r="N23" s="207">
        <f>IFERROR(Inv_SY!N24/Inv_SY!$P24-1,"")</f>
        <v>2.5087733345634522E-2</v>
      </c>
      <c r="O23" s="207">
        <f>IFERROR(Inv_SY!O24/Inv_SY!$P24-1,"")</f>
        <v>1.9357731467036787E-2</v>
      </c>
      <c r="P23" s="207">
        <f>IFERROR(Inv_SY!P24/Inv_SY!$P24-1,"")</f>
        <v>0</v>
      </c>
      <c r="Q23" s="207">
        <f>IFERROR(Inv_SY!Q24/Inv_SY!$P24-1,"")</f>
        <v>2.5087733345634522E-2</v>
      </c>
      <c r="R23" s="207">
        <f>IFERROR(Inv_SY!L24/Inv_SY!$Q24-1,"")</f>
        <v>-6.1176428670511096E-2</v>
      </c>
      <c r="S23" s="207">
        <f>IFERROR(Inv_SY!M24/Inv_SY!$Q24-1,"")</f>
        <v>-6.9769135435399088E-3</v>
      </c>
      <c r="T23" s="207">
        <f>IFERROR(Inv_SY!N24/Inv_SY!$Q24-1,"")</f>
        <v>0</v>
      </c>
      <c r="U23" s="208">
        <f>IFERROR(Inv_SY!O24/Inv_SY!$Q24-1,"")</f>
        <v>-5.5897672874266613E-3</v>
      </c>
    </row>
    <row r="24" spans="1:21">
      <c r="A24" s="156">
        <f t="shared" si="5"/>
        <v>2026</v>
      </c>
      <c r="B24" s="129">
        <f t="shared" si="6"/>
        <v>2025</v>
      </c>
      <c r="C24" s="204" t="str">
        <f>TEXT(Table5[[#This Row],[Date]],"yyyy")</f>
        <v>2025</v>
      </c>
      <c r="D24" s="204" t="s">
        <v>224</v>
      </c>
      <c r="E24" s="204" t="s">
        <v>224</v>
      </c>
      <c r="F24" s="205" t="str">
        <f>TEXT(Table5[[#This Row],[Date]],"mmm-yy")</f>
        <v>Apr-25</v>
      </c>
      <c r="G24" s="204">
        <f t="shared" ref="G24" si="27">DAY(EOMONTH(F24,0))</f>
        <v>30</v>
      </c>
      <c r="H24" s="206">
        <f t="shared" si="4"/>
        <v>45767</v>
      </c>
      <c r="I24" s="204">
        <v>11.72</v>
      </c>
      <c r="J24" s="207">
        <f>IFERROR(Inv_SY!J25/Inv_SY!$P25-1,"")</f>
        <v>-1.6623919981694324E-2</v>
      </c>
      <c r="K24" s="207">
        <f>IFERROR(Inv_SY!K25/Inv_SY!$P25-1,"")</f>
        <v>-2.3205067006513702E-2</v>
      </c>
      <c r="L24" s="207">
        <f>IFERROR(Inv_SY!L25/Inv_SY!$P25-1,"")</f>
        <v>-5.0366796301154371E-2</v>
      </c>
      <c r="M24" s="207">
        <f>IFERROR(Inv_SY!M25/Inv_SY!$P25-1,"")</f>
        <v>2.4435857799889327E-2</v>
      </c>
      <c r="N24" s="207">
        <f>IFERROR(Inv_SY!N25/Inv_SY!$P25-1,"")</f>
        <v>3.7977258170883044E-2</v>
      </c>
      <c r="O24" s="207">
        <f>IFERROR(Inv_SY!O25/Inv_SY!$P25-1,"")</f>
        <v>2.7782667318590359E-2</v>
      </c>
      <c r="P24" s="207">
        <f>IFERROR(Inv_SY!P25/Inv_SY!$P25-1,"")</f>
        <v>0</v>
      </c>
      <c r="Q24" s="207">
        <f>IFERROR(Inv_SY!Q25/Inv_SY!$P25-1,"")</f>
        <v>3.7977258170883044E-2</v>
      </c>
      <c r="R24" s="207">
        <f>IFERROR(Inv_SY!L25/Inv_SY!$Q25-1,"")</f>
        <v>-8.5111743804210938E-2</v>
      </c>
      <c r="S24" s="207">
        <f>IFERROR(Inv_SY!M25/Inv_SY!$Q25-1,"")</f>
        <v>-1.304595092464389E-2</v>
      </c>
      <c r="T24" s="207">
        <f>IFERROR(Inv_SY!N25/Inv_SY!$Q25-1,"")</f>
        <v>0</v>
      </c>
      <c r="U24" s="208">
        <f>IFERROR(Inv_SY!O25/Inv_SY!$Q25-1,"")</f>
        <v>-9.8215936544289173E-3</v>
      </c>
    </row>
    <row r="25" spans="1:21">
      <c r="A25" s="156">
        <f t="shared" si="5"/>
        <v>2026</v>
      </c>
      <c r="B25" s="129">
        <f t="shared" si="6"/>
        <v>2025</v>
      </c>
      <c r="C25" s="204" t="str">
        <f>TEXT(Table5[[#This Row],[Date]],"yyyy")</f>
        <v>2025</v>
      </c>
      <c r="D25" s="204" t="s">
        <v>224</v>
      </c>
      <c r="E25" s="204" t="s">
        <v>224</v>
      </c>
      <c r="F25" s="205" t="str">
        <f>TEXT(Table5[[#This Row],[Date]],"mmm-yy")</f>
        <v>Apr-25</v>
      </c>
      <c r="G25" s="204">
        <f t="shared" ref="G25" si="28">DAY(EOMONTH(F25,0))</f>
        <v>30</v>
      </c>
      <c r="H25" s="206">
        <f t="shared" si="4"/>
        <v>45768</v>
      </c>
      <c r="I25" s="204">
        <v>11.72</v>
      </c>
      <c r="J25" s="207">
        <f>IFERROR(Inv_SY!J26/Inv_SY!$P26-1,"")</f>
        <v>-1.6870303058539093E-2</v>
      </c>
      <c r="K25" s="207">
        <f>IFERROR(Inv_SY!K26/Inv_SY!$P26-1,"")</f>
        <v>-2.5673727034537186E-2</v>
      </c>
      <c r="L25" s="207">
        <f>IFERROR(Inv_SY!L26/Inv_SY!$P26-1,"")</f>
        <v>-4.1370169609660223E-2</v>
      </c>
      <c r="M25" s="207">
        <f>IFERROR(Inv_SY!M26/Inv_SY!$P26-1,"")</f>
        <v>2.3569260141830695E-2</v>
      </c>
      <c r="N25" s="207">
        <f>IFERROR(Inv_SY!N26/Inv_SY!$P26-1,"")</f>
        <v>3.2039395673984838E-2</v>
      </c>
      <c r="O25" s="207">
        <f>IFERROR(Inv_SY!O26/Inv_SY!$P26-1,"")</f>
        <v>2.8305543886921303E-2</v>
      </c>
      <c r="P25" s="207">
        <f>IFERROR(Inv_SY!P26/Inv_SY!$P26-1,"")</f>
        <v>0</v>
      </c>
      <c r="Q25" s="207">
        <f>IFERROR(Inv_SY!Q26/Inv_SY!$P26-1,"")</f>
        <v>3.2039395673984838E-2</v>
      </c>
      <c r="R25" s="207">
        <f>IFERROR(Inv_SY!L26/Inv_SY!$Q26-1,"")</f>
        <v>-7.1130584347222747E-2</v>
      </c>
      <c r="S25" s="207">
        <f>IFERROR(Inv_SY!M26/Inv_SY!$Q26-1,"")</f>
        <v>-8.2071823688695256E-3</v>
      </c>
      <c r="T25" s="207">
        <f>IFERROR(Inv_SY!N26/Inv_SY!$Q26-1,"")</f>
        <v>0</v>
      </c>
      <c r="U25" s="208">
        <f>IFERROR(Inv_SY!O26/Inv_SY!$Q26-1,"")</f>
        <v>-3.617935325642585E-3</v>
      </c>
    </row>
    <row r="26" spans="1:21">
      <c r="A26" s="156">
        <f t="shared" si="5"/>
        <v>2026</v>
      </c>
      <c r="B26" s="129">
        <f t="shared" si="6"/>
        <v>2025</v>
      </c>
      <c r="C26" s="204" t="str">
        <f>TEXT(Table5[[#This Row],[Date]],"yyyy")</f>
        <v>2025</v>
      </c>
      <c r="D26" s="204" t="s">
        <v>224</v>
      </c>
      <c r="E26" s="204" t="s">
        <v>224</v>
      </c>
      <c r="F26" s="205" t="str">
        <f>TEXT(Table5[[#This Row],[Date]],"mmm-yy")</f>
        <v>Apr-25</v>
      </c>
      <c r="G26" s="204">
        <f t="shared" ref="G26" si="29">DAY(EOMONTH(F26,0))</f>
        <v>30</v>
      </c>
      <c r="H26" s="206">
        <f t="shared" si="4"/>
        <v>45769</v>
      </c>
      <c r="I26" s="204">
        <v>11.72</v>
      </c>
      <c r="J26" s="207">
        <f>IFERROR(Inv_SY!J27/Inv_SY!$P27-1,"")</f>
        <v>-2.0064967058474603E-2</v>
      </c>
      <c r="K26" s="207">
        <f>IFERROR(Inv_SY!K27/Inv_SY!$P27-1,"")</f>
        <v>2.9132261799242887E-3</v>
      </c>
      <c r="L26" s="207">
        <f>IFERROR(Inv_SY!L27/Inv_SY!$P27-1,"")</f>
        <v>-2.3501021178236048E-3</v>
      </c>
      <c r="M26" s="207">
        <f>IFERROR(Inv_SY!M27/Inv_SY!$P27-1,"")</f>
        <v>1.9952497056820118E-2</v>
      </c>
      <c r="N26" s="207">
        <f>IFERROR(Inv_SY!N27/Inv_SY!$P27-1,"")</f>
        <v>7.0172214607928662E-3</v>
      </c>
      <c r="O26" s="207">
        <f>IFERROR(Inv_SY!O27/Inv_SY!$P27-1,"")</f>
        <v>-7.4678755212393977E-3</v>
      </c>
      <c r="P26" s="207">
        <f>IFERROR(Inv_SY!P27/Inv_SY!$P27-1,"")</f>
        <v>0</v>
      </c>
      <c r="Q26" s="207">
        <f>IFERROR(Inv_SY!Q27/Inv_SY!$P27-1,"")</f>
        <v>1.9952497056820118E-2</v>
      </c>
      <c r="R26" s="207">
        <f>IFERROR(Inv_SY!L27/Inv_SY!$Q27-1,"")</f>
        <v>-2.1866311655689974E-2</v>
      </c>
      <c r="S26" s="207">
        <f>IFERROR(Inv_SY!M27/Inv_SY!$Q27-1,"")</f>
        <v>0</v>
      </c>
      <c r="T26" s="207">
        <f>IFERROR(Inv_SY!N27/Inv_SY!$Q27-1,"")</f>
        <v>-1.2682233371998475E-2</v>
      </c>
      <c r="U26" s="208">
        <f>IFERROR(Inv_SY!O27/Inv_SY!$Q27-1,"")</f>
        <v>-2.6883970240951238E-2</v>
      </c>
    </row>
    <row r="27" spans="1:21">
      <c r="A27" s="156">
        <f t="shared" si="5"/>
        <v>2026</v>
      </c>
      <c r="B27" s="129">
        <f t="shared" si="6"/>
        <v>2025</v>
      </c>
      <c r="C27" s="204" t="str">
        <f>TEXT(Table5[[#This Row],[Date]],"yyyy")</f>
        <v>2025</v>
      </c>
      <c r="D27" s="204" t="s">
        <v>224</v>
      </c>
      <c r="E27" s="204" t="s">
        <v>224</v>
      </c>
      <c r="F27" s="205" t="str">
        <f>TEXT(Table5[[#This Row],[Date]],"mmm-yy")</f>
        <v>Apr-25</v>
      </c>
      <c r="G27" s="204">
        <f t="shared" ref="G27" si="30">DAY(EOMONTH(F27,0))</f>
        <v>30</v>
      </c>
      <c r="H27" s="206">
        <f t="shared" si="4"/>
        <v>45770</v>
      </c>
      <c r="I27" s="204">
        <v>11.72</v>
      </c>
      <c r="J27" s="207">
        <f>IFERROR(Inv_SY!J28/Inv_SY!$P28-1,"")</f>
        <v>-1.0176126305771804E-2</v>
      </c>
      <c r="K27" s="207">
        <f>IFERROR(Inv_SY!K28/Inv_SY!$P28-1,"")</f>
        <v>-3.0098945292786561E-2</v>
      </c>
      <c r="L27" s="207">
        <f>IFERROR(Inv_SY!L28/Inv_SY!$P28-1,"")</f>
        <v>-4.1986446910386999E-2</v>
      </c>
      <c r="M27" s="207">
        <f>IFERROR(Inv_SY!M28/Inv_SY!$P28-1,"")</f>
        <v>1.7556466964562256E-2</v>
      </c>
      <c r="N27" s="207">
        <f>IFERROR(Inv_SY!N28/Inv_SY!$P28-1,"")</f>
        <v>2.9621953153916358E-2</v>
      </c>
      <c r="O27" s="207">
        <f>IFERROR(Inv_SY!O28/Inv_SY!$P28-1,"")</f>
        <v>3.5083098390466416E-2</v>
      </c>
      <c r="P27" s="207">
        <f>IFERROR(Inv_SY!P28/Inv_SY!$P28-1,"")</f>
        <v>0</v>
      </c>
      <c r="Q27" s="207">
        <f>IFERROR(Inv_SY!Q28/Inv_SY!$P28-1,"")</f>
        <v>3.5083098390466416E-2</v>
      </c>
      <c r="R27" s="207">
        <f>IFERROR(Inv_SY!L28/Inv_SY!$Q28-1,"")</f>
        <v>-7.4457350738984185E-2</v>
      </c>
      <c r="S27" s="207">
        <f>IFERROR(Inv_SY!M28/Inv_SY!$Q28-1,"")</f>
        <v>-1.6932583918293775E-2</v>
      </c>
      <c r="T27" s="207">
        <f>IFERROR(Inv_SY!N28/Inv_SY!$Q28-1,"")</f>
        <v>-5.2760452228831634E-3</v>
      </c>
      <c r="U27" s="208">
        <f>IFERROR(Inv_SY!O28/Inv_SY!$Q28-1,"")</f>
        <v>0</v>
      </c>
    </row>
    <row r="28" spans="1:21">
      <c r="A28" s="156">
        <f t="shared" si="5"/>
        <v>2026</v>
      </c>
      <c r="B28" s="129">
        <f t="shared" si="6"/>
        <v>2025</v>
      </c>
      <c r="C28" s="204" t="str">
        <f>TEXT(Table5[[#This Row],[Date]],"yyyy")</f>
        <v>2025</v>
      </c>
      <c r="D28" s="204" t="s">
        <v>224</v>
      </c>
      <c r="E28" s="204" t="s">
        <v>224</v>
      </c>
      <c r="F28" s="205" t="str">
        <f>TEXT(Table5[[#This Row],[Date]],"mmm-yy")</f>
        <v>Apr-25</v>
      </c>
      <c r="G28" s="204">
        <f t="shared" ref="G28" si="31">DAY(EOMONTH(F28,0))</f>
        <v>30</v>
      </c>
      <c r="H28" s="206">
        <f t="shared" si="4"/>
        <v>45771</v>
      </c>
      <c r="I28" s="204">
        <v>11.72</v>
      </c>
      <c r="J28" s="207">
        <f>IFERROR(Inv_SY!J29/Inv_SY!$P29-1,"")</f>
        <v>-1.8999389472371897E-2</v>
      </c>
      <c r="K28" s="207">
        <f>IFERROR(Inv_SY!K29/Inv_SY!$P29-1,"")</f>
        <v>1.1139374251327716E-3</v>
      </c>
      <c r="L28" s="207">
        <f>IFERROR(Inv_SY!L29/Inv_SY!$P29-1,"")</f>
        <v>-3.8751094127641328E-2</v>
      </c>
      <c r="M28" s="207">
        <f>IFERROR(Inv_SY!M29/Inv_SY!$P29-1,"")</f>
        <v>1.7144397221817487E-2</v>
      </c>
      <c r="N28" s="207">
        <f>IFERROR(Inv_SY!N29/Inv_SY!$P29-1,"")</f>
        <v>1.950648105452446E-2</v>
      </c>
      <c r="O28" s="207">
        <f>IFERROR(Inv_SY!O29/Inv_SY!$P29-1,"")</f>
        <v>1.9985667898538617E-2</v>
      </c>
      <c r="P28" s="207">
        <f>IFERROR(Inv_SY!P29/Inv_SY!$P29-1,"")</f>
        <v>0</v>
      </c>
      <c r="Q28" s="207">
        <f>IFERROR(Inv_SY!Q29/Inv_SY!$P29-1,"")</f>
        <v>1.9985667898538617E-2</v>
      </c>
      <c r="R28" s="207">
        <f>IFERROR(Inv_SY!L29/Inv_SY!$Q29-1,"")</f>
        <v>-5.7585869953638236E-2</v>
      </c>
      <c r="S28" s="207">
        <f>IFERROR(Inv_SY!M29/Inv_SY!$Q29-1,"")</f>
        <v>-2.7855986276503764E-3</v>
      </c>
      <c r="T28" s="207">
        <f>IFERROR(Inv_SY!N29/Inv_SY!$Q29-1,"")</f>
        <v>-4.6979762470733544E-4</v>
      </c>
      <c r="U28" s="208">
        <f>IFERROR(Inv_SY!O29/Inv_SY!$Q29-1,"")</f>
        <v>0</v>
      </c>
    </row>
    <row r="29" spans="1:21">
      <c r="A29" s="156">
        <f t="shared" si="5"/>
        <v>2026</v>
      </c>
      <c r="B29" s="129">
        <f t="shared" si="6"/>
        <v>2025</v>
      </c>
      <c r="C29" s="204" t="str">
        <f>TEXT(Table5[[#This Row],[Date]],"yyyy")</f>
        <v>2025</v>
      </c>
      <c r="D29" s="204" t="s">
        <v>224</v>
      </c>
      <c r="E29" s="204" t="s">
        <v>224</v>
      </c>
      <c r="F29" s="205" t="str">
        <f>TEXT(Table5[[#This Row],[Date]],"mmm-yy")</f>
        <v>Apr-25</v>
      </c>
      <c r="G29" s="204">
        <f t="shared" ref="G29" si="32">DAY(EOMONTH(F29,0))</f>
        <v>30</v>
      </c>
      <c r="H29" s="206">
        <f t="shared" si="4"/>
        <v>45772</v>
      </c>
      <c r="I29" s="204">
        <v>11.72</v>
      </c>
      <c r="J29" s="207">
        <f>IFERROR(Inv_SY!J30/Inv_SY!$P30-1,"")</f>
        <v>-1.89811257880933E-2</v>
      </c>
      <c r="K29" s="207">
        <f>IFERROR(Inv_SY!K30/Inv_SY!$P30-1,"")</f>
        <v>-4.2796568153967707E-3</v>
      </c>
      <c r="L29" s="207">
        <f>IFERROR(Inv_SY!L30/Inv_SY!$P30-1,"")</f>
        <v>-4.4249872761061182E-2</v>
      </c>
      <c r="M29" s="207">
        <f>IFERROR(Inv_SY!M30/Inv_SY!$P30-1,"")</f>
        <v>1.7621054617298793E-2</v>
      </c>
      <c r="N29" s="207">
        <f>IFERROR(Inv_SY!N30/Inv_SY!$P30-1,"")</f>
        <v>2.8606341474344266E-2</v>
      </c>
      <c r="O29" s="207">
        <f>IFERROR(Inv_SY!O30/Inv_SY!$P30-1,"")</f>
        <v>2.1283259272907529E-2</v>
      </c>
      <c r="P29" s="207">
        <f>IFERROR(Inv_SY!P30/Inv_SY!$P30-1,"")</f>
        <v>0</v>
      </c>
      <c r="Q29" s="207">
        <f>IFERROR(Inv_SY!Q30/Inv_SY!$P30-1,"")</f>
        <v>2.8606341474344266E-2</v>
      </c>
      <c r="R29" s="207">
        <f>IFERROR(Inv_SY!L30/Inv_SY!$Q30-1,"")</f>
        <v>-7.0830026315974015E-2</v>
      </c>
      <c r="S29" s="207">
        <f>IFERROR(Inv_SY!M30/Inv_SY!$Q30-1,"")</f>
        <v>-1.0679777495149256E-2</v>
      </c>
      <c r="T29" s="207">
        <f>IFERROR(Inv_SY!N30/Inv_SY!$Q30-1,"")</f>
        <v>0</v>
      </c>
      <c r="U29" s="208">
        <f>IFERROR(Inv_SY!O30/Inv_SY!$Q30-1,"")</f>
        <v>-7.1194215961573049E-3</v>
      </c>
    </row>
    <row r="30" spans="1:21">
      <c r="A30" s="156">
        <f t="shared" si="5"/>
        <v>2026</v>
      </c>
      <c r="B30" s="129">
        <f t="shared" si="6"/>
        <v>2025</v>
      </c>
      <c r="C30" s="204" t="str">
        <f>TEXT(Table5[[#This Row],[Date]],"yyyy")</f>
        <v>2025</v>
      </c>
      <c r="D30" s="204" t="s">
        <v>224</v>
      </c>
      <c r="E30" s="204" t="s">
        <v>224</v>
      </c>
      <c r="F30" s="205" t="str">
        <f>TEXT(Table5[[#This Row],[Date]],"mmm-yy")</f>
        <v>Apr-25</v>
      </c>
      <c r="G30" s="204">
        <f t="shared" ref="G30" si="33">DAY(EOMONTH(F30,0))</f>
        <v>30</v>
      </c>
      <c r="H30" s="206">
        <f t="shared" si="4"/>
        <v>45773</v>
      </c>
      <c r="I30" s="204">
        <v>11.72</v>
      </c>
      <c r="J30" s="207">
        <f>IFERROR(Inv_SY!J31/Inv_SY!$P31-1,"")</f>
        <v>-7.263873692238354E-3</v>
      </c>
      <c r="K30" s="207">
        <f>IFERROR(Inv_SY!K31/Inv_SY!$P31-1,"")</f>
        <v>-1.7379890314690782E-2</v>
      </c>
      <c r="L30" s="207">
        <f>IFERROR(Inv_SY!L31/Inv_SY!$P31-1,"")</f>
        <v>-6.2472850958525172E-2</v>
      </c>
      <c r="M30" s="207">
        <f>IFERROR(Inv_SY!M31/Inv_SY!$P31-1,"")</f>
        <v>3.2254363515410223E-2</v>
      </c>
      <c r="N30" s="207">
        <f>IFERROR(Inv_SY!N31/Inv_SY!$P31-1,"")</f>
        <v>1.8907475838354948E-2</v>
      </c>
      <c r="O30" s="207">
        <f>IFERROR(Inv_SY!O31/Inv_SY!$P31-1,"")</f>
        <v>3.595477561168825E-2</v>
      </c>
      <c r="P30" s="207">
        <f>IFERROR(Inv_SY!P31/Inv_SY!$P31-1,"")</f>
        <v>0</v>
      </c>
      <c r="Q30" s="207">
        <f>IFERROR(Inv_SY!Q31/Inv_SY!$P31-1,"")</f>
        <v>3.595477561168825E-2</v>
      </c>
      <c r="R30" s="207">
        <f>IFERROR(Inv_SY!L31/Inv_SY!$Q31-1,"")</f>
        <v>-9.5011509080689338E-2</v>
      </c>
      <c r="S30" s="207">
        <f>IFERROR(Inv_SY!M31/Inv_SY!$Q31-1,"")</f>
        <v>-3.5719822750884811E-3</v>
      </c>
      <c r="T30" s="207">
        <f>IFERROR(Inv_SY!N31/Inv_SY!$Q31-1,"")</f>
        <v>-1.6455640897323542E-2</v>
      </c>
      <c r="U30" s="208">
        <f>IFERROR(Inv_SY!O31/Inv_SY!$Q31-1,"")</f>
        <v>0</v>
      </c>
    </row>
    <row r="31" spans="1:21">
      <c r="A31" s="156">
        <f t="shared" si="5"/>
        <v>2026</v>
      </c>
      <c r="B31" s="129">
        <f t="shared" si="6"/>
        <v>2025</v>
      </c>
      <c r="C31" s="204" t="str">
        <f>TEXT(Table5[[#This Row],[Date]],"yyyy")</f>
        <v>2025</v>
      </c>
      <c r="D31" s="204" t="s">
        <v>224</v>
      </c>
      <c r="E31" s="204" t="s">
        <v>224</v>
      </c>
      <c r="F31" s="205" t="str">
        <f>TEXT(Table5[[#This Row],[Date]],"mmm-yy")</f>
        <v>Apr-25</v>
      </c>
      <c r="G31" s="204">
        <f t="shared" ref="G31" si="34">DAY(EOMONTH(F31,0))</f>
        <v>30</v>
      </c>
      <c r="H31" s="206">
        <f t="shared" si="4"/>
        <v>45774</v>
      </c>
      <c r="I31" s="204">
        <v>11.72</v>
      </c>
      <c r="J31" s="207">
        <f>IFERROR(Inv_SY!J32/Inv_SY!$P32-1,"")</f>
        <v>2.668349707630302E-3</v>
      </c>
      <c r="K31" s="207">
        <f>IFERROR(Inv_SY!K32/Inv_SY!$P32-1,"")</f>
        <v>-3.5271545014153638E-2</v>
      </c>
      <c r="L31" s="207">
        <f>IFERROR(Inv_SY!L32/Inv_SY!$P32-1,"")</f>
        <v>-4.7876639258853437E-2</v>
      </c>
      <c r="M31" s="207">
        <f>IFERROR(Inv_SY!M32/Inv_SY!$P32-1,"")</f>
        <v>1.9201462542478787E-2</v>
      </c>
      <c r="N31" s="207">
        <f>IFERROR(Inv_SY!N32/Inv_SY!$P32-1,"")</f>
        <v>2.9559366619041683E-2</v>
      </c>
      <c r="O31" s="207">
        <f>IFERROR(Inv_SY!O32/Inv_SY!$P32-1,"")</f>
        <v>3.1719005403856748E-2</v>
      </c>
      <c r="P31" s="207">
        <f>IFERROR(Inv_SY!P32/Inv_SY!$P32-1,"")</f>
        <v>0</v>
      </c>
      <c r="Q31" s="207">
        <f>IFERROR(Inv_SY!Q32/Inv_SY!$P32-1,"")</f>
        <v>3.1719005403856748E-2</v>
      </c>
      <c r="R31" s="207">
        <f>IFERROR(Inv_SY!L32/Inv_SY!$Q32-1,"")</f>
        <v>-7.7148568792287819E-2</v>
      </c>
      <c r="S31" s="207">
        <f>IFERROR(Inv_SY!M32/Inv_SY!$Q32-1,"")</f>
        <v>-1.2132705509750874E-2</v>
      </c>
      <c r="T31" s="207">
        <f>IFERROR(Inv_SY!N32/Inv_SY!$Q32-1,"")</f>
        <v>-2.0932431926750095E-3</v>
      </c>
      <c r="U31" s="208">
        <f>IFERROR(Inv_SY!O32/Inv_SY!$Q32-1,"")</f>
        <v>0</v>
      </c>
    </row>
    <row r="32" spans="1:21">
      <c r="A32" s="156">
        <f t="shared" si="5"/>
        <v>2026</v>
      </c>
      <c r="B32" s="129">
        <f t="shared" si="6"/>
        <v>2025</v>
      </c>
      <c r="C32" s="204" t="str">
        <f>TEXT(Table5[[#This Row],[Date]],"yyyy")</f>
        <v>2025</v>
      </c>
      <c r="D32" s="204" t="s">
        <v>224</v>
      </c>
      <c r="E32" s="204" t="s">
        <v>224</v>
      </c>
      <c r="F32" s="205" t="str">
        <f>TEXT(Table5[[#This Row],[Date]],"mmm-yy")</f>
        <v>Apr-25</v>
      </c>
      <c r="G32" s="204">
        <f t="shared" ref="G32" si="35">DAY(EOMONTH(F32,0))</f>
        <v>30</v>
      </c>
      <c r="H32" s="206">
        <f t="shared" si="4"/>
        <v>45775</v>
      </c>
      <c r="I32" s="204">
        <v>11.72</v>
      </c>
      <c r="J32" s="207">
        <f>IFERROR(Inv_SY!J33/Inv_SY!$P33-1,"")</f>
        <v>-1.0195244525090685E-2</v>
      </c>
      <c r="K32" s="207">
        <f>IFERROR(Inv_SY!K33/Inv_SY!$P33-1,"")</f>
        <v>-1.6370119580902731E-2</v>
      </c>
      <c r="L32" s="207">
        <f>IFERROR(Inv_SY!L33/Inv_SY!$P33-1,"")</f>
        <v>-6.6761611300259038E-2</v>
      </c>
      <c r="M32" s="207">
        <f>IFERROR(Inv_SY!M33/Inv_SY!$P33-1,"")</f>
        <v>3.6191928472670387E-2</v>
      </c>
      <c r="N32" s="207">
        <f>IFERROR(Inv_SY!N33/Inv_SY!$P33-1,"")</f>
        <v>2.3811416614816894E-2</v>
      </c>
      <c r="O32" s="207">
        <f>IFERROR(Inv_SY!O33/Inv_SY!$P33-1,"")</f>
        <v>3.3323630318765174E-2</v>
      </c>
      <c r="P32" s="207">
        <f>IFERROR(Inv_SY!P33/Inv_SY!$P33-1,"")</f>
        <v>0</v>
      </c>
      <c r="Q32" s="207">
        <f>IFERROR(Inv_SY!Q33/Inv_SY!$P33-1,"")</f>
        <v>3.6191928472670387E-2</v>
      </c>
      <c r="R32" s="207">
        <f>IFERROR(Inv_SY!L33/Inv_SY!$Q33-1,"")</f>
        <v>-9.9357596738551268E-2</v>
      </c>
      <c r="S32" s="207">
        <f>IFERROR(Inv_SY!M33/Inv_SY!$Q33-1,"")</f>
        <v>0</v>
      </c>
      <c r="T32" s="207">
        <f>IFERROR(Inv_SY!N33/Inv_SY!$Q33-1,"")</f>
        <v>-1.1948087528632079E-2</v>
      </c>
      <c r="U32" s="208">
        <f>IFERROR(Inv_SY!O33/Inv_SY!$Q33-1,"")</f>
        <v>-2.7681147431181108E-3</v>
      </c>
    </row>
    <row r="33" spans="1:21">
      <c r="A33" s="156">
        <f t="shared" si="5"/>
        <v>2026</v>
      </c>
      <c r="B33" s="129">
        <f t="shared" si="6"/>
        <v>2025</v>
      </c>
      <c r="C33" s="204" t="str">
        <f>TEXT(Table5[[#This Row],[Date]],"yyyy")</f>
        <v>2025</v>
      </c>
      <c r="D33" s="204" t="s">
        <v>224</v>
      </c>
      <c r="E33" s="204" t="s">
        <v>224</v>
      </c>
      <c r="F33" s="205" t="str">
        <f>TEXT(Table5[[#This Row],[Date]],"mmm-yy")</f>
        <v>Apr-25</v>
      </c>
      <c r="G33" s="204">
        <f t="shared" ref="G33" si="36">DAY(EOMONTH(F33,0))</f>
        <v>30</v>
      </c>
      <c r="H33" s="206">
        <f t="shared" si="4"/>
        <v>45776</v>
      </c>
      <c r="I33" s="204">
        <v>11.72</v>
      </c>
      <c r="J33" s="207">
        <f>IFERROR(Inv_SY!J34/Inv_SY!$P34-1,"")</f>
        <v>-1.1579517888027135E-2</v>
      </c>
      <c r="K33" s="207">
        <f>IFERROR(Inv_SY!K34/Inv_SY!$P34-1,"")</f>
        <v>-2.1376270159421895E-2</v>
      </c>
      <c r="L33" s="207">
        <f>IFERROR(Inv_SY!L34/Inv_SY!$P34-1,"")</f>
        <v>-6.0354547051135077E-2</v>
      </c>
      <c r="M33" s="207">
        <f>IFERROR(Inv_SY!M34/Inv_SY!$P34-1,"")</f>
        <v>3.5527558020639782E-2</v>
      </c>
      <c r="N33" s="207">
        <f>IFERROR(Inv_SY!N34/Inv_SY!$P34-1,"")</f>
        <v>2.2154367598792302E-2</v>
      </c>
      <c r="O33" s="207">
        <f>IFERROR(Inv_SY!O34/Inv_SY!$P34-1,"")</f>
        <v>3.5628409479151912E-2</v>
      </c>
      <c r="P33" s="207">
        <f>IFERROR(Inv_SY!P34/Inv_SY!$P34-1,"")</f>
        <v>0</v>
      </c>
      <c r="Q33" s="207">
        <f>IFERROR(Inv_SY!Q34/Inv_SY!$P34-1,"")</f>
        <v>3.5628409479151912E-2</v>
      </c>
      <c r="R33" s="207">
        <f>IFERROR(Inv_SY!L34/Inv_SY!$Q34-1,"")</f>
        <v>-9.2680884042723122E-2</v>
      </c>
      <c r="S33" s="207">
        <f>IFERROR(Inv_SY!M34/Inv_SY!$Q34-1,"")</f>
        <v>-9.7381896430381865E-5</v>
      </c>
      <c r="T33" s="207">
        <f>IFERROR(Inv_SY!N34/Inv_SY!$Q34-1,"")</f>
        <v>-1.3010498511851543E-2</v>
      </c>
      <c r="U33" s="208">
        <f>IFERROR(Inv_SY!O34/Inv_SY!$Q34-1,"")</f>
        <v>0</v>
      </c>
    </row>
    <row r="34" spans="1:21">
      <c r="A34" s="156">
        <f t="shared" si="5"/>
        <v>2026</v>
      </c>
      <c r="B34" s="129">
        <f t="shared" si="6"/>
        <v>2025</v>
      </c>
      <c r="C34" s="204" t="str">
        <f>TEXT(Table5[[#This Row],[Date]],"yyyy")</f>
        <v>2025</v>
      </c>
      <c r="D34" s="204" t="s">
        <v>224</v>
      </c>
      <c r="E34" s="204" t="s">
        <v>224</v>
      </c>
      <c r="F34" s="205" t="str">
        <f>TEXT(Table5[[#This Row],[Date]],"mmm-yy")</f>
        <v>Apr-25</v>
      </c>
      <c r="G34" s="204">
        <f t="shared" ref="G34" si="37">DAY(EOMONTH(F34,0))</f>
        <v>30</v>
      </c>
      <c r="H34" s="206">
        <f t="shared" si="4"/>
        <v>45777</v>
      </c>
      <c r="I34" s="204">
        <v>11.72</v>
      </c>
      <c r="J34" s="207">
        <f>IFERROR(Inv_SY!J35/Inv_SY!$P35-1,"")</f>
        <v>-1.0667384172171834E-2</v>
      </c>
      <c r="K34" s="207">
        <f>IFERROR(Inv_SY!K35/Inv_SY!$P35-1,"")</f>
        <v>-2.2468467738438358E-2</v>
      </c>
      <c r="L34" s="207">
        <f>IFERROR(Inv_SY!L35/Inv_SY!$P35-1,"")</f>
        <v>-7.139545153615412E-2</v>
      </c>
      <c r="M34" s="207">
        <f>IFERROR(Inv_SY!M35/Inv_SY!$P35-1,"")</f>
        <v>4.2468254266050387E-2</v>
      </c>
      <c r="N34" s="207">
        <f>IFERROR(Inv_SY!N35/Inv_SY!$P35-1,"")</f>
        <v>2.1439072505662571E-2</v>
      </c>
      <c r="O34" s="207">
        <f>IFERROR(Inv_SY!O35/Inv_SY!$P35-1,"")</f>
        <v>4.0623976675051354E-2</v>
      </c>
      <c r="P34" s="207">
        <f>IFERROR(Inv_SY!P35/Inv_SY!$P35-1,"")</f>
        <v>0</v>
      </c>
      <c r="Q34" s="207">
        <f>IFERROR(Inv_SY!Q35/Inv_SY!$P35-1,"")</f>
        <v>4.2468254266050387E-2</v>
      </c>
      <c r="R34" s="207">
        <f>IFERROR(Inv_SY!L35/Inv_SY!$Q35-1,"")</f>
        <v>-0.10922510621905723</v>
      </c>
      <c r="S34" s="207">
        <f>IFERROR(Inv_SY!M35/Inv_SY!$Q35-1,"")</f>
        <v>0</v>
      </c>
      <c r="T34" s="207">
        <f>IFERROR(Inv_SY!N35/Inv_SY!$Q35-1,"")</f>
        <v>-2.0172491271874149E-2</v>
      </c>
      <c r="U34" s="208">
        <f>IFERROR(Inv_SY!O35/Inv_SY!$Q35-1,"")</f>
        <v>-1.769145087585744E-3</v>
      </c>
    </row>
    <row r="35" spans="1:21">
      <c r="A35" s="156">
        <f t="shared" si="5"/>
        <v>2026</v>
      </c>
      <c r="B35" s="129">
        <f t="shared" si="6"/>
        <v>2025</v>
      </c>
      <c r="C35" s="204" t="str">
        <f>TEXT(Table5[[#This Row],[Date]],"yyyy")</f>
        <v>2025</v>
      </c>
      <c r="D35" s="204" t="s">
        <v>224</v>
      </c>
      <c r="E35" s="204" t="s">
        <v>224</v>
      </c>
      <c r="F35" s="205" t="str">
        <f>TEXT(Table5[[#This Row],[Date]],"mmm-yy")</f>
        <v>May-25</v>
      </c>
      <c r="G35" s="204">
        <f t="shared" ref="G35" si="38">DAY(EOMONTH(F35,0))</f>
        <v>31</v>
      </c>
      <c r="H35" s="206">
        <f t="shared" si="4"/>
        <v>45778</v>
      </c>
      <c r="I35" s="204">
        <v>11.72</v>
      </c>
      <c r="J35" s="207">
        <f>IFERROR(Inv_SY!J36/Inv_SY!$P36-1,"")</f>
        <v>-2.1414614713005653E-2</v>
      </c>
      <c r="K35" s="207">
        <f>IFERROR(Inv_SY!K36/Inv_SY!$P36-1,"")</f>
        <v>-1.8210432543469879E-2</v>
      </c>
      <c r="L35" s="207">
        <f>IFERROR(Inv_SY!L36/Inv_SY!$P36-1,"")</f>
        <v>-4.5649274864925649E-2</v>
      </c>
      <c r="M35" s="207">
        <f>IFERROR(Inv_SY!M36/Inv_SY!$P36-1,"")</f>
        <v>4.2624464721029875E-2</v>
      </c>
      <c r="N35" s="207">
        <f>IFERROR(Inv_SY!N36/Inv_SY!$P36-1,"")</f>
        <v>1.4648884383312577E-2</v>
      </c>
      <c r="O35" s="207">
        <f>IFERROR(Inv_SY!O36/Inv_SY!$P36-1,"")</f>
        <v>2.8000973017058284E-2</v>
      </c>
      <c r="P35" s="207">
        <f>IFERROR(Inv_SY!P36/Inv_SY!$P36-1,"")</f>
        <v>0</v>
      </c>
      <c r="Q35" s="207">
        <f>IFERROR(Inv_SY!Q36/Inv_SY!$P36-1,"")</f>
        <v>4.2624464721029875E-2</v>
      </c>
      <c r="R35" s="207">
        <f>IFERROR(Inv_SY!L36/Inv_SY!$Q36-1,"")</f>
        <v>-8.4664941762683799E-2</v>
      </c>
      <c r="S35" s="207">
        <f>IFERROR(Inv_SY!M36/Inv_SY!$Q36-1,"")</f>
        <v>0</v>
      </c>
      <c r="T35" s="207">
        <f>IFERROR(Inv_SY!N36/Inv_SY!$Q36-1,"")</f>
        <v>-2.6831885577519476E-2</v>
      </c>
      <c r="U35" s="208">
        <f>IFERROR(Inv_SY!O36/Inv_SY!$Q36-1,"")</f>
        <v>-1.4025655639956836E-2</v>
      </c>
    </row>
    <row r="36" spans="1:21">
      <c r="A36" s="156">
        <f t="shared" si="5"/>
        <v>2026</v>
      </c>
      <c r="B36" s="129">
        <f t="shared" si="6"/>
        <v>2025</v>
      </c>
      <c r="C36" s="209" t="str">
        <f>TEXT(Table5[[#This Row],[Date]],"yyyy")</f>
        <v>2025</v>
      </c>
      <c r="D36" s="209" t="s">
        <v>224</v>
      </c>
      <c r="E36" s="209" t="s">
        <v>224</v>
      </c>
      <c r="F36" s="210" t="str">
        <f>TEXT(Table5[[#This Row],[Date]],"mmm-yy")</f>
        <v>May-25</v>
      </c>
      <c r="G36" s="209">
        <f t="shared" ref="G36" si="39">DAY(EOMONTH(F36,0))</f>
        <v>31</v>
      </c>
      <c r="H36" s="211">
        <f t="shared" si="4"/>
        <v>45779</v>
      </c>
      <c r="I36" s="209">
        <v>11.72</v>
      </c>
      <c r="J36" s="207">
        <f>IFERROR(Inv_SY!J37/Inv_SY!$P37-1,"")</f>
        <v>-1.5700483773336993E-2</v>
      </c>
      <c r="K36" s="207">
        <f>IFERROR(Inv_SY!K37/Inv_SY!$P37-1,"")</f>
        <v>-1.1161890929133889E-2</v>
      </c>
      <c r="L36" s="207">
        <f>IFERROR(Inv_SY!L37/Inv_SY!$P37-1,"")</f>
        <v>-4.8914911513511128E-2</v>
      </c>
      <c r="M36" s="207">
        <f>IFERROR(Inv_SY!M37/Inv_SY!$P37-1,"")</f>
        <v>3.4219260653562289E-2</v>
      </c>
      <c r="N36" s="207">
        <f>IFERROR(Inv_SY!N37/Inv_SY!$P37-1,"")</f>
        <v>1.3193326263087446E-2</v>
      </c>
      <c r="O36" s="207">
        <f>IFERROR(Inv_SY!O37/Inv_SY!$P37-1,"")</f>
        <v>2.8364699299332941E-2</v>
      </c>
      <c r="P36" s="207">
        <f>IFERROR(Inv_SY!P37/Inv_SY!$P37-1,"")</f>
        <v>0</v>
      </c>
      <c r="Q36" s="207">
        <f>IFERROR(Inv_SY!Q37/Inv_SY!$P37-1,"")</f>
        <v>3.4219260653562289E-2</v>
      </c>
      <c r="R36" s="207">
        <f>IFERROR(Inv_SY!L37/Inv_SY!$Q37-1,"")</f>
        <v>-8.0383507956076738E-2</v>
      </c>
      <c r="S36" s="207">
        <f>IFERROR(Inv_SY!M37/Inv_SY!$Q37-1,"")</f>
        <v>0</v>
      </c>
      <c r="T36" s="207">
        <f>IFERROR(Inv_SY!N37/Inv_SY!$Q37-1,"")</f>
        <v>-2.0330248323926714E-2</v>
      </c>
      <c r="U36" s="208">
        <f>IFERROR(Inv_SY!O37/Inv_SY!$Q37-1,"")</f>
        <v>-5.6608512111151477E-3</v>
      </c>
    </row>
    <row r="37" spans="1:21">
      <c r="A37" s="156">
        <f t="shared" si="5"/>
        <v>2026</v>
      </c>
      <c r="B37" s="129">
        <f t="shared" si="6"/>
        <v>2025</v>
      </c>
      <c r="C37" s="209" t="str">
        <f>TEXT(Table5[[#This Row],[Date]],"yyyy")</f>
        <v>2025</v>
      </c>
      <c r="D37" s="209" t="s">
        <v>224</v>
      </c>
      <c r="E37" s="209" t="s">
        <v>224</v>
      </c>
      <c r="F37" s="210" t="str">
        <f>TEXT(Table5[[#This Row],[Date]],"mmm-yy")</f>
        <v>May-25</v>
      </c>
      <c r="G37" s="209">
        <f t="shared" ref="G37" si="40">DAY(EOMONTH(F37,0))</f>
        <v>31</v>
      </c>
      <c r="H37" s="211">
        <f t="shared" si="4"/>
        <v>45780</v>
      </c>
      <c r="I37" s="209">
        <v>11.72</v>
      </c>
      <c r="J37" s="212">
        <f>IFERROR(Inv_SY!J38/Inv_SY!$P38-1,"")</f>
        <v>-1.8553629817013584E-2</v>
      </c>
      <c r="K37" s="212">
        <f>IFERROR(Inv_SY!K38/Inv_SY!$P38-1,"")</f>
        <v>1.0887641453400265E-2</v>
      </c>
      <c r="L37" s="212">
        <f>IFERROR(Inv_SY!L38/Inv_SY!$P38-1,"")</f>
        <v>-6.2609267877257291E-2</v>
      </c>
      <c r="M37" s="212">
        <f>IFERROR(Inv_SY!M38/Inv_SY!$P38-1,"")</f>
        <v>2.876299876020938E-2</v>
      </c>
      <c r="N37" s="212">
        <f>IFERROR(Inv_SY!N38/Inv_SY!$P38-1,"")</f>
        <v>2.3933989981955506E-2</v>
      </c>
      <c r="O37" s="212">
        <f>IFERROR(Inv_SY!O38/Inv_SY!$P38-1,"")</f>
        <v>1.757826749870639E-2</v>
      </c>
      <c r="P37" s="212">
        <f>IFERROR(Inv_SY!P38/Inv_SY!$P38-1,"")</f>
        <v>0</v>
      </c>
      <c r="Q37" s="212">
        <f>IFERROR(Inv_SY!Q38/Inv_SY!$P38-1,"")</f>
        <v>2.876299876020938E-2</v>
      </c>
      <c r="R37" s="212">
        <f>IFERROR(Inv_SY!L38/Inv_SY!$Q38-1,"")</f>
        <v>-8.8817605947708045E-2</v>
      </c>
      <c r="S37" s="212">
        <f>IFERROR(Inv_SY!M38/Inv_SY!$Q38-1,"")</f>
        <v>0</v>
      </c>
      <c r="T37" s="212">
        <f>IFERROR(Inv_SY!N38/Inv_SY!$Q38-1,"")</f>
        <v>-4.6939953945401847E-3</v>
      </c>
      <c r="U37" s="213">
        <f>IFERROR(Inv_SY!O38/Inv_SY!$Q38-1,"")</f>
        <v>-1.0872019381511611E-2</v>
      </c>
    </row>
    <row r="38" spans="1:21">
      <c r="A38" s="156">
        <f t="shared" si="5"/>
        <v>2026</v>
      </c>
      <c r="B38" s="129">
        <f t="shared" si="6"/>
        <v>2025</v>
      </c>
      <c r="C38" s="209" t="str">
        <f>TEXT(Table5[[#This Row],[Date]],"yyyy")</f>
        <v>2025</v>
      </c>
      <c r="D38" s="209" t="s">
        <v>224</v>
      </c>
      <c r="E38" s="209" t="s">
        <v>224</v>
      </c>
      <c r="F38" s="210" t="str">
        <f>TEXT(Table5[[#This Row],[Date]],"mmm-yy")</f>
        <v>May-25</v>
      </c>
      <c r="G38" s="209">
        <f t="shared" ref="G38" si="41">DAY(EOMONTH(F38,0))</f>
        <v>31</v>
      </c>
      <c r="H38" s="211">
        <f t="shared" si="4"/>
        <v>45781</v>
      </c>
      <c r="I38" s="209">
        <v>11.72</v>
      </c>
      <c r="J38" s="212">
        <f>IFERROR(Inv_SY!J39/Inv_SY!$P39-1,"")</f>
        <v>-6.1262554878930287E-3</v>
      </c>
      <c r="K38" s="212">
        <f>IFERROR(Inv_SY!K39/Inv_SY!$P39-1,"")</f>
        <v>-2.6176902605375973E-3</v>
      </c>
      <c r="L38" s="212">
        <f>IFERROR(Inv_SY!L39/Inv_SY!$P39-1,"")</f>
        <v>-6.3032531632302158E-2</v>
      </c>
      <c r="M38" s="212">
        <f>IFERROR(Inv_SY!M39/Inv_SY!$P39-1,"")</f>
        <v>3.7257878074481443E-2</v>
      </c>
      <c r="N38" s="212">
        <f>IFERROR(Inv_SY!N39/Inv_SY!$P39-1,"")</f>
        <v>1.1545483888711461E-2</v>
      </c>
      <c r="O38" s="212">
        <f>IFERROR(Inv_SY!O39/Inv_SY!$P39-1,"")</f>
        <v>2.2973115417540324E-2</v>
      </c>
      <c r="P38" s="212">
        <f>IFERROR(Inv_SY!P39/Inv_SY!$P39-1,"")</f>
        <v>0</v>
      </c>
      <c r="Q38" s="212">
        <f>IFERROR(Inv_SY!Q39/Inv_SY!$P39-1,"")</f>
        <v>3.7257878074481443E-2</v>
      </c>
      <c r="R38" s="212">
        <f>IFERROR(Inv_SY!L39/Inv_SY!$Q39-1,"")</f>
        <v>-9.668801927343107E-2</v>
      </c>
      <c r="S38" s="212">
        <f>IFERROR(Inv_SY!M39/Inv_SY!$Q39-1,"")</f>
        <v>0</v>
      </c>
      <c r="T38" s="212">
        <f>IFERROR(Inv_SY!N39/Inv_SY!$Q39-1,"")</f>
        <v>-2.4788815519532381E-2</v>
      </c>
      <c r="U38" s="213">
        <f>IFERROR(Inv_SY!O39/Inv_SY!$Q39-1,"")</f>
        <v>-1.3771659833964112E-2</v>
      </c>
    </row>
    <row r="39" spans="1:21">
      <c r="A39" s="156">
        <f t="shared" si="5"/>
        <v>2026</v>
      </c>
      <c r="B39" s="129">
        <f t="shared" si="6"/>
        <v>2025</v>
      </c>
      <c r="C39" s="209" t="str">
        <f>TEXT(Table5[[#This Row],[Date]],"yyyy")</f>
        <v>2025</v>
      </c>
      <c r="D39" s="209" t="s">
        <v>224</v>
      </c>
      <c r="E39" s="209" t="s">
        <v>224</v>
      </c>
      <c r="F39" s="210" t="str">
        <f>TEXT(Table5[[#This Row],[Date]],"mmm-yy")</f>
        <v>May-25</v>
      </c>
      <c r="G39" s="209">
        <f t="shared" ref="G39" si="42">DAY(EOMONTH(F39,0))</f>
        <v>31</v>
      </c>
      <c r="H39" s="211">
        <f t="shared" si="4"/>
        <v>45782</v>
      </c>
      <c r="I39" s="209">
        <v>11.72</v>
      </c>
      <c r="J39" s="212">
        <f>IFERROR(Inv_SY!J40/Inv_SY!$P40-1,"")</f>
        <v>-6.1628314374411186E-3</v>
      </c>
      <c r="K39" s="212">
        <f>IFERROR(Inv_SY!K40/Inv_SY!$P40-1,"")</f>
        <v>-1.5110167820212794E-2</v>
      </c>
      <c r="L39" s="212">
        <f>IFERROR(Inv_SY!L40/Inv_SY!$P40-1,"")</f>
        <v>-6.0021252552071136E-2</v>
      </c>
      <c r="M39" s="212">
        <f>IFERROR(Inv_SY!M40/Inv_SY!$P40-1,"")</f>
        <v>3.3995035657607087E-2</v>
      </c>
      <c r="N39" s="212">
        <f>IFERROR(Inv_SY!N40/Inv_SY!$P40-1,"")</f>
        <v>2.2724829419485282E-2</v>
      </c>
      <c r="O39" s="212">
        <f>IFERROR(Inv_SY!O40/Inv_SY!$P40-1,"")</f>
        <v>2.457438673263268E-2</v>
      </c>
      <c r="P39" s="212">
        <f>IFERROR(Inv_SY!P40/Inv_SY!$P40-1,"")</f>
        <v>0</v>
      </c>
      <c r="Q39" s="212">
        <f>IFERROR(Inv_SY!Q40/Inv_SY!$P40-1,"")</f>
        <v>3.3995035657607087E-2</v>
      </c>
      <c r="R39" s="212">
        <f>IFERROR(Inv_SY!L40/Inv_SY!$Q40-1,"")</f>
        <v>-9.0925280071470715E-2</v>
      </c>
      <c r="S39" s="212">
        <f>IFERROR(Inv_SY!M40/Inv_SY!$Q40-1,"")</f>
        <v>0</v>
      </c>
      <c r="T39" s="212">
        <f>IFERROR(Inv_SY!N40/Inv_SY!$Q40-1,"")</f>
        <v>-1.0899671516270026E-2</v>
      </c>
      <c r="U39" s="213">
        <f>IFERROR(Inv_SY!O40/Inv_SY!$Q40-1,"")</f>
        <v>-9.1109227801883241E-3</v>
      </c>
    </row>
    <row r="40" spans="1:21">
      <c r="A40" s="156">
        <f t="shared" si="5"/>
        <v>2026</v>
      </c>
      <c r="B40" s="129">
        <f t="shared" si="6"/>
        <v>2025</v>
      </c>
      <c r="C40" s="209" t="str">
        <f>TEXT(Table5[[#This Row],[Date]],"yyyy")</f>
        <v>2025</v>
      </c>
      <c r="D40" s="209" t="s">
        <v>224</v>
      </c>
      <c r="E40" s="209" t="s">
        <v>224</v>
      </c>
      <c r="F40" s="210" t="str">
        <f>TEXT(Table5[[#This Row],[Date]],"mmm-yy")</f>
        <v>May-25</v>
      </c>
      <c r="G40" s="209">
        <f t="shared" ref="G40" si="43">DAY(EOMONTH(F40,0))</f>
        <v>31</v>
      </c>
      <c r="H40" s="211">
        <f t="shared" si="4"/>
        <v>45783</v>
      </c>
      <c r="I40" s="209">
        <v>11.72</v>
      </c>
      <c r="J40" s="212">
        <f>IFERROR(Inv_SY!J41/Inv_SY!$P41-1,"")</f>
        <v>-1.1067108791476099E-2</v>
      </c>
      <c r="K40" s="212">
        <f>IFERROR(Inv_SY!K41/Inv_SY!$P41-1,"")</f>
        <v>-1.5335328090854916E-2</v>
      </c>
      <c r="L40" s="212">
        <f>IFERROR(Inv_SY!L41/Inv_SY!$P41-1,"")</f>
        <v>-5.10988152646914E-2</v>
      </c>
      <c r="M40" s="212">
        <f>IFERROR(Inv_SY!M41/Inv_SY!$P41-1,"")</f>
        <v>2.9511812151939987E-2</v>
      </c>
      <c r="N40" s="212">
        <f>IFERROR(Inv_SY!N41/Inv_SY!$P41-1,"")</f>
        <v>3.0482549830101568E-2</v>
      </c>
      <c r="O40" s="212">
        <f>IFERROR(Inv_SY!O41/Inv_SY!$P41-1,"")</f>
        <v>1.7506890164980637E-2</v>
      </c>
      <c r="P40" s="212">
        <f>IFERROR(Inv_SY!P41/Inv_SY!$P41-1,"")</f>
        <v>0</v>
      </c>
      <c r="Q40" s="212">
        <f>IFERROR(Inv_SY!Q41/Inv_SY!$P41-1,"")</f>
        <v>3.0482549830101568E-2</v>
      </c>
      <c r="R40" s="212">
        <f>IFERROR(Inv_SY!L41/Inv_SY!$Q41-1,"")</f>
        <v>-7.9168118963531819E-2</v>
      </c>
      <c r="S40" s="212">
        <f>IFERROR(Inv_SY!M41/Inv_SY!$Q41-1,"")</f>
        <v>-9.4202243242413886E-4</v>
      </c>
      <c r="T40" s="212">
        <f>IFERROR(Inv_SY!N41/Inv_SY!$Q41-1,"")</f>
        <v>0</v>
      </c>
      <c r="U40" s="213">
        <f>IFERROR(Inv_SY!O41/Inv_SY!$Q41-1,"")</f>
        <v>-1.2591828621707823E-2</v>
      </c>
    </row>
    <row r="41" spans="1:21">
      <c r="A41" s="216">
        <f t="shared" ref="A41" si="44">YEAR(H41)+IF(MONTH(H41)&gt;=4,1,0)</f>
        <v>2026</v>
      </c>
      <c r="B41" s="217">
        <f t="shared" ref="B41" si="45">YEAR(H41)</f>
        <v>2025</v>
      </c>
      <c r="C41" s="209" t="str">
        <f>TEXT(Table5[[#This Row],[Date]],"yyyy")</f>
        <v>2025</v>
      </c>
      <c r="D41" s="209" t="s">
        <v>224</v>
      </c>
      <c r="E41" s="209" t="s">
        <v>224</v>
      </c>
      <c r="F41" s="210" t="str">
        <f>TEXT(Table5[[#This Row],[Date]],"mmm-yy")</f>
        <v>May-25</v>
      </c>
      <c r="G41" s="209">
        <f t="shared" ref="G41" si="46">DAY(EOMONTH(F41,0))</f>
        <v>31</v>
      </c>
      <c r="H41" s="211">
        <f t="shared" si="4"/>
        <v>45784</v>
      </c>
      <c r="I41" s="209">
        <v>11.72</v>
      </c>
      <c r="J41" s="212">
        <f>IFERROR(Inv_SY!J42/Inv_SY!$P42-1,"")</f>
        <v>1.7748411092988192E-3</v>
      </c>
      <c r="K41" s="212">
        <f>IFERROR(Inv_SY!K42/Inv_SY!$P42-1,"")</f>
        <v>-2.282402256973004E-2</v>
      </c>
      <c r="L41" s="212">
        <f>IFERROR(Inv_SY!L42/Inv_SY!$P42-1,"")</f>
        <v>-6.7344481257941347E-2</v>
      </c>
      <c r="M41" s="212">
        <f>IFERROR(Inv_SY!M42/Inv_SY!$P42-1,"")</f>
        <v>2.5495781543687812E-2</v>
      </c>
      <c r="N41" s="212">
        <f>IFERROR(Inv_SY!N42/Inv_SY!$P42-1,"")</f>
        <v>3.2382164830047744E-2</v>
      </c>
      <c r="O41" s="212">
        <f>IFERROR(Inv_SY!O42/Inv_SY!$P42-1,"")</f>
        <v>3.0515716344637234E-2</v>
      </c>
      <c r="P41" s="212">
        <f>IFERROR(Inv_SY!P42/Inv_SY!$P42-1,"")</f>
        <v>0</v>
      </c>
      <c r="Q41" s="212">
        <f>IFERROR(Inv_SY!Q42/Inv_SY!$P42-1,"")</f>
        <v>3.2382164830047744E-2</v>
      </c>
      <c r="R41" s="212">
        <f>IFERROR(Inv_SY!L42/Inv_SY!$Q42-1,"")</f>
        <v>-9.6598575106541351E-2</v>
      </c>
      <c r="S41" s="212">
        <f>IFERROR(Inv_SY!M42/Inv_SY!$Q42-1,"")</f>
        <v>-6.6703818808161452E-3</v>
      </c>
      <c r="T41" s="212">
        <f>IFERROR(Inv_SY!N42/Inv_SY!$Q42-1,"")</f>
        <v>0</v>
      </c>
      <c r="U41" s="213">
        <f>IFERROR(Inv_SY!O42/Inv_SY!$Q42-1,"")</f>
        <v>-1.8079046200084603E-3</v>
      </c>
    </row>
    <row r="42" spans="1:21">
      <c r="A42" s="216">
        <f t="shared" ref="A42" si="47">YEAR(H42)+IF(MONTH(H42)&gt;=4,1,0)</f>
        <v>2026</v>
      </c>
      <c r="B42" s="217">
        <f t="shared" ref="B42" si="48">YEAR(H42)</f>
        <v>2025</v>
      </c>
      <c r="C42" s="209" t="str">
        <f>TEXT(Table5[[#This Row],[Date]],"yyyy")</f>
        <v>2025</v>
      </c>
      <c r="D42" s="209" t="s">
        <v>224</v>
      </c>
      <c r="E42" s="209" t="s">
        <v>224</v>
      </c>
      <c r="F42" s="210" t="str">
        <f>TEXT(Table5[[#This Row],[Date]],"mmm-yy")</f>
        <v>May-25</v>
      </c>
      <c r="G42" s="209">
        <f t="shared" ref="G42" si="49">DAY(EOMONTH(F42,0))</f>
        <v>31</v>
      </c>
      <c r="H42" s="211">
        <f t="shared" si="4"/>
        <v>45785</v>
      </c>
      <c r="I42" s="209">
        <v>11.72</v>
      </c>
      <c r="J42" s="212">
        <f>IFERROR(Inv_SY!J43/Inv_SY!$P43-1,"")</f>
        <v>-8.3142708778783936E-3</v>
      </c>
      <c r="K42" s="212">
        <f>IFERROR(Inv_SY!K43/Inv_SY!$P43-1,"")</f>
        <v>-1.6585000137039674E-2</v>
      </c>
      <c r="L42" s="212">
        <f>IFERROR(Inv_SY!L43/Inv_SY!$P43-1,"")</f>
        <v>-5.632244931192254E-2</v>
      </c>
      <c r="M42" s="212">
        <f>IFERROR(Inv_SY!M43/Inv_SY!$P43-1,"")</f>
        <v>2.6348495976739272E-2</v>
      </c>
      <c r="N42" s="212">
        <f>IFERROR(Inv_SY!N43/Inv_SY!$P43-1,"")</f>
        <v>2.9521480957380719E-2</v>
      </c>
      <c r="O42" s="212">
        <f>IFERROR(Inv_SY!O43/Inv_SY!$P43-1,"")</f>
        <v>2.5351743392720172E-2</v>
      </c>
      <c r="P42" s="212">
        <f>IFERROR(Inv_SY!P43/Inv_SY!$P43-1,"")</f>
        <v>0</v>
      </c>
      <c r="Q42" s="212">
        <f>IFERROR(Inv_SY!Q43/Inv_SY!$P43-1,"")</f>
        <v>2.9521480957380719E-2</v>
      </c>
      <c r="R42" s="212">
        <f>IFERROR(Inv_SY!L43/Inv_SY!$Q43-1,"")</f>
        <v>-8.3382359530249528E-2</v>
      </c>
      <c r="S42" s="212">
        <f>IFERROR(Inv_SY!M43/Inv_SY!$Q43-1,"")</f>
        <v>-3.0819997827443713E-3</v>
      </c>
      <c r="T42" s="212">
        <f>IFERROR(Inv_SY!N43/Inv_SY!$Q43-1,"")</f>
        <v>0</v>
      </c>
      <c r="U42" s="213">
        <f>IFERROR(Inv_SY!O43/Inv_SY!$Q43-1,"")</f>
        <v>-4.0501705324137438E-3</v>
      </c>
    </row>
    <row r="43" spans="1:21">
      <c r="A43" s="216">
        <f t="shared" ref="A43" si="50">YEAR(H43)+IF(MONTH(H43)&gt;=4,1,0)</f>
        <v>2026</v>
      </c>
      <c r="B43" s="217">
        <f t="shared" ref="B43" si="51">YEAR(H43)</f>
        <v>2025</v>
      </c>
      <c r="C43" s="209" t="str">
        <f>TEXT(Table5[[#This Row],[Date]],"yyyy")</f>
        <v>2025</v>
      </c>
      <c r="D43" s="209" t="s">
        <v>224</v>
      </c>
      <c r="E43" s="209" t="s">
        <v>224</v>
      </c>
      <c r="F43" s="210" t="str">
        <f>TEXT(Table5[[#This Row],[Date]],"mmm-yy")</f>
        <v>May-25</v>
      </c>
      <c r="G43" s="209">
        <f t="shared" ref="G43" si="52">DAY(EOMONTH(F43,0))</f>
        <v>31</v>
      </c>
      <c r="H43" s="211">
        <f t="shared" si="4"/>
        <v>45786</v>
      </c>
      <c r="I43" s="209">
        <v>11.72</v>
      </c>
      <c r="J43" s="212">
        <f>IFERROR(Inv_SY!J44/Inv_SY!$P44-1,"")</f>
        <v>-1.2042352725111449E-2</v>
      </c>
      <c r="K43" s="212">
        <f>IFERROR(Inv_SY!K44/Inv_SY!$P44-1,"")</f>
        <v>1.8618930453246918E-3</v>
      </c>
      <c r="L43" s="212">
        <f>IFERROR(Inv_SY!L44/Inv_SY!$P44-1,"")</f>
        <v>-6.5286614652609432E-2</v>
      </c>
      <c r="M43" s="212">
        <f>IFERROR(Inv_SY!M44/Inv_SY!$P44-1,"")</f>
        <v>2.0048571517759184E-2</v>
      </c>
      <c r="N43" s="212">
        <f>IFERROR(Inv_SY!N44/Inv_SY!$P44-1,"")</f>
        <v>2.2957876849537318E-2</v>
      </c>
      <c r="O43" s="212">
        <f>IFERROR(Inv_SY!O44/Inv_SY!$P44-1,"")</f>
        <v>3.246062596509991E-2</v>
      </c>
      <c r="P43" s="212">
        <f>IFERROR(Inv_SY!P44/Inv_SY!$P44-1,"")</f>
        <v>0</v>
      </c>
      <c r="Q43" s="212">
        <f>IFERROR(Inv_SY!Q44/Inv_SY!$P44-1,"")</f>
        <v>3.246062596509991E-2</v>
      </c>
      <c r="R43" s="212">
        <f>IFERROR(Inv_SY!L44/Inv_SY!$Q44-1,"")</f>
        <v>-9.4674061324459213E-2</v>
      </c>
      <c r="S43" s="212">
        <f>IFERROR(Inv_SY!M44/Inv_SY!$Q44-1,"")</f>
        <v>-1.2021818687505403E-2</v>
      </c>
      <c r="T43" s="212">
        <f>IFERROR(Inv_SY!N44/Inv_SY!$Q44-1,"")</f>
        <v>-9.2039820953753182E-3</v>
      </c>
      <c r="U43" s="213">
        <f>IFERROR(Inv_SY!O44/Inv_SY!$Q44-1,"")</f>
        <v>0</v>
      </c>
    </row>
    <row r="44" spans="1:21">
      <c r="A44" s="216">
        <f t="shared" ref="A44" si="53">YEAR(H44)+IF(MONTH(H44)&gt;=4,1,0)</f>
        <v>2026</v>
      </c>
      <c r="B44" s="217">
        <f t="shared" ref="B44" si="54">YEAR(H44)</f>
        <v>2025</v>
      </c>
      <c r="C44" s="209" t="str">
        <f>TEXT(Table5[[#This Row],[Date]],"yyyy")</f>
        <v>2025</v>
      </c>
      <c r="D44" s="209" t="s">
        <v>224</v>
      </c>
      <c r="E44" s="209" t="s">
        <v>224</v>
      </c>
      <c r="F44" s="210" t="str">
        <f>TEXT(Table5[[#This Row],[Date]],"mmm-yy")</f>
        <v>May-25</v>
      </c>
      <c r="G44" s="209">
        <f t="shared" ref="G44" si="55">DAY(EOMONTH(F44,0))</f>
        <v>31</v>
      </c>
      <c r="H44" s="211">
        <f t="shared" si="4"/>
        <v>45787</v>
      </c>
      <c r="I44" s="209">
        <v>11.72</v>
      </c>
      <c r="J44" s="212">
        <f>IFERROR(Inv_SY!J45/Inv_SY!$P45-1,"")</f>
        <v>-1.1283580358232292E-3</v>
      </c>
      <c r="K44" s="212">
        <f>IFERROR(Inv_SY!K45/Inv_SY!$P45-1,"")</f>
        <v>-1.6835229838525589E-2</v>
      </c>
      <c r="L44" s="212">
        <f>IFERROR(Inv_SY!L45/Inv_SY!$P45-1,"")</f>
        <v>-5.0186052191972808E-2</v>
      </c>
      <c r="M44" s="212">
        <f>IFERROR(Inv_SY!M45/Inv_SY!$P45-1,"")</f>
        <v>2.4426820795659721E-2</v>
      </c>
      <c r="N44" s="212">
        <f>IFERROR(Inv_SY!N45/Inv_SY!$P45-1,"")</f>
        <v>3.0448162616790064E-2</v>
      </c>
      <c r="O44" s="212">
        <f>IFERROR(Inv_SY!O45/Inv_SY!$P45-1,"")</f>
        <v>1.3274656653871064E-2</v>
      </c>
      <c r="P44" s="212">
        <f>IFERROR(Inv_SY!P45/Inv_SY!$P45-1,"")</f>
        <v>0</v>
      </c>
      <c r="Q44" s="212">
        <f>IFERROR(Inv_SY!Q45/Inv_SY!$P45-1,"")</f>
        <v>3.0448162616790064E-2</v>
      </c>
      <c r="R44" s="212">
        <f>IFERROR(Inv_SY!L45/Inv_SY!$Q45-1,"")</f>
        <v>-7.8251597444741749E-2</v>
      </c>
      <c r="S44" s="212">
        <f>IFERROR(Inv_SY!M45/Inv_SY!$Q45-1,"")</f>
        <v>-5.8434204063592121E-3</v>
      </c>
      <c r="T44" s="212">
        <f>IFERROR(Inv_SY!N45/Inv_SY!$Q45-1,"")</f>
        <v>0</v>
      </c>
      <c r="U44" s="213">
        <f>IFERROR(Inv_SY!O45/Inv_SY!$Q45-1,"")</f>
        <v>-1.6666055203890418E-2</v>
      </c>
    </row>
    <row r="45" spans="1:21">
      <c r="A45" s="216">
        <f t="shared" ref="A45" si="56">YEAR(H45)+IF(MONTH(H45)&gt;=4,1,0)</f>
        <v>2026</v>
      </c>
      <c r="B45" s="217">
        <f t="shared" ref="B45" si="57">YEAR(H45)</f>
        <v>2025</v>
      </c>
      <c r="C45" s="209" t="str">
        <f>TEXT(Table5[[#This Row],[Date]],"yyyy")</f>
        <v>2025</v>
      </c>
      <c r="D45" s="209" t="s">
        <v>224</v>
      </c>
      <c r="E45" s="209" t="s">
        <v>224</v>
      </c>
      <c r="F45" s="210" t="str">
        <f>TEXT(Table5[[#This Row],[Date]],"mmm-yy")</f>
        <v>May-25</v>
      </c>
      <c r="G45" s="209">
        <f t="shared" ref="G45" si="58">DAY(EOMONTH(F45,0))</f>
        <v>31</v>
      </c>
      <c r="H45" s="211">
        <f t="shared" si="4"/>
        <v>45788</v>
      </c>
      <c r="I45" s="209">
        <v>11.72</v>
      </c>
      <c r="J45" s="212">
        <f>IFERROR(Inv_SY!J46/Inv_SY!$P46-1,"")</f>
        <v>-1.0999208713105113E-2</v>
      </c>
      <c r="K45" s="212">
        <f>IFERROR(Inv_SY!K46/Inv_SY!$P46-1,"")</f>
        <v>-7.2117231505821611E-3</v>
      </c>
      <c r="L45" s="212">
        <f>IFERROR(Inv_SY!L46/Inv_SY!$P46-1,"")</f>
        <v>-4.4827210493852188E-2</v>
      </c>
      <c r="M45" s="212">
        <f>IFERROR(Inv_SY!M46/Inv_SY!$P46-1,"")</f>
        <v>3.4703708579714165E-2</v>
      </c>
      <c r="N45" s="212">
        <f>IFERROR(Inv_SY!N46/Inv_SY!$P46-1,"")</f>
        <v>1.2551077557973578E-2</v>
      </c>
      <c r="O45" s="212">
        <f>IFERROR(Inv_SY!O46/Inv_SY!$P46-1,"")</f>
        <v>1.5783356219851941E-2</v>
      </c>
      <c r="P45" s="212">
        <f>IFERROR(Inv_SY!P46/Inv_SY!$P46-1,"")</f>
        <v>0</v>
      </c>
      <c r="Q45" s="212">
        <f>IFERROR(Inv_SY!Q46/Inv_SY!$P46-1,"")</f>
        <v>3.4703708579714165E-2</v>
      </c>
      <c r="R45" s="212">
        <f>IFERROR(Inv_SY!L46/Inv_SY!$Q46-1,"")</f>
        <v>-7.686347155625306E-2</v>
      </c>
      <c r="S45" s="212">
        <f>IFERROR(Inv_SY!M46/Inv_SY!$Q46-1,"")</f>
        <v>0</v>
      </c>
      <c r="T45" s="212">
        <f>IFERROR(Inv_SY!N46/Inv_SY!$Q46-1,"")</f>
        <v>-2.1409637211166954E-2</v>
      </c>
      <c r="U45" s="213">
        <f>IFERROR(Inv_SY!O46/Inv_SY!$Q46-1,"")</f>
        <v>-1.8285768382751089E-2</v>
      </c>
    </row>
    <row r="46" spans="1:21">
      <c r="A46" s="216">
        <f t="shared" ref="A46" si="59">YEAR(H46)+IF(MONTH(H46)&gt;=4,1,0)</f>
        <v>2026</v>
      </c>
      <c r="B46" s="217">
        <f t="shared" ref="B46" si="60">YEAR(H46)</f>
        <v>2025</v>
      </c>
      <c r="C46" s="209" t="str">
        <f>TEXT(Table5[[#This Row],[Date]],"yyyy")</f>
        <v>2025</v>
      </c>
      <c r="D46" s="209" t="s">
        <v>224</v>
      </c>
      <c r="E46" s="209" t="s">
        <v>224</v>
      </c>
      <c r="F46" s="210" t="str">
        <f>TEXT(Table5[[#This Row],[Date]],"mmm-yy")</f>
        <v>May-25</v>
      </c>
      <c r="G46" s="209">
        <f t="shared" ref="G46" si="61">DAY(EOMONTH(F46,0))</f>
        <v>31</v>
      </c>
      <c r="H46" s="211">
        <f t="shared" si="4"/>
        <v>45789</v>
      </c>
      <c r="I46" s="209">
        <v>11.72</v>
      </c>
      <c r="J46" s="212">
        <f>IFERROR(Inv_SY!J47/Inv_SY!$P47-1,"")</f>
        <v>9.8164603075701073E-4</v>
      </c>
      <c r="K46" s="212">
        <f>IFERROR(Inv_SY!K47/Inv_SY!$P47-1,"")</f>
        <v>-4.8696080185721358E-2</v>
      </c>
      <c r="L46" s="212">
        <f>IFERROR(Inv_SY!L47/Inv_SY!$P47-1,"")</f>
        <v>-5.5259893162006524E-2</v>
      </c>
      <c r="M46" s="212">
        <f>IFERROR(Inv_SY!M47/Inv_SY!$P47-1,"")</f>
        <v>3.3803515266089157E-2</v>
      </c>
      <c r="N46" s="212">
        <f>IFERROR(Inv_SY!N47/Inv_SY!$P47-1,"")</f>
        <v>2.546600635304519E-2</v>
      </c>
      <c r="O46" s="212">
        <f>IFERROR(Inv_SY!O47/Inv_SY!$P47-1,"")</f>
        <v>4.3704805697836857E-2</v>
      </c>
      <c r="P46" s="212">
        <f>IFERROR(Inv_SY!P47/Inv_SY!$P47-1,"")</f>
        <v>0</v>
      </c>
      <c r="Q46" s="212">
        <f>IFERROR(Inv_SY!Q47/Inv_SY!$P47-1,"")</f>
        <v>4.3704805697836857E-2</v>
      </c>
      <c r="R46" s="212">
        <f>IFERROR(Inv_SY!L47/Inv_SY!$Q47-1,"")</f>
        <v>-9.4820583674206649E-2</v>
      </c>
      <c r="S46" s="212">
        <f>IFERROR(Inv_SY!M47/Inv_SY!$Q47-1,"")</f>
        <v>-9.4866770543684531E-3</v>
      </c>
      <c r="T46" s="212">
        <f>IFERROR(Inv_SY!N47/Inv_SY!$Q47-1,"")</f>
        <v>-1.7475055442134124E-2</v>
      </c>
      <c r="U46" s="213">
        <f>IFERROR(Inv_SY!O47/Inv_SY!$Q47-1,"")</f>
        <v>0</v>
      </c>
    </row>
    <row r="47" spans="1:21">
      <c r="A47" s="216">
        <f t="shared" ref="A47" si="62">YEAR(H47)+IF(MONTH(H47)&gt;=4,1,0)</f>
        <v>2026</v>
      </c>
      <c r="B47" s="217">
        <f t="shared" ref="B47" si="63">YEAR(H47)</f>
        <v>2025</v>
      </c>
      <c r="C47" s="209" t="str">
        <f>TEXT(Table5[[#This Row],[Date]],"yyyy")</f>
        <v>2025</v>
      </c>
      <c r="D47" s="209" t="s">
        <v>224</v>
      </c>
      <c r="E47" s="209" t="s">
        <v>224</v>
      </c>
      <c r="F47" s="210" t="str">
        <f>TEXT(Table5[[#This Row],[Date]],"mmm-yy")</f>
        <v>May-25</v>
      </c>
      <c r="G47" s="209">
        <f t="shared" ref="G47" si="64">DAY(EOMONTH(F47,0))</f>
        <v>31</v>
      </c>
      <c r="H47" s="211">
        <f t="shared" si="4"/>
        <v>45790</v>
      </c>
      <c r="I47" s="209">
        <v>11.72</v>
      </c>
      <c r="J47" s="212">
        <f>IFERROR(Inv_SY!J48/Inv_SY!$P48-1,"")</f>
        <v>-1.2956465644653914E-2</v>
      </c>
      <c r="K47" s="212">
        <f>IFERROR(Inv_SY!K48/Inv_SY!$P48-1,"")</f>
        <v>3.0541922559452761E-3</v>
      </c>
      <c r="L47" s="212">
        <f>IFERROR(Inv_SY!L48/Inv_SY!$P48-1,"")</f>
        <v>-4.588613838292277E-2</v>
      </c>
      <c r="M47" s="212">
        <f>IFERROR(Inv_SY!M48/Inv_SY!$P48-1,"")</f>
        <v>2.5078807596077057E-2</v>
      </c>
      <c r="N47" s="212">
        <f>IFERROR(Inv_SY!N48/Inv_SY!$P48-1,"")</f>
        <v>2.6943393786868608E-2</v>
      </c>
      <c r="O47" s="212">
        <f>IFERROR(Inv_SY!O48/Inv_SY!$P48-1,"")</f>
        <v>3.7662103886866305E-3</v>
      </c>
      <c r="P47" s="212">
        <f>IFERROR(Inv_SY!P48/Inv_SY!$P48-1,"")</f>
        <v>0</v>
      </c>
      <c r="Q47" s="212">
        <f>IFERROR(Inv_SY!Q48/Inv_SY!$P48-1,"")</f>
        <v>2.6943393786868608E-2</v>
      </c>
      <c r="R47" s="212">
        <f>IFERROR(Inv_SY!L48/Inv_SY!$Q48-1,"")</f>
        <v>-7.0918740614544951E-2</v>
      </c>
      <c r="S47" s="212">
        <f>IFERROR(Inv_SY!M48/Inv_SY!$Q48-1,"")</f>
        <v>-1.8156659871154668E-3</v>
      </c>
      <c r="T47" s="212">
        <f>IFERROR(Inv_SY!N48/Inv_SY!$Q48-1,"")</f>
        <v>0</v>
      </c>
      <c r="U47" s="213">
        <f>IFERROR(Inv_SY!O48/Inv_SY!$Q48-1,"")</f>
        <v>-2.2569095374104342E-2</v>
      </c>
    </row>
    <row r="48" spans="1:21">
      <c r="A48" s="216">
        <f t="shared" ref="A48" si="65">YEAR(H48)+IF(MONTH(H48)&gt;=4,1,0)</f>
        <v>2026</v>
      </c>
      <c r="B48" s="217">
        <f t="shared" ref="B48" si="66">YEAR(H48)</f>
        <v>2025</v>
      </c>
      <c r="C48" s="209" t="str">
        <f>TEXT(Table5[[#This Row],[Date]],"yyyy")</f>
        <v>2025</v>
      </c>
      <c r="D48" s="209" t="s">
        <v>224</v>
      </c>
      <c r="E48" s="209" t="s">
        <v>224</v>
      </c>
      <c r="F48" s="210" t="str">
        <f>TEXT(Table5[[#This Row],[Date]],"mmm-yy")</f>
        <v>May-25</v>
      </c>
      <c r="G48" s="209">
        <f t="shared" ref="G48" si="67">DAY(EOMONTH(F48,0))</f>
        <v>31</v>
      </c>
      <c r="H48" s="211">
        <f t="shared" si="4"/>
        <v>45791</v>
      </c>
      <c r="I48" s="209">
        <v>11.72</v>
      </c>
      <c r="J48" s="212">
        <f>IFERROR(Inv_SY!J49/Inv_SY!$P49-1,"")</f>
        <v>-1.4906357144049753E-2</v>
      </c>
      <c r="K48" s="212">
        <f>IFERROR(Inv_SY!K49/Inv_SY!$P49-1,"")</f>
        <v>2.1306769180342577E-3</v>
      </c>
      <c r="L48" s="212">
        <f>IFERROR(Inv_SY!L49/Inv_SY!$P49-1,"")</f>
        <v>-5.1801447322449179E-2</v>
      </c>
      <c r="M48" s="212">
        <f>IFERROR(Inv_SY!M49/Inv_SY!$P49-1,"")</f>
        <v>3.6153144039287266E-2</v>
      </c>
      <c r="N48" s="212">
        <f>IFERROR(Inv_SY!N49/Inv_SY!$P49-1,"")</f>
        <v>1.9776072064433325E-2</v>
      </c>
      <c r="O48" s="212">
        <f>IFERROR(Inv_SY!O49/Inv_SY!$P49-1,"")</f>
        <v>8.6479114447435279E-3</v>
      </c>
      <c r="P48" s="212">
        <f>IFERROR(Inv_SY!P49/Inv_SY!$P49-1,"")</f>
        <v>0</v>
      </c>
      <c r="Q48" s="212">
        <f>IFERROR(Inv_SY!Q49/Inv_SY!$P49-1,"")</f>
        <v>3.6153144039287266E-2</v>
      </c>
      <c r="R48" s="212">
        <f>IFERROR(Inv_SY!L49/Inv_SY!$Q49-1,"")</f>
        <v>-8.488570619865965E-2</v>
      </c>
      <c r="S48" s="212">
        <f>IFERROR(Inv_SY!M49/Inv_SY!$Q49-1,"")</f>
        <v>0</v>
      </c>
      <c r="T48" s="212">
        <f>IFERROR(Inv_SY!N49/Inv_SY!$Q49-1,"")</f>
        <v>-1.5805648102374503E-2</v>
      </c>
      <c r="U48" s="213">
        <f>IFERROR(Inv_SY!O49/Inv_SY!$Q49-1,"")</f>
        <v>-2.6545528286792353E-2</v>
      </c>
    </row>
    <row r="49" spans="1:21">
      <c r="A49" s="216">
        <f t="shared" ref="A49" si="68">YEAR(H49)+IF(MONTH(H49)&gt;=4,1,0)</f>
        <v>2026</v>
      </c>
      <c r="B49" s="217">
        <f t="shared" ref="B49" si="69">YEAR(H49)</f>
        <v>2025</v>
      </c>
      <c r="C49" s="209" t="str">
        <f>TEXT(Table5[[#This Row],[Date]],"yyyy")</f>
        <v>2025</v>
      </c>
      <c r="D49" s="209" t="s">
        <v>224</v>
      </c>
      <c r="E49" s="209" t="s">
        <v>224</v>
      </c>
      <c r="F49" s="210" t="str">
        <f>TEXT(Table5[[#This Row],[Date]],"mmm-yy")</f>
        <v>May-25</v>
      </c>
      <c r="G49" s="209">
        <f t="shared" ref="G49" si="70">DAY(EOMONTH(F49,0))</f>
        <v>31</v>
      </c>
      <c r="H49" s="211">
        <f t="shared" si="4"/>
        <v>45792</v>
      </c>
      <c r="I49" s="209">
        <v>11.72</v>
      </c>
      <c r="J49" s="212">
        <f>IFERROR(Inv_SY!J50/Inv_SY!$P50-1,"")</f>
        <v>-1.4532910371256258E-2</v>
      </c>
      <c r="K49" s="212">
        <f>IFERROR(Inv_SY!K50/Inv_SY!$P50-1,"")</f>
        <v>1.0698275204652274E-2</v>
      </c>
      <c r="L49" s="212">
        <f>IFERROR(Inv_SY!L50/Inv_SY!$P50-1,"")</f>
        <v>-3.1448162517702216E-2</v>
      </c>
      <c r="M49" s="212">
        <f>IFERROR(Inv_SY!M50/Inv_SY!$P50-1,"")</f>
        <v>6.9878308435520342E-3</v>
      </c>
      <c r="N49" s="212">
        <f>IFERROR(Inv_SY!N50/Inv_SY!$P50-1,"")</f>
        <v>1.5517112898964847E-2</v>
      </c>
      <c r="O49" s="212">
        <f>IFERROR(Inv_SY!O50/Inv_SY!$P50-1,"")</f>
        <v>1.2777853941789319E-2</v>
      </c>
      <c r="P49" s="212">
        <f>IFERROR(Inv_SY!P50/Inv_SY!$P50-1,"")</f>
        <v>0</v>
      </c>
      <c r="Q49" s="212">
        <f>IFERROR(Inv_SY!Q50/Inv_SY!$P50-1,"")</f>
        <v>1.5517112898964847E-2</v>
      </c>
      <c r="R49" s="212">
        <f>IFERROR(Inv_SY!L50/Inv_SY!$Q50-1,"")</f>
        <v>-4.6247645480435806E-2</v>
      </c>
      <c r="S49" s="212">
        <f>IFERROR(Inv_SY!M50/Inv_SY!$Q50-1,"")</f>
        <v>-8.398954529741598E-3</v>
      </c>
      <c r="T49" s="212">
        <f>IFERROR(Inv_SY!N50/Inv_SY!$Q50-1,"")</f>
        <v>0</v>
      </c>
      <c r="U49" s="213">
        <f>IFERROR(Inv_SY!O50/Inv_SY!$Q50-1,"")</f>
        <v>-2.6974030495221513E-3</v>
      </c>
    </row>
    <row r="50" spans="1:21">
      <c r="A50" s="216">
        <f t="shared" ref="A50" si="71">YEAR(H50)+IF(MONTH(H50)&gt;=4,1,0)</f>
        <v>2026</v>
      </c>
      <c r="B50" s="217">
        <f t="shared" ref="B50" si="72">YEAR(H50)</f>
        <v>2025</v>
      </c>
      <c r="C50" s="209" t="str">
        <f>TEXT(Table5[[#This Row],[Date]],"yyyy")</f>
        <v>2025</v>
      </c>
      <c r="D50" s="209" t="s">
        <v>224</v>
      </c>
      <c r="E50" s="209" t="s">
        <v>224</v>
      </c>
      <c r="F50" s="210" t="str">
        <f>TEXT(Table5[[#This Row],[Date]],"mmm-yy")</f>
        <v>May-25</v>
      </c>
      <c r="G50" s="209">
        <f t="shared" ref="G50" si="73">DAY(EOMONTH(F50,0))</f>
        <v>31</v>
      </c>
      <c r="H50" s="211">
        <f t="shared" si="4"/>
        <v>45793</v>
      </c>
      <c r="I50" s="209">
        <v>11.72</v>
      </c>
      <c r="J50" s="212">
        <f>IFERROR(Inv_SY!J51/Inv_SY!$P51-1,"")</f>
        <v>-1.6131071022557952E-2</v>
      </c>
      <c r="K50" s="212">
        <f>IFERROR(Inv_SY!K51/Inv_SY!$P51-1,"")</f>
        <v>-6.6772482873862504E-3</v>
      </c>
      <c r="L50" s="212">
        <f>IFERROR(Inv_SY!L51/Inv_SY!$P51-1,"")</f>
        <v>-4.2050692481986562E-2</v>
      </c>
      <c r="M50" s="212">
        <f>IFERROR(Inv_SY!M51/Inv_SY!$P51-1,"")</f>
        <v>1.5964437734368175E-2</v>
      </c>
      <c r="N50" s="212">
        <f>IFERROR(Inv_SY!N51/Inv_SY!$P51-1,"")</f>
        <v>3.1608638012007528E-2</v>
      </c>
      <c r="O50" s="212">
        <f>IFERROR(Inv_SY!O51/Inv_SY!$P51-1,"")</f>
        <v>1.7285936045555284E-2</v>
      </c>
      <c r="P50" s="212">
        <f>IFERROR(Inv_SY!P51/Inv_SY!$P51-1,"")</f>
        <v>0</v>
      </c>
      <c r="Q50" s="212">
        <f>IFERROR(Inv_SY!Q51/Inv_SY!$P51-1,"")</f>
        <v>3.1608638012007528E-2</v>
      </c>
      <c r="R50" s="212">
        <f>IFERROR(Inv_SY!L51/Inv_SY!$Q51-1,"")</f>
        <v>-7.1402397944187013E-2</v>
      </c>
      <c r="S50" s="212">
        <f>IFERROR(Inv_SY!M51/Inv_SY!$Q51-1,"")</f>
        <v>-1.5164859716361945E-2</v>
      </c>
      <c r="T50" s="212">
        <f>IFERROR(Inv_SY!N51/Inv_SY!$Q51-1,"")</f>
        <v>0</v>
      </c>
      <c r="U50" s="213">
        <f>IFERROR(Inv_SY!O51/Inv_SY!$Q51-1,"")</f>
        <v>-1.3883852304739541E-2</v>
      </c>
    </row>
    <row r="51" spans="1:21">
      <c r="A51" s="216">
        <f t="shared" ref="A51" si="74">YEAR(H51)+IF(MONTH(H51)&gt;=4,1,0)</f>
        <v>2026</v>
      </c>
      <c r="B51" s="217">
        <f t="shared" ref="B51" si="75">YEAR(H51)</f>
        <v>2025</v>
      </c>
      <c r="C51" s="209" t="str">
        <f>TEXT(Table5[[#This Row],[Date]],"yyyy")</f>
        <v>2025</v>
      </c>
      <c r="D51" s="209" t="s">
        <v>224</v>
      </c>
      <c r="E51" s="209" t="s">
        <v>224</v>
      </c>
      <c r="F51" s="210" t="str">
        <f>TEXT(Table5[[#This Row],[Date]],"mmm-yy")</f>
        <v>May-25</v>
      </c>
      <c r="G51" s="209">
        <f t="shared" ref="G51" si="76">DAY(EOMONTH(F51,0))</f>
        <v>31</v>
      </c>
      <c r="H51" s="211">
        <f t="shared" si="4"/>
        <v>45794</v>
      </c>
      <c r="I51" s="209">
        <v>11.72</v>
      </c>
      <c r="J51" s="212">
        <f>IFERROR(Inv_SY!J52/Inv_SY!$P52-1,"")</f>
        <v>-6.9643260782864536E-3</v>
      </c>
      <c r="K51" s="212">
        <f>IFERROR(Inv_SY!K52/Inv_SY!$P52-1,"")</f>
        <v>-1.560492284094106E-2</v>
      </c>
      <c r="L51" s="212">
        <f>IFERROR(Inv_SY!L52/Inv_SY!$P52-1,"")</f>
        <v>-4.869483226790805E-2</v>
      </c>
      <c r="M51" s="212">
        <f>IFERROR(Inv_SY!M52/Inv_SY!$P52-1,"")</f>
        <v>3.1399921122085672E-2</v>
      </c>
      <c r="N51" s="212">
        <f>IFERROR(Inv_SY!N52/Inv_SY!$P52-1,"")</f>
        <v>2.3453349718746352E-2</v>
      </c>
      <c r="O51" s="212">
        <f>IFERROR(Inv_SY!O52/Inv_SY!$P52-1,"")</f>
        <v>1.6410810346302762E-2</v>
      </c>
      <c r="P51" s="212">
        <f>IFERROR(Inv_SY!P52/Inv_SY!$P52-1,"")</f>
        <v>0</v>
      </c>
      <c r="Q51" s="212">
        <f>IFERROR(Inv_SY!Q52/Inv_SY!$P52-1,"")</f>
        <v>3.1399921122085672E-2</v>
      </c>
      <c r="R51" s="212">
        <f>IFERROR(Inv_SY!L52/Inv_SY!$Q52-1,"")</f>
        <v>-7.7656350121548035E-2</v>
      </c>
      <c r="S51" s="212">
        <f>IFERROR(Inv_SY!M52/Inv_SY!$Q52-1,"")</f>
        <v>0</v>
      </c>
      <c r="T51" s="212">
        <f>IFERROR(Inv_SY!N52/Inv_SY!$Q52-1,"")</f>
        <v>-7.704646122809522E-3</v>
      </c>
      <c r="U51" s="213">
        <f>IFERROR(Inv_SY!O52/Inv_SY!$Q52-1,"")</f>
        <v>-1.4532782550027545E-2</v>
      </c>
    </row>
    <row r="52" spans="1:21">
      <c r="A52" s="216">
        <f t="shared" ref="A52" si="77">YEAR(H52)+IF(MONTH(H52)&gt;=4,1,0)</f>
        <v>2026</v>
      </c>
      <c r="B52" s="217">
        <f t="shared" ref="B52" si="78">YEAR(H52)</f>
        <v>2025</v>
      </c>
      <c r="C52" s="209" t="str">
        <f>TEXT(Table5[[#This Row],[Date]],"yyyy")</f>
        <v>2025</v>
      </c>
      <c r="D52" s="209" t="s">
        <v>224</v>
      </c>
      <c r="E52" s="209" t="s">
        <v>224</v>
      </c>
      <c r="F52" s="210" t="str">
        <f>TEXT(Table5[[#This Row],[Date]],"mmm-yy")</f>
        <v>May-25</v>
      </c>
      <c r="G52" s="209">
        <f t="shared" ref="G52" si="79">DAY(EOMONTH(F52,0))</f>
        <v>31</v>
      </c>
      <c r="H52" s="211">
        <f t="shared" si="4"/>
        <v>45795</v>
      </c>
      <c r="I52" s="209">
        <v>11.72</v>
      </c>
      <c r="J52" s="212">
        <f>IFERROR(Inv_SY!J53/Inv_SY!$P53-1,"")</f>
        <v>-6.7597086869052303E-3</v>
      </c>
      <c r="K52" s="212">
        <f>IFERROR(Inv_SY!K53/Inv_SY!$P53-1,"")</f>
        <v>-5.0690120974470343E-3</v>
      </c>
      <c r="L52" s="212">
        <f>IFERROR(Inv_SY!L53/Inv_SY!$P53-1,"")</f>
        <v>-4.0889258039418008E-2</v>
      </c>
      <c r="M52" s="212">
        <f>IFERROR(Inv_SY!M53/Inv_SY!$P53-1,"")</f>
        <v>1.6992647638478076E-2</v>
      </c>
      <c r="N52" s="212">
        <f>IFERROR(Inv_SY!N53/Inv_SY!$P53-1,"")</f>
        <v>1.5307924471320566E-2</v>
      </c>
      <c r="O52" s="212">
        <f>IFERROR(Inv_SY!O53/Inv_SY!$P53-1,"")</f>
        <v>2.0417406713971076E-2</v>
      </c>
      <c r="P52" s="212">
        <f>IFERROR(Inv_SY!P53/Inv_SY!$P53-1,"")</f>
        <v>0</v>
      </c>
      <c r="Q52" s="212">
        <f>IFERROR(Inv_SY!Q53/Inv_SY!$P53-1,"")</f>
        <v>2.0417406713971076E-2</v>
      </c>
      <c r="R52" s="212">
        <f>IFERROR(Inv_SY!L53/Inv_SY!$Q53-1,"")</f>
        <v>-6.0079987218969233E-2</v>
      </c>
      <c r="S52" s="212">
        <f>IFERROR(Inv_SY!M53/Inv_SY!$Q53-1,"")</f>
        <v>-3.3562334912746739E-3</v>
      </c>
      <c r="T52" s="212">
        <f>IFERROR(Inv_SY!N53/Inv_SY!$Q53-1,"")</f>
        <v>-5.0072472392493905E-3</v>
      </c>
      <c r="U52" s="213">
        <f>IFERROR(Inv_SY!O53/Inv_SY!$Q53-1,"")</f>
        <v>0</v>
      </c>
    </row>
    <row r="53" spans="1:21">
      <c r="A53" s="216">
        <f t="shared" ref="A53" si="80">YEAR(H53)+IF(MONTH(H53)&gt;=4,1,0)</f>
        <v>2026</v>
      </c>
      <c r="B53" s="217">
        <f t="shared" ref="B53" si="81">YEAR(H53)</f>
        <v>2025</v>
      </c>
      <c r="C53" s="209" t="str">
        <f>TEXT(Table5[[#This Row],[Date]],"yyyy")</f>
        <v>2025</v>
      </c>
      <c r="D53" s="209" t="s">
        <v>224</v>
      </c>
      <c r="E53" s="209" t="s">
        <v>224</v>
      </c>
      <c r="F53" s="210" t="str">
        <f>TEXT(Table5[[#This Row],[Date]],"mmm-yy")</f>
        <v>May-25</v>
      </c>
      <c r="G53" s="209">
        <f t="shared" ref="G53" si="82">DAY(EOMONTH(F53,0))</f>
        <v>31</v>
      </c>
      <c r="H53" s="211">
        <f t="shared" si="4"/>
        <v>45796</v>
      </c>
      <c r="I53" s="209">
        <v>11.72</v>
      </c>
      <c r="J53" s="212">
        <f>IFERROR(Inv_SY!J54/Inv_SY!$P54-1,"")</f>
        <v>-1.3810879934945675E-2</v>
      </c>
      <c r="K53" s="212">
        <f>IFERROR(Inv_SY!K54/Inv_SY!$P54-1,"")</f>
        <v>1.6286135834543636E-2</v>
      </c>
      <c r="L53" s="212">
        <f>IFERROR(Inv_SY!L54/Inv_SY!$P54-1,"")</f>
        <v>-8.1511709652452025E-3</v>
      </c>
      <c r="M53" s="212">
        <f>IFERROR(Inv_SY!M54/Inv_SY!$P54-1,"")</f>
        <v>1.9354638616016384E-2</v>
      </c>
      <c r="N53" s="212">
        <f>IFERROR(Inv_SY!N54/Inv_SY!$P54-1,"")</f>
        <v>-1.8443542481323405E-3</v>
      </c>
      <c r="O53" s="212">
        <f>IFERROR(Inv_SY!O54/Inv_SY!$P54-1,"")</f>
        <v>-1.1834369302237469E-2</v>
      </c>
      <c r="P53" s="212">
        <f>IFERROR(Inv_SY!P54/Inv_SY!$P54-1,"")</f>
        <v>0</v>
      </c>
      <c r="Q53" s="212">
        <f>IFERROR(Inv_SY!Q54/Inv_SY!$P54-1,"")</f>
        <v>1.9354638616016384E-2</v>
      </c>
      <c r="R53" s="212">
        <f>IFERROR(Inv_SY!L54/Inv_SY!$Q54-1,"")</f>
        <v>-2.698355267074326E-2</v>
      </c>
      <c r="S53" s="212">
        <f>IFERROR(Inv_SY!M54/Inv_SY!$Q54-1,"")</f>
        <v>0</v>
      </c>
      <c r="T53" s="212">
        <f>IFERROR(Inv_SY!N54/Inv_SY!$Q54-1,"")</f>
        <v>-2.0796484423645456E-2</v>
      </c>
      <c r="U53" s="213">
        <f>IFERROR(Inv_SY!O54/Inv_SY!$Q54-1,"")</f>
        <v>-3.0596817571360124E-2</v>
      </c>
    </row>
    <row r="54" spans="1:21">
      <c r="A54" s="216">
        <f t="shared" ref="A54" si="83">YEAR(H54)+IF(MONTH(H54)&gt;=4,1,0)</f>
        <v>2026</v>
      </c>
      <c r="B54" s="217">
        <f t="shared" ref="B54" si="84">YEAR(H54)</f>
        <v>2025</v>
      </c>
      <c r="C54" s="209" t="str">
        <f>TEXT(Table5[[#This Row],[Date]],"yyyy")</f>
        <v>2025</v>
      </c>
      <c r="D54" s="209" t="s">
        <v>224</v>
      </c>
      <c r="E54" s="209" t="s">
        <v>224</v>
      </c>
      <c r="F54" s="210" t="str">
        <f>TEXT(Table5[[#This Row],[Date]],"mmm-yy")</f>
        <v>May-25</v>
      </c>
      <c r="G54" s="209">
        <f t="shared" ref="G54" si="85">DAY(EOMONTH(F54,0))</f>
        <v>31</v>
      </c>
      <c r="H54" s="211">
        <f t="shared" si="4"/>
        <v>45797</v>
      </c>
      <c r="I54" s="209">
        <v>11.72</v>
      </c>
      <c r="J54" s="212">
        <f>IFERROR(Inv_SY!J55/Inv_SY!$P55-1,"")</f>
        <v>5.4160667078417823E-4</v>
      </c>
      <c r="K54" s="212">
        <f>IFERROR(Inv_SY!K55/Inv_SY!$P55-1,"")</f>
        <v>-1.9113664571666633E-2</v>
      </c>
      <c r="L54" s="212">
        <f>IFERROR(Inv_SY!L55/Inv_SY!$P55-1,"")</f>
        <v>-4.7466408989467745E-2</v>
      </c>
      <c r="M54" s="212">
        <f>IFERROR(Inv_SY!M55/Inv_SY!$P55-1,"")</f>
        <v>2.1666106662778573E-2</v>
      </c>
      <c r="N54" s="212">
        <f>IFERROR(Inv_SY!N55/Inv_SY!$P55-1,"")</f>
        <v>1.5957387449466953E-2</v>
      </c>
      <c r="O54" s="212">
        <f>IFERROR(Inv_SY!O55/Inv_SY!$P55-1,"")</f>
        <v>2.8414972778104675E-2</v>
      </c>
      <c r="P54" s="212">
        <f>IFERROR(Inv_SY!P55/Inv_SY!$P55-1,"")</f>
        <v>0</v>
      </c>
      <c r="Q54" s="212">
        <f>IFERROR(Inv_SY!Q55/Inv_SY!$P55-1,"")</f>
        <v>2.8414972778104675E-2</v>
      </c>
      <c r="R54" s="212">
        <f>IFERROR(Inv_SY!L55/Inv_SY!$Q55-1,"")</f>
        <v>-7.3784788996790418E-2</v>
      </c>
      <c r="S54" s="212">
        <f>IFERROR(Inv_SY!M55/Inv_SY!$Q55-1,"")</f>
        <v>-6.562395816831712E-3</v>
      </c>
      <c r="T54" s="212">
        <f>IFERROR(Inv_SY!N55/Inv_SY!$Q55-1,"")</f>
        <v>-1.2113383856115489E-2</v>
      </c>
      <c r="U54" s="213">
        <f>IFERROR(Inv_SY!O55/Inv_SY!$Q55-1,"")</f>
        <v>0</v>
      </c>
    </row>
    <row r="55" spans="1:21">
      <c r="A55" s="216">
        <f t="shared" ref="A55" si="86">YEAR(H55)+IF(MONTH(H55)&gt;=4,1,0)</f>
        <v>2026</v>
      </c>
      <c r="B55" s="217">
        <f t="shared" ref="B55" si="87">YEAR(H55)</f>
        <v>2025</v>
      </c>
      <c r="C55" s="209" t="str">
        <f>TEXT(Table5[[#This Row],[Date]],"yyyy")</f>
        <v>2025</v>
      </c>
      <c r="D55" s="209" t="s">
        <v>224</v>
      </c>
      <c r="E55" s="209" t="s">
        <v>224</v>
      </c>
      <c r="F55" s="210" t="str">
        <f>TEXT(Table5[[#This Row],[Date]],"mmm-yy")</f>
        <v>May-25</v>
      </c>
      <c r="G55" s="209">
        <f t="shared" ref="G55" si="88">DAY(EOMONTH(F55,0))</f>
        <v>31</v>
      </c>
      <c r="H55" s="211">
        <f t="shared" si="4"/>
        <v>45798</v>
      </c>
      <c r="I55" s="209">
        <v>11.72</v>
      </c>
      <c r="J55" s="212">
        <f>IFERROR(Inv_SY!J56/Inv_SY!$P56-1,"")</f>
        <v>-3.3268156441546015E-4</v>
      </c>
      <c r="K55" s="212">
        <f>IFERROR(Inv_SY!K56/Inv_SY!$P56-1,"")</f>
        <v>-2.6130705223409434E-3</v>
      </c>
      <c r="L55" s="212">
        <f>IFERROR(Inv_SY!L56/Inv_SY!$P56-1,"")</f>
        <v>-1.5657660444880594E-2</v>
      </c>
      <c r="M55" s="212">
        <f>IFERROR(Inv_SY!M56/Inv_SY!$P56-1,"")</f>
        <v>5.6366470847559746E-3</v>
      </c>
      <c r="N55" s="212">
        <f>IFERROR(Inv_SY!N56/Inv_SY!$P56-1,"")</f>
        <v>8.425953182128243E-3</v>
      </c>
      <c r="O55" s="212">
        <f>IFERROR(Inv_SY!O56/Inv_SY!$P56-1,"")</f>
        <v>4.5408122647534466E-3</v>
      </c>
      <c r="P55" s="212">
        <f>IFERROR(Inv_SY!P56/Inv_SY!$P56-1,"")</f>
        <v>0</v>
      </c>
      <c r="Q55" s="212">
        <f>IFERROR(Inv_SY!Q56/Inv_SY!$P56-1,"")</f>
        <v>8.425953182128243E-3</v>
      </c>
      <c r="R55" s="212">
        <f>IFERROR(Inv_SY!L56/Inv_SY!$Q56-1,"")</f>
        <v>-2.3882381796116903E-2</v>
      </c>
      <c r="S55" s="212">
        <f>IFERROR(Inv_SY!M56/Inv_SY!$Q56-1,"")</f>
        <v>-2.7659999116151912E-3</v>
      </c>
      <c r="T55" s="212">
        <f>IFERROR(Inv_SY!N56/Inv_SY!$Q56-1,"")</f>
        <v>0</v>
      </c>
      <c r="U55" s="213">
        <f>IFERROR(Inv_SY!O56/Inv_SY!$Q56-1,"")</f>
        <v>-3.852678429303702E-3</v>
      </c>
    </row>
    <row r="56" spans="1:21">
      <c r="A56" s="216">
        <f t="shared" ref="A56" si="89">YEAR(H56)+IF(MONTH(H56)&gt;=4,1,0)</f>
        <v>2026</v>
      </c>
      <c r="B56" s="217">
        <f t="shared" ref="B56" si="90">YEAR(H56)</f>
        <v>2025</v>
      </c>
      <c r="C56" s="209" t="str">
        <f>TEXT(Table5[[#This Row],[Date]],"yyyy")</f>
        <v>2025</v>
      </c>
      <c r="D56" s="209" t="s">
        <v>224</v>
      </c>
      <c r="E56" s="209" t="s">
        <v>224</v>
      </c>
      <c r="F56" s="210" t="str">
        <f>TEXT(Table5[[#This Row],[Date]],"mmm-yy")</f>
        <v>May-25</v>
      </c>
      <c r="G56" s="209">
        <f t="shared" ref="G56" si="91">DAY(EOMONTH(F56,0))</f>
        <v>31</v>
      </c>
      <c r="H56" s="211">
        <f t="shared" si="4"/>
        <v>45799</v>
      </c>
      <c r="I56" s="209">
        <v>11.72</v>
      </c>
      <c r="J56" s="212">
        <f>IFERROR(Inv_SY!J57/Inv_SY!$P57-1,"")</f>
        <v>-1.9799066448812574E-2</v>
      </c>
      <c r="K56" s="212">
        <f>IFERROR(Inv_SY!K57/Inv_SY!$P57-1,"")</f>
        <v>2.4443611180026581E-2</v>
      </c>
      <c r="L56" s="212">
        <f>IFERROR(Inv_SY!L57/Inv_SY!$P57-1,"")</f>
        <v>-0.17478346509860077</v>
      </c>
      <c r="M56" s="212">
        <f>IFERROR(Inv_SY!M57/Inv_SY!$P57-1,"")</f>
        <v>6.9279946690752769E-2</v>
      </c>
      <c r="N56" s="212">
        <f>IFERROR(Inv_SY!N57/Inv_SY!$P57-1,"")</f>
        <v>5.2479254000827646E-2</v>
      </c>
      <c r="O56" s="212">
        <f>IFERROR(Inv_SY!O57/Inv_SY!$P57-1,"")</f>
        <v>4.8379719675806898E-2</v>
      </c>
      <c r="P56" s="212">
        <f>IFERROR(Inv_SY!P57/Inv_SY!$P57-1,"")</f>
        <v>0</v>
      </c>
      <c r="Q56" s="212">
        <f>IFERROR(Inv_SY!Q57/Inv_SY!$P57-1,"")</f>
        <v>6.9279946690752769E-2</v>
      </c>
      <c r="R56" s="212">
        <f>IFERROR(Inv_SY!L57/Inv_SY!$Q57-1,"")</f>
        <v>-0.22825024685508222</v>
      </c>
      <c r="S56" s="212">
        <f>IFERROR(Inv_SY!M57/Inv_SY!$Q57-1,"")</f>
        <v>0</v>
      </c>
      <c r="T56" s="212">
        <f>IFERROR(Inv_SY!N57/Inv_SY!$Q57-1,"")</f>
        <v>-1.5712155401324535E-2</v>
      </c>
      <c r="U56" s="213">
        <f>IFERROR(Inv_SY!O57/Inv_SY!$Q57-1,"")</f>
        <v>-1.954607591737656E-2</v>
      </c>
    </row>
    <row r="57" spans="1:21">
      <c r="A57" s="216">
        <f t="shared" ref="A57" si="92">YEAR(H57)+IF(MONTH(H57)&gt;=4,1,0)</f>
        <v>2026</v>
      </c>
      <c r="B57" s="217">
        <f t="shared" ref="B57" si="93">YEAR(H57)</f>
        <v>2025</v>
      </c>
      <c r="C57" s="209" t="str">
        <f>TEXT(Table5[[#This Row],[Date]],"yyyy")</f>
        <v>2025</v>
      </c>
      <c r="D57" s="209" t="s">
        <v>224</v>
      </c>
      <c r="E57" s="209" t="s">
        <v>224</v>
      </c>
      <c r="F57" s="210" t="str">
        <f>TEXT(Table5[[#This Row],[Date]],"mmm-yy")</f>
        <v>May-25</v>
      </c>
      <c r="G57" s="209">
        <f t="shared" ref="G57" si="94">DAY(EOMONTH(F57,0))</f>
        <v>31</v>
      </c>
      <c r="H57" s="211">
        <f t="shared" si="4"/>
        <v>45800</v>
      </c>
      <c r="I57" s="209">
        <v>11.72</v>
      </c>
      <c r="J57" s="212">
        <f>IFERROR(Inv_SY!J58/Inv_SY!$P58-1,"")</f>
        <v>1.3865632957975382E-2</v>
      </c>
      <c r="K57" s="212">
        <f>IFERROR(Inv_SY!K58/Inv_SY!$P58-1,"")</f>
        <v>-2.8576858556184082E-2</v>
      </c>
      <c r="L57" s="212">
        <f>IFERROR(Inv_SY!L58/Inv_SY!$P58-1,"")</f>
        <v>-9.0633423215397357E-2</v>
      </c>
      <c r="M57" s="212">
        <f>IFERROR(Inv_SY!M58/Inv_SY!$P58-1,"")</f>
        <v>3.4987680230365692E-2</v>
      </c>
      <c r="N57" s="212">
        <f>IFERROR(Inv_SY!N58/Inv_SY!$P58-1,"")</f>
        <v>1.4644977660226655E-2</v>
      </c>
      <c r="O57" s="212">
        <f>IFERROR(Inv_SY!O58/Inv_SY!$P58-1,"")</f>
        <v>5.5711990923014376E-2</v>
      </c>
      <c r="P57" s="212">
        <f>IFERROR(Inv_SY!P58/Inv_SY!$P58-1,"")</f>
        <v>0</v>
      </c>
      <c r="Q57" s="212">
        <f>IFERROR(Inv_SY!Q58/Inv_SY!$P58-1,"")</f>
        <v>5.5711990923014376E-2</v>
      </c>
      <c r="R57" s="212">
        <f>IFERROR(Inv_SY!L58/Inv_SY!$Q58-1,"")</f>
        <v>-0.1386224798019593</v>
      </c>
      <c r="S57" s="212">
        <f>IFERROR(Inv_SY!M58/Inv_SY!$Q58-1,"")</f>
        <v>-1.9630648198406209E-2</v>
      </c>
      <c r="T57" s="212">
        <f>IFERROR(Inv_SY!N58/Inv_SY!$Q58-1,"")</f>
        <v>-3.8899826482867383E-2</v>
      </c>
      <c r="U57" s="213">
        <f>IFERROR(Inv_SY!O58/Inv_SY!$Q58-1,"")</f>
        <v>0</v>
      </c>
    </row>
    <row r="58" spans="1:21">
      <c r="A58" s="216">
        <f t="shared" ref="A58" si="95">YEAR(H58)+IF(MONTH(H58)&gt;=4,1,0)</f>
        <v>2026</v>
      </c>
      <c r="B58" s="217">
        <f t="shared" ref="B58" si="96">YEAR(H58)</f>
        <v>2025</v>
      </c>
      <c r="C58" s="209" t="str">
        <f>TEXT(Table5[[#This Row],[Date]],"yyyy")</f>
        <v>2025</v>
      </c>
      <c r="D58" s="209" t="s">
        <v>224</v>
      </c>
      <c r="E58" s="209" t="s">
        <v>224</v>
      </c>
      <c r="F58" s="210" t="str">
        <f>TEXT(Table5[[#This Row],[Date]],"mmm-yy")</f>
        <v>May-25</v>
      </c>
      <c r="G58" s="209">
        <f t="shared" ref="G58" si="97">DAY(EOMONTH(F58,0))</f>
        <v>31</v>
      </c>
      <c r="H58" s="211">
        <f t="shared" si="4"/>
        <v>45801</v>
      </c>
      <c r="I58" s="209">
        <v>11.72</v>
      </c>
      <c r="J58" s="212">
        <f>IFERROR(Inv_SY!J59/Inv_SY!$P59-1,"")</f>
        <v>1.3446753701031877E-3</v>
      </c>
      <c r="K58" s="212">
        <f>IFERROR(Inv_SY!K59/Inv_SY!$P59-1,"")</f>
        <v>-1.7454747427482209E-3</v>
      </c>
      <c r="L58" s="212">
        <f>IFERROR(Inv_SY!L59/Inv_SY!$P59-1,"")</f>
        <v>-1.0672061079305184E-2</v>
      </c>
      <c r="M58" s="212">
        <f>IFERROR(Inv_SY!M59/Inv_SY!$P59-1,"")</f>
        <v>4.6935606223890147E-3</v>
      </c>
      <c r="N58" s="212">
        <f>IFERROR(Inv_SY!N59/Inv_SY!$P59-1,"")</f>
        <v>-8.3651259065505856E-3</v>
      </c>
      <c r="O58" s="212">
        <f>IFERROR(Inv_SY!O59/Inv_SY!$P59-1,"")</f>
        <v>1.4744425736111122E-2</v>
      </c>
      <c r="P58" s="212">
        <f>IFERROR(Inv_SY!P59/Inv_SY!$P59-1,"")</f>
        <v>0</v>
      </c>
      <c r="Q58" s="212">
        <f>IFERROR(Inv_SY!Q59/Inv_SY!$P59-1,"")</f>
        <v>1.4744425736111122E-2</v>
      </c>
      <c r="R58" s="212">
        <f>IFERROR(Inv_SY!L59/Inv_SY!$Q59-1,"")</f>
        <v>-2.5047180522306367E-2</v>
      </c>
      <c r="S58" s="212">
        <f>IFERROR(Inv_SY!M59/Inv_SY!$Q59-1,"")</f>
        <v>-9.9048241693281414E-3</v>
      </c>
      <c r="T58" s="212">
        <f>IFERROR(Inv_SY!N59/Inv_SY!$Q59-1,"")</f>
        <v>-2.277376554781041E-2</v>
      </c>
      <c r="U58" s="213">
        <f>IFERROR(Inv_SY!O59/Inv_SY!$Q59-1,"")</f>
        <v>0</v>
      </c>
    </row>
    <row r="59" spans="1:21">
      <c r="A59" s="216">
        <f t="shared" ref="A59" si="98">YEAR(H59)+IF(MONTH(H59)&gt;=4,1,0)</f>
        <v>2026</v>
      </c>
      <c r="B59" s="217">
        <f t="shared" ref="B59" si="99">YEAR(H59)</f>
        <v>2025</v>
      </c>
      <c r="C59" s="209" t="str">
        <f>TEXT(Table5[[#This Row],[Date]],"yyyy")</f>
        <v>2025</v>
      </c>
      <c r="D59" s="209" t="s">
        <v>224</v>
      </c>
      <c r="E59" s="209" t="s">
        <v>224</v>
      </c>
      <c r="F59" s="210" t="str">
        <f>TEXT(Table5[[#This Row],[Date]],"mmm-yy")</f>
        <v>May-25</v>
      </c>
      <c r="G59" s="209">
        <f t="shared" ref="G59" si="100">DAY(EOMONTH(F59,0))</f>
        <v>31</v>
      </c>
      <c r="H59" s="211">
        <f t="shared" si="4"/>
        <v>45802</v>
      </c>
      <c r="I59" s="209">
        <v>11.72</v>
      </c>
      <c r="J59" s="212">
        <f>IFERROR(Inv_SY!J60/Inv_SY!$P60-1,"")</f>
        <v>-4.4377239786200784E-3</v>
      </c>
      <c r="K59" s="212">
        <f>IFERROR(Inv_SY!K60/Inv_SY!$P60-1,"")</f>
        <v>2.2881269229463985E-2</v>
      </c>
      <c r="L59" s="212">
        <f>IFERROR(Inv_SY!L60/Inv_SY!$P60-1,"")</f>
        <v>-1.2670794176381839E-2</v>
      </c>
      <c r="M59" s="212">
        <f>IFERROR(Inv_SY!M60/Inv_SY!$P60-1,"")</f>
        <v>1.4893770270999473E-2</v>
      </c>
      <c r="N59" s="212">
        <f>IFERROR(Inv_SY!N60/Inv_SY!$P60-1,"")</f>
        <v>-2.8695916476999983E-2</v>
      </c>
      <c r="O59" s="212">
        <f>IFERROR(Inv_SY!O60/Inv_SY!$P60-1,"")</f>
        <v>8.0293951315382195E-3</v>
      </c>
      <c r="P59" s="212">
        <f>IFERROR(Inv_SY!P60/Inv_SY!$P60-1,"")</f>
        <v>0</v>
      </c>
      <c r="Q59" s="212">
        <f>IFERROR(Inv_SY!Q60/Inv_SY!$P60-1,"")</f>
        <v>2.2881269229463985E-2</v>
      </c>
      <c r="R59" s="212">
        <f>IFERROR(Inv_SY!L60/Inv_SY!$Q60-1,"")</f>
        <v>-3.4756784071945379E-2</v>
      </c>
      <c r="S59" s="212">
        <f>IFERROR(Inv_SY!M60/Inv_SY!$Q60-1,"")</f>
        <v>-7.8088231730761848E-3</v>
      </c>
      <c r="T59" s="212">
        <f>IFERROR(Inv_SY!N60/Inv_SY!$Q60-1,"")</f>
        <v>-5.0423433547978735E-2</v>
      </c>
      <c r="U59" s="213">
        <f>IFERROR(Inv_SY!O60/Inv_SY!$Q60-1,"")</f>
        <v>-1.4519646164909972E-2</v>
      </c>
    </row>
    <row r="60" spans="1:21">
      <c r="A60" s="216">
        <f t="shared" ref="A60" si="101">YEAR(H60)+IF(MONTH(H60)&gt;=4,1,0)</f>
        <v>2026</v>
      </c>
      <c r="B60" s="217">
        <f t="shared" ref="B60" si="102">YEAR(H60)</f>
        <v>2025</v>
      </c>
      <c r="C60" s="209" t="str">
        <f>TEXT(Table5[[#This Row],[Date]],"yyyy")</f>
        <v>2025</v>
      </c>
      <c r="D60" s="209" t="s">
        <v>224</v>
      </c>
      <c r="E60" s="209" t="s">
        <v>224</v>
      </c>
      <c r="F60" s="210" t="str">
        <f>TEXT(Table5[[#This Row],[Date]],"mmm-yy")</f>
        <v>May-25</v>
      </c>
      <c r="G60" s="209">
        <f t="shared" ref="G60" si="103">DAY(EOMONTH(F60,0))</f>
        <v>31</v>
      </c>
      <c r="H60" s="211">
        <f t="shared" si="4"/>
        <v>45803</v>
      </c>
      <c r="I60" s="209">
        <v>11.72</v>
      </c>
      <c r="J60" s="212">
        <f>IFERROR(Inv_SY!J61/Inv_SY!$P61-1,"")</f>
        <v>-6.5416363066640448E-3</v>
      </c>
      <c r="K60" s="212">
        <f>IFERROR(Inv_SY!K61/Inv_SY!$P61-1,"")</f>
        <v>1.6725350511157755E-2</v>
      </c>
      <c r="L60" s="212">
        <f>IFERROR(Inv_SY!L61/Inv_SY!$P61-1,"")</f>
        <v>1.8441826287085572E-3</v>
      </c>
      <c r="M60" s="212">
        <f>IFERROR(Inv_SY!M61/Inv_SY!$P61-1,"")</f>
        <v>4.1141427146897946E-3</v>
      </c>
      <c r="N60" s="212">
        <f>IFERROR(Inv_SY!N61/Inv_SY!$P61-1,"")</f>
        <v>-4.1981449915537983E-3</v>
      </c>
      <c r="O60" s="212">
        <f>IFERROR(Inv_SY!O61/Inv_SY!$P61-1,"")</f>
        <v>-1.1943894556338375E-2</v>
      </c>
      <c r="P60" s="212">
        <f>IFERROR(Inv_SY!P61/Inv_SY!$P61-1,"")</f>
        <v>0</v>
      </c>
      <c r="Q60" s="212">
        <f>IFERROR(Inv_SY!Q61/Inv_SY!$P61-1,"")</f>
        <v>1.6725350511157755E-2</v>
      </c>
      <c r="R60" s="212">
        <f>IFERROR(Inv_SY!L61/Inv_SY!$Q61-1,"")</f>
        <v>-1.4636369472805666E-2</v>
      </c>
      <c r="S60" s="212">
        <f>IFERROR(Inv_SY!M61/Inv_SY!$Q61-1,"")</f>
        <v>-1.240375071805544E-2</v>
      </c>
      <c r="T60" s="212">
        <f>IFERROR(Inv_SY!N61/Inv_SY!$Q61-1,"")</f>
        <v>-2.0579299505212756E-2</v>
      </c>
      <c r="U60" s="213">
        <f>IFERROR(Inv_SY!O61/Inv_SY!$Q61-1,"")</f>
        <v>-2.8197629825087667E-2</v>
      </c>
    </row>
    <row r="61" spans="1:21">
      <c r="A61" s="216">
        <f t="shared" ref="A61" si="104">YEAR(H61)+IF(MONTH(H61)&gt;=4,1,0)</f>
        <v>2026</v>
      </c>
      <c r="B61" s="217">
        <f t="shared" ref="B61" si="105">YEAR(H61)</f>
        <v>2025</v>
      </c>
      <c r="C61" s="209" t="str">
        <f>TEXT(Table5[[#This Row],[Date]],"yyyy")</f>
        <v>2025</v>
      </c>
      <c r="D61" s="209" t="s">
        <v>224</v>
      </c>
      <c r="E61" s="209" t="s">
        <v>224</v>
      </c>
      <c r="F61" s="210" t="str">
        <f>TEXT(Table5[[#This Row],[Date]],"mmm-yy")</f>
        <v>May-25</v>
      </c>
      <c r="G61" s="209">
        <f t="shared" ref="G61" si="106">DAY(EOMONTH(F61,0))</f>
        <v>31</v>
      </c>
      <c r="H61" s="211">
        <f t="shared" si="4"/>
        <v>45804</v>
      </c>
      <c r="I61" s="209">
        <v>11.72</v>
      </c>
      <c r="J61" s="212">
        <f>IFERROR(Inv_SY!J62/Inv_SY!$P62-1,"")</f>
        <v>-2.3370684710566358E-3</v>
      </c>
      <c r="K61" s="212">
        <f>IFERROR(Inv_SY!K62/Inv_SY!$P62-1,"")</f>
        <v>-8.3723398801128779E-3</v>
      </c>
      <c r="L61" s="212">
        <f>IFERROR(Inv_SY!L62/Inv_SY!$P62-1,"")</f>
        <v>-2.4433252954139895E-2</v>
      </c>
      <c r="M61" s="212">
        <f>IFERROR(Inv_SY!M62/Inv_SY!$P62-1,"")</f>
        <v>4.0994748436289363E-3</v>
      </c>
      <c r="N61" s="212">
        <f>IFERROR(Inv_SY!N62/Inv_SY!$P62-1,"")</f>
        <v>2.0072136781519756E-2</v>
      </c>
      <c r="O61" s="212">
        <f>IFERROR(Inv_SY!O62/Inv_SY!$P62-1,"")</f>
        <v>1.0971049680161604E-2</v>
      </c>
      <c r="P61" s="212">
        <f>IFERROR(Inv_SY!P62/Inv_SY!$P62-1,"")</f>
        <v>0</v>
      </c>
      <c r="Q61" s="212">
        <f>IFERROR(Inv_SY!Q62/Inv_SY!$P62-1,"")</f>
        <v>2.0072136781519756E-2</v>
      </c>
      <c r="R61" s="212">
        <f>IFERROR(Inv_SY!L62/Inv_SY!$Q62-1,"")</f>
        <v>-4.3629649444284269E-2</v>
      </c>
      <c r="S61" s="212">
        <f>IFERROR(Inv_SY!M62/Inv_SY!$Q62-1,"")</f>
        <v>-1.5658365091989479E-2</v>
      </c>
      <c r="T61" s="212">
        <f>IFERROR(Inv_SY!N62/Inv_SY!$Q62-1,"")</f>
        <v>0</v>
      </c>
      <c r="U61" s="213">
        <f>IFERROR(Inv_SY!O62/Inv_SY!$Q62-1,"")</f>
        <v>-8.9220034281825011E-3</v>
      </c>
    </row>
    <row r="62" spans="1:21">
      <c r="A62" s="216">
        <f t="shared" ref="A62" si="107">YEAR(H62)+IF(MONTH(H62)&gt;=4,1,0)</f>
        <v>2026</v>
      </c>
      <c r="B62" s="217">
        <f t="shared" ref="B62" si="108">YEAR(H62)</f>
        <v>2025</v>
      </c>
      <c r="C62" s="209" t="str">
        <f>TEXT(Table5[[#This Row],[Date]],"yyyy")</f>
        <v>2025</v>
      </c>
      <c r="D62" s="209" t="s">
        <v>224</v>
      </c>
      <c r="E62" s="209" t="s">
        <v>224</v>
      </c>
      <c r="F62" s="210" t="str">
        <f>TEXT(Table5[[#This Row],[Date]],"mmm-yy")</f>
        <v>May-25</v>
      </c>
      <c r="G62" s="209">
        <f t="shared" ref="G62" si="109">DAY(EOMONTH(F62,0))</f>
        <v>31</v>
      </c>
      <c r="H62" s="211">
        <f t="shared" si="4"/>
        <v>45805</v>
      </c>
      <c r="I62" s="209">
        <v>11.72</v>
      </c>
      <c r="J62" s="212">
        <f>IFERROR(Inv_SY!J63/Inv_SY!$P63-1,"")</f>
        <v>-2.4024929489034008E-2</v>
      </c>
      <c r="K62" s="212">
        <f>IFERROR(Inv_SY!K63/Inv_SY!$P63-1,"")</f>
        <v>-3.0169053898903786E-2</v>
      </c>
      <c r="L62" s="212">
        <f>IFERROR(Inv_SY!L63/Inv_SY!$P63-1,"")</f>
        <v>-5.8471941593161159E-2</v>
      </c>
      <c r="M62" s="212">
        <f>IFERROR(Inv_SY!M63/Inv_SY!$P63-1,"")</f>
        <v>4.1192042942712392E-2</v>
      </c>
      <c r="N62" s="212">
        <f>IFERROR(Inv_SY!N63/Inv_SY!$P63-1,"")</f>
        <v>4.4007218369669365E-2</v>
      </c>
      <c r="O62" s="212">
        <f>IFERROR(Inv_SY!O63/Inv_SY!$P63-1,"")</f>
        <v>2.7466663668717528E-2</v>
      </c>
      <c r="P62" s="212">
        <f>IFERROR(Inv_SY!P63/Inv_SY!$P63-1,"")</f>
        <v>0</v>
      </c>
      <c r="Q62" s="212">
        <f>IFERROR(Inv_SY!Q63/Inv_SY!$P63-1,"")</f>
        <v>4.4007218369669365E-2</v>
      </c>
      <c r="R62" s="212">
        <f>IFERROR(Inv_SY!L63/Inv_SY!$Q63-1,"")</f>
        <v>-9.8159436218135498E-2</v>
      </c>
      <c r="S62" s="212">
        <f>IFERROR(Inv_SY!M63/Inv_SY!$Q63-1,"")</f>
        <v>-2.6965095426767505E-3</v>
      </c>
      <c r="T62" s="212">
        <f>IFERROR(Inv_SY!N63/Inv_SY!$Q63-1,"")</f>
        <v>0</v>
      </c>
      <c r="U62" s="213">
        <f>IFERROR(Inv_SY!O63/Inv_SY!$Q63-1,"")</f>
        <v>-1.5843333657004521E-2</v>
      </c>
    </row>
    <row r="63" spans="1:21">
      <c r="A63" s="216">
        <f t="shared" ref="A63" si="110">YEAR(H63)+IF(MONTH(H63)&gt;=4,1,0)</f>
        <v>2026</v>
      </c>
      <c r="B63" s="217">
        <f t="shared" ref="B63" si="111">YEAR(H63)</f>
        <v>2025</v>
      </c>
      <c r="C63" s="209" t="str">
        <f>TEXT(Table5[[#This Row],[Date]],"yyyy")</f>
        <v>2025</v>
      </c>
      <c r="D63" s="209" t="s">
        <v>224</v>
      </c>
      <c r="E63" s="209" t="s">
        <v>224</v>
      </c>
      <c r="F63" s="210" t="str">
        <f>TEXT(Table5[[#This Row],[Date]],"mmm-yy")</f>
        <v>May-25</v>
      </c>
      <c r="G63" s="209">
        <f t="shared" ref="G63" si="112">DAY(EOMONTH(F63,0))</f>
        <v>31</v>
      </c>
      <c r="H63" s="211">
        <f t="shared" si="4"/>
        <v>45806</v>
      </c>
      <c r="I63" s="209">
        <v>11.72</v>
      </c>
      <c r="J63" s="212">
        <f>IFERROR(Inv_SY!J64/Inv_SY!$P64-1,"")</f>
        <v>-1</v>
      </c>
      <c r="K63" s="212">
        <f>IFERROR(Inv_SY!K64/Inv_SY!$P64-1,"")</f>
        <v>-1</v>
      </c>
      <c r="L63" s="212">
        <f>IFERROR(Inv_SY!L64/Inv_SY!$P64-1,"")</f>
        <v>-1</v>
      </c>
      <c r="M63" s="212">
        <f>IFERROR(Inv_SY!M64/Inv_SY!$P64-1,"")</f>
        <v>-1</v>
      </c>
      <c r="N63" s="212">
        <f>IFERROR(Inv_SY!N64/Inv_SY!$P64-1,"")</f>
        <v>-1.3058130960814651E-2</v>
      </c>
      <c r="O63" s="212">
        <f>IFERROR(Inv_SY!O64/Inv_SY!$P64-1,"")</f>
        <v>1.3058130960814429E-2</v>
      </c>
      <c r="P63" s="212">
        <f>IFERROR(Inv_SY!P64/Inv_SY!$P64-1,"")</f>
        <v>0</v>
      </c>
      <c r="Q63" s="212">
        <f>IFERROR(Inv_SY!Q64/Inv_SY!$P64-1,"")</f>
        <v>1.3058130960814429E-2</v>
      </c>
      <c r="R63" s="212">
        <f>IFERROR(Inv_SY!L64/Inv_SY!$Q64-1,"")</f>
        <v>-1</v>
      </c>
      <c r="S63" s="212">
        <f>IFERROR(Inv_SY!M64/Inv_SY!$Q64-1,"")</f>
        <v>-1</v>
      </c>
      <c r="T63" s="212">
        <f>IFERROR(Inv_SY!N64/Inv_SY!$Q64-1,"")</f>
        <v>-2.5779628160982004E-2</v>
      </c>
      <c r="U63" s="213">
        <f>IFERROR(Inv_SY!O64/Inv_SY!$Q64-1,"")</f>
        <v>0</v>
      </c>
    </row>
    <row r="64" spans="1:21">
      <c r="A64" s="216">
        <f t="shared" ref="A64" si="113">YEAR(H64)+IF(MONTH(H64)&gt;=4,1,0)</f>
        <v>2026</v>
      </c>
      <c r="B64" s="217">
        <f t="shared" ref="B64" si="114">YEAR(H64)</f>
        <v>2025</v>
      </c>
      <c r="C64" s="209" t="str">
        <f>TEXT(Table5[[#This Row],[Date]],"yyyy")</f>
        <v>2025</v>
      </c>
      <c r="D64" s="209" t="s">
        <v>224</v>
      </c>
      <c r="E64" s="209" t="s">
        <v>224</v>
      </c>
      <c r="F64" s="210" t="str">
        <f>TEXT(Table5[[#This Row],[Date]],"mmm-yy")</f>
        <v>May-25</v>
      </c>
      <c r="G64" s="209">
        <f t="shared" ref="G64" si="115">DAY(EOMONTH(F64,0))</f>
        <v>31</v>
      </c>
      <c r="H64" s="211">
        <f t="shared" si="4"/>
        <v>45807</v>
      </c>
      <c r="I64" s="209">
        <v>11.72</v>
      </c>
      <c r="J64" s="212">
        <f>IFERROR(Inv_SY!J65/Inv_SY!$P65-1,"")</f>
        <v>-1</v>
      </c>
      <c r="K64" s="212">
        <f>IFERROR(Inv_SY!K65/Inv_SY!$P65-1,"")</f>
        <v>-1</v>
      </c>
      <c r="L64" s="212">
        <f>IFERROR(Inv_SY!L65/Inv_SY!$P65-1,"")</f>
        <v>-1</v>
      </c>
      <c r="M64" s="212">
        <f>IFERROR(Inv_SY!M65/Inv_SY!$P65-1,"")</f>
        <v>-1</v>
      </c>
      <c r="N64" s="212">
        <f>IFERROR(Inv_SY!N65/Inv_SY!$P65-1,"")</f>
        <v>-7.6563438512589066E-5</v>
      </c>
      <c r="O64" s="212">
        <f>IFERROR(Inv_SY!O65/Inv_SY!$P65-1,"")</f>
        <v>7.6563438512700088E-5</v>
      </c>
      <c r="P64" s="212">
        <f>IFERROR(Inv_SY!P65/Inv_SY!$P65-1,"")</f>
        <v>0</v>
      </c>
      <c r="Q64" s="212">
        <f>IFERROR(Inv_SY!Q65/Inv_SY!$P65-1,"")</f>
        <v>7.6563438512700088E-5</v>
      </c>
      <c r="R64" s="212">
        <f>IFERROR(Inv_SY!L65/Inv_SY!$Q65-1,"")</f>
        <v>-1</v>
      </c>
      <c r="S64" s="212">
        <f>IFERROR(Inv_SY!M65/Inv_SY!$Q65-1,"")</f>
        <v>-1</v>
      </c>
      <c r="T64" s="212">
        <f>IFERROR(Inv_SY!N65/Inv_SY!$Q65-1,"")</f>
        <v>-1.5311515400273645E-4</v>
      </c>
      <c r="U64" s="213">
        <f>IFERROR(Inv_SY!O65/Inv_SY!$Q65-1,"")</f>
        <v>0</v>
      </c>
    </row>
    <row r="65" spans="1:21">
      <c r="A65" s="216">
        <f t="shared" ref="A65" si="116">YEAR(H65)+IF(MONTH(H65)&gt;=4,1,0)</f>
        <v>2026</v>
      </c>
      <c r="B65" s="217">
        <f t="shared" ref="B65" si="117">YEAR(H65)</f>
        <v>2025</v>
      </c>
      <c r="C65" s="209" t="str">
        <f>TEXT(Table5[[#This Row],[Date]],"yyyy")</f>
        <v>2025</v>
      </c>
      <c r="D65" s="209" t="s">
        <v>224</v>
      </c>
      <c r="E65" s="209" t="s">
        <v>224</v>
      </c>
      <c r="F65" s="210" t="str">
        <f>TEXT(Table5[[#This Row],[Date]],"mmm-yy")</f>
        <v>May-25</v>
      </c>
      <c r="G65" s="209">
        <f t="shared" ref="G65" si="118">DAY(EOMONTH(F65,0))</f>
        <v>31</v>
      </c>
      <c r="H65" s="211">
        <f t="shared" si="4"/>
        <v>45808</v>
      </c>
      <c r="I65" s="209">
        <v>11.72</v>
      </c>
      <c r="J65" s="212">
        <f>IFERROR(Inv_SY!J66/Inv_SY!$P66-1,"")</f>
        <v>-1.6684839153291886E-2</v>
      </c>
      <c r="K65" s="212">
        <f>IFERROR(Inv_SY!K66/Inv_SY!$P66-1,"")</f>
        <v>-3.4100649711805153E-2</v>
      </c>
      <c r="L65" s="212">
        <f>IFERROR(Inv_SY!L66/Inv_SY!$P66-1,"")</f>
        <v>-7.9653163118466264E-2</v>
      </c>
      <c r="M65" s="212">
        <f>IFERROR(Inv_SY!M66/Inv_SY!$P66-1,"")</f>
        <v>1.7266621247769676E-2</v>
      </c>
      <c r="N65" s="212">
        <f>IFERROR(Inv_SY!N66/Inv_SY!$P66-1,"")</f>
        <v>6.5987512723811426E-2</v>
      </c>
      <c r="O65" s="212">
        <f>IFERROR(Inv_SY!O66/Inv_SY!$P66-1,"")</f>
        <v>4.7184518011982535E-2</v>
      </c>
      <c r="P65" s="212">
        <f>IFERROR(Inv_SY!P66/Inv_SY!$P66-1,"")</f>
        <v>0</v>
      </c>
      <c r="Q65" s="212">
        <f>IFERROR(Inv_SY!Q66/Inv_SY!$P66-1,"")</f>
        <v>6.5987512723811426E-2</v>
      </c>
      <c r="R65" s="212">
        <f>IFERROR(Inv_SY!L66/Inv_SY!$Q66-1,"")</f>
        <v>-0.13662512375040547</v>
      </c>
      <c r="S65" s="212">
        <f>IFERROR(Inv_SY!M66/Inv_SY!$Q66-1,"")</f>
        <v>-4.5704936403570096E-2</v>
      </c>
      <c r="T65" s="212">
        <f>IFERROR(Inv_SY!N66/Inv_SY!$Q66-1,"")</f>
        <v>0</v>
      </c>
      <c r="U65" s="213">
        <f>IFERROR(Inv_SY!O66/Inv_SY!$Q66-1,"")</f>
        <v>-1.7639038438436838E-2</v>
      </c>
    </row>
    <row r="66" spans="1:21">
      <c r="A66" s="216">
        <f t="shared" ref="A66" si="119">YEAR(H66)+IF(MONTH(H66)&gt;=4,1,0)</f>
        <v>2026</v>
      </c>
      <c r="B66" s="217">
        <f t="shared" ref="B66" si="120">YEAR(H66)</f>
        <v>2025</v>
      </c>
      <c r="C66" s="209" t="str">
        <f>TEXT(Table5[[#This Row],[Date]],"yyyy")</f>
        <v>2025</v>
      </c>
      <c r="D66" s="209" t="s">
        <v>224</v>
      </c>
      <c r="E66" s="209" t="s">
        <v>224</v>
      </c>
      <c r="F66" s="210" t="str">
        <f>TEXT(Table5[[#This Row],[Date]],"mmm-yy")</f>
        <v>Jun-25</v>
      </c>
      <c r="G66" s="209">
        <f t="shared" ref="G66" si="121">DAY(EOMONTH(F66,0))</f>
        <v>30</v>
      </c>
      <c r="H66" s="211">
        <f t="shared" si="4"/>
        <v>45809</v>
      </c>
      <c r="I66" s="209">
        <v>11.72</v>
      </c>
      <c r="J66" s="212">
        <f>IFERROR(Inv_SY!J67/Inv_SY!$P67-1,"")</f>
        <v>-1.2093132408875107E-2</v>
      </c>
      <c r="K66" s="212">
        <f>IFERROR(Inv_SY!K67/Inv_SY!$P67-1,"")</f>
        <v>-1.738441662266943E-2</v>
      </c>
      <c r="L66" s="212">
        <f>IFERROR(Inv_SY!L67/Inv_SY!$P67-1,"")</f>
        <v>-5.3994953413217694E-2</v>
      </c>
      <c r="M66" s="212">
        <f>IFERROR(Inv_SY!M67/Inv_SY!$P67-1,"")</f>
        <v>2.8485345352824876E-2</v>
      </c>
      <c r="N66" s="212">
        <f>IFERROR(Inv_SY!N67/Inv_SY!$P67-1,"")</f>
        <v>3.0799675981533881E-2</v>
      </c>
      <c r="O66" s="212">
        <f>IFERROR(Inv_SY!O67/Inv_SY!$P67-1,"")</f>
        <v>2.4187481110403031E-2</v>
      </c>
      <c r="P66" s="212">
        <f>IFERROR(Inv_SY!P67/Inv_SY!$P67-1,"")</f>
        <v>0</v>
      </c>
      <c r="Q66" s="212">
        <f>IFERROR(Inv_SY!Q67/Inv_SY!$P67-1,"")</f>
        <v>3.0799675981533881E-2</v>
      </c>
      <c r="R66" s="212">
        <f>IFERROR(Inv_SY!L67/Inv_SY!$Q67-1,"")</f>
        <v>-8.2261016733449766E-2</v>
      </c>
      <c r="S66" s="212">
        <f>IFERROR(Inv_SY!M67/Inv_SY!$Q67-1,"")</f>
        <v>-2.245179817800369E-3</v>
      </c>
      <c r="T66" s="212">
        <f>IFERROR(Inv_SY!N67/Inv_SY!$Q67-1,"")</f>
        <v>0</v>
      </c>
      <c r="U66" s="213">
        <f>IFERROR(Inv_SY!O67/Inv_SY!$Q67-1,"")</f>
        <v>-6.4146264547810805E-3</v>
      </c>
    </row>
    <row r="67" spans="1:21">
      <c r="A67" s="216">
        <f t="shared" ref="A67" si="122">YEAR(H67)+IF(MONTH(H67)&gt;=4,1,0)</f>
        <v>2026</v>
      </c>
      <c r="B67" s="217">
        <f t="shared" ref="B67" si="123">YEAR(H67)</f>
        <v>2025</v>
      </c>
      <c r="C67" s="209" t="str">
        <f>TEXT(Table5[[#This Row],[Date]],"yyyy")</f>
        <v>2025</v>
      </c>
      <c r="D67" s="209" t="s">
        <v>224</v>
      </c>
      <c r="E67" s="209" t="s">
        <v>224</v>
      </c>
      <c r="F67" s="210" t="str">
        <f>TEXT(Table5[[#This Row],[Date]],"mmm-yy")</f>
        <v>Jun-25</v>
      </c>
      <c r="G67" s="209">
        <f t="shared" ref="G67:G79" si="124">DAY(EOMONTH(F67,0))</f>
        <v>30</v>
      </c>
      <c r="H67" s="211">
        <f t="shared" ref="H67:H101" si="125">H66+1</f>
        <v>45810</v>
      </c>
      <c r="I67" s="209">
        <v>11.72</v>
      </c>
      <c r="J67" s="212">
        <f>IFERROR(Inv_SY!J68/Inv_SY!$P68-1,"")</f>
        <v>-5.6936319349830677E-2</v>
      </c>
      <c r="K67" s="212">
        <f>IFERROR(Inv_SY!K68/Inv_SY!$P68-1,"")</f>
        <v>-2.4298974657349204E-2</v>
      </c>
      <c r="L67" s="212">
        <f>IFERROR(Inv_SY!L68/Inv_SY!$P68-1,"")</f>
        <v>-4.5777876871809786E-2</v>
      </c>
      <c r="M67" s="212">
        <f>IFERROR(Inv_SY!M68/Inv_SY!$P68-1,"")</f>
        <v>4.0973859203040641E-2</v>
      </c>
      <c r="N67" s="212">
        <f>IFERROR(Inv_SY!N68/Inv_SY!$P68-1,"")</f>
        <v>3.6743581674661296E-2</v>
      </c>
      <c r="O67" s="212">
        <f>IFERROR(Inv_SY!O68/Inv_SY!$P68-1,"")</f>
        <v>4.9295730001287286E-2</v>
      </c>
      <c r="P67" s="212">
        <f>IFERROR(Inv_SY!P68/Inv_SY!$P68-1,"")</f>
        <v>0</v>
      </c>
      <c r="Q67" s="212">
        <f>IFERROR(Inv_SY!Q68/Inv_SY!$P68-1,"")</f>
        <v>4.9295730001287286E-2</v>
      </c>
      <c r="R67" s="212">
        <f>IFERROR(Inv_SY!L68/Inv_SY!$Q68-1,"")</f>
        <v>-9.0607065439006651E-2</v>
      </c>
      <c r="S67" s="212">
        <f>IFERROR(Inv_SY!M68/Inv_SY!$Q68-1,"")</f>
        <v>-7.9309107626276409E-3</v>
      </c>
      <c r="T67" s="212">
        <f>IFERROR(Inv_SY!N68/Inv_SY!$Q68-1,"")</f>
        <v>-1.1962450592084672E-2</v>
      </c>
      <c r="U67" s="213">
        <f>IFERROR(Inv_SY!O68/Inv_SY!$Q68-1,"")</f>
        <v>0</v>
      </c>
    </row>
    <row r="68" spans="1:21">
      <c r="A68" s="216">
        <f t="shared" ref="A68" si="126">YEAR(H68)+IF(MONTH(H68)&gt;=4,1,0)</f>
        <v>2026</v>
      </c>
      <c r="B68" s="217">
        <f t="shared" ref="B68" si="127">YEAR(H68)</f>
        <v>2025</v>
      </c>
      <c r="C68" s="209" t="str">
        <f>TEXT(Table5[[#This Row],[Date]],"yyyy")</f>
        <v>2025</v>
      </c>
      <c r="D68" s="209" t="s">
        <v>224</v>
      </c>
      <c r="E68" s="209" t="s">
        <v>224</v>
      </c>
      <c r="F68" s="210" t="str">
        <f>TEXT(Table5[[#This Row],[Date]],"mmm-yy")</f>
        <v>Jun-25</v>
      </c>
      <c r="G68" s="209">
        <f t="shared" si="124"/>
        <v>30</v>
      </c>
      <c r="H68" s="211">
        <f t="shared" si="125"/>
        <v>45811</v>
      </c>
      <c r="I68" s="209">
        <v>11.72</v>
      </c>
      <c r="J68" s="212">
        <f>IFERROR(Inv_SY!J69/Inv_SY!$P69-1,"")</f>
        <v>-1.5306721944095769E-2</v>
      </c>
      <c r="K68" s="212">
        <f>IFERROR(Inv_SY!K69/Inv_SY!$P69-1,"")</f>
        <v>-4.4528439805145981E-3</v>
      </c>
      <c r="L68" s="212">
        <f>IFERROR(Inv_SY!L69/Inv_SY!$P69-1,"")</f>
        <v>-4.0086058222167043E-2</v>
      </c>
      <c r="M68" s="212">
        <f>IFERROR(Inv_SY!M69/Inv_SY!$P69-1,"")</f>
        <v>3.2203252581677555E-2</v>
      </c>
      <c r="N68" s="212">
        <f>IFERROR(Inv_SY!N69/Inv_SY!$P69-1,"")</f>
        <v>2.0238385554782301E-2</v>
      </c>
      <c r="O68" s="212">
        <f>IFERROR(Inv_SY!O69/Inv_SY!$P69-1,"")</f>
        <v>7.4039860103178867E-3</v>
      </c>
      <c r="P68" s="212">
        <f>IFERROR(Inv_SY!P69/Inv_SY!$P69-1,"")</f>
        <v>0</v>
      </c>
      <c r="Q68" s="212">
        <f>IFERROR(Inv_SY!Q69/Inv_SY!$P69-1,"")</f>
        <v>3.2203252581677555E-2</v>
      </c>
      <c r="R68" s="212">
        <f>IFERROR(Inv_SY!L69/Inv_SY!$Q69-1,"")</f>
        <v>-7.0033988580291084E-2</v>
      </c>
      <c r="S68" s="212">
        <f>IFERROR(Inv_SY!M69/Inv_SY!$Q69-1,"")</f>
        <v>0</v>
      </c>
      <c r="T68" s="212">
        <f>IFERROR(Inv_SY!N69/Inv_SY!$Q69-1,"")</f>
        <v>-1.1591580434347049E-2</v>
      </c>
      <c r="U68" s="213">
        <f>IFERROR(Inv_SY!O69/Inv_SY!$Q69-1,"")</f>
        <v>-2.4025565225970102E-2</v>
      </c>
    </row>
    <row r="69" spans="1:21">
      <c r="A69" s="222">
        <f t="shared" ref="A69" si="128">YEAR(H69)+IF(MONTH(H69)&gt;=4,1,0)</f>
        <v>2026</v>
      </c>
      <c r="B69" s="223">
        <f t="shared" ref="B69" si="129">YEAR(H69)</f>
        <v>2025</v>
      </c>
      <c r="C69" s="204" t="str">
        <f>TEXT(Table5[[#This Row],[Date]],"yyyy")</f>
        <v>2025</v>
      </c>
      <c r="D69" s="204" t="s">
        <v>224</v>
      </c>
      <c r="E69" s="204" t="s">
        <v>224</v>
      </c>
      <c r="F69" s="205" t="str">
        <f>TEXT(Table5[[#This Row],[Date]],"mmm-yy")</f>
        <v>Jun-25</v>
      </c>
      <c r="G69" s="204">
        <f t="shared" si="124"/>
        <v>30</v>
      </c>
      <c r="H69" s="206">
        <f t="shared" si="125"/>
        <v>45812</v>
      </c>
      <c r="I69" s="204">
        <v>11.72</v>
      </c>
      <c r="J69" s="207">
        <f>IFERROR(Inv_SY!J70/Inv_SY!$P70-1,"")</f>
        <v>-1.6832488423574321E-2</v>
      </c>
      <c r="K69" s="207">
        <f>IFERROR(Inv_SY!K70/Inv_SY!$P70-1,"")</f>
        <v>-3.1338151247303436E-2</v>
      </c>
      <c r="L69" s="207">
        <f>IFERROR(Inv_SY!L70/Inv_SY!$P70-1,"")</f>
        <v>-6.4434444864197138E-2</v>
      </c>
      <c r="M69" s="207">
        <f>IFERROR(Inv_SY!M70/Inv_SY!$P70-1,"")</f>
        <v>3.3619140127328251E-2</v>
      </c>
      <c r="N69" s="207">
        <f>IFERROR(Inv_SY!N70/Inv_SY!$P70-1,"")</f>
        <v>5.0858424696976101E-2</v>
      </c>
      <c r="O69" s="207">
        <f>IFERROR(Inv_SY!O70/Inv_SY!$P70-1,"")</f>
        <v>2.8127519710771098E-2</v>
      </c>
      <c r="P69" s="207">
        <f>IFERROR(Inv_SY!P70/Inv_SY!$P70-1,"")</f>
        <v>0</v>
      </c>
      <c r="Q69" s="207">
        <f>IFERROR(Inv_SY!Q70/Inv_SY!$P70-1,"")</f>
        <v>5.0858424696976101E-2</v>
      </c>
      <c r="R69" s="207">
        <f>IFERROR(Inv_SY!L70/Inv_SY!$Q70-1,"")</f>
        <v>-0.10971303731463045</v>
      </c>
      <c r="S69" s="207">
        <f>IFERROR(Inv_SY!M70/Inv_SY!$Q70-1,"")</f>
        <v>-1.6404954430106811E-2</v>
      </c>
      <c r="T69" s="207">
        <f>IFERROR(Inv_SY!N70/Inv_SY!$Q70-1,"")</f>
        <v>0</v>
      </c>
      <c r="U69" s="208">
        <f>IFERROR(Inv_SY!O70/Inv_SY!$Q70-1,"")</f>
        <v>-2.1630796739113278E-2</v>
      </c>
    </row>
    <row r="70" spans="1:21">
      <c r="A70" s="222">
        <f t="shared" ref="A70" si="130">YEAR(H70)+IF(MONTH(H70)&gt;=4,1,0)</f>
        <v>2026</v>
      </c>
      <c r="B70" s="223">
        <f t="shared" ref="B70" si="131">YEAR(H70)</f>
        <v>2025</v>
      </c>
      <c r="C70" s="204" t="str">
        <f>TEXT(Table5[[#This Row],[Date]],"yyyy")</f>
        <v>2025</v>
      </c>
      <c r="D70" s="204" t="s">
        <v>224</v>
      </c>
      <c r="E70" s="204" t="s">
        <v>224</v>
      </c>
      <c r="F70" s="205" t="str">
        <f>TEXT(Table5[[#This Row],[Date]],"mmm-yy")</f>
        <v>Jun-25</v>
      </c>
      <c r="G70" s="204">
        <f t="shared" si="124"/>
        <v>30</v>
      </c>
      <c r="H70" s="206">
        <f t="shared" si="125"/>
        <v>45813</v>
      </c>
      <c r="I70" s="204">
        <v>11.72</v>
      </c>
      <c r="J70" s="207">
        <f>IFERROR(Inv_SY!J71/Inv_SY!$P71-1,"")</f>
        <v>-2.0652749739805687E-3</v>
      </c>
      <c r="K70" s="207">
        <f>IFERROR(Inv_SY!K71/Inv_SY!$P71-1,"")</f>
        <v>7.2732854267081315E-3</v>
      </c>
      <c r="L70" s="207">
        <f>IFERROR(Inv_SY!L71/Inv_SY!$P71-1,"")</f>
        <v>-1.3445350398056499E-2</v>
      </c>
      <c r="M70" s="207">
        <f>IFERROR(Inv_SY!M71/Inv_SY!$P71-1,"")</f>
        <v>1.2869972066814617E-2</v>
      </c>
      <c r="N70" s="207">
        <f>IFERROR(Inv_SY!N71/Inv_SY!$P71-1,"")</f>
        <v>-9.9176703899903629E-3</v>
      </c>
      <c r="O70" s="207">
        <f>IFERROR(Inv_SY!O71/Inv_SY!$P71-1,"")</f>
        <v>5.2850382685052377E-3</v>
      </c>
      <c r="P70" s="207">
        <f>IFERROR(Inv_SY!P71/Inv_SY!$P71-1,"")</f>
        <v>0</v>
      </c>
      <c r="Q70" s="207">
        <f>IFERROR(Inv_SY!Q71/Inv_SY!$P71-1,"")</f>
        <v>1.2869972066814617E-2</v>
      </c>
      <c r="R70" s="207">
        <f>IFERROR(Inv_SY!L71/Inv_SY!$Q71-1,"")</f>
        <v>-2.5980948384888292E-2</v>
      </c>
      <c r="S70" s="207">
        <f>IFERROR(Inv_SY!M71/Inv_SY!$Q71-1,"")</f>
        <v>0</v>
      </c>
      <c r="T70" s="207">
        <f>IFERROR(Inv_SY!N71/Inv_SY!$Q71-1,"")</f>
        <v>-2.2498092633061018E-2</v>
      </c>
      <c r="U70" s="208">
        <f>IFERROR(Inv_SY!O71/Inv_SY!$Q71-1,"")</f>
        <v>-7.4885562880613321E-3</v>
      </c>
    </row>
    <row r="71" spans="1:21">
      <c r="A71" s="222">
        <f t="shared" ref="A71" si="132">YEAR(H71)+IF(MONTH(H71)&gt;=4,1,0)</f>
        <v>2026</v>
      </c>
      <c r="B71" s="223">
        <f t="shared" ref="B71" si="133">YEAR(H71)</f>
        <v>2025</v>
      </c>
      <c r="C71" s="204" t="str">
        <f>TEXT(Table5[[#This Row],[Date]],"yyyy")</f>
        <v>2025</v>
      </c>
      <c r="D71" s="204" t="s">
        <v>224</v>
      </c>
      <c r="E71" s="204" t="s">
        <v>224</v>
      </c>
      <c r="F71" s="205" t="str">
        <f>TEXT(Table5[[#This Row],[Date]],"mmm-yy")</f>
        <v>Jun-25</v>
      </c>
      <c r="G71" s="204">
        <f t="shared" si="124"/>
        <v>30</v>
      </c>
      <c r="H71" s="206">
        <f t="shared" si="125"/>
        <v>45814</v>
      </c>
      <c r="I71" s="204">
        <v>11.72</v>
      </c>
      <c r="J71" s="207">
        <f>IFERROR(Inv_SY!J72/Inv_SY!$P72-1,"")</f>
        <v>-2.5477419703672011E-2</v>
      </c>
      <c r="K71" s="207">
        <f>IFERROR(Inv_SY!K72/Inv_SY!$P72-1,"")</f>
        <v>-1.9783329006066719E-3</v>
      </c>
      <c r="L71" s="207">
        <f>IFERROR(Inv_SY!L72/Inv_SY!$P72-1,"")</f>
        <v>-4.3649542985744083E-2</v>
      </c>
      <c r="M71" s="207">
        <f>IFERROR(Inv_SY!M72/Inv_SY!$P72-1,"")</f>
        <v>4.3701906560930537E-2</v>
      </c>
      <c r="N71" s="207">
        <f>IFERROR(Inv_SY!N72/Inv_SY!$P72-1,"")</f>
        <v>2.8495129994688284E-2</v>
      </c>
      <c r="O71" s="207">
        <f>IFERROR(Inv_SY!O72/Inv_SY!$P72-1,"")</f>
        <v>-1.091740965594834E-3</v>
      </c>
      <c r="P71" s="207">
        <f>IFERROR(Inv_SY!P72/Inv_SY!$P72-1,"")</f>
        <v>0</v>
      </c>
      <c r="Q71" s="207">
        <f>IFERROR(Inv_SY!Q72/Inv_SY!$P72-1,"")</f>
        <v>4.3701906560930537E-2</v>
      </c>
      <c r="R71" s="207">
        <f>IFERROR(Inv_SY!L72/Inv_SY!$Q72-1,"")</f>
        <v>-8.3693867949809153E-2</v>
      </c>
      <c r="S71" s="207">
        <f>IFERROR(Inv_SY!M72/Inv_SY!$Q72-1,"")</f>
        <v>0</v>
      </c>
      <c r="T71" s="207">
        <f>IFERROR(Inv_SY!N72/Inv_SY!$Q72-1,"")</f>
        <v>-1.4570038121660245E-2</v>
      </c>
      <c r="U71" s="208">
        <f>IFERROR(Inv_SY!O72/Inv_SY!$Q72-1,"")</f>
        <v>-4.2918047044795959E-2</v>
      </c>
    </row>
    <row r="72" spans="1:21">
      <c r="A72" s="222">
        <f t="shared" ref="A72" si="134">YEAR(H72)+IF(MONTH(H72)&gt;=4,1,0)</f>
        <v>2026</v>
      </c>
      <c r="B72" s="223">
        <f t="shared" ref="B72" si="135">YEAR(H72)</f>
        <v>2025</v>
      </c>
      <c r="C72" s="204" t="str">
        <f>TEXT(Table5[[#This Row],[Date]],"yyyy")</f>
        <v>2025</v>
      </c>
      <c r="D72" s="204" t="s">
        <v>224</v>
      </c>
      <c r="E72" s="204" t="s">
        <v>224</v>
      </c>
      <c r="F72" s="205" t="str">
        <f>TEXT(Table5[[#This Row],[Date]],"mmm-yy")</f>
        <v>Jun-25</v>
      </c>
      <c r="G72" s="204">
        <f t="shared" si="124"/>
        <v>30</v>
      </c>
      <c r="H72" s="206">
        <f t="shared" si="125"/>
        <v>45815</v>
      </c>
      <c r="I72" s="204">
        <v>11.72</v>
      </c>
      <c r="J72" s="207">
        <f>IFERROR(Inv_SY!J73/Inv_SY!$P73-1,"")</f>
        <v>-3.513290101082589E-3</v>
      </c>
      <c r="K72" s="207">
        <f>IFERROR(Inv_SY!K73/Inv_SY!$P73-1,"")</f>
        <v>-5.2271524841938088E-3</v>
      </c>
      <c r="L72" s="207">
        <f>IFERROR(Inv_SY!L73/Inv_SY!$P73-1,"")</f>
        <v>-4.1022931739257529E-2</v>
      </c>
      <c r="M72" s="207">
        <f>IFERROR(Inv_SY!M73/Inv_SY!$P73-1,"")</f>
        <v>2.0132726684859215E-2</v>
      </c>
      <c r="N72" s="207">
        <f>IFERROR(Inv_SY!N73/Inv_SY!$P73-1,"")</f>
        <v>1.3875743433937604E-2</v>
      </c>
      <c r="O72" s="207">
        <f>IFERROR(Inv_SY!O73/Inv_SY!$P73-1,"")</f>
        <v>1.5754904205736775E-2</v>
      </c>
      <c r="P72" s="207">
        <f>IFERROR(Inv_SY!P73/Inv_SY!$P73-1,"")</f>
        <v>0</v>
      </c>
      <c r="Q72" s="207">
        <f>IFERROR(Inv_SY!Q73/Inv_SY!$P73-1,"")</f>
        <v>2.0132726684859215E-2</v>
      </c>
      <c r="R72" s="207">
        <f>IFERROR(Inv_SY!L73/Inv_SY!$Q73-1,"")</f>
        <v>-5.9948727086577391E-2</v>
      </c>
      <c r="S72" s="207">
        <f>IFERROR(Inv_SY!M73/Inv_SY!$Q73-1,"")</f>
        <v>0</v>
      </c>
      <c r="T72" s="207">
        <f>IFERROR(Inv_SY!N73/Inv_SY!$Q73-1,"")</f>
        <v>-6.1334991881447642E-3</v>
      </c>
      <c r="U72" s="208">
        <f>IFERROR(Inv_SY!O73/Inv_SY!$Q73-1,"")</f>
        <v>-4.2914244044979233E-3</v>
      </c>
    </row>
    <row r="73" spans="1:21">
      <c r="A73" s="222">
        <f t="shared" ref="A73" si="136">YEAR(H73)+IF(MONTH(H73)&gt;=4,1,0)</f>
        <v>2026</v>
      </c>
      <c r="B73" s="223">
        <f t="shared" ref="B73" si="137">YEAR(H73)</f>
        <v>2025</v>
      </c>
      <c r="C73" s="204" t="str">
        <f>TEXT(Table5[[#This Row],[Date]],"yyyy")</f>
        <v>2025</v>
      </c>
      <c r="D73" s="204" t="s">
        <v>224</v>
      </c>
      <c r="E73" s="204" t="s">
        <v>224</v>
      </c>
      <c r="F73" s="205" t="str">
        <f>TEXT(Table5[[#This Row],[Date]],"mmm-yy")</f>
        <v>Jun-25</v>
      </c>
      <c r="G73" s="204">
        <f t="shared" si="124"/>
        <v>30</v>
      </c>
      <c r="H73" s="206">
        <f t="shared" si="125"/>
        <v>45816</v>
      </c>
      <c r="I73" s="204">
        <v>11.72</v>
      </c>
      <c r="J73" s="207">
        <f>IFERROR(Inv_SY!J74/Inv_SY!$P74-1,"")</f>
        <v>-5.6533989944369534E-3</v>
      </c>
      <c r="K73" s="207">
        <f>IFERROR(Inv_SY!K74/Inv_SY!$P74-1,"")</f>
        <v>-7.3261258348736868E-3</v>
      </c>
      <c r="L73" s="207">
        <f>IFERROR(Inv_SY!L74/Inv_SY!$P74-1,"")</f>
        <v>-6.0485045371464374E-2</v>
      </c>
      <c r="M73" s="207">
        <f>IFERROR(Inv_SY!M74/Inv_SY!$P74-1,"")</f>
        <v>2.2528030174886693E-2</v>
      </c>
      <c r="N73" s="207">
        <f>IFERROR(Inv_SY!N74/Inv_SY!$P74-1,"")</f>
        <v>3.0995105892958952E-2</v>
      </c>
      <c r="O73" s="207">
        <f>IFERROR(Inv_SY!O74/Inv_SY!$P74-1,"")</f>
        <v>1.9941434132930036E-2</v>
      </c>
      <c r="P73" s="207">
        <f>IFERROR(Inv_SY!P74/Inv_SY!$P74-1,"")</f>
        <v>0</v>
      </c>
      <c r="Q73" s="207">
        <f>IFERROR(Inv_SY!Q74/Inv_SY!$P74-1,"")</f>
        <v>3.0995105892958952E-2</v>
      </c>
      <c r="R73" s="207">
        <f>IFERROR(Inv_SY!L74/Inv_SY!$Q74-1,"")</f>
        <v>-8.8729956855800096E-2</v>
      </c>
      <c r="S73" s="207">
        <f>IFERROR(Inv_SY!M74/Inv_SY!$Q74-1,"")</f>
        <v>-8.2125275568003531E-3</v>
      </c>
      <c r="T73" s="207">
        <f>IFERROR(Inv_SY!N74/Inv_SY!$Q74-1,"")</f>
        <v>0</v>
      </c>
      <c r="U73" s="208">
        <f>IFERROR(Inv_SY!O74/Inv_SY!$Q74-1,"")</f>
        <v>-1.0721362009236013E-2</v>
      </c>
    </row>
    <row r="74" spans="1:21">
      <c r="A74" s="222">
        <f t="shared" ref="A74" si="138">YEAR(H74)+IF(MONTH(H74)&gt;=4,1,0)</f>
        <v>2026</v>
      </c>
      <c r="B74" s="223">
        <f t="shared" ref="B74" si="139">YEAR(H74)</f>
        <v>2025</v>
      </c>
      <c r="C74" s="204" t="str">
        <f>TEXT(Table5[[#This Row],[Date]],"yyyy")</f>
        <v>2025</v>
      </c>
      <c r="D74" s="204" t="s">
        <v>224</v>
      </c>
      <c r="E74" s="204" t="s">
        <v>224</v>
      </c>
      <c r="F74" s="205" t="str">
        <f>TEXT(Table5[[#This Row],[Date]],"mmm-yy")</f>
        <v>Jun-25</v>
      </c>
      <c r="G74" s="204">
        <f t="shared" si="124"/>
        <v>30</v>
      </c>
      <c r="H74" s="206">
        <f t="shared" si="125"/>
        <v>45817</v>
      </c>
      <c r="I74" s="204">
        <v>11.72</v>
      </c>
      <c r="J74" s="207">
        <f>IFERROR(Inv_SY!J75/Inv_SY!$P75-1,"")</f>
        <v>6.8103340250940114E-3</v>
      </c>
      <c r="K74" s="207">
        <f>IFERROR(Inv_SY!K75/Inv_SY!$P75-1,"")</f>
        <v>1.3223159477998347E-2</v>
      </c>
      <c r="L74" s="207">
        <f>IFERROR(Inv_SY!L75/Inv_SY!$P75-1,"")</f>
        <v>-9.8012764121604423E-3</v>
      </c>
      <c r="M74" s="207">
        <f>IFERROR(Inv_SY!M75/Inv_SY!$P75-1,"")</f>
        <v>8.6553664642241568E-3</v>
      </c>
      <c r="N74" s="207">
        <f>IFERROR(Inv_SY!N75/Inv_SY!$P75-1,"")</f>
        <v>-1.6144250257301263E-2</v>
      </c>
      <c r="O74" s="207">
        <f>IFERROR(Inv_SY!O75/Inv_SY!$P75-1,"")</f>
        <v>-2.7433332978551439E-3</v>
      </c>
      <c r="P74" s="207">
        <f>IFERROR(Inv_SY!P75/Inv_SY!$P75-1,"")</f>
        <v>0</v>
      </c>
      <c r="Q74" s="207">
        <f>IFERROR(Inv_SY!Q75/Inv_SY!$P75-1,"")</f>
        <v>1.3223159477998347E-2</v>
      </c>
      <c r="R74" s="207">
        <f>IFERROR(Inv_SY!L75/Inv_SY!$Q75-1,"")</f>
        <v>-2.2723953429983568E-2</v>
      </c>
      <c r="S74" s="207">
        <f>IFERROR(Inv_SY!M75/Inv_SY!$Q75-1,"")</f>
        <v>-4.5081806224480658E-3</v>
      </c>
      <c r="T74" s="207">
        <f>IFERROR(Inv_SY!N75/Inv_SY!$Q75-1,"")</f>
        <v>-2.8984147727564191E-2</v>
      </c>
      <c r="U74" s="208">
        <f>IFERROR(Inv_SY!O75/Inv_SY!$Q75-1,"")</f>
        <v>-1.5758120633641348E-2</v>
      </c>
    </row>
    <row r="75" spans="1:21">
      <c r="A75" s="222">
        <f t="shared" ref="A75" si="140">YEAR(H75)+IF(MONTH(H75)&gt;=4,1,0)</f>
        <v>2026</v>
      </c>
      <c r="B75" s="223">
        <f t="shared" ref="B75" si="141">YEAR(H75)</f>
        <v>2025</v>
      </c>
      <c r="C75" s="204" t="str">
        <f>TEXT(Table5[[#This Row],[Date]],"yyyy")</f>
        <v>2025</v>
      </c>
      <c r="D75" s="204" t="s">
        <v>224</v>
      </c>
      <c r="E75" s="204" t="s">
        <v>224</v>
      </c>
      <c r="F75" s="205" t="str">
        <f>TEXT(Table5[[#This Row],[Date]],"mmm-yy")</f>
        <v>Jun-25</v>
      </c>
      <c r="G75" s="204">
        <f t="shared" si="124"/>
        <v>30</v>
      </c>
      <c r="H75" s="206">
        <f t="shared" si="125"/>
        <v>45818</v>
      </c>
      <c r="I75" s="204">
        <v>11.72</v>
      </c>
      <c r="J75" s="207">
        <f>IFERROR(Inv_SY!J76/Inv_SY!$P76-1,"")</f>
        <v>9.1409710256846743E-3</v>
      </c>
      <c r="K75" s="207">
        <f>IFERROR(Inv_SY!K76/Inv_SY!$P76-1,"")</f>
        <v>-8.6834700629637718E-3</v>
      </c>
      <c r="L75" s="207">
        <f>IFERROR(Inv_SY!L76/Inv_SY!$P76-1,"")</f>
        <v>-6.2815768467693323E-3</v>
      </c>
      <c r="M75" s="207">
        <f>IFERROR(Inv_SY!M76/Inv_SY!$P76-1,"")</f>
        <v>4.6484486351234811E-3</v>
      </c>
      <c r="N75" s="207">
        <f>IFERROR(Inv_SY!N76/Inv_SY!$P76-1,"")</f>
        <v>-8.300417661894044E-3</v>
      </c>
      <c r="O75" s="207">
        <f>IFERROR(Inv_SY!O76/Inv_SY!$P76-1,"")</f>
        <v>9.4760449108182154E-3</v>
      </c>
      <c r="P75" s="207">
        <f>IFERROR(Inv_SY!P76/Inv_SY!$P76-1,"")</f>
        <v>0</v>
      </c>
      <c r="Q75" s="207">
        <f>IFERROR(Inv_SY!Q76/Inv_SY!$P76-1,"")</f>
        <v>9.4760449108182154E-3</v>
      </c>
      <c r="R75" s="207">
        <f>IFERROR(Inv_SY!L76/Inv_SY!$Q76-1,"")</f>
        <v>-1.5609703506118899E-2</v>
      </c>
      <c r="S75" s="207">
        <f>IFERROR(Inv_SY!M76/Inv_SY!$Q76-1,"")</f>
        <v>-4.7822791833769251E-3</v>
      </c>
      <c r="T75" s="207">
        <f>IFERROR(Inv_SY!N76/Inv_SY!$Q76-1,"")</f>
        <v>-1.7609593275967894E-2</v>
      </c>
      <c r="U75" s="208">
        <f>IFERROR(Inv_SY!O76/Inv_SY!$Q76-1,"")</f>
        <v>0</v>
      </c>
    </row>
    <row r="76" spans="1:21">
      <c r="A76" s="222">
        <f t="shared" ref="A76" si="142">YEAR(H76)+IF(MONTH(H76)&gt;=4,1,0)</f>
        <v>2026</v>
      </c>
      <c r="B76" s="223">
        <f t="shared" ref="B76" si="143">YEAR(H76)</f>
        <v>2025</v>
      </c>
      <c r="C76" s="204" t="str">
        <f>TEXT(Table5[[#This Row],[Date]],"yyyy")</f>
        <v>2025</v>
      </c>
      <c r="D76" s="204" t="s">
        <v>224</v>
      </c>
      <c r="E76" s="204" t="s">
        <v>224</v>
      </c>
      <c r="F76" s="205" t="str">
        <f>TEXT(Table5[[#This Row],[Date]],"mmm-yy")</f>
        <v>Jun-25</v>
      </c>
      <c r="G76" s="204">
        <f t="shared" si="124"/>
        <v>30</v>
      </c>
      <c r="H76" s="206">
        <f t="shared" si="125"/>
        <v>45819</v>
      </c>
      <c r="I76" s="204">
        <v>11.72</v>
      </c>
      <c r="J76" s="207">
        <f>IFERROR(Inv_SY!J77/Inv_SY!$P77-1,"")</f>
        <v>-1.3266374582735496E-3</v>
      </c>
      <c r="K76" s="207">
        <f>IFERROR(Inv_SY!K77/Inv_SY!$P77-1,"")</f>
        <v>-1.6876735486914818E-4</v>
      </c>
      <c r="L76" s="207">
        <f>IFERROR(Inv_SY!L77/Inv_SY!$P77-1,"")</f>
        <v>-1.0498226211164141E-2</v>
      </c>
      <c r="M76" s="207">
        <f>IFERROR(Inv_SY!M77/Inv_SY!$P77-1,"")</f>
        <v>7.1117169812591197E-3</v>
      </c>
      <c r="N76" s="207">
        <f>IFERROR(Inv_SY!N77/Inv_SY!$P77-1,"")</f>
        <v>-5.4848777861852271E-3</v>
      </c>
      <c r="O76" s="207">
        <f>IFERROR(Inv_SY!O77/Inv_SY!$P77-1,"")</f>
        <v>1.0366791829233613E-2</v>
      </c>
      <c r="P76" s="207">
        <f>IFERROR(Inv_SY!P77/Inv_SY!$P77-1,"")</f>
        <v>0</v>
      </c>
      <c r="Q76" s="207">
        <f>IFERROR(Inv_SY!Q77/Inv_SY!$P77-1,"")</f>
        <v>1.0366791829233613E-2</v>
      </c>
      <c r="R76" s="207">
        <f>IFERROR(Inv_SY!L77/Inv_SY!$Q77-1,"")</f>
        <v>-2.0650934105447272E-2</v>
      </c>
      <c r="S76" s="207">
        <f>IFERROR(Inv_SY!M77/Inv_SY!$Q77-1,"")</f>
        <v>-3.2216763994007414E-3</v>
      </c>
      <c r="T76" s="207">
        <f>IFERROR(Inv_SY!N77/Inv_SY!$Q77-1,"")</f>
        <v>-1.5689024761710413E-2</v>
      </c>
      <c r="U76" s="208">
        <f>IFERROR(Inv_SY!O77/Inv_SY!$Q77-1,"")</f>
        <v>0</v>
      </c>
    </row>
    <row r="77" spans="1:21">
      <c r="A77" s="222">
        <f t="shared" ref="A77" si="144">YEAR(H77)+IF(MONTH(H77)&gt;=4,1,0)</f>
        <v>2026</v>
      </c>
      <c r="B77" s="223">
        <f t="shared" ref="B77" si="145">YEAR(H77)</f>
        <v>2025</v>
      </c>
      <c r="C77" s="204" t="str">
        <f>TEXT(Table5[[#This Row],[Date]],"yyyy")</f>
        <v>2025</v>
      </c>
      <c r="D77" s="204" t="s">
        <v>224</v>
      </c>
      <c r="E77" s="204" t="s">
        <v>224</v>
      </c>
      <c r="F77" s="205" t="str">
        <f>TEXT(Table5[[#This Row],[Date]],"mmm-yy")</f>
        <v>Jun-25</v>
      </c>
      <c r="G77" s="204">
        <f t="shared" si="124"/>
        <v>30</v>
      </c>
      <c r="H77" s="206">
        <f t="shared" si="125"/>
        <v>45820</v>
      </c>
      <c r="I77" s="204">
        <v>11.72</v>
      </c>
      <c r="J77" s="207">
        <f>IFERROR(Inv_SY!J78/Inv_SY!$P78-1,"")</f>
        <v>-6.5694359190709983E-3</v>
      </c>
      <c r="K77" s="207">
        <f>IFERROR(Inv_SY!K78/Inv_SY!$P78-1,"")</f>
        <v>7.0225956413851875E-3</v>
      </c>
      <c r="L77" s="207">
        <f>IFERROR(Inv_SY!L78/Inv_SY!$P78-1,"")</f>
        <v>-2.6901374859876759E-2</v>
      </c>
      <c r="M77" s="207">
        <f>IFERROR(Inv_SY!M78/Inv_SY!$P78-1,"")</f>
        <v>1.1356934179362455E-2</v>
      </c>
      <c r="N77" s="207">
        <f>IFERROR(Inv_SY!N78/Inv_SY!$P78-1,"")</f>
        <v>4.8286190091959558E-3</v>
      </c>
      <c r="O77" s="207">
        <f>IFERROR(Inv_SY!O78/Inv_SY!$P78-1,"")</f>
        <v>1.0262661949004048E-2</v>
      </c>
      <c r="P77" s="207">
        <f>IFERROR(Inv_SY!P78/Inv_SY!$P78-1,"")</f>
        <v>0</v>
      </c>
      <c r="Q77" s="207">
        <f>IFERROR(Inv_SY!Q78/Inv_SY!$P78-1,"")</f>
        <v>1.1356934179362455E-2</v>
      </c>
      <c r="R77" s="207">
        <f>IFERROR(Inv_SY!L78/Inv_SY!$Q78-1,"")</f>
        <v>-3.7828691084501154E-2</v>
      </c>
      <c r="S77" s="207">
        <f>IFERROR(Inv_SY!M78/Inv_SY!$Q78-1,"")</f>
        <v>0</v>
      </c>
      <c r="T77" s="207">
        <f>IFERROR(Inv_SY!N78/Inv_SY!$Q78-1,"")</f>
        <v>-6.4550060908652451E-3</v>
      </c>
      <c r="U77" s="208">
        <f>IFERROR(Inv_SY!O78/Inv_SY!$Q78-1,"")</f>
        <v>-1.0819842069371699E-3</v>
      </c>
    </row>
    <row r="78" spans="1:21">
      <c r="A78" s="222">
        <f t="shared" ref="A78" si="146">YEAR(H78)+IF(MONTH(H78)&gt;=4,1,0)</f>
        <v>2026</v>
      </c>
      <c r="B78" s="223">
        <f t="shared" ref="B78" si="147">YEAR(H78)</f>
        <v>2025</v>
      </c>
      <c r="C78" s="204" t="str">
        <f>TEXT(Table5[[#This Row],[Date]],"yyyy")</f>
        <v>2025</v>
      </c>
      <c r="D78" s="204" t="s">
        <v>224</v>
      </c>
      <c r="E78" s="204" t="s">
        <v>224</v>
      </c>
      <c r="F78" s="205" t="str">
        <f>TEXT(Table5[[#This Row],[Date]],"mmm-yy")</f>
        <v>Jun-25</v>
      </c>
      <c r="G78" s="204">
        <f t="shared" si="124"/>
        <v>30</v>
      </c>
      <c r="H78" s="206">
        <f t="shared" si="125"/>
        <v>45821</v>
      </c>
      <c r="I78" s="204">
        <v>11.72</v>
      </c>
      <c r="J78" s="207">
        <f>IFERROR(Inv_SY!J79/Inv_SY!$P79-1,"")</f>
        <v>-4.8779107041960756E-3</v>
      </c>
      <c r="K78" s="207">
        <f>IFERROR(Inv_SY!K79/Inv_SY!$P79-1,"")</f>
        <v>8.9803140986144392E-3</v>
      </c>
      <c r="L78" s="207">
        <f>IFERROR(Inv_SY!L79/Inv_SY!$P79-1,"")</f>
        <v>-2.4943820980118603E-2</v>
      </c>
      <c r="M78" s="207">
        <f>IFERROR(Inv_SY!M79/Inv_SY!$P79-1,"")</f>
        <v>1.1023678849164886E-2</v>
      </c>
      <c r="N78" s="207">
        <f>IFERROR(Inv_SY!N79/Inv_SY!$P79-1,"")</f>
        <v>2.5258233933798113E-3</v>
      </c>
      <c r="O78" s="207">
        <f>IFERROR(Inv_SY!O79/Inv_SY!$P79-1,"")</f>
        <v>7.2919153431552086E-3</v>
      </c>
      <c r="P78" s="207">
        <f>IFERROR(Inv_SY!P79/Inv_SY!$P79-1,"")</f>
        <v>0</v>
      </c>
      <c r="Q78" s="207">
        <f>IFERROR(Inv_SY!Q79/Inv_SY!$P79-1,"")</f>
        <v>1.1023678849164886E-2</v>
      </c>
      <c r="R78" s="207">
        <f>IFERROR(Inv_SY!L79/Inv_SY!$Q79-1,"")</f>
        <v>-3.5575328829315578E-2</v>
      </c>
      <c r="S78" s="207">
        <f>IFERROR(Inv_SY!M79/Inv_SY!$Q79-1,"")</f>
        <v>0</v>
      </c>
      <c r="T78" s="207">
        <f>IFERROR(Inv_SY!N79/Inv_SY!$Q79-1,"")</f>
        <v>-8.4051992387140784E-3</v>
      </c>
      <c r="U78" s="208">
        <f>IFERROR(Inv_SY!O79/Inv_SY!$Q79-1,"")</f>
        <v>-3.6910742884452841E-3</v>
      </c>
    </row>
    <row r="79" spans="1:21">
      <c r="A79" s="222">
        <f t="shared" ref="A79" si="148">YEAR(H79)+IF(MONTH(H79)&gt;=4,1,0)</f>
        <v>2026</v>
      </c>
      <c r="B79" s="223">
        <f t="shared" ref="B79" si="149">YEAR(H79)</f>
        <v>2025</v>
      </c>
      <c r="C79" s="204" t="str">
        <f>TEXT(Table5[[#This Row],[Date]],"yyyy")</f>
        <v>2025</v>
      </c>
      <c r="D79" s="204" t="s">
        <v>224</v>
      </c>
      <c r="E79" s="204" t="s">
        <v>224</v>
      </c>
      <c r="F79" s="205" t="str">
        <f>TEXT(Table5[[#This Row],[Date]],"mmm-yy")</f>
        <v>Jun-25</v>
      </c>
      <c r="G79" s="204">
        <f t="shared" si="124"/>
        <v>30</v>
      </c>
      <c r="H79" s="206">
        <f t="shared" si="125"/>
        <v>45822</v>
      </c>
      <c r="I79" s="204">
        <v>11.72</v>
      </c>
      <c r="J79" s="207">
        <f>IFERROR(Inv_SY!J80/Inv_SY!$P80-1,"")</f>
        <v>-7.5393561648594565E-3</v>
      </c>
      <c r="K79" s="207">
        <f>IFERROR(Inv_SY!K80/Inv_SY!$P80-1,"")</f>
        <v>1.2739655865026123E-2</v>
      </c>
      <c r="L79" s="207">
        <f>IFERROR(Inv_SY!L80/Inv_SY!$P80-1,"")</f>
        <v>-3.5525279927645537E-2</v>
      </c>
      <c r="M79" s="207">
        <f>IFERROR(Inv_SY!M80/Inv_SY!$P80-1,"")</f>
        <v>1.5491659988593476E-2</v>
      </c>
      <c r="N79" s="207">
        <f>IFERROR(Inv_SY!N80/Inv_SY!$P80-1,"")</f>
        <v>2.6291840547387757E-3</v>
      </c>
      <c r="O79" s="207">
        <f>IFERROR(Inv_SY!O80/Inv_SY!$P80-1,"")</f>
        <v>1.2204136184146952E-2</v>
      </c>
      <c r="P79" s="207">
        <f>IFERROR(Inv_SY!P80/Inv_SY!$P80-1,"")</f>
        <v>0</v>
      </c>
      <c r="Q79" s="207">
        <f>IFERROR(Inv_SY!Q80/Inv_SY!$P80-1,"")</f>
        <v>1.5491659988593476E-2</v>
      </c>
      <c r="R79" s="207">
        <f>IFERROR(Inv_SY!L80/Inv_SY!$Q80-1,"")</f>
        <v>-5.0238659682160458E-2</v>
      </c>
      <c r="S79" s="207">
        <f>IFERROR(Inv_SY!M80/Inv_SY!$Q80-1,"")</f>
        <v>0</v>
      </c>
      <c r="T79" s="207">
        <f>IFERROR(Inv_SY!N80/Inv_SY!$Q80-1,"")</f>
        <v>-1.2666254623892481E-2</v>
      </c>
      <c r="U79" s="208">
        <f>IFERROR(Inv_SY!O80/Inv_SY!$Q80-1,"")</f>
        <v>-3.2373715452114205E-3</v>
      </c>
    </row>
    <row r="80" spans="1:21">
      <c r="A80" s="216">
        <f t="shared" ref="A80" si="150">YEAR(H80)+IF(MONTH(H80)&gt;=4,1,0)</f>
        <v>2026</v>
      </c>
      <c r="B80" s="217">
        <f t="shared" ref="B80" si="151">YEAR(H80)</f>
        <v>2025</v>
      </c>
      <c r="C80" s="209" t="str">
        <f>TEXT(Table5[[#This Row],[Date]],"yyyy")</f>
        <v>2025</v>
      </c>
      <c r="D80" s="209" t="s">
        <v>224</v>
      </c>
      <c r="E80" s="209" t="s">
        <v>224</v>
      </c>
      <c r="F80" s="210" t="str">
        <f>TEXT(Table5[[#This Row],[Date]],"mmm-yy")</f>
        <v>Jun-25</v>
      </c>
      <c r="G80" s="209">
        <f t="shared" ref="G80" si="152">DAY(EOMONTH(F80,0))</f>
        <v>30</v>
      </c>
      <c r="H80" s="211">
        <f t="shared" si="125"/>
        <v>45823</v>
      </c>
      <c r="I80" s="209">
        <v>11.72</v>
      </c>
      <c r="J80" s="207">
        <f>IFERROR(Inv_SY!J81/Inv_SY!$P81-1,"")</f>
        <v>3.9500377959662547E-3</v>
      </c>
      <c r="K80" s="207">
        <f>IFERROR(Inv_SY!K81/Inv_SY!$P81-1,"")</f>
        <v>-8.5389374426041442E-3</v>
      </c>
      <c r="L80" s="207">
        <f>IFERROR(Inv_SY!L81/Inv_SY!$P81-1,"")</f>
        <v>-1.5081442976303761E-2</v>
      </c>
      <c r="M80" s="207">
        <f>IFERROR(Inv_SY!M81/Inv_SY!$P81-1,"")</f>
        <v>1.4163656953265713E-2</v>
      </c>
      <c r="N80" s="207">
        <f>IFERROR(Inv_SY!N81/Inv_SY!$P81-1,"")</f>
        <v>8.8692278670039482E-3</v>
      </c>
      <c r="O80" s="207">
        <f>IFERROR(Inv_SY!O81/Inv_SY!$P81-1,"")</f>
        <v>-3.3625421973274561E-3</v>
      </c>
      <c r="P80" s="207">
        <f>IFERROR(Inv_SY!P81/Inv_SY!$P81-1,"")</f>
        <v>0</v>
      </c>
      <c r="Q80" s="207">
        <f>IFERROR(Inv_SY!Q81/Inv_SY!$P81-1,"")</f>
        <v>1.4163656953265713E-2</v>
      </c>
      <c r="R80" s="207">
        <f>IFERROR(Inv_SY!L81/Inv_SY!$Q81-1,"")</f>
        <v>-2.8836667266728067E-2</v>
      </c>
      <c r="S80" s="207">
        <f>IFERROR(Inv_SY!M81/Inv_SY!$Q81-1,"")</f>
        <v>0</v>
      </c>
      <c r="T80" s="207">
        <f>IFERROR(Inv_SY!N81/Inv_SY!$Q81-1,"")</f>
        <v>-5.2204878867057047E-3</v>
      </c>
      <c r="U80" s="208">
        <f>IFERROR(Inv_SY!O81/Inv_SY!$Q81-1,"")</f>
        <v>-1.7281430891780358E-2</v>
      </c>
    </row>
    <row r="81" spans="1:21">
      <c r="A81" s="216">
        <f t="shared" ref="A81" si="153">YEAR(H81)+IF(MONTH(H81)&gt;=4,1,0)</f>
        <v>2026</v>
      </c>
      <c r="B81" s="217">
        <f t="shared" ref="B81" si="154">YEAR(H81)</f>
        <v>2025</v>
      </c>
      <c r="C81" s="209" t="str">
        <f>TEXT(Table5[[#This Row],[Date]],"yyyy")</f>
        <v>2025</v>
      </c>
      <c r="D81" s="209" t="s">
        <v>224</v>
      </c>
      <c r="E81" s="209" t="s">
        <v>224</v>
      </c>
      <c r="F81" s="210" t="str">
        <f>TEXT(Table5[[#This Row],[Date]],"mmm-yy")</f>
        <v>Jun-25</v>
      </c>
      <c r="G81" s="209">
        <f t="shared" ref="G81" si="155">DAY(EOMONTH(F81,0))</f>
        <v>30</v>
      </c>
      <c r="H81" s="211">
        <f t="shared" si="125"/>
        <v>45824</v>
      </c>
      <c r="I81" s="209">
        <v>11.72</v>
      </c>
      <c r="J81" s="212">
        <f>IFERROR(Inv_SY!J82/Inv_SY!$P82-1,"")</f>
        <v>-4.2819714039706858E-3</v>
      </c>
      <c r="K81" s="212">
        <f>IFERROR(Inv_SY!K82/Inv_SY!$P82-1,"")</f>
        <v>-6.9263721331315198E-3</v>
      </c>
      <c r="L81" s="212">
        <f>IFERROR(Inv_SY!L82/Inv_SY!$P82-1,"")</f>
        <v>-1.9594498086962897E-2</v>
      </c>
      <c r="M81" s="212">
        <f>IFERROR(Inv_SY!M82/Inv_SY!$P82-1,"")</f>
        <v>2.2088716422006049E-2</v>
      </c>
      <c r="N81" s="212">
        <f>IFERROR(Inv_SY!N82/Inv_SY!$P82-1,"")</f>
        <v>-4.1503000397991041E-4</v>
      </c>
      <c r="O81" s="212">
        <f>IFERROR(Inv_SY!O82/Inv_SY!$P82-1,"")</f>
        <v>9.1291552060392966E-3</v>
      </c>
      <c r="P81" s="212">
        <f>IFERROR(Inv_SY!P82/Inv_SY!$P82-1,"")</f>
        <v>0</v>
      </c>
      <c r="Q81" s="212">
        <f>IFERROR(Inv_SY!Q82/Inv_SY!$P82-1,"")</f>
        <v>2.2088716422006049E-2</v>
      </c>
      <c r="R81" s="212">
        <f>IFERROR(Inv_SY!L82/Inv_SY!$Q82-1,"")</f>
        <v>-4.0782383993913984E-2</v>
      </c>
      <c r="S81" s="212">
        <f>IFERROR(Inv_SY!M82/Inv_SY!$Q82-1,"")</f>
        <v>0</v>
      </c>
      <c r="T81" s="212">
        <f>IFERROR(Inv_SY!N82/Inv_SY!$Q82-1,"")</f>
        <v>-2.2017410097984524E-2</v>
      </c>
      <c r="U81" s="213">
        <f>IFERROR(Inv_SY!O82/Inv_SY!$Q82-1,"")</f>
        <v>-1.2679487609778106E-2</v>
      </c>
    </row>
    <row r="82" spans="1:21">
      <c r="A82" s="216">
        <f t="shared" ref="A82" si="156">YEAR(H82)+IF(MONTH(H82)&gt;=4,1,0)</f>
        <v>2026</v>
      </c>
      <c r="B82" s="217">
        <f t="shared" ref="B82" si="157">YEAR(H82)</f>
        <v>2025</v>
      </c>
      <c r="C82" s="209" t="str">
        <f>TEXT(Table5[[#This Row],[Date]],"yyyy")</f>
        <v>2025</v>
      </c>
      <c r="D82" s="209" t="s">
        <v>224</v>
      </c>
      <c r="E82" s="209" t="s">
        <v>224</v>
      </c>
      <c r="F82" s="210" t="str">
        <f>TEXT(Table5[[#This Row],[Date]],"mmm-yy")</f>
        <v>Jun-25</v>
      </c>
      <c r="G82" s="209">
        <f t="shared" ref="G82" si="158">DAY(EOMONTH(F82,0))</f>
        <v>30</v>
      </c>
      <c r="H82" s="211">
        <f t="shared" si="125"/>
        <v>45825</v>
      </c>
      <c r="I82" s="209">
        <v>11.72</v>
      </c>
      <c r="J82" s="212">
        <f>IFERROR(Inv_SY!J83/Inv_SY!$P83-1,"")</f>
        <v>-6.9422986902445416E-3</v>
      </c>
      <c r="K82" s="212">
        <f>IFERROR(Inv_SY!K83/Inv_SY!$P83-1,"")</f>
        <v>-2.0477924578820139E-2</v>
      </c>
      <c r="L82" s="212">
        <f>IFERROR(Inv_SY!L83/Inv_SY!$P83-1,"")</f>
        <v>-5.3941386533453595E-2</v>
      </c>
      <c r="M82" s="212">
        <f>IFERROR(Inv_SY!M83/Inv_SY!$P83-1,"")</f>
        <v>2.4272080267007334E-2</v>
      </c>
      <c r="N82" s="212">
        <f>IFERROR(Inv_SY!N83/Inv_SY!$P83-1,"")</f>
        <v>3.0531028929033477E-2</v>
      </c>
      <c r="O82" s="212">
        <f>IFERROR(Inv_SY!O83/Inv_SY!$P83-1,"")</f>
        <v>2.6558500606477464E-2</v>
      </c>
      <c r="P82" s="212">
        <f>IFERROR(Inv_SY!P83/Inv_SY!$P83-1,"")</f>
        <v>0</v>
      </c>
      <c r="Q82" s="212">
        <f>IFERROR(Inv_SY!Q83/Inv_SY!$P83-1,"")</f>
        <v>3.0531028929033477E-2</v>
      </c>
      <c r="R82" s="212">
        <f>IFERROR(Inv_SY!L83/Inv_SY!$Q83-1,"")</f>
        <v>-8.1969793330991636E-2</v>
      </c>
      <c r="S82" s="212">
        <f>IFERROR(Inv_SY!M83/Inv_SY!$Q83-1,"")</f>
        <v>-6.0735179109848714E-3</v>
      </c>
      <c r="T82" s="212">
        <f>IFERROR(Inv_SY!N83/Inv_SY!$Q83-1,"")</f>
        <v>0</v>
      </c>
      <c r="U82" s="213">
        <f>IFERROR(Inv_SY!O83/Inv_SY!$Q83-1,"")</f>
        <v>-3.8548362068091535E-3</v>
      </c>
    </row>
    <row r="83" spans="1:21">
      <c r="A83" s="216">
        <f t="shared" ref="A83" si="159">YEAR(H83)+IF(MONTH(H83)&gt;=4,1,0)</f>
        <v>2026</v>
      </c>
      <c r="B83" s="217">
        <f t="shared" ref="B83" si="160">YEAR(H83)</f>
        <v>2025</v>
      </c>
      <c r="C83" s="209" t="str">
        <f>TEXT(Table5[[#This Row],[Date]],"yyyy")</f>
        <v>2025</v>
      </c>
      <c r="D83" s="209" t="s">
        <v>224</v>
      </c>
      <c r="E83" s="209" t="s">
        <v>224</v>
      </c>
      <c r="F83" s="210" t="str">
        <f>TEXT(Table5[[#This Row],[Date]],"mmm-yy")</f>
        <v>Jun-25</v>
      </c>
      <c r="G83" s="209">
        <f t="shared" ref="G83" si="161">DAY(EOMONTH(F83,0))</f>
        <v>30</v>
      </c>
      <c r="H83" s="211">
        <f t="shared" si="125"/>
        <v>45826</v>
      </c>
      <c r="I83" s="209">
        <v>11.72</v>
      </c>
      <c r="J83" s="212">
        <f>IFERROR(Inv_SY!J84/Inv_SY!$P84-1,"")</f>
        <v>-4.518864669095124E-3</v>
      </c>
      <c r="K83" s="212">
        <f>IFERROR(Inv_SY!K84/Inv_SY!$P84-1,"")</f>
        <v>-9.3888193056644864E-3</v>
      </c>
      <c r="L83" s="212">
        <f>IFERROR(Inv_SY!L84/Inv_SY!$P84-1,"")</f>
        <v>-2.9837365927493975E-2</v>
      </c>
      <c r="M83" s="212">
        <f>IFERROR(Inv_SY!M84/Inv_SY!$P84-1,"")</f>
        <v>3.5198515032305977E-2</v>
      </c>
      <c r="N83" s="212">
        <f>IFERROR(Inv_SY!N84/Inv_SY!$P84-1,"")</f>
        <v>3.381607256520458E-2</v>
      </c>
      <c r="O83" s="212">
        <f>IFERROR(Inv_SY!O84/Inv_SY!$P84-1,"")</f>
        <v>-2.5269537695257305E-2</v>
      </c>
      <c r="P83" s="212">
        <f>IFERROR(Inv_SY!P84/Inv_SY!$P84-1,"")</f>
        <v>0</v>
      </c>
      <c r="Q83" s="212">
        <f>IFERROR(Inv_SY!Q84/Inv_SY!$P84-1,"")</f>
        <v>3.5198515032305977E-2</v>
      </c>
      <c r="R83" s="212">
        <f>IFERROR(Inv_SY!L84/Inv_SY!$Q84-1,"")</f>
        <v>-6.2824550089091269E-2</v>
      </c>
      <c r="S83" s="212">
        <f>IFERROR(Inv_SY!M84/Inv_SY!$Q84-1,"")</f>
        <v>0</v>
      </c>
      <c r="T83" s="212">
        <f>IFERROR(Inv_SY!N84/Inv_SY!$Q84-1,"")</f>
        <v>-1.3354370654775627E-3</v>
      </c>
      <c r="U83" s="213">
        <f>IFERROR(Inv_SY!O84/Inv_SY!$Q84-1,"")</f>
        <v>-5.8412035807138163E-2</v>
      </c>
    </row>
    <row r="84" spans="1:21">
      <c r="A84" s="216">
        <f t="shared" ref="A84" si="162">YEAR(H84)+IF(MONTH(H84)&gt;=4,1,0)</f>
        <v>2026</v>
      </c>
      <c r="B84" s="217">
        <f t="shared" ref="B84" si="163">YEAR(H84)</f>
        <v>2025</v>
      </c>
      <c r="C84" s="209" t="str">
        <f>TEXT(Table5[[#This Row],[Date]],"yyyy")</f>
        <v>2025</v>
      </c>
      <c r="D84" s="209" t="s">
        <v>224</v>
      </c>
      <c r="E84" s="209" t="s">
        <v>224</v>
      </c>
      <c r="F84" s="210" t="str">
        <f>TEXT(Table5[[#This Row],[Date]],"mmm-yy")</f>
        <v>Jun-25</v>
      </c>
      <c r="G84" s="209">
        <f t="shared" ref="G84" si="164">DAY(EOMONTH(F84,0))</f>
        <v>30</v>
      </c>
      <c r="H84" s="211">
        <f t="shared" si="125"/>
        <v>45827</v>
      </c>
      <c r="I84" s="209">
        <v>11.72</v>
      </c>
      <c r="J84" s="212">
        <f>IFERROR(Inv_SY!J85/Inv_SY!$P85-1,"")</f>
        <v>-2.1164451655884542E-2</v>
      </c>
      <c r="K84" s="212">
        <f>IFERROR(Inv_SY!K85/Inv_SY!$P85-1,"")</f>
        <v>-6.4361425536125894E-2</v>
      </c>
      <c r="L84" s="212">
        <f>IFERROR(Inv_SY!L85/Inv_SY!$P85-1,"")</f>
        <v>-6.374877975901605E-2</v>
      </c>
      <c r="M84" s="212">
        <f>IFERROR(Inv_SY!M85/Inv_SY!$P85-1,"")</f>
        <v>4.3997725524739906E-2</v>
      </c>
      <c r="N84" s="212">
        <f>IFERROR(Inv_SY!N85/Inv_SY!$P85-1,"")</f>
        <v>4.2825626872009082E-2</v>
      </c>
      <c r="O84" s="212">
        <f>IFERROR(Inv_SY!O85/Inv_SY!$P85-1,"")</f>
        <v>6.2451304554278053E-2</v>
      </c>
      <c r="P84" s="212">
        <f>IFERROR(Inv_SY!P85/Inv_SY!$P85-1,"")</f>
        <v>0</v>
      </c>
      <c r="Q84" s="212">
        <f>IFERROR(Inv_SY!Q85/Inv_SY!$P85-1,"")</f>
        <v>6.2451304554278053E-2</v>
      </c>
      <c r="R84" s="212">
        <f>IFERROR(Inv_SY!L85/Inv_SY!$Q85-1,"")</f>
        <v>-0.11878199384040278</v>
      </c>
      <c r="S84" s="212">
        <f>IFERROR(Inv_SY!M85/Inv_SY!$Q85-1,"")</f>
        <v>-1.7368870413576043E-2</v>
      </c>
      <c r="T84" s="212">
        <f>IFERROR(Inv_SY!N85/Inv_SY!$Q85-1,"")</f>
        <v>-1.8472072647604754E-2</v>
      </c>
      <c r="U84" s="213">
        <f>IFERROR(Inv_SY!O85/Inv_SY!$Q85-1,"")</f>
        <v>0</v>
      </c>
    </row>
    <row r="85" spans="1:21">
      <c r="A85" s="216">
        <f t="shared" ref="A85" si="165">YEAR(H85)+IF(MONTH(H85)&gt;=4,1,0)</f>
        <v>2026</v>
      </c>
      <c r="B85" s="217">
        <f t="shared" ref="B85" si="166">YEAR(H85)</f>
        <v>2025</v>
      </c>
      <c r="C85" s="209" t="str">
        <f>TEXT(Table5[[#This Row],[Date]],"yyyy")</f>
        <v>2025</v>
      </c>
      <c r="D85" s="209" t="s">
        <v>224</v>
      </c>
      <c r="E85" s="209" t="s">
        <v>224</v>
      </c>
      <c r="F85" s="210" t="str">
        <f>TEXT(Table5[[#This Row],[Date]],"mmm-yy")</f>
        <v>Jun-25</v>
      </c>
      <c r="G85" s="209">
        <f t="shared" ref="G85" si="167">DAY(EOMONTH(F85,0))</f>
        <v>30</v>
      </c>
      <c r="H85" s="211">
        <f t="shared" si="125"/>
        <v>45828</v>
      </c>
      <c r="I85" s="209">
        <v>11.72</v>
      </c>
      <c r="J85" s="212">
        <f>IFERROR(Inv_SY!J86/Inv_SY!$P86-1,"")</f>
        <v>-8.2056718470420065E-2</v>
      </c>
      <c r="K85" s="212">
        <f>IFERROR(Inv_SY!K86/Inv_SY!$P86-1,"")</f>
        <v>3.2895029398086306E-2</v>
      </c>
      <c r="L85" s="212">
        <f>IFERROR(Inv_SY!L86/Inv_SY!$P86-1,"")</f>
        <v>-1.482400866154221E-2</v>
      </c>
      <c r="M85" s="212">
        <f>IFERROR(Inv_SY!M86/Inv_SY!$P86-1,"")</f>
        <v>3.4178962901086463E-2</v>
      </c>
      <c r="N85" s="212">
        <f>IFERROR(Inv_SY!N86/Inv_SY!$P86-1,"")</f>
        <v>1.212462940958603E-2</v>
      </c>
      <c r="O85" s="212">
        <f>IFERROR(Inv_SY!O86/Inv_SY!$P86-1,"")</f>
        <v>1.7682105423204364E-2</v>
      </c>
      <c r="P85" s="212">
        <f>IFERROR(Inv_SY!P86/Inv_SY!$P86-1,"")</f>
        <v>0</v>
      </c>
      <c r="Q85" s="212">
        <f>IFERROR(Inv_SY!Q86/Inv_SY!$P86-1,"")</f>
        <v>3.4178962901086463E-2</v>
      </c>
      <c r="R85" s="212">
        <f>IFERROR(Inv_SY!L86/Inv_SY!$Q86-1,"")</f>
        <v>-4.738345423809931E-2</v>
      </c>
      <c r="S85" s="212">
        <f>IFERROR(Inv_SY!M86/Inv_SY!$Q86-1,"")</f>
        <v>0</v>
      </c>
      <c r="T85" s="212">
        <f>IFERROR(Inv_SY!N86/Inv_SY!$Q86-1,"")</f>
        <v>-2.1325451670021867E-2</v>
      </c>
      <c r="U85" s="213">
        <f>IFERROR(Inv_SY!O86/Inv_SY!$Q86-1,"")</f>
        <v>-1.5951646735885006E-2</v>
      </c>
    </row>
    <row r="86" spans="1:21">
      <c r="A86" s="216">
        <f t="shared" ref="A86" si="168">YEAR(H86)+IF(MONTH(H86)&gt;=4,1,0)</f>
        <v>2026</v>
      </c>
      <c r="B86" s="217">
        <f t="shared" ref="B86" si="169">YEAR(H86)</f>
        <v>2025</v>
      </c>
      <c r="C86" s="209" t="str">
        <f>TEXT(Table5[[#This Row],[Date]],"yyyy")</f>
        <v>2025</v>
      </c>
      <c r="D86" s="209" t="s">
        <v>224</v>
      </c>
      <c r="E86" s="209" t="s">
        <v>224</v>
      </c>
      <c r="F86" s="210" t="str">
        <f>TEXT(Table5[[#This Row],[Date]],"mmm-yy")</f>
        <v>Jun-25</v>
      </c>
      <c r="G86" s="209">
        <f t="shared" ref="G86" si="170">DAY(EOMONTH(F86,0))</f>
        <v>30</v>
      </c>
      <c r="H86" s="211">
        <f t="shared" si="125"/>
        <v>45829</v>
      </c>
      <c r="I86" s="209">
        <v>11.72</v>
      </c>
      <c r="J86" s="212">
        <f>IFERROR(Inv_SY!J87/Inv_SY!$P87-1,"")</f>
        <v>-1.8608981383975154E-2</v>
      </c>
      <c r="K86" s="212">
        <f>IFERROR(Inv_SY!K87/Inv_SY!$P87-1,"")</f>
        <v>1.7125496744099244E-2</v>
      </c>
      <c r="L86" s="212">
        <f>IFERROR(Inv_SY!L87/Inv_SY!$P87-1,"")</f>
        <v>-2.8208205364701477E-2</v>
      </c>
      <c r="M86" s="212">
        <f>IFERROR(Inv_SY!M87/Inv_SY!$P87-1,"")</f>
        <v>2.7318643220378247E-2</v>
      </c>
      <c r="N86" s="212">
        <f>IFERROR(Inv_SY!N87/Inv_SY!$P87-1,"")</f>
        <v>6.956608703150069E-3</v>
      </c>
      <c r="O86" s="212">
        <f>IFERROR(Inv_SY!O87/Inv_SY!$P87-1,"")</f>
        <v>-4.5835619189513732E-3</v>
      </c>
      <c r="P86" s="212">
        <f>IFERROR(Inv_SY!P87/Inv_SY!$P87-1,"")</f>
        <v>0</v>
      </c>
      <c r="Q86" s="212">
        <f>IFERROR(Inv_SY!Q87/Inv_SY!$P87-1,"")</f>
        <v>2.7318643220378247E-2</v>
      </c>
      <c r="R86" s="212">
        <f>IFERROR(Inv_SY!L87/Inv_SY!$Q87-1,"")</f>
        <v>-5.4050268581729788E-2</v>
      </c>
      <c r="S86" s="212">
        <f>IFERROR(Inv_SY!M87/Inv_SY!$Q87-1,"")</f>
        <v>0</v>
      </c>
      <c r="T86" s="212">
        <f>IFERROR(Inv_SY!N87/Inv_SY!$Q87-1,"")</f>
        <v>-1.9820563611498865E-2</v>
      </c>
      <c r="U86" s="213">
        <f>IFERROR(Inv_SY!O87/Inv_SY!$Q87-1,"")</f>
        <v>-3.1053855928598995E-2</v>
      </c>
    </row>
    <row r="87" spans="1:21">
      <c r="A87" s="216">
        <f t="shared" ref="A87" si="171">YEAR(H87)+IF(MONTH(H87)&gt;=4,1,0)</f>
        <v>2026</v>
      </c>
      <c r="B87" s="217">
        <f t="shared" ref="B87" si="172">YEAR(H87)</f>
        <v>2025</v>
      </c>
      <c r="C87" s="209" t="str">
        <f>TEXT(Table5[[#This Row],[Date]],"yyyy")</f>
        <v>2025</v>
      </c>
      <c r="D87" s="209" t="s">
        <v>224</v>
      </c>
      <c r="E87" s="209" t="s">
        <v>224</v>
      </c>
      <c r="F87" s="210" t="str">
        <f>TEXT(Table5[[#This Row],[Date]],"mmm-yy")</f>
        <v>Jun-25</v>
      </c>
      <c r="G87" s="209">
        <f t="shared" ref="G87" si="173">DAY(EOMONTH(F87,0))</f>
        <v>30</v>
      </c>
      <c r="H87" s="211">
        <f t="shared" si="125"/>
        <v>45830</v>
      </c>
      <c r="I87" s="209">
        <v>11.72</v>
      </c>
      <c r="J87" s="212">
        <f>IFERROR(Inv_SY!J88/Inv_SY!$P88-1,"")</f>
        <v>-3.5526205187528914E-2</v>
      </c>
      <c r="K87" s="212">
        <f>IFERROR(Inv_SY!K88/Inv_SY!$P88-1,"")</f>
        <v>2.4017075838397961E-2</v>
      </c>
      <c r="L87" s="212">
        <f>IFERROR(Inv_SY!L88/Inv_SY!$P88-1,"")</f>
        <v>-1.9380293918781266E-2</v>
      </c>
      <c r="M87" s="212">
        <f>IFERROR(Inv_SY!M88/Inv_SY!$P88-1,"")</f>
        <v>2.5596512403929461E-2</v>
      </c>
      <c r="N87" s="212">
        <f>IFERROR(Inv_SY!N88/Inv_SY!$P88-1,"")</f>
        <v>-5.1779080143173895E-3</v>
      </c>
      <c r="O87" s="212">
        <f>IFERROR(Inv_SY!O88/Inv_SY!$P88-1,"")</f>
        <v>1.0470818878300703E-2</v>
      </c>
      <c r="P87" s="212">
        <f>IFERROR(Inv_SY!P88/Inv_SY!$P88-1,"")</f>
        <v>0</v>
      </c>
      <c r="Q87" s="212">
        <f>IFERROR(Inv_SY!Q88/Inv_SY!$P88-1,"")</f>
        <v>2.5596512403929461E-2</v>
      </c>
      <c r="R87" s="212">
        <f>IFERROR(Inv_SY!L88/Inv_SY!$Q88-1,"")</f>
        <v>-4.385428945861769E-2</v>
      </c>
      <c r="S87" s="212">
        <f>IFERROR(Inv_SY!M88/Inv_SY!$Q88-1,"")</f>
        <v>0</v>
      </c>
      <c r="T87" s="212">
        <f>IFERROR(Inv_SY!N88/Inv_SY!$Q88-1,"")</f>
        <v>-3.0006362196097647E-2</v>
      </c>
      <c r="U87" s="213">
        <f>IFERROR(Inv_SY!O88/Inv_SY!$Q88-1,"")</f>
        <v>-1.4748191264979171E-2</v>
      </c>
    </row>
    <row r="88" spans="1:21">
      <c r="A88" s="216">
        <f t="shared" ref="A88" si="174">YEAR(H88)+IF(MONTH(H88)&gt;=4,1,0)</f>
        <v>2026</v>
      </c>
      <c r="B88" s="217">
        <f t="shared" ref="B88" si="175">YEAR(H88)</f>
        <v>2025</v>
      </c>
      <c r="C88" s="209" t="str">
        <f>TEXT(Table5[[#This Row],[Date]],"yyyy")</f>
        <v>2025</v>
      </c>
      <c r="D88" s="209" t="s">
        <v>224</v>
      </c>
      <c r="E88" s="209" t="s">
        <v>224</v>
      </c>
      <c r="F88" s="210" t="str">
        <f>TEXT(Table5[[#This Row],[Date]],"mmm-yy")</f>
        <v>Jun-25</v>
      </c>
      <c r="G88" s="209">
        <f t="shared" ref="G88" si="176">DAY(EOMONTH(F88,0))</f>
        <v>30</v>
      </c>
      <c r="H88" s="211">
        <f t="shared" si="125"/>
        <v>45831</v>
      </c>
      <c r="I88" s="209">
        <v>11.72</v>
      </c>
      <c r="J88" s="212">
        <f>IFERROR(Inv_SY!J89/Inv_SY!$P89-1,"")</f>
        <v>-8.7705264557602636E-3</v>
      </c>
      <c r="K88" s="212">
        <f>IFERROR(Inv_SY!K89/Inv_SY!$P89-1,"")</f>
        <v>-2.2213008772138387E-3</v>
      </c>
      <c r="L88" s="212">
        <f>IFERROR(Inv_SY!L89/Inv_SY!$P89-1,"")</f>
        <v>-1.5136981625573642E-2</v>
      </c>
      <c r="M88" s="212">
        <f>IFERROR(Inv_SY!M89/Inv_SY!$P89-1,"")</f>
        <v>2.075030413382084E-2</v>
      </c>
      <c r="N88" s="212">
        <f>IFERROR(Inv_SY!N89/Inv_SY!$P89-1,"")</f>
        <v>-5.9124804909611584E-3</v>
      </c>
      <c r="O88" s="212">
        <f>IFERROR(Inv_SY!O89/Inv_SY!$P89-1,"")</f>
        <v>1.129098531568884E-2</v>
      </c>
      <c r="P88" s="212">
        <f>IFERROR(Inv_SY!P89/Inv_SY!$P89-1,"")</f>
        <v>0</v>
      </c>
      <c r="Q88" s="212">
        <f>IFERROR(Inv_SY!Q89/Inv_SY!$P89-1,"")</f>
        <v>2.075030413382084E-2</v>
      </c>
      <c r="R88" s="212">
        <f>IFERROR(Inv_SY!L89/Inv_SY!$Q89-1,"")</f>
        <v>-3.5157751718572827E-2</v>
      </c>
      <c r="S88" s="212">
        <f>IFERROR(Inv_SY!M89/Inv_SY!$Q89-1,"")</f>
        <v>0</v>
      </c>
      <c r="T88" s="212">
        <f>IFERROR(Inv_SY!N89/Inv_SY!$Q89-1,"")</f>
        <v>-2.6120770688780048E-2</v>
      </c>
      <c r="U88" s="213">
        <f>IFERROR(Inv_SY!O89/Inv_SY!$Q89-1,"")</f>
        <v>-9.2670252262710973E-3</v>
      </c>
    </row>
    <row r="89" spans="1:21">
      <c r="A89" s="216">
        <f t="shared" ref="A89" si="177">YEAR(H89)+IF(MONTH(H89)&gt;=4,1,0)</f>
        <v>2026</v>
      </c>
      <c r="B89" s="217">
        <f t="shared" ref="B89" si="178">YEAR(H89)</f>
        <v>2025</v>
      </c>
      <c r="C89" s="209" t="str">
        <f>TEXT(Table5[[#This Row],[Date]],"yyyy")</f>
        <v>2025</v>
      </c>
      <c r="D89" s="209" t="s">
        <v>224</v>
      </c>
      <c r="E89" s="209" t="s">
        <v>224</v>
      </c>
      <c r="F89" s="210" t="str">
        <f>TEXT(Table5[[#This Row],[Date]],"mmm-yy")</f>
        <v>Jun-25</v>
      </c>
      <c r="G89" s="209">
        <f t="shared" ref="G89" si="179">DAY(EOMONTH(F89,0))</f>
        <v>30</v>
      </c>
      <c r="H89" s="211">
        <f t="shared" si="125"/>
        <v>45832</v>
      </c>
      <c r="I89" s="209">
        <v>11.72</v>
      </c>
      <c r="J89" s="212">
        <f>IFERROR(Inv_SY!J90/Inv_SY!$P90-1,"")</f>
        <v>-7.3652828572580153E-3</v>
      </c>
      <c r="K89" s="212">
        <f>IFERROR(Inv_SY!K90/Inv_SY!$P90-1,"")</f>
        <v>1.5587966582073509E-2</v>
      </c>
      <c r="L89" s="212">
        <f>IFERROR(Inv_SY!L90/Inv_SY!$P90-1,"")</f>
        <v>-1.3011710390510856E-2</v>
      </c>
      <c r="M89" s="212">
        <f>IFERROR(Inv_SY!M90/Inv_SY!$P90-1,"")</f>
        <v>1.3323040344379145E-2</v>
      </c>
      <c r="N89" s="212">
        <f>IFERROR(Inv_SY!N90/Inv_SY!$P90-1,"")</f>
        <v>-9.8674224155474999E-3</v>
      </c>
      <c r="O89" s="212">
        <f>IFERROR(Inv_SY!O90/Inv_SY!$P90-1,"")</f>
        <v>1.3334087368617187E-3</v>
      </c>
      <c r="P89" s="212">
        <f>IFERROR(Inv_SY!P90/Inv_SY!$P90-1,"")</f>
        <v>0</v>
      </c>
      <c r="Q89" s="212">
        <f>IFERROR(Inv_SY!Q90/Inv_SY!$P90-1,"")</f>
        <v>1.5587966582073509E-2</v>
      </c>
      <c r="R89" s="212">
        <f>IFERROR(Inv_SY!L90/Inv_SY!$Q90-1,"")</f>
        <v>-2.8160708785114341E-2</v>
      </c>
      <c r="S89" s="212">
        <f>IFERROR(Inv_SY!M90/Inv_SY!$Q90-1,"")</f>
        <v>-2.230162538570335E-3</v>
      </c>
      <c r="T89" s="212">
        <f>IFERROR(Inv_SY!N90/Inv_SY!$Q90-1,"")</f>
        <v>-2.5064681578780501E-2</v>
      </c>
      <c r="U89" s="213">
        <f>IFERROR(Inv_SY!O90/Inv_SY!$Q90-1,"")</f>
        <v>-1.4035768750967903E-2</v>
      </c>
    </row>
    <row r="90" spans="1:21">
      <c r="A90" s="216">
        <f t="shared" ref="A90" si="180">YEAR(H90)+IF(MONTH(H90)&gt;=4,1,0)</f>
        <v>2026</v>
      </c>
      <c r="B90" s="217">
        <f t="shared" ref="B90" si="181">YEAR(H90)</f>
        <v>2025</v>
      </c>
      <c r="C90" s="209" t="str">
        <f>TEXT(Table5[[#This Row],[Date]],"yyyy")</f>
        <v>2025</v>
      </c>
      <c r="D90" s="209" t="s">
        <v>224</v>
      </c>
      <c r="E90" s="209" t="s">
        <v>224</v>
      </c>
      <c r="F90" s="210" t="str">
        <f>TEXT(Table5[[#This Row],[Date]],"mmm-yy")</f>
        <v>Jun-25</v>
      </c>
      <c r="G90" s="209">
        <f t="shared" ref="G90" si="182">DAY(EOMONTH(F90,0))</f>
        <v>30</v>
      </c>
      <c r="H90" s="211">
        <f t="shared" si="125"/>
        <v>45833</v>
      </c>
      <c r="I90" s="209">
        <v>11.72</v>
      </c>
      <c r="J90" s="212">
        <f>IFERROR(Inv_SY!J91/Inv_SY!$P91-1,"")</f>
        <v>4.3717900690065647E-4</v>
      </c>
      <c r="K90" s="212">
        <f>IFERROR(Inv_SY!K91/Inv_SY!$P91-1,"")</f>
        <v>-5.0092038532114636E-3</v>
      </c>
      <c r="L90" s="212">
        <f>IFERROR(Inv_SY!L91/Inv_SY!$P91-1,"")</f>
        <v>-2.3297131699611007E-2</v>
      </c>
      <c r="M90" s="212">
        <f>IFERROR(Inv_SY!M91/Inv_SY!$P91-1,"")</f>
        <v>1.5921975232080721E-2</v>
      </c>
      <c r="N90" s="212">
        <f>IFERROR(Inv_SY!N91/Inv_SY!$P91-1,"")</f>
        <v>8.6922581559525369E-3</v>
      </c>
      <c r="O90" s="212">
        <f>IFERROR(Inv_SY!O91/Inv_SY!$P91-1,"")</f>
        <v>3.2549231578886673E-3</v>
      </c>
      <c r="P90" s="212">
        <f>IFERROR(Inv_SY!P91/Inv_SY!$P91-1,"")</f>
        <v>0</v>
      </c>
      <c r="Q90" s="212">
        <f>IFERROR(Inv_SY!Q91/Inv_SY!$P91-1,"")</f>
        <v>1.5921975232080721E-2</v>
      </c>
      <c r="R90" s="212">
        <f>IFERROR(Inv_SY!L91/Inv_SY!$Q91-1,"")</f>
        <v>-3.8604447868875291E-2</v>
      </c>
      <c r="S90" s="212">
        <f>IFERROR(Inv_SY!M91/Inv_SY!$Q91-1,"")</f>
        <v>0</v>
      </c>
      <c r="T90" s="212">
        <f>IFERROR(Inv_SY!N91/Inv_SY!$Q91-1,"")</f>
        <v>-7.1164097759345291E-3</v>
      </c>
      <c r="U90" s="213">
        <f>IFERROR(Inv_SY!O91/Inv_SY!$Q91-1,"")</f>
        <v>-1.2468528472669771E-2</v>
      </c>
    </row>
    <row r="91" spans="1:21">
      <c r="A91" s="216">
        <f t="shared" ref="A91" si="183">YEAR(H91)+IF(MONTH(H91)&gt;=4,1,0)</f>
        <v>2026</v>
      </c>
      <c r="B91" s="217">
        <f t="shared" ref="B91" si="184">YEAR(H91)</f>
        <v>2025</v>
      </c>
      <c r="C91" s="209" t="str">
        <f>TEXT(Table5[[#This Row],[Date]],"yyyy")</f>
        <v>2025</v>
      </c>
      <c r="D91" s="209" t="s">
        <v>224</v>
      </c>
      <c r="E91" s="209" t="s">
        <v>224</v>
      </c>
      <c r="F91" s="210" t="str">
        <f>TEXT(Table5[[#This Row],[Date]],"mmm-yy")</f>
        <v>Jun-25</v>
      </c>
      <c r="G91" s="209">
        <f t="shared" ref="G91" si="185">DAY(EOMONTH(F91,0))</f>
        <v>30</v>
      </c>
      <c r="H91" s="211">
        <f t="shared" si="125"/>
        <v>45834</v>
      </c>
      <c r="I91" s="209">
        <v>11.72</v>
      </c>
      <c r="J91" s="212">
        <f>IFERROR(Inv_SY!J92/Inv_SY!$P92-1,"")</f>
        <v>9.0444257673683026E-5</v>
      </c>
      <c r="K91" s="212">
        <f>IFERROR(Inv_SY!K92/Inv_SY!$P92-1,"")</f>
        <v>-1.0149599379807306E-3</v>
      </c>
      <c r="L91" s="212">
        <f>IFERROR(Inv_SY!L92/Inv_SY!$P92-1,"")</f>
        <v>-2.0555465099037051E-2</v>
      </c>
      <c r="M91" s="212">
        <f>IFERROR(Inv_SY!M92/Inv_SY!$P92-1,"")</f>
        <v>1.3482894885229468E-2</v>
      </c>
      <c r="N91" s="212">
        <f>IFERROR(Inv_SY!N92/Inv_SY!$P92-1,"")</f>
        <v>-4.0595370644885831E-3</v>
      </c>
      <c r="O91" s="212">
        <f>IFERROR(Inv_SY!O92/Inv_SY!$P92-1,"")</f>
        <v>1.2056622958603436E-2</v>
      </c>
      <c r="P91" s="212">
        <f>IFERROR(Inv_SY!P92/Inv_SY!$P92-1,"")</f>
        <v>0</v>
      </c>
      <c r="Q91" s="212">
        <f>IFERROR(Inv_SY!Q92/Inv_SY!$P92-1,"")</f>
        <v>1.3482894885229468E-2</v>
      </c>
      <c r="R91" s="212">
        <f>IFERROR(Inv_SY!L92/Inv_SY!$Q92-1,"")</f>
        <v>-3.3585529816091308E-2</v>
      </c>
      <c r="S91" s="212">
        <f>IFERROR(Inv_SY!M92/Inv_SY!$Q92-1,"")</f>
        <v>0</v>
      </c>
      <c r="T91" s="212">
        <f>IFERROR(Inv_SY!N92/Inv_SY!$Q92-1,"")</f>
        <v>-1.7309055770205695E-2</v>
      </c>
      <c r="U91" s="213">
        <f>IFERROR(Inv_SY!O92/Inv_SY!$Q92-1,"")</f>
        <v>-1.4072974825958262E-3</v>
      </c>
    </row>
    <row r="92" spans="1:21">
      <c r="A92" s="216">
        <f t="shared" ref="A92" si="186">YEAR(H92)+IF(MONTH(H92)&gt;=4,1,0)</f>
        <v>2026</v>
      </c>
      <c r="B92" s="217">
        <f t="shared" ref="B92" si="187">YEAR(H92)</f>
        <v>2025</v>
      </c>
      <c r="C92" s="209" t="str">
        <f>TEXT(Table5[[#This Row],[Date]],"yyyy")</f>
        <v>2025</v>
      </c>
      <c r="D92" s="209" t="s">
        <v>224</v>
      </c>
      <c r="E92" s="209" t="s">
        <v>224</v>
      </c>
      <c r="F92" s="210" t="str">
        <f>TEXT(Table5[[#This Row],[Date]],"mmm-yy")</f>
        <v>Jun-25</v>
      </c>
      <c r="G92" s="209">
        <f t="shared" ref="G92" si="188">DAY(EOMONTH(F92,0))</f>
        <v>30</v>
      </c>
      <c r="H92" s="211">
        <f t="shared" si="125"/>
        <v>45835</v>
      </c>
      <c r="I92" s="209">
        <v>11.72</v>
      </c>
      <c r="J92" s="212">
        <f>IFERROR(Inv_SY!J93/Inv_SY!$P93-1,"")</f>
        <v>-1.4500883007628751E-3</v>
      </c>
      <c r="K92" s="212">
        <f>IFERROR(Inv_SY!K93/Inv_SY!$P93-1,"")</f>
        <v>3.4327953742669948E-3</v>
      </c>
      <c r="L92" s="212">
        <f>IFERROR(Inv_SY!L93/Inv_SY!$P93-1,"")</f>
        <v>-4.6004011777502463E-2</v>
      </c>
      <c r="M92" s="212">
        <f>IFERROR(Inv_SY!M93/Inv_SY!$P93-1,"")</f>
        <v>2.4686396681081524E-2</v>
      </c>
      <c r="N92" s="212">
        <f>IFERROR(Inv_SY!N93/Inv_SY!$P93-1,"")</f>
        <v>9.6946603457672698E-3</v>
      </c>
      <c r="O92" s="212">
        <f>IFERROR(Inv_SY!O93/Inv_SY!$P93-1,"")</f>
        <v>9.6402476771504375E-3</v>
      </c>
      <c r="P92" s="212">
        <f>IFERROR(Inv_SY!P93/Inv_SY!$P93-1,"")</f>
        <v>0</v>
      </c>
      <c r="Q92" s="212">
        <f>IFERROR(Inv_SY!Q93/Inv_SY!$P93-1,"")</f>
        <v>2.4686396681081524E-2</v>
      </c>
      <c r="R92" s="212">
        <f>IFERROR(Inv_SY!L93/Inv_SY!$Q93-1,"")</f>
        <v>-6.8987359144756288E-2</v>
      </c>
      <c r="S92" s="212">
        <f>IFERROR(Inv_SY!M93/Inv_SY!$Q93-1,"")</f>
        <v>0</v>
      </c>
      <c r="T92" s="212">
        <f>IFERROR(Inv_SY!N93/Inv_SY!$Q93-1,"")</f>
        <v>-1.4630560514779845E-2</v>
      </c>
      <c r="U92" s="213">
        <f>IFERROR(Inv_SY!O93/Inv_SY!$Q93-1,"")</f>
        <v>-1.4683662291863131E-2</v>
      </c>
    </row>
    <row r="93" spans="1:21">
      <c r="A93" s="216">
        <f t="shared" ref="A93" si="189">YEAR(H93)+IF(MONTH(H93)&gt;=4,1,0)</f>
        <v>2026</v>
      </c>
      <c r="B93" s="217">
        <f t="shared" ref="B93" si="190">YEAR(H93)</f>
        <v>2025</v>
      </c>
      <c r="C93" s="209" t="str">
        <f>TEXT(Table5[[#This Row],[Date]],"yyyy")</f>
        <v>2025</v>
      </c>
      <c r="D93" s="209" t="s">
        <v>224</v>
      </c>
      <c r="E93" s="209" t="s">
        <v>224</v>
      </c>
      <c r="F93" s="210" t="str">
        <f>TEXT(Table5[[#This Row],[Date]],"mmm-yy")</f>
        <v>Jun-25</v>
      </c>
      <c r="G93" s="209">
        <f t="shared" ref="G93" si="191">DAY(EOMONTH(F93,0))</f>
        <v>30</v>
      </c>
      <c r="H93" s="211">
        <f t="shared" si="125"/>
        <v>45836</v>
      </c>
      <c r="I93" s="209">
        <v>11.72</v>
      </c>
      <c r="J93" s="212">
        <f>IFERROR(Inv_SY!J94/Inv_SY!$P94-1,"")</f>
        <v>-2.1984633023103273E-3</v>
      </c>
      <c r="K93" s="212">
        <f>IFERROR(Inv_SY!K94/Inv_SY!$P94-1,"")</f>
        <v>-1.19662168865039E-2</v>
      </c>
      <c r="L93" s="212">
        <f>IFERROR(Inv_SY!L94/Inv_SY!$P94-1,"")</f>
        <v>-3.3830207631448062E-2</v>
      </c>
      <c r="M93" s="212">
        <f>IFERROR(Inv_SY!M94/Inv_SY!$P94-1,"")</f>
        <v>1.975831716978127E-2</v>
      </c>
      <c r="N93" s="212">
        <f>IFERROR(Inv_SY!N94/Inv_SY!$P94-1,"")</f>
        <v>1.4907792455765456E-2</v>
      </c>
      <c r="O93" s="212">
        <f>IFERROR(Inv_SY!O94/Inv_SY!$P94-1,"")</f>
        <v>1.3328778194715563E-2</v>
      </c>
      <c r="P93" s="212">
        <f>IFERROR(Inv_SY!P94/Inv_SY!$P94-1,"")</f>
        <v>0</v>
      </c>
      <c r="Q93" s="212">
        <f>IFERROR(Inv_SY!Q94/Inv_SY!$P94-1,"")</f>
        <v>1.975831716978127E-2</v>
      </c>
      <c r="R93" s="212">
        <f>IFERROR(Inv_SY!L94/Inv_SY!$Q94-1,"")</f>
        <v>-5.2550220869939102E-2</v>
      </c>
      <c r="S93" s="212">
        <f>IFERROR(Inv_SY!M94/Inv_SY!$Q94-1,"")</f>
        <v>0</v>
      </c>
      <c r="T93" s="212">
        <f>IFERROR(Inv_SY!N94/Inv_SY!$Q94-1,"")</f>
        <v>-4.7565434204821511E-3</v>
      </c>
      <c r="U93" s="213">
        <f>IFERROR(Inv_SY!O94/Inv_SY!$Q94-1,"")</f>
        <v>-6.3049635063631149E-3</v>
      </c>
    </row>
    <row r="94" spans="1:21">
      <c r="A94" s="216">
        <f t="shared" ref="A94" si="192">YEAR(H94)+IF(MONTH(H94)&gt;=4,1,0)</f>
        <v>2026</v>
      </c>
      <c r="B94" s="217">
        <f t="shared" ref="B94" si="193">YEAR(H94)</f>
        <v>2025</v>
      </c>
      <c r="C94" s="209" t="str">
        <f>TEXT(Table5[[#This Row],[Date]],"yyyy")</f>
        <v>2025</v>
      </c>
      <c r="D94" s="209" t="s">
        <v>224</v>
      </c>
      <c r="E94" s="209" t="s">
        <v>224</v>
      </c>
      <c r="F94" s="210" t="str">
        <f>TEXT(Table5[[#This Row],[Date]],"mmm-yy")</f>
        <v>Jun-25</v>
      </c>
      <c r="G94" s="209">
        <f t="shared" ref="G94" si="194">DAY(EOMONTH(F94,0))</f>
        <v>30</v>
      </c>
      <c r="H94" s="211">
        <f t="shared" si="125"/>
        <v>45837</v>
      </c>
      <c r="I94" s="209">
        <v>11.72</v>
      </c>
      <c r="J94" s="212">
        <f>IFERROR(Inv_SY!J95/Inv_SY!$P95-1,"")</f>
        <v>-3.1125094084741844E-3</v>
      </c>
      <c r="K94" s="212">
        <f>IFERROR(Inv_SY!K95/Inv_SY!$P95-1,"")</f>
        <v>-5.776575058320188E-3</v>
      </c>
      <c r="L94" s="212">
        <f>IFERROR(Inv_SY!L95/Inv_SY!$P95-1,"")</f>
        <v>-1.762720625909886E-2</v>
      </c>
      <c r="M94" s="212">
        <f>IFERROR(Inv_SY!M95/Inv_SY!$P95-1,"")</f>
        <v>2.5022038286782067E-2</v>
      </c>
      <c r="N94" s="212">
        <f>IFERROR(Inv_SY!N95/Inv_SY!$P95-1,"")</f>
        <v>-1.0498195938403287E-2</v>
      </c>
      <c r="O94" s="212">
        <f>IFERROR(Inv_SY!O95/Inv_SY!$P95-1,"")</f>
        <v>1.1992448377514897E-2</v>
      </c>
      <c r="P94" s="212">
        <f>IFERROR(Inv_SY!P95/Inv_SY!$P95-1,"")</f>
        <v>0</v>
      </c>
      <c r="Q94" s="212">
        <f>IFERROR(Inv_SY!Q95/Inv_SY!$P95-1,"")</f>
        <v>2.5022038286782067E-2</v>
      </c>
      <c r="R94" s="212">
        <f>IFERROR(Inv_SY!L95/Inv_SY!$Q95-1,"")</f>
        <v>-4.1608124462538254E-2</v>
      </c>
      <c r="S94" s="212">
        <f>IFERROR(Inv_SY!M95/Inv_SY!$Q95-1,"")</f>
        <v>0</v>
      </c>
      <c r="T94" s="212">
        <f>IFERROR(Inv_SY!N95/Inv_SY!$Q95-1,"")</f>
        <v>-3.4653141979809399E-2</v>
      </c>
      <c r="U94" s="213">
        <f>IFERROR(Inv_SY!O95/Inv_SY!$Q95-1,"")</f>
        <v>-1.2711521725957131E-2</v>
      </c>
    </row>
    <row r="95" spans="1:21">
      <c r="A95" s="216">
        <f t="shared" ref="A95" si="195">YEAR(H95)+IF(MONTH(H95)&gt;=4,1,0)</f>
        <v>2026</v>
      </c>
      <c r="B95" s="217">
        <f t="shared" ref="B95" si="196">YEAR(H95)</f>
        <v>2025</v>
      </c>
      <c r="C95" s="209" t="str">
        <f>TEXT(Table5[[#This Row],[Date]],"yyyy")</f>
        <v>2025</v>
      </c>
      <c r="D95" s="209" t="s">
        <v>224</v>
      </c>
      <c r="E95" s="209" t="s">
        <v>224</v>
      </c>
      <c r="F95" s="210" t="str">
        <f>TEXT(Table5[[#This Row],[Date]],"mmm-yy")</f>
        <v>Jun-25</v>
      </c>
      <c r="G95" s="209">
        <f t="shared" ref="G95" si="197">DAY(EOMONTH(F95,0))</f>
        <v>30</v>
      </c>
      <c r="H95" s="211">
        <f t="shared" si="125"/>
        <v>45838</v>
      </c>
      <c r="I95" s="209">
        <v>11.72</v>
      </c>
      <c r="J95" s="212">
        <f>IFERROR(Inv_SY!J96/Inv_SY!$P96-1,"")</f>
        <v>-3.8629945685148104E-2</v>
      </c>
      <c r="K95" s="212">
        <f>IFERROR(Inv_SY!K96/Inv_SY!$P96-1,"")</f>
        <v>2.2261139265817853E-3</v>
      </c>
      <c r="L95" s="212">
        <f>IFERROR(Inv_SY!L96/Inv_SY!$P96-1,"")</f>
        <v>-4.1431577262535102E-3</v>
      </c>
      <c r="M95" s="212">
        <f>IFERROR(Inv_SY!M96/Inv_SY!$P96-1,"")</f>
        <v>1.9269105564172273E-2</v>
      </c>
      <c r="N95" s="212">
        <f>IFERROR(Inv_SY!N96/Inv_SY!$P96-1,"")</f>
        <v>-2.0388476451718152E-3</v>
      </c>
      <c r="O95" s="212">
        <f>IFERROR(Inv_SY!O96/Inv_SY!$P96-1,"")</f>
        <v>2.3316731565818261E-2</v>
      </c>
      <c r="P95" s="212">
        <f>IFERROR(Inv_SY!P96/Inv_SY!$P96-1,"")</f>
        <v>0</v>
      </c>
      <c r="Q95" s="212">
        <f>IFERROR(Inv_SY!Q96/Inv_SY!$P96-1,"")</f>
        <v>2.3316731565818261E-2</v>
      </c>
      <c r="R95" s="212">
        <f>IFERROR(Inv_SY!L96/Inv_SY!$Q96-1,"")</f>
        <v>-2.6834203375189936E-2</v>
      </c>
      <c r="S95" s="212">
        <f>IFERROR(Inv_SY!M96/Inv_SY!$Q96-1,"")</f>
        <v>-3.9553990243592629E-3</v>
      </c>
      <c r="T95" s="212">
        <f>IFERROR(Inv_SY!N96/Inv_SY!$Q96-1,"")</f>
        <v>-2.4777840944897433E-2</v>
      </c>
      <c r="U95" s="213">
        <f>IFERROR(Inv_SY!O96/Inv_SY!$Q96-1,"")</f>
        <v>0</v>
      </c>
    </row>
    <row r="96" spans="1:21">
      <c r="A96" s="216">
        <f t="shared" ref="A96" si="198">YEAR(H96)+IF(MONTH(H96)&gt;=4,1,0)</f>
        <v>2026</v>
      </c>
      <c r="B96" s="217">
        <f t="shared" ref="B96" si="199">YEAR(H96)</f>
        <v>2025</v>
      </c>
      <c r="C96" s="209" t="str">
        <f>TEXT(Table5[[#This Row],[Date]],"yyyy")</f>
        <v>2025</v>
      </c>
      <c r="D96" s="209" t="s">
        <v>224</v>
      </c>
      <c r="E96" s="209" t="s">
        <v>224</v>
      </c>
      <c r="F96" s="210" t="str">
        <f>TEXT(Table5[[#This Row],[Date]],"mmm-yy")</f>
        <v>Jul-25</v>
      </c>
      <c r="G96" s="209">
        <f t="shared" ref="G96" si="200">DAY(EOMONTH(F96,0))</f>
        <v>31</v>
      </c>
      <c r="H96" s="211">
        <f t="shared" si="125"/>
        <v>45839</v>
      </c>
      <c r="I96" s="209">
        <v>11.72</v>
      </c>
      <c r="J96" s="212">
        <f>IFERROR(Inv_SY!J97/Inv_SY!$P97-1,"")</f>
        <v>-5.9109953560176898E-5</v>
      </c>
      <c r="K96" s="212">
        <f>IFERROR(Inv_SY!K97/Inv_SY!$P97-1,"")</f>
        <v>1.3124660119838261E-2</v>
      </c>
      <c r="L96" s="212">
        <f>IFERROR(Inv_SY!L97/Inv_SY!$P97-1,"")</f>
        <v>6.0977655835046107E-3</v>
      </c>
      <c r="M96" s="212">
        <f>IFERROR(Inv_SY!M97/Inv_SY!$P97-1,"")</f>
        <v>5.066108082171894E-3</v>
      </c>
      <c r="N96" s="212">
        <f>IFERROR(Inv_SY!N97/Inv_SY!$P97-1,"")</f>
        <v>-1.756697155890441E-2</v>
      </c>
      <c r="O96" s="212">
        <f>IFERROR(Inv_SY!O97/Inv_SY!$P97-1,"")</f>
        <v>-6.66245227305029E-3</v>
      </c>
      <c r="P96" s="212">
        <f>IFERROR(Inv_SY!P97/Inv_SY!$P97-1,"")</f>
        <v>0</v>
      </c>
      <c r="Q96" s="212">
        <f>IFERROR(Inv_SY!Q97/Inv_SY!$P97-1,"")</f>
        <v>1.3124660119838261E-2</v>
      </c>
      <c r="R96" s="212">
        <f>IFERROR(Inv_SY!L97/Inv_SY!$Q97-1,"")</f>
        <v>-6.9358636828588116E-3</v>
      </c>
      <c r="S96" s="212">
        <f>IFERROR(Inv_SY!M97/Inv_SY!$Q97-1,"")</f>
        <v>-7.9541564378792229E-3</v>
      </c>
      <c r="T96" s="212">
        <f>IFERROR(Inv_SY!N97/Inv_SY!$Q97-1,"")</f>
        <v>-3.0294032794653702E-2</v>
      </c>
      <c r="U96" s="213">
        <f>IFERROR(Inv_SY!O97/Inv_SY!$Q97-1,"")</f>
        <v>-1.9530777575336167E-2</v>
      </c>
    </row>
    <row r="97" spans="1:21">
      <c r="A97" s="216">
        <f t="shared" ref="A97" si="201">YEAR(H97)+IF(MONTH(H97)&gt;=4,1,0)</f>
        <v>2026</v>
      </c>
      <c r="B97" s="217">
        <f t="shared" ref="B97" si="202">YEAR(H97)</f>
        <v>2025</v>
      </c>
      <c r="C97" s="209" t="str">
        <f>TEXT(Table5[[#This Row],[Date]],"yyyy")</f>
        <v>2025</v>
      </c>
      <c r="D97" s="209" t="s">
        <v>224</v>
      </c>
      <c r="E97" s="209" t="s">
        <v>224</v>
      </c>
      <c r="F97" s="210" t="str">
        <f>TEXT(Table5[[#This Row],[Date]],"mmm-yy")</f>
        <v>Jul-25</v>
      </c>
      <c r="G97" s="209">
        <f t="shared" ref="G97" si="203">DAY(EOMONTH(F97,0))</f>
        <v>31</v>
      </c>
      <c r="H97" s="211">
        <f t="shared" si="125"/>
        <v>45840</v>
      </c>
      <c r="I97" s="209">
        <v>11.72</v>
      </c>
      <c r="J97" s="212">
        <f>IFERROR(Inv_SY!J98/Inv_SY!$P98-1,"")</f>
        <v>-2.8992371907526904E-3</v>
      </c>
      <c r="K97" s="212">
        <f>IFERROR(Inv_SY!K98/Inv_SY!$P98-1,"")</f>
        <v>8.6924512308024227E-3</v>
      </c>
      <c r="L97" s="212">
        <f>IFERROR(Inv_SY!L98/Inv_SY!$P98-1,"")</f>
        <v>1.5055863150068571E-3</v>
      </c>
      <c r="M97" s="212">
        <f>IFERROR(Inv_SY!M98/Inv_SY!$P98-1,"")</f>
        <v>-8.4714885524728167E-4</v>
      </c>
      <c r="N97" s="212">
        <f>IFERROR(Inv_SY!N98/Inv_SY!$P98-1,"")</f>
        <v>-7.1205951500499243E-3</v>
      </c>
      <c r="O97" s="212">
        <f>IFERROR(Inv_SY!O98/Inv_SY!$P98-1,"")</f>
        <v>6.6894365024072755E-4</v>
      </c>
      <c r="P97" s="212">
        <f>IFERROR(Inv_SY!P98/Inv_SY!$P98-1,"")</f>
        <v>0</v>
      </c>
      <c r="Q97" s="212">
        <f>IFERROR(Inv_SY!Q98/Inv_SY!$P98-1,"")</f>
        <v>8.6924512308024227E-3</v>
      </c>
      <c r="R97" s="212">
        <f>IFERROR(Inv_SY!L98/Inv_SY!$Q98-1,"")</f>
        <v>-7.1249317936563639E-3</v>
      </c>
      <c r="S97" s="212">
        <f>IFERROR(Inv_SY!M98/Inv_SY!$Q98-1,"")</f>
        <v>-9.4573921658772653E-3</v>
      </c>
      <c r="T97" s="212">
        <f>IFERROR(Inv_SY!N98/Inv_SY!$Q98-1,"")</f>
        <v>-1.5676776763380418E-2</v>
      </c>
      <c r="U97" s="213">
        <f>IFERROR(Inv_SY!O98/Inv_SY!$Q98-1,"")</f>
        <v>-7.9543646537372226E-3</v>
      </c>
    </row>
    <row r="98" spans="1:21">
      <c r="A98" s="216">
        <f t="shared" ref="A98" si="204">YEAR(H98)+IF(MONTH(H98)&gt;=4,1,0)</f>
        <v>2026</v>
      </c>
      <c r="B98" s="217">
        <f t="shared" ref="B98" si="205">YEAR(H98)</f>
        <v>2025</v>
      </c>
      <c r="C98" s="209" t="str">
        <f>TEXT(Table5[[#This Row],[Date]],"yyyy")</f>
        <v>2025</v>
      </c>
      <c r="D98" s="209" t="s">
        <v>224</v>
      </c>
      <c r="E98" s="209" t="s">
        <v>224</v>
      </c>
      <c r="F98" s="210" t="str">
        <f>TEXT(Table5[[#This Row],[Date]],"mmm-yy")</f>
        <v>Jul-25</v>
      </c>
      <c r="G98" s="209">
        <f t="shared" ref="G98" si="206">DAY(EOMONTH(F98,0))</f>
        <v>31</v>
      </c>
      <c r="H98" s="211">
        <f t="shared" si="125"/>
        <v>45841</v>
      </c>
      <c r="I98" s="209">
        <v>11.72</v>
      </c>
      <c r="J98" s="212">
        <f>IFERROR(Inv_SY!J99/Inv_SY!$P99-1,"")</f>
        <v>4.442670398621118E-3</v>
      </c>
      <c r="K98" s="212">
        <f>IFERROR(Inv_SY!K99/Inv_SY!$P99-1,"")</f>
        <v>6.7435491981517881E-3</v>
      </c>
      <c r="L98" s="212">
        <f>IFERROR(Inv_SY!L99/Inv_SY!$P99-1,"")</f>
        <v>-8.0949493700954722E-4</v>
      </c>
      <c r="M98" s="212">
        <f>IFERROR(Inv_SY!M99/Inv_SY!$P99-1,"")</f>
        <v>-9.4632235342673177E-5</v>
      </c>
      <c r="N98" s="212">
        <f>IFERROR(Inv_SY!N99/Inv_SY!$P99-1,"")</f>
        <v>-1.5308173068286579E-2</v>
      </c>
      <c r="O98" s="212">
        <f>IFERROR(Inv_SY!O99/Inv_SY!$P99-1,"")</f>
        <v>5.0260806438671146E-3</v>
      </c>
      <c r="P98" s="212">
        <f>IFERROR(Inv_SY!P99/Inv_SY!$P99-1,"")</f>
        <v>0</v>
      </c>
      <c r="Q98" s="212">
        <f>IFERROR(Inv_SY!Q99/Inv_SY!$P99-1,"")</f>
        <v>6.7435491981517881E-3</v>
      </c>
      <c r="R98" s="212">
        <f>IFERROR(Inv_SY!L99/Inv_SY!$Q99-1,"")</f>
        <v>-7.502450987818321E-3</v>
      </c>
      <c r="S98" s="212">
        <f>IFERROR(Inv_SY!M99/Inv_SY!$Q99-1,"")</f>
        <v>-6.7923767069983931E-3</v>
      </c>
      <c r="T98" s="212">
        <f>IFERROR(Inv_SY!N99/Inv_SY!$Q99-1,"")</f>
        <v>-2.1904011487336672E-2</v>
      </c>
      <c r="U98" s="213">
        <f>IFERROR(Inv_SY!O99/Inv_SY!$Q99-1,"")</f>
        <v>-1.7059643000966185E-3</v>
      </c>
    </row>
    <row r="99" spans="1:21">
      <c r="A99" s="216">
        <f t="shared" ref="A99" si="207">YEAR(H99)+IF(MONTH(H99)&gt;=4,1,0)</f>
        <v>2026</v>
      </c>
      <c r="B99" s="217">
        <f t="shared" ref="B99" si="208">YEAR(H99)</f>
        <v>2025</v>
      </c>
      <c r="C99" s="209" t="str">
        <f>TEXT(Table5[[#This Row],[Date]],"yyyy")</f>
        <v>2025</v>
      </c>
      <c r="D99" s="209" t="s">
        <v>224</v>
      </c>
      <c r="E99" s="209" t="s">
        <v>224</v>
      </c>
      <c r="F99" s="210" t="str">
        <f>TEXT(Table5[[#This Row],[Date]],"mmm-yy")</f>
        <v>Jul-25</v>
      </c>
      <c r="G99" s="209">
        <f t="shared" ref="G99" si="209">DAY(EOMONTH(F99,0))</f>
        <v>31</v>
      </c>
      <c r="H99" s="211">
        <f t="shared" si="125"/>
        <v>45842</v>
      </c>
      <c r="I99" s="209">
        <v>11.72</v>
      </c>
      <c r="J99" s="212">
        <f>IFERROR(Inv_SY!J100/Inv_SY!$P100-1,"")</f>
        <v>-7.4651074265167372E-3</v>
      </c>
      <c r="K99" s="212">
        <f>IFERROR(Inv_SY!K100/Inv_SY!$P100-1,"")</f>
        <v>-9.5444259243014917E-3</v>
      </c>
      <c r="L99" s="212">
        <f>IFERROR(Inv_SY!L100/Inv_SY!$P100-1,"")</f>
        <v>-1.574880756879149E-2</v>
      </c>
      <c r="M99" s="212">
        <f>IFERROR(Inv_SY!M100/Inv_SY!$P100-1,"")</f>
        <v>7.1205008508694601E-3</v>
      </c>
      <c r="N99" s="212">
        <f>IFERROR(Inv_SY!N100/Inv_SY!$P100-1,"")</f>
        <v>3.907125209588358E-3</v>
      </c>
      <c r="O99" s="212">
        <f>IFERROR(Inv_SY!O100/Inv_SY!$P100-1,"")</f>
        <v>2.1730714859153011E-2</v>
      </c>
      <c r="P99" s="212">
        <f>IFERROR(Inv_SY!P100/Inv_SY!$P100-1,"")</f>
        <v>0</v>
      </c>
      <c r="Q99" s="212">
        <f>IFERROR(Inv_SY!Q100/Inv_SY!$P100-1,"")</f>
        <v>2.1730714859153011E-2</v>
      </c>
      <c r="R99" s="212">
        <f>IFERROR(Inv_SY!L100/Inv_SY!$Q100-1,"")</f>
        <v>-3.6682387915793702E-2</v>
      </c>
      <c r="S99" s="212">
        <f>IFERROR(Inv_SY!M100/Inv_SY!$Q100-1,"")</f>
        <v>-1.4299476169019276E-2</v>
      </c>
      <c r="T99" s="212">
        <f>IFERROR(Inv_SY!N100/Inv_SY!$Q100-1,"")</f>
        <v>-1.7444508019925475E-2</v>
      </c>
      <c r="U99" s="213">
        <f>IFERROR(Inv_SY!O100/Inv_SY!$Q100-1,"")</f>
        <v>0</v>
      </c>
    </row>
    <row r="100" spans="1:21">
      <c r="A100" s="216">
        <f t="shared" ref="A100" si="210">YEAR(H100)+IF(MONTH(H100)&gt;=4,1,0)</f>
        <v>2026</v>
      </c>
      <c r="B100" s="217">
        <f t="shared" ref="B100" si="211">YEAR(H100)</f>
        <v>2025</v>
      </c>
      <c r="C100" s="209" t="str">
        <f>TEXT(Table5[[#This Row],[Date]],"yyyy")</f>
        <v>2025</v>
      </c>
      <c r="D100" s="209" t="s">
        <v>224</v>
      </c>
      <c r="E100" s="209" t="s">
        <v>224</v>
      </c>
      <c r="F100" s="210" t="str">
        <f>TEXT(Table5[[#This Row],[Date]],"mmm-yy")</f>
        <v>Jul-25</v>
      </c>
      <c r="G100" s="209">
        <f t="shared" ref="G100" si="212">DAY(EOMONTH(F100,0))</f>
        <v>31</v>
      </c>
      <c r="H100" s="211">
        <f t="shared" si="125"/>
        <v>45843</v>
      </c>
      <c r="I100" s="209">
        <v>11.72</v>
      </c>
      <c r="J100" s="212">
        <f>IFERROR(Inv_SY!J101/Inv_SY!$P101-1,"")</f>
        <v>-2.7360281975014833E-2</v>
      </c>
      <c r="K100" s="212">
        <f>IFERROR(Inv_SY!K101/Inv_SY!$P101-1,"")</f>
        <v>1.7978164432357335E-3</v>
      </c>
      <c r="L100" s="212">
        <f>IFERROR(Inv_SY!L101/Inv_SY!$P101-1,"")</f>
        <v>-1.1803398703711943E-2</v>
      </c>
      <c r="M100" s="212">
        <f>IFERROR(Inv_SY!M101/Inv_SY!$P101-1,"")</f>
        <v>1.4450330890905194E-2</v>
      </c>
      <c r="N100" s="212">
        <f>IFERROR(Inv_SY!N101/Inv_SY!$P101-1,"")</f>
        <v>1.8760725482871443E-3</v>
      </c>
      <c r="O100" s="212">
        <f>IFERROR(Inv_SY!O101/Inv_SY!$P101-1,"")</f>
        <v>2.1039460796298703E-2</v>
      </c>
      <c r="P100" s="212">
        <f>IFERROR(Inv_SY!P101/Inv_SY!$P101-1,"")</f>
        <v>0</v>
      </c>
      <c r="Q100" s="212">
        <f>IFERROR(Inv_SY!Q101/Inv_SY!$P101-1,"")</f>
        <v>2.1039460796298703E-2</v>
      </c>
      <c r="R100" s="212">
        <f>IFERROR(Inv_SY!L101/Inv_SY!$Q101-1,"")</f>
        <v>-3.216610205681647E-2</v>
      </c>
      <c r="S100" s="212">
        <f>IFERROR(Inv_SY!M101/Inv_SY!$Q101-1,"")</f>
        <v>-6.453354800072586E-3</v>
      </c>
      <c r="T100" s="212">
        <f>IFERROR(Inv_SY!N101/Inv_SY!$Q101-1,"")</f>
        <v>-1.8768508939964179E-2</v>
      </c>
      <c r="U100" s="213">
        <f>IFERROR(Inv_SY!O101/Inv_SY!$Q101-1,"")</f>
        <v>0</v>
      </c>
    </row>
    <row r="101" spans="1:21">
      <c r="A101" s="216">
        <f t="shared" ref="A101:A102" si="213">YEAR(H101)+IF(MONTH(H101)&gt;=4,1,0)</f>
        <v>2026</v>
      </c>
      <c r="B101" s="217">
        <f t="shared" ref="B101:B102" si="214">YEAR(H101)</f>
        <v>2025</v>
      </c>
      <c r="C101" s="209" t="str">
        <f>TEXT(Table5[[#This Row],[Date]],"yyyy")</f>
        <v>2025</v>
      </c>
      <c r="D101" s="209" t="s">
        <v>224</v>
      </c>
      <c r="E101" s="209" t="s">
        <v>224</v>
      </c>
      <c r="F101" s="210" t="str">
        <f>TEXT(Table5[[#This Row],[Date]],"mmm-yy")</f>
        <v>Jul-25</v>
      </c>
      <c r="G101" s="209">
        <f t="shared" ref="G101" si="215">DAY(EOMONTH(F101,0))</f>
        <v>31</v>
      </c>
      <c r="H101" s="211">
        <f t="shared" si="125"/>
        <v>45844</v>
      </c>
      <c r="I101" s="209">
        <v>11.72</v>
      </c>
      <c r="J101" s="212">
        <f>IFERROR(Inv_SY!J102/Inv_SY!$P102-1,"")</f>
        <v>-3.129238811718893E-3</v>
      </c>
      <c r="K101" s="212">
        <f>IFERROR(Inv_SY!K102/Inv_SY!$P102-1,"")</f>
        <v>3.3976215498510154E-3</v>
      </c>
      <c r="L101" s="212">
        <f>IFERROR(Inv_SY!L102/Inv_SY!$P102-1,"")</f>
        <v>-1.8656480247185026E-2</v>
      </c>
      <c r="M101" s="212">
        <f>IFERROR(Inv_SY!M102/Inv_SY!$P102-1,"")</f>
        <v>1.1290250471194918E-2</v>
      </c>
      <c r="N101" s="212">
        <f>IFERROR(Inv_SY!N102/Inv_SY!$P102-1,"")</f>
        <v>1.3107576610196237E-3</v>
      </c>
      <c r="O101" s="212">
        <f>IFERROR(Inv_SY!O102/Inv_SY!$P102-1,"")</f>
        <v>5.7870893768379172E-3</v>
      </c>
      <c r="P101" s="212">
        <f>IFERROR(Inv_SY!P102/Inv_SY!$P102-1,"")</f>
        <v>0</v>
      </c>
      <c r="Q101" s="212">
        <f>IFERROR(Inv_SY!Q102/Inv_SY!$P102-1,"")</f>
        <v>1.1290250471194918E-2</v>
      </c>
      <c r="R101" s="212">
        <f>IFERROR(Inv_SY!L102/Inv_SY!$Q102-1,"")</f>
        <v>-2.9612399313082238E-2</v>
      </c>
      <c r="S101" s="212">
        <f>IFERROR(Inv_SY!M102/Inv_SY!$Q102-1,"")</f>
        <v>0</v>
      </c>
      <c r="T101" s="212">
        <f>IFERROR(Inv_SY!N102/Inv_SY!$Q102-1,"")</f>
        <v>-9.8680797184838021E-3</v>
      </c>
      <c r="U101" s="213">
        <f>IFERROR(Inv_SY!O102/Inv_SY!$Q102-1,"")</f>
        <v>-5.4417226822792708E-3</v>
      </c>
    </row>
    <row r="102" spans="1:21">
      <c r="A102" s="216">
        <f t="shared" si="213"/>
        <v>2026</v>
      </c>
      <c r="B102" s="217">
        <f t="shared" si="214"/>
        <v>2025</v>
      </c>
      <c r="C102" s="209" t="str">
        <f>TEXT(Table5[[#This Row],[Date]],"yyyy")</f>
        <v>2025</v>
      </c>
      <c r="D102" s="209" t="s">
        <v>224</v>
      </c>
      <c r="E102" s="209" t="s">
        <v>224</v>
      </c>
      <c r="F102" s="210" t="str">
        <f>TEXT(Table5[[#This Row],[Date]],"mmm-yy")</f>
        <v>Jul-25</v>
      </c>
      <c r="G102" s="209">
        <f t="shared" ref="G102:G107" si="216">DAY(EOMONTH(F102,0))</f>
        <v>31</v>
      </c>
      <c r="H102" s="211">
        <f t="shared" ref="H102:H111" si="217">H101+1</f>
        <v>45845</v>
      </c>
      <c r="I102" s="209">
        <v>11.72</v>
      </c>
      <c r="J102" s="212">
        <f>IFERROR(Inv_SY!J103/Inv_SY!$P103-1,"")</f>
        <v>4.3002265713749654E-3</v>
      </c>
      <c r="K102" s="212">
        <f>IFERROR(Inv_SY!K103/Inv_SY!$P103-1,"")</f>
        <v>8.6099370253374108E-3</v>
      </c>
      <c r="L102" s="212">
        <f>IFERROR(Inv_SY!L103/Inv_SY!$P103-1,"")</f>
        <v>6.0518480223465954E-3</v>
      </c>
      <c r="M102" s="212">
        <f>IFERROR(Inv_SY!M103/Inv_SY!$P103-1,"")</f>
        <v>-3.0980064564134491E-3</v>
      </c>
      <c r="N102" s="212">
        <f>IFERROR(Inv_SY!N103/Inv_SY!$P103-1,"")</f>
        <v>-1.974132041622767E-2</v>
      </c>
      <c r="O102" s="212">
        <f>IFERROR(Inv_SY!O103/Inv_SY!$P103-1,"")</f>
        <v>3.8773152535831468E-3</v>
      </c>
      <c r="P102" s="212">
        <f>IFERROR(Inv_SY!P103/Inv_SY!$P103-1,"")</f>
        <v>0</v>
      </c>
      <c r="Q102" s="212">
        <f>IFERROR(Inv_SY!Q103/Inv_SY!$P103-1,"")</f>
        <v>8.6099370253374108E-3</v>
      </c>
      <c r="R102" s="212">
        <f>IFERROR(Inv_SY!L103/Inv_SY!$Q103-1,"")</f>
        <v>-2.5362520327089078E-3</v>
      </c>
      <c r="S102" s="212">
        <f>IFERROR(Inv_SY!M103/Inv_SY!$Q103-1,"")</f>
        <v>-1.1607999338456687E-2</v>
      </c>
      <c r="T102" s="212">
        <f>IFERROR(Inv_SY!N103/Inv_SY!$Q103-1,"")</f>
        <v>-2.8109238666813696E-2</v>
      </c>
      <c r="U102" s="213">
        <f>IFERROR(Inv_SY!O103/Inv_SY!$Q103-1,"")</f>
        <v>-4.6922220355195554E-3</v>
      </c>
    </row>
    <row r="103" spans="1:21">
      <c r="A103" s="216">
        <f t="shared" ref="A103" si="218">YEAR(H103)+IF(MONTH(H103)&gt;=4,1,0)</f>
        <v>2026</v>
      </c>
      <c r="B103" s="217">
        <f t="shared" ref="B103" si="219">YEAR(H103)</f>
        <v>2025</v>
      </c>
      <c r="C103" s="209" t="str">
        <f>TEXT(Table5[[#This Row],[Date]],"yyyy")</f>
        <v>2025</v>
      </c>
      <c r="D103" s="209" t="s">
        <v>224</v>
      </c>
      <c r="E103" s="209" t="s">
        <v>224</v>
      </c>
      <c r="F103" s="210" t="str">
        <f>TEXT(Table5[[#This Row],[Date]],"mmm-yy")</f>
        <v>Jul-25</v>
      </c>
      <c r="G103" s="209">
        <f t="shared" si="216"/>
        <v>31</v>
      </c>
      <c r="H103" s="211">
        <f t="shared" si="217"/>
        <v>45846</v>
      </c>
      <c r="I103" s="209">
        <v>11.72</v>
      </c>
      <c r="J103" s="212">
        <f>IFERROR(Inv_SY!J104/Inv_SY!$P104-1,"")</f>
        <v>7.6995507674371133E-3</v>
      </c>
      <c r="K103" s="212">
        <f>IFERROR(Inv_SY!K104/Inv_SY!$P104-1,"")</f>
        <v>3.77030860180394E-3</v>
      </c>
      <c r="L103" s="212">
        <f>IFERROR(Inv_SY!L104/Inv_SY!$P104-1,"")</f>
        <v>-8.300304029404626E-3</v>
      </c>
      <c r="M103" s="212">
        <f>IFERROR(Inv_SY!M104/Inv_SY!$P104-1,"")</f>
        <v>5.538181380506213E-3</v>
      </c>
      <c r="N103" s="212">
        <f>IFERROR(Inv_SY!N104/Inv_SY!$P104-1,"")</f>
        <v>-1.8589033292319312E-2</v>
      </c>
      <c r="O103" s="212">
        <f>IFERROR(Inv_SY!O104/Inv_SY!$P104-1,"")</f>
        <v>9.8812965719772272E-3</v>
      </c>
      <c r="P103" s="212">
        <f>IFERROR(Inv_SY!P104/Inv_SY!$P104-1,"")</f>
        <v>0</v>
      </c>
      <c r="Q103" s="212">
        <f>IFERROR(Inv_SY!Q104/Inv_SY!$P104-1,"")</f>
        <v>9.8812965719772272E-3</v>
      </c>
      <c r="R103" s="212">
        <f>IFERROR(Inv_SY!L104/Inv_SY!$Q104-1,"")</f>
        <v>-1.8003700695417346E-2</v>
      </c>
      <c r="S103" s="212">
        <f>IFERROR(Inv_SY!M104/Inv_SY!$Q104-1,"")</f>
        <v>-4.3006194947996512E-3</v>
      </c>
      <c r="T103" s="212">
        <f>IFERROR(Inv_SY!N104/Inv_SY!$Q104-1,"")</f>
        <v>-2.8191758735346961E-2</v>
      </c>
      <c r="U103" s="213">
        <f>IFERROR(Inv_SY!O104/Inv_SY!$Q104-1,"")</f>
        <v>0</v>
      </c>
    </row>
    <row r="104" spans="1:21">
      <c r="A104" s="216">
        <f t="shared" ref="A104" si="220">YEAR(H104)+IF(MONTH(H104)&gt;=4,1,0)</f>
        <v>2026</v>
      </c>
      <c r="B104" s="217">
        <f t="shared" ref="B104" si="221">YEAR(H104)</f>
        <v>2025</v>
      </c>
      <c r="C104" s="209" t="str">
        <f>TEXT(Table5[[#This Row],[Date]],"yyyy")</f>
        <v>2025</v>
      </c>
      <c r="D104" s="209" t="s">
        <v>224</v>
      </c>
      <c r="E104" s="209" t="s">
        <v>224</v>
      </c>
      <c r="F104" s="210" t="str">
        <f>TEXT(Table5[[#This Row],[Date]],"mmm-yy")</f>
        <v>Jul-25</v>
      </c>
      <c r="G104" s="209">
        <f t="shared" si="216"/>
        <v>31</v>
      </c>
      <c r="H104" s="211">
        <f t="shared" si="217"/>
        <v>45847</v>
      </c>
      <c r="I104" s="209">
        <v>11.72</v>
      </c>
      <c r="J104" s="212">
        <f>IFERROR(Inv_SY!J105/Inv_SY!$P105-1,"")</f>
        <v>8.9345713952082573E-3</v>
      </c>
      <c r="K104" s="212">
        <f>IFERROR(Inv_SY!K105/Inv_SY!$P105-1,"")</f>
        <v>-7.0798795443853813E-3</v>
      </c>
      <c r="L104" s="212">
        <f>IFERROR(Inv_SY!L105/Inv_SY!$P105-1,"")</f>
        <v>-1.6047640018159948E-2</v>
      </c>
      <c r="M104" s="212">
        <f>IFERROR(Inv_SY!M105/Inv_SY!$P105-1,"")</f>
        <v>1.7718607055188684E-2</v>
      </c>
      <c r="N104" s="212">
        <f>IFERROR(Inv_SY!N105/Inv_SY!$P105-1,"")</f>
        <v>-1.5162438716943782E-2</v>
      </c>
      <c r="O104" s="212">
        <f>IFERROR(Inv_SY!O105/Inv_SY!$P105-1,"")</f>
        <v>1.1636779829092392E-2</v>
      </c>
      <c r="P104" s="212">
        <f>IFERROR(Inv_SY!P105/Inv_SY!$P105-1,"")</f>
        <v>0</v>
      </c>
      <c r="Q104" s="212">
        <f>IFERROR(Inv_SY!Q105/Inv_SY!$P105-1,"")</f>
        <v>1.7718607055188684E-2</v>
      </c>
      <c r="R104" s="212">
        <f>IFERROR(Inv_SY!L105/Inv_SY!$Q105-1,"")</f>
        <v>-3.3178372527798095E-2</v>
      </c>
      <c r="S104" s="212">
        <f>IFERROR(Inv_SY!M105/Inv_SY!$Q105-1,"")</f>
        <v>0</v>
      </c>
      <c r="T104" s="212">
        <f>IFERROR(Inv_SY!N105/Inv_SY!$Q105-1,"")</f>
        <v>-3.2308582690922072E-2</v>
      </c>
      <c r="U104" s="213">
        <f>IFERROR(Inv_SY!O105/Inv_SY!$Q105-1,"")</f>
        <v>-5.9759418604857784E-3</v>
      </c>
    </row>
    <row r="105" spans="1:21">
      <c r="A105" s="216">
        <f t="shared" ref="A105" si="222">YEAR(H105)+IF(MONTH(H105)&gt;=4,1,0)</f>
        <v>2026</v>
      </c>
      <c r="B105" s="217">
        <f t="shared" ref="B105" si="223">YEAR(H105)</f>
        <v>2025</v>
      </c>
      <c r="C105" s="209" t="str">
        <f>TEXT(Table5[[#This Row],[Date]],"yyyy")</f>
        <v>2025</v>
      </c>
      <c r="D105" s="209" t="s">
        <v>224</v>
      </c>
      <c r="E105" s="209" t="s">
        <v>224</v>
      </c>
      <c r="F105" s="210" t="str">
        <f>TEXT(Table5[[#This Row],[Date]],"mmm-yy")</f>
        <v>Jul-25</v>
      </c>
      <c r="G105" s="209">
        <f t="shared" si="216"/>
        <v>31</v>
      </c>
      <c r="H105" s="211">
        <f t="shared" si="217"/>
        <v>45848</v>
      </c>
      <c r="I105" s="209">
        <v>11.72</v>
      </c>
      <c r="J105" s="212">
        <f>IFERROR(Inv_SY!J106/Inv_SY!$P106-1,"")</f>
        <v>-2.3638084998764963E-3</v>
      </c>
      <c r="K105" s="212">
        <f>IFERROR(Inv_SY!K106/Inv_SY!$P106-1,"")</f>
        <v>-1.1773221185545357E-2</v>
      </c>
      <c r="L105" s="212">
        <f>IFERROR(Inv_SY!L106/Inv_SY!$P106-1,"")</f>
        <v>-2.7926900372362784E-2</v>
      </c>
      <c r="M105" s="212">
        <f>IFERROR(Inv_SY!M106/Inv_SY!$P106-1,"")</f>
        <v>2.0746235725737527E-2</v>
      </c>
      <c r="N105" s="212">
        <f>IFERROR(Inv_SY!N106/Inv_SY!$P106-1,"")</f>
        <v>7.0167377564129829E-3</v>
      </c>
      <c r="O105" s="212">
        <f>IFERROR(Inv_SY!O106/Inv_SY!$P106-1,"")</f>
        <v>1.4300956575634682E-2</v>
      </c>
      <c r="P105" s="212">
        <f>IFERROR(Inv_SY!P106/Inv_SY!$P106-1,"")</f>
        <v>0</v>
      </c>
      <c r="Q105" s="212">
        <f>IFERROR(Inv_SY!Q106/Inv_SY!$P106-1,"")</f>
        <v>2.0746235725737527E-2</v>
      </c>
      <c r="R105" s="212">
        <f>IFERROR(Inv_SY!L106/Inv_SY!$Q106-1,"")</f>
        <v>-4.768387518323236E-2</v>
      </c>
      <c r="S105" s="212">
        <f>IFERROR(Inv_SY!M106/Inv_SY!$Q106-1,"")</f>
        <v>0</v>
      </c>
      <c r="T105" s="212">
        <f>IFERROR(Inv_SY!N106/Inv_SY!$Q106-1,"")</f>
        <v>-1.3450451727174961E-2</v>
      </c>
      <c r="U105" s="213">
        <f>IFERROR(Inv_SY!O106/Inv_SY!$Q106-1,"")</f>
        <v>-6.3142815760866E-3</v>
      </c>
    </row>
    <row r="106" spans="1:21">
      <c r="A106" s="216">
        <f t="shared" ref="A106" si="224">YEAR(H106)+IF(MONTH(H106)&gt;=4,1,0)</f>
        <v>2026</v>
      </c>
      <c r="B106" s="217">
        <f t="shared" ref="B106" si="225">YEAR(H106)</f>
        <v>2025</v>
      </c>
      <c r="C106" s="209" t="str">
        <f>TEXT(Table5[[#This Row],[Date]],"yyyy")</f>
        <v>2025</v>
      </c>
      <c r="D106" s="209" t="s">
        <v>224</v>
      </c>
      <c r="E106" s="209" t="s">
        <v>224</v>
      </c>
      <c r="F106" s="210" t="str">
        <f>TEXT(Table5[[#This Row],[Date]],"mmm-yy")</f>
        <v>Jul-25</v>
      </c>
      <c r="G106" s="209">
        <f t="shared" si="216"/>
        <v>31</v>
      </c>
      <c r="H106" s="211">
        <f t="shared" si="217"/>
        <v>45849</v>
      </c>
      <c r="I106" s="209">
        <v>11.72</v>
      </c>
      <c r="J106" s="212">
        <f>IFERROR(Inv_SY!J107/Inv_SY!$P107-1,"")</f>
        <v>-8.0358658507396763E-3</v>
      </c>
      <c r="K106" s="212">
        <f>IFERROR(Inv_SY!K107/Inv_SY!$P107-1,"")</f>
        <v>-2.5116305072056311E-2</v>
      </c>
      <c r="L106" s="212">
        <f>IFERROR(Inv_SY!L107/Inv_SY!$P107-1,"")</f>
        <v>-4.3194722170117661E-2</v>
      </c>
      <c r="M106" s="212">
        <f>IFERROR(Inv_SY!M107/Inv_SY!$P107-1,"")</f>
        <v>1.7227880066786661E-2</v>
      </c>
      <c r="N106" s="212">
        <f>IFERROR(Inv_SY!N107/Inv_SY!$P107-1,"")</f>
        <v>2.881834942428152E-2</v>
      </c>
      <c r="O106" s="212">
        <f>IFERROR(Inv_SY!O107/Inv_SY!$P107-1,"")</f>
        <v>3.0300663601845246E-2</v>
      </c>
      <c r="P106" s="212">
        <f>IFERROR(Inv_SY!P107/Inv_SY!$P107-1,"")</f>
        <v>0</v>
      </c>
      <c r="Q106" s="212">
        <f>IFERROR(Inv_SY!Q107/Inv_SY!$P107-1,"")</f>
        <v>3.0300663601845246E-2</v>
      </c>
      <c r="R106" s="212">
        <f>IFERROR(Inv_SY!L107/Inv_SY!$Q107-1,"")</f>
        <v>-7.1333920639271464E-2</v>
      </c>
      <c r="S106" s="212">
        <f>IFERROR(Inv_SY!M107/Inv_SY!$Q107-1,"")</f>
        <v>-1.2688319047914676E-2</v>
      </c>
      <c r="T106" s="212">
        <f>IFERROR(Inv_SY!N107/Inv_SY!$Q107-1,"")</f>
        <v>-1.4387200066255934E-3</v>
      </c>
      <c r="U106" s="213">
        <f>IFERROR(Inv_SY!O107/Inv_SY!$Q107-1,"")</f>
        <v>0</v>
      </c>
    </row>
    <row r="107" spans="1:21">
      <c r="A107" s="216">
        <f t="shared" ref="A107" si="226">YEAR(H107)+IF(MONTH(H107)&gt;=4,1,0)</f>
        <v>2026</v>
      </c>
      <c r="B107" s="217">
        <f t="shared" ref="B107" si="227">YEAR(H107)</f>
        <v>2025</v>
      </c>
      <c r="C107" s="209" t="str">
        <f>TEXT(Table5[[#This Row],[Date]],"yyyy")</f>
        <v>2025</v>
      </c>
      <c r="D107" s="209" t="s">
        <v>224</v>
      </c>
      <c r="E107" s="209" t="s">
        <v>224</v>
      </c>
      <c r="F107" s="210" t="str">
        <f>TEXT(Table5[[#This Row],[Date]],"mmm-yy")</f>
        <v>Jul-25</v>
      </c>
      <c r="G107" s="209">
        <f t="shared" si="216"/>
        <v>31</v>
      </c>
      <c r="H107" s="211">
        <f t="shared" si="217"/>
        <v>45850</v>
      </c>
      <c r="I107" s="209">
        <v>11.72</v>
      </c>
      <c r="J107" s="212">
        <f>IFERROR(Inv_SY!J108/Inv_SY!$P108-1,"")</f>
        <v>-1.020717560258666E-2</v>
      </c>
      <c r="K107" s="212">
        <f>IFERROR(Inv_SY!K108/Inv_SY!$P108-1,"")</f>
        <v>-2.0919887404384108E-2</v>
      </c>
      <c r="L107" s="212">
        <f>IFERROR(Inv_SY!L108/Inv_SY!$P108-1,"")</f>
        <v>-4.397873299915378E-2</v>
      </c>
      <c r="M107" s="212">
        <f>IFERROR(Inv_SY!M108/Inv_SY!$P108-1,"")</f>
        <v>2.6613358197846493E-2</v>
      </c>
      <c r="N107" s="212">
        <f>IFERROR(Inv_SY!N108/Inv_SY!$P108-1,"")</f>
        <v>2.4061609791289573E-2</v>
      </c>
      <c r="O107" s="212">
        <f>IFERROR(Inv_SY!O108/Inv_SY!$P108-1,"")</f>
        <v>2.4430828016988038E-2</v>
      </c>
      <c r="P107" s="212">
        <f>IFERROR(Inv_SY!P108/Inv_SY!$P108-1,"")</f>
        <v>0</v>
      </c>
      <c r="Q107" s="212">
        <f>IFERROR(Inv_SY!Q108/Inv_SY!$P108-1,"")</f>
        <v>2.6613358197846493E-2</v>
      </c>
      <c r="R107" s="212">
        <f>IFERROR(Inv_SY!L108/Inv_SY!$Q108-1,"")</f>
        <v>-6.8762100778544388E-2</v>
      </c>
      <c r="S107" s="212">
        <f>IFERROR(Inv_SY!M108/Inv_SY!$Q108-1,"")</f>
        <v>0</v>
      </c>
      <c r="T107" s="212">
        <f>IFERROR(Inv_SY!N108/Inv_SY!$Q108-1,"")</f>
        <v>-2.4855982889570027E-3</v>
      </c>
      <c r="U107" s="213">
        <f>IFERROR(Inv_SY!O108/Inv_SY!$Q108-1,"")</f>
        <v>-2.1259514728014794E-3</v>
      </c>
    </row>
    <row r="108" spans="1:21">
      <c r="A108" s="216">
        <f t="shared" ref="A108" si="228">YEAR(H108)+IF(MONTH(H108)&gt;=4,1,0)</f>
        <v>2026</v>
      </c>
      <c r="B108" s="217">
        <f t="shared" ref="B108" si="229">YEAR(H108)</f>
        <v>2025</v>
      </c>
      <c r="C108" s="209" t="str">
        <f>TEXT(Table5[[#This Row],[Date]],"yyyy")</f>
        <v>2025</v>
      </c>
      <c r="D108" s="209" t="s">
        <v>224</v>
      </c>
      <c r="E108" s="209" t="s">
        <v>224</v>
      </c>
      <c r="F108" s="210" t="str">
        <f>TEXT(Table5[[#This Row],[Date]],"mmm-yy")</f>
        <v>Jul-25</v>
      </c>
      <c r="G108" s="209">
        <f t="shared" ref="G108" si="230">DAY(EOMONTH(F108,0))</f>
        <v>31</v>
      </c>
      <c r="H108" s="211">
        <f t="shared" si="217"/>
        <v>45851</v>
      </c>
      <c r="I108" s="209">
        <v>11.72</v>
      </c>
      <c r="J108" s="212">
        <f>IFERROR(Inv_SY!J109/Inv_SY!$P109-1,"")</f>
        <v>-3.0883794074920701E-3</v>
      </c>
      <c r="K108" s="212">
        <f>IFERROR(Inv_SY!K109/Inv_SY!$P109-1,"")</f>
        <v>-8.7233676898815782E-3</v>
      </c>
      <c r="L108" s="212">
        <f>IFERROR(Inv_SY!L109/Inv_SY!$P109-1,"")</f>
        <v>-3.2465440344791707E-2</v>
      </c>
      <c r="M108" s="212">
        <f>IFERROR(Inv_SY!M109/Inv_SY!$P109-1,"")</f>
        <v>2.074100875990692E-2</v>
      </c>
      <c r="N108" s="212">
        <f>IFERROR(Inv_SY!N109/Inv_SY!$P109-1,"")</f>
        <v>7.2141268800203218E-3</v>
      </c>
      <c r="O108" s="212">
        <f>IFERROR(Inv_SY!O109/Inv_SY!$P109-1,"")</f>
        <v>1.6322051802238891E-2</v>
      </c>
      <c r="P108" s="212">
        <f>IFERROR(Inv_SY!P109/Inv_SY!$P109-1,"")</f>
        <v>0</v>
      </c>
      <c r="Q108" s="212">
        <f>IFERROR(Inv_SY!Q109/Inv_SY!$P109-1,"")</f>
        <v>2.074100875990692E-2</v>
      </c>
      <c r="R108" s="212">
        <f>IFERROR(Inv_SY!L109/Inv_SY!$Q109-1,"")</f>
        <v>-5.2125317439081664E-2</v>
      </c>
      <c r="S108" s="212">
        <f>IFERROR(Inv_SY!M109/Inv_SY!$Q109-1,"")</f>
        <v>0</v>
      </c>
      <c r="T108" s="212">
        <f>IFERROR(Inv_SY!N109/Inv_SY!$Q109-1,"")</f>
        <v>-1.3252021584123863E-2</v>
      </c>
      <c r="U108" s="213">
        <f>IFERROR(Inv_SY!O109/Inv_SY!$Q109-1,"")</f>
        <v>-4.3291656940840362E-3</v>
      </c>
    </row>
    <row r="109" spans="1:21">
      <c r="A109" s="216">
        <f t="shared" ref="A109" si="231">YEAR(H109)+IF(MONTH(H109)&gt;=4,1,0)</f>
        <v>2026</v>
      </c>
      <c r="B109" s="217">
        <f t="shared" ref="B109" si="232">YEAR(H109)</f>
        <v>2025</v>
      </c>
      <c r="C109" s="209" t="str">
        <f>TEXT(Table5[[#This Row],[Date]],"yyyy")</f>
        <v>2025</v>
      </c>
      <c r="D109" s="209" t="s">
        <v>224</v>
      </c>
      <c r="E109" s="209" t="s">
        <v>224</v>
      </c>
      <c r="F109" s="210" t="str">
        <f>TEXT(Table5[[#This Row],[Date]],"mmm-yy")</f>
        <v>Jul-25</v>
      </c>
      <c r="G109" s="209">
        <f t="shared" ref="G109" si="233">DAY(EOMONTH(F109,0))</f>
        <v>31</v>
      </c>
      <c r="H109" s="211">
        <f t="shared" si="217"/>
        <v>45852</v>
      </c>
      <c r="I109" s="209">
        <v>11.72</v>
      </c>
      <c r="J109" s="212">
        <f>IFERROR(Inv_SY!J110/Inv_SY!$P110-1,"")</f>
        <v>-6.8848416348350483E-3</v>
      </c>
      <c r="K109" s="212">
        <f>IFERROR(Inv_SY!K110/Inv_SY!$P110-1,"")</f>
        <v>-1.7227180030505385E-2</v>
      </c>
      <c r="L109" s="212">
        <f>IFERROR(Inv_SY!L110/Inv_SY!$P110-1,"")</f>
        <v>-3.9271298555687228E-2</v>
      </c>
      <c r="M109" s="212">
        <f>IFERROR(Inv_SY!M110/Inv_SY!$P110-1,"")</f>
        <v>2.4716591437214941E-2</v>
      </c>
      <c r="N109" s="212">
        <f>IFERROR(Inv_SY!N110/Inv_SY!$P110-1,"")</f>
        <v>7.9712609585202987E-3</v>
      </c>
      <c r="O109" s="212">
        <f>IFERROR(Inv_SY!O110/Inv_SY!$P110-1,"")</f>
        <v>3.069546782529331E-2</v>
      </c>
      <c r="P109" s="212">
        <f>IFERROR(Inv_SY!P110/Inv_SY!$P110-1,"")</f>
        <v>0</v>
      </c>
      <c r="Q109" s="212">
        <f>IFERROR(Inv_SY!Q110/Inv_SY!$P110-1,"")</f>
        <v>3.069546782529331E-2</v>
      </c>
      <c r="R109" s="212">
        <f>IFERROR(Inv_SY!L110/Inv_SY!$Q110-1,"")</f>
        <v>-6.7883063974857993E-2</v>
      </c>
      <c r="S109" s="212">
        <f>IFERROR(Inv_SY!M110/Inv_SY!$Q110-1,"")</f>
        <v>-5.8008175787299665E-3</v>
      </c>
      <c r="T109" s="212">
        <f>IFERROR(Inv_SY!N110/Inv_SY!$Q110-1,"")</f>
        <v>-2.2047450072444574E-2</v>
      </c>
      <c r="U109" s="213">
        <f>IFERROR(Inv_SY!O110/Inv_SY!$Q110-1,"")</f>
        <v>0</v>
      </c>
    </row>
    <row r="110" spans="1:21">
      <c r="A110" s="216">
        <f t="shared" ref="A110" si="234">YEAR(H110)+IF(MONTH(H110)&gt;=4,1,0)</f>
        <v>2026</v>
      </c>
      <c r="B110" s="217">
        <f t="shared" ref="B110" si="235">YEAR(H110)</f>
        <v>2025</v>
      </c>
      <c r="C110" s="209" t="str">
        <f>TEXT(Table5[[#This Row],[Date]],"yyyy")</f>
        <v>2025</v>
      </c>
      <c r="D110" s="209" t="s">
        <v>224</v>
      </c>
      <c r="E110" s="209" t="s">
        <v>224</v>
      </c>
      <c r="F110" s="210" t="str">
        <f>TEXT(Table5[[#This Row],[Date]],"mmm-yy")</f>
        <v>Jul-25</v>
      </c>
      <c r="G110" s="209">
        <f t="shared" ref="G110" si="236">DAY(EOMONTH(F110,0))</f>
        <v>31</v>
      </c>
      <c r="H110" s="211">
        <f t="shared" si="217"/>
        <v>45853</v>
      </c>
      <c r="I110" s="209">
        <v>11.72</v>
      </c>
      <c r="J110" s="212">
        <f>IFERROR(Inv_SY!J111/Inv_SY!$P111-1,"")</f>
        <v>-1.2541024070366946E-2</v>
      </c>
      <c r="K110" s="212">
        <f>IFERROR(Inv_SY!K111/Inv_SY!$P111-1,"")</f>
        <v>2.7624833785797609E-3</v>
      </c>
      <c r="L110" s="212">
        <f>IFERROR(Inv_SY!L111/Inv_SY!$P111-1,"")</f>
        <v>-2.7007336965489737E-2</v>
      </c>
      <c r="M110" s="212">
        <f>IFERROR(Inv_SY!M111/Inv_SY!$P111-1,"")</f>
        <v>2.6978758407648629E-2</v>
      </c>
      <c r="N110" s="212">
        <f>IFERROR(Inv_SY!N111/Inv_SY!$P111-1,"")</f>
        <v>-8.5627662941903937E-3</v>
      </c>
      <c r="O110" s="212">
        <f>IFERROR(Inv_SY!O111/Inv_SY!$P111-1,"")</f>
        <v>1.8369885543818798E-2</v>
      </c>
      <c r="P110" s="212">
        <f>IFERROR(Inv_SY!P111/Inv_SY!$P111-1,"")</f>
        <v>0</v>
      </c>
      <c r="Q110" s="212">
        <f>IFERROR(Inv_SY!Q111/Inv_SY!$P111-1,"")</f>
        <v>2.6978758407648629E-2</v>
      </c>
      <c r="R110" s="212">
        <f>IFERROR(Inv_SY!L111/Inv_SY!$Q111-1,"")</f>
        <v>-5.2567879258617611E-2</v>
      </c>
      <c r="S110" s="212">
        <f>IFERROR(Inv_SY!M111/Inv_SY!$Q111-1,"")</f>
        <v>0</v>
      </c>
      <c r="T110" s="212">
        <f>IFERROR(Inv_SY!N111/Inv_SY!$Q111-1,"")</f>
        <v>-3.4607847933434188E-2</v>
      </c>
      <c r="U110" s="213">
        <f>IFERROR(Inv_SY!O111/Inv_SY!$Q111-1,"")</f>
        <v>-8.3827175521897779E-3</v>
      </c>
    </row>
    <row r="111" spans="1:21">
      <c r="A111" s="216">
        <f t="shared" ref="A111" si="237">YEAR(H111)+IF(MONTH(H111)&gt;=4,1,0)</f>
        <v>2026</v>
      </c>
      <c r="B111" s="217">
        <f t="shared" ref="B111" si="238">YEAR(H111)</f>
        <v>2025</v>
      </c>
      <c r="C111" s="209" t="str">
        <f>TEXT(Table5[[#This Row],[Date]],"yyyy")</f>
        <v>2025</v>
      </c>
      <c r="D111" s="209" t="s">
        <v>224</v>
      </c>
      <c r="E111" s="209" t="s">
        <v>224</v>
      </c>
      <c r="F111" s="210" t="str">
        <f>TEXT(Table5[[#This Row],[Date]],"mmm-yy")</f>
        <v>Jul-25</v>
      </c>
      <c r="G111" s="209">
        <f t="shared" ref="G111" si="239">DAY(EOMONTH(F111,0))</f>
        <v>31</v>
      </c>
      <c r="H111" s="211">
        <f t="shared" si="217"/>
        <v>45854</v>
      </c>
      <c r="I111" s="209">
        <v>11.72</v>
      </c>
      <c r="J111" s="212">
        <f>IFERROR(Inv_SY!J112/Inv_SY!$P112-1,"")</f>
        <v>-1.1224477682119538E-2</v>
      </c>
      <c r="K111" s="212">
        <f>IFERROR(Inv_SY!K112/Inv_SY!$P112-1,"")</f>
        <v>-5.3600172024741433E-3</v>
      </c>
      <c r="L111" s="212">
        <f>IFERROR(Inv_SY!L112/Inv_SY!$P112-1,"")</f>
        <v>-9.7346788782672888E-3</v>
      </c>
      <c r="M111" s="212">
        <f>IFERROR(Inv_SY!M112/Inv_SY!$P112-1,"")</f>
        <v>2.2943156354433558E-2</v>
      </c>
      <c r="N111" s="212">
        <f>IFERROR(Inv_SY!N112/Inv_SY!$P112-1,"")</f>
        <v>-5.6417488200016797E-3</v>
      </c>
      <c r="O111" s="212">
        <f>IFERROR(Inv_SY!O112/Inv_SY!$P112-1,"")</f>
        <v>9.0177662284294247E-3</v>
      </c>
      <c r="P111" s="212">
        <f>IFERROR(Inv_SY!P112/Inv_SY!$P112-1,"")</f>
        <v>0</v>
      </c>
      <c r="Q111" s="212">
        <f>IFERROR(Inv_SY!Q112/Inv_SY!$P112-1,"")</f>
        <v>2.2943156354433558E-2</v>
      </c>
      <c r="R111" s="212">
        <f>IFERROR(Inv_SY!L112/Inv_SY!$Q112-1,"")</f>
        <v>-3.194491798464949E-2</v>
      </c>
      <c r="S111" s="212">
        <f>IFERROR(Inv_SY!M112/Inv_SY!$Q112-1,"")</f>
        <v>0</v>
      </c>
      <c r="T111" s="212">
        <f>IFERROR(Inv_SY!N112/Inv_SY!$Q112-1,"")</f>
        <v>-2.7943786511369972E-2</v>
      </c>
      <c r="U111" s="213">
        <f>IFERROR(Inv_SY!O112/Inv_SY!$Q112-1,"")</f>
        <v>-1.3613063482072252E-2</v>
      </c>
    </row>
    <row r="112" spans="1:21">
      <c r="A112" s="234">
        <f t="shared" ref="A112" si="240">YEAR(H112)+IF(MONTH(H112)&gt;=4,1,0)</f>
        <v>2026</v>
      </c>
      <c r="B112" s="235">
        <f t="shared" ref="B112" si="241">YEAR(H112)</f>
        <v>2025</v>
      </c>
      <c r="C112" s="236" t="str">
        <f>TEXT(Table5[[#This Row],[Date]],"yyyy")</f>
        <v>2025</v>
      </c>
      <c r="D112" s="209" t="s">
        <v>224</v>
      </c>
      <c r="E112" s="209" t="s">
        <v>224</v>
      </c>
      <c r="F112" s="237" t="str">
        <f>TEXT(Table5[[#This Row],[Date]],"mmm-yy")</f>
        <v>Jul-25</v>
      </c>
      <c r="G112" s="236">
        <f>DAY(EOMONTH(F112,0))</f>
        <v>31</v>
      </c>
      <c r="H112" s="238">
        <f>H111+1</f>
        <v>45855</v>
      </c>
      <c r="I112" s="209">
        <v>11.72</v>
      </c>
      <c r="J112" s="212">
        <f>IFERROR(Inv_SY!J113/Inv_SY!$P113-1,"")</f>
        <v>-9.6024957971918568E-4</v>
      </c>
      <c r="K112" s="212">
        <f>IFERROR(Inv_SY!K113/Inv_SY!$P113-1,"")</f>
        <v>-1.6599408877262523E-2</v>
      </c>
      <c r="L112" s="212">
        <f>IFERROR(Inv_SY!L113/Inv_SY!$P113-1,"")</f>
        <v>-1.3464654140618815E-2</v>
      </c>
      <c r="M112" s="212">
        <f>IFERROR(Inv_SY!M113/Inv_SY!$P113-1,"")</f>
        <v>1.1342433820913156E-2</v>
      </c>
      <c r="N112" s="212">
        <f>IFERROR(Inv_SY!N113/Inv_SY!$P113-1,"")</f>
        <v>5.8751330744755137E-3</v>
      </c>
      <c r="O112" s="212">
        <f>IFERROR(Inv_SY!O113/Inv_SY!$P113-1,"")</f>
        <v>1.3806745702212186E-2</v>
      </c>
      <c r="P112" s="212">
        <f>IFERROR(Inv_SY!P113/Inv_SY!$P113-1,"")</f>
        <v>0</v>
      </c>
      <c r="Q112" s="212">
        <f>IFERROR(Inv_SY!Q113/Inv_SY!$P113-1,"")</f>
        <v>1.3806745702212186E-2</v>
      </c>
      <c r="R112" s="212">
        <f>IFERROR(Inv_SY!L113/Inv_SY!$Q113-1,"")</f>
        <v>-2.6899998405456982E-2</v>
      </c>
      <c r="S112" s="212">
        <f>IFERROR(Inv_SY!M113/Inv_SY!$Q113-1,"")</f>
        <v>-2.430751118737362E-3</v>
      </c>
      <c r="T112" s="212">
        <f>IFERROR(Inv_SY!N113/Inv_SY!$Q113-1,"")</f>
        <v>-7.8235942514299772E-3</v>
      </c>
      <c r="U112" s="213">
        <f>IFERROR(Inv_SY!O113/Inv_SY!$Q113-1,"")</f>
        <v>0</v>
      </c>
    </row>
  </sheetData>
  <phoneticPr fontId="34" type="noConversion"/>
  <conditionalFormatting sqref="J2:Q1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1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llowEditUser xmlns="https://web.wps.cn/et/2018/main" xmlns:s="http://schemas.openxmlformats.org/spreadsheetml/2006/main" hasInvisiblePropRange="0">
  <rangeList sheetStid="13" master="" otherUserPermission="visible">
    <arrUserId title="Range1" rangeCreator="" othersAccessPermission="edit"/>
    <arrUserId title="Range1_1" rangeCreator="" othersAccessPermission="edit"/>
  </rangeList>
  <rangeList sheetStid="17" master="" otherUserPermission="visible"/>
  <rangeList sheetStid="12" master="" otherUserPermission="visible"/>
  <rangeList sheetStid="10" master="" otherUserPermission="visible"/>
  <rangeList sheetStid="9" master="" otherUserPermission="visible"/>
  <rangeList sheetStid="1" master="" otherUserPermission="visible"/>
  <rangeList sheetStid="6" master="" otherUserPermission="visible"/>
  <rangeList sheetStid="5" master="" otherUserPermission="visible"/>
  <rangeList sheetStid="7" master="" otherUserPermission="visible"/>
  <rangeList sheetStid="3" master="" otherUserPermission="visible"/>
  <rangeList sheetStid="4" master="" otherUserPermission="visible"/>
  <rangeList sheetStid="11" master="" otherUserPermission="visible"/>
  <rangeList sheetStid="14" master="" otherUserPermission="visible"/>
  <rangeList sheetStid="15" master="" otherUserPermission="visible"/>
  <rangeList sheetStid="16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D82BBC3D-6907-49EB-81F8-273F9E77DA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1963D7-435A-4292-99A3-945AAD61A038}">
  <ds:schemaRefs>
    <ds:schemaRef ds:uri="http://schemas.microsoft.com/office/2006/metadata/properties"/>
    <ds:schemaRef ds:uri="http://schemas.microsoft.com/office/infopath/2007/PartnerControls"/>
    <ds:schemaRef ds:uri="8c2e6fc8-2c44-4211-8873-18a70be316de"/>
    <ds:schemaRef ds:uri="6a5ba037-5e8a-4734-91d3-a93607cdaec4"/>
  </ds:schemaRefs>
</ds:datastoreItem>
</file>

<file path=customXml/itemProps3.xml><?xml version="1.0" encoding="utf-8"?>
<ds:datastoreItem xmlns:ds="http://schemas.openxmlformats.org/officeDocument/2006/customXml" ds:itemID="{314AEC21-0439-44FF-9BA8-EA57C6F4F1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Daily Dashboard</vt:lpstr>
      <vt:lpstr>CMS_Data</vt:lpstr>
      <vt:lpstr>Annual KPI</vt:lpstr>
      <vt:lpstr>Monthly KPI</vt:lpstr>
      <vt:lpstr>Daily KPI</vt:lpstr>
      <vt:lpstr>Raw Data</vt:lpstr>
      <vt:lpstr>Modelling New</vt:lpstr>
      <vt:lpstr>Inv_SY</vt:lpstr>
      <vt:lpstr>Inv_SY_Dev</vt:lpstr>
      <vt:lpstr>Plant BD</vt:lpstr>
      <vt:lpstr>Tracker_BD</vt:lpstr>
      <vt:lpstr>Grid BD</vt:lpstr>
      <vt:lpstr>Mod_CL</vt:lpstr>
      <vt:lpstr>Grass_Cutting</vt:lpstr>
      <vt:lpstr>Spare_Consumable</vt:lpstr>
      <vt:lpstr>Basic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Kalpesh Umaretia</dc:creator>
  <cp:keywords/>
  <dc:description/>
  <cp:lastModifiedBy>Bandi Suresh Kumar</cp:lastModifiedBy>
  <cp:revision/>
  <dcterms:created xsi:type="dcterms:W3CDTF">2015-06-05T18:17:00Z</dcterms:created>
  <dcterms:modified xsi:type="dcterms:W3CDTF">2025-07-18T03:48:14Z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F9CBFF6D16BD407A904F79382EBAC8DF</vt:lpwstr>
  </property>
  <property fmtid="{D5CDD505-2E9C-101B-9397-08002B2CF9AE}" pid="3" name="KSOProductBuildVer">
    <vt:lpwstr>1033-12.2.0.19307</vt:lpwstr>
  </property>
  <property fmtid="{D5CDD505-2E9C-101B-9397-08002B2CF9AE}" pid="4" name="ContentTypeId">
    <vt:lpwstr>0x01010052BB3DC3D7EEBD4E965C95B4B8FA3504</vt:lpwstr>
  </property>
  <property fmtid="{D5CDD505-2E9C-101B-9397-08002B2CF9AE}" pid="5" name="MediaServiceImageTags">
    <vt:lpwstr/>
  </property>
</Properties>
</file>